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10.xml"/>
  <Override ContentType="application/vnd.openxmlformats-officedocument.spreadsheetml.comments+xml" PartName="/xl/comments11.xml"/>
  <Override ContentType="application/vnd.openxmlformats-officedocument.spreadsheetml.comments+xml" PartName="/xl/comments12.xml"/>
  <Override ContentType="application/vnd.openxmlformats-officedocument.spreadsheetml.comments+xml" PartName="/xl/comments13.xml"/>
  <Override ContentType="application/vnd.openxmlformats-officedocument.spreadsheetml.comments+xml" PartName="/xl/comments14.xml"/>
  <Override ContentType="application/vnd.openxmlformats-officedocument.spreadsheetml.comments+xml" PartName="/xl/comments15.xml"/>
  <Override ContentType="application/vnd.openxmlformats-officedocument.spreadsheetml.comments+xml" PartName="/xl/comments16.xml"/>
  <Override ContentType="application/vnd.openxmlformats-officedocument.spreadsheetml.comments+xml" PartName="/xl/comments17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openxmlformats-officedocument.spreadsheetml.comments+xml" PartName="/xl/comments8.xml"/>
  <Override ContentType="application/vnd.openxmlformats-officedocument.spreadsheetml.comments+xml" PartName="/xl/comments9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10.xml"/>
  <Override ContentType="application/vnd.openxmlformats-officedocument.spreadsheetml.externalLink+xml" PartName="/xl/externalLinks/externalLink11.xml"/>
  <Override ContentType="application/vnd.openxmlformats-officedocument.spreadsheetml.externalLink+xml" PartName="/xl/externalLinks/externalLink12.xml"/>
  <Override ContentType="application/vnd.openxmlformats-officedocument.spreadsheetml.externalLink+xml" PartName="/xl/externalLinks/externalLink13.xml"/>
  <Override ContentType="application/vnd.openxmlformats-officedocument.spreadsheetml.externalLink+xml" PartName="/xl/externalLinks/externalLink14.xml"/>
  <Override ContentType="application/vnd.openxmlformats-officedocument.spreadsheetml.externalLink+xml" PartName="/xl/externalLinks/externalLink15.xml"/>
  <Override ContentType="application/vnd.openxmlformats-officedocument.spreadsheetml.externalLink+xml" PartName="/xl/externalLinks/externalLink16.xml"/>
  <Override ContentType="application/vnd.openxmlformats-officedocument.spreadsheetml.externalLink+xml" PartName="/xl/externalLinks/externalLink17.xml"/>
  <Override ContentType="application/vnd.openxmlformats-officedocument.spreadsheetml.externalLink+xml" PartName="/xl/externalLinks/externalLink18.xml"/>
  <Override ContentType="application/vnd.openxmlformats-officedocument.spreadsheetml.externalLink+xml" PartName="/xl/externalLinks/externalLink19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20.xml"/>
  <Override ContentType="application/vnd.openxmlformats-officedocument.spreadsheetml.externalLink+xml" PartName="/xl/externalLinks/externalLink21.xml"/>
  <Override ContentType="application/vnd.openxmlformats-officedocument.spreadsheetml.externalLink+xml" PartName="/xl/externalLinks/externalLink22.xml"/>
  <Override ContentType="application/vnd.openxmlformats-officedocument.spreadsheetml.externalLink+xml" PartName="/xl/externalLinks/externalLink23.xml"/>
  <Override ContentType="application/vnd.openxmlformats-officedocument.spreadsheetml.externalLink+xml" PartName="/xl/externalLinks/externalLink24.xml"/>
  <Override ContentType="application/vnd.openxmlformats-officedocument.spreadsheetml.externalLink+xml" PartName="/xl/externalLinks/externalLink25.xml"/>
  <Override ContentType="application/vnd.openxmlformats-officedocument.spreadsheetml.externalLink+xml" PartName="/xl/externalLinks/externalLink26.xml"/>
  <Override ContentType="application/vnd.openxmlformats-officedocument.spreadsheetml.externalLink+xml" PartName="/xl/externalLinks/externalLink27.xml"/>
  <Override ContentType="application/vnd.openxmlformats-officedocument.spreadsheetml.externalLink+xml" PartName="/xl/externalLinks/externalLink28.xml"/>
  <Override ContentType="application/vnd.openxmlformats-officedocument.spreadsheetml.externalLink+xml" PartName="/xl/externalLinks/externalLink29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30.xml"/>
  <Override ContentType="application/vnd.openxmlformats-officedocument.spreadsheetml.externalLink+xml" PartName="/xl/externalLinks/externalLink31.xml"/>
  <Override ContentType="application/vnd.openxmlformats-officedocument.spreadsheetml.externalLink+xml" PartName="/xl/externalLinks/externalLink32.xml"/>
  <Override ContentType="application/vnd.openxmlformats-officedocument.spreadsheetml.externalLink+xml" PartName="/xl/externalLinks/externalLink33.xml"/>
  <Override ContentType="application/vnd.openxmlformats-officedocument.spreadsheetml.externalLink+xml" PartName="/xl/externalLinks/externalLink34.xml"/>
  <Override ContentType="application/vnd.openxmlformats-officedocument.spreadsheetml.externalLink+xml" PartName="/xl/externalLinks/externalLink35.xml"/>
  <Override ContentType="application/vnd.openxmlformats-officedocument.spreadsheetml.externalLink+xml" PartName="/xl/externalLinks/externalLink36.xml"/>
  <Override ContentType="application/vnd.openxmlformats-officedocument.spreadsheetml.externalLink+xml" PartName="/xl/externalLinks/externalLink37.xml"/>
  <Override ContentType="application/vnd.openxmlformats-officedocument.spreadsheetml.externalLink+xml" PartName="/xl/externalLinks/externalLink38.xml"/>
  <Override ContentType="application/vnd.openxmlformats-officedocument.spreadsheetml.externalLink+xml" PartName="/xl/externalLinks/externalLink39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40.xml"/>
  <Override ContentType="application/vnd.openxmlformats-officedocument.spreadsheetml.externalLink+xml" PartName="/xl/externalLinks/externalLink41.xml"/>
  <Override ContentType="application/vnd.openxmlformats-officedocument.spreadsheetml.externalLink+xml" PartName="/xl/externalLinks/externalLink42.xml"/>
  <Override ContentType="application/vnd.openxmlformats-officedocument.spreadsheetml.externalLink+xml" PartName="/xl/externalLinks/externalLink43.xml"/>
  <Override ContentType="application/vnd.openxmlformats-officedocument.spreadsheetml.externalLink+xml" PartName="/xl/externalLinks/externalLink44.xml"/>
  <Override ContentType="application/vnd.openxmlformats-officedocument.spreadsheetml.externalLink+xml" PartName="/xl/externalLinks/externalLink45.xml"/>
  <Override ContentType="application/vnd.openxmlformats-officedocument.spreadsheetml.externalLink+xml" PartName="/xl/externalLinks/externalLink46.xml"/>
  <Override ContentType="application/vnd.openxmlformats-officedocument.spreadsheetml.externalLink+xml" PartName="/xl/externalLinks/externalLink47.xml"/>
  <Override ContentType="application/vnd.openxmlformats-officedocument.spreadsheetml.externalLink+xml" PartName="/xl/externalLinks/externalLink48.xml"/>
  <Override ContentType="application/vnd.openxmlformats-officedocument.spreadsheetml.externalLink+xml" PartName="/xl/externalLinks/externalLink49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50.xml"/>
  <Override ContentType="application/vnd.openxmlformats-officedocument.spreadsheetml.externalLink+xml" PartName="/xl/externalLinks/externalLink51.xml"/>
  <Override ContentType="application/vnd.openxmlformats-officedocument.spreadsheetml.externalLink+xml" PartName="/xl/externalLinks/externalLink52.xml"/>
  <Override ContentType="application/vnd.openxmlformats-officedocument.spreadsheetml.externalLink+xml" PartName="/xl/externalLinks/externalLink53.xml"/>
  <Override ContentType="application/vnd.openxmlformats-officedocument.spreadsheetml.externalLink+xml" PartName="/xl/externalLinks/externalLink54.xml"/>
  <Override ContentType="application/vnd.openxmlformats-officedocument.spreadsheetml.externalLink+xml" PartName="/xl/externalLinks/externalLink55.xml"/>
  <Override ContentType="application/vnd.openxmlformats-officedocument.spreadsheetml.externalLink+xml" PartName="/xl/externalLinks/externalLink6.xml"/>
  <Override ContentType="application/vnd.openxmlformats-officedocument.spreadsheetml.externalLink+xml" PartName="/xl/externalLinks/externalLink7.xml"/>
  <Override ContentType="application/vnd.openxmlformats-officedocument.spreadsheetml.externalLink+xml" PartName="/xl/externalLinks/externalLink8.xml"/>
  <Override ContentType="application/vnd.openxmlformats-officedocument.spreadsheetml.externalLink+xml" PartName="/xl/externalLinks/externalLink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1200" windowWidth="11280" windowHeight="7755" tabRatio="782"/>
  </bookViews>
  <sheets>
    <sheet name="ImportantDisclosures" sheetId="97" r:id="rId1"/>
    <sheet name="DCF" sheetId="22" r:id="rId2"/>
    <sheet name="MW-Cache" sheetId="26" state="veryHidden" r:id="rId3"/>
    <sheet name="IS" sheetId="10" r:id="rId4"/>
    <sheet name="REVS" sheetId="8" r:id="rId5"/>
    <sheet name="BS" sheetId="19" r:id="rId6"/>
    <sheet name="CF" sheetId="20" r:id="rId7"/>
    <sheet name="Debt" sheetId="21" r:id="rId8"/>
    <sheet name="Revlimid_Roll_Up" sheetId="17" r:id="rId9"/>
    <sheet name="MM_US" sheetId="1" r:id="rId10"/>
    <sheet name="MM_EU" sheetId="15" r:id="rId11"/>
    <sheet name="MDS" sheetId="4" r:id="rId12"/>
    <sheet name="Otezla" sheetId="13" r:id="rId13"/>
    <sheet name="Abraxane" sheetId="12" r:id="rId14"/>
    <sheet name="GED0301" sheetId="38" r:id="rId15"/>
    <sheet name="Bluebird --&gt;" sheetId="74" r:id="rId16"/>
    <sheet name="BCMA CAR-T" sheetId="73" r:id="rId17"/>
    <sheet name="Receptos --&gt;" sheetId="66" r:id="rId18"/>
    <sheet name="Ozanimod_RRMS US" sheetId="62" r:id="rId19"/>
    <sheet name="Ozanimod_RRMS ROW" sheetId="63" r:id="rId20"/>
    <sheet name="Ozanimod_UC" sheetId="61" r:id="rId21"/>
    <sheet name="AZ --&gt;" sheetId="65" r:id="rId22"/>
    <sheet name="MEDI4736" sheetId="64" r:id="rId23"/>
    <sheet name="Impact --&gt;" sheetId="90" r:id="rId24"/>
    <sheet name="Fedratinib" sheetId="91" r:id="rId25"/>
    <sheet name="Juno --&gt;" sheetId="79" r:id="rId26"/>
    <sheet name="Juno CAR-T Revs" sheetId="80" r:id="rId27"/>
    <sheet name="DLBCL" sheetId="92" r:id="rId28"/>
    <sheet name="Other NHL" sheetId="93" r:id="rId29"/>
    <sheet name="US BCMA" sheetId="89" r:id="rId30"/>
    <sheet name="IndexInformation" sheetId="98" r:id="rId31"/>
    <sheet name="ModPubIndex" sheetId="99" r:id="rId32"/>
  </sheets>
  <externalReferences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</externalReferences>
  <definedNames>
    <definedName name="_________new1" localSheetId="2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__new1" localSheetId="2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_new1" localSheetId="2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new1" localSheetId="2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new1" localSheetId="2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new1" localSheetId="2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new1" localSheetId="2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a1" localSheetId="27" hidden="1">{"comp1",#N/A,FALSE,"COMPS";"footnotes",#N/A,FALSE,"COMPS"}</definedName>
    <definedName name="__a1" localSheetId="28" hidden="1">{"comp1",#N/A,FALSE,"COMPS";"footnotes",#N/A,FALSE,"COMPS"}</definedName>
    <definedName name="__a1" hidden="1">{"comp1",#N/A,FALSE,"COMPS";"footnotes",#N/A,FALSE,"COMPS"}</definedName>
    <definedName name="__aa1" localSheetId="27" hidden="1">{#N/A,#N/A,TRUE,"Pro Forma";#N/A,#N/A,TRUE,"PF_Bal";#N/A,#N/A,TRUE,"PF_INC";#N/A,#N/A,TRUE,"CBE";#N/A,#N/A,TRUE,"SWK"}</definedName>
    <definedName name="__aa1" localSheetId="28" hidden="1">{#N/A,#N/A,TRUE,"Pro Forma";#N/A,#N/A,TRUE,"PF_Bal";#N/A,#N/A,TRUE,"PF_INC";#N/A,#N/A,TRUE,"CBE";#N/A,#N/A,TRUE,"SWK"}</definedName>
    <definedName name="__aa1" hidden="1">{#N/A,#N/A,TRUE,"Pro Forma";#N/A,#N/A,TRUE,"PF_Bal";#N/A,#N/A,TRUE,"PF_INC";#N/A,#N/A,TRUE,"CBE";#N/A,#N/A,TRUE,"SWK"}</definedName>
    <definedName name="__ab1" localSheetId="27" hidden="1">{"comp1",#N/A,FALSE,"COMPS";"footnotes",#N/A,FALSE,"COMPS"}</definedName>
    <definedName name="__ab1" localSheetId="28" hidden="1">{"comp1",#N/A,FALSE,"COMPS";"footnotes",#N/A,FALSE,"COMPS"}</definedName>
    <definedName name="__ab1" hidden="1">{"comp1",#N/A,FALSE,"COMPS";"footnotes",#N/A,FALSE,"COMPS"}</definedName>
    <definedName name="__ae1" localSheetId="27" hidden="1">{#N/A,#N/A,FALSE,"Calc";#N/A,#N/A,FALSE,"Sensitivity";#N/A,#N/A,FALSE,"LT Earn.Dil.";#N/A,#N/A,FALSE,"Dil. AVP"}</definedName>
    <definedName name="__ae1" localSheetId="28" hidden="1">{#N/A,#N/A,FALSE,"Calc";#N/A,#N/A,FALSE,"Sensitivity";#N/A,#N/A,FALSE,"LT Earn.Dil.";#N/A,#N/A,FALSE,"Dil. AVP"}</definedName>
    <definedName name="__ae1" hidden="1">{#N/A,#N/A,FALSE,"Calc";#N/A,#N/A,FALSE,"Sensitivity";#N/A,#N/A,FALSE,"LT Earn.Dil.";#N/A,#N/A,FALSE,"Dil. AVP"}</definedName>
    <definedName name="__am1" localSheetId="27" hidden="1">{#N/A,#N/A,TRUE,"Pro Forma";#N/A,#N/A,TRUE,"PF_Bal";#N/A,#N/A,TRUE,"PF_INC";#N/A,#N/A,TRUE,"CBE";#N/A,#N/A,TRUE,"SWK"}</definedName>
    <definedName name="__am1" localSheetId="28" hidden="1">{#N/A,#N/A,TRUE,"Pro Forma";#N/A,#N/A,TRUE,"PF_Bal";#N/A,#N/A,TRUE,"PF_INC";#N/A,#N/A,TRUE,"CBE";#N/A,#N/A,TRUE,"SWK"}</definedName>
    <definedName name="__am1" hidden="1">{#N/A,#N/A,TRUE,"Pro Forma";#N/A,#N/A,TRUE,"PF_Bal";#N/A,#N/A,TRUE,"PF_INC";#N/A,#N/A,TRUE,"CBE";#N/A,#N/A,TRUE,"SWK"}</definedName>
    <definedName name="__as1" localSheetId="27" hidden="1">{"comp1",#N/A,FALSE,"COMPS";"footnotes",#N/A,FALSE,"COMPS"}</definedName>
    <definedName name="__as1" localSheetId="28" hidden="1">{"comp1",#N/A,FALSE,"COMPS";"footnotes",#N/A,FALSE,"COMPS"}</definedName>
    <definedName name="__as1" hidden="1">{"comp1",#N/A,FALSE,"COMPS";"footnotes",#N/A,FALSE,"COMPS"}</definedName>
    <definedName name="__f1" localSheetId="27" hidden="1">{"assumption cash",#N/A,TRUE,"Merger";"has gets cash",#N/A,TRUE,"Merger";"accretion dilution",#N/A,TRUE,"Merger";"comparison credit stats",#N/A,TRUE,"Merger";"pf credit stats",#N/A,TRUE,"Merger";"pf sheets",#N/A,TRUE,"Merger"}</definedName>
    <definedName name="__f1" localSheetId="28" hidden="1">{"assumption cash",#N/A,TRUE,"Merger";"has gets cash",#N/A,TRUE,"Merger";"accretion dilution",#N/A,TRUE,"Merger";"comparison credit stats",#N/A,TRUE,"Merger";"pf credit stats",#N/A,TRUE,"Merger";"pf sheets",#N/A,TRUE,"Merger"}</definedName>
    <definedName name="__f1" hidden="1">{"assumption cash",#N/A,TRUE,"Merger";"has gets cash",#N/A,TRUE,"Merger";"accretion dilution",#N/A,TRUE,"Merger";"comparison credit stats",#N/A,TRUE,"Merger";"pf credit stats",#N/A,TRUE,"Merger";"pf sheets",#N/A,TRUE,"Merger"}</definedName>
    <definedName name="__FDS_HYPERLINK_TOGGLE_STATE__" hidden="1">"ON"</definedName>
    <definedName name="__FDS_UNIQUE_RANGE_ID_GENERATOR_COUNTER" hidden="1">1</definedName>
    <definedName name="__ik1" localSheetId="27" hidden="1">{"casespecific",#N/A,FALSE,"Assumptions"}</definedName>
    <definedName name="__ik1" localSheetId="28" hidden="1">{"casespecific",#N/A,FALSE,"Assumptions"}</definedName>
    <definedName name="__ik1" hidden="1">{"casespecific",#N/A,FALSE,"Assumptions"}</definedName>
    <definedName name="__new1" localSheetId="2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1__FDSAUDITLINK__" localSheetId="27" hidden="1">{"fdsup://directions/FAT Viewer?action=UPDATE&amp;creator=factset&amp;DYN_ARGS=TRUE&amp;DOC_NAME=FAT:FQL_AUDITING_CLIENT_TEMPLATE.FAT&amp;display_string=Audit&amp;VAR:KEY=FUDMZMZIRG&amp;VAR:QUERY=RkZfRUJJVERBX0lCKEFOTiwyMDA4KQ==&amp;WINDOW=FIRST_POPUP&amp;HEIGHT=450&amp;WIDTH=450&amp;START_MAXIMI","ZED=FALSE&amp;VAR:CALENDAR=FIVEDAY&amp;VAR:SYMBOL=PFE&amp;VAR:INDEX=0"}</definedName>
    <definedName name="_1__FDSAUDITLINK__" localSheetId="28" hidden="1">{"fdsup://directions/FAT Viewer?action=UPDATE&amp;creator=factset&amp;DYN_ARGS=TRUE&amp;DOC_NAME=FAT:FQL_AUDITING_CLIENT_TEMPLATE.FAT&amp;display_string=Audit&amp;VAR:KEY=FUDMZMZIRG&amp;VAR:QUERY=RkZfRUJJVERBX0lCKEFOTiwyMDA4KQ==&amp;WINDOW=FIRST_POPUP&amp;HEIGHT=450&amp;WIDTH=450&amp;START_MAXIMI","ZED=FALSE&amp;VAR:CALENDAR=FIVEDAY&amp;VAR:SYMBOL=PFE&amp;VAR:INDEX=0"}</definedName>
    <definedName name="_1__FDSAUDITLINK__" hidden="1">{"fdsup://directions/FAT Viewer?action=UPDATE&amp;creator=factset&amp;DYN_ARGS=TRUE&amp;DOC_NAME=FAT:FQL_AUDITING_CLIENT_TEMPLATE.FAT&amp;display_string=Audit&amp;VAR:KEY=FUDMZMZIRG&amp;VAR:QUERY=RkZfRUJJVERBX0lCKEFOTiwyMDA4KQ==&amp;WINDOW=FIRST_POPUP&amp;HEIGHT=450&amp;WIDTH=450&amp;START_MAXIMI","ZED=FALSE&amp;VAR:CALENDAR=FIVEDAY&amp;VAR:SYMBOL=PFE&amp;VAR:INDEX=0"}</definedName>
    <definedName name="_10__FDSAUDITLINK__" localSheetId="27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28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0__FDSAUDITLINK__" localSheetId="27" hidden="1">{"fdsup://directions/FAT Viewer?action=UPDATE&amp;creator=factset&amp;DYN_ARGS=TRUE&amp;DOC_NAME=FAT:FQL_AUDITING_CLIENT_TEMPLATE.FAT&amp;display_string=Audit&amp;VAR:KEY=PSDGZOPMZI&amp;VAR:QUERY=RkZfREVCVChRVFIsMCk=&amp;WINDOW=FIRST_POPUP&amp;HEIGHT=450&amp;WIDTH=450&amp;START_MAXIMIZED=FALSE&amp;VA","R:CALENDAR=FIVEDAY&amp;VAR:SYMBOL=ALXN&amp;VAR:INDEX=0"}</definedName>
    <definedName name="_100__FDSAUDITLINK__" localSheetId="28" hidden="1">{"fdsup://directions/FAT Viewer?action=UPDATE&amp;creator=factset&amp;DYN_ARGS=TRUE&amp;DOC_NAME=FAT:FQL_AUDITING_CLIENT_TEMPLATE.FAT&amp;display_string=Audit&amp;VAR:KEY=PSDGZOPMZI&amp;VAR:QUERY=RkZfREVCVChRVFIsMCk=&amp;WINDOW=FIRST_POPUP&amp;HEIGHT=450&amp;WIDTH=450&amp;START_MAXIMIZED=FALSE&amp;VA","R:CALENDAR=FIVEDAY&amp;VAR:SYMBOL=ALXN&amp;VAR:INDEX=0"}</definedName>
    <definedName name="_100__FDSAUDITLINK__" hidden="1">{"fdsup://directions/FAT Viewer?action=UPDATE&amp;creator=factset&amp;DYN_ARGS=TRUE&amp;DOC_NAME=FAT:FQL_AUDITING_CLIENT_TEMPLATE.FAT&amp;display_string=Audit&amp;VAR:KEY=PSDGZOPMZI&amp;VAR:QUERY=RkZfREVCVChRVFIsMCk=&amp;WINDOW=FIRST_POPUP&amp;HEIGHT=450&amp;WIDTH=450&amp;START_MAXIMIZED=FALSE&amp;VA","R:CALENDAR=FIVEDAY&amp;VAR:SYMBOL=ALXN&amp;VAR:INDEX=0"}</definedName>
    <definedName name="_101__FDSAUDITLINK__" localSheetId="27" hidden="1">{"fdsup://Directions/FactSet Auditing Viewer?action=AUDIT_VALUE&amp;DB=129&amp;ID1=03116210&amp;VALUEID=02001&amp;SDATE=201102&amp;PERIODTYPE=QTR_STD&amp;SCFT=3&amp;window=popup_no_bar&amp;width=385&amp;height=120&amp;START_MAXIMIZED=FALSE&amp;creator=factset&amp;display_string=Audit"}</definedName>
    <definedName name="_101__FDSAUDITLINK__" localSheetId="28" hidden="1">{"fdsup://Directions/FactSet Auditing Viewer?action=AUDIT_VALUE&amp;DB=129&amp;ID1=03116210&amp;VALUEID=02001&amp;SDATE=201102&amp;PERIODTYPE=QTR_STD&amp;SCFT=3&amp;window=popup_no_bar&amp;width=385&amp;height=120&amp;START_MAXIMIZED=FALSE&amp;creator=factset&amp;display_string=Audit"}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Viewer?action=AUDIT_VALUE&amp;DB=129&amp;ID1=03116210&amp;VALUEID=02001&amp;SDATE=201102&amp;PERIODTYPE=QTR_STD&amp;SCFT=3&amp;window=popup_no_bar&amp;width=385&amp;height=120&amp;START_MAXIMIZED=FALSE&amp;creator=factset&amp;display_string=Audit"}</definedName>
    <definedName name="_102__FDSAUDITLINK__" localSheetId="27" hidden="1">{"fdsup://directions/FAT Viewer?action=UPDATE&amp;creator=factset&amp;DYN_ARGS=TRUE&amp;DOC_NAME=FAT:FQL_AUDITING_CLIENT_TEMPLATE.FAT&amp;display_string=Audit&amp;VAR:KEY=VSXYLYBGBQ&amp;VAR:QUERY=RkZfREVCVChRVFIsMCk=&amp;WINDOW=FIRST_POPUP&amp;HEIGHT=450&amp;WIDTH=450&amp;START_MAXIMIZED=FALSE&amp;VA","R:CALENDAR=FIVEDAY&amp;VAR:SYMBOL=AMGN&amp;VAR:INDEX=0"}</definedName>
    <definedName name="_102__FDSAUDITLINK__" localSheetId="28" hidden="1">{"fdsup://directions/FAT Viewer?action=UPDATE&amp;creator=factset&amp;DYN_ARGS=TRUE&amp;DOC_NAME=FAT:FQL_AUDITING_CLIENT_TEMPLATE.FAT&amp;display_string=Audit&amp;VAR:KEY=VSXYLYBGBQ&amp;VAR:QUERY=RkZfREVCVChRVFIsMCk=&amp;WINDOW=FIRST_POPUP&amp;HEIGHT=450&amp;WIDTH=450&amp;START_MAXIMIZED=FALSE&amp;VA","R:CALENDAR=FIVEDAY&amp;VAR:SYMBOL=AMGN&amp;VAR:INDEX=0"}</definedName>
    <definedName name="_102__FDSAUDITLINK__" hidden="1">{"fdsup://directions/FAT Viewer?action=UPDATE&amp;creator=factset&amp;DYN_ARGS=TRUE&amp;DOC_NAME=FAT:FQL_AUDITING_CLIENT_TEMPLATE.FAT&amp;display_string=Audit&amp;VAR:KEY=VSXYLYBGBQ&amp;VAR:QUERY=RkZfREVCVChRVFIsMCk=&amp;WINDOW=FIRST_POPUP&amp;HEIGHT=450&amp;WIDTH=450&amp;START_MAXIMIZED=FALSE&amp;VA","R:CALENDAR=FIVEDAY&amp;VAR:SYMBOL=AMGN&amp;VAR:INDEX=0"}</definedName>
    <definedName name="_103__FDSAUDITLINK__" localSheetId="27" hidden="1">{"fdsup://Directions/FactSet Auditing Viewer?action=AUDIT_VALUE&amp;DB=129&amp;ID1=09062X10&amp;VALUEID=02001&amp;SDATE=201102&amp;PERIODTYPE=QTR_STD&amp;SCFT=3&amp;window=popup_no_bar&amp;width=385&amp;height=120&amp;START_MAXIMIZED=FALSE&amp;creator=factset&amp;display_string=Audit"}</definedName>
    <definedName name="_103__FDSAUDITLINK__" localSheetId="28" hidden="1">{"fdsup://Directions/FactSet Auditing Viewer?action=AUDIT_VALUE&amp;DB=129&amp;ID1=09062X10&amp;VALUEID=02001&amp;SDATE=201102&amp;PERIODTYPE=QTR_STD&amp;SCFT=3&amp;window=popup_no_bar&amp;width=385&amp;height=120&amp;START_MAXIMIZED=FALSE&amp;creator=factset&amp;display_string=Audit"}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Viewer?action=AUDIT_VALUE&amp;DB=129&amp;ID1=09062X10&amp;VALUEID=02001&amp;SDATE=201102&amp;PERIODTYPE=QTR_STD&amp;SCFT=3&amp;window=popup_no_bar&amp;width=385&amp;height=120&amp;START_MAXIMIZED=FALSE&amp;creator=factset&amp;display_string=Audit"}</definedName>
    <definedName name="_104__FDSAUDITLINK__" localSheetId="27" hidden="1">{"fdsup://directions/FAT Viewer?action=UPDATE&amp;creator=factset&amp;DYN_ARGS=TRUE&amp;DOC_NAME=FAT:FQL_AUDITING_CLIENT_TEMPLATE.FAT&amp;display_string=Audit&amp;VAR:KEY=VMDCDAZUDU&amp;VAR:QUERY=RkZfREVCVChRVFIsMCk=&amp;WINDOW=FIRST_POPUP&amp;HEIGHT=450&amp;WIDTH=450&amp;START_MAXIMIZED=FALSE&amp;VA","R:CALENDAR=FIVEDAY&amp;VAR:SYMBOL=BIIB&amp;VAR:INDEX=0"}</definedName>
    <definedName name="_104__FDSAUDITLINK__" localSheetId="28" hidden="1">{"fdsup://directions/FAT Viewer?action=UPDATE&amp;creator=factset&amp;DYN_ARGS=TRUE&amp;DOC_NAME=FAT:FQL_AUDITING_CLIENT_TEMPLATE.FAT&amp;display_string=Audit&amp;VAR:KEY=VMDCDAZUDU&amp;VAR:QUERY=RkZfREVCVChRVFIsMCk=&amp;WINDOW=FIRST_POPUP&amp;HEIGHT=450&amp;WIDTH=450&amp;START_MAXIMIZED=FALSE&amp;VA","R:CALENDAR=FIVEDAY&amp;VAR:SYMBOL=BIIB&amp;VAR:INDEX=0"}</definedName>
    <definedName name="_104__FDSAUDITLINK__" hidden="1">{"fdsup://directions/FAT Viewer?action=UPDATE&amp;creator=factset&amp;DYN_ARGS=TRUE&amp;DOC_NAME=FAT:FQL_AUDITING_CLIENT_TEMPLATE.FAT&amp;display_string=Audit&amp;VAR:KEY=VMDCDAZUDU&amp;VAR:QUERY=RkZfREVCVChRVFIsMCk=&amp;WINDOW=FIRST_POPUP&amp;HEIGHT=450&amp;WIDTH=450&amp;START_MAXIMIZED=FALSE&amp;VA","R:CALENDAR=FIVEDAY&amp;VAR:SYMBOL=BIIB&amp;VAR:INDEX=0"}</definedName>
    <definedName name="_105__FDSAUDITLINK__" localSheetId="27" hidden="1">{"fdsup://Directions/FactSet Auditing Viewer?action=AUDIT_VALUE&amp;DB=129&amp;ID1=15102010&amp;VALUEID=02001&amp;SDATE=201102&amp;PERIODTYPE=QTR_STD&amp;SCFT=3&amp;window=popup_no_bar&amp;width=385&amp;height=120&amp;START_MAXIMIZED=FALSE&amp;creator=factset&amp;display_string=Audit"}</definedName>
    <definedName name="_105__FDSAUDITLINK__" localSheetId="28" hidden="1">{"fdsup://Directions/FactSet Auditing Viewer?action=AUDIT_VALUE&amp;DB=129&amp;ID1=15102010&amp;VALUEID=02001&amp;SDATE=201102&amp;PERIODTYPE=QTR_STD&amp;SCFT=3&amp;window=popup_no_bar&amp;width=385&amp;height=120&amp;START_MAXIMIZED=FALSE&amp;creator=factset&amp;display_string=Audit"}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Viewer?action=AUDIT_VALUE&amp;DB=129&amp;ID1=15102010&amp;VALUEID=02001&amp;SDATE=201102&amp;PERIODTYPE=QTR_STD&amp;SCFT=3&amp;window=popup_no_bar&amp;width=385&amp;height=120&amp;START_MAXIMIZED=FALSE&amp;creator=factset&amp;display_string=Audit"}</definedName>
    <definedName name="_106__FDSAUDITLINK__" localSheetId="27" hidden="1">{"fdsup://directions/FAT Viewer?action=UPDATE&amp;creator=factset&amp;DYN_ARGS=TRUE&amp;DOC_NAME=FAT:FQL_AUDITING_CLIENT_TEMPLATE.FAT&amp;display_string=Audit&amp;VAR:KEY=PAZYDCHIJW&amp;VAR:QUERY=RkZfREVCVChRVFIsMCk=&amp;WINDOW=FIRST_POPUP&amp;HEIGHT=450&amp;WIDTH=450&amp;START_MAXIMIZED=FALSE&amp;VA","R:CALENDAR=FIVEDAY&amp;VAR:SYMBOL=CELG&amp;VAR:INDEX=0"}</definedName>
    <definedName name="_106__FDSAUDITLINK__" localSheetId="28" hidden="1">{"fdsup://directions/FAT Viewer?action=UPDATE&amp;creator=factset&amp;DYN_ARGS=TRUE&amp;DOC_NAME=FAT:FQL_AUDITING_CLIENT_TEMPLATE.FAT&amp;display_string=Audit&amp;VAR:KEY=PAZYDCHIJW&amp;VAR:QUERY=RkZfREVCVChRVFIsMCk=&amp;WINDOW=FIRST_POPUP&amp;HEIGHT=450&amp;WIDTH=450&amp;START_MAXIMIZED=FALSE&amp;VA","R:CALENDAR=FIVEDAY&amp;VAR:SYMBOL=CELG&amp;VAR:INDEX=0"}</definedName>
    <definedName name="_106__FDSAUDITLINK__" hidden="1">{"fdsup://directions/FAT Viewer?action=UPDATE&amp;creator=factset&amp;DYN_ARGS=TRUE&amp;DOC_NAME=FAT:FQL_AUDITING_CLIENT_TEMPLATE.FAT&amp;display_string=Audit&amp;VAR:KEY=PAZYDCHIJW&amp;VAR:QUERY=RkZfREVCVChRVFIsMCk=&amp;WINDOW=FIRST_POPUP&amp;HEIGHT=450&amp;WIDTH=450&amp;START_MAXIMIZED=FALSE&amp;VA","R:CALENDAR=FIVEDAY&amp;VAR:SYMBOL=CELG&amp;VAR:INDEX=0"}</definedName>
    <definedName name="_107__FDSAUDITLINK__" localSheetId="27" hidden="1">{"fdsup://Directions/FactSet Auditing Viewer?action=AUDIT_VALUE&amp;DB=129&amp;ID1=37555810&amp;VALUEID=02001&amp;SDATE=201102&amp;PERIODTYPE=QTR_STD&amp;SCFT=3&amp;window=popup_no_bar&amp;width=385&amp;height=120&amp;START_MAXIMIZED=FALSE&amp;creator=factset&amp;display_string=Audit"}</definedName>
    <definedName name="_107__FDSAUDITLINK__" localSheetId="28" hidden="1">{"fdsup://Directions/FactSet Auditing Viewer?action=AUDIT_VALUE&amp;DB=129&amp;ID1=37555810&amp;VALUEID=02001&amp;SDATE=201102&amp;PERIODTYPE=QTR_STD&amp;SCFT=3&amp;window=popup_no_bar&amp;width=385&amp;height=120&amp;START_MAXIMIZED=FALSE&amp;creator=factset&amp;display_string=Audit"}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Viewer?action=AUDIT_VALUE&amp;DB=129&amp;ID1=37555810&amp;VALUEID=02001&amp;SDATE=201102&amp;PERIODTYPE=QTR_STD&amp;SCFT=3&amp;window=popup_no_bar&amp;width=385&amp;height=120&amp;START_MAXIMIZED=FALSE&amp;creator=factset&amp;display_string=Audit"}</definedName>
    <definedName name="_108__FDSAUDITLINK__" localSheetId="27" hidden="1">{"fdsup://directions/FAT Viewer?action=UPDATE&amp;creator=factset&amp;DYN_ARGS=TRUE&amp;DOC_NAME=FAT:FQL_AUDITING_CLIENT_TEMPLATE.FAT&amp;display_string=Audit&amp;VAR:KEY=JEFCXSDILQ&amp;VAR:QUERY=RkZfREVCVChRVFIsMCk=&amp;WINDOW=FIRST_POPUP&amp;HEIGHT=450&amp;WIDTH=450&amp;START_MAXIMIZED=FALSE&amp;VA","R:CALENDAR=FIVEDAY&amp;VAR:SYMBOL=GILD&amp;VAR:INDEX=0"}</definedName>
    <definedName name="_108__FDSAUDITLINK__" localSheetId="28" hidden="1">{"fdsup://directions/FAT Viewer?action=UPDATE&amp;creator=factset&amp;DYN_ARGS=TRUE&amp;DOC_NAME=FAT:FQL_AUDITING_CLIENT_TEMPLATE.FAT&amp;display_string=Audit&amp;VAR:KEY=JEFCXSDILQ&amp;VAR:QUERY=RkZfREVCVChRVFIsMCk=&amp;WINDOW=FIRST_POPUP&amp;HEIGHT=450&amp;WIDTH=450&amp;START_MAXIMIZED=FALSE&amp;VA","R:CALENDAR=FIVEDAY&amp;VAR:SYMBOL=GILD&amp;VAR:INDEX=0"}</definedName>
    <definedName name="_108__FDSAUDITLINK__" hidden="1">{"fdsup://directions/FAT Viewer?action=UPDATE&amp;creator=factset&amp;DYN_ARGS=TRUE&amp;DOC_NAME=FAT:FQL_AUDITING_CLIENT_TEMPLATE.FAT&amp;display_string=Audit&amp;VAR:KEY=JEFCXSDILQ&amp;VAR:QUERY=RkZfREVCVChRVFIsMCk=&amp;WINDOW=FIRST_POPUP&amp;HEIGHT=450&amp;WIDTH=450&amp;START_MAXIMIZED=FALSE&amp;VA","R:CALENDAR=FIVEDAY&amp;VAR:SYMBOL=GILD&amp;VAR:INDEX=0"}</definedName>
    <definedName name="_109__FDSAUDITLINK__" localSheetId="27" hidden="1">{"fdsup://Directions/FactSet Auditing Viewer?action=AUDIT_VALUE&amp;DB=129&amp;ID1=01849010&amp;VALUEID=02001&amp;SDATE=201102&amp;PERIODTYPE=QTR_STD&amp;SCFT=3&amp;window=popup_no_bar&amp;width=385&amp;height=120&amp;START_MAXIMIZED=FALSE&amp;creator=factset&amp;display_string=Audit"}</definedName>
    <definedName name="_109__FDSAUDITLINK__" localSheetId="28" hidden="1">{"fdsup://Directions/FactSet Auditing Viewer?action=AUDIT_VALUE&amp;DB=129&amp;ID1=01849010&amp;VALUEID=02001&amp;SDATE=201102&amp;PERIODTYPE=QTR_STD&amp;SCFT=3&amp;window=popup_no_bar&amp;width=385&amp;height=120&amp;START_MAXIMIZED=FALSE&amp;creator=factset&amp;display_string=Audit"}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Viewer?action=AUDIT_VALUE&amp;DB=129&amp;ID1=01849010&amp;VALUEID=02001&amp;SDATE=201102&amp;PERIODTYPE=QTR_STD&amp;SCFT=3&amp;window=popup_no_bar&amp;width=385&amp;height=120&amp;START_MAXIMIZED=FALSE&amp;creator=factset&amp;display_string=Audit"}</definedName>
    <definedName name="_11__FDSAUDITLINK__" localSheetId="27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28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0__FDSAUDITLINK__" localSheetId="27" hidden="1">{"fdsup://directions/FAT Viewer?action=UPDATE&amp;creator=factset&amp;DYN_ARGS=TRUE&amp;DOC_NAME=FAT:FQL_AUDITING_CLIENT_TEMPLATE.FAT&amp;display_string=Audit&amp;VAR:KEY=VUZWFCLEDW&amp;VAR:QUERY=RkZfREVCVChRVFIsMCk=&amp;WINDOW=FIRST_POPUP&amp;HEIGHT=450&amp;WIDTH=450&amp;START_MAXIMIZED=FALSE&amp;VA","R:CALENDAR=FIVEDAY&amp;VAR:SYMBOL=AGN&amp;VAR:INDEX=0"}</definedName>
    <definedName name="_110__FDSAUDITLINK__" localSheetId="28" hidden="1">{"fdsup://directions/FAT Viewer?action=UPDATE&amp;creator=factset&amp;DYN_ARGS=TRUE&amp;DOC_NAME=FAT:FQL_AUDITING_CLIENT_TEMPLATE.FAT&amp;display_string=Audit&amp;VAR:KEY=VUZWFCLEDW&amp;VAR:QUERY=RkZfREVCVChRVFIsMCk=&amp;WINDOW=FIRST_POPUP&amp;HEIGHT=450&amp;WIDTH=450&amp;START_MAXIMIZED=FALSE&amp;VA","R:CALENDAR=FIVEDAY&amp;VAR:SYMBOL=AGN&amp;VAR:INDEX=0"}</definedName>
    <definedName name="_110__FDSAUDITLINK__" hidden="1">{"fdsup://directions/FAT Viewer?action=UPDATE&amp;creator=factset&amp;DYN_ARGS=TRUE&amp;DOC_NAME=FAT:FQL_AUDITING_CLIENT_TEMPLATE.FAT&amp;display_string=Audit&amp;VAR:KEY=VUZWFCLEDW&amp;VAR:QUERY=RkZfREVCVChRVFIsMCk=&amp;WINDOW=FIRST_POPUP&amp;HEIGHT=450&amp;WIDTH=450&amp;START_MAXIMIZED=FALSE&amp;VA","R:CALENDAR=FIVEDAY&amp;VAR:SYMBOL=AGN&amp;VAR:INDEX=0"}</definedName>
    <definedName name="_111__FDSAUDITLINK__" localSheetId="27" hidden="1">{"fdsup://Directions/FactSet Auditing Viewer?action=AUDIT_VALUE&amp;DB=129&amp;ID1=15670810&amp;VALUEID=02001&amp;SDATE=201102&amp;PERIODTYPE=QTR_STD&amp;SCFT=3&amp;window=popup_no_bar&amp;width=385&amp;height=120&amp;START_MAXIMIZED=FALSE&amp;creator=factset&amp;display_string=Audit"}</definedName>
    <definedName name="_111__FDSAUDITLINK__" localSheetId="28" hidden="1">{"fdsup://Directions/FactSet Auditing Viewer?action=AUDIT_VALUE&amp;DB=129&amp;ID1=15670810&amp;VALUEID=02001&amp;SDATE=201102&amp;PERIODTYPE=QTR_STD&amp;SCFT=3&amp;window=popup_no_bar&amp;width=385&amp;height=120&amp;START_MAXIMIZED=FALSE&amp;creator=factset&amp;display_string=Audit"}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Viewer?action=AUDIT_VALUE&amp;DB=129&amp;ID1=15670810&amp;VALUEID=02001&amp;SDATE=201102&amp;PERIODTYPE=QTR_STD&amp;SCFT=3&amp;window=popup_no_bar&amp;width=385&amp;height=120&amp;START_MAXIMIZED=FALSE&amp;creator=factset&amp;display_string=Audit"}</definedName>
    <definedName name="_112__FDSAUDITLINK__" localSheetId="27" hidden="1">{"fdsup://directions/FAT Viewer?action=UPDATE&amp;creator=factset&amp;DYN_ARGS=TRUE&amp;DOC_NAME=FAT:FQL_AUDITING_CLIENT_TEMPLATE.FAT&amp;display_string=Audit&amp;VAR:KEY=BCLCTSFIVE&amp;VAR:QUERY=RkZfREVCVChRVFIsMCk=&amp;WINDOW=FIRST_POPUP&amp;HEIGHT=450&amp;WIDTH=450&amp;START_MAXIMIZED=FALSE&amp;VA","R:CALENDAR=FIVEDAY&amp;VAR:SYMBOL=CEPH&amp;VAR:INDEX=0"}</definedName>
    <definedName name="_112__FDSAUDITLINK__" localSheetId="28" hidden="1">{"fdsup://directions/FAT Viewer?action=UPDATE&amp;creator=factset&amp;DYN_ARGS=TRUE&amp;DOC_NAME=FAT:FQL_AUDITING_CLIENT_TEMPLATE.FAT&amp;display_string=Audit&amp;VAR:KEY=BCLCTSFIVE&amp;VAR:QUERY=RkZfREVCVChRVFIsMCk=&amp;WINDOW=FIRST_POPUP&amp;HEIGHT=450&amp;WIDTH=450&amp;START_MAXIMIZED=FALSE&amp;VA","R:CALENDAR=FIVEDAY&amp;VAR:SYMBOL=CEPH&amp;VAR:INDEX=0"}</definedName>
    <definedName name="_112__FDSAUDITLINK__" hidden="1">{"fdsup://directions/FAT Viewer?action=UPDATE&amp;creator=factset&amp;DYN_ARGS=TRUE&amp;DOC_NAME=FAT:FQL_AUDITING_CLIENT_TEMPLATE.FAT&amp;display_string=Audit&amp;VAR:KEY=BCLCTSFIVE&amp;VAR:QUERY=RkZfREVCVChRVFIsMCk=&amp;WINDOW=FIRST_POPUP&amp;HEIGHT=450&amp;WIDTH=450&amp;START_MAXIMIZED=FALSE&amp;VA","R:CALENDAR=FIVEDAY&amp;VAR:SYMBOL=CEPH&amp;VAR:INDEX=0"}</definedName>
    <definedName name="_113__FDSAUDITLINK__" localSheetId="27" hidden="1">{"fdsup://Directions/FactSet Auditing Viewer?action=AUDIT_VALUE&amp;DB=129&amp;ID1=29264F20&amp;VALUEID=02001&amp;SDATE=201102&amp;PERIODTYPE=QTR_STD&amp;SCFT=3&amp;window=popup_no_bar&amp;width=385&amp;height=120&amp;START_MAXIMIZED=FALSE&amp;creator=factset&amp;display_string=Audit"}</definedName>
    <definedName name="_113__FDSAUDITLINK__" localSheetId="28" hidden="1">{"fdsup://Directions/FactSet Auditing Viewer?action=AUDIT_VALUE&amp;DB=129&amp;ID1=29264F20&amp;VALUEID=02001&amp;SDATE=201102&amp;PERIODTYPE=QTR_STD&amp;SCFT=3&amp;window=popup_no_bar&amp;width=385&amp;height=120&amp;START_MAXIMIZED=FALSE&amp;creator=factset&amp;display_string=Audit"}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Viewer?action=AUDIT_VALUE&amp;DB=129&amp;ID1=29264F20&amp;VALUEID=02001&amp;SDATE=201102&amp;PERIODTYPE=QTR_STD&amp;SCFT=3&amp;window=popup_no_bar&amp;width=385&amp;height=120&amp;START_MAXIMIZED=FALSE&amp;creator=factset&amp;display_string=Audit"}</definedName>
    <definedName name="_114__FDSAUDITLINK__" localSheetId="27" hidden="1">{"fdsup://directions/FAT Viewer?action=UPDATE&amp;creator=factset&amp;DYN_ARGS=TRUE&amp;DOC_NAME=FAT:FQL_AUDITING_CLIENT_TEMPLATE.FAT&amp;display_string=Audit&amp;VAR:KEY=VIDYPCHCVC&amp;VAR:QUERY=RkZfREVCVChRVFIsMCk=&amp;WINDOW=FIRST_POPUP&amp;HEIGHT=450&amp;WIDTH=450&amp;START_MAXIMIZED=FALSE&amp;VA","R:CALENDAR=FIVEDAY&amp;VAR:SYMBOL=ENDP&amp;VAR:INDEX=0"}</definedName>
    <definedName name="_114__FDSAUDITLINK__" localSheetId="28" hidden="1">{"fdsup://directions/FAT Viewer?action=UPDATE&amp;creator=factset&amp;DYN_ARGS=TRUE&amp;DOC_NAME=FAT:FQL_AUDITING_CLIENT_TEMPLATE.FAT&amp;display_string=Audit&amp;VAR:KEY=VIDYPCHCVC&amp;VAR:QUERY=RkZfREVCVChRVFIsMCk=&amp;WINDOW=FIRST_POPUP&amp;HEIGHT=450&amp;WIDTH=450&amp;START_MAXIMIZED=FALSE&amp;VA","R:CALENDAR=FIVEDAY&amp;VAR:SYMBOL=ENDP&amp;VAR:INDEX=0"}</definedName>
    <definedName name="_114__FDSAUDITLINK__" hidden="1">{"fdsup://directions/FAT Viewer?action=UPDATE&amp;creator=factset&amp;DYN_ARGS=TRUE&amp;DOC_NAME=FAT:FQL_AUDITING_CLIENT_TEMPLATE.FAT&amp;display_string=Audit&amp;VAR:KEY=VIDYPCHCVC&amp;VAR:QUERY=RkZfREVCVChRVFIsMCk=&amp;WINDOW=FIRST_POPUP&amp;HEIGHT=450&amp;WIDTH=450&amp;START_MAXIMIZED=FALSE&amp;VA","R:CALENDAR=FIVEDAY&amp;VAR:SYMBOL=ENDP&amp;VAR:INDEX=0"}</definedName>
    <definedName name="_115__FDSAUDITLINK__" localSheetId="27" hidden="1">{"fdsup://Directions/FactSet Auditing Viewer?action=AUDIT_VALUE&amp;DB=129&amp;ID1=34583810&amp;VALUEID=02001&amp;SDATE=201101&amp;PERIODTYPE=QTR_STD&amp;SCFT=3&amp;window=popup_no_bar&amp;width=385&amp;height=120&amp;START_MAXIMIZED=FALSE&amp;creator=factset&amp;display_string=Audit"}</definedName>
    <definedName name="_115__FDSAUDITLINK__" localSheetId="28" hidden="1">{"fdsup://Directions/FactSet Auditing Viewer?action=AUDIT_VALUE&amp;DB=129&amp;ID1=34583810&amp;VALUEID=02001&amp;SDATE=201101&amp;PERIODTYPE=QTR_STD&amp;SCFT=3&amp;window=popup_no_bar&amp;width=385&amp;height=120&amp;START_MAXIMIZED=FALSE&amp;creator=factset&amp;display_string=Audit"}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Viewer?action=AUDIT_VALUE&amp;DB=129&amp;ID1=34583810&amp;VALUEID=02001&amp;SDATE=201101&amp;PERIODTYPE=QTR_STD&amp;SCFT=3&amp;window=popup_no_bar&amp;width=385&amp;height=120&amp;START_MAXIMIZED=FALSE&amp;creator=factset&amp;display_string=Audit"}</definedName>
    <definedName name="_116__FDSAUDITLINK__" localSheetId="27" hidden="1">{"fdsup://directions/FAT Viewer?action=UPDATE&amp;creator=factset&amp;DYN_ARGS=TRUE&amp;DOC_NAME=FAT:FQL_AUDITING_CLIENT_TEMPLATE.FAT&amp;display_string=Audit&amp;VAR:KEY=VSVENCJCNO&amp;VAR:QUERY=RkZfREVCVChRVFIsMCk=&amp;WINDOW=FIRST_POPUP&amp;HEIGHT=450&amp;WIDTH=450&amp;START_MAXIMIZED=FALSE&amp;VA","R:CALENDAR=FIVEDAY&amp;VAR:SYMBOL=FRX&amp;VAR:INDEX=0"}</definedName>
    <definedName name="_116__FDSAUDITLINK__" localSheetId="28" hidden="1">{"fdsup://directions/FAT Viewer?action=UPDATE&amp;creator=factset&amp;DYN_ARGS=TRUE&amp;DOC_NAME=FAT:FQL_AUDITING_CLIENT_TEMPLATE.FAT&amp;display_string=Audit&amp;VAR:KEY=VSVENCJCNO&amp;VAR:QUERY=RkZfREVCVChRVFIsMCk=&amp;WINDOW=FIRST_POPUP&amp;HEIGHT=450&amp;WIDTH=450&amp;START_MAXIMIZED=FALSE&amp;VA","R:CALENDAR=FIVEDAY&amp;VAR:SYMBOL=FRX&amp;VAR:INDEX=0"}</definedName>
    <definedName name="_116__FDSAUDITLINK__" hidden="1">{"fdsup://directions/FAT Viewer?action=UPDATE&amp;creator=factset&amp;DYN_ARGS=TRUE&amp;DOC_NAME=FAT:FQL_AUDITING_CLIENT_TEMPLATE.FAT&amp;display_string=Audit&amp;VAR:KEY=VSVENCJCNO&amp;VAR:QUERY=RkZfREVCVChRVFIsMCk=&amp;WINDOW=FIRST_POPUP&amp;HEIGHT=450&amp;WIDTH=450&amp;START_MAXIMIZED=FALSE&amp;VA","R:CALENDAR=FIVEDAY&amp;VAR:SYMBOL=FRX&amp;VAR:INDEX=0"}</definedName>
    <definedName name="_117__FDSAUDITLINK__" localSheetId="27" hidden="1">{"fdsup://Directions/FactSet Auditing Viewer?action=AUDIT_VALUE&amp;DB=129&amp;ID1=47214710&amp;VALUEID=02001&amp;SDATE=201102&amp;PERIODTYPE=QTR_STD&amp;SCFT=3&amp;window=popup_no_bar&amp;width=385&amp;height=120&amp;START_MAXIMIZED=FALSE&amp;creator=factset&amp;display_string=Audit"}</definedName>
    <definedName name="_117__FDSAUDITLINK__" localSheetId="28" hidden="1">{"fdsup://Directions/FactSet Auditing Viewer?action=AUDIT_VALUE&amp;DB=129&amp;ID1=47214710&amp;VALUEID=02001&amp;SDATE=201102&amp;PERIODTYPE=QTR_STD&amp;SCFT=3&amp;window=popup_no_bar&amp;width=385&amp;height=120&amp;START_MAXIMIZED=FALSE&amp;creator=factset&amp;display_string=Audit"}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Viewer?action=AUDIT_VALUE&amp;DB=129&amp;ID1=47214710&amp;VALUEID=02001&amp;SDATE=201102&amp;PERIODTYPE=QTR_STD&amp;SCFT=3&amp;window=popup_no_bar&amp;width=385&amp;height=120&amp;START_MAXIMIZED=FALSE&amp;creator=factset&amp;display_string=Audit"}</definedName>
    <definedName name="_118__FDSAUDITLINK__" localSheetId="27" hidden="1">{"fdsup://directions/FAT Viewer?action=UPDATE&amp;creator=factset&amp;DYN_ARGS=TRUE&amp;DOC_NAME=FAT:FQL_AUDITING_CLIENT_TEMPLATE.FAT&amp;display_string=Audit&amp;VAR:KEY=FUTILMFCBM&amp;VAR:QUERY=RkZfREVCVChRVFIsMCk=&amp;WINDOW=FIRST_POPUP&amp;HEIGHT=450&amp;WIDTH=450&amp;START_MAXIMIZED=FALSE&amp;VA","R:CALENDAR=FIVEDAY&amp;VAR:SYMBOL=JAZZ&amp;VAR:INDEX=0"}</definedName>
    <definedName name="_118__FDSAUDITLINK__" localSheetId="28" hidden="1">{"fdsup://directions/FAT Viewer?action=UPDATE&amp;creator=factset&amp;DYN_ARGS=TRUE&amp;DOC_NAME=FAT:FQL_AUDITING_CLIENT_TEMPLATE.FAT&amp;display_string=Audit&amp;VAR:KEY=FUTILMFCBM&amp;VAR:QUERY=RkZfREVCVChRVFIsMCk=&amp;WINDOW=FIRST_POPUP&amp;HEIGHT=450&amp;WIDTH=450&amp;START_MAXIMIZED=FALSE&amp;VA","R:CALENDAR=FIVEDAY&amp;VAR:SYMBOL=JAZZ&amp;VAR:INDEX=0"}</definedName>
    <definedName name="_118__FDSAUDITLINK__" hidden="1">{"fdsup://directions/FAT Viewer?action=UPDATE&amp;creator=factset&amp;DYN_ARGS=TRUE&amp;DOC_NAME=FAT:FQL_AUDITING_CLIENT_TEMPLATE.FAT&amp;display_string=Audit&amp;VAR:KEY=FUTILMFCBM&amp;VAR:QUERY=RkZfREVCVChRVFIsMCk=&amp;WINDOW=FIRST_POPUP&amp;HEIGHT=450&amp;WIDTH=450&amp;START_MAXIMIZED=FALSE&amp;VA","R:CALENDAR=FIVEDAY&amp;VAR:SYMBOL=JAZZ&amp;VAR:INDEX=0"}</definedName>
    <definedName name="_119__FDSAUDITLINK__" localSheetId="27" hidden="1">{"fdsup://Directions/FactSet Auditing Viewer?action=AUDIT_VALUE&amp;DB=129&amp;ID1=58469030&amp;VALUEID=02001&amp;SDATE=201102&amp;PERIODTYPE=QTR_STD&amp;SCFT=3&amp;window=popup_no_bar&amp;width=385&amp;height=120&amp;START_MAXIMIZED=FALSE&amp;creator=factset&amp;display_string=Audit"}</definedName>
    <definedName name="_119__FDSAUDITLINK__" localSheetId="28" hidden="1">{"fdsup://Directions/FactSet Auditing Viewer?action=AUDIT_VALUE&amp;DB=129&amp;ID1=58469030&amp;VALUEID=02001&amp;SDATE=201102&amp;PERIODTYPE=QTR_STD&amp;SCFT=3&amp;window=popup_no_bar&amp;width=385&amp;height=120&amp;START_MAXIMIZED=FALSE&amp;creator=factset&amp;display_string=Audit"}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Viewer?action=AUDIT_VALUE&amp;DB=129&amp;ID1=58469030&amp;VALUEID=02001&amp;SDATE=201102&amp;PERIODTYPE=QTR_STD&amp;SCFT=3&amp;window=popup_no_bar&amp;width=385&amp;height=120&amp;START_MAXIMIZED=FALSE&amp;creator=factset&amp;display_string=Audit"}</definedName>
    <definedName name="_12__FDSAUDITLINK__" localSheetId="27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28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0__FDSAUDITLINK__" localSheetId="27" hidden="1">{"fdsup://directions/FAT Viewer?action=UPDATE&amp;creator=factset&amp;DYN_ARGS=TRUE&amp;DOC_NAME=FAT:FQL_AUDITING_CLIENT_TEMPLATE.FAT&amp;display_string=Audit&amp;VAR:KEY=FGNOVMBIZI&amp;VAR:QUERY=RkZfREVCVChRVFIsMCk=&amp;WINDOW=FIRST_POPUP&amp;HEIGHT=450&amp;WIDTH=450&amp;START_MAXIMIZED=FALSE&amp;VA","R:CALENDAR=FIVEDAY&amp;VAR:SYMBOL=MRX&amp;VAR:INDEX=0"}</definedName>
    <definedName name="_120__FDSAUDITLINK__" localSheetId="28" hidden="1">{"fdsup://directions/FAT Viewer?action=UPDATE&amp;creator=factset&amp;DYN_ARGS=TRUE&amp;DOC_NAME=FAT:FQL_AUDITING_CLIENT_TEMPLATE.FAT&amp;display_string=Audit&amp;VAR:KEY=FGNOVMBIZI&amp;VAR:QUERY=RkZfREVCVChRVFIsMCk=&amp;WINDOW=FIRST_POPUP&amp;HEIGHT=450&amp;WIDTH=450&amp;START_MAXIMIZED=FALSE&amp;VA","R:CALENDAR=FIVEDAY&amp;VAR:SYMBOL=MRX&amp;VAR:INDEX=0"}</definedName>
    <definedName name="_120__FDSAUDITLINK__" hidden="1">{"fdsup://directions/FAT Viewer?action=UPDATE&amp;creator=factset&amp;DYN_ARGS=TRUE&amp;DOC_NAME=FAT:FQL_AUDITING_CLIENT_TEMPLATE.FAT&amp;display_string=Audit&amp;VAR:KEY=FGNOVMBIZI&amp;VAR:QUERY=RkZfREVCVChRVFIsMCk=&amp;WINDOW=FIRST_POPUP&amp;HEIGHT=450&amp;WIDTH=450&amp;START_MAXIMIZED=FALSE&amp;VA","R:CALENDAR=FIVEDAY&amp;VAR:SYMBOL=MRX&amp;VAR:INDEX=0"}</definedName>
    <definedName name="_121__FDSAUDITLINK__" localSheetId="27" hidden="1">{"fdsup://Directions/FactSet Auditing Viewer?action=AUDIT_VALUE&amp;DB=129&amp;ID1=79543510&amp;VALUEID=02001&amp;SDATE=201102&amp;PERIODTYPE=QTR_STD&amp;SCFT=3&amp;window=popup_no_bar&amp;width=385&amp;height=120&amp;START_MAXIMIZED=FALSE&amp;creator=factset&amp;display_string=Audit"}</definedName>
    <definedName name="_121__FDSAUDITLINK__" localSheetId="28" hidden="1">{"fdsup://Directions/FactSet Auditing Viewer?action=AUDIT_VALUE&amp;DB=129&amp;ID1=79543510&amp;VALUEID=02001&amp;SDATE=201102&amp;PERIODTYPE=QTR_STD&amp;SCFT=3&amp;window=popup_no_bar&amp;width=385&amp;height=120&amp;START_MAXIMIZED=FALSE&amp;creator=factset&amp;display_string=Audit"}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Viewer?action=AUDIT_VALUE&amp;DB=129&amp;ID1=79543510&amp;VALUEID=02001&amp;SDATE=201102&amp;PERIODTYPE=QTR_STD&amp;SCFT=3&amp;window=popup_no_bar&amp;width=385&amp;height=120&amp;START_MAXIMIZED=FALSE&amp;creator=factset&amp;display_string=Audit"}</definedName>
    <definedName name="_122__FDSAUDITLINK__" localSheetId="27" hidden="1">{"fdsup://directions/FAT Viewer?action=UPDATE&amp;creator=factset&amp;DYN_ARGS=TRUE&amp;DOC_NAME=FAT:FQL_AUDITING_CLIENT_TEMPLATE.FAT&amp;display_string=Audit&amp;VAR:KEY=ZUTEFOPYRO&amp;VAR:QUERY=RkZfREVCVChRVFIsMCk=&amp;WINDOW=FIRST_POPUP&amp;HEIGHT=450&amp;WIDTH=450&amp;START_MAXIMIZED=FALSE&amp;VA","R:CALENDAR=FIVEDAY&amp;VAR:SYMBOL=SLXP&amp;VAR:INDEX=0"}</definedName>
    <definedName name="_122__FDSAUDITLINK__" localSheetId="28" hidden="1">{"fdsup://directions/FAT Viewer?action=UPDATE&amp;creator=factset&amp;DYN_ARGS=TRUE&amp;DOC_NAME=FAT:FQL_AUDITING_CLIENT_TEMPLATE.FAT&amp;display_string=Audit&amp;VAR:KEY=ZUTEFOPYRO&amp;VAR:QUERY=RkZfREVCVChRVFIsMCk=&amp;WINDOW=FIRST_POPUP&amp;HEIGHT=450&amp;WIDTH=450&amp;START_MAXIMIZED=FALSE&amp;VA","R:CALENDAR=FIVEDAY&amp;VAR:SYMBOL=SLXP&amp;VAR:INDEX=0"}</definedName>
    <definedName name="_122__FDSAUDITLINK__" hidden="1">{"fdsup://directions/FAT Viewer?action=UPDATE&amp;creator=factset&amp;DYN_ARGS=TRUE&amp;DOC_NAME=FAT:FQL_AUDITING_CLIENT_TEMPLATE.FAT&amp;display_string=Audit&amp;VAR:KEY=ZUTEFOPYRO&amp;VAR:QUERY=RkZfREVCVChRVFIsMCk=&amp;WINDOW=FIRST_POPUP&amp;HEIGHT=450&amp;WIDTH=450&amp;START_MAXIMIZED=FALSE&amp;VA","R:CALENDAR=FIVEDAY&amp;VAR:SYMBOL=SLXP&amp;VAR:INDEX=0"}</definedName>
    <definedName name="_123__FDSAUDITLINK__" localSheetId="27" hidden="1">{"fdsup://directions/FAT Viewer?action=UPDATE&amp;creator=factset&amp;DYN_ARGS=TRUE&amp;DOC_NAME=FAT:FQL_AUDITING_CLIENT_TEMPLATE.FAT&amp;display_string=Audit&amp;VAR:KEY=PYDEHOFGDK&amp;VAR:QUERY=RkZfREVCVChRVFIsMCk=&amp;WINDOW=FIRST_POPUP&amp;HEIGHT=450&amp;WIDTH=450&amp;START_MAXIMIZED=FALSE&amp;VA","R:CALENDAR=FIVEDAY&amp;VAR:SYMBOL=VRX&amp;VAR:INDEX=0"}</definedName>
    <definedName name="_123__FDSAUDITLINK__" localSheetId="28" hidden="1">{"fdsup://directions/FAT Viewer?action=UPDATE&amp;creator=factset&amp;DYN_ARGS=TRUE&amp;DOC_NAME=FAT:FQL_AUDITING_CLIENT_TEMPLATE.FAT&amp;display_string=Audit&amp;VAR:KEY=PYDEHOFGDK&amp;VAR:QUERY=RkZfREVCVChRVFIsMCk=&amp;WINDOW=FIRST_POPUP&amp;HEIGHT=450&amp;WIDTH=450&amp;START_MAXIMIZED=FALSE&amp;VA","R:CALENDAR=FIVEDAY&amp;VAR:SYMBOL=VRX&amp;VAR:INDEX=0"}</definedName>
    <definedName name="_123__FDSAUDITLINK__" hidden="1">{"fdsup://directions/FAT Viewer?action=UPDATE&amp;creator=factset&amp;DYN_ARGS=TRUE&amp;DOC_NAME=FAT:FQL_AUDITING_CLIENT_TEMPLATE.FAT&amp;display_string=Audit&amp;VAR:KEY=PYDEHOFGDK&amp;VAR:QUERY=RkZfREVCVChRVFIsMCk=&amp;WINDOW=FIRST_POPUP&amp;HEIGHT=450&amp;WIDTH=450&amp;START_MAXIMIZED=FALSE&amp;VA","R:CALENDAR=FIVEDAY&amp;VAR:SYMBOL=VRX&amp;VAR:INDEX=0"}</definedName>
    <definedName name="_124__FDSAUDITLINK__" localSheetId="27" hidden="1">{"fdsup://Directions/FactSet Auditing Viewer?action=AUDIT_VALUE&amp;DB=129&amp;ID1=92824110&amp;VALUEID=02001&amp;SDATE=201102&amp;PERIODTYPE=QTR_STD&amp;SCFT=3&amp;window=popup_no_bar&amp;width=385&amp;height=120&amp;START_MAXIMIZED=FALSE&amp;creator=factset&amp;display_string=Audit"}</definedName>
    <definedName name="_124__FDSAUDITLINK__" localSheetId="28" hidden="1">{"fdsup://Directions/FactSet Auditing Viewer?action=AUDIT_VALUE&amp;DB=129&amp;ID1=92824110&amp;VALUEID=02001&amp;SDATE=201102&amp;PERIODTYPE=QTR_STD&amp;SCFT=3&amp;window=popup_no_bar&amp;width=385&amp;height=120&amp;START_MAXIMIZED=FALSE&amp;creator=factset&amp;display_string=Audit"}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Viewer?action=AUDIT_VALUE&amp;DB=129&amp;ID1=92824110&amp;VALUEID=02001&amp;SDATE=201102&amp;PERIODTYPE=QTR_STD&amp;SCFT=3&amp;window=popup_no_bar&amp;width=385&amp;height=120&amp;START_MAXIMIZED=FALSE&amp;creator=factset&amp;display_string=Audit"}</definedName>
    <definedName name="_125__FDSAUDITLINK__" localSheetId="27" hidden="1">{"fdsup://directions/FAT Viewer?action=UPDATE&amp;creator=factset&amp;DYN_ARGS=TRUE&amp;DOC_NAME=FAT:FQL_AUDITING_CLIENT_TEMPLATE.FAT&amp;display_string=Audit&amp;VAR:KEY=VYLUTCPEFG&amp;VAR:QUERY=RkZfREVCVChRVFIsMCk=&amp;WINDOW=FIRST_POPUP&amp;HEIGHT=450&amp;WIDTH=450&amp;START_MAXIMIZED=FALSE&amp;VA","R:CALENDAR=FIVEDAY&amp;VAR:SYMBOL=VPHM&amp;VAR:INDEX=0"}</definedName>
    <definedName name="_125__FDSAUDITLINK__" localSheetId="28" hidden="1">{"fdsup://directions/FAT Viewer?action=UPDATE&amp;creator=factset&amp;DYN_ARGS=TRUE&amp;DOC_NAME=FAT:FQL_AUDITING_CLIENT_TEMPLATE.FAT&amp;display_string=Audit&amp;VAR:KEY=VYLUTCPEFG&amp;VAR:QUERY=RkZfREVCVChRVFIsMCk=&amp;WINDOW=FIRST_POPUP&amp;HEIGHT=450&amp;WIDTH=450&amp;START_MAXIMIZED=FALSE&amp;VA","R:CALENDAR=FIVEDAY&amp;VAR:SYMBOL=VPHM&amp;VAR:INDEX=0"}</definedName>
    <definedName name="_125__FDSAUDITLINK__" hidden="1">{"fdsup://directions/FAT Viewer?action=UPDATE&amp;creator=factset&amp;DYN_ARGS=TRUE&amp;DOC_NAME=FAT:FQL_AUDITING_CLIENT_TEMPLATE.FAT&amp;display_string=Audit&amp;VAR:KEY=VYLUTCPEFG&amp;VAR:QUERY=RkZfREVCVChRVFIsMCk=&amp;WINDOW=FIRST_POPUP&amp;HEIGHT=450&amp;WIDTH=450&amp;START_MAXIMIZED=FALSE&amp;VA","R:CALENDAR=FIVEDAY&amp;VAR:SYMBOL=VPHM&amp;VAR:INDEX=0"}</definedName>
    <definedName name="_126__FDSAUDITLINK__" localSheetId="27" hidden="1">{"fdsup://Directions/FactSet Auditing Viewer?action=AUDIT_VALUE&amp;DB=129&amp;ID1=G9436810&amp;VALUEID=02001&amp;SDATE=201102&amp;PERIODTYPE=QTR_STD&amp;SCFT=3&amp;window=popup_no_bar&amp;width=385&amp;height=120&amp;START_MAXIMIZED=FALSE&amp;creator=factset&amp;display_string=Audit"}</definedName>
    <definedName name="_126__FDSAUDITLINK__" localSheetId="28" hidden="1">{"fdsup://Directions/FactSet Auditing Viewer?action=AUDIT_VALUE&amp;DB=129&amp;ID1=G9436810&amp;VALUEID=02001&amp;SDATE=201102&amp;PERIODTYPE=QTR_STD&amp;SCFT=3&amp;window=popup_no_bar&amp;width=385&amp;height=120&amp;START_MAXIMIZED=FALSE&amp;creator=factset&amp;display_string=Audit"}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Viewer?action=AUDIT_VALUE&amp;DB=129&amp;ID1=G9436810&amp;VALUEID=02001&amp;SDATE=201102&amp;PERIODTYPE=QTR_STD&amp;SCFT=3&amp;window=popup_no_bar&amp;width=385&amp;height=120&amp;START_MAXIMIZED=FALSE&amp;creator=factset&amp;display_string=Audit"}</definedName>
    <definedName name="_127__FDSAUDITLINK__" localSheetId="27" hidden="1">{"fdsup://directions/FAT Viewer?action=UPDATE&amp;creator=factset&amp;DYN_ARGS=TRUE&amp;DOC_NAME=FAT:FQL_AUDITING_CLIENT_TEMPLATE.FAT&amp;display_string=Audit&amp;VAR:KEY=VOFGXWTOLW&amp;VAR:QUERY=RkZfREVCVChRVFIsMCk=&amp;WINDOW=FIRST_POPUP&amp;HEIGHT=450&amp;WIDTH=450&amp;START_MAXIMIZED=FALSE&amp;VA","R:CALENDAR=FIVEDAY&amp;VAR:SYMBOL=WCRX&amp;VAR:INDEX=0"}</definedName>
    <definedName name="_127__FDSAUDITLINK__" localSheetId="28" hidden="1">{"fdsup://directions/FAT Viewer?action=UPDATE&amp;creator=factset&amp;DYN_ARGS=TRUE&amp;DOC_NAME=FAT:FQL_AUDITING_CLIENT_TEMPLATE.FAT&amp;display_string=Audit&amp;VAR:KEY=VOFGXWTOLW&amp;VAR:QUERY=RkZfREVCVChRVFIsMCk=&amp;WINDOW=FIRST_POPUP&amp;HEIGHT=450&amp;WIDTH=450&amp;START_MAXIMIZED=FALSE&amp;VA","R:CALENDAR=FIVEDAY&amp;VAR:SYMBOL=WCRX&amp;VAR:INDEX=0"}</definedName>
    <definedName name="_127__FDSAUDITLINK__" hidden="1">{"fdsup://directions/FAT Viewer?action=UPDATE&amp;creator=factset&amp;DYN_ARGS=TRUE&amp;DOC_NAME=FAT:FQL_AUDITING_CLIENT_TEMPLATE.FAT&amp;display_string=Audit&amp;VAR:KEY=VOFGXWTOLW&amp;VAR:QUERY=RkZfREVCVChRVFIsMCk=&amp;WINDOW=FIRST_POPUP&amp;HEIGHT=450&amp;WIDTH=450&amp;START_MAXIMIZED=FALSE&amp;VA","R:CALENDAR=FIVEDAY&amp;VAR:SYMBOL=WCRX&amp;VAR:INDEX=0"}</definedName>
    <definedName name="_128__FDSAUDITLINK__" localSheetId="27" hidden="1">{"fdsup://Directions/FactSet Auditing Viewer?action=AUDIT_VALUE&amp;DB=129&amp;ID1=42840B10&amp;VALUEID=02001&amp;SDATE=201004&amp;PERIODTYPE=QTR_STD&amp;SCFT=3&amp;window=popup_no_bar&amp;width=385&amp;height=120&amp;START_MAXIMIZED=FALSE&amp;creator=factset&amp;display_string=Audit"}</definedName>
    <definedName name="_128__FDSAUDITLINK__" localSheetId="28" hidden="1">{"fdsup://Directions/FactSet Auditing Viewer?action=AUDIT_VALUE&amp;DB=129&amp;ID1=42840B10&amp;VALUEID=02001&amp;SDATE=201004&amp;PERIODTYPE=QTR_STD&amp;SCFT=3&amp;window=popup_no_bar&amp;width=385&amp;height=120&amp;START_MAXIMIZED=FALSE&amp;creator=factset&amp;display_string=Audit"}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Viewer?action=AUDIT_VALUE&amp;DB=129&amp;ID1=42840B10&amp;VALUEID=02001&amp;SDATE=201004&amp;PERIODTYPE=QTR_STD&amp;SCFT=3&amp;window=popup_no_bar&amp;width=385&amp;height=120&amp;START_MAXIMIZED=FALSE&amp;creator=factset&amp;display_string=Audit"}</definedName>
    <definedName name="_129__FDSAUDITLINK__" localSheetId="27" hidden="1">{"fdsup://directions/FAT Viewer?action=UPDATE&amp;creator=factset&amp;DYN_ARGS=TRUE&amp;DOC_NAME=FAT:FQL_AUDITING_CLIENT_TEMPLATE.FAT&amp;display_string=Audit&amp;VAR:KEY=HQPMJKLSBE&amp;VAR:QUERY=RkZfREVCVChRVFIsMCk=&amp;WINDOW=FIRST_POPUP&amp;HEIGHT=450&amp;WIDTH=450&amp;START_MAXIMIZED=FALSE&amp;VA","R:CALENDAR=FIVEDAY&amp;VAR:SYMBOL=HITK&amp;VAR:INDEX=0"}</definedName>
    <definedName name="_129__FDSAUDITLINK__" localSheetId="28" hidden="1">{"fdsup://directions/FAT Viewer?action=UPDATE&amp;creator=factset&amp;DYN_ARGS=TRUE&amp;DOC_NAME=FAT:FQL_AUDITING_CLIENT_TEMPLATE.FAT&amp;display_string=Audit&amp;VAR:KEY=HQPMJKLSBE&amp;VAR:QUERY=RkZfREVCVChRVFIsMCk=&amp;WINDOW=FIRST_POPUP&amp;HEIGHT=450&amp;WIDTH=450&amp;START_MAXIMIZED=FALSE&amp;VA","R:CALENDAR=FIVEDAY&amp;VAR:SYMBOL=HITK&amp;VAR:INDEX=0"}</definedName>
    <definedName name="_129__FDSAUDITLINK__" hidden="1">{"fdsup://directions/FAT Viewer?action=UPDATE&amp;creator=factset&amp;DYN_ARGS=TRUE&amp;DOC_NAME=FAT:FQL_AUDITING_CLIENT_TEMPLATE.FAT&amp;display_string=Audit&amp;VAR:KEY=HQPMJKLSBE&amp;VAR:QUERY=RkZfREVCVChRVFIsMCk=&amp;WINDOW=FIRST_POPUP&amp;HEIGHT=450&amp;WIDTH=450&amp;START_MAXIMIZED=FALSE&amp;VA","R:CALENDAR=FIVEDAY&amp;VAR:SYMBOL=HITK&amp;VAR:INDEX=0"}</definedName>
    <definedName name="_13__FDSAUDITLINK__" localSheetId="27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28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0__FDSAUDITLINK__" localSheetId="27" hidden="1">{"fdsup://Directions/FactSet Auditing Viewer?action=AUDIT_VALUE&amp;DB=129&amp;ID1=44106010&amp;VALUEID=02001&amp;SDATE=201102&amp;PERIODTYPE=QTR_STD&amp;SCFT=3&amp;window=popup_no_bar&amp;width=385&amp;height=120&amp;START_MAXIMIZED=FALSE&amp;creator=factset&amp;display_string=Audit"}</definedName>
    <definedName name="_130__FDSAUDITLINK__" localSheetId="28" hidden="1">{"fdsup://Directions/FactSet Auditing Viewer?action=AUDIT_VALUE&amp;DB=129&amp;ID1=44106010&amp;VALUEID=02001&amp;SDATE=201102&amp;PERIODTYPE=QTR_STD&amp;SCFT=3&amp;window=popup_no_bar&amp;width=385&amp;height=120&amp;START_MAXIMIZED=FALSE&amp;creator=factset&amp;display_string=Audit"}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Viewer?action=AUDIT_VALUE&amp;DB=129&amp;ID1=44106010&amp;VALUEID=02001&amp;SDATE=201102&amp;PERIODTYPE=QTR_STD&amp;SCFT=3&amp;window=popup_no_bar&amp;width=385&amp;height=120&amp;START_MAXIMIZED=FALSE&amp;creator=factset&amp;display_string=Audit"}</definedName>
    <definedName name="_131__FDSAUDITLINK__" localSheetId="27" hidden="1">{"fdsup://directions/FAT Viewer?action=UPDATE&amp;creator=factset&amp;DYN_ARGS=TRUE&amp;DOC_NAME=FAT:FQL_AUDITING_CLIENT_TEMPLATE.FAT&amp;display_string=Audit&amp;VAR:KEY=JOVQVKXOTE&amp;VAR:QUERY=RkZfREVCVChRVFIsMCk=&amp;WINDOW=FIRST_POPUP&amp;HEIGHT=450&amp;WIDTH=450&amp;START_MAXIMIZED=FALSE&amp;VA","R:CALENDAR=FIVEDAY&amp;VAR:SYMBOL=HSP&amp;VAR:INDEX=0"}</definedName>
    <definedName name="_131__FDSAUDITLINK__" localSheetId="28" hidden="1">{"fdsup://directions/FAT Viewer?action=UPDATE&amp;creator=factset&amp;DYN_ARGS=TRUE&amp;DOC_NAME=FAT:FQL_AUDITING_CLIENT_TEMPLATE.FAT&amp;display_string=Audit&amp;VAR:KEY=JOVQVKXOTE&amp;VAR:QUERY=RkZfREVCVChRVFIsMCk=&amp;WINDOW=FIRST_POPUP&amp;HEIGHT=450&amp;WIDTH=450&amp;START_MAXIMIZED=FALSE&amp;VA","R:CALENDAR=FIVEDAY&amp;VAR:SYMBOL=HSP&amp;VAR:INDEX=0"}</definedName>
    <definedName name="_131__FDSAUDITLINK__" hidden="1">{"fdsup://directions/FAT Viewer?action=UPDATE&amp;creator=factset&amp;DYN_ARGS=TRUE&amp;DOC_NAME=FAT:FQL_AUDITING_CLIENT_TEMPLATE.FAT&amp;display_string=Audit&amp;VAR:KEY=JOVQVKXOTE&amp;VAR:QUERY=RkZfREVCVChRVFIsMCk=&amp;WINDOW=FIRST_POPUP&amp;HEIGHT=450&amp;WIDTH=450&amp;START_MAXIMIZED=FALSE&amp;VA","R:CALENDAR=FIVEDAY&amp;VAR:SYMBOL=HSP&amp;VAR:INDEX=0"}</definedName>
    <definedName name="_132__FDSAUDITLINK__" localSheetId="27" hidden="1">{"fdsup://Directions/FactSet Auditing Viewer?action=AUDIT_VALUE&amp;DB=129&amp;ID1=45256B10&amp;VALUEID=02001&amp;SDATE=201102&amp;PERIODTYPE=QTR_STD&amp;SCFT=3&amp;window=popup_no_bar&amp;width=385&amp;height=120&amp;START_MAXIMIZED=FALSE&amp;creator=factset&amp;display_string=Audit"}</definedName>
    <definedName name="_132__FDSAUDITLINK__" localSheetId="28" hidden="1">{"fdsup://Directions/FactSet Auditing Viewer?action=AUDIT_VALUE&amp;DB=129&amp;ID1=45256B10&amp;VALUEID=02001&amp;SDATE=201102&amp;PERIODTYPE=QTR_STD&amp;SCFT=3&amp;window=popup_no_bar&amp;width=385&amp;height=120&amp;START_MAXIMIZED=FALSE&amp;creator=factset&amp;display_string=Audit"}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Viewer?action=AUDIT_VALUE&amp;DB=129&amp;ID1=45256B10&amp;VALUEID=02001&amp;SDATE=201102&amp;PERIODTYPE=QTR_STD&amp;SCFT=3&amp;window=popup_no_bar&amp;width=385&amp;height=120&amp;START_MAXIMIZED=FALSE&amp;creator=factset&amp;display_string=Audit"}</definedName>
    <definedName name="_133__FDSAUDITLINK__" localSheetId="27" hidden="1">{"fdsup://directions/FAT Viewer?action=UPDATE&amp;creator=factset&amp;DYN_ARGS=TRUE&amp;DOC_NAME=FAT:FQL_AUDITING_CLIENT_TEMPLATE.FAT&amp;display_string=Audit&amp;VAR:KEY=HUNQXUHUPG&amp;VAR:QUERY=RkZfREVCVChRVFIsMCk=&amp;WINDOW=FIRST_POPUP&amp;HEIGHT=450&amp;WIDTH=450&amp;START_MAXIMIZED=FALSE&amp;VA","R:CALENDAR=FIVEDAY&amp;VAR:SYMBOL=IPXL&amp;VAR:INDEX=0"}</definedName>
    <definedName name="_133__FDSAUDITLINK__" localSheetId="28" hidden="1">{"fdsup://directions/FAT Viewer?action=UPDATE&amp;creator=factset&amp;DYN_ARGS=TRUE&amp;DOC_NAME=FAT:FQL_AUDITING_CLIENT_TEMPLATE.FAT&amp;display_string=Audit&amp;VAR:KEY=HUNQXUHUPG&amp;VAR:QUERY=RkZfREVCVChRVFIsMCk=&amp;WINDOW=FIRST_POPUP&amp;HEIGHT=450&amp;WIDTH=450&amp;START_MAXIMIZED=FALSE&amp;VA","R:CALENDAR=FIVEDAY&amp;VAR:SYMBOL=IPXL&amp;VAR:INDEX=0"}</definedName>
    <definedName name="_133__FDSAUDITLINK__" hidden="1">{"fdsup://directions/FAT Viewer?action=UPDATE&amp;creator=factset&amp;DYN_ARGS=TRUE&amp;DOC_NAME=FAT:FQL_AUDITING_CLIENT_TEMPLATE.FAT&amp;display_string=Audit&amp;VAR:KEY=HUNQXUHUPG&amp;VAR:QUERY=RkZfREVCVChRVFIsMCk=&amp;WINDOW=FIRST_POPUP&amp;HEIGHT=450&amp;WIDTH=450&amp;START_MAXIMIZED=FALSE&amp;VA","R:CALENDAR=FIVEDAY&amp;VAR:SYMBOL=IPXL&amp;VAR:INDEX=0"}</definedName>
    <definedName name="_134__FDSAUDITLINK__" localSheetId="27" hidden="1">{"fdsup://Directions/FactSet Auditing Viewer?action=AUDIT_VALUE&amp;DB=129&amp;ID1=62853010&amp;VALUEID=02001&amp;SDATE=201102&amp;PERIODTYPE=QTR_STD&amp;SCFT=3&amp;window=popup_no_bar&amp;width=385&amp;height=120&amp;START_MAXIMIZED=FALSE&amp;creator=factset&amp;display_string=Audit"}</definedName>
    <definedName name="_134__FDSAUDITLINK__" localSheetId="28" hidden="1">{"fdsup://Directions/FactSet Auditing Viewer?action=AUDIT_VALUE&amp;DB=129&amp;ID1=62853010&amp;VALUEID=02001&amp;SDATE=201102&amp;PERIODTYPE=QTR_STD&amp;SCFT=3&amp;window=popup_no_bar&amp;width=385&amp;height=120&amp;START_MAXIMIZED=FALSE&amp;creator=factset&amp;display_string=Audit"}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Viewer?action=AUDIT_VALUE&amp;DB=129&amp;ID1=62853010&amp;VALUEID=02001&amp;SDATE=201102&amp;PERIODTYPE=QTR_STD&amp;SCFT=3&amp;window=popup_no_bar&amp;width=385&amp;height=120&amp;START_MAXIMIZED=FALSE&amp;creator=factset&amp;display_string=Audit"}</definedName>
    <definedName name="_135__FDSAUDITLINK__" localSheetId="27" hidden="1">{"fdsup://directions/FAT Viewer?action=UPDATE&amp;creator=factset&amp;DYN_ARGS=TRUE&amp;DOC_NAME=FAT:FQL_AUDITING_CLIENT_TEMPLATE.FAT&amp;display_string=Audit&amp;VAR:KEY=LGRYPMTCTO&amp;VAR:QUERY=RkZfREVCVChRVFIsMCk=&amp;WINDOW=FIRST_POPUP&amp;HEIGHT=450&amp;WIDTH=450&amp;START_MAXIMIZED=FALSE&amp;VA","R:CALENDAR=FIVEDAY&amp;VAR:SYMBOL=MYL&amp;VAR:INDEX=0"}</definedName>
    <definedName name="_135__FDSAUDITLINK__" localSheetId="28" hidden="1">{"fdsup://directions/FAT Viewer?action=UPDATE&amp;creator=factset&amp;DYN_ARGS=TRUE&amp;DOC_NAME=FAT:FQL_AUDITING_CLIENT_TEMPLATE.FAT&amp;display_string=Audit&amp;VAR:KEY=LGRYPMTCTO&amp;VAR:QUERY=RkZfREVCVChRVFIsMCk=&amp;WINDOW=FIRST_POPUP&amp;HEIGHT=450&amp;WIDTH=450&amp;START_MAXIMIZED=FALSE&amp;VA","R:CALENDAR=FIVEDAY&amp;VAR:SYMBOL=MYL&amp;VAR:INDEX=0"}</definedName>
    <definedName name="_135__FDSAUDITLINK__" hidden="1">{"fdsup://directions/FAT Viewer?action=UPDATE&amp;creator=factset&amp;DYN_ARGS=TRUE&amp;DOC_NAME=FAT:FQL_AUDITING_CLIENT_TEMPLATE.FAT&amp;display_string=Audit&amp;VAR:KEY=LGRYPMTCTO&amp;VAR:QUERY=RkZfREVCVChRVFIsMCk=&amp;WINDOW=FIRST_POPUP&amp;HEIGHT=450&amp;WIDTH=450&amp;START_MAXIMIZED=FALSE&amp;VA","R:CALENDAR=FIVEDAY&amp;VAR:SYMBOL=MYL&amp;VAR:INDEX=0"}</definedName>
    <definedName name="_136__FDSAUDITLINK__" localSheetId="27" hidden="1">{"fdsup://Directions/FactSet Auditing Viewer?action=AUDIT_VALUE&amp;DB=129&amp;ID1=71429010&amp;VALUEID=02001&amp;SDATE=201104&amp;PERIODTYPE=QTR_STD&amp;SCFT=3&amp;window=popup_no_bar&amp;width=385&amp;height=120&amp;START_MAXIMIZED=FALSE&amp;creator=factset&amp;display_string=Audit"}</definedName>
    <definedName name="_136__FDSAUDITLINK__" localSheetId="28" hidden="1">{"fdsup://Directions/FactSet Auditing Viewer?action=AUDIT_VALUE&amp;DB=129&amp;ID1=71429010&amp;VALUEID=02001&amp;SDATE=201104&amp;PERIODTYPE=QTR_STD&amp;SCFT=3&amp;window=popup_no_bar&amp;width=385&amp;height=120&amp;START_MAXIMIZED=FALSE&amp;creator=factset&amp;display_string=Audit"}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Viewer?action=AUDIT_VALUE&amp;DB=129&amp;ID1=71429010&amp;VALUEID=02001&amp;SDATE=201104&amp;PERIODTYPE=QTR_STD&amp;SCFT=3&amp;window=popup_no_bar&amp;width=385&amp;height=120&amp;START_MAXIMIZED=FALSE&amp;creator=factset&amp;display_string=Audit"}</definedName>
    <definedName name="_137__FDSAUDITLINK__" localSheetId="27" hidden="1">{"fdsup://directions/FAT Viewer?action=UPDATE&amp;creator=factset&amp;DYN_ARGS=TRUE&amp;DOC_NAME=FAT:FQL_AUDITING_CLIENT_TEMPLATE.FAT&amp;display_string=Audit&amp;VAR:KEY=LMPYFOLSXK&amp;VAR:QUERY=RkZfREVCVChRVFIsMCk=&amp;WINDOW=FIRST_POPUP&amp;HEIGHT=450&amp;WIDTH=450&amp;START_MAXIMIZED=FALSE&amp;VA","R:CALENDAR=FIVEDAY&amp;VAR:SYMBOL=PRGO&amp;VAR:INDEX=0"}</definedName>
    <definedName name="_137__FDSAUDITLINK__" localSheetId="28" hidden="1">{"fdsup://directions/FAT Viewer?action=UPDATE&amp;creator=factset&amp;DYN_ARGS=TRUE&amp;DOC_NAME=FAT:FQL_AUDITING_CLIENT_TEMPLATE.FAT&amp;display_string=Audit&amp;VAR:KEY=LMPYFOLSXK&amp;VAR:QUERY=RkZfREVCVChRVFIsMCk=&amp;WINDOW=FIRST_POPUP&amp;HEIGHT=450&amp;WIDTH=450&amp;START_MAXIMIZED=FALSE&amp;VA","R:CALENDAR=FIVEDAY&amp;VAR:SYMBOL=PRGO&amp;VAR:INDEX=0"}</definedName>
    <definedName name="_137__FDSAUDITLINK__" hidden="1">{"fdsup://directions/FAT Viewer?action=UPDATE&amp;creator=factset&amp;DYN_ARGS=TRUE&amp;DOC_NAME=FAT:FQL_AUDITING_CLIENT_TEMPLATE.FAT&amp;display_string=Audit&amp;VAR:KEY=LMPYFOLSXK&amp;VAR:QUERY=RkZfREVCVChRVFIsMCk=&amp;WINDOW=FIRST_POPUP&amp;HEIGHT=450&amp;WIDTH=450&amp;START_MAXIMIZED=FALSE&amp;VA","R:CALENDAR=FIVEDAY&amp;VAR:SYMBOL=PRGO&amp;VAR:INDEX=0"}</definedName>
    <definedName name="_138__FDSAUDITLINK__" localSheetId="27" hidden="1">{"fdsup://Directions/FactSet Auditing Viewer?action=AUDIT_VALUE&amp;DB=129&amp;ID1=69888P10&amp;VALUEID=02001&amp;SDATE=201102&amp;PERIODTYPE=QTR_STD&amp;SCFT=3&amp;window=popup_no_bar&amp;width=385&amp;height=120&amp;START_MAXIMIZED=FALSE&amp;creator=factset&amp;display_string=Audit"}</definedName>
    <definedName name="_138__FDSAUDITLINK__" localSheetId="28" hidden="1">{"fdsup://Directions/FactSet Auditing Viewer?action=AUDIT_VALUE&amp;DB=129&amp;ID1=69888P10&amp;VALUEID=02001&amp;SDATE=201102&amp;PERIODTYPE=QTR_STD&amp;SCFT=3&amp;window=popup_no_bar&amp;width=385&amp;height=120&amp;START_MAXIMIZED=FALSE&amp;creator=factset&amp;display_string=Audit"}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Viewer?action=AUDIT_VALUE&amp;DB=129&amp;ID1=69888P10&amp;VALUEID=02001&amp;SDATE=201102&amp;PERIODTYPE=QTR_STD&amp;SCFT=3&amp;window=popup_no_bar&amp;width=385&amp;height=120&amp;START_MAXIMIZED=FALSE&amp;creator=factset&amp;display_string=Audit"}</definedName>
    <definedName name="_139__FDSAUDITLINK__" localSheetId="27" hidden="1">{"fdsup://directions/FAT Viewer?action=UPDATE&amp;creator=factset&amp;DYN_ARGS=TRUE&amp;DOC_NAME=FAT:FQL_AUDITING_CLIENT_TEMPLATE.FAT&amp;display_string=Audit&amp;VAR:KEY=ZSVYTCNSBU&amp;VAR:QUERY=RkZfREVCVChRVFIsMCk=&amp;WINDOW=FIRST_POPUP&amp;HEIGHT=450&amp;WIDTH=450&amp;START_MAXIMIZED=FALSE&amp;VA","R:CALENDAR=FIVEDAY&amp;VAR:SYMBOL=PRX&amp;VAR:INDEX=0"}</definedName>
    <definedName name="_139__FDSAUDITLINK__" localSheetId="28" hidden="1">{"fdsup://directions/FAT Viewer?action=UPDATE&amp;creator=factset&amp;DYN_ARGS=TRUE&amp;DOC_NAME=FAT:FQL_AUDITING_CLIENT_TEMPLATE.FAT&amp;display_string=Audit&amp;VAR:KEY=ZSVYTCNSBU&amp;VAR:QUERY=RkZfREVCVChRVFIsMCk=&amp;WINDOW=FIRST_POPUP&amp;HEIGHT=450&amp;WIDTH=450&amp;START_MAXIMIZED=FALSE&amp;VA","R:CALENDAR=FIVEDAY&amp;VAR:SYMBOL=PRX&amp;VAR:INDEX=0"}</definedName>
    <definedName name="_139__FDSAUDITLINK__" hidden="1">{"fdsup://directions/FAT Viewer?action=UPDATE&amp;creator=factset&amp;DYN_ARGS=TRUE&amp;DOC_NAME=FAT:FQL_AUDITING_CLIENT_TEMPLATE.FAT&amp;display_string=Audit&amp;VAR:KEY=ZSVYTCNSBU&amp;VAR:QUERY=RkZfREVCVChRVFIsMCk=&amp;WINDOW=FIRST_POPUP&amp;HEIGHT=450&amp;WIDTH=450&amp;START_MAXIMIZED=FALSE&amp;VA","R:CALENDAR=FIVEDAY&amp;VAR:SYMBOL=PRX&amp;VAR:INDEX=0"}</definedName>
    <definedName name="_14__FDSAUDITLINK__" localSheetId="27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28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0__FDSAUDITLINK__" localSheetId="27" hidden="1">{"fdsup://Directions/FactSet Auditing Viewer?action=AUDIT_VALUE&amp;DB=129&amp;ID1=78669210&amp;VALUEID=02001&amp;SDATE=201102&amp;PERIODTYPE=QTR_STD&amp;SCFT=3&amp;window=popup_no_bar&amp;width=385&amp;height=120&amp;START_MAXIMIZED=FALSE&amp;creator=factset&amp;display_string=Audit"}</definedName>
    <definedName name="_140__FDSAUDITLINK__" localSheetId="28" hidden="1">{"fdsup://Directions/FactSet Auditing Viewer?action=AUDIT_VALUE&amp;DB=129&amp;ID1=78669210&amp;VALUEID=02001&amp;SDATE=201102&amp;PERIODTYPE=QTR_STD&amp;SCFT=3&amp;window=popup_no_bar&amp;width=385&amp;height=120&amp;START_MAXIMIZED=FALSE&amp;creator=factset&amp;display_string=Audit"}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Viewer?action=AUDIT_VALUE&amp;DB=129&amp;ID1=78669210&amp;VALUEID=02001&amp;SDATE=201102&amp;PERIODTYPE=QTR_STD&amp;SCFT=3&amp;window=popup_no_bar&amp;width=385&amp;height=120&amp;START_MAXIMIZED=FALSE&amp;creator=factset&amp;display_string=Audit"}</definedName>
    <definedName name="_141__FDSAUDITLINK__" localSheetId="27" hidden="1">{"fdsup://directions/FAT Viewer?action=UPDATE&amp;creator=factset&amp;DYN_ARGS=TRUE&amp;DOC_NAME=FAT:FQL_AUDITING_CLIENT_TEMPLATE.FAT&amp;display_string=Audit&amp;VAR:KEY=FGXQXCPORU&amp;VAR:QUERY=RkZfREVCVChRVFIsMCk=&amp;WINDOW=FIRST_POPUP&amp;HEIGHT=450&amp;WIDTH=450&amp;START_MAXIMIZED=FALSE&amp;VA","R:CALENDAR=FIVEDAY&amp;VAR:SYMBOL=SGNT&amp;VAR:INDEX=0"}</definedName>
    <definedName name="_141__FDSAUDITLINK__" localSheetId="28" hidden="1">{"fdsup://directions/FAT Viewer?action=UPDATE&amp;creator=factset&amp;DYN_ARGS=TRUE&amp;DOC_NAME=FAT:FQL_AUDITING_CLIENT_TEMPLATE.FAT&amp;display_string=Audit&amp;VAR:KEY=FGXQXCPORU&amp;VAR:QUERY=RkZfREVCVChRVFIsMCk=&amp;WINDOW=FIRST_POPUP&amp;HEIGHT=450&amp;WIDTH=450&amp;START_MAXIMIZED=FALSE&amp;VA","R:CALENDAR=FIVEDAY&amp;VAR:SYMBOL=SGNT&amp;VAR:INDEX=0"}</definedName>
    <definedName name="_141__FDSAUDITLINK__" hidden="1">{"fdsup://directions/FAT Viewer?action=UPDATE&amp;creator=factset&amp;DYN_ARGS=TRUE&amp;DOC_NAME=FAT:FQL_AUDITING_CLIENT_TEMPLATE.FAT&amp;display_string=Audit&amp;VAR:KEY=FGXQXCPORU&amp;VAR:QUERY=RkZfREVCVChRVFIsMCk=&amp;WINDOW=FIRST_POPUP&amp;HEIGHT=450&amp;WIDTH=450&amp;START_MAXIMIZED=FALSE&amp;VA","R:CALENDAR=FIVEDAY&amp;VAR:SYMBOL=SGNT&amp;VAR:INDEX=0"}</definedName>
    <definedName name="_142__FDSAUDITLINK__" localSheetId="27" hidden="1">{"fdsup://directions/FAT Viewer?action=UPDATE&amp;creator=factset&amp;DYN_ARGS=TRUE&amp;DOC_NAME=FAT:FQL_AUDITING_CLIENT_TEMPLATE.FAT&amp;display_string=Audit&amp;VAR:KEY=POJIJMTWHO&amp;VAR:QUERY=RkZfREVCVChRVFIsMCk=&amp;WINDOW=FIRST_POPUP&amp;HEIGHT=450&amp;WIDTH=450&amp;START_MAXIMIZED=FALSE&amp;VA","R:CALENDAR=FIVEDAY&amp;VAR:SYMBOL=TEVA&amp;VAR:INDEX=0"}</definedName>
    <definedName name="_142__FDSAUDITLINK__" localSheetId="28" hidden="1">{"fdsup://directions/FAT Viewer?action=UPDATE&amp;creator=factset&amp;DYN_ARGS=TRUE&amp;DOC_NAME=FAT:FQL_AUDITING_CLIENT_TEMPLATE.FAT&amp;display_string=Audit&amp;VAR:KEY=POJIJMTWHO&amp;VAR:QUERY=RkZfREVCVChRVFIsMCk=&amp;WINDOW=FIRST_POPUP&amp;HEIGHT=450&amp;WIDTH=450&amp;START_MAXIMIZED=FALSE&amp;VA","R:CALENDAR=FIVEDAY&amp;VAR:SYMBOL=TEVA&amp;VAR:INDEX=0"}</definedName>
    <definedName name="_142__FDSAUDITLINK__" hidden="1">{"fdsup://directions/FAT Viewer?action=UPDATE&amp;creator=factset&amp;DYN_ARGS=TRUE&amp;DOC_NAME=FAT:FQL_AUDITING_CLIENT_TEMPLATE.FAT&amp;display_string=Audit&amp;VAR:KEY=POJIJMTWHO&amp;VAR:QUERY=RkZfREVCVChRVFIsMCk=&amp;WINDOW=FIRST_POPUP&amp;HEIGHT=450&amp;WIDTH=450&amp;START_MAXIMIZED=FALSE&amp;VA","R:CALENDAR=FIVEDAY&amp;VAR:SYMBOL=TEVA&amp;VAR:INDEX=0"}</definedName>
    <definedName name="_143__FDSAUDITLINK__" localSheetId="27" hidden="1">{"fdsup://Directions/FactSet Auditing Viewer?action=AUDIT_VALUE&amp;DB=129&amp;ID1=94268310&amp;VALUEID=02001&amp;SDATE=201102&amp;PERIODTYPE=QTR_STD&amp;SCFT=3&amp;window=popup_no_bar&amp;width=385&amp;height=120&amp;START_MAXIMIZED=FALSE&amp;creator=factset&amp;display_string=Audit"}</definedName>
    <definedName name="_143__FDSAUDITLINK__" localSheetId="28" hidden="1">{"fdsup://Directions/FactSet Auditing Viewer?action=AUDIT_VALUE&amp;DB=129&amp;ID1=94268310&amp;VALUEID=02001&amp;SDATE=201102&amp;PERIODTYPE=QTR_STD&amp;SCFT=3&amp;window=popup_no_bar&amp;width=385&amp;height=120&amp;START_MAXIMIZED=FALSE&amp;creator=factset&amp;display_string=Audit"}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Viewer?action=AUDIT_VALUE&amp;DB=129&amp;ID1=94268310&amp;VALUEID=02001&amp;SDATE=201102&amp;PERIODTYPE=QTR_STD&amp;SCFT=3&amp;window=popup_no_bar&amp;width=385&amp;height=120&amp;START_MAXIMIZED=FALSE&amp;creator=factset&amp;display_string=Audit"}</definedName>
    <definedName name="_144__FDSAUDITLINK__" localSheetId="27" hidden="1">{"fdsup://directions/FAT Viewer?action=UPDATE&amp;creator=factset&amp;DYN_ARGS=TRUE&amp;DOC_NAME=FAT:FQL_AUDITING_CLIENT_TEMPLATE.FAT&amp;display_string=Audit&amp;VAR:KEY=ZIBYFOFQBU&amp;VAR:QUERY=RkZfREVCVChRVFIsMCk=&amp;WINDOW=FIRST_POPUP&amp;HEIGHT=450&amp;WIDTH=450&amp;START_MAXIMIZED=FALSE&amp;VA","R:CALENDAR=FIVEDAY&amp;VAR:SYMBOL=WPI&amp;VAR:INDEX=0"}</definedName>
    <definedName name="_144__FDSAUDITLINK__" localSheetId="28" hidden="1">{"fdsup://directions/FAT Viewer?action=UPDATE&amp;creator=factset&amp;DYN_ARGS=TRUE&amp;DOC_NAME=FAT:FQL_AUDITING_CLIENT_TEMPLATE.FAT&amp;display_string=Audit&amp;VAR:KEY=ZIBYFOFQBU&amp;VAR:QUERY=RkZfREVCVChRVFIsMCk=&amp;WINDOW=FIRST_POPUP&amp;HEIGHT=450&amp;WIDTH=450&amp;START_MAXIMIZED=FALSE&amp;VA","R:CALENDAR=FIVEDAY&amp;VAR:SYMBOL=WPI&amp;VAR:INDEX=0"}</definedName>
    <definedName name="_144__FDSAUDITLINK__" hidden="1">{"fdsup://directions/FAT Viewer?action=UPDATE&amp;creator=factset&amp;DYN_ARGS=TRUE&amp;DOC_NAME=FAT:FQL_AUDITING_CLIENT_TEMPLATE.FAT&amp;display_string=Audit&amp;VAR:KEY=ZIBYFOFQBU&amp;VAR:QUERY=RkZfREVCVChRVFIsMCk=&amp;WINDOW=FIRST_POPUP&amp;HEIGHT=450&amp;WIDTH=450&amp;START_MAXIMIZED=FALSE&amp;VA","R:CALENDAR=FIVEDAY&amp;VAR:SYMBOL=WPI&amp;VAR:INDEX=0"}</definedName>
    <definedName name="_145__FDSAUDITLINK__" localSheetId="27" hidden="1">{"fdsup://directions/FAT Viewer?action=UPDATE&amp;creator=factset&amp;DYN_ARGS=TRUE&amp;DOC_NAME=FAT:FQL_AUDITING_CLIENT_TEMPLATE.FAT&amp;display_string=Audit&amp;VAR:KEY=ZYZQZMRURU&amp;VAR:QUERY=RkZfREVCVChRVFIsMCk=&amp;WINDOW=FIRST_POPUP&amp;HEIGHT=450&amp;WIDTH=450&amp;START_MAXIMIZED=FALSE&amp;VA","R:CALENDAR=FIVEDAY&amp;VAR:SYMBOL=SP50&amp;VAR:INDEX=0"}</definedName>
    <definedName name="_145__FDSAUDITLINK__" localSheetId="28" hidden="1">{"fdsup://directions/FAT Viewer?action=UPDATE&amp;creator=factset&amp;DYN_ARGS=TRUE&amp;DOC_NAME=FAT:FQL_AUDITING_CLIENT_TEMPLATE.FAT&amp;display_string=Audit&amp;VAR:KEY=ZYZQZMRURU&amp;VAR:QUERY=RkZfREVCVChRVFIsMCk=&amp;WINDOW=FIRST_POPUP&amp;HEIGHT=450&amp;WIDTH=450&amp;START_MAXIMIZED=FALSE&amp;VA","R:CALENDAR=FIVEDAY&amp;VAR:SYMBOL=SP50&amp;VAR:INDEX=0"}</definedName>
    <definedName name="_145__FDSAUDITLINK__" hidden="1">{"fdsup://directions/FAT Viewer?action=UPDATE&amp;creator=factset&amp;DYN_ARGS=TRUE&amp;DOC_NAME=FAT:FQL_AUDITING_CLIENT_TEMPLATE.FAT&amp;display_string=Audit&amp;VAR:KEY=ZYZQZMRURU&amp;VAR:QUERY=RkZfREVCVChRVFIsMCk=&amp;WINDOW=FIRST_POPUP&amp;HEIGHT=450&amp;WIDTH=450&amp;START_MAXIMIZED=FALSE&amp;VA","R:CALENDAR=FIVEDAY&amp;VAR:SYMBOL=SP50&amp;VAR:INDEX=0"}</definedName>
    <definedName name="_146__FDSAUDITLINK__" localSheetId="27" hidden="1">{"fdsup://directions/FAT Viewer?action=UPDATE&amp;creator=factset&amp;DYN_ARGS=TRUE&amp;DOC_NAME=FAT:FQL_AUDITING_CLIENT_TEMPLATE.FAT&amp;display_string=Audit&amp;VAR:KEY=ZWXQZQFWZW&amp;VAR:QUERY=RkZfREVCVChRVFIsMCk=&amp;WINDOW=FIRST_POPUP&amp;HEIGHT=450&amp;WIDTH=450&amp;START_MAXIMIZED=FALSE&amp;VA","R:CALENDAR=FIVEDAY&amp;VAR:SYMBOL=SP565&amp;VAR:INDEX=0"}</definedName>
    <definedName name="_146__FDSAUDITLINK__" localSheetId="28" hidden="1">{"fdsup://directions/FAT Viewer?action=UPDATE&amp;creator=factset&amp;DYN_ARGS=TRUE&amp;DOC_NAME=FAT:FQL_AUDITING_CLIENT_TEMPLATE.FAT&amp;display_string=Audit&amp;VAR:KEY=ZWXQZQFWZW&amp;VAR:QUERY=RkZfREVCVChRVFIsMCk=&amp;WINDOW=FIRST_POPUP&amp;HEIGHT=450&amp;WIDTH=450&amp;START_MAXIMIZED=FALSE&amp;VA","R:CALENDAR=FIVEDAY&amp;VAR:SYMBOL=SP565&amp;VAR:INDEX=0"}</definedName>
    <definedName name="_146__FDSAUDITLINK__" hidden="1">{"fdsup://directions/FAT Viewer?action=UPDATE&amp;creator=factset&amp;DYN_ARGS=TRUE&amp;DOC_NAME=FAT:FQL_AUDITING_CLIENT_TEMPLATE.FAT&amp;display_string=Audit&amp;VAR:KEY=ZWXQZQFWZW&amp;VAR:QUERY=RkZfREVCVChRVFIsMCk=&amp;WINDOW=FIRST_POPUP&amp;HEIGHT=450&amp;WIDTH=450&amp;START_MAXIMIZED=FALSE&amp;VA","R:CALENDAR=FIVEDAY&amp;VAR:SYMBOL=SP565&amp;VAR:INDEX=0"}</definedName>
    <definedName name="_147__FDSAUDITLINK__" localSheetId="27" hidden="1">{"fdsup://directions/FAT Viewer?action=UPDATE&amp;creator=factset&amp;DYN_ARGS=TRUE&amp;DOC_NAME=FAT:FQL_AUDITING_CLIENT_TEMPLATE.FAT&amp;display_string=Audit&amp;VAR:KEY=DSDATGHMDG&amp;VAR:QUERY=RkZfREVCVChRVFIsMCk=&amp;WINDOW=FIRST_POPUP&amp;HEIGHT=450&amp;WIDTH=450&amp;START_MAXIMIZED=FALSE&amp;VA","R:CALENDAR=FIVEDAY&amp;VAR:SYMBOL=DRG&amp;VAR:INDEX=0"}</definedName>
    <definedName name="_147__FDSAUDITLINK__" localSheetId="28" hidden="1">{"fdsup://directions/FAT Viewer?action=UPDATE&amp;creator=factset&amp;DYN_ARGS=TRUE&amp;DOC_NAME=FAT:FQL_AUDITING_CLIENT_TEMPLATE.FAT&amp;display_string=Audit&amp;VAR:KEY=DSDATGHMDG&amp;VAR:QUERY=RkZfREVCVChRVFIsMCk=&amp;WINDOW=FIRST_POPUP&amp;HEIGHT=450&amp;WIDTH=450&amp;START_MAXIMIZED=FALSE&amp;VA","R:CALENDAR=FIVEDAY&amp;VAR:SYMBOL=DRG&amp;VAR:INDEX=0"}</definedName>
    <definedName name="_147__FDSAUDITLINK__" hidden="1">{"fdsup://directions/FAT Viewer?action=UPDATE&amp;creator=factset&amp;DYN_ARGS=TRUE&amp;DOC_NAME=FAT:FQL_AUDITING_CLIENT_TEMPLATE.FAT&amp;display_string=Audit&amp;VAR:KEY=DSDATGHMDG&amp;VAR:QUERY=RkZfREVCVChRVFIsMCk=&amp;WINDOW=FIRST_POPUP&amp;HEIGHT=450&amp;WIDTH=450&amp;START_MAXIMIZED=FALSE&amp;VA","R:CALENDAR=FIVEDAY&amp;VAR:SYMBOL=DRG&amp;VAR:INDEX=0"}</definedName>
    <definedName name="_15__FDSAUDITLINK__" localSheetId="27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28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27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28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7__FDSAUDITLINK__" localSheetId="27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28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8__FDSAUDITLINK__" localSheetId="27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28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27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28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__FDSAUDITLINK__" localSheetId="27" hidden="1">{"fdsup://directions/FAT Viewer?action=UPDATE&amp;creator=factset&amp;DYN_ARGS=TRUE&amp;DOC_NAME=FAT:FQL_AUDITING_CLIENT_TEMPLATE.FAT&amp;display_string=Audit&amp;VAR:KEY=ZMPOLWNEPK&amp;VAR:QUERY=RkZfRUJJVERBX0lCKEFOTiwyMDA3KQ==&amp;WINDOW=FIRST_POPUP&amp;HEIGHT=450&amp;WIDTH=450&amp;START_MAXIMI","ZED=FALSE&amp;VAR:CALENDAR=FIVEDAY&amp;VAR:SYMBOL=PFE&amp;VAR:INDEX=0"}</definedName>
    <definedName name="_2__FDSAUDITLINK__" localSheetId="28" hidden="1">{"fdsup://directions/FAT Viewer?action=UPDATE&amp;creator=factset&amp;DYN_ARGS=TRUE&amp;DOC_NAME=FAT:FQL_AUDITING_CLIENT_TEMPLATE.FAT&amp;display_string=Audit&amp;VAR:KEY=ZMPOLWNEPK&amp;VAR:QUERY=RkZfRUJJVERBX0lCKEFOTiwyMDA3KQ==&amp;WINDOW=FIRST_POPUP&amp;HEIGHT=450&amp;WIDTH=450&amp;START_MAXIMI","ZED=FALSE&amp;VAR:CALENDAR=FIVEDAY&amp;VAR:SYMBOL=PFE&amp;VAR:INDEX=0"}</definedName>
    <definedName name="_2__FDSAUDITLINK__" hidden="1">{"fdsup://directions/FAT Viewer?action=UPDATE&amp;creator=factset&amp;DYN_ARGS=TRUE&amp;DOC_NAME=FAT:FQL_AUDITING_CLIENT_TEMPLATE.FAT&amp;display_string=Audit&amp;VAR:KEY=ZMPOLWNEPK&amp;VAR:QUERY=RkZfRUJJVERBX0lCKEFOTiwyMDA3KQ==&amp;WINDOW=FIRST_POPUP&amp;HEIGHT=450&amp;WIDTH=450&amp;START_MAXIMI","ZED=FALSE&amp;VAR:CALENDAR=FIVEDAY&amp;VAR:SYMBOL=PFE&amp;VAR:INDEX=0"}</definedName>
    <definedName name="_20__FDSAUDITLINK__" localSheetId="27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28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27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28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27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28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27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28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27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28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27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28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27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28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27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28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27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28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9__FDSAUDITLINK__" localSheetId="27" hidden="1">{"fdsup://directions/FAT Viewer?action=UPDATE&amp;creator=factset&amp;DYN_ARGS=TRUE&amp;DOC_NAME=FAT:FQL_AUDITING_CLIENT_TEMPLATE.FAT&amp;display_string=Audit&amp;VAR:KEY=PUPARQXUXG&amp;VAR:QUERY=RkZfUEFZX09VVF9SQVRJTyhBTk4sTk9XKQ==&amp;WINDOW=FIRST_POPUP&amp;HEIGHT=450&amp;WIDTH=450&amp;START_MA","XIMIZED=FALSE&amp;VAR:CALENDAR=FIVEDAY&amp;VAR:SYMBOL=AMGN&amp;VAR:INDEX=0"}</definedName>
    <definedName name="_29__FDSAUDITLINK__" localSheetId="28" hidden="1">{"fdsup://directions/FAT Viewer?action=UPDATE&amp;creator=factset&amp;DYN_ARGS=TRUE&amp;DOC_NAME=FAT:FQL_AUDITING_CLIENT_TEMPLATE.FAT&amp;display_string=Audit&amp;VAR:KEY=PUPARQXUXG&amp;VAR:QUERY=RkZfUEFZX09VVF9SQVRJTyhBTk4sTk9XKQ==&amp;WINDOW=FIRST_POPUP&amp;HEIGHT=450&amp;WIDTH=450&amp;START_MA","XIMIZED=FALSE&amp;VAR:CALENDAR=FIVEDAY&amp;VAR:SYMBOL=AMGN&amp;VAR:INDEX=0"}</definedName>
    <definedName name="_29__FDSAUDITLINK__" hidden="1">{"fdsup://directions/FAT Viewer?action=UPDATE&amp;creator=factset&amp;DYN_ARGS=TRUE&amp;DOC_NAME=FAT:FQL_AUDITING_CLIENT_TEMPLATE.FAT&amp;display_string=Audit&amp;VAR:KEY=PUPARQXUXG&amp;VAR:QUERY=RkZfUEFZX09VVF9SQVRJTyhBTk4sTk9XKQ==&amp;WINDOW=FIRST_POPUP&amp;HEIGHT=450&amp;WIDTH=450&amp;START_MA","XIMIZED=FALSE&amp;VAR:CALENDAR=FIVEDAY&amp;VAR:SYMBOL=AMGN&amp;VAR:INDEX=0"}</definedName>
    <definedName name="_3__FDSAUDITLINK__" localSheetId="27" hidden="1">{"fdsup://directions/FAT Viewer?action=UPDATE&amp;creator=factset&amp;DYN_ARGS=TRUE&amp;DOC_NAME=FAT:FQL_AUDITING_CLIENT_TEMPLATE.FAT&amp;display_string=Audit&amp;VAR:KEY=JELGTKDCPC&amp;VAR:QUERY=RkZfRUJJVERBX0lCKEFOTiwyMDA2KQ==&amp;WINDOW=FIRST_POPUP&amp;HEIGHT=450&amp;WIDTH=450&amp;START_MAXIMI","ZED=FALSE&amp;VAR:CALENDAR=FIVEDAY&amp;VAR:SYMBOL=PFE&amp;VAR:INDEX=0"}</definedName>
    <definedName name="_3__FDSAUDITLINK__" localSheetId="28" hidden="1">{"fdsup://directions/FAT Viewer?action=UPDATE&amp;creator=factset&amp;DYN_ARGS=TRUE&amp;DOC_NAME=FAT:FQL_AUDITING_CLIENT_TEMPLATE.FAT&amp;display_string=Audit&amp;VAR:KEY=JELGTKDCPC&amp;VAR:QUERY=RkZfRUJJVERBX0lCKEFOTiwyMDA2KQ==&amp;WINDOW=FIRST_POPUP&amp;HEIGHT=450&amp;WIDTH=450&amp;START_MAXIMI","ZED=FALSE&amp;VAR:CALENDAR=FIVEDAY&amp;VAR:SYMBOL=PFE&amp;VAR:INDEX=0"}</definedName>
    <definedName name="_3__FDSAUDITLINK__" hidden="1">{"fdsup://directions/FAT Viewer?action=UPDATE&amp;creator=factset&amp;DYN_ARGS=TRUE&amp;DOC_NAME=FAT:FQL_AUDITING_CLIENT_TEMPLATE.FAT&amp;display_string=Audit&amp;VAR:KEY=JELGTKDCPC&amp;VAR:QUERY=RkZfRUJJVERBX0lCKEFOTiwyMDA2KQ==&amp;WINDOW=FIRST_POPUP&amp;HEIGHT=450&amp;WIDTH=450&amp;START_MAXIMI","ZED=FALSE&amp;VAR:CALENDAR=FIVEDAY&amp;VAR:SYMBOL=PFE&amp;VAR:INDEX=0"}</definedName>
    <definedName name="_30__FDSAUDITLINK__" localSheetId="27" hidden="1">{"fdsup://directions/FAT Viewer?action=UPDATE&amp;creator=factset&amp;DYN_ARGS=TRUE&amp;DOC_NAME=FAT:FQL_AUDITING_CLIENT_TEMPLATE.FAT&amp;display_string=Audit&amp;VAR:KEY=NOBIVMNGPE&amp;VAR:QUERY=RkZfUEFZX09VVF9SQVRJTyhBTk4sTk9XKQ==&amp;WINDOW=FIRST_POPUP&amp;HEIGHT=450&amp;WIDTH=450&amp;START_MA","XIMIZED=FALSE&amp;VAR:CALENDAR=FIVEDAY&amp;VAR:SYMBOL=ALXN&amp;VAR:INDEX=0"}</definedName>
    <definedName name="_30__FDSAUDITLINK__" localSheetId="28" hidden="1">{"fdsup://directions/FAT Viewer?action=UPDATE&amp;creator=factset&amp;DYN_ARGS=TRUE&amp;DOC_NAME=FAT:FQL_AUDITING_CLIENT_TEMPLATE.FAT&amp;display_string=Audit&amp;VAR:KEY=NOBIVMNGPE&amp;VAR:QUERY=RkZfUEFZX09VVF9SQVRJTyhBTk4sTk9XKQ==&amp;WINDOW=FIRST_POPUP&amp;HEIGHT=450&amp;WIDTH=450&amp;START_MA","XIMIZED=FALSE&amp;VAR:CALENDAR=FIVEDAY&amp;VAR:SYMBOL=ALXN&amp;VAR:INDEX=0"}</definedName>
    <definedName name="_30__FDSAUDITLINK__" hidden="1">{"fdsup://directions/FAT Viewer?action=UPDATE&amp;creator=factset&amp;DYN_ARGS=TRUE&amp;DOC_NAME=FAT:FQL_AUDITING_CLIENT_TEMPLATE.FAT&amp;display_string=Audit&amp;VAR:KEY=NOBIVMNGPE&amp;VAR:QUERY=RkZfUEFZX09VVF9SQVRJTyhBTk4sTk9XKQ==&amp;WINDOW=FIRST_POPUP&amp;HEIGHT=450&amp;WIDTH=450&amp;START_MA","XIMIZED=FALSE&amp;VAR:CALENDAR=FIVEDAY&amp;VAR:SYMBOL=ALXN&amp;VAR:INDEX=0"}</definedName>
    <definedName name="_38__FDSAUDITLINK__" localSheetId="27" hidden="1">{"fdsup://directions/FAT Viewer?action=UPDATE&amp;creator=factset&amp;DYN_ARGS=TRUE&amp;DOC_NAME=FAT:FQL_AUDITING_CLIENT_TEMPLATE.FAT&amp;display_string=Audit&amp;VAR:KEY=NQHQDUZKFC&amp;VAR:QUERY=RkZfUEFZX09VVF9SQVRJTyhBTk4sTk9XKQ==&amp;WINDOW=FIRST_POPUP&amp;HEIGHT=450&amp;WIDTH=450&amp;START_MA","XIMIZED=FALSE&amp;VAR:CALENDAR=FIVEDAY&amp;VAR:SYMBOL=BAYRY&amp;VAR:INDEX=0"}</definedName>
    <definedName name="_38__FDSAUDITLINK__" localSheetId="28" hidden="1">{"fdsup://directions/FAT Viewer?action=UPDATE&amp;creator=factset&amp;DYN_ARGS=TRUE&amp;DOC_NAME=FAT:FQL_AUDITING_CLIENT_TEMPLATE.FAT&amp;display_string=Audit&amp;VAR:KEY=NQHQDUZKFC&amp;VAR:QUERY=RkZfUEFZX09VVF9SQVRJTyhBTk4sTk9XKQ==&amp;WINDOW=FIRST_POPUP&amp;HEIGHT=450&amp;WIDTH=450&amp;START_MA","XIMIZED=FALSE&amp;VAR:CALENDAR=FIVEDAY&amp;VAR:SYMBOL=BAYRY&amp;VAR:INDEX=0"}</definedName>
    <definedName name="_38__FDSAUDITLINK__" hidden="1">{"fdsup://directions/FAT Viewer?action=UPDATE&amp;creator=factset&amp;DYN_ARGS=TRUE&amp;DOC_NAME=FAT:FQL_AUDITING_CLIENT_TEMPLATE.FAT&amp;display_string=Audit&amp;VAR:KEY=NQHQDUZKFC&amp;VAR:QUERY=RkZfUEFZX09VVF9SQVRJTyhBTk4sTk9XKQ==&amp;WINDOW=FIRST_POPUP&amp;HEIGHT=450&amp;WIDTH=450&amp;START_MA","XIMIZED=FALSE&amp;VAR:CALENDAR=FIVEDAY&amp;VAR:SYMBOL=BAYRY&amp;VAR:INDEX=0"}</definedName>
    <definedName name="_39__FDSAUDITLINK__" localSheetId="27" hidden="1">{"fdsup://directions/FAT Viewer?action=UPDATE&amp;creator=factset&amp;DYN_ARGS=TRUE&amp;DOC_NAME=FAT:FQL_AUDITING_CLIENT_TEMPLATE.FAT&amp;display_string=Audit&amp;VAR:KEY=LOPGHWHAPU&amp;VAR:QUERY=RkZfUEFZX09VVF9SQVRJTyhBTk4sTk9XKQ==&amp;WINDOW=FIRST_POPUP&amp;HEIGHT=450&amp;WIDTH=450&amp;START_MA","XIMIZED=FALSE&amp;VAR:CALENDAR=FIVEDAY&amp;VAR:SYMBOL=AZN&amp;VAR:INDEX=0"}</definedName>
    <definedName name="_39__FDSAUDITLINK__" localSheetId="28" hidden="1">{"fdsup://directions/FAT Viewer?action=UPDATE&amp;creator=factset&amp;DYN_ARGS=TRUE&amp;DOC_NAME=FAT:FQL_AUDITING_CLIENT_TEMPLATE.FAT&amp;display_string=Audit&amp;VAR:KEY=LOPGHWHAPU&amp;VAR:QUERY=RkZfUEFZX09VVF9SQVRJTyhBTk4sTk9XKQ==&amp;WINDOW=FIRST_POPUP&amp;HEIGHT=450&amp;WIDTH=450&amp;START_MA","XIMIZED=FALSE&amp;VAR:CALENDAR=FIVEDAY&amp;VAR:SYMBOL=AZN&amp;VAR:INDEX=0"}</definedName>
    <definedName name="_39__FDSAUDITLINK__" hidden="1">{"fdsup://directions/FAT Viewer?action=UPDATE&amp;creator=factset&amp;DYN_ARGS=TRUE&amp;DOC_NAME=FAT:FQL_AUDITING_CLIENT_TEMPLATE.FAT&amp;display_string=Audit&amp;VAR:KEY=LOPGHWHAPU&amp;VAR:QUERY=RkZfUEFZX09VVF9SQVRJTyhBTk4sTk9XKQ==&amp;WINDOW=FIRST_POPUP&amp;HEIGHT=450&amp;WIDTH=450&amp;START_MA","XIMIZED=FALSE&amp;VAR:CALENDAR=FIVEDAY&amp;VAR:SYMBOL=AZN&amp;VAR:INDEX=0"}</definedName>
    <definedName name="_4__FDSAUDITLINK__" localSheetId="27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4__FDSAUDITLINK__" localSheetId="28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4__FDSAUDITLINK__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40__FDSAUDITLINK__" localSheetId="27" hidden="1">{"fdsup://directions/FAT Viewer?action=UPDATE&amp;creator=factset&amp;DYN_ARGS=TRUE&amp;DOC_NAME=FAT:FQL_AUDITING_CLIENT_TEMPLATE.FAT&amp;display_string=Audit&amp;VAR:KEY=ZCLCRSDAPS&amp;VAR:QUERY=RkZfUEFZX09VVF9SQVRJTyhBTk4sTk9XKQ==&amp;WINDOW=FIRST_POPUP&amp;HEIGHT=450&amp;WIDTH=450&amp;START_MA","XIMIZED=FALSE&amp;VAR:CALENDAR=FIVEDAY&amp;VAR:SYMBOL=PFE&amp;VAR:INDEX=0"}</definedName>
    <definedName name="_40__FDSAUDITLINK__" localSheetId="28" hidden="1">{"fdsup://directions/FAT Viewer?action=UPDATE&amp;creator=factset&amp;DYN_ARGS=TRUE&amp;DOC_NAME=FAT:FQL_AUDITING_CLIENT_TEMPLATE.FAT&amp;display_string=Audit&amp;VAR:KEY=ZCLCRSDAPS&amp;VAR:QUERY=RkZfUEFZX09VVF9SQVRJTyhBTk4sTk9XKQ==&amp;WINDOW=FIRST_POPUP&amp;HEIGHT=450&amp;WIDTH=450&amp;START_MA","XIMIZED=FALSE&amp;VAR:CALENDAR=FIVEDAY&amp;VAR:SYMBOL=PFE&amp;VAR:INDEX=0"}</definedName>
    <definedName name="_40__FDSAUDITLINK__" hidden="1">{"fdsup://directions/FAT Viewer?action=UPDATE&amp;creator=factset&amp;DYN_ARGS=TRUE&amp;DOC_NAME=FAT:FQL_AUDITING_CLIENT_TEMPLATE.FAT&amp;display_string=Audit&amp;VAR:KEY=ZCLCRSDAPS&amp;VAR:QUERY=RkZfUEFZX09VVF9SQVRJTyhBTk4sTk9XKQ==&amp;WINDOW=FIRST_POPUP&amp;HEIGHT=450&amp;WIDTH=450&amp;START_MA","XIMIZED=FALSE&amp;VAR:CALENDAR=FIVEDAY&amp;VAR:SYMBOL=PFE&amp;VAR:INDEX=0"}</definedName>
    <definedName name="_41__FDSAUDITLINK__" localSheetId="27" hidden="1">{"fdsup://directions/FAT Viewer?action=UPDATE&amp;creator=factset&amp;DYN_ARGS=TRUE&amp;DOC_NAME=FAT:FQL_AUDITING_CLIENT_TEMPLATE.FAT&amp;display_string=Audit&amp;VAR:KEY=BYLCVWFIZG&amp;VAR:QUERY=RkZfUEFZX09VVF9SQVRJTyhBTk4sTk9XKQ==&amp;WINDOW=FIRST_POPUP&amp;HEIGHT=450&amp;WIDTH=450&amp;START_MA","XIMIZED=FALSE&amp;VAR:CALENDAR=FIVEDAY&amp;VAR:SYMBOL=MRK&amp;VAR:INDEX=0"}</definedName>
    <definedName name="_41__FDSAUDITLINK__" localSheetId="28" hidden="1">{"fdsup://directions/FAT Viewer?action=UPDATE&amp;creator=factset&amp;DYN_ARGS=TRUE&amp;DOC_NAME=FAT:FQL_AUDITING_CLIENT_TEMPLATE.FAT&amp;display_string=Audit&amp;VAR:KEY=BYLCVWFIZG&amp;VAR:QUERY=RkZfUEFZX09VVF9SQVRJTyhBTk4sTk9XKQ==&amp;WINDOW=FIRST_POPUP&amp;HEIGHT=450&amp;WIDTH=450&amp;START_MA","XIMIZED=FALSE&amp;VAR:CALENDAR=FIVEDAY&amp;VAR:SYMBOL=MRK&amp;VAR:INDEX=0"}</definedName>
    <definedName name="_41__FDSAUDITLINK__" hidden="1">{"fdsup://directions/FAT Viewer?action=UPDATE&amp;creator=factset&amp;DYN_ARGS=TRUE&amp;DOC_NAME=FAT:FQL_AUDITING_CLIENT_TEMPLATE.FAT&amp;display_string=Audit&amp;VAR:KEY=BYLCVWFIZG&amp;VAR:QUERY=RkZfUEFZX09VVF9SQVRJTyhBTk4sTk9XKQ==&amp;WINDOW=FIRST_POPUP&amp;HEIGHT=450&amp;WIDTH=450&amp;START_MA","XIMIZED=FALSE&amp;VAR:CALENDAR=FIVEDAY&amp;VAR:SYMBOL=MRK&amp;VAR:INDEX=0"}</definedName>
    <definedName name="_42__FDSAUDITLINK__" localSheetId="27" hidden="1">{"fdsup://directions/FAT Viewer?action=UPDATE&amp;creator=factset&amp;DYN_ARGS=TRUE&amp;DOC_NAME=FAT:FQL_AUDITING_CLIENT_TEMPLATE.FAT&amp;display_string=Audit&amp;VAR:KEY=ZIRGRQDQTW&amp;VAR:QUERY=RkZfUEFZX09VVF9SQVRJTyhBTk4sTk9XKQ==&amp;WINDOW=FIRST_POPUP&amp;HEIGHT=450&amp;WIDTH=450&amp;START_MA","XIMIZED=FALSE&amp;VAR:CALENDAR=FIVEDAY&amp;VAR:SYMBOL=LLY&amp;VAR:INDEX=0"}</definedName>
    <definedName name="_42__FDSAUDITLINK__" localSheetId="28" hidden="1">{"fdsup://directions/FAT Viewer?action=UPDATE&amp;creator=factset&amp;DYN_ARGS=TRUE&amp;DOC_NAME=FAT:FQL_AUDITING_CLIENT_TEMPLATE.FAT&amp;display_string=Audit&amp;VAR:KEY=ZIRGRQDQTW&amp;VAR:QUERY=RkZfUEFZX09VVF9SQVRJTyhBTk4sTk9XKQ==&amp;WINDOW=FIRST_POPUP&amp;HEIGHT=450&amp;WIDTH=450&amp;START_MA","XIMIZED=FALSE&amp;VAR:CALENDAR=FIVEDAY&amp;VAR:SYMBOL=LLY&amp;VAR:INDEX=0"}</definedName>
    <definedName name="_42__FDSAUDITLINK__" hidden="1">{"fdsup://directions/FAT Viewer?action=UPDATE&amp;creator=factset&amp;DYN_ARGS=TRUE&amp;DOC_NAME=FAT:FQL_AUDITING_CLIENT_TEMPLATE.FAT&amp;display_string=Audit&amp;VAR:KEY=ZIRGRQDQTW&amp;VAR:QUERY=RkZfUEFZX09VVF9SQVRJTyhBTk4sTk9XKQ==&amp;WINDOW=FIRST_POPUP&amp;HEIGHT=450&amp;WIDTH=450&amp;START_MA","XIMIZED=FALSE&amp;VAR:CALENDAR=FIVEDAY&amp;VAR:SYMBOL=LLY&amp;VAR:INDEX=0"}</definedName>
    <definedName name="_43__FDSAUDITLINK__" localSheetId="27" hidden="1">{"fdsup://directions/FAT Viewer?action=UPDATE&amp;creator=factset&amp;DYN_ARGS=TRUE&amp;DOC_NAME=FAT:FQL_AUDITING_CLIENT_TEMPLATE.FAT&amp;display_string=Audit&amp;VAR:KEY=NEPKPEBABG&amp;VAR:QUERY=RkZfUEFZX09VVF9SQVRJTyhBTk4sTk9XKQ==&amp;WINDOW=FIRST_POPUP&amp;HEIGHT=450&amp;WIDTH=450&amp;START_MA","XIMIZED=FALSE&amp;VAR:CALENDAR=FIVEDAY&amp;VAR:SYMBOL=JNJ&amp;VAR:INDEX=0"}</definedName>
    <definedName name="_43__FDSAUDITLINK__" localSheetId="28" hidden="1">{"fdsup://directions/FAT Viewer?action=UPDATE&amp;creator=factset&amp;DYN_ARGS=TRUE&amp;DOC_NAME=FAT:FQL_AUDITING_CLIENT_TEMPLATE.FAT&amp;display_string=Audit&amp;VAR:KEY=NEPKPEBABG&amp;VAR:QUERY=RkZfUEFZX09VVF9SQVRJTyhBTk4sTk9XKQ==&amp;WINDOW=FIRST_POPUP&amp;HEIGHT=450&amp;WIDTH=450&amp;START_MA","XIMIZED=FALSE&amp;VAR:CALENDAR=FIVEDAY&amp;VAR:SYMBOL=JNJ&amp;VAR:INDEX=0"}</definedName>
    <definedName name="_43__FDSAUDITLINK__" hidden="1">{"fdsup://directions/FAT Viewer?action=UPDATE&amp;creator=factset&amp;DYN_ARGS=TRUE&amp;DOC_NAME=FAT:FQL_AUDITING_CLIENT_TEMPLATE.FAT&amp;display_string=Audit&amp;VAR:KEY=NEPKPEBABG&amp;VAR:QUERY=RkZfUEFZX09VVF9SQVRJTyhBTk4sTk9XKQ==&amp;WINDOW=FIRST_POPUP&amp;HEIGHT=450&amp;WIDTH=450&amp;START_MA","XIMIZED=FALSE&amp;VAR:CALENDAR=FIVEDAY&amp;VAR:SYMBOL=JNJ&amp;VAR:INDEX=0"}</definedName>
    <definedName name="_44__FDSAUDITLINK__" localSheetId="27" hidden="1">{"fdsup://directions/FAT Viewer?action=UPDATE&amp;creator=factset&amp;DYN_ARGS=TRUE&amp;DOC_NAME=FAT:FQL_AUDITING_CLIENT_TEMPLATE.FAT&amp;display_string=Audit&amp;VAR:KEY=DCPCRGJOXS&amp;VAR:QUERY=RkZfUEFZX09VVF9SQVRJTyhBTk4sTk9XKQ==&amp;WINDOW=FIRST_POPUP&amp;HEIGHT=450&amp;WIDTH=450&amp;START_MA","XIMIZED=FALSE&amp;VAR:CALENDAR=FIVEDAY&amp;VAR:SYMBOL=BMY&amp;VAR:INDEX=0"}</definedName>
    <definedName name="_44__FDSAUDITLINK__" localSheetId="28" hidden="1">{"fdsup://directions/FAT Viewer?action=UPDATE&amp;creator=factset&amp;DYN_ARGS=TRUE&amp;DOC_NAME=FAT:FQL_AUDITING_CLIENT_TEMPLATE.FAT&amp;display_string=Audit&amp;VAR:KEY=DCPCRGJOXS&amp;VAR:QUERY=RkZfUEFZX09VVF9SQVRJTyhBTk4sTk9XKQ==&amp;WINDOW=FIRST_POPUP&amp;HEIGHT=450&amp;WIDTH=450&amp;START_MA","XIMIZED=FALSE&amp;VAR:CALENDAR=FIVEDAY&amp;VAR:SYMBOL=BMY&amp;VAR:INDEX=0"}</definedName>
    <definedName name="_44__FDSAUDITLINK__" hidden="1">{"fdsup://directions/FAT Viewer?action=UPDATE&amp;creator=factset&amp;DYN_ARGS=TRUE&amp;DOC_NAME=FAT:FQL_AUDITING_CLIENT_TEMPLATE.FAT&amp;display_string=Audit&amp;VAR:KEY=DCPCRGJOXS&amp;VAR:QUERY=RkZfUEFZX09VVF9SQVRJTyhBTk4sTk9XKQ==&amp;WINDOW=FIRST_POPUP&amp;HEIGHT=450&amp;WIDTH=450&amp;START_MA","XIMIZED=FALSE&amp;VAR:CALENDAR=FIVEDAY&amp;VAR:SYMBOL=BMY&amp;VAR:INDEX=0"}</definedName>
    <definedName name="_45__FDSAUDITLINK__" localSheetId="27" hidden="1">{"fdsup://directions/FAT Viewer?action=UPDATE&amp;creator=factset&amp;DYN_ARGS=TRUE&amp;DOC_NAME=FAT:FQL_AUDITING_CLIENT_TEMPLATE.FAT&amp;display_string=Audit&amp;VAR:KEY=ZYZAZOHSNG&amp;VAR:QUERY=RkZfUEFZX09VVF9SQVRJTyhBTk4sTk9XKQ==&amp;WINDOW=FIRST_POPUP&amp;HEIGHT=450&amp;WIDTH=450&amp;START_MA","XIMIZED=FALSE&amp;VAR:CALENDAR=FIVEDAY&amp;VAR:SYMBOL=ABT&amp;VAR:INDEX=0"}</definedName>
    <definedName name="_45__FDSAUDITLINK__" localSheetId="28" hidden="1">{"fdsup://directions/FAT Viewer?action=UPDATE&amp;creator=factset&amp;DYN_ARGS=TRUE&amp;DOC_NAME=FAT:FQL_AUDITING_CLIENT_TEMPLATE.FAT&amp;display_string=Audit&amp;VAR:KEY=ZYZAZOHSNG&amp;VAR:QUERY=RkZfUEFZX09VVF9SQVRJTyhBTk4sTk9XKQ==&amp;WINDOW=FIRST_POPUP&amp;HEIGHT=450&amp;WIDTH=450&amp;START_MA","XIMIZED=FALSE&amp;VAR:CALENDAR=FIVEDAY&amp;VAR:SYMBOL=ABT&amp;VAR:INDEX=0"}</definedName>
    <definedName name="_45__FDSAUDITLINK__" hidden="1">{"fdsup://directions/FAT Viewer?action=UPDATE&amp;creator=factset&amp;DYN_ARGS=TRUE&amp;DOC_NAME=FAT:FQL_AUDITING_CLIENT_TEMPLATE.FAT&amp;display_string=Audit&amp;VAR:KEY=ZYZAZOHSNG&amp;VAR:QUERY=RkZfUEFZX09VVF9SQVRJTyhBTk4sTk9XKQ==&amp;WINDOW=FIRST_POPUP&amp;HEIGHT=450&amp;WIDTH=450&amp;START_MA","XIMIZED=FALSE&amp;VAR:CALENDAR=FIVEDAY&amp;VAR:SYMBOL=ABT&amp;VAR:INDEX=0"}</definedName>
    <definedName name="_46__FDSAUDITLINK__" localSheetId="27" hidden="1">{"fdsup://directions/FAT Viewer?action=UPDATE&amp;creator=factset&amp;DYN_ARGS=TRUE&amp;DOC_NAME=FAT:FQL_AUDITING_CLIENT_TEMPLATE.FAT&amp;display_string=Audit&amp;VAR:KEY=BCPWDIXCDW&amp;VAR:QUERY=RkZfSU5WRVNUX0xUKFFUUiwwKQ==&amp;WINDOW=FIRST_POPUP&amp;HEIGHT=450&amp;WIDTH=450&amp;START_MAXIMIZED=","FALSE&amp;VAR:CALENDAR=FIVEDAY&amp;VAR:SYMBOL=DRG&amp;VAR:INDEX=0"}</definedName>
    <definedName name="_46__FDSAUDITLINK__" localSheetId="28" hidden="1">{"fdsup://directions/FAT Viewer?action=UPDATE&amp;creator=factset&amp;DYN_ARGS=TRUE&amp;DOC_NAME=FAT:FQL_AUDITING_CLIENT_TEMPLATE.FAT&amp;display_string=Audit&amp;VAR:KEY=BCPWDIXCDW&amp;VAR:QUERY=RkZfSU5WRVNUX0xUKFFUUiwwKQ==&amp;WINDOW=FIRST_POPUP&amp;HEIGHT=450&amp;WIDTH=450&amp;START_MAXIMIZED=","FALSE&amp;VAR:CALENDAR=FIVEDAY&amp;VAR:SYMBOL=DRG&amp;VAR:INDEX=0"}</definedName>
    <definedName name="_46__FDSAUDITLINK__" hidden="1">{"fdsup://directions/FAT Viewer?action=UPDATE&amp;creator=factset&amp;DYN_ARGS=TRUE&amp;DOC_NAME=FAT:FQL_AUDITING_CLIENT_TEMPLATE.FAT&amp;display_string=Audit&amp;VAR:KEY=BCPWDIXCDW&amp;VAR:QUERY=RkZfSU5WRVNUX0xUKFFUUiwwKQ==&amp;WINDOW=FIRST_POPUP&amp;HEIGHT=450&amp;WIDTH=450&amp;START_MAXIMIZED=","FALSE&amp;VAR:CALENDAR=FIVEDAY&amp;VAR:SYMBOL=DRG&amp;VAR:INDEX=0"}</definedName>
    <definedName name="_47__FDSAUDITLINK__" localSheetId="27" hidden="1">{"fdsup://directions/FAT Viewer?action=UPDATE&amp;creator=factset&amp;DYN_ARGS=TRUE&amp;DOC_NAME=FAT:FQL_AUDITING_CLIENT_TEMPLATE.FAT&amp;display_string=Audit&amp;VAR:KEY=TEDYJYHWRU&amp;VAR:QUERY=RkZfSU5WRVNUX0xUKFFUUiwwKQ==&amp;WINDOW=FIRST_POPUP&amp;HEIGHT=450&amp;WIDTH=450&amp;START_MAXIMIZED=","FALSE&amp;VAR:CALENDAR=FIVEDAY&amp;VAR:SYMBOL=SP565&amp;VAR:INDEX=0"}</definedName>
    <definedName name="_47__FDSAUDITLINK__" localSheetId="28" hidden="1">{"fdsup://directions/FAT Viewer?action=UPDATE&amp;creator=factset&amp;DYN_ARGS=TRUE&amp;DOC_NAME=FAT:FQL_AUDITING_CLIENT_TEMPLATE.FAT&amp;display_string=Audit&amp;VAR:KEY=TEDYJYHWRU&amp;VAR:QUERY=RkZfSU5WRVNUX0xUKFFUUiwwKQ==&amp;WINDOW=FIRST_POPUP&amp;HEIGHT=450&amp;WIDTH=450&amp;START_MAXIMIZED=","FALSE&amp;VAR:CALENDAR=FIVEDAY&amp;VAR:SYMBOL=SP565&amp;VAR:INDEX=0"}</definedName>
    <definedName name="_47__FDSAUDITLINK__" hidden="1">{"fdsup://directions/FAT Viewer?action=UPDATE&amp;creator=factset&amp;DYN_ARGS=TRUE&amp;DOC_NAME=FAT:FQL_AUDITING_CLIENT_TEMPLATE.FAT&amp;display_string=Audit&amp;VAR:KEY=TEDYJYHWRU&amp;VAR:QUERY=RkZfSU5WRVNUX0xUKFFUUiwwKQ==&amp;WINDOW=FIRST_POPUP&amp;HEIGHT=450&amp;WIDTH=450&amp;START_MAXIMIZED=","FALSE&amp;VAR:CALENDAR=FIVEDAY&amp;VAR:SYMBOL=SP565&amp;VAR:INDEX=0"}</definedName>
    <definedName name="_48__FDSAUDITLINK__" localSheetId="27" hidden="1">{"fdsup://directions/FAT Viewer?action=UPDATE&amp;creator=factset&amp;DYN_ARGS=TRUE&amp;DOC_NAME=FAT:FQL_AUDITING_CLIENT_TEMPLATE.FAT&amp;display_string=Audit&amp;VAR:KEY=DSLAREBAXY&amp;VAR:QUERY=RkZfSU5WRVNUX0xUKFFUUiwwKQ==&amp;WINDOW=FIRST_POPUP&amp;HEIGHT=450&amp;WIDTH=450&amp;START_MAXIMIZED=","FALSE&amp;VAR:CALENDAR=FIVEDAY&amp;VAR:SYMBOL=SP50&amp;VAR:INDEX=0"}</definedName>
    <definedName name="_48__FDSAUDITLINK__" localSheetId="28" hidden="1">{"fdsup://directions/FAT Viewer?action=UPDATE&amp;creator=factset&amp;DYN_ARGS=TRUE&amp;DOC_NAME=FAT:FQL_AUDITING_CLIENT_TEMPLATE.FAT&amp;display_string=Audit&amp;VAR:KEY=DSLAREBAXY&amp;VAR:QUERY=RkZfSU5WRVNUX0xUKFFUUiwwKQ==&amp;WINDOW=FIRST_POPUP&amp;HEIGHT=450&amp;WIDTH=450&amp;START_MAXIMIZED=","FALSE&amp;VAR:CALENDAR=FIVEDAY&amp;VAR:SYMBOL=SP50&amp;VAR:INDEX=0"}</definedName>
    <definedName name="_48__FDSAUDITLINK__" hidden="1">{"fdsup://directions/FAT Viewer?action=UPDATE&amp;creator=factset&amp;DYN_ARGS=TRUE&amp;DOC_NAME=FAT:FQL_AUDITING_CLIENT_TEMPLATE.FAT&amp;display_string=Audit&amp;VAR:KEY=DSLAREBAXY&amp;VAR:QUERY=RkZfSU5WRVNUX0xUKFFUUiwwKQ==&amp;WINDOW=FIRST_POPUP&amp;HEIGHT=450&amp;WIDTH=450&amp;START_MAXIMIZED=","FALSE&amp;VAR:CALENDAR=FIVEDAY&amp;VAR:SYMBOL=SP50&amp;VAR:INDEX=0"}</definedName>
    <definedName name="_49__FDSAUDITLINK__" localSheetId="27" hidden="1">{"fdsup://directions/FAT Viewer?action=UPDATE&amp;creator=factset&amp;DYN_ARGS=TRUE&amp;DOC_NAME=FAT:FQL_AUDITING_CLIENT_TEMPLATE.FAT&amp;display_string=Audit&amp;VAR:KEY=BCRAPSHKZU&amp;VAR:QUERY=RkZfSU5WRVNUX0xUKFFUUiwwKQ==&amp;WINDOW=FIRST_POPUP&amp;HEIGHT=450&amp;WIDTH=450&amp;START_MAXIMIZED=","FALSE&amp;VAR:CALENDAR=FIVEDAY&amp;VAR:SYMBOL=WPI&amp;VAR:INDEX=0"}</definedName>
    <definedName name="_49__FDSAUDITLINK__" localSheetId="28" hidden="1">{"fdsup://directions/FAT Viewer?action=UPDATE&amp;creator=factset&amp;DYN_ARGS=TRUE&amp;DOC_NAME=FAT:FQL_AUDITING_CLIENT_TEMPLATE.FAT&amp;display_string=Audit&amp;VAR:KEY=BCRAPSHKZU&amp;VAR:QUERY=RkZfSU5WRVNUX0xUKFFUUiwwKQ==&amp;WINDOW=FIRST_POPUP&amp;HEIGHT=450&amp;WIDTH=450&amp;START_MAXIMIZED=","FALSE&amp;VAR:CALENDAR=FIVEDAY&amp;VAR:SYMBOL=WPI&amp;VAR:INDEX=0"}</definedName>
    <definedName name="_49__FDSAUDITLINK__" hidden="1">{"fdsup://directions/FAT Viewer?action=UPDATE&amp;creator=factset&amp;DYN_ARGS=TRUE&amp;DOC_NAME=FAT:FQL_AUDITING_CLIENT_TEMPLATE.FAT&amp;display_string=Audit&amp;VAR:KEY=BCRAPSHKZU&amp;VAR:QUERY=RkZfSU5WRVNUX0xUKFFUUiwwKQ==&amp;WINDOW=FIRST_POPUP&amp;HEIGHT=450&amp;WIDTH=450&amp;START_MAXIMIZED=","FALSE&amp;VAR:CALENDAR=FIVEDAY&amp;VAR:SYMBOL=WPI&amp;VAR:INDEX=0"}</definedName>
    <definedName name="_5__FDSAUDITLINK__" localSheetId="27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5__FDSAUDITLINK__" localSheetId="28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5__FDSAUDITLINK__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50__FDSAUDITLINK__" localSheetId="27" hidden="1">{"fdsup://directions/FAT Viewer?action=UPDATE&amp;creator=factset&amp;DYN_ARGS=TRUE&amp;DOC_NAME=FAT:FQL_AUDITING_CLIENT_TEMPLATE.FAT&amp;display_string=Audit&amp;VAR:KEY=DKBYXGNAJE&amp;VAR:QUERY=RkZfSU5WRVNUX0xUKFFUUiwwKQ==&amp;WINDOW=FIRST_POPUP&amp;HEIGHT=450&amp;WIDTH=450&amp;START_MAXIMIZED=","FALSE&amp;VAR:CALENDAR=FIVEDAY&amp;VAR:SYMBOL=TEVA&amp;VAR:INDEX=0"}</definedName>
    <definedName name="_50__FDSAUDITLINK__" localSheetId="28" hidden="1">{"fdsup://directions/FAT Viewer?action=UPDATE&amp;creator=factset&amp;DYN_ARGS=TRUE&amp;DOC_NAME=FAT:FQL_AUDITING_CLIENT_TEMPLATE.FAT&amp;display_string=Audit&amp;VAR:KEY=DKBYXGNAJE&amp;VAR:QUERY=RkZfSU5WRVNUX0xUKFFUUiwwKQ==&amp;WINDOW=FIRST_POPUP&amp;HEIGHT=450&amp;WIDTH=450&amp;START_MAXIMIZED=","FALSE&amp;VAR:CALENDAR=FIVEDAY&amp;VAR:SYMBOL=TEVA&amp;VAR:INDEX=0"}</definedName>
    <definedName name="_50__FDSAUDITLINK__" hidden="1">{"fdsup://directions/FAT Viewer?action=UPDATE&amp;creator=factset&amp;DYN_ARGS=TRUE&amp;DOC_NAME=FAT:FQL_AUDITING_CLIENT_TEMPLATE.FAT&amp;display_string=Audit&amp;VAR:KEY=DKBYXGNAJE&amp;VAR:QUERY=RkZfSU5WRVNUX0xUKFFUUiwwKQ==&amp;WINDOW=FIRST_POPUP&amp;HEIGHT=450&amp;WIDTH=450&amp;START_MAXIMIZED=","FALSE&amp;VAR:CALENDAR=FIVEDAY&amp;VAR:SYMBOL=TEVA&amp;VAR:INDEX=0"}</definedName>
    <definedName name="_500_Million">'[1]5 yr Sales and Earnings'!$A$102:$AA$102</definedName>
    <definedName name="_51__FDSAUDITLINK__" localSheetId="27" hidden="1">{"fdsup://directions/FAT Viewer?action=UPDATE&amp;creator=factset&amp;DYN_ARGS=TRUE&amp;DOC_NAME=FAT:FQL_AUDITING_CLIENT_TEMPLATE.FAT&amp;display_string=Audit&amp;VAR:KEY=BSRGLGNQFU&amp;VAR:QUERY=RkZfSU5WRVNUX0xUKFFUUiwwKQ==&amp;WINDOW=FIRST_POPUP&amp;HEIGHT=450&amp;WIDTH=450&amp;START_MAXIMIZED=","FALSE&amp;VAR:CALENDAR=FIVEDAY&amp;VAR:SYMBOL=SGNT&amp;VAR:INDEX=0"}</definedName>
    <definedName name="_51__FDSAUDITLINK__" localSheetId="28" hidden="1">{"fdsup://directions/FAT Viewer?action=UPDATE&amp;creator=factset&amp;DYN_ARGS=TRUE&amp;DOC_NAME=FAT:FQL_AUDITING_CLIENT_TEMPLATE.FAT&amp;display_string=Audit&amp;VAR:KEY=BSRGLGNQFU&amp;VAR:QUERY=RkZfSU5WRVNUX0xUKFFUUiwwKQ==&amp;WINDOW=FIRST_POPUP&amp;HEIGHT=450&amp;WIDTH=450&amp;START_MAXIMIZED=","FALSE&amp;VAR:CALENDAR=FIVEDAY&amp;VAR:SYMBOL=SGNT&amp;VAR:INDEX=0"}</definedName>
    <definedName name="_51__FDSAUDITLINK__" hidden="1">{"fdsup://directions/FAT Viewer?action=UPDATE&amp;creator=factset&amp;DYN_ARGS=TRUE&amp;DOC_NAME=FAT:FQL_AUDITING_CLIENT_TEMPLATE.FAT&amp;display_string=Audit&amp;VAR:KEY=BSRGLGNQFU&amp;VAR:QUERY=RkZfSU5WRVNUX0xUKFFUUiwwKQ==&amp;WINDOW=FIRST_POPUP&amp;HEIGHT=450&amp;WIDTH=450&amp;START_MAXIMIZED=","FALSE&amp;VAR:CALENDAR=FIVEDAY&amp;VAR:SYMBOL=SGNT&amp;VAR:INDEX=0"}</definedName>
    <definedName name="_52__FDSAUDITLINK__" localSheetId="27" hidden="1">{"fdsup://directions/FAT Viewer?action=UPDATE&amp;creator=factset&amp;DYN_ARGS=TRUE&amp;DOC_NAME=FAT:FQL_AUDITING_CLIENT_TEMPLATE.FAT&amp;display_string=Audit&amp;VAR:KEY=JYNYLSNKZK&amp;VAR:QUERY=RkZfSU5WRVNUX0xUKFFUUiwwKQ==&amp;WINDOW=FIRST_POPUP&amp;HEIGHT=450&amp;WIDTH=450&amp;START_MAXIMIZED=","FALSE&amp;VAR:CALENDAR=FIVEDAY&amp;VAR:SYMBOL=PRX&amp;VAR:INDEX=0"}</definedName>
    <definedName name="_52__FDSAUDITLINK__" localSheetId="28" hidden="1">{"fdsup://directions/FAT Viewer?action=UPDATE&amp;creator=factset&amp;DYN_ARGS=TRUE&amp;DOC_NAME=FAT:FQL_AUDITING_CLIENT_TEMPLATE.FAT&amp;display_string=Audit&amp;VAR:KEY=JYNYLSNKZK&amp;VAR:QUERY=RkZfSU5WRVNUX0xUKFFUUiwwKQ==&amp;WINDOW=FIRST_POPUP&amp;HEIGHT=450&amp;WIDTH=450&amp;START_MAXIMIZED=","FALSE&amp;VAR:CALENDAR=FIVEDAY&amp;VAR:SYMBOL=PRX&amp;VAR:INDEX=0"}</definedName>
    <definedName name="_52__FDSAUDITLINK__" hidden="1">{"fdsup://directions/FAT Viewer?action=UPDATE&amp;creator=factset&amp;DYN_ARGS=TRUE&amp;DOC_NAME=FAT:FQL_AUDITING_CLIENT_TEMPLATE.FAT&amp;display_string=Audit&amp;VAR:KEY=JYNYLSNKZK&amp;VAR:QUERY=RkZfSU5WRVNUX0xUKFFUUiwwKQ==&amp;WINDOW=FIRST_POPUP&amp;HEIGHT=450&amp;WIDTH=450&amp;START_MAXIMIZED=","FALSE&amp;VAR:CALENDAR=FIVEDAY&amp;VAR:SYMBOL=PRX&amp;VAR:INDEX=0"}</definedName>
    <definedName name="_53__FDSAUDITLINK__" localSheetId="27" hidden="1">{"fdsup://directions/FAT Viewer?action=UPDATE&amp;creator=factset&amp;DYN_ARGS=TRUE&amp;DOC_NAME=FAT:FQL_AUDITING_CLIENT_TEMPLATE.FAT&amp;display_string=Audit&amp;VAR:KEY=VORGDSBSHE&amp;VAR:QUERY=RkZfSU5WRVNUX0xUKFFUUiwwKQ==&amp;WINDOW=FIRST_POPUP&amp;HEIGHT=450&amp;WIDTH=450&amp;START_MAXIMIZED=","FALSE&amp;VAR:CALENDAR=FIVEDAY&amp;VAR:SYMBOL=PRGO&amp;VAR:INDEX=0"}</definedName>
    <definedName name="_53__FDSAUDITLINK__" localSheetId="28" hidden="1">{"fdsup://directions/FAT Viewer?action=UPDATE&amp;creator=factset&amp;DYN_ARGS=TRUE&amp;DOC_NAME=FAT:FQL_AUDITING_CLIENT_TEMPLATE.FAT&amp;display_string=Audit&amp;VAR:KEY=VORGDSBSHE&amp;VAR:QUERY=RkZfSU5WRVNUX0xUKFFUUiwwKQ==&amp;WINDOW=FIRST_POPUP&amp;HEIGHT=450&amp;WIDTH=450&amp;START_MAXIMIZED=","FALSE&amp;VAR:CALENDAR=FIVEDAY&amp;VAR:SYMBOL=PRGO&amp;VAR:INDEX=0"}</definedName>
    <definedName name="_53__FDSAUDITLINK__" hidden="1">{"fdsup://directions/FAT Viewer?action=UPDATE&amp;creator=factset&amp;DYN_ARGS=TRUE&amp;DOC_NAME=FAT:FQL_AUDITING_CLIENT_TEMPLATE.FAT&amp;display_string=Audit&amp;VAR:KEY=VORGDSBSHE&amp;VAR:QUERY=RkZfSU5WRVNUX0xUKFFUUiwwKQ==&amp;WINDOW=FIRST_POPUP&amp;HEIGHT=450&amp;WIDTH=450&amp;START_MAXIMIZED=","FALSE&amp;VAR:CALENDAR=FIVEDAY&amp;VAR:SYMBOL=PRGO&amp;VAR:INDEX=0"}</definedName>
    <definedName name="_54__FDSAUDITLINK__" localSheetId="27" hidden="1">{"fdsup://directions/FAT Viewer?action=UPDATE&amp;creator=factset&amp;DYN_ARGS=TRUE&amp;DOC_NAME=FAT:FQL_AUDITING_CLIENT_TEMPLATE.FAT&amp;display_string=Audit&amp;VAR:KEY=NWLCFEHKDW&amp;VAR:QUERY=RkZfSU5WRVNUX0xUKFFUUiwwKQ==&amp;WINDOW=FIRST_POPUP&amp;HEIGHT=450&amp;WIDTH=450&amp;START_MAXIMIZED=","FALSE&amp;VAR:CALENDAR=FIVEDAY&amp;VAR:SYMBOL=MYL&amp;VAR:INDEX=0"}</definedName>
    <definedName name="_54__FDSAUDITLINK__" localSheetId="28" hidden="1">{"fdsup://directions/FAT Viewer?action=UPDATE&amp;creator=factset&amp;DYN_ARGS=TRUE&amp;DOC_NAME=FAT:FQL_AUDITING_CLIENT_TEMPLATE.FAT&amp;display_string=Audit&amp;VAR:KEY=NWLCFEHKDW&amp;VAR:QUERY=RkZfSU5WRVNUX0xUKFFUUiwwKQ==&amp;WINDOW=FIRST_POPUP&amp;HEIGHT=450&amp;WIDTH=450&amp;START_MAXIMIZED=","FALSE&amp;VAR:CALENDAR=FIVEDAY&amp;VAR:SYMBOL=MYL&amp;VAR:INDEX=0"}</definedName>
    <definedName name="_54__FDSAUDITLINK__" hidden="1">{"fdsup://directions/FAT Viewer?action=UPDATE&amp;creator=factset&amp;DYN_ARGS=TRUE&amp;DOC_NAME=FAT:FQL_AUDITING_CLIENT_TEMPLATE.FAT&amp;display_string=Audit&amp;VAR:KEY=NWLCFEHKDW&amp;VAR:QUERY=RkZfSU5WRVNUX0xUKFFUUiwwKQ==&amp;WINDOW=FIRST_POPUP&amp;HEIGHT=450&amp;WIDTH=450&amp;START_MAXIMIZED=","FALSE&amp;VAR:CALENDAR=FIVEDAY&amp;VAR:SYMBOL=MYL&amp;VAR:INDEX=0"}</definedName>
    <definedName name="_55__FDSAUDITLINK__" localSheetId="27" hidden="1">{"fdsup://directions/FAT Viewer?action=UPDATE&amp;creator=factset&amp;DYN_ARGS=TRUE&amp;DOC_NAME=FAT:FQL_AUDITING_CLIENT_TEMPLATE.FAT&amp;display_string=Audit&amp;VAR:KEY=VOTWJIPIRG&amp;VAR:QUERY=RkZfSU5WRVNUX0xUKFFUUiwwKQ==&amp;WINDOW=FIRST_POPUP&amp;HEIGHT=450&amp;WIDTH=450&amp;START_MAXIMIZED=","FALSE&amp;VAR:CALENDAR=FIVEDAY&amp;VAR:SYMBOL=IPXL&amp;VAR:INDEX=0"}</definedName>
    <definedName name="_55__FDSAUDITLINK__" localSheetId="28" hidden="1">{"fdsup://directions/FAT Viewer?action=UPDATE&amp;creator=factset&amp;DYN_ARGS=TRUE&amp;DOC_NAME=FAT:FQL_AUDITING_CLIENT_TEMPLATE.FAT&amp;display_string=Audit&amp;VAR:KEY=VOTWJIPIRG&amp;VAR:QUERY=RkZfSU5WRVNUX0xUKFFUUiwwKQ==&amp;WINDOW=FIRST_POPUP&amp;HEIGHT=450&amp;WIDTH=450&amp;START_MAXIMIZED=","FALSE&amp;VAR:CALENDAR=FIVEDAY&amp;VAR:SYMBOL=IPXL&amp;VAR:INDEX=0"}</definedName>
    <definedName name="_55__FDSAUDITLINK__" hidden="1">{"fdsup://directions/FAT Viewer?action=UPDATE&amp;creator=factset&amp;DYN_ARGS=TRUE&amp;DOC_NAME=FAT:FQL_AUDITING_CLIENT_TEMPLATE.FAT&amp;display_string=Audit&amp;VAR:KEY=VOTWJIPIRG&amp;VAR:QUERY=RkZfSU5WRVNUX0xUKFFUUiwwKQ==&amp;WINDOW=FIRST_POPUP&amp;HEIGHT=450&amp;WIDTH=450&amp;START_MAXIMIZED=","FALSE&amp;VAR:CALENDAR=FIVEDAY&amp;VAR:SYMBOL=IPXL&amp;VAR:INDEX=0"}</definedName>
    <definedName name="_56__FDSAUDITLINK__" localSheetId="27" hidden="1">{"fdsup://directions/FAT Viewer?action=UPDATE&amp;creator=factset&amp;DYN_ARGS=TRUE&amp;DOC_NAME=FAT:FQL_AUDITING_CLIENT_TEMPLATE.FAT&amp;display_string=Audit&amp;VAR:KEY=HYXOPWBMVW&amp;VAR:QUERY=RkZfSU5WRVNUX0xUKFFUUiwwKQ==&amp;WINDOW=FIRST_POPUP&amp;HEIGHT=450&amp;WIDTH=450&amp;START_MAXIMIZED=","FALSE&amp;VAR:CALENDAR=FIVEDAY&amp;VAR:SYMBOL=HSP&amp;VAR:INDEX=0"}</definedName>
    <definedName name="_56__FDSAUDITLINK__" localSheetId="28" hidden="1">{"fdsup://directions/FAT Viewer?action=UPDATE&amp;creator=factset&amp;DYN_ARGS=TRUE&amp;DOC_NAME=FAT:FQL_AUDITING_CLIENT_TEMPLATE.FAT&amp;display_string=Audit&amp;VAR:KEY=HYXOPWBMVW&amp;VAR:QUERY=RkZfSU5WRVNUX0xUKFFUUiwwKQ==&amp;WINDOW=FIRST_POPUP&amp;HEIGHT=450&amp;WIDTH=450&amp;START_MAXIMIZED=","FALSE&amp;VAR:CALENDAR=FIVEDAY&amp;VAR:SYMBOL=HSP&amp;VAR:INDEX=0"}</definedName>
    <definedName name="_56__FDSAUDITLINK__" hidden="1">{"fdsup://directions/FAT Viewer?action=UPDATE&amp;creator=factset&amp;DYN_ARGS=TRUE&amp;DOC_NAME=FAT:FQL_AUDITING_CLIENT_TEMPLATE.FAT&amp;display_string=Audit&amp;VAR:KEY=HYXOPWBMVW&amp;VAR:QUERY=RkZfSU5WRVNUX0xUKFFUUiwwKQ==&amp;WINDOW=FIRST_POPUP&amp;HEIGHT=450&amp;WIDTH=450&amp;START_MAXIMIZED=","FALSE&amp;VAR:CALENDAR=FIVEDAY&amp;VAR:SYMBOL=HSP&amp;VAR:INDEX=0"}</definedName>
    <definedName name="_57__FDSAUDITLINK__" localSheetId="27" hidden="1">{"fdsup://directions/FAT Viewer?action=UPDATE&amp;creator=factset&amp;DYN_ARGS=TRUE&amp;DOC_NAME=FAT:FQL_AUDITING_CLIENT_TEMPLATE.FAT&amp;display_string=Audit&amp;VAR:KEY=JGLIBUVSXS&amp;VAR:QUERY=RkZfSU5WRVNUX0xUKFFUUiwwKQ==&amp;WINDOW=FIRST_POPUP&amp;HEIGHT=450&amp;WIDTH=450&amp;START_MAXIMIZED=","FALSE&amp;VAR:CALENDAR=FIVEDAY&amp;VAR:SYMBOL=HITK&amp;VAR:INDEX=0"}</definedName>
    <definedName name="_57__FDSAUDITLINK__" localSheetId="28" hidden="1">{"fdsup://directions/FAT Viewer?action=UPDATE&amp;creator=factset&amp;DYN_ARGS=TRUE&amp;DOC_NAME=FAT:FQL_AUDITING_CLIENT_TEMPLATE.FAT&amp;display_string=Audit&amp;VAR:KEY=JGLIBUVSXS&amp;VAR:QUERY=RkZfSU5WRVNUX0xUKFFUUiwwKQ==&amp;WINDOW=FIRST_POPUP&amp;HEIGHT=450&amp;WIDTH=450&amp;START_MAXIMIZED=","FALSE&amp;VAR:CALENDAR=FIVEDAY&amp;VAR:SYMBOL=HITK&amp;VAR:INDEX=0"}</definedName>
    <definedName name="_57__FDSAUDITLINK__" hidden="1">{"fdsup://directions/FAT Viewer?action=UPDATE&amp;creator=factset&amp;DYN_ARGS=TRUE&amp;DOC_NAME=FAT:FQL_AUDITING_CLIENT_TEMPLATE.FAT&amp;display_string=Audit&amp;VAR:KEY=JGLIBUVSXS&amp;VAR:QUERY=RkZfSU5WRVNUX0xUKFFUUiwwKQ==&amp;WINDOW=FIRST_POPUP&amp;HEIGHT=450&amp;WIDTH=450&amp;START_MAXIMIZED=","FALSE&amp;VAR:CALENDAR=FIVEDAY&amp;VAR:SYMBOL=HITK&amp;VAR:INDEX=0"}</definedName>
    <definedName name="_58__FDSAUDITLINK__" localSheetId="27" hidden="1">{"fdsup://directions/FAT Viewer?action=UPDATE&amp;creator=factset&amp;DYN_ARGS=TRUE&amp;DOC_NAME=FAT:FQL_AUDITING_CLIENT_TEMPLATE.FAT&amp;display_string=Audit&amp;VAR:KEY=LIZAJWFUFG&amp;VAR:QUERY=RkZfSU5WRVNUX0xUKFFUUiwwKQ==&amp;WINDOW=FIRST_POPUP&amp;HEIGHT=450&amp;WIDTH=450&amp;START_MAXIMIZED=","FALSE&amp;VAR:CALENDAR=FIVEDAY&amp;VAR:SYMBOL=WCRX&amp;VAR:INDEX=0"}</definedName>
    <definedName name="_58__FDSAUDITLINK__" localSheetId="28" hidden="1">{"fdsup://directions/FAT Viewer?action=UPDATE&amp;creator=factset&amp;DYN_ARGS=TRUE&amp;DOC_NAME=FAT:FQL_AUDITING_CLIENT_TEMPLATE.FAT&amp;display_string=Audit&amp;VAR:KEY=LIZAJWFUFG&amp;VAR:QUERY=RkZfSU5WRVNUX0xUKFFUUiwwKQ==&amp;WINDOW=FIRST_POPUP&amp;HEIGHT=450&amp;WIDTH=450&amp;START_MAXIMIZED=","FALSE&amp;VAR:CALENDAR=FIVEDAY&amp;VAR:SYMBOL=WCRX&amp;VAR:INDEX=0"}</definedName>
    <definedName name="_58__FDSAUDITLINK__" hidden="1">{"fdsup://directions/FAT Viewer?action=UPDATE&amp;creator=factset&amp;DYN_ARGS=TRUE&amp;DOC_NAME=FAT:FQL_AUDITING_CLIENT_TEMPLATE.FAT&amp;display_string=Audit&amp;VAR:KEY=LIZAJWFUFG&amp;VAR:QUERY=RkZfSU5WRVNUX0xUKFFUUiwwKQ==&amp;WINDOW=FIRST_POPUP&amp;HEIGHT=450&amp;WIDTH=450&amp;START_MAXIMIZED=","FALSE&amp;VAR:CALENDAR=FIVEDAY&amp;VAR:SYMBOL=WCRX&amp;VAR:INDEX=0"}</definedName>
    <definedName name="_59__FDSAUDITLINK__" localSheetId="27" hidden="1">{"fdsup://directions/FAT Viewer?action=UPDATE&amp;creator=factset&amp;DYN_ARGS=TRUE&amp;DOC_NAME=FAT:FQL_AUDITING_CLIENT_TEMPLATE.FAT&amp;display_string=Audit&amp;VAR:KEY=ZAPCZANCVI&amp;VAR:QUERY=RkZfSU5WRVNUX0xUKFFUUiwwKQ==&amp;WINDOW=FIRST_POPUP&amp;HEIGHT=450&amp;WIDTH=450&amp;START_MAXIMIZED=","FALSE&amp;VAR:CALENDAR=FIVEDAY&amp;VAR:SYMBOL=VPHM&amp;VAR:INDEX=0"}</definedName>
    <definedName name="_59__FDSAUDITLINK__" localSheetId="28" hidden="1">{"fdsup://directions/FAT Viewer?action=UPDATE&amp;creator=factset&amp;DYN_ARGS=TRUE&amp;DOC_NAME=FAT:FQL_AUDITING_CLIENT_TEMPLATE.FAT&amp;display_string=Audit&amp;VAR:KEY=ZAPCZANCVI&amp;VAR:QUERY=RkZfSU5WRVNUX0xUKFFUUiwwKQ==&amp;WINDOW=FIRST_POPUP&amp;HEIGHT=450&amp;WIDTH=450&amp;START_MAXIMIZED=","FALSE&amp;VAR:CALENDAR=FIVEDAY&amp;VAR:SYMBOL=VPHM&amp;VAR:INDEX=0"}</definedName>
    <definedName name="_59__FDSAUDITLINK__" hidden="1">{"fdsup://directions/FAT Viewer?action=UPDATE&amp;creator=factset&amp;DYN_ARGS=TRUE&amp;DOC_NAME=FAT:FQL_AUDITING_CLIENT_TEMPLATE.FAT&amp;display_string=Audit&amp;VAR:KEY=ZAPCZANCVI&amp;VAR:QUERY=RkZfSU5WRVNUX0xUKFFUUiwwKQ==&amp;WINDOW=FIRST_POPUP&amp;HEIGHT=450&amp;WIDTH=450&amp;START_MAXIMIZED=","FALSE&amp;VAR:CALENDAR=FIVEDAY&amp;VAR:SYMBOL=VPHM&amp;VAR:INDEX=0"}</definedName>
    <definedName name="_6__FDSAUDITLINK__" localSheetId="27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6__FDSAUDITLINK__" localSheetId="28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6__FDSAUDITLINK__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60__FDSAUDITLINK__" localSheetId="27" hidden="1">{"fdsup://directions/FAT Viewer?action=UPDATE&amp;creator=factset&amp;DYN_ARGS=TRUE&amp;DOC_NAME=FAT:FQL_AUDITING_CLIENT_TEMPLATE.FAT&amp;display_string=Audit&amp;VAR:KEY=DMPWPUVYLW&amp;VAR:QUERY=RkZfSU5WRVNUX0xUKFFUUiwwKQ==&amp;WINDOW=FIRST_POPUP&amp;HEIGHT=450&amp;WIDTH=450&amp;START_MAXIMIZED=","FALSE&amp;VAR:CALENDAR=FIVEDAY&amp;VAR:SYMBOL=VRX&amp;VAR:INDEX=0"}</definedName>
    <definedName name="_60__FDSAUDITLINK__" localSheetId="28" hidden="1">{"fdsup://directions/FAT Viewer?action=UPDATE&amp;creator=factset&amp;DYN_ARGS=TRUE&amp;DOC_NAME=FAT:FQL_AUDITING_CLIENT_TEMPLATE.FAT&amp;display_string=Audit&amp;VAR:KEY=DMPWPUVYLW&amp;VAR:QUERY=RkZfSU5WRVNUX0xUKFFUUiwwKQ==&amp;WINDOW=FIRST_POPUP&amp;HEIGHT=450&amp;WIDTH=450&amp;START_MAXIMIZED=","FALSE&amp;VAR:CALENDAR=FIVEDAY&amp;VAR:SYMBOL=VRX&amp;VAR:INDEX=0"}</definedName>
    <definedName name="_60__FDSAUDITLINK__" hidden="1">{"fdsup://directions/FAT Viewer?action=UPDATE&amp;creator=factset&amp;DYN_ARGS=TRUE&amp;DOC_NAME=FAT:FQL_AUDITING_CLIENT_TEMPLATE.FAT&amp;display_string=Audit&amp;VAR:KEY=DMPWPUVYLW&amp;VAR:QUERY=RkZfSU5WRVNUX0xUKFFUUiwwKQ==&amp;WINDOW=FIRST_POPUP&amp;HEIGHT=450&amp;WIDTH=450&amp;START_MAXIMIZED=","FALSE&amp;VAR:CALENDAR=FIVEDAY&amp;VAR:SYMBOL=VRX&amp;VAR:INDEX=0"}</definedName>
    <definedName name="_61__FDSAUDITLINK__" localSheetId="27" hidden="1">{"fdsup://directions/FAT Viewer?action=UPDATE&amp;creator=factset&amp;DYN_ARGS=TRUE&amp;DOC_NAME=FAT:FQL_AUDITING_CLIENT_TEMPLATE.FAT&amp;display_string=Audit&amp;VAR:KEY=ZWLERMTOXY&amp;VAR:QUERY=RkZfSU5WRVNUX0xUKFFUUiwwKQ==&amp;WINDOW=FIRST_POPUP&amp;HEIGHT=450&amp;WIDTH=450&amp;START_MAXIMIZED=","FALSE&amp;VAR:CALENDAR=FIVEDAY&amp;VAR:SYMBOL=SLXP&amp;VAR:INDEX=0"}</definedName>
    <definedName name="_61__FDSAUDITLINK__" localSheetId="28" hidden="1">{"fdsup://directions/FAT Viewer?action=UPDATE&amp;creator=factset&amp;DYN_ARGS=TRUE&amp;DOC_NAME=FAT:FQL_AUDITING_CLIENT_TEMPLATE.FAT&amp;display_string=Audit&amp;VAR:KEY=ZWLERMTOXY&amp;VAR:QUERY=RkZfSU5WRVNUX0xUKFFUUiwwKQ==&amp;WINDOW=FIRST_POPUP&amp;HEIGHT=450&amp;WIDTH=450&amp;START_MAXIMIZED=","FALSE&amp;VAR:CALENDAR=FIVEDAY&amp;VAR:SYMBOL=SLXP&amp;VAR:INDEX=0"}</definedName>
    <definedName name="_61__FDSAUDITLINK__" hidden="1">{"fdsup://directions/FAT Viewer?action=UPDATE&amp;creator=factset&amp;DYN_ARGS=TRUE&amp;DOC_NAME=FAT:FQL_AUDITING_CLIENT_TEMPLATE.FAT&amp;display_string=Audit&amp;VAR:KEY=ZWLERMTOXY&amp;VAR:QUERY=RkZfSU5WRVNUX0xUKFFUUiwwKQ==&amp;WINDOW=FIRST_POPUP&amp;HEIGHT=450&amp;WIDTH=450&amp;START_MAXIMIZED=","FALSE&amp;VAR:CALENDAR=FIVEDAY&amp;VAR:SYMBOL=SLXP&amp;VAR:INDEX=0"}</definedName>
    <definedName name="_62__FDSAUDITLINK__" localSheetId="27" hidden="1">{"fdsup://directions/FAT Viewer?action=UPDATE&amp;creator=factset&amp;DYN_ARGS=TRUE&amp;DOC_NAME=FAT:FQL_AUDITING_CLIENT_TEMPLATE.FAT&amp;display_string=Audit&amp;VAR:KEY=TEVCJYNIRA&amp;VAR:QUERY=RkZfSU5WRVNUX0xUKFFUUiwwKQ==&amp;WINDOW=FIRST_POPUP&amp;HEIGHT=450&amp;WIDTH=450&amp;START_MAXIMIZED=","FALSE&amp;VAR:CALENDAR=FIVEDAY&amp;VAR:SYMBOL=MRX&amp;VAR:INDEX=0"}</definedName>
    <definedName name="_62__FDSAUDITLINK__" localSheetId="28" hidden="1">{"fdsup://directions/FAT Viewer?action=UPDATE&amp;creator=factset&amp;DYN_ARGS=TRUE&amp;DOC_NAME=FAT:FQL_AUDITING_CLIENT_TEMPLATE.FAT&amp;display_string=Audit&amp;VAR:KEY=TEVCJYNIRA&amp;VAR:QUERY=RkZfSU5WRVNUX0xUKFFUUiwwKQ==&amp;WINDOW=FIRST_POPUP&amp;HEIGHT=450&amp;WIDTH=450&amp;START_MAXIMIZED=","FALSE&amp;VAR:CALENDAR=FIVEDAY&amp;VAR:SYMBOL=MRX&amp;VAR:INDEX=0"}</definedName>
    <definedName name="_62__FDSAUDITLINK__" hidden="1">{"fdsup://directions/FAT Viewer?action=UPDATE&amp;creator=factset&amp;DYN_ARGS=TRUE&amp;DOC_NAME=FAT:FQL_AUDITING_CLIENT_TEMPLATE.FAT&amp;display_string=Audit&amp;VAR:KEY=TEVCJYNIRA&amp;VAR:QUERY=RkZfSU5WRVNUX0xUKFFUUiwwKQ==&amp;WINDOW=FIRST_POPUP&amp;HEIGHT=450&amp;WIDTH=450&amp;START_MAXIMIZED=","FALSE&amp;VAR:CALENDAR=FIVEDAY&amp;VAR:SYMBOL=MRX&amp;VAR:INDEX=0"}</definedName>
    <definedName name="_63__FDSAUDITLINK__" localSheetId="27" hidden="1">{"fdsup://directions/FAT Viewer?action=UPDATE&amp;creator=factset&amp;DYN_ARGS=TRUE&amp;DOC_NAME=FAT:FQL_AUDITING_CLIENT_TEMPLATE.FAT&amp;display_string=Audit&amp;VAR:KEY=PQXQHMJAJK&amp;VAR:QUERY=RkZfSU5WRVNUX0xUKFFUUiwwKQ==&amp;WINDOW=FIRST_POPUP&amp;HEIGHT=450&amp;WIDTH=450&amp;START_MAXIMIZED=","FALSE&amp;VAR:CALENDAR=FIVEDAY&amp;VAR:SYMBOL=JAZZ&amp;VAR:INDEX=0"}</definedName>
    <definedName name="_63__FDSAUDITLINK__" localSheetId="28" hidden="1">{"fdsup://directions/FAT Viewer?action=UPDATE&amp;creator=factset&amp;DYN_ARGS=TRUE&amp;DOC_NAME=FAT:FQL_AUDITING_CLIENT_TEMPLATE.FAT&amp;display_string=Audit&amp;VAR:KEY=PQXQHMJAJK&amp;VAR:QUERY=RkZfSU5WRVNUX0xUKFFUUiwwKQ==&amp;WINDOW=FIRST_POPUP&amp;HEIGHT=450&amp;WIDTH=450&amp;START_MAXIMIZED=","FALSE&amp;VAR:CALENDAR=FIVEDAY&amp;VAR:SYMBOL=JAZZ&amp;VAR:INDEX=0"}</definedName>
    <definedName name="_63__FDSAUDITLINK__" hidden="1">{"fdsup://directions/FAT Viewer?action=UPDATE&amp;creator=factset&amp;DYN_ARGS=TRUE&amp;DOC_NAME=FAT:FQL_AUDITING_CLIENT_TEMPLATE.FAT&amp;display_string=Audit&amp;VAR:KEY=PQXQHMJAJK&amp;VAR:QUERY=RkZfSU5WRVNUX0xUKFFUUiwwKQ==&amp;WINDOW=FIRST_POPUP&amp;HEIGHT=450&amp;WIDTH=450&amp;START_MAXIMIZED=","FALSE&amp;VAR:CALENDAR=FIVEDAY&amp;VAR:SYMBOL=JAZZ&amp;VAR:INDEX=0"}</definedName>
    <definedName name="_64__FDSAUDITLINK__" localSheetId="27" hidden="1">{"fdsup://directions/FAT Viewer?action=UPDATE&amp;creator=factset&amp;DYN_ARGS=TRUE&amp;DOC_NAME=FAT:FQL_AUDITING_CLIENT_TEMPLATE.FAT&amp;display_string=Audit&amp;VAR:KEY=HORKLYBSXK&amp;VAR:QUERY=RkZfSU5WRVNUX0xUKFFUUiwwKQ==&amp;WINDOW=FIRST_POPUP&amp;HEIGHT=450&amp;WIDTH=450&amp;START_MAXIMIZED=","FALSE&amp;VAR:CALENDAR=FIVEDAY&amp;VAR:SYMBOL=FRX&amp;VAR:INDEX=0"}</definedName>
    <definedName name="_64__FDSAUDITLINK__" localSheetId="28" hidden="1">{"fdsup://directions/FAT Viewer?action=UPDATE&amp;creator=factset&amp;DYN_ARGS=TRUE&amp;DOC_NAME=FAT:FQL_AUDITING_CLIENT_TEMPLATE.FAT&amp;display_string=Audit&amp;VAR:KEY=HORKLYBSXK&amp;VAR:QUERY=RkZfSU5WRVNUX0xUKFFUUiwwKQ==&amp;WINDOW=FIRST_POPUP&amp;HEIGHT=450&amp;WIDTH=450&amp;START_MAXIMIZED=","FALSE&amp;VAR:CALENDAR=FIVEDAY&amp;VAR:SYMBOL=FRX&amp;VAR:INDEX=0"}</definedName>
    <definedName name="_64__FDSAUDITLINK__" hidden="1">{"fdsup://directions/FAT Viewer?action=UPDATE&amp;creator=factset&amp;DYN_ARGS=TRUE&amp;DOC_NAME=FAT:FQL_AUDITING_CLIENT_TEMPLATE.FAT&amp;display_string=Audit&amp;VAR:KEY=HORKLYBSXK&amp;VAR:QUERY=RkZfSU5WRVNUX0xUKFFUUiwwKQ==&amp;WINDOW=FIRST_POPUP&amp;HEIGHT=450&amp;WIDTH=450&amp;START_MAXIMIZED=","FALSE&amp;VAR:CALENDAR=FIVEDAY&amp;VAR:SYMBOL=FRX&amp;VAR:INDEX=0"}</definedName>
    <definedName name="_65__FDSAUDITLINK__" localSheetId="27" hidden="1">{"fdsup://directions/FAT Viewer?action=UPDATE&amp;creator=factset&amp;DYN_ARGS=TRUE&amp;DOC_NAME=FAT:FQL_AUDITING_CLIENT_TEMPLATE.FAT&amp;display_string=Audit&amp;VAR:KEY=DITIHIDQBQ&amp;VAR:QUERY=RkZfSU5WRVNUX0xUKFFUUiwwKQ==&amp;WINDOW=FIRST_POPUP&amp;HEIGHT=450&amp;WIDTH=450&amp;START_MAXIMIZED=","FALSE&amp;VAR:CALENDAR=FIVEDAY&amp;VAR:SYMBOL=ENDP&amp;VAR:INDEX=0"}</definedName>
    <definedName name="_65__FDSAUDITLINK__" localSheetId="28" hidden="1">{"fdsup://directions/FAT Viewer?action=UPDATE&amp;creator=factset&amp;DYN_ARGS=TRUE&amp;DOC_NAME=FAT:FQL_AUDITING_CLIENT_TEMPLATE.FAT&amp;display_string=Audit&amp;VAR:KEY=DITIHIDQBQ&amp;VAR:QUERY=RkZfSU5WRVNUX0xUKFFUUiwwKQ==&amp;WINDOW=FIRST_POPUP&amp;HEIGHT=450&amp;WIDTH=450&amp;START_MAXIMIZED=","FALSE&amp;VAR:CALENDAR=FIVEDAY&amp;VAR:SYMBOL=ENDP&amp;VAR:INDEX=0"}</definedName>
    <definedName name="_65__FDSAUDITLINK__" hidden="1">{"fdsup://directions/FAT Viewer?action=UPDATE&amp;creator=factset&amp;DYN_ARGS=TRUE&amp;DOC_NAME=FAT:FQL_AUDITING_CLIENT_TEMPLATE.FAT&amp;display_string=Audit&amp;VAR:KEY=DITIHIDQBQ&amp;VAR:QUERY=RkZfSU5WRVNUX0xUKFFUUiwwKQ==&amp;WINDOW=FIRST_POPUP&amp;HEIGHT=450&amp;WIDTH=450&amp;START_MAXIMIZED=","FALSE&amp;VAR:CALENDAR=FIVEDAY&amp;VAR:SYMBOL=ENDP&amp;VAR:INDEX=0"}</definedName>
    <definedName name="_66__FDSAUDITLINK__" localSheetId="27" hidden="1">{"fdsup://directions/FAT Viewer?action=UPDATE&amp;creator=factset&amp;DYN_ARGS=TRUE&amp;DOC_NAME=FAT:FQL_AUDITING_CLIENT_TEMPLATE.FAT&amp;display_string=Audit&amp;VAR:KEY=RKVMRORARM&amp;VAR:QUERY=RkZfSU5WRVNUX0xUKFFUUiwwKQ==&amp;WINDOW=FIRST_POPUP&amp;HEIGHT=450&amp;WIDTH=450&amp;START_MAXIMIZED=","FALSE&amp;VAR:CALENDAR=FIVEDAY&amp;VAR:SYMBOL=CEPH&amp;VAR:INDEX=0"}</definedName>
    <definedName name="_66__FDSAUDITLINK__" localSheetId="28" hidden="1">{"fdsup://directions/FAT Viewer?action=UPDATE&amp;creator=factset&amp;DYN_ARGS=TRUE&amp;DOC_NAME=FAT:FQL_AUDITING_CLIENT_TEMPLATE.FAT&amp;display_string=Audit&amp;VAR:KEY=RKVMRORARM&amp;VAR:QUERY=RkZfSU5WRVNUX0xUKFFUUiwwKQ==&amp;WINDOW=FIRST_POPUP&amp;HEIGHT=450&amp;WIDTH=450&amp;START_MAXIMIZED=","FALSE&amp;VAR:CALENDAR=FIVEDAY&amp;VAR:SYMBOL=CEPH&amp;VAR:INDEX=0"}</definedName>
    <definedName name="_66__FDSAUDITLINK__" hidden="1">{"fdsup://directions/FAT Viewer?action=UPDATE&amp;creator=factset&amp;DYN_ARGS=TRUE&amp;DOC_NAME=FAT:FQL_AUDITING_CLIENT_TEMPLATE.FAT&amp;display_string=Audit&amp;VAR:KEY=RKVMRORARM&amp;VAR:QUERY=RkZfSU5WRVNUX0xUKFFUUiwwKQ==&amp;WINDOW=FIRST_POPUP&amp;HEIGHT=450&amp;WIDTH=450&amp;START_MAXIMIZED=","FALSE&amp;VAR:CALENDAR=FIVEDAY&amp;VAR:SYMBOL=CEPH&amp;VAR:INDEX=0"}</definedName>
    <definedName name="_67__FDSAUDITLINK__" localSheetId="27" hidden="1">{"fdsup://directions/FAT Viewer?action=UPDATE&amp;creator=factset&amp;DYN_ARGS=TRUE&amp;DOC_NAME=FAT:FQL_AUDITING_CLIENT_TEMPLATE.FAT&amp;display_string=Audit&amp;VAR:KEY=XILINMFINW&amp;VAR:QUERY=RkZfSU5WRVNUX0xUKFFUUiwwKQ==&amp;WINDOW=FIRST_POPUP&amp;HEIGHT=450&amp;WIDTH=450&amp;START_MAXIMIZED=","FALSE&amp;VAR:CALENDAR=FIVEDAY&amp;VAR:SYMBOL=AGN&amp;VAR:INDEX=0"}</definedName>
    <definedName name="_67__FDSAUDITLINK__" localSheetId="28" hidden="1">{"fdsup://directions/FAT Viewer?action=UPDATE&amp;creator=factset&amp;DYN_ARGS=TRUE&amp;DOC_NAME=FAT:FQL_AUDITING_CLIENT_TEMPLATE.FAT&amp;display_string=Audit&amp;VAR:KEY=XILINMFINW&amp;VAR:QUERY=RkZfSU5WRVNUX0xUKFFUUiwwKQ==&amp;WINDOW=FIRST_POPUP&amp;HEIGHT=450&amp;WIDTH=450&amp;START_MAXIMIZED=","FALSE&amp;VAR:CALENDAR=FIVEDAY&amp;VAR:SYMBOL=AGN&amp;VAR:INDEX=0"}</definedName>
    <definedName name="_67__FDSAUDITLINK__" hidden="1">{"fdsup://directions/FAT Viewer?action=UPDATE&amp;creator=factset&amp;DYN_ARGS=TRUE&amp;DOC_NAME=FAT:FQL_AUDITING_CLIENT_TEMPLATE.FAT&amp;display_string=Audit&amp;VAR:KEY=XILINMFINW&amp;VAR:QUERY=RkZfSU5WRVNUX0xUKFFUUiwwKQ==&amp;WINDOW=FIRST_POPUP&amp;HEIGHT=450&amp;WIDTH=450&amp;START_MAXIMIZED=","FALSE&amp;VAR:CALENDAR=FIVEDAY&amp;VAR:SYMBOL=AGN&amp;VAR:INDEX=0"}</definedName>
    <definedName name="_68__FDSAUDITLINK__" localSheetId="27" hidden="1">{"fdsup://directions/FAT Viewer?action=UPDATE&amp;creator=factset&amp;DYN_ARGS=TRUE&amp;DOC_NAME=FAT:FQL_AUDITING_CLIENT_TEMPLATE.FAT&amp;display_string=Audit&amp;VAR:KEY=NAHOLSNWDY&amp;VAR:QUERY=RkZfSU5WRVNUX0xUKFFUUiwwKQ==&amp;WINDOW=FIRST_POPUP&amp;HEIGHT=450&amp;WIDTH=450&amp;START_MAXIMIZED=","FALSE&amp;VAR:CALENDAR=FIVEDAY&amp;VAR:SYMBOL=GILD&amp;VAR:INDEX=0"}</definedName>
    <definedName name="_68__FDSAUDITLINK__" localSheetId="28" hidden="1">{"fdsup://directions/FAT Viewer?action=UPDATE&amp;creator=factset&amp;DYN_ARGS=TRUE&amp;DOC_NAME=FAT:FQL_AUDITING_CLIENT_TEMPLATE.FAT&amp;display_string=Audit&amp;VAR:KEY=NAHOLSNWDY&amp;VAR:QUERY=RkZfSU5WRVNUX0xUKFFUUiwwKQ==&amp;WINDOW=FIRST_POPUP&amp;HEIGHT=450&amp;WIDTH=450&amp;START_MAXIMIZED=","FALSE&amp;VAR:CALENDAR=FIVEDAY&amp;VAR:SYMBOL=GILD&amp;VAR:INDEX=0"}</definedName>
    <definedName name="_68__FDSAUDITLINK__" hidden="1">{"fdsup://directions/FAT Viewer?action=UPDATE&amp;creator=factset&amp;DYN_ARGS=TRUE&amp;DOC_NAME=FAT:FQL_AUDITING_CLIENT_TEMPLATE.FAT&amp;display_string=Audit&amp;VAR:KEY=NAHOLSNWDY&amp;VAR:QUERY=RkZfSU5WRVNUX0xUKFFUUiwwKQ==&amp;WINDOW=FIRST_POPUP&amp;HEIGHT=450&amp;WIDTH=450&amp;START_MAXIMIZED=","FALSE&amp;VAR:CALENDAR=FIVEDAY&amp;VAR:SYMBOL=GILD&amp;VAR:INDEX=0"}</definedName>
    <definedName name="_69__FDSAUDITLINK__" localSheetId="27" hidden="1">{"fdsup://directions/FAT Viewer?action=UPDATE&amp;creator=factset&amp;DYN_ARGS=TRUE&amp;DOC_NAME=FAT:FQL_AUDITING_CLIENT_TEMPLATE.FAT&amp;display_string=Audit&amp;VAR:KEY=XYVWDOTINK&amp;VAR:QUERY=RkZfSU5WRVNUX0xUKFFUUiwwKQ==&amp;WINDOW=FIRST_POPUP&amp;HEIGHT=450&amp;WIDTH=450&amp;START_MAXIMIZED=","FALSE&amp;VAR:CALENDAR=FIVEDAY&amp;VAR:SYMBOL=CELG&amp;VAR:INDEX=0"}</definedName>
    <definedName name="_69__FDSAUDITLINK__" localSheetId="28" hidden="1">{"fdsup://directions/FAT Viewer?action=UPDATE&amp;creator=factset&amp;DYN_ARGS=TRUE&amp;DOC_NAME=FAT:FQL_AUDITING_CLIENT_TEMPLATE.FAT&amp;display_string=Audit&amp;VAR:KEY=XYVWDOTINK&amp;VAR:QUERY=RkZfSU5WRVNUX0xUKFFUUiwwKQ==&amp;WINDOW=FIRST_POPUP&amp;HEIGHT=450&amp;WIDTH=450&amp;START_MAXIMIZED=","FALSE&amp;VAR:CALENDAR=FIVEDAY&amp;VAR:SYMBOL=CELG&amp;VAR:INDEX=0"}</definedName>
    <definedName name="_69__FDSAUDITLINK__" hidden="1">{"fdsup://directions/FAT Viewer?action=UPDATE&amp;creator=factset&amp;DYN_ARGS=TRUE&amp;DOC_NAME=FAT:FQL_AUDITING_CLIENT_TEMPLATE.FAT&amp;display_string=Audit&amp;VAR:KEY=XYVWDOTINK&amp;VAR:QUERY=RkZfSU5WRVNUX0xUKFFUUiwwKQ==&amp;WINDOW=FIRST_POPUP&amp;HEIGHT=450&amp;WIDTH=450&amp;START_MAXIMIZED=","FALSE&amp;VAR:CALENDAR=FIVEDAY&amp;VAR:SYMBOL=CELG&amp;VAR:INDEX=0"}</definedName>
    <definedName name="_7__FDSAUDITLINK__" localSheetId="27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28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0__FDSAUDITLINK__" localSheetId="27" hidden="1">{"fdsup://directions/FAT Viewer?action=UPDATE&amp;creator=factset&amp;DYN_ARGS=TRUE&amp;DOC_NAME=FAT:FQL_AUDITING_CLIENT_TEMPLATE.FAT&amp;display_string=Audit&amp;VAR:KEY=VGXUNQXELC&amp;VAR:QUERY=RkZfSU5WRVNUX0xUKFFUUiwwKQ==&amp;WINDOW=FIRST_POPUP&amp;HEIGHT=450&amp;WIDTH=450&amp;START_MAXIMIZED=","FALSE&amp;VAR:CALENDAR=FIVEDAY&amp;VAR:SYMBOL=BIIB&amp;VAR:INDEX=0"}</definedName>
    <definedName name="_70__FDSAUDITLINK__" localSheetId="28" hidden="1">{"fdsup://directions/FAT Viewer?action=UPDATE&amp;creator=factset&amp;DYN_ARGS=TRUE&amp;DOC_NAME=FAT:FQL_AUDITING_CLIENT_TEMPLATE.FAT&amp;display_string=Audit&amp;VAR:KEY=VGXUNQXELC&amp;VAR:QUERY=RkZfSU5WRVNUX0xUKFFUUiwwKQ==&amp;WINDOW=FIRST_POPUP&amp;HEIGHT=450&amp;WIDTH=450&amp;START_MAXIMIZED=","FALSE&amp;VAR:CALENDAR=FIVEDAY&amp;VAR:SYMBOL=BIIB&amp;VAR:INDEX=0"}</definedName>
    <definedName name="_70__FDSAUDITLINK__" hidden="1">{"fdsup://directions/FAT Viewer?action=UPDATE&amp;creator=factset&amp;DYN_ARGS=TRUE&amp;DOC_NAME=FAT:FQL_AUDITING_CLIENT_TEMPLATE.FAT&amp;display_string=Audit&amp;VAR:KEY=VGXUNQXELC&amp;VAR:QUERY=RkZfSU5WRVNUX0xUKFFUUiwwKQ==&amp;WINDOW=FIRST_POPUP&amp;HEIGHT=450&amp;WIDTH=450&amp;START_MAXIMIZED=","FALSE&amp;VAR:CALENDAR=FIVEDAY&amp;VAR:SYMBOL=BIIB&amp;VAR:INDEX=0"}</definedName>
    <definedName name="_71__FDSAUDITLINK__" localSheetId="27" hidden="1">{"fdsup://directions/FAT Viewer?action=UPDATE&amp;creator=factset&amp;DYN_ARGS=TRUE&amp;DOC_NAME=FAT:FQL_AUDITING_CLIENT_TEMPLATE.FAT&amp;display_string=Audit&amp;VAR:KEY=ZWDUTWDEPG&amp;VAR:QUERY=RkZfSU5WRVNUX0xUKFFUUiwwKQ==&amp;WINDOW=FIRST_POPUP&amp;HEIGHT=450&amp;WIDTH=450&amp;START_MAXIMIZED=","FALSE&amp;VAR:CALENDAR=FIVEDAY&amp;VAR:SYMBOL=AMGN&amp;VAR:INDEX=0"}</definedName>
    <definedName name="_71__FDSAUDITLINK__" localSheetId="28" hidden="1">{"fdsup://directions/FAT Viewer?action=UPDATE&amp;creator=factset&amp;DYN_ARGS=TRUE&amp;DOC_NAME=FAT:FQL_AUDITING_CLIENT_TEMPLATE.FAT&amp;display_string=Audit&amp;VAR:KEY=ZWDUTWDEPG&amp;VAR:QUERY=RkZfSU5WRVNUX0xUKFFUUiwwKQ==&amp;WINDOW=FIRST_POPUP&amp;HEIGHT=450&amp;WIDTH=450&amp;START_MAXIMIZED=","FALSE&amp;VAR:CALENDAR=FIVEDAY&amp;VAR:SYMBOL=AMGN&amp;VAR:INDEX=0"}</definedName>
    <definedName name="_71__FDSAUDITLINK__" hidden="1">{"fdsup://directions/FAT Viewer?action=UPDATE&amp;creator=factset&amp;DYN_ARGS=TRUE&amp;DOC_NAME=FAT:FQL_AUDITING_CLIENT_TEMPLATE.FAT&amp;display_string=Audit&amp;VAR:KEY=ZWDUTWDEPG&amp;VAR:QUERY=RkZfSU5WRVNUX0xUKFFUUiwwKQ==&amp;WINDOW=FIRST_POPUP&amp;HEIGHT=450&amp;WIDTH=450&amp;START_MAXIMIZED=","FALSE&amp;VAR:CALENDAR=FIVEDAY&amp;VAR:SYMBOL=AMGN&amp;VAR:INDEX=0"}</definedName>
    <definedName name="_72__FDSAUDITLINK__" localSheetId="27" hidden="1">{"fdsup://directions/FAT Viewer?action=UPDATE&amp;creator=factset&amp;DYN_ARGS=TRUE&amp;DOC_NAME=FAT:FQL_AUDITING_CLIENT_TEMPLATE.FAT&amp;display_string=Audit&amp;VAR:KEY=LOPUXAFKXA&amp;VAR:QUERY=RkZfSU5WRVNUX0xUKFFUUiwwKQ==&amp;WINDOW=FIRST_POPUP&amp;HEIGHT=450&amp;WIDTH=450&amp;START_MAXIMIZED=","FALSE&amp;VAR:CALENDAR=FIVEDAY&amp;VAR:SYMBOL=ALXN&amp;VAR:INDEX=0"}</definedName>
    <definedName name="_72__FDSAUDITLINK__" localSheetId="28" hidden="1">{"fdsup://directions/FAT Viewer?action=UPDATE&amp;creator=factset&amp;DYN_ARGS=TRUE&amp;DOC_NAME=FAT:FQL_AUDITING_CLIENT_TEMPLATE.FAT&amp;display_string=Audit&amp;VAR:KEY=LOPUXAFKXA&amp;VAR:QUERY=RkZfSU5WRVNUX0xUKFFUUiwwKQ==&amp;WINDOW=FIRST_POPUP&amp;HEIGHT=450&amp;WIDTH=450&amp;START_MAXIMIZED=","FALSE&amp;VAR:CALENDAR=FIVEDAY&amp;VAR:SYMBOL=ALXN&amp;VAR:INDEX=0"}</definedName>
    <definedName name="_72__FDSAUDITLINK__" hidden="1">{"fdsup://directions/FAT Viewer?action=UPDATE&amp;creator=factset&amp;DYN_ARGS=TRUE&amp;DOC_NAME=FAT:FQL_AUDITING_CLIENT_TEMPLATE.FAT&amp;display_string=Audit&amp;VAR:KEY=LOPUXAFKXA&amp;VAR:QUERY=RkZfSU5WRVNUX0xUKFFUUiwwKQ==&amp;WINDOW=FIRST_POPUP&amp;HEIGHT=450&amp;WIDTH=450&amp;START_MAXIMIZED=","FALSE&amp;VAR:CALENDAR=FIVEDAY&amp;VAR:SYMBOL=ALXN&amp;VAR:INDEX=0"}</definedName>
    <definedName name="_73__FDSAUDITLINK__" localSheetId="27" hidden="1">{"fdsup://directions/FAT Viewer?action=UPDATE&amp;creator=factset&amp;DYN_ARGS=TRUE&amp;DOC_NAME=FAT:FQL_AUDITING_CLIENT_TEMPLATE.FAT&amp;display_string=Audit&amp;VAR:KEY=ZSHOZIHUTA&amp;VAR:QUERY=RkZfSU5WRVNUX0xUKFFUUiwwKQ==&amp;WINDOW=FIRST_POPUP&amp;HEIGHT=450&amp;WIDTH=450&amp;START_MAXIMIZED=","FALSE&amp;VAR:CALENDAR=FIVEDAY&amp;VAR:SYMBOL=435209&amp;VAR:INDEX=0"}</definedName>
    <definedName name="_73__FDSAUDITLINK__" localSheetId="28" hidden="1">{"fdsup://directions/FAT Viewer?action=UPDATE&amp;creator=factset&amp;DYN_ARGS=TRUE&amp;DOC_NAME=FAT:FQL_AUDITING_CLIENT_TEMPLATE.FAT&amp;display_string=Audit&amp;VAR:KEY=ZSHOZIHUTA&amp;VAR:QUERY=RkZfSU5WRVNUX0xUKFFUUiwwKQ==&amp;WINDOW=FIRST_POPUP&amp;HEIGHT=450&amp;WIDTH=450&amp;START_MAXIMIZED=","FALSE&amp;VAR:CALENDAR=FIVEDAY&amp;VAR:SYMBOL=435209&amp;VAR:INDEX=0"}</definedName>
    <definedName name="_73__FDSAUDITLINK__" hidden="1">{"fdsup://directions/FAT Viewer?action=UPDATE&amp;creator=factset&amp;DYN_ARGS=TRUE&amp;DOC_NAME=FAT:FQL_AUDITING_CLIENT_TEMPLATE.FAT&amp;display_string=Audit&amp;VAR:KEY=ZSHOZIHUTA&amp;VAR:QUERY=RkZfSU5WRVNUX0xUKFFUUiwwKQ==&amp;WINDOW=FIRST_POPUP&amp;HEIGHT=450&amp;WIDTH=450&amp;START_MAXIMIZED=","FALSE&amp;VAR:CALENDAR=FIVEDAY&amp;VAR:SYMBOL=435209&amp;VAR:INDEX=0"}</definedName>
    <definedName name="_74__FDSAUDITLINK__" localSheetId="27" hidden="1">{"fdsup://directions/FAT Viewer?action=UPDATE&amp;creator=factset&amp;DYN_ARGS=TRUE&amp;DOC_NAME=FAT:FQL_AUDITING_CLIENT_TEMPLATE.FAT&amp;display_string=Audit&amp;VAR:KEY=VQFEJCHUXU&amp;VAR:QUERY=RkZfREVCVChRVFIsMCk=&amp;WINDOW=FIRST_POPUP&amp;HEIGHT=450&amp;WIDTH=450&amp;START_MAXIMIZED=FALSE&amp;VA","R:CALENDAR=FIVEDAY&amp;VAR:SYMBOL=435209&amp;VAR:INDEX=0"}</definedName>
    <definedName name="_74__FDSAUDITLINK__" localSheetId="28" hidden="1">{"fdsup://directions/FAT Viewer?action=UPDATE&amp;creator=factset&amp;DYN_ARGS=TRUE&amp;DOC_NAME=FAT:FQL_AUDITING_CLIENT_TEMPLATE.FAT&amp;display_string=Audit&amp;VAR:KEY=VQFEJCHUXU&amp;VAR:QUERY=RkZfREVCVChRVFIsMCk=&amp;WINDOW=FIRST_POPUP&amp;HEIGHT=450&amp;WIDTH=450&amp;START_MAXIMIZED=FALSE&amp;VA","R:CALENDAR=FIVEDAY&amp;VAR:SYMBOL=435209&amp;VAR:INDEX=0"}</definedName>
    <definedName name="_74__FDSAUDITLINK__" hidden="1">{"fdsup://directions/FAT Viewer?action=UPDATE&amp;creator=factset&amp;DYN_ARGS=TRUE&amp;DOC_NAME=FAT:FQL_AUDITING_CLIENT_TEMPLATE.FAT&amp;display_string=Audit&amp;VAR:KEY=VQFEJCHUXU&amp;VAR:QUERY=RkZfREVCVChRVFIsMCk=&amp;WINDOW=FIRST_POPUP&amp;HEIGHT=450&amp;WIDTH=450&amp;START_MAXIMIZED=FALSE&amp;VA","R:CALENDAR=FIVEDAY&amp;VAR:SYMBOL=435209&amp;VAR:INDEX=0"}</definedName>
    <definedName name="_75__FDSAUDITLINK__" localSheetId="27" hidden="1">{"fdsup://directions/FAT Viewer?action=UPDATE&amp;creator=factset&amp;DYN_ARGS=TRUE&amp;DOC_NAME=FAT:FQL_AUDITING_CLIENT_TEMPLATE.FAT&amp;display_string=Audit&amp;VAR:KEY=LCJMPUTERA&amp;VAR:QUERY=RkZfSU5WRVNUX0xUKFFUUiwwKQ==&amp;WINDOW=FIRST_POPUP&amp;HEIGHT=450&amp;WIDTH=450&amp;START_MAXIMIZED=","FALSE&amp;VAR:CALENDAR=FIVEDAY&amp;VAR:SYMBOL=PFE&amp;VAR:INDEX=0"}</definedName>
    <definedName name="_75__FDSAUDITLINK__" localSheetId="28" hidden="1">{"fdsup://directions/FAT Viewer?action=UPDATE&amp;creator=factset&amp;DYN_ARGS=TRUE&amp;DOC_NAME=FAT:FQL_AUDITING_CLIENT_TEMPLATE.FAT&amp;display_string=Audit&amp;VAR:KEY=LCJMPUTERA&amp;VAR:QUERY=RkZfSU5WRVNUX0xUKFFUUiwwKQ==&amp;WINDOW=FIRST_POPUP&amp;HEIGHT=450&amp;WIDTH=450&amp;START_MAXIMIZED=","FALSE&amp;VAR:CALENDAR=FIVEDAY&amp;VAR:SYMBOL=PFE&amp;VAR:INDEX=0"}</definedName>
    <definedName name="_75__FDSAUDITLINK__" hidden="1">{"fdsup://directions/FAT Viewer?action=UPDATE&amp;creator=factset&amp;DYN_ARGS=TRUE&amp;DOC_NAME=FAT:FQL_AUDITING_CLIENT_TEMPLATE.FAT&amp;display_string=Audit&amp;VAR:KEY=LCJMPUTERA&amp;VAR:QUERY=RkZfSU5WRVNUX0xUKFFUUiwwKQ==&amp;WINDOW=FIRST_POPUP&amp;HEIGHT=450&amp;WIDTH=450&amp;START_MAXIMIZED=","FALSE&amp;VAR:CALENDAR=FIVEDAY&amp;VAR:SYMBOL=PFE&amp;VAR:INDEX=0"}</definedName>
    <definedName name="_76__FDSAUDITLINK__" localSheetId="27" hidden="1">{"fdsup://directions/FAT Viewer?action=UPDATE&amp;creator=factset&amp;DYN_ARGS=TRUE&amp;DOC_NAME=FAT:FQL_AUDITING_CLIENT_TEMPLATE.FAT&amp;display_string=Audit&amp;VAR:KEY=HYLCZGJGBW&amp;VAR:QUERY=RkZfSU5WRVNUX0xUKFFUUiwwKQ==&amp;WINDOW=FIRST_POPUP&amp;HEIGHT=450&amp;WIDTH=450&amp;START_MAXIMIZED=","FALSE&amp;VAR:CALENDAR=FIVEDAY&amp;VAR:SYMBOL=MRK&amp;VAR:INDEX=0"}</definedName>
    <definedName name="_76__FDSAUDITLINK__" localSheetId="28" hidden="1">{"fdsup://directions/FAT Viewer?action=UPDATE&amp;creator=factset&amp;DYN_ARGS=TRUE&amp;DOC_NAME=FAT:FQL_AUDITING_CLIENT_TEMPLATE.FAT&amp;display_string=Audit&amp;VAR:KEY=HYLCZGJGBW&amp;VAR:QUERY=RkZfSU5WRVNUX0xUKFFUUiwwKQ==&amp;WINDOW=FIRST_POPUP&amp;HEIGHT=450&amp;WIDTH=450&amp;START_MAXIMIZED=","FALSE&amp;VAR:CALENDAR=FIVEDAY&amp;VAR:SYMBOL=MRK&amp;VAR:INDEX=0"}</definedName>
    <definedName name="_76__FDSAUDITLINK__" hidden="1">{"fdsup://directions/FAT Viewer?action=UPDATE&amp;creator=factset&amp;DYN_ARGS=TRUE&amp;DOC_NAME=FAT:FQL_AUDITING_CLIENT_TEMPLATE.FAT&amp;display_string=Audit&amp;VAR:KEY=HYLCZGJGBW&amp;VAR:QUERY=RkZfSU5WRVNUX0xUKFFUUiwwKQ==&amp;WINDOW=FIRST_POPUP&amp;HEIGHT=450&amp;WIDTH=450&amp;START_MAXIMIZED=","FALSE&amp;VAR:CALENDAR=FIVEDAY&amp;VAR:SYMBOL=MRK&amp;VAR:INDEX=0"}</definedName>
    <definedName name="_77__FDSAUDITLINK__" localSheetId="27" hidden="1">{"fdsup://directions/FAT Viewer?action=UPDATE&amp;creator=factset&amp;DYN_ARGS=TRUE&amp;DOC_NAME=FAT:FQL_AUDITING_CLIENT_TEMPLATE.FAT&amp;display_string=Audit&amp;VAR:KEY=DERQHCPOHU&amp;VAR:QUERY=RkZfSU5WRVNUX0xUKFFUUiwwKQ==&amp;WINDOW=FIRST_POPUP&amp;HEIGHT=450&amp;WIDTH=450&amp;START_MAXIMIZED=","FALSE&amp;VAR:CALENDAR=FIVEDAY&amp;VAR:SYMBOL=LLY&amp;VAR:INDEX=0"}</definedName>
    <definedName name="_77__FDSAUDITLINK__" localSheetId="28" hidden="1">{"fdsup://directions/FAT Viewer?action=UPDATE&amp;creator=factset&amp;DYN_ARGS=TRUE&amp;DOC_NAME=FAT:FQL_AUDITING_CLIENT_TEMPLATE.FAT&amp;display_string=Audit&amp;VAR:KEY=DERQHCPOHU&amp;VAR:QUERY=RkZfSU5WRVNUX0xUKFFUUiwwKQ==&amp;WINDOW=FIRST_POPUP&amp;HEIGHT=450&amp;WIDTH=450&amp;START_MAXIMIZED=","FALSE&amp;VAR:CALENDAR=FIVEDAY&amp;VAR:SYMBOL=LLY&amp;VAR:INDEX=0"}</definedName>
    <definedName name="_77__FDSAUDITLINK__" hidden="1">{"fdsup://directions/FAT Viewer?action=UPDATE&amp;creator=factset&amp;DYN_ARGS=TRUE&amp;DOC_NAME=FAT:FQL_AUDITING_CLIENT_TEMPLATE.FAT&amp;display_string=Audit&amp;VAR:KEY=DERQHCPOHU&amp;VAR:QUERY=RkZfSU5WRVNUX0xUKFFUUiwwKQ==&amp;WINDOW=FIRST_POPUP&amp;HEIGHT=450&amp;WIDTH=450&amp;START_MAXIMIZED=","FALSE&amp;VAR:CALENDAR=FIVEDAY&amp;VAR:SYMBOL=LLY&amp;VAR:INDEX=0"}</definedName>
    <definedName name="_78__FDSAUDITLINK__" localSheetId="27" hidden="1">{"fdsup://directions/FAT Viewer?action=UPDATE&amp;creator=factset&amp;DYN_ARGS=TRUE&amp;DOC_NAME=FAT:FQL_AUDITING_CLIENT_TEMPLATE.FAT&amp;display_string=Audit&amp;VAR:KEY=FGNKPMPQZY&amp;VAR:QUERY=RkZfSU5WRVNUX0xUKFFUUiwwKQ==&amp;WINDOW=FIRST_POPUP&amp;HEIGHT=450&amp;WIDTH=450&amp;START_MAXIMIZED=","FALSE&amp;VAR:CALENDAR=FIVEDAY&amp;VAR:SYMBOL=JNJ&amp;VAR:INDEX=0"}</definedName>
    <definedName name="_78__FDSAUDITLINK__" localSheetId="28" hidden="1">{"fdsup://directions/FAT Viewer?action=UPDATE&amp;creator=factset&amp;DYN_ARGS=TRUE&amp;DOC_NAME=FAT:FQL_AUDITING_CLIENT_TEMPLATE.FAT&amp;display_string=Audit&amp;VAR:KEY=FGNKPMPQZY&amp;VAR:QUERY=RkZfSU5WRVNUX0xUKFFUUiwwKQ==&amp;WINDOW=FIRST_POPUP&amp;HEIGHT=450&amp;WIDTH=450&amp;START_MAXIMIZED=","FALSE&amp;VAR:CALENDAR=FIVEDAY&amp;VAR:SYMBOL=JNJ&amp;VAR:INDEX=0"}</definedName>
    <definedName name="_78__FDSAUDITLINK__" hidden="1">{"fdsup://directions/FAT Viewer?action=UPDATE&amp;creator=factset&amp;DYN_ARGS=TRUE&amp;DOC_NAME=FAT:FQL_AUDITING_CLIENT_TEMPLATE.FAT&amp;display_string=Audit&amp;VAR:KEY=FGNKPMPQZY&amp;VAR:QUERY=RkZfSU5WRVNUX0xUKFFUUiwwKQ==&amp;WINDOW=FIRST_POPUP&amp;HEIGHT=450&amp;WIDTH=450&amp;START_MAXIMIZED=","FALSE&amp;VAR:CALENDAR=FIVEDAY&amp;VAR:SYMBOL=JNJ&amp;VAR:INDEX=0"}</definedName>
    <definedName name="_79__FDSAUDITLINK__" localSheetId="27" hidden="1">{"fdsup://directions/FAT Viewer?action=UPDATE&amp;creator=factset&amp;DYN_ARGS=TRUE&amp;DOC_NAME=FAT:FQL_AUDITING_CLIENT_TEMPLATE.FAT&amp;display_string=Audit&amp;VAR:KEY=LYXSRCBOHA&amp;VAR:QUERY=RkZfSU5WRVNUX0xUKFFUUiwwKQ==&amp;WINDOW=FIRST_POPUP&amp;HEIGHT=450&amp;WIDTH=450&amp;START_MAXIMIZED=","FALSE&amp;VAR:CALENDAR=FIVEDAY&amp;VAR:SYMBOL=BMY&amp;VAR:INDEX=0"}</definedName>
    <definedName name="_79__FDSAUDITLINK__" localSheetId="28" hidden="1">{"fdsup://directions/FAT Viewer?action=UPDATE&amp;creator=factset&amp;DYN_ARGS=TRUE&amp;DOC_NAME=FAT:FQL_AUDITING_CLIENT_TEMPLATE.FAT&amp;display_string=Audit&amp;VAR:KEY=LYXSRCBOHA&amp;VAR:QUERY=RkZfSU5WRVNUX0xUKFFUUiwwKQ==&amp;WINDOW=FIRST_POPUP&amp;HEIGHT=450&amp;WIDTH=450&amp;START_MAXIMIZED=","FALSE&amp;VAR:CALENDAR=FIVEDAY&amp;VAR:SYMBOL=BMY&amp;VAR:INDEX=0"}</definedName>
    <definedName name="_79__FDSAUDITLINK__" hidden="1">{"fdsup://directions/FAT Viewer?action=UPDATE&amp;creator=factset&amp;DYN_ARGS=TRUE&amp;DOC_NAME=FAT:FQL_AUDITING_CLIENT_TEMPLATE.FAT&amp;display_string=Audit&amp;VAR:KEY=LYXSRCBOHA&amp;VAR:QUERY=RkZfSU5WRVNUX0xUKFFUUiwwKQ==&amp;WINDOW=FIRST_POPUP&amp;HEIGHT=450&amp;WIDTH=450&amp;START_MAXIMIZED=","FALSE&amp;VAR:CALENDAR=FIVEDAY&amp;VAR:SYMBOL=BMY&amp;VAR:INDEX=0"}</definedName>
    <definedName name="_8__FDSAUDITLINK__" localSheetId="27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28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0__FDSAUDITLINK__" localSheetId="27" hidden="1">{"fdsup://directions/FAT Viewer?action=UPDATE&amp;creator=factset&amp;DYN_ARGS=TRUE&amp;DOC_NAME=FAT:FQL_AUDITING_CLIENT_TEMPLATE.FAT&amp;display_string=Audit&amp;VAR:KEY=ZOVAZMHKPC&amp;VAR:QUERY=RkZfSU5WRVNUX0xUKFFUUiwwKQ==&amp;WINDOW=FIRST_POPUP&amp;HEIGHT=450&amp;WIDTH=450&amp;START_MAXIMIZED=","FALSE&amp;VAR:CALENDAR=FIVEDAY&amp;VAR:SYMBOL=ABT&amp;VAR:INDEX=0"}</definedName>
    <definedName name="_80__FDSAUDITLINK__" localSheetId="28" hidden="1">{"fdsup://directions/FAT Viewer?action=UPDATE&amp;creator=factset&amp;DYN_ARGS=TRUE&amp;DOC_NAME=FAT:FQL_AUDITING_CLIENT_TEMPLATE.FAT&amp;display_string=Audit&amp;VAR:KEY=ZOVAZMHKPC&amp;VAR:QUERY=RkZfSU5WRVNUX0xUKFFUUiwwKQ==&amp;WINDOW=FIRST_POPUP&amp;HEIGHT=450&amp;WIDTH=450&amp;START_MAXIMIZED=","FALSE&amp;VAR:CALENDAR=FIVEDAY&amp;VAR:SYMBOL=ABT&amp;VAR:INDEX=0"}</definedName>
    <definedName name="_80__FDSAUDITLINK__" hidden="1">{"fdsup://directions/FAT Viewer?action=UPDATE&amp;creator=factset&amp;DYN_ARGS=TRUE&amp;DOC_NAME=FAT:FQL_AUDITING_CLIENT_TEMPLATE.FAT&amp;display_string=Audit&amp;VAR:KEY=ZOVAZMHKPC&amp;VAR:QUERY=RkZfSU5WRVNUX0xUKFFUUiwwKQ==&amp;WINDOW=FIRST_POPUP&amp;HEIGHT=450&amp;WIDTH=450&amp;START_MAXIMIZED=","FALSE&amp;VAR:CALENDAR=FIVEDAY&amp;VAR:SYMBOL=ABT&amp;VAR:INDEX=0"}</definedName>
    <definedName name="_81__FDSAUDITLINK__" localSheetId="27" hidden="1">{"fdsup://directions/FAT Viewer?action=UPDATE&amp;creator=factset&amp;DYN_ARGS=TRUE&amp;DOC_NAME=FAT:FQL_AUDITING_CLIENT_TEMPLATE.FAT&amp;display_string=Audit&amp;VAR:KEY=JSLSBKVYHS&amp;VAR:QUERY=RkZfSU5WRVNUX0xUKFFUUiwwKQ==&amp;WINDOW=FIRST_POPUP&amp;HEIGHT=450&amp;WIDTH=450&amp;START_MAXIMIZED=","FALSE&amp;VAR:CALENDAR=FIVEDAY&amp;VAR:SYMBOL=AZN&amp;VAR:INDEX=0"}</definedName>
    <definedName name="_81__FDSAUDITLINK__" localSheetId="28" hidden="1">{"fdsup://directions/FAT Viewer?action=UPDATE&amp;creator=factset&amp;DYN_ARGS=TRUE&amp;DOC_NAME=FAT:FQL_AUDITING_CLIENT_TEMPLATE.FAT&amp;display_string=Audit&amp;VAR:KEY=JSLSBKVYHS&amp;VAR:QUERY=RkZfSU5WRVNUX0xUKFFUUiwwKQ==&amp;WINDOW=FIRST_POPUP&amp;HEIGHT=450&amp;WIDTH=450&amp;START_MAXIMIZED=","FALSE&amp;VAR:CALENDAR=FIVEDAY&amp;VAR:SYMBOL=AZN&amp;VAR:INDEX=0"}</definedName>
    <definedName name="_81__FDSAUDITLINK__" hidden="1">{"fdsup://directions/FAT Viewer?action=UPDATE&amp;creator=factset&amp;DYN_ARGS=TRUE&amp;DOC_NAME=FAT:FQL_AUDITING_CLIENT_TEMPLATE.FAT&amp;display_string=Audit&amp;VAR:KEY=JSLSBKVYHS&amp;VAR:QUERY=RkZfSU5WRVNUX0xUKFFUUiwwKQ==&amp;WINDOW=FIRST_POPUP&amp;HEIGHT=450&amp;WIDTH=450&amp;START_MAXIMIZED=","FALSE&amp;VAR:CALENDAR=FIVEDAY&amp;VAR:SYMBOL=AZN&amp;VAR:INDEX=0"}</definedName>
    <definedName name="_82__FDSAUDITLINK__" localSheetId="27" hidden="1">{"fdsup://directions/FAT Viewer?action=UPDATE&amp;creator=factset&amp;DYN_ARGS=TRUE&amp;DOC_NAME=FAT:FQL_AUDITING_CLIENT_TEMPLATE.FAT&amp;display_string=Audit&amp;VAR:KEY=HAHKXMLERQ&amp;VAR:QUERY=RkZfSU5WRVNUX0xUKFFUUiwwKQ==&amp;WINDOW=FIRST_POPUP&amp;HEIGHT=450&amp;WIDTH=450&amp;START_MAXIMIZED=","FALSE&amp;VAR:CALENDAR=FIVEDAY&amp;VAR:SYMBOL=NVS&amp;VAR:INDEX=0"}</definedName>
    <definedName name="_82__FDSAUDITLINK__" localSheetId="28" hidden="1">{"fdsup://directions/FAT Viewer?action=UPDATE&amp;creator=factset&amp;DYN_ARGS=TRUE&amp;DOC_NAME=FAT:FQL_AUDITING_CLIENT_TEMPLATE.FAT&amp;display_string=Audit&amp;VAR:KEY=HAHKXMLERQ&amp;VAR:QUERY=RkZfSU5WRVNUX0xUKFFUUiwwKQ==&amp;WINDOW=FIRST_POPUP&amp;HEIGHT=450&amp;WIDTH=450&amp;START_MAXIMIZED=","FALSE&amp;VAR:CALENDAR=FIVEDAY&amp;VAR:SYMBOL=NVS&amp;VAR:INDEX=0"}</definedName>
    <definedName name="_82__FDSAUDITLINK__" hidden="1">{"fdsup://directions/FAT Viewer?action=UPDATE&amp;creator=factset&amp;DYN_ARGS=TRUE&amp;DOC_NAME=FAT:FQL_AUDITING_CLIENT_TEMPLATE.FAT&amp;display_string=Audit&amp;VAR:KEY=HAHKXMLERQ&amp;VAR:QUERY=RkZfSU5WRVNUX0xUKFFUUiwwKQ==&amp;WINDOW=FIRST_POPUP&amp;HEIGHT=450&amp;WIDTH=450&amp;START_MAXIMIZED=","FALSE&amp;VAR:CALENDAR=FIVEDAY&amp;VAR:SYMBOL=NVS&amp;VAR:INDEX=0"}</definedName>
    <definedName name="_83__FDSAUDITLINK__" localSheetId="27" hidden="1">{"fdsup://directions/FAT Viewer?action=UPDATE&amp;creator=factset&amp;DYN_ARGS=TRUE&amp;DOC_NAME=FAT:FQL_AUDITING_CLIENT_TEMPLATE.FAT&amp;display_string=Audit&amp;VAR:KEY=ZGBABKVOBO&amp;VAR:QUERY=RkZfSU5WRVNUX0xUKFFUUiwwKQ==&amp;WINDOW=FIRST_POPUP&amp;HEIGHT=450&amp;WIDTH=450&amp;START_MAXIMIZED=","FALSE&amp;VAR:CALENDAR=FIVEDAY&amp;VAR:SYMBOL=SHPGY&amp;VAR:INDEX=0"}</definedName>
    <definedName name="_83__FDSAUDITLINK__" localSheetId="28" hidden="1">{"fdsup://directions/FAT Viewer?action=UPDATE&amp;creator=factset&amp;DYN_ARGS=TRUE&amp;DOC_NAME=FAT:FQL_AUDITING_CLIENT_TEMPLATE.FAT&amp;display_string=Audit&amp;VAR:KEY=ZGBABKVOBO&amp;VAR:QUERY=RkZfSU5WRVNUX0xUKFFUUiwwKQ==&amp;WINDOW=FIRST_POPUP&amp;HEIGHT=450&amp;WIDTH=450&amp;START_MAXIMIZED=","FALSE&amp;VAR:CALENDAR=FIVEDAY&amp;VAR:SYMBOL=SHPGY&amp;VAR:INDEX=0"}</definedName>
    <definedName name="_83__FDSAUDITLINK__" hidden="1">{"fdsup://directions/FAT Viewer?action=UPDATE&amp;creator=factset&amp;DYN_ARGS=TRUE&amp;DOC_NAME=FAT:FQL_AUDITING_CLIENT_TEMPLATE.FAT&amp;display_string=Audit&amp;VAR:KEY=ZGBABKVOBO&amp;VAR:QUERY=RkZfSU5WRVNUX0xUKFFUUiwwKQ==&amp;WINDOW=FIRST_POPUP&amp;HEIGHT=450&amp;WIDTH=450&amp;START_MAXIMIZED=","FALSE&amp;VAR:CALENDAR=FIVEDAY&amp;VAR:SYMBOL=SHPGY&amp;VAR:INDEX=0"}</definedName>
    <definedName name="_84__FDSAUDITLINK__" localSheetId="27" hidden="1">{"fdsup://Directions/FactSet Auditing Viewer?action=AUDIT_VALUE&amp;DB=129&amp;ID1=00282410&amp;VALUEID=02001&amp;SDATE=201102&amp;PERIODTYPE=QTR_STD&amp;SCFT=3&amp;window=popup_no_bar&amp;width=385&amp;height=120&amp;START_MAXIMIZED=FALSE&amp;creator=factset&amp;display_string=Audit"}</definedName>
    <definedName name="_84__FDSAUDITLINK__" localSheetId="28" hidden="1">{"fdsup://Directions/FactSet Auditing Viewer?action=AUDIT_VALUE&amp;DB=129&amp;ID1=00282410&amp;VALUEID=02001&amp;SDATE=201102&amp;PERIODTYPE=QTR_STD&amp;SCFT=3&amp;window=popup_no_bar&amp;width=385&amp;height=120&amp;START_MAXIMIZED=FALSE&amp;creator=factset&amp;display_string=Audit"}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Viewer?action=AUDIT_VALUE&amp;DB=129&amp;ID1=00282410&amp;VALUEID=02001&amp;SDATE=201102&amp;PERIODTYPE=QTR_STD&amp;SCFT=3&amp;window=popup_no_bar&amp;width=385&amp;height=120&amp;START_MAXIMIZED=FALSE&amp;creator=factset&amp;display_string=Audit"}</definedName>
    <definedName name="_85__FDSAUDITLINK__" localSheetId="27" hidden="1">{"fdsup://directions/FAT Viewer?action=UPDATE&amp;creator=factset&amp;DYN_ARGS=TRUE&amp;DOC_NAME=FAT:FQL_AUDITING_CLIENT_TEMPLATE.FAT&amp;display_string=Audit&amp;VAR:KEY=FQVITULUDU&amp;VAR:QUERY=RkZfREVCVChRVFIsMCk=&amp;WINDOW=FIRST_POPUP&amp;HEIGHT=450&amp;WIDTH=450&amp;START_MAXIMIZED=FALSE&amp;VA","R:CALENDAR=FIVEDAY&amp;VAR:SYMBOL=ABT&amp;VAR:INDEX=0"}</definedName>
    <definedName name="_85__FDSAUDITLINK__" localSheetId="28" hidden="1">{"fdsup://directions/FAT Viewer?action=UPDATE&amp;creator=factset&amp;DYN_ARGS=TRUE&amp;DOC_NAME=FAT:FQL_AUDITING_CLIENT_TEMPLATE.FAT&amp;display_string=Audit&amp;VAR:KEY=FQVITULUDU&amp;VAR:QUERY=RkZfREVCVChRVFIsMCk=&amp;WINDOW=FIRST_POPUP&amp;HEIGHT=450&amp;WIDTH=450&amp;START_MAXIMIZED=FALSE&amp;VA","R:CALENDAR=FIVEDAY&amp;VAR:SYMBOL=ABT&amp;VAR:INDEX=0"}</definedName>
    <definedName name="_85__FDSAUDITLINK__" hidden="1">{"fdsup://directions/FAT Viewer?action=UPDATE&amp;creator=factset&amp;DYN_ARGS=TRUE&amp;DOC_NAME=FAT:FQL_AUDITING_CLIENT_TEMPLATE.FAT&amp;display_string=Audit&amp;VAR:KEY=FQVITULUDU&amp;VAR:QUERY=RkZfREVCVChRVFIsMCk=&amp;WINDOW=FIRST_POPUP&amp;HEIGHT=450&amp;WIDTH=450&amp;START_MAXIMIZED=FALSE&amp;VA","R:CALENDAR=FIVEDAY&amp;VAR:SYMBOL=ABT&amp;VAR:INDEX=0"}</definedName>
    <definedName name="_86__FDSAUDITLINK__" localSheetId="27" hidden="1">{"fdsup://Directions/FactSet Auditing Viewer?action=AUDIT_VALUE&amp;DB=129&amp;ID1=11012210&amp;VALUEID=02001&amp;SDATE=201102&amp;PERIODTYPE=QTR_STD&amp;SCFT=3&amp;window=popup_no_bar&amp;width=385&amp;height=120&amp;START_MAXIMIZED=FALSE&amp;creator=factset&amp;display_string=Audit"}</definedName>
    <definedName name="_86__FDSAUDITLINK__" localSheetId="28" hidden="1">{"fdsup://Directions/FactSet Auditing Viewer?action=AUDIT_VALUE&amp;DB=129&amp;ID1=11012210&amp;VALUEID=02001&amp;SDATE=201102&amp;PERIODTYPE=QTR_STD&amp;SCFT=3&amp;window=popup_no_bar&amp;width=385&amp;height=120&amp;START_MAXIMIZED=FALSE&amp;creator=factset&amp;display_string=Audit"}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Viewer?action=AUDIT_VALUE&amp;DB=129&amp;ID1=11012210&amp;VALUEID=02001&amp;SDATE=201102&amp;PERIODTYPE=QTR_STD&amp;SCFT=3&amp;window=popup_no_bar&amp;width=385&amp;height=120&amp;START_MAXIMIZED=FALSE&amp;creator=factset&amp;display_string=Audit"}</definedName>
    <definedName name="_87__FDSAUDITLINK__" localSheetId="27" hidden="1">{"fdsup://directions/FAT Viewer?action=UPDATE&amp;creator=factset&amp;DYN_ARGS=TRUE&amp;DOC_NAME=FAT:FQL_AUDITING_CLIENT_TEMPLATE.FAT&amp;display_string=Audit&amp;VAR:KEY=DKTMXEVMHY&amp;VAR:QUERY=RkZfREVCVChRVFIsMCk=&amp;WINDOW=FIRST_POPUP&amp;HEIGHT=450&amp;WIDTH=450&amp;START_MAXIMIZED=FALSE&amp;VA","R:CALENDAR=FIVEDAY&amp;VAR:SYMBOL=BMY&amp;VAR:INDEX=0"}</definedName>
    <definedName name="_87__FDSAUDITLINK__" localSheetId="28" hidden="1">{"fdsup://directions/FAT Viewer?action=UPDATE&amp;creator=factset&amp;DYN_ARGS=TRUE&amp;DOC_NAME=FAT:FQL_AUDITING_CLIENT_TEMPLATE.FAT&amp;display_string=Audit&amp;VAR:KEY=DKTMXEVMHY&amp;VAR:QUERY=RkZfREVCVChRVFIsMCk=&amp;WINDOW=FIRST_POPUP&amp;HEIGHT=450&amp;WIDTH=450&amp;START_MAXIMIZED=FALSE&amp;VA","R:CALENDAR=FIVEDAY&amp;VAR:SYMBOL=BMY&amp;VAR:INDEX=0"}</definedName>
    <definedName name="_87__FDSAUDITLINK__" hidden="1">{"fdsup://directions/FAT Viewer?action=UPDATE&amp;creator=factset&amp;DYN_ARGS=TRUE&amp;DOC_NAME=FAT:FQL_AUDITING_CLIENT_TEMPLATE.FAT&amp;display_string=Audit&amp;VAR:KEY=DKTMXEVMHY&amp;VAR:QUERY=RkZfREVCVChRVFIsMCk=&amp;WINDOW=FIRST_POPUP&amp;HEIGHT=450&amp;WIDTH=450&amp;START_MAXIMIZED=FALSE&amp;VA","R:CALENDAR=FIVEDAY&amp;VAR:SYMBOL=BMY&amp;VAR:INDEX=0"}</definedName>
    <definedName name="_88__FDSAUDITLINK__" localSheetId="27" hidden="1">{"fdsup://Directions/FactSet Auditing Viewer?action=AUDIT_VALUE&amp;DB=129&amp;ID1=47816010&amp;VALUEID=02001&amp;SDATE=201102&amp;PERIODTYPE=QTR_STD&amp;SCFT=3&amp;window=popup_no_bar&amp;width=385&amp;height=120&amp;START_MAXIMIZED=FALSE&amp;creator=factset&amp;display_string=Audit"}</definedName>
    <definedName name="_88__FDSAUDITLINK__" localSheetId="28" hidden="1">{"fdsup://Directions/FactSet Auditing Viewer?action=AUDIT_VALUE&amp;DB=129&amp;ID1=47816010&amp;VALUEID=02001&amp;SDATE=201102&amp;PERIODTYPE=QTR_STD&amp;SCFT=3&amp;window=popup_no_bar&amp;width=385&amp;height=120&amp;START_MAXIMIZED=FALSE&amp;creator=factset&amp;display_string=Audit"}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Viewer?action=AUDIT_VALUE&amp;DB=129&amp;ID1=47816010&amp;VALUEID=02001&amp;SDATE=201102&amp;PERIODTYPE=QTR_STD&amp;SCFT=3&amp;window=popup_no_bar&amp;width=385&amp;height=120&amp;START_MAXIMIZED=FALSE&amp;creator=factset&amp;display_string=Audit"}</definedName>
    <definedName name="_89__FDSAUDITLINK__" localSheetId="27" hidden="1">{"fdsup://directions/FAT Viewer?action=UPDATE&amp;creator=factset&amp;DYN_ARGS=TRUE&amp;DOC_NAME=FAT:FQL_AUDITING_CLIENT_TEMPLATE.FAT&amp;display_string=Audit&amp;VAR:KEY=TCZQTEZSZW&amp;VAR:QUERY=RkZfREVCVChRVFIsMCk=&amp;WINDOW=FIRST_POPUP&amp;HEIGHT=450&amp;WIDTH=450&amp;START_MAXIMIZED=FALSE&amp;VA","R:CALENDAR=FIVEDAY&amp;VAR:SYMBOL=JNJ&amp;VAR:INDEX=0"}</definedName>
    <definedName name="_89__FDSAUDITLINK__" localSheetId="28" hidden="1">{"fdsup://directions/FAT Viewer?action=UPDATE&amp;creator=factset&amp;DYN_ARGS=TRUE&amp;DOC_NAME=FAT:FQL_AUDITING_CLIENT_TEMPLATE.FAT&amp;display_string=Audit&amp;VAR:KEY=TCZQTEZSZW&amp;VAR:QUERY=RkZfREVCVChRVFIsMCk=&amp;WINDOW=FIRST_POPUP&amp;HEIGHT=450&amp;WIDTH=450&amp;START_MAXIMIZED=FALSE&amp;VA","R:CALENDAR=FIVEDAY&amp;VAR:SYMBOL=JNJ&amp;VAR:INDEX=0"}</definedName>
    <definedName name="_89__FDSAUDITLINK__" hidden="1">{"fdsup://directions/FAT Viewer?action=UPDATE&amp;creator=factset&amp;DYN_ARGS=TRUE&amp;DOC_NAME=FAT:FQL_AUDITING_CLIENT_TEMPLATE.FAT&amp;display_string=Audit&amp;VAR:KEY=TCZQTEZSZW&amp;VAR:QUERY=RkZfREVCVChRVFIsMCk=&amp;WINDOW=FIRST_POPUP&amp;HEIGHT=450&amp;WIDTH=450&amp;START_MAXIMIZED=FALSE&amp;VA","R:CALENDAR=FIVEDAY&amp;VAR:SYMBOL=JNJ&amp;VAR:INDEX=0"}</definedName>
    <definedName name="_9__FDSAUDITLINK__" localSheetId="27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28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0__FDSAUDITLINK__" localSheetId="27" hidden="1">{"fdsup://Directions/FactSet Auditing Viewer?action=AUDIT_VALUE&amp;DB=129&amp;ID1=53245710&amp;VALUEID=02001&amp;SDATE=201102&amp;PERIODTYPE=QTR_STD&amp;SCFT=3&amp;window=popup_no_bar&amp;width=385&amp;height=120&amp;START_MAXIMIZED=FALSE&amp;creator=factset&amp;display_string=Audit"}</definedName>
    <definedName name="_90__FDSAUDITLINK__" localSheetId="28" hidden="1">{"fdsup://Directions/FactSet Auditing Viewer?action=AUDIT_VALUE&amp;DB=129&amp;ID1=53245710&amp;VALUEID=02001&amp;SDATE=201102&amp;PERIODTYPE=QTR_STD&amp;SCFT=3&amp;window=popup_no_bar&amp;width=385&amp;height=120&amp;START_MAXIMIZED=FALSE&amp;creator=factset&amp;display_string=Audit"}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Viewer?action=AUDIT_VALUE&amp;DB=129&amp;ID1=53245710&amp;VALUEID=02001&amp;SDATE=201102&amp;PERIODTYPE=QTR_STD&amp;SCFT=3&amp;window=popup_no_bar&amp;width=385&amp;height=120&amp;START_MAXIMIZED=FALSE&amp;creator=factset&amp;display_string=Audit"}</definedName>
    <definedName name="_91__FDSAUDITLINK__" localSheetId="27" hidden="1">{"fdsup://directions/FAT Viewer?action=UPDATE&amp;creator=factset&amp;DYN_ARGS=TRUE&amp;DOC_NAME=FAT:FQL_AUDITING_CLIENT_TEMPLATE.FAT&amp;display_string=Audit&amp;VAR:KEY=XEBYRMFCTI&amp;VAR:QUERY=RkZfREVCVChRVFIsMCk=&amp;WINDOW=FIRST_POPUP&amp;HEIGHT=450&amp;WIDTH=450&amp;START_MAXIMIZED=FALSE&amp;VA","R:CALENDAR=FIVEDAY&amp;VAR:SYMBOL=LLY&amp;VAR:INDEX=0"}</definedName>
    <definedName name="_91__FDSAUDITLINK__" localSheetId="28" hidden="1">{"fdsup://directions/FAT Viewer?action=UPDATE&amp;creator=factset&amp;DYN_ARGS=TRUE&amp;DOC_NAME=FAT:FQL_AUDITING_CLIENT_TEMPLATE.FAT&amp;display_string=Audit&amp;VAR:KEY=XEBYRMFCTI&amp;VAR:QUERY=RkZfREVCVChRVFIsMCk=&amp;WINDOW=FIRST_POPUP&amp;HEIGHT=450&amp;WIDTH=450&amp;START_MAXIMIZED=FALSE&amp;VA","R:CALENDAR=FIVEDAY&amp;VAR:SYMBOL=LLY&amp;VAR:INDEX=0"}</definedName>
    <definedName name="_91__FDSAUDITLINK__" hidden="1">{"fdsup://directions/FAT Viewer?action=UPDATE&amp;creator=factset&amp;DYN_ARGS=TRUE&amp;DOC_NAME=FAT:FQL_AUDITING_CLIENT_TEMPLATE.FAT&amp;display_string=Audit&amp;VAR:KEY=XEBYRMFCTI&amp;VAR:QUERY=RkZfREVCVChRVFIsMCk=&amp;WINDOW=FIRST_POPUP&amp;HEIGHT=450&amp;WIDTH=450&amp;START_MAXIMIZED=FALSE&amp;VA","R:CALENDAR=FIVEDAY&amp;VAR:SYMBOL=LLY&amp;VAR:INDEX=0"}</definedName>
    <definedName name="_92__FDSAUDITLINK__" localSheetId="27" hidden="1">{"fdsup://Directions/FactSet Auditing Viewer?action=AUDIT_VALUE&amp;DB=129&amp;ID1=58933Y10&amp;VALUEID=02001&amp;SDATE=201102&amp;PERIODTYPE=QTR_STD&amp;SCFT=3&amp;window=popup_no_bar&amp;width=385&amp;height=120&amp;START_MAXIMIZED=FALSE&amp;creator=factset&amp;display_string=Audit"}</definedName>
    <definedName name="_92__FDSAUDITLINK__" localSheetId="28" hidden="1">{"fdsup://Directions/FactSet Auditing Viewer?action=AUDIT_VALUE&amp;DB=129&amp;ID1=58933Y10&amp;VALUEID=02001&amp;SDATE=201102&amp;PERIODTYPE=QTR_STD&amp;SCFT=3&amp;window=popup_no_bar&amp;width=385&amp;height=120&amp;START_MAXIMIZED=FALSE&amp;creator=factset&amp;display_string=Audit"}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Viewer?action=AUDIT_VALUE&amp;DB=129&amp;ID1=58933Y10&amp;VALUEID=02001&amp;SDATE=201102&amp;PERIODTYPE=QTR_STD&amp;SCFT=3&amp;window=popup_no_bar&amp;width=385&amp;height=120&amp;START_MAXIMIZED=FALSE&amp;creator=factset&amp;display_string=Audit"}</definedName>
    <definedName name="_93__FDSAUDITLINK__" localSheetId="27" hidden="1">{"fdsup://directions/FAT Viewer?action=UPDATE&amp;creator=factset&amp;DYN_ARGS=TRUE&amp;DOC_NAME=FAT:FQL_AUDITING_CLIENT_TEMPLATE.FAT&amp;display_string=Audit&amp;VAR:KEY=VSHAXOFKJC&amp;VAR:QUERY=RkZfREVCVChRVFIsMCk=&amp;WINDOW=FIRST_POPUP&amp;HEIGHT=450&amp;WIDTH=450&amp;START_MAXIMIZED=FALSE&amp;VA","R:CALENDAR=FIVEDAY&amp;VAR:SYMBOL=MRK&amp;VAR:INDEX=0"}</definedName>
    <definedName name="_93__FDSAUDITLINK__" localSheetId="28" hidden="1">{"fdsup://directions/FAT Viewer?action=UPDATE&amp;creator=factset&amp;DYN_ARGS=TRUE&amp;DOC_NAME=FAT:FQL_AUDITING_CLIENT_TEMPLATE.FAT&amp;display_string=Audit&amp;VAR:KEY=VSHAXOFKJC&amp;VAR:QUERY=RkZfREVCVChRVFIsMCk=&amp;WINDOW=FIRST_POPUP&amp;HEIGHT=450&amp;WIDTH=450&amp;START_MAXIMIZED=FALSE&amp;VA","R:CALENDAR=FIVEDAY&amp;VAR:SYMBOL=MRK&amp;VAR:INDEX=0"}</definedName>
    <definedName name="_93__FDSAUDITLINK__" hidden="1">{"fdsup://directions/FAT Viewer?action=UPDATE&amp;creator=factset&amp;DYN_ARGS=TRUE&amp;DOC_NAME=FAT:FQL_AUDITING_CLIENT_TEMPLATE.FAT&amp;display_string=Audit&amp;VAR:KEY=VSHAXOFKJC&amp;VAR:QUERY=RkZfREVCVChRVFIsMCk=&amp;WINDOW=FIRST_POPUP&amp;HEIGHT=450&amp;WIDTH=450&amp;START_MAXIMIZED=FALSE&amp;VA","R:CALENDAR=FIVEDAY&amp;VAR:SYMBOL=MRK&amp;VAR:INDEX=0"}</definedName>
    <definedName name="_94__FDSAUDITLINK__" localSheetId="27" hidden="1">{"fdsup://Directions/FactSet Auditing Viewer?action=AUDIT_VALUE&amp;DB=129&amp;ID1=71708110&amp;VALUEID=02001&amp;SDATE=201102&amp;PERIODTYPE=QTR_STD&amp;SCFT=3&amp;window=popup_no_bar&amp;width=385&amp;height=120&amp;START_MAXIMIZED=FALSE&amp;creator=factset&amp;display_string=Audit"}</definedName>
    <definedName name="_94__FDSAUDITLINK__" localSheetId="28" hidden="1">{"fdsup://Directions/FactSet Auditing Viewer?action=AUDIT_VALUE&amp;DB=129&amp;ID1=71708110&amp;VALUEID=02001&amp;SDATE=201102&amp;PERIODTYPE=QTR_STD&amp;SCFT=3&amp;window=popup_no_bar&amp;width=385&amp;height=120&amp;START_MAXIMIZED=FALSE&amp;creator=factset&amp;display_string=Audit"}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Viewer?action=AUDIT_VALUE&amp;DB=129&amp;ID1=71708110&amp;VALUEID=02001&amp;SDATE=201102&amp;PERIODTYPE=QTR_STD&amp;SCFT=3&amp;window=popup_no_bar&amp;width=385&amp;height=120&amp;START_MAXIMIZED=FALSE&amp;creator=factset&amp;display_string=Audit"}</definedName>
    <definedName name="_95__FDSAUDITLINK__" localSheetId="27" hidden="1">{"fdsup://directions/FAT Viewer?action=UPDATE&amp;creator=factset&amp;DYN_ARGS=TRUE&amp;DOC_NAME=FAT:FQL_AUDITING_CLIENT_TEMPLATE.FAT&amp;display_string=Audit&amp;VAR:KEY=DKFMPYNSHQ&amp;VAR:QUERY=RkZfREVCVChRVFIsMCk=&amp;WINDOW=FIRST_POPUP&amp;HEIGHT=450&amp;WIDTH=450&amp;START_MAXIMIZED=FALSE&amp;VA","R:CALENDAR=FIVEDAY&amp;VAR:SYMBOL=PFE&amp;VAR:INDEX=0"}</definedName>
    <definedName name="_95__FDSAUDITLINK__" localSheetId="28" hidden="1">{"fdsup://directions/FAT Viewer?action=UPDATE&amp;creator=factset&amp;DYN_ARGS=TRUE&amp;DOC_NAME=FAT:FQL_AUDITING_CLIENT_TEMPLATE.FAT&amp;display_string=Audit&amp;VAR:KEY=DKFMPYNSHQ&amp;VAR:QUERY=RkZfREVCVChRVFIsMCk=&amp;WINDOW=FIRST_POPUP&amp;HEIGHT=450&amp;WIDTH=450&amp;START_MAXIMIZED=FALSE&amp;VA","R:CALENDAR=FIVEDAY&amp;VAR:SYMBOL=PFE&amp;VAR:INDEX=0"}</definedName>
    <definedName name="_95__FDSAUDITLINK__" hidden="1">{"fdsup://directions/FAT Viewer?action=UPDATE&amp;creator=factset&amp;DYN_ARGS=TRUE&amp;DOC_NAME=FAT:FQL_AUDITING_CLIENT_TEMPLATE.FAT&amp;display_string=Audit&amp;VAR:KEY=DKFMPYNSHQ&amp;VAR:QUERY=RkZfREVCVChRVFIsMCk=&amp;WINDOW=FIRST_POPUP&amp;HEIGHT=450&amp;WIDTH=450&amp;START_MAXIMIZED=FALSE&amp;VA","R:CALENDAR=FIVEDAY&amp;VAR:SYMBOL=PFE&amp;VAR:INDEX=0"}</definedName>
    <definedName name="_96__FDSAUDITLINK__" localSheetId="27" hidden="1">{"fdsup://directions/FAT Viewer?action=UPDATE&amp;creator=factset&amp;DYN_ARGS=TRUE&amp;DOC_NAME=FAT:FQL_AUDITING_CLIENT_TEMPLATE.FAT&amp;display_string=Audit&amp;VAR:KEY=JWRODKFUNO&amp;VAR:QUERY=RkZfREVCVChRVFIsMCk=&amp;WINDOW=FIRST_POPUP&amp;HEIGHT=450&amp;WIDTH=450&amp;START_MAXIMIZED=FALSE&amp;VA","R:CALENDAR=FIVEDAY&amp;VAR:SYMBOL=AZN&amp;VAR:INDEX=0"}</definedName>
    <definedName name="_96__FDSAUDITLINK__" localSheetId="28" hidden="1">{"fdsup://directions/FAT Viewer?action=UPDATE&amp;creator=factset&amp;DYN_ARGS=TRUE&amp;DOC_NAME=FAT:FQL_AUDITING_CLIENT_TEMPLATE.FAT&amp;display_string=Audit&amp;VAR:KEY=JWRODKFUNO&amp;VAR:QUERY=RkZfREVCVChRVFIsMCk=&amp;WINDOW=FIRST_POPUP&amp;HEIGHT=450&amp;WIDTH=450&amp;START_MAXIMIZED=FALSE&amp;VA","R:CALENDAR=FIVEDAY&amp;VAR:SYMBOL=AZN&amp;VAR:INDEX=0"}</definedName>
    <definedName name="_96__FDSAUDITLINK__" hidden="1">{"fdsup://directions/FAT Viewer?action=UPDATE&amp;creator=factset&amp;DYN_ARGS=TRUE&amp;DOC_NAME=FAT:FQL_AUDITING_CLIENT_TEMPLATE.FAT&amp;display_string=Audit&amp;VAR:KEY=JWRODKFUNO&amp;VAR:QUERY=RkZfREVCVChRVFIsMCk=&amp;WINDOW=FIRST_POPUP&amp;HEIGHT=450&amp;WIDTH=450&amp;START_MAXIMIZED=FALSE&amp;VA","R:CALENDAR=FIVEDAY&amp;VAR:SYMBOL=AZN&amp;VAR:INDEX=0"}</definedName>
    <definedName name="_97__FDSAUDITLINK__" localSheetId="27" hidden="1">{"fdsup://directions/FAT Viewer?action=UPDATE&amp;creator=factset&amp;DYN_ARGS=TRUE&amp;DOC_NAME=FAT:FQL_AUDITING_CLIENT_TEMPLATE.FAT&amp;display_string=Audit&amp;VAR:KEY=DIZEHARWFQ&amp;VAR:QUERY=RkZfREVCVChRVFIsMCk=&amp;WINDOW=FIRST_POPUP&amp;HEIGHT=450&amp;WIDTH=450&amp;START_MAXIMIZED=FALSE&amp;VA","R:CALENDAR=FIVEDAY&amp;VAR:SYMBOL=NVS&amp;VAR:INDEX=0"}</definedName>
    <definedName name="_97__FDSAUDITLINK__" localSheetId="28" hidden="1">{"fdsup://directions/FAT Viewer?action=UPDATE&amp;creator=factset&amp;DYN_ARGS=TRUE&amp;DOC_NAME=FAT:FQL_AUDITING_CLIENT_TEMPLATE.FAT&amp;display_string=Audit&amp;VAR:KEY=DIZEHARWFQ&amp;VAR:QUERY=RkZfREVCVChRVFIsMCk=&amp;WINDOW=FIRST_POPUP&amp;HEIGHT=450&amp;WIDTH=450&amp;START_MAXIMIZED=FALSE&amp;VA","R:CALENDAR=FIVEDAY&amp;VAR:SYMBOL=NVS&amp;VAR:INDEX=0"}</definedName>
    <definedName name="_97__FDSAUDITLINK__" hidden="1">{"fdsup://directions/FAT Viewer?action=UPDATE&amp;creator=factset&amp;DYN_ARGS=TRUE&amp;DOC_NAME=FAT:FQL_AUDITING_CLIENT_TEMPLATE.FAT&amp;display_string=Audit&amp;VAR:KEY=DIZEHARWFQ&amp;VAR:QUERY=RkZfREVCVChRVFIsMCk=&amp;WINDOW=FIRST_POPUP&amp;HEIGHT=450&amp;WIDTH=450&amp;START_MAXIMIZED=FALSE&amp;VA","R:CALENDAR=FIVEDAY&amp;VAR:SYMBOL=NVS&amp;VAR:INDEX=0"}</definedName>
    <definedName name="_98__FDSAUDITLINK__" localSheetId="27" hidden="1">{"fdsup://directions/FAT Viewer?action=UPDATE&amp;creator=factset&amp;DYN_ARGS=TRUE&amp;DOC_NAME=FAT:FQL_AUDITING_CLIENT_TEMPLATE.FAT&amp;display_string=Audit&amp;VAR:KEY=VSPITILQPU&amp;VAR:QUERY=RkZfREVCVChRVFIsMCk=&amp;WINDOW=FIRST_POPUP&amp;HEIGHT=450&amp;WIDTH=450&amp;START_MAXIMIZED=FALSE&amp;VA","R:CALENDAR=FIVEDAY&amp;VAR:SYMBOL=SHPGY&amp;VAR:INDEX=0"}</definedName>
    <definedName name="_98__FDSAUDITLINK__" localSheetId="28" hidden="1">{"fdsup://directions/FAT Viewer?action=UPDATE&amp;creator=factset&amp;DYN_ARGS=TRUE&amp;DOC_NAME=FAT:FQL_AUDITING_CLIENT_TEMPLATE.FAT&amp;display_string=Audit&amp;VAR:KEY=VSPITILQPU&amp;VAR:QUERY=RkZfREVCVChRVFIsMCk=&amp;WINDOW=FIRST_POPUP&amp;HEIGHT=450&amp;WIDTH=450&amp;START_MAXIMIZED=FALSE&amp;VA","R:CALENDAR=FIVEDAY&amp;VAR:SYMBOL=SHPGY&amp;VAR:INDEX=0"}</definedName>
    <definedName name="_98__FDSAUDITLINK__" hidden="1">{"fdsup://directions/FAT Viewer?action=UPDATE&amp;creator=factset&amp;DYN_ARGS=TRUE&amp;DOC_NAME=FAT:FQL_AUDITING_CLIENT_TEMPLATE.FAT&amp;display_string=Audit&amp;VAR:KEY=VSPITILQPU&amp;VAR:QUERY=RkZfREVCVChRVFIsMCk=&amp;WINDOW=FIRST_POPUP&amp;HEIGHT=450&amp;WIDTH=450&amp;START_MAXIMIZED=FALSE&amp;VA","R:CALENDAR=FIVEDAY&amp;VAR:SYMBOL=SHPGY&amp;VAR:INDEX=0"}</definedName>
    <definedName name="_99__FDSAUDITLINK__" localSheetId="27" hidden="1">{"fdsup://Directions/FactSet Auditing Viewer?action=AUDIT_VALUE&amp;DB=129&amp;ID1=01535110&amp;VALUEID=02001&amp;SDATE=201102&amp;PERIODTYPE=QTR_STD&amp;SCFT=3&amp;window=popup_no_bar&amp;width=385&amp;height=120&amp;START_MAXIMIZED=FALSE&amp;creator=factset&amp;display_string=Audit"}</definedName>
    <definedName name="_99__FDSAUDITLINK__" localSheetId="28" hidden="1">{"fdsup://Directions/FactSet Auditing Viewer?action=AUDIT_VALUE&amp;DB=129&amp;ID1=01535110&amp;VALUEID=02001&amp;SDATE=201102&amp;PERIODTYPE=QTR_STD&amp;SCFT=3&amp;window=popup_no_bar&amp;width=385&amp;height=120&amp;START_MAXIMIZED=FALSE&amp;creator=factset&amp;display_string=Audit"}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Viewer?action=AUDIT_VALUE&amp;DB=129&amp;ID1=01535110&amp;VALUEID=02001&amp;SDATE=201102&amp;PERIODTYPE=QTR_STD&amp;SCFT=3&amp;window=popup_no_bar&amp;width=385&amp;height=120&amp;START_MAXIMIZED=FALSE&amp;creator=factset&amp;display_string=Audit"}</definedName>
    <definedName name="_B1">[2]Annual!$G$18</definedName>
    <definedName name="_bdm.02E29E7B1053433EA3CCCBE4E5141596.edm" hidden="1">[3]Sheet1!$A:$IV</definedName>
    <definedName name="_bdm.0465D0F8BD2C4E888AB9C11EA0CBE52C.edm" hidden="1">'[4]rev change analysis'!$A:$IV</definedName>
    <definedName name="_bdm.14200C51F23343DBA038D22B6303B8CC.edm" hidden="1">[5]Cashflow!$A:$IV</definedName>
    <definedName name="_bdm.22794A4B010A4A8692E496303EA793DB.edm" hidden="1">[6]Cashflow!$A:$IV</definedName>
    <definedName name="_bdm.23CAB1676C0C411BB6D812CE5B582BC0.edm" hidden="1">'[4]MWA RR'!$A:$IV</definedName>
    <definedName name="_bdm.2DD2C96D34A94119897BA9F9064DA371.edm" hidden="1">'[7]rev change analysis'!$A:$IV</definedName>
    <definedName name="_bdm.31B38A4456914D13B036C519BB497D92.edm" hidden="1">'[8]rev change analysis'!$A:$IV</definedName>
    <definedName name="_bdm.324D53C82F8D478AA4269D3A520A6972.edm" hidden="1">[6]Figures!$A:$IV</definedName>
    <definedName name="_bdm.37E6BDDA51D64107AEC413E364833DAE.edm" hidden="1">'[5]Avastin-Patient Ramp'!$A:$IV</definedName>
    <definedName name="_bdm.384BFCED33ED4B149016C877E23F998D.edm" hidden="1">'[8]short IS'!$A:$IV</definedName>
    <definedName name="_bdm.3AE51B349CB64710914C57BF7EAD0F08.edm" hidden="1">[6]Marketing!$A:$IV</definedName>
    <definedName name="_bdm.42F67CCC3C1C45638B5EC98256E90947.edm" hidden="1">'[9]Good 12-00 (2)'!$A:$IV</definedName>
    <definedName name="_bdm.46D56600DB7840728F138544F8E425DB.edm" hidden="1">'[9]Good 11-36'!$A:$IV</definedName>
    <definedName name="_bdm.59DAE95C438A45BCAAC5BE8FD0F1D4C4.edm" localSheetId="28" hidden="1">'[10]US Data Var'!$A:$IV</definedName>
    <definedName name="_bdm.59DAE95C438A45BCAAC5BE8FD0F1D4C4.edm" localSheetId="29" hidden="1">'[10]US Data Var'!$A:$IV</definedName>
    <definedName name="_bdm.5F1885707D3344F0A4139CF01D1D1F5E.edm" hidden="1">[5]Annual!$A:$IV</definedName>
    <definedName name="_bdm.60A1016E4A5045B0B4BE42FB21AAF6D6.edm" hidden="1">'[9]Good 11-50'!$A:$IV</definedName>
    <definedName name="_bdm.65F9EB696FC746649BC61AD8D778200B.edm" hidden="1">[6]Annual!$A:$IV</definedName>
    <definedName name="_bdm.728F11F0AFCA412FB7ED10EC5A6B0D96.edm" hidden="1">'[5]Balance Sheet '!$A:$IV</definedName>
    <definedName name="_bdm.7317521E367C4A50896524C70180A68C.edm" hidden="1">'[8]2015 rev change'!$A:$IV</definedName>
    <definedName name="_bdm.731BDA48F9E34C35A30B181461F49F5F.edm" hidden="1">'[11]Retail prices'!$A:$IV</definedName>
    <definedName name="_bdm.76074D17ADD044A287D271B1AAFC4036.edm" hidden="1">'[8]Product Mix 100%'!$A:$IV</definedName>
    <definedName name="_bdm.77192A69936D48368D0A13E908672759.edm" hidden="1">'[8]cost savings'!$A:$IV</definedName>
    <definedName name="_bdm.77453DAF91854373A25ACDB8F1877D47.edm" hidden="1">'[6]Balance Sheet '!$A:$IV</definedName>
    <definedName name="_bdm.7757076A173D4402BD533DE2F5EDA064.edm" hidden="1">[5]Manufacturing!$A:$IV</definedName>
    <definedName name="_bdm.84F38A9759994A80A6CF34B5BBEB633C.edm" hidden="1">'[12]rev change analysis'!$A:$IV</definedName>
    <definedName name="_bdm.9301DDFC67D846248C16E96B86458D94.edm" hidden="1">'[4]rev contribution analysis'!$A:$IV</definedName>
    <definedName name="_bdm.95B3BB646EED4CCE80790D8D8638B047.edm" hidden="1">'[6]MS Est. Vs Actual'!$A:$IV</definedName>
    <definedName name="_bdm.A14504C4685843CABFA70BDB420D1B49.edm" hidden="1">[6]ProcritAranesp!$A:$IV</definedName>
    <definedName name="_bdm.B21B9DDD275E448CBEA15C84DEF8CA9D.edm" hidden="1">'[5]MS Est vs. Rpt'!$A:$IV</definedName>
    <definedName name="_bdm.C143B498FEE343158C5059FD7AD9D747.edm" hidden="1">'[5]Changes to the Model'!$A:$IV</definedName>
    <definedName name="_bdm.C7C6FBA36F39444B8BCEC128D5B7F931.edm" hidden="1">'[9]Sheet3 (5)'!$A:$IV</definedName>
    <definedName name="_bdm.CA0B0CAC6522419B8221BEA627D1C086.edm" hidden="1">'[5]Clinical data'!$A:$IV</definedName>
    <definedName name="_bdm.CA0B3AD6743A4F68B0D719ED6EBECAA8.edm" hidden="1">[5]Marketing!$A:$IV</definedName>
    <definedName name="_bdm.DA3D26E750D24936AEE5B87A52DD73E7.edm" hidden="1">[6]Quarterly!$A:$IV</definedName>
    <definedName name="_bdm.E21E382C69DA4447AFEB970D63072EC7.edm" hidden="1">[5]Quarterly!$A:$IV</definedName>
    <definedName name="_bdm.E2B991B7B5454C4CBE252B2B73D6513B.edm" hidden="1">[13]margins!$A:$IV</definedName>
    <definedName name="_bdm.E740C0FDA4514EE4A13531D2644E24FE.edm" hidden="1">'[6]Changes to Model'!$A:$IV</definedName>
    <definedName name="_bdm.E93CF733CE1D4A5A94E3C95B0A7E783E.edm" hidden="1">[5]Model_Template!$A:$IV</definedName>
    <definedName name="_bdm.F0D73515AC3D4919BC3602806970DE2D.edm" hidden="1">'[8]Per Pharma Traditional &amp; Biolog'!$A:$IV</definedName>
    <definedName name="_bdm.F503F160FFA641EDB1AD757205401861.edm" hidden="1">'[13]rev change analysis'!$A:$IV</definedName>
    <definedName name="_D1">[2]Annual!$I$18</definedName>
    <definedName name="_F1">[2]Annual!$K$18</definedName>
    <definedName name="_fy2001">'[1]5 yr Sales and Earnings'!$C$1:$C$170</definedName>
    <definedName name="_Inc01">[15]IS!$AP$7:$AQ$38</definedName>
    <definedName name="_Inc02">[15]IS!$AW$7:$AX$38</definedName>
    <definedName name="_Inc96">[15]IS!$I$7:$J$38</definedName>
    <definedName name="_Inc97">[15]IS!$O$7:$P$38</definedName>
    <definedName name="_Inc98">[15]IS!$U$7:$W$38</definedName>
    <definedName name="_Inc99">[15]IS!$AB$7:$AB$38</definedName>
    <definedName name="_Key1" hidden="1">[16]単独!$U$1</definedName>
    <definedName name="_new1" localSheetId="27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new1" localSheetId="2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Order1" hidden="1">255</definedName>
    <definedName name="_RD01">[17]Annual!$E$21</definedName>
    <definedName name="_RD02">[17]Annual!$F$21</definedName>
    <definedName name="_RD03">[17]Annual!$G$21</definedName>
    <definedName name="_RD04">[17]Annual!$I$21</definedName>
    <definedName name="_RD05">[17]Annual!$K$21</definedName>
    <definedName name="_RD06">[17]Annual!$M$21</definedName>
    <definedName name="_RD07">[18]Annual!$O$16</definedName>
    <definedName name="_Sort" hidden="1">[16]単独!$A$512:$AC$552</definedName>
    <definedName name="a" hidden="1">[16]ｾｸﾞﾒﾝﾄ!$E$165:$I$165</definedName>
    <definedName name="abc" localSheetId="27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bc" localSheetId="28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bc" localSheetId="29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bc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cc_payable">[20]Data_Download!$C$17:$AE$17</definedName>
    <definedName name="Acc_payable_growth_fore">[20]Data_Download!$H$150:$K$150</definedName>
    <definedName name="Acc_Rec">[20]Data_Download!$C$7:$AE$7</definedName>
    <definedName name="Acc_Rec_growth_fore">[20]Data_Download!$H$147:$K$147</definedName>
    <definedName name="Acc_Rec_turns">[20]Data_Download!$C$95:$Q$95</definedName>
    <definedName name="Accel_Ratio">[20]Data_Download!$E$9</definedName>
    <definedName name="Accrued_compensation">[20]Data_Download!$C$20:$AE$20</definedName>
    <definedName name="Accrued_compensation_growth_fore">[20]Data_Download!$H$153:$K$153</definedName>
    <definedName name="Accrued_expenses">[20]Data_Download!$C$18:$AE$18</definedName>
    <definedName name="Accrued_expenses_growth_fore">[20]Data_Download!$H$151:$K$151</definedName>
    <definedName name="Accum_Cap_Expenses">[20]Data_Download!$C$40:$AE$40</definedName>
    <definedName name="Accum_Cap_Expenses_growth_fore">[20]Data_Download!$H$164:$K$164</definedName>
    <definedName name="Accum_Goodwill_Amort">[20]Data_Download!$C$37:$AE$37</definedName>
    <definedName name="Accum_Goodwill_Amort_growth_fore">[20]Data_Download!$H$163:$K$163</definedName>
    <definedName name="Accum_Other_Amort.">[20]Data_Download!$C$39:$AZ$39</definedName>
    <definedName name="Actual" localSheetId="27" hidden="1">{#N/A,#N/A,TRUE,"Historicals";#N/A,#N/A,TRUE,"Charts";#N/A,#N/A,TRUE,"Forecasts"}</definedName>
    <definedName name="Actual" localSheetId="28" hidden="1">{#N/A,#N/A,TRUE,"Historicals";#N/A,#N/A,TRUE,"Charts";#N/A,#N/A,TRUE,"Forecasts"}</definedName>
    <definedName name="Actual" hidden="1">{#N/A,#N/A,TRUE,"Historicals";#N/A,#N/A,TRUE,"Charts";#N/A,#N/A,TRUE,"Forecasts"}</definedName>
    <definedName name="AdditionalInstructions">IndexInformation!$B$42</definedName>
    <definedName name="Address" localSheetId="0">ImportantDisclosures!$A$2:$A$2</definedName>
    <definedName name="Adj_net_oper_fore">[20]Data_Download!$E$25:$X$25</definedName>
    <definedName name="Adjusted_Common_Equity">[20]Data_Download!$C$83:$AE$83</definedName>
    <definedName name="Adjusted_Income_Available_to_Common">[20]Data_Download!$C$57:$AU$57</definedName>
    <definedName name="Adjusted_Net_Operating_Profit">[20]Data_Download!$C$26:$AU$26</definedName>
    <definedName name="adsf">'[21]Qtr Sales'!$BS$2:$CT$127</definedName>
    <definedName name="After_tax_charge">[20]Data_Download!$C$60:$AZ$60</definedName>
    <definedName name="After_Tax_charges_gains">[20]Data_Download!$C$92:$AZ$92</definedName>
    <definedName name="Alliance_Revenue__Ex_Celebrex_Bextra_Beyond_2002">'[1]5 yr Sales and Earnings'!$A$45:$AA$45</definedName>
    <definedName name="ANA" localSheetId="31">ModPubIndex!$A$7</definedName>
    <definedName name="ANDROGEN">[22]Sheet1!$A$1:$J$53</definedName>
    <definedName name="anscount" hidden="1">1</definedName>
    <definedName name="Aricept">'[1]5 yr Sales and Earnings'!$A$17:$AA$17</definedName>
    <definedName name="Aricept__Int_l_revenues">'[1]5 yr Sales and Earnings'!$A$17:$AA$17</definedName>
    <definedName name="AROYAL2">'[23]FEES-R&amp;D'!$A$62:$L$124</definedName>
    <definedName name="asd" localSheetId="27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asd" localSheetId="11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asd" localSheetId="28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asd" localSheetId="29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asd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asda" localSheetId="27" hidden="1">{"fdsup://directions/FAT%20Viewer?VAR:PED=20071231&amp;VAR:PERIOD=FIXED&amp;VAR:V=5.898401&amp;VAR:AUDIT_ID=71692910&amp;VAR:DATE=20100305&amp;action=UPDATE&amp;creator=factset&amp;DOC_NAME=FAT:FMA_audit_DETAIL.fat&amp;DISPLAY_STRING=Display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asda" localSheetId="28" hidden="1">{"fdsup://directions/FAT%20Viewer?VAR:PED=20071231&amp;VAR:PERIOD=FIXED&amp;VAR:V=5.898401&amp;VAR:AUDIT_ID=71692910&amp;VAR:DATE=20100305&amp;action=UPDATE&amp;creator=factset&amp;DOC_NAME=FAT:FMA_audit_DETAIL.fat&amp;DISPLAY_STRING=Display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asda" hidden="1">{"fdsup://directions/FAT%20Viewer?VAR:PED=20071231&amp;VAR:PERIOD=FIXED&amp;VAR:V=5.898401&amp;VAR:AUDIT_ID=71692910&amp;VAR:DATE=20100305&amp;action=UPDATE&amp;creator=factset&amp;DOC_NAME=FAT:FMA_audit_DETAIL.fat&amp;DISPLAY_STRING=Display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asdf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asdfhgjgkfjd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sfd">'[21]Qtr Sales'!$EM$2:$FJ$127</definedName>
    <definedName name="ATEMPSALES">'[23]ANN-SALES'!$A$47:$Y$75</definedName>
    <definedName name="Authors" localSheetId="0">ImportantDisclosures!$A$7</definedName>
    <definedName name="Authors" localSheetId="30">IndexInformation!$B$18</definedName>
    <definedName name="Average_invested_capital">[20]Data_Download!$C$89:$AZ$89</definedName>
    <definedName name="Average_invested_capital_DCF">[20]Data_Download!$C$78:$AZ$78</definedName>
    <definedName name="Average_thereafter">[20]Data_Download!$C$16:$AX$16</definedName>
    <definedName name="b" hidden="1">[16]ｾｸﾞﾒﾝﾄ!$E$167:$I$167</definedName>
    <definedName name="BasicEPS02">[24]Annual!$F$27</definedName>
    <definedName name="BasicEPS03">[24]Annual!$H$27</definedName>
    <definedName name="BasicEPS04">[24]Annual!$J$27</definedName>
    <definedName name="Bextra">'[1]5 yr Sales and Earnings'!$A$21:$AA$21</definedName>
    <definedName name="Bond_rating">[20]Data_Download!$H$12</definedName>
    <definedName name="Book_value_per_share">[20]Data_Download!$R$85:$AU$85</definedName>
    <definedName name="BRO" localSheetId="31">ModPubIndex!$A$1</definedName>
    <definedName name="BSMethod">2</definedName>
    <definedName name="Caduet">'[1]5 yr Sales and Earnings'!$A$12:$AA$12</definedName>
    <definedName name="calc">[0]!calc</definedName>
    <definedName name="Camptosar">'[1]5 yr Sales and Earnings'!$A$31:$AA$31</definedName>
    <definedName name="Cap._RnD_Asset_net_of_RnD_amort.">[20]Data_Download!$C$32:$AE$32</definedName>
    <definedName name="Capravirine">'[1]5 yr Sales and Earnings'!$A$40:$AA$40</definedName>
    <definedName name="Cardura">'[1]5 yr Sales and Earnings'!$A$8:$AA$8</definedName>
    <definedName name="Cash">[20]Data_Download!$C$4:$AU$4</definedName>
    <definedName name="Cash_DCF">[20]Data_Download!$C$33:$AZ$33</definedName>
    <definedName name="Cash_fore">[20]Data_Download!$E$43:$W$43</definedName>
    <definedName name="Cash_growth">[20]Data_Download!$M$152:$Q$152</definedName>
    <definedName name="Cash_growth_fore">[20]Data_Download!$E$55:$W$55</definedName>
    <definedName name="Cash_Operating_Taxes">[20]Data_Download!$C$39:$AU$39</definedName>
    <definedName name="Cash_operating_taxes_fore">[20]Data_Download!$E$28:$G$28</definedName>
    <definedName name="Cash2001">'[14]Balance Sheet'!$K$7</definedName>
    <definedName name="Cash2002">'[14]Balance Sheet'!$L$7</definedName>
    <definedName name="Cash2003">'[14]Balance Sheet'!$M$7</definedName>
    <definedName name="Cash2004">'[14]Balance Sheet'!$N$7</definedName>
    <definedName name="Cash2005">'[14]Balance Sheet'!$O$7</definedName>
    <definedName name="cb_sChart10D6460A_opts" hidden="1">"1, 1, 1, False, 2, True, False, , 0, False, False, 1, 1"</definedName>
    <definedName name="cb_sChart10D65256_opts" hidden="1">"1, 1, 1, False, 2, True, False, , 0, False, False, 1, 1"</definedName>
    <definedName name="cb_sChart10D653EB_opts" hidden="1">"1, 1, 1, False, 2, True, False, , 0, False, False, 1, 1"</definedName>
    <definedName name="cb_sChart10D65893_opts" hidden="1">"1, 1, 1, False, 2, True, False, , 0, False, False, 1, 1"</definedName>
    <definedName name="cb_sChartEE4CE1B_opts" hidden="1">"1, 4, 1, False, 2, False, False, , 0, False, False, 1, 1"</definedName>
    <definedName name="cb_sChartEE4CF99_opts" hidden="1">"1, 1, 1, False, 2, False, False, , 0, False, False, 1, 1"</definedName>
    <definedName name="cb_sChartEE4DD06_opts" hidden="1">"1, 1, 1, False, 2, False, False, , 0, False, False, 1, 2"</definedName>
    <definedName name="cb_sChartEE4E93B_opts" hidden="1">"1, 1, 1, False, 2, False, False, , 0, False, False, 1, 1"</definedName>
    <definedName name="cb_sChartEE51E95_opts" hidden="1">"1, 1, 1, False, 2, False, False, , 0, False, False, 1, 1"</definedName>
    <definedName name="cb_sChartEED7645_opts" hidden="1">"1, 1, 1, False, 2, False, False, , 0, False, False, 1, 1"</definedName>
    <definedName name="cb_sChartEEDA195_opts" hidden="1">"1, 1, 1, False, 2, False, False, , 0, False, False, 1, 1"</definedName>
    <definedName name="cb_sChartEEDC338_opts" hidden="1">"1, 1, 1, False, 2, False, False, , 0, False, False, 1, 1"</definedName>
    <definedName name="cb_sChartEEDEDB8_opts" hidden="1">"1, 1, 1, False, 2, False, False, , 0, False, True, 1, 1"</definedName>
    <definedName name="cb_sChartEEDEE5A_opts" hidden="1">"1, 3, 1, False, 2, True, False, , 0, False, True, 1, 1"</definedName>
    <definedName name="cb_sChartEEDF178_opts" hidden="1">"1, 3, 1, False, 2, False, False, , 0, False, True, 1, 1"</definedName>
    <definedName name="cb_sChartF6A6B11_opts" hidden="1">"1, 1, 1, False, 2, True, False, , 0, False, False, 1, 1"</definedName>
    <definedName name="cb_sChartFD191DC_opts" hidden="1">"1, 3, 1, False, 2, True, False, , 0, False, True, 1, 1"</definedName>
    <definedName name="cb_sChartFD1A245_opts" hidden="1">"1, 3, 1, False, 2, True, False, , 0, False, True, 1, 1"</definedName>
    <definedName name="cb_sChartFD3F0E9_opts" hidden="1">"1, 3, 1, False, 2, True, False, , 0, False, False, 1, 1"</definedName>
    <definedName name="cb_sChartFD3F27E_opts" hidden="1">"1, 3, 1, False, 2, True, False, , 0, False, True, 1, 1"</definedName>
    <definedName name="cb_sChartFD58483_opts" hidden="1">"1, 1, 1, False, 2, True, False, , 0, False, False, 1, 1"</definedName>
    <definedName name="cb_sChartFD5C4CD_opts" hidden="1">"1, 1, 1, False, 2, True, False, , 0, False, False, 1, 1"</definedName>
    <definedName name="cb_sChartFD5D4CE_opts" hidden="1">"1, 1, 1, False, 2, True, False, , 0, False, False, 1, 1"</definedName>
    <definedName name="cb_sChartFD5DF34_opts" hidden="1">"1, 1, 1, False, 2, True, False, , 0, False, False, 1, 1"</definedName>
    <definedName name="cb_sChartFD5EFC0_opts" hidden="1">"1, 1, 1, False, 2, True, False, , 0, False, False, 1, 1"</definedName>
    <definedName name="cb_sChartFD5FDB9_opts" hidden="1">"1, 1, 1, False, 2, True, False, , 0, False, False, 1, 1"</definedName>
    <definedName name="cb_sChartFE54712_opts" hidden="1">"1, 3, 1, False, 2, True, False, , 0, False, True, 1, 1"</definedName>
    <definedName name="cd">'[19]Qtr Income'!$A$1:$V$156</definedName>
    <definedName name="Celebrex">'[1]5 yr Sales and Earnings'!$A$20:$AA$20</definedName>
    <definedName name="CETP_Inhibitor">'[1]5 yr Sales and Earnings'!$A$41:$AA$41</definedName>
    <definedName name="Chg_in_fixed_assets">[20]Data_Download!$C$19:$AZ$19</definedName>
    <definedName name="Chg_in_other_assets">[20]Data_Download!$C$20:$AZ$20</definedName>
    <definedName name="Chg_in_working_capital">[20]Data_Download!$C$18:$AZ$18</definedName>
    <definedName name="Closing_price">[20]Data_Download!$C$54:$G$54</definedName>
    <definedName name="cmdOK2_click">[25]!cmdOK2_click</definedName>
    <definedName name="COGS_ex._cost_savings">'[1]5 yr Sales and Earnings'!$A$122:$AA$122</definedName>
    <definedName name="Commercial_paper">[20]Data_Download!$C$53:$AU$53</definedName>
    <definedName name="Company">[20]Data_Download!$B$5</definedName>
    <definedName name="CompanyName">[26]summary!$J$7</definedName>
    <definedName name="Competition">[27]Tables!$A$1:$D$13</definedName>
    <definedName name="Concentration_of_Pharmaceutical_Revenues">'[1]5 yr Sales and Earnings'!$A$105:$AA$105</definedName>
    <definedName name="Confectionery">'[1]5 yr Sales and Earnings'!$A$92:$AA$92</definedName>
    <definedName name="Consolidated_Sales">'[1]5 yr Sales and Earnings'!$A$93:$AA$93</definedName>
    <definedName name="Consumer_Health">'[1]5 yr Sales and Earnings'!$A$91:$AA$91</definedName>
    <definedName name="CopyrightStamp">ImportantDisclosures!$A$27</definedName>
    <definedName name="Cost_of_sales_net_of_D_A">[20]Data_Download!$C$103:$AU$103</definedName>
    <definedName name="Cost_Savings">'[1]5 yr Sales and Earnings'!$A$123:$AA$123</definedName>
    <definedName name="Costs_as_a___of_Sales">'[1]5 yr Sales and Earnings'!$A$120:$AA$120</definedName>
    <definedName name="COU" localSheetId="31">ModPubIndex!$A$5</definedName>
    <definedName name="CQEnd" localSheetId="30">IndexInformation!$B$31</definedName>
    <definedName name="cu102.ShareScalingFactor" hidden="1">1000000</definedName>
    <definedName name="cu103.EmployeeScalingFactor" hidden="1">1000</definedName>
    <definedName name="cu107.DPSSymbol" hidden="1">"US$"</definedName>
    <definedName name="cu107.EPSSymbol" hidden="1">"US$"</definedName>
    <definedName name="cu71.ScalingFactor" hidden="1">1000000</definedName>
    <definedName name="cu71.ScalingFactor_1" hidden="1">1000</definedName>
    <definedName name="Cumulative_PV_of_EVA">[20]Data_Download!$C$50:$BZ$50</definedName>
    <definedName name="Cumulative_PV_of_FCF">[20]Data_Download!$C$27:$AZ$27</definedName>
    <definedName name="Currency" localSheetId="30">IndexInformation!$B$24</definedName>
    <definedName name="Current_assets">[20]Data_Download!$C$15:$AE$15</definedName>
    <definedName name="Current_Price">[20]Data_Download!$U$28</definedName>
    <definedName name="CurrentStockPrice" localSheetId="30">IndexInformation!$B$23</definedName>
    <definedName name="CurrQtrEPS" localSheetId="30">IndexInformation!$B$29</definedName>
    <definedName name="CurrYearEPS" localSheetId="30">IndexInformation!$B$11</definedName>
    <definedName name="CurrYearTotalRevenue" localSheetId="30">IndexInformation!$B$10</definedName>
    <definedName name="CurrYearTotalRevenueActual" localSheetId="30">IndexInformation!$B$32</definedName>
    <definedName name="CUSIP" localSheetId="30">IndexInformation!$B$20</definedName>
    <definedName name="Customer_deposits">[20]Data_Download!$C$19:$AE$19</definedName>
    <definedName name="Customer_deposits_growth_fore">[20]Data_Download!$H$152:$K$152</definedName>
    <definedName name="CYEnd" localSheetId="30">IndexInformation!$B$30</definedName>
    <definedName name="d">'[19]Qrt Sales'!$A$3:$AM$133</definedName>
    <definedName name="daf">'[21]Qtr Sales'!$AH$2:$BQ$127</definedName>
    <definedName name="DATA_NEW">[28]Input!$H$6:$BE$465</definedName>
    <definedName name="dataseries4">OFFSET([29]c1!$G$12,0,0,COUNTA([29]c1!$G$12:$G$31),1)</definedName>
    <definedName name="Date" localSheetId="0">ImportantDisclosures!$A$8</definedName>
    <definedName name="DCF_1995">[20]Data_Download!$C$3:$C$204</definedName>
    <definedName name="DCF_1996">[20]Data_Download!$D$3:$D$203</definedName>
    <definedName name="DCF_1997">[20]Data_Download!$E$3:$E$201</definedName>
    <definedName name="DCF_1998">[20]Data_Download!$F$3:$F$201</definedName>
    <definedName name="DCF_1999">[20]Data_Download!$G$3:$G$201</definedName>
    <definedName name="DCF_2000">[20]Data_Download!$H$3:$H$201</definedName>
    <definedName name="DCF_2001">[20]Data_Download!$I$3:$I$201</definedName>
    <definedName name="DCF_2002">[20]Data_Download!$J$3:$J$201</definedName>
    <definedName name="DCF_2003">[20]Data_Download!$K$3:$K$201</definedName>
    <definedName name="DCF_2004">[20]Data_Download!$L$3:$L$201</definedName>
    <definedName name="DCF_2005">[20]Data_Download!$M$3:$M$201</definedName>
    <definedName name="DCF_2006">[20]Data_Download!$N$3:$N$201</definedName>
    <definedName name="DCF_2007">[20]Data_Download!$O$3:$O$201</definedName>
    <definedName name="DCF_2008">[20]Data_Download!$P$3:$P$201</definedName>
    <definedName name="DCF_2009">[20]Data_Download!$Q$3:$Q$201</definedName>
    <definedName name="DCF_2010">[20]Data_Download!$R$3:$R$201</definedName>
    <definedName name="DCF_2011">[20]Data_Download!$S$3:$S$201</definedName>
    <definedName name="DCF_2012">[20]Data_Download!$T$3:$T$201</definedName>
    <definedName name="DCF_2013">[20]Data_Download!$U$3:$U$201</definedName>
    <definedName name="DCF_2014">[20]Data_Download!$V$3:$V$201</definedName>
    <definedName name="DCF_2015">[20]Data_Download!$W$3:$W$201</definedName>
    <definedName name="DCF_2016">[20]Data_Download!$X$3:$X$201</definedName>
    <definedName name="DCF_2017">[20]Data_Download!$Y$3:$Y$201</definedName>
    <definedName name="DCF_2018">[20]Data_Download!$Z$3:$Z$201</definedName>
    <definedName name="DCF_2019">[20]Data_Download!$AA$3:$AA$201</definedName>
    <definedName name="DCF_2020">[20]Data_Download!$AB$3:$AB$201</definedName>
    <definedName name="DCF_EY1">[20]Data_Download!$D$1:$D$65536</definedName>
    <definedName name="DCF_EY10">[20]Data_Download!$M$1:$M$65536</definedName>
    <definedName name="DCF_EY11">[20]Data_Download!$N$1:$N$65536</definedName>
    <definedName name="DCF_EY12">[20]Data_Download!$O$1:$O$65536</definedName>
    <definedName name="DCF_EY13">[20]Data_Download!$P$1:$P$65536</definedName>
    <definedName name="DCF_EY14">[20]Data_Download!$Q$1:$Q$65536</definedName>
    <definedName name="DCF_EY15">[20]Data_Download!$R$1:$R$65536</definedName>
    <definedName name="DCF_EY16">[20]Data_Download!$S$1:$S$65536</definedName>
    <definedName name="DCF_EY17">[20]Data_Download!$T$1:$T$65536</definedName>
    <definedName name="DCF_EY18">[20]Data_Download!$U$1:$U$65536</definedName>
    <definedName name="DCF_EY19">[20]Data_Download!$V$1:$V$65536</definedName>
    <definedName name="DCF_EY2">[20]Data_Download!$E$1:$E$65536</definedName>
    <definedName name="DCF_EY20">[20]Data_Download!$W$1:$W$65536</definedName>
    <definedName name="DCF_EY21">[20]Data_Download!$X$1:$X$65536</definedName>
    <definedName name="DCF_EY22">[20]Data_Download!$Y$1:$Y$65536</definedName>
    <definedName name="DCF_EY23">[20]Data_Download!$Z$1:$Z$65536</definedName>
    <definedName name="DCF_EY24">[20]Data_Download!$AA$1:$AA$65536</definedName>
    <definedName name="DCF_EY25">[20]Data_Download!$AB$1:$AB$65536</definedName>
    <definedName name="DCF_EY26">[20]Data_Download!$AC$1:$AC$65536</definedName>
    <definedName name="DCF_EY3">[20]Data_Download!$F$1:$F$65536</definedName>
    <definedName name="DCF_EY4">[20]Data_Download!$G$1:$G$65536</definedName>
    <definedName name="DCF_EY5">[20]Data_Download!$H$1:$H$65536</definedName>
    <definedName name="DCF_EY6">[20]Data_Download!$I$1:$I$65536</definedName>
    <definedName name="DCF_EY7">[20]Data_Download!$J$1:$J$65536</definedName>
    <definedName name="DCF_EY8">[20]Data_Download!$K$1:$K$65536</definedName>
    <definedName name="DCF_EY9">[20]Data_Download!$L$1:$L$65536</definedName>
    <definedName name="DCF_P">[20]Data_Download!$C$1:$C$65536</definedName>
    <definedName name="Debt_growth">[20]Data_Download!$M$153:$Q$153</definedName>
    <definedName name="Deferred_tax_asset">[20]Data_Download!$C$10:$AU$10</definedName>
    <definedName name="Deferred_tax_asset_growth_fore">[20]Data_Download!$H$161:$K$161</definedName>
    <definedName name="Deferred_tax_liability">[20]Data_Download!$C$63:$AU$63</definedName>
    <definedName name="Deferred_tax_liability_growth_fore">[20]Data_Download!$H$167:$K$167</definedName>
    <definedName name="Deferred_taxes">[20]Data_Download!$C$63:$AE$63</definedName>
    <definedName name="Deleted" localSheetId="30">IndexInformation!$B$27</definedName>
    <definedName name="Dep_and_Amort">[20]Data_Download!$C$100:$AU$100</definedName>
    <definedName name="Depreciation_fore">[20]Data_Download!$E$14:$G$14</definedName>
    <definedName name="Depreciation_margin">[20]Data_Download!$C$115:$AU$115</definedName>
    <definedName name="Description" localSheetId="30">IndexInformation!$B$7</definedName>
    <definedName name="Detrol">'[1]5 yr Sales and Earnings'!$A$29:$AA$29</definedName>
    <definedName name="DEVELOPMENT">5</definedName>
    <definedName name="df">'[19]Qrt Sales'!$A$3:$AM$133</definedName>
    <definedName name="dfa">'[19]Qrt Sales'!$BV$3:$DA$133</definedName>
    <definedName name="dfsa">'[21]Qtr Sales'!$A$2:$AF$127</definedName>
    <definedName name="Did" localSheetId="27" hidden="1">{"Salesass",#N/A,FALSE,"assumpt"}</definedName>
    <definedName name="Did" localSheetId="28" hidden="1">{"Salesass",#N/A,FALSE,"assumpt"}</definedName>
    <definedName name="Did" hidden="1">{"Salesass",#N/A,FALSE,"assumpt"}</definedName>
    <definedName name="Diflucan">'[1]5 yr Sales and Earnings'!$A$24:$AA$24</definedName>
    <definedName name="dil">[30]Annual!$I$31</definedName>
    <definedName name="DilEPS01">[24]Annual!$D$28</definedName>
    <definedName name="DilEPS04">[31]Annual!$I$27</definedName>
    <definedName name="DilEPS05">[24]Annual!$L$28</definedName>
    <definedName name="DilNetEPS05">[32]Annual!$I$40</definedName>
    <definedName name="DilNetEPS06">[32]Annual!$K$40</definedName>
    <definedName name="DilutedShares2003">[34]Annual!$R$57</definedName>
    <definedName name="DilutedShares2004">[34]Annual!$V$57</definedName>
    <definedName name="DilutedShares2005">[34]Annual!$Y$57</definedName>
    <definedName name="Dilution_factor">[20]Data_Download!$S$62</definedName>
    <definedName name="Disc._Operations">'[1]5 yr Sales and Earnings'!$A$73:$AA$73</definedName>
    <definedName name="Discipline" localSheetId="30">IndexInformation!$B$3</definedName>
    <definedName name="DISCIPLINE" localSheetId="31">ModPubIndex!$A$12</definedName>
    <definedName name="Disclosure">[35]Input!$H$6:$BE$465</definedName>
    <definedName name="DisclosuresText">ImportantDisclosures!$A$22</definedName>
    <definedName name="Displaycashflowstatement">[20]Data_Download!$D$147:$Q$200</definedName>
    <definedName name="Displayincomestatement">[20]Data_Download!$D$5:$Q$250</definedName>
    <definedName name="DisplayResearchandDevelopment">[20]Data_Download!$D$285:$AC$292</definedName>
    <definedName name="DisplayWACC">[20]Data_Download!$D$255:$P$282</definedName>
    <definedName name="Distribution" localSheetId="30">IndexInformation!$B$26</definedName>
    <definedName name="DistTable" localSheetId="0">ImportantDisclosures!#REF!</definedName>
    <definedName name="DistTablePreamble" localSheetId="0">ImportantDisclosures!#REF!</definedName>
    <definedName name="DNA_EPS_ARRAY">[36]Financials!$AF$97:$AO$140</definedName>
    <definedName name="DnA_fore">[20]Data_Download!$E$16:$N$16</definedName>
    <definedName name="DnA_growth_fore">[20]Data_Download!$H$145:$K$145</definedName>
    <definedName name="DOCDAT" localSheetId="31">ModPubIndex!$A$2</definedName>
    <definedName name="DOCTIME" localSheetId="31">ModPubIndex!$A$3</definedName>
    <definedName name="DocType" localSheetId="30">IndexInformation!$B$5</definedName>
    <definedName name="Drugs">[0]!Drugs</definedName>
    <definedName name="dsaf">'[21]Qtr Sales'!$CV$2:$DP$127</definedName>
    <definedName name="dsf">'[21]Qtr Margin'!$A$1:$N$75</definedName>
    <definedName name="Dsiplayadjsutmentsandassumptions">[20]Data_Download!$D$203:$Q$250</definedName>
    <definedName name="Dsiplaybalancesheet">[20]Data_Download!$D$86:$Q$144</definedName>
    <definedName name="Dsiplayoperatingleases">[20]Data_Download!$D$295:$Q$336</definedName>
    <definedName name="Dynastat_Parecoxib__US_launch">'[1]5 yr Sales and Earnings'!$A$22:$AA$22</definedName>
    <definedName name="e">'[19]Qrt Sales'!$AO$3:$BT$133</definedName>
    <definedName name="EBIT_fore">[20]Data_Download!$E$13:$G$13</definedName>
    <definedName name="EBIT_growth">[20]Data_Download!$C$142:$AU$142</definedName>
    <definedName name="EBIT_margin">[20]Data_Download!$C$111:$AU$111</definedName>
    <definedName name="EBITA_fore">[20]Data_Download!$E$19:$X$19</definedName>
    <definedName name="EBITDA_DCF">[20]Data_Download!$C$15:$AZ$15</definedName>
    <definedName name="EBITDA_fore">[20]Data_Download!$E$17:$AW$17</definedName>
    <definedName name="EBITDA_growth">[20]Data_Download!$C$143:$AU$143</definedName>
    <definedName name="EBITDA_margin_fore">[20]Data_Download!$H$61:$K$61</definedName>
    <definedName name="Economic_book_value">[20]Data_Download!$C$12</definedName>
    <definedName name="Economic_profit">[20]Data_Download!$C$124:$AZ$124</definedName>
    <definedName name="Economic_profit_dcf">[20]Data_Download!$C$48:$BZ$48</definedName>
    <definedName name="economic_profit2">[20]Data_Download!$A$51:$IV$51</definedName>
    <definedName name="Effective_tax_rate">[20]Data_Download!$D$49:$S$49</definedName>
    <definedName name="Ellence">'[1]5 yr Sales and Earnings'!$A$32:$AA$32</definedName>
    <definedName name="EMAIL_ALERT" localSheetId="31">ModPubIndex!$A$10</definedName>
    <definedName name="EmailAlert" localSheetId="30">IndexInformation!$B$28</definedName>
    <definedName name="EPS_1996">[20]Data_Download!$G$20</definedName>
    <definedName name="EPS_1997">[20]Data_Download!$G$19</definedName>
    <definedName name="EPS_growth">[20]Data_Download!$C$150:$AU$150</definedName>
    <definedName name="EPS1Q03">[37]Quarterly!$CH$40</definedName>
    <definedName name="EPSCal?">[38]Control!$A$26</definedName>
    <definedName name="Equity_Equivalents">[20]Data_Download!$C$70:$AE$70</definedName>
    <definedName name="Equity_risk_premium">[20]Data_Download!$D$9</definedName>
    <definedName name="ev.Calculation" hidden="1">-4135</definedName>
    <definedName name="ev.Initialized" hidden="1">FALSE</definedName>
    <definedName name="Excess_cash">[20]Data_Download!$C$5:$AE$5</definedName>
    <definedName name="Expl_forecast_1st_yr">[20]Data_Download!$E$1:$E$65536</definedName>
    <definedName name="Expl_forecast_2nd_yr">[20]Data_Download!$F$1:$F$65536</definedName>
    <definedName name="Expl_forecast_3rd_yr">[20]Data_Download!$G$1:$G$65536</definedName>
    <definedName name="Exubera">'[1]5 yr Sales and Earnings'!$A$37:$AA$37</definedName>
    <definedName name="f">'[19]Qrt Sales'!$BV$3:$DA$133</definedName>
    <definedName name="ｆ" hidden="1">"iQShowAnnual"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P_0_1_aSrv" hidden="1">[39]Comparison!$P$106</definedName>
    <definedName name="FDP_1_1_aDrv" hidden="1">[39]Comparison!$T$18</definedName>
    <definedName name="FDP_10_1_aUrv" hidden="1">[39]Comparison!$AA$21</definedName>
    <definedName name="FDP_100_1_aUrv" hidden="1">[39]Comparison!$E$96</definedName>
    <definedName name="FDP_101_1_aUrv" hidden="1">[39]Comparison!$E$97</definedName>
    <definedName name="FDP_102_1_aSrv" hidden="1">[39]Comparison!$E$98</definedName>
    <definedName name="FDP_103_1_aSrv" hidden="1">[39]Comparison!$E$100</definedName>
    <definedName name="FDP_104_1_aUrv" hidden="1">[39]Comparison!$E$101</definedName>
    <definedName name="FDP_105_1_aUrv" hidden="1">[39]Comparison!$E$102</definedName>
    <definedName name="FDP_106_1_aUrv" hidden="1">[39]Comparison!$E$103</definedName>
    <definedName name="FDP_107_1_aUrv" hidden="1">[39]Comparison!$E$104</definedName>
    <definedName name="FDP_108_1_aUrv" hidden="1">[39]Comparison!$E$105</definedName>
    <definedName name="FDP_109_1_aUrv" hidden="1">[39]Comparison!$E$106</definedName>
    <definedName name="FDP_11_1_aUrv" hidden="1">[39]Comparison!$AA$22</definedName>
    <definedName name="FDP_110_1_aUrv" hidden="1">[39]Comparison!$E$107</definedName>
    <definedName name="FDP_111_1_aUrv" hidden="1">[39]Comparison!$E$108</definedName>
    <definedName name="FDP_112_1_aUrv" hidden="1">[39]Comparison!$E$109</definedName>
    <definedName name="FDP_113_1_aUrv" hidden="1">[39]Comparison!$E$110</definedName>
    <definedName name="FDP_114_1_aUrv" hidden="1">[39]Comparison!$E$111</definedName>
    <definedName name="FDP_115_1_aSrv" hidden="1">[39]Comparison!$E$112</definedName>
    <definedName name="FDP_116_1_aSrv" hidden="1">[39]Comparison!$E$113</definedName>
    <definedName name="FDP_117_1_aUrv" hidden="1">[39]Comparison!$E$118</definedName>
    <definedName name="FDP_118_1_aUrv" hidden="1">[39]Comparison!$E$119</definedName>
    <definedName name="FDP_119_1_aUrv" hidden="1">[39]Comparison!$E$120</definedName>
    <definedName name="FDP_12_1_aUrv" hidden="1">[39]Comparison!$AA$23</definedName>
    <definedName name="FDP_120_1_aUrv" hidden="1">[39]Comparison!$E$121</definedName>
    <definedName name="FDP_121_1_aUrv" hidden="1">[39]Comparison!$E$122</definedName>
    <definedName name="FDP_122_1_aUrv" hidden="1">[39]Comparison!$E$123</definedName>
    <definedName name="FDP_123_1_aUrv" hidden="1">[39]Comparison!$E$124</definedName>
    <definedName name="FDP_124_1_aSrv" hidden="1">[39]Comparison!$E$125</definedName>
    <definedName name="FDP_125_1_aUrv" hidden="1">[39]Comparison!$E$127</definedName>
    <definedName name="FDP_126_1_aUrv" hidden="1">[39]Comparison!$E$128</definedName>
    <definedName name="FDP_127_1_aUrv" hidden="1">[39]Comparison!$E$129</definedName>
    <definedName name="FDP_128_1_aUrv" hidden="1">[39]Comparison!$E$130</definedName>
    <definedName name="FDP_129_1_aUrv" hidden="1">[39]Comparison!$E$131</definedName>
    <definedName name="FDP_13_1_aUrv" hidden="1">[39]Comparison!$AA$24</definedName>
    <definedName name="FDP_130_1_aUrv" hidden="1">[39]Comparison!$E$132</definedName>
    <definedName name="FDP_131_1_aUrv" hidden="1">[39]Comparison!$E$133</definedName>
    <definedName name="FDP_132_1_aSrv" hidden="1">[39]Comparison!$E$134</definedName>
    <definedName name="FDP_133_1_aSrv" hidden="1">[39]Comparison!$E$135</definedName>
    <definedName name="FDP_134_1_aUrv" hidden="1">[39]Comparison!$E$137</definedName>
    <definedName name="FDP_135_1_aUrv" hidden="1">[39]Comparison!$E$140</definedName>
    <definedName name="FDP_136_1_aUrv" hidden="1">[39]Comparison!$E$141</definedName>
    <definedName name="FDP_137_1_aSrv" hidden="1">[39]Comparison!$P$141</definedName>
    <definedName name="FDP_138_1_aSrv" hidden="1">[39]Comparison!$E$142</definedName>
    <definedName name="FDP_139_1_aSrv" hidden="1">[39]Comparison!$E$143</definedName>
    <definedName name="FDP_14_1_aUrv" hidden="1">[39]Comparison!$K$1</definedName>
    <definedName name="FDP_140_1_aSrv" hidden="1">[39]Comparison!$E$153</definedName>
    <definedName name="FDP_141_1_aUrv" hidden="1">[39]Comparison!$E$154</definedName>
    <definedName name="FDP_142_1_aUrv" hidden="1">[39]Comparison!$E$155</definedName>
    <definedName name="FDP_143_1_aUrv" hidden="1">[39]Comparison!$E$156</definedName>
    <definedName name="FDP_144_1_aUrv" hidden="1">[39]Comparison!$E$157</definedName>
    <definedName name="FDP_145_1_aUrv" hidden="1">[39]Comparison!$E$160</definedName>
    <definedName name="FDP_146_1_aUrv" hidden="1">[39]Comparison!$E$161</definedName>
    <definedName name="FDP_147_1_aUrv" hidden="1">[39]Comparison!$E$162</definedName>
    <definedName name="FDP_148_1_aUrv" hidden="1">[39]Comparison!$E$163</definedName>
    <definedName name="FDP_149_1_aUrv" hidden="1">[39]Comparison!$E$164</definedName>
    <definedName name="FDP_15_1_aUrv" hidden="1">[39]Comparison!$F$1</definedName>
    <definedName name="FDP_150_1_aUrv" hidden="1">[39]Comparison!$E$165</definedName>
    <definedName name="FDP_151_1_aUrv" hidden="1">[39]Comparison!$E$166</definedName>
    <definedName name="FDP_152_1_aUrv" hidden="1">[39]Comparison!$E$167</definedName>
    <definedName name="FDP_153_1_aUrv" hidden="1">[39]Comparison!$E$168</definedName>
    <definedName name="FDP_154_1_aUrv" hidden="1">[39]Comparison!$E$169</definedName>
    <definedName name="FDP_155_1_aUrv" hidden="1">[39]Comparison!$E$170</definedName>
    <definedName name="FDP_156_1_aUrv" hidden="1">[39]Comparison!$E$171</definedName>
    <definedName name="FDP_157_1_aUrv" hidden="1">[39]Comparison!$E$172</definedName>
    <definedName name="FDP_158_1_aUrv" hidden="1">[39]Comparison!$E$173</definedName>
    <definedName name="FDP_159_1_aSrv" hidden="1">[39]Comparison!$E$174</definedName>
    <definedName name="FDP_16_1_aUrv" hidden="1">[39]Comparison!$K$3</definedName>
    <definedName name="FDP_160_1_aUrv" hidden="1">[39]Comparison!$E$175</definedName>
    <definedName name="FDP_161_1_aSrv" hidden="1">[39]Comparison!$E$176</definedName>
    <definedName name="FDP_162_1_aUrv" hidden="1">[39]Comparison!$E$178</definedName>
    <definedName name="FDP_163_1_aUrv" hidden="1">[39]Comparison!$E$180</definedName>
    <definedName name="FDP_164_1_aUrv" hidden="1">[39]Comparison!$E$179</definedName>
    <definedName name="FDP_169_1_aSrv" hidden="1">[39]Comparison!$E$185</definedName>
    <definedName name="FDP_17_1_aUrv" hidden="1">[39]Comparison!$R$3</definedName>
    <definedName name="FDP_170_1_aUrv" hidden="1">[39]Comparison!$E$186</definedName>
    <definedName name="FDP_171_1_aSrv" hidden="1">[39]Comparison!$E$187</definedName>
    <definedName name="FDP_178_1_aUrv" hidden="1">[39]Comparison!$E$195</definedName>
    <definedName name="FDP_179_1_aUrv" hidden="1">[39]Comparison!$E$196</definedName>
    <definedName name="FDP_18_1_aUrv" hidden="1">[39]Comparison!$E$6</definedName>
    <definedName name="FDP_18_1_rUrv" hidden="1">[39]Comparison!$E$5</definedName>
    <definedName name="FDP_183_1_aUrv" hidden="1">[39]Comparison!$E$200</definedName>
    <definedName name="FDP_187_1_aUrv" hidden="1">[39]Comparison!$E$208</definedName>
    <definedName name="FDP_19_1_aUrv" hidden="1">[39]Comparison!$E$8</definedName>
    <definedName name="FDP_192_1_aUrv" hidden="1">[39]Comparison!$E$213</definedName>
    <definedName name="FDP_196_1_aUrv" hidden="1">[39]Comparison!$E$217</definedName>
    <definedName name="FDP_197_1_aSrv" hidden="1">[39]Comparison!$E$218</definedName>
    <definedName name="FDP_198_1_aUrv" hidden="1">[39]Comparison!$E$219</definedName>
    <definedName name="FDP_2_1_aUrv" hidden="1">[39]Comparison!$V$21</definedName>
    <definedName name="FDP_20_1_aUrv" hidden="1">[39]Comparison!$E$9</definedName>
    <definedName name="FDP_203_1_aUrv" hidden="1">[39]Comparison!$E$225</definedName>
    <definedName name="FDP_208_1_aUrv" hidden="1">[39]Comparison!$E$234</definedName>
    <definedName name="FDP_21_1_aUrv" hidden="1">[39]Comparison!$E$10</definedName>
    <definedName name="FDP_213_1_aUrv" hidden="1">[39]Comparison!$E$240</definedName>
    <definedName name="FDP_216_1_aSrv" hidden="1">[39]Comparison!$E$238</definedName>
    <definedName name="FDP_218_1_aUrv" hidden="1">[39]Comparison!$E$244</definedName>
    <definedName name="FDP_219_1_aUrv" hidden="1">[39]Comparison!$E$245</definedName>
    <definedName name="FDP_22_1_aUrv" hidden="1">[39]Comparison!$E$11</definedName>
    <definedName name="FDP_220_1_aUrv" hidden="1">[39]Comparison!$E$246</definedName>
    <definedName name="FDP_221_1_aUrv" hidden="1">[39]Comparison!$E$247</definedName>
    <definedName name="FDP_222_1_aUrv" hidden="1">[39]Comparison!$E$248</definedName>
    <definedName name="FDP_223_1_aUrv" hidden="1">[39]Comparison!$E$250</definedName>
    <definedName name="FDP_224_1_aSrv" hidden="1">[39]Comparison!$E$258</definedName>
    <definedName name="FDP_225_1_aSrv" hidden="1">[39]Comparison!$E$261</definedName>
    <definedName name="FDP_226_1_aSrv" hidden="1">[39]Comparison!$E$262</definedName>
    <definedName name="FDP_227_1_aSrv" hidden="1">[39]Comparison!$E$264</definedName>
    <definedName name="FDP_23_1_aUrv" hidden="1">[39]Comparison!$E$12</definedName>
    <definedName name="FDP_234_1_aSrv" hidden="1">[39]Comparison!$E$275</definedName>
    <definedName name="FDP_235_1_aSrv" hidden="1">[39]Comparison!$E$280</definedName>
    <definedName name="FDP_236_1_aSrv" hidden="1">[39]Comparison!$E$289</definedName>
    <definedName name="FDP_237_1_aSrv" hidden="1">[39]Comparison!$E$290</definedName>
    <definedName name="FDP_239_1_aSrv" hidden="1">[39]Comparison!$E$292</definedName>
    <definedName name="FDP_24_1_aSrv" hidden="1">[39]Comparison!$E$13</definedName>
    <definedName name="FDP_240_1_aSrv" hidden="1">[39]Comparison!$E$303</definedName>
    <definedName name="FDP_241_1_aSrv" hidden="1">[39]Comparison!$E$304</definedName>
    <definedName name="FDP_242_1_aSrv" hidden="1">[39]Comparison!$E$305</definedName>
    <definedName name="FDP_25_1_aUrv" hidden="1">[39]Comparison!$E$14</definedName>
    <definedName name="FDP_26_1_aUrv" hidden="1">[39]Comparison!$E$15</definedName>
    <definedName name="FDP_262_1_aSrv" hidden="1">[39]Comparison!$E$325</definedName>
    <definedName name="FDP_263_1_aSrv" hidden="1">[39]Comparison!$E$326</definedName>
    <definedName name="FDP_264_1_aSrv" hidden="1">[39]Comparison!$E$327</definedName>
    <definedName name="FDP_265_1_aSrv" hidden="1">[39]Comparison!$E$328</definedName>
    <definedName name="FDP_266_1_aSrv" hidden="1">[39]Comparison!$E$329</definedName>
    <definedName name="FDP_267_1_aSrv" hidden="1">[39]Comparison!$E$330</definedName>
    <definedName name="FDP_268_1_aSrv" hidden="1">[39]Comparison!$E$331</definedName>
    <definedName name="FDP_269_1_aSrv" hidden="1">[39]Comparison!$E$332</definedName>
    <definedName name="FDP_27_1_aUrv" hidden="1">[39]Comparison!$E$16</definedName>
    <definedName name="FDP_270_1_aSrv" hidden="1">[39]Comparison!$E$333</definedName>
    <definedName name="FDP_271_1_aSrv" hidden="1">[39]Comparison!$E$334</definedName>
    <definedName name="FDP_272_1_aSrv" hidden="1">[39]Comparison!$E$335</definedName>
    <definedName name="FDP_273_1_aSrv" hidden="1">[39]Comparison!$E$336</definedName>
    <definedName name="FDP_274_1_aSrv" hidden="1">[39]Comparison!$E$23</definedName>
    <definedName name="FDP_275_1_aSrv" hidden="1">[39]Comparison!$E$24</definedName>
    <definedName name="FDP_276_1_aSrv" hidden="1">[39]Comparison!$E$29</definedName>
    <definedName name="FDP_277_1_aSrv" hidden="1">[39]Comparison!$E$28</definedName>
    <definedName name="FDP_278_1_aSrv" hidden="1">[39]Comparison!$E$30</definedName>
    <definedName name="FDP_28_1_aUrv" hidden="1">[39]Comparison!$E$17</definedName>
    <definedName name="FDP_284_1_aSrv" hidden="1">[39]Comparison!$E$38</definedName>
    <definedName name="FDP_285_1_aSrv" hidden="1">[39]Comparison!$E$39</definedName>
    <definedName name="FDP_286_1_aSrv" hidden="1">[39]Comparison!$E$43</definedName>
    <definedName name="FDP_287_1_aSrv" hidden="1">[39]Comparison!$E$44</definedName>
    <definedName name="FDP_288_1_aSrv" hidden="1">[39]Comparison!$E$45</definedName>
    <definedName name="FDP_289_1_aSrv" hidden="1">[39]Comparison!$E$46</definedName>
    <definedName name="FDP_29_1_aUrv" hidden="1">[39]Comparison!$E$18</definedName>
    <definedName name="FDP_290_1_aSrv" hidden="1">[39]Comparison!$E$47</definedName>
    <definedName name="FDP_291_1_aSrv" hidden="1">[39]Comparison!$E$49</definedName>
    <definedName name="FDP_292_1_aSrv" hidden="1">[39]Comparison!$E$50</definedName>
    <definedName name="FDP_293_1_aSrv" hidden="1">[39]Comparison!$E$51</definedName>
    <definedName name="FDP_294_1_aSrv" hidden="1">[39]Comparison!$E$61</definedName>
    <definedName name="FDP_295_1_aSrv" hidden="1">[39]Comparison!$E$65</definedName>
    <definedName name="FDP_296_1_aSrv" hidden="1">[39]Comparison!$E$85</definedName>
    <definedName name="FDP_297_1_aSrv" hidden="1">[39]Comparison!$E$88</definedName>
    <definedName name="FDP_298_1_aSrv" hidden="1">[39]Comparison!$E$95</definedName>
    <definedName name="FDP_299_1_aSrv" hidden="1">[39]Comparison!$E$96</definedName>
    <definedName name="FDP_3_1_aUrv" hidden="1">[39]Comparison!$V$22</definedName>
    <definedName name="FDP_30_1_aSrv" hidden="1">[39]Comparison!$E$19</definedName>
    <definedName name="FDP_300_1_aSrv" hidden="1">[39]Comparison!$E$104</definedName>
    <definedName name="FDP_301_1_aSrv" hidden="1">[39]Comparison!$E$112</definedName>
    <definedName name="FDP_302_1_aSrv" hidden="1">[39]Comparison!$E$113</definedName>
    <definedName name="FDP_303_1_aSrv" hidden="1">[39]Comparison!$E$131</definedName>
    <definedName name="FDP_304_1_aSrv" hidden="1">[39]Comparison!$E$136</definedName>
    <definedName name="FDP_305_1_aSrv" hidden="1">[39]Comparison!$E$146</definedName>
    <definedName name="FDP_306_1_aSrv" hidden="1">[39]Comparison!$E$165</definedName>
    <definedName name="FDP_307_1_aSrv" hidden="1">[39]Comparison!$E$169</definedName>
    <definedName name="FDP_308_1_aSrv" hidden="1">[39]Comparison!$E$171</definedName>
    <definedName name="FDP_309_1_aSrv" hidden="1">[39]Comparison!$E$172</definedName>
    <definedName name="FDP_31_1_aSrv" hidden="1">[39]Comparison!$E$20</definedName>
    <definedName name="FDP_310_1_aSrv" hidden="1">[39]Comparison!$E$178</definedName>
    <definedName name="FDP_311_1_aSrv" hidden="1">[39]Comparison!$E$179</definedName>
    <definedName name="FDP_312_1_aSrv" hidden="1">[39]Comparison!$E$180</definedName>
    <definedName name="FDP_313_1_aSrv" hidden="1">[39]Comparison!$P$184</definedName>
    <definedName name="FDP_314_1_aSrv" hidden="1">[39]Comparison!$P$186</definedName>
    <definedName name="FDP_315_1_aSrv" hidden="1">[39]Comparison!$P$187</definedName>
    <definedName name="FDP_316_1_aSrv" hidden="1">[39]Comparison!$P$188</definedName>
    <definedName name="FDP_317_1_aSrv" hidden="1">[39]Comparison!$P$189</definedName>
    <definedName name="FDP_32_1_aUrv" hidden="1">[39]Comparison!$E$21</definedName>
    <definedName name="FDP_33_1_aUrv" hidden="1">[39]Comparison!$E$22</definedName>
    <definedName name="FDP_34_1_aUrv" hidden="1">[39]Comparison!$E$23</definedName>
    <definedName name="FDP_35_1_aUrv" hidden="1">[39]Comparison!$E$24</definedName>
    <definedName name="FDP_36_1_aUrv" hidden="1">[39]Comparison!$E$25</definedName>
    <definedName name="FDP_37_1_aSrv" hidden="1">[39]Comparison!$E$26</definedName>
    <definedName name="FDP_38_1_aUrv" hidden="1">[39]Comparison!$E$27</definedName>
    <definedName name="FDP_39_1_aUrv" hidden="1">[39]Comparison!$E$28</definedName>
    <definedName name="FDP_4_1_aUrv" hidden="1">[39]Comparison!$V$23</definedName>
    <definedName name="FDP_40_1_aUrv" hidden="1">[39]Comparison!$E$29</definedName>
    <definedName name="FDP_41_1_aUrv" hidden="1">[39]Comparison!$E$30</definedName>
    <definedName name="FDP_42_1_aUrv" hidden="1">[39]Comparison!$E$31</definedName>
    <definedName name="FDP_43_1_aUrv" hidden="1">[39]Comparison!$E$32</definedName>
    <definedName name="FDP_44_1_aUrv" hidden="1">[39]Comparison!$E$33</definedName>
    <definedName name="FDP_45_1_aUrv" hidden="1">[39]Comparison!$E$34</definedName>
    <definedName name="FDP_455_1_aSrv" hidden="1">[39]Comparison!$E$10</definedName>
    <definedName name="FDP_456_1_aSrv" hidden="1">[39]Comparison!$E$12</definedName>
    <definedName name="FDP_457_1_aSrv" hidden="1">[39]Comparison!$E$19</definedName>
    <definedName name="FDP_458_1_aSrv" hidden="1">[39]Comparison!$E$22</definedName>
    <definedName name="FDP_459_1_aSrv" hidden="1">[39]Comparison!$E$23</definedName>
    <definedName name="FDP_46_1_aUrv" hidden="1">[39]Comparison!$E$35</definedName>
    <definedName name="FDP_460_1_aSrv" hidden="1">[39]Comparison!$E$24</definedName>
    <definedName name="FDP_461_1_aSrv" hidden="1">[39]Comparison!$E$25</definedName>
    <definedName name="FDP_462_1_aSrv" hidden="1">[39]Comparison!$E$26</definedName>
    <definedName name="FDP_463_1_aSrv" hidden="1">[39]Comparison!$E$27</definedName>
    <definedName name="FDP_464_1_aSrv" hidden="1">[39]Comparison!$E$28</definedName>
    <definedName name="FDP_465_1_aSrv" hidden="1">[39]Comparison!$E$29</definedName>
    <definedName name="FDP_466_1_aSrv" hidden="1">[39]Comparison!$E$30</definedName>
    <definedName name="FDP_467_1_aSrv" hidden="1">[39]Comparison!$E$31</definedName>
    <definedName name="FDP_468_1_aSrv" hidden="1">[39]Comparison!$E$34</definedName>
    <definedName name="FDP_469_1_aSrv" hidden="1">[39]Comparison!$E$35</definedName>
    <definedName name="FDP_47_1_aUrv" hidden="1">[39]Comparison!$E$36</definedName>
    <definedName name="FDP_470_1_aSrv" hidden="1">[39]Comparison!$E$36</definedName>
    <definedName name="FDP_471_1_aSrv" hidden="1">[39]Comparison!$E$37</definedName>
    <definedName name="FDP_472_1_aSrv" hidden="1">[39]Comparison!$E$38</definedName>
    <definedName name="FDP_473_1_aSrv" hidden="1">[39]Comparison!$E$39</definedName>
    <definedName name="FDP_474_1_aSrv" hidden="1">[39]Comparison!$E$40</definedName>
    <definedName name="FDP_475_1_aSrv" hidden="1">[39]Comparison!$E$43</definedName>
    <definedName name="FDP_476_1_aSrv" hidden="1">[39]Comparison!$E$44</definedName>
    <definedName name="FDP_477_1_aSrv" hidden="1">[39]Comparison!$E$45</definedName>
    <definedName name="FDP_478_1_aSrv" hidden="1">[39]Comparison!$E$46</definedName>
    <definedName name="FDP_479_1_aSrv" hidden="1">[39]Comparison!$E$47</definedName>
    <definedName name="FDP_48_1_aUrv" hidden="1">[39]Comparison!$E$37</definedName>
    <definedName name="FDP_480_1_aSrv" hidden="1">[39]Comparison!$E$48</definedName>
    <definedName name="FDP_481_1_aSrv" hidden="1">[39]Comparison!$E$49</definedName>
    <definedName name="FDP_482_1_aSrv" hidden="1">[39]Comparison!$E$54</definedName>
    <definedName name="FDP_483_1_aSrv" hidden="1">[39]Comparison!$E$55</definedName>
    <definedName name="FDP_484_1_aSrv" hidden="1">[39]Comparison!$E$56</definedName>
    <definedName name="FDP_485_1_aSrv" hidden="1">[39]Comparison!$E$57</definedName>
    <definedName name="FDP_486_1_aSrv" hidden="1">[39]Comparison!$E$58</definedName>
    <definedName name="FDP_487_1_aSrv" hidden="1">[39]Comparison!$E$59</definedName>
    <definedName name="FDP_488_1_aSrv" hidden="1">[39]Comparison!$E$60</definedName>
    <definedName name="FDP_489_1_aSrv" hidden="1">[39]Comparison!$E$61</definedName>
    <definedName name="FDP_49_1_aUrv" hidden="1">[39]Comparison!$E$38</definedName>
    <definedName name="FDP_490_1_aSrv" hidden="1">[39]Comparison!$E$62</definedName>
    <definedName name="FDP_491_1_aSrv" hidden="1">[39]Comparison!$E$65</definedName>
    <definedName name="FDP_492_1_aSrv" hidden="1">[39]Comparison!$E$66</definedName>
    <definedName name="FDP_493_1_aSrv" hidden="1">[39]Comparison!$E$67</definedName>
    <definedName name="FDP_494_1_aSrv" hidden="1">[39]Comparison!$E$68</definedName>
    <definedName name="FDP_495_1_aSrv" hidden="1">[39]Comparison!$E$69</definedName>
    <definedName name="FDP_496_1_aSrv" hidden="1">[39]Comparison!$E$70</definedName>
    <definedName name="FDP_497_1_aSrv" hidden="1">[39]Comparison!$E$73</definedName>
    <definedName name="FDP_498_1_aSrv" hidden="1">[39]Comparison!$E$74</definedName>
    <definedName name="FDP_499_1_aSrv" hidden="1">[39]Comparison!$E$75</definedName>
    <definedName name="FDP_5_1_aUrv" hidden="1">[39]Comparison!$V$24</definedName>
    <definedName name="FDP_50_1_aSrv" hidden="1">[39]Comparison!$E$39</definedName>
    <definedName name="FDP_500_1_aSrv" hidden="1">[39]Comparison!$E$76</definedName>
    <definedName name="FDP_501_1_aSrv" hidden="1">[39]Comparison!$E$77</definedName>
    <definedName name="FDP_502_1_aSrv" hidden="1">[39]Comparison!$E$81</definedName>
    <definedName name="FDP_503_1_aSrv" hidden="1">[39]Comparison!$E$82</definedName>
    <definedName name="FDP_504_1_aSrv" hidden="1">[39]Comparison!$E$83</definedName>
    <definedName name="FDP_505_1_aSrv" hidden="1">[39]Comparison!$E$84</definedName>
    <definedName name="FDP_506_1_aSrv" hidden="1">[39]Comparison!$E$85</definedName>
    <definedName name="FDP_507_1_aSrv" hidden="1">[39]Comparison!$E$86</definedName>
    <definedName name="FDP_508_1_aSrv" hidden="1">[39]Comparison!$E$87</definedName>
    <definedName name="FDP_509_1_aSrv" hidden="1">[39]Comparison!$E$92</definedName>
    <definedName name="FDP_51_1_aSrv" hidden="1">[39]Comparison!$E$40</definedName>
    <definedName name="FDP_510_1_aSrv" hidden="1">[39]Comparison!$E$93</definedName>
    <definedName name="FDP_511_1_aSrv" hidden="1">[39]Comparison!$E$94</definedName>
    <definedName name="FDP_512_1_aSrv" hidden="1">[39]Comparison!$E$95</definedName>
    <definedName name="FDP_513_1_aSrv" hidden="1">[39]Comparison!$E$96</definedName>
    <definedName name="FDP_514_1_aSrv" hidden="1">[39]Comparison!$E$98</definedName>
    <definedName name="FDP_515_1_aSrv" hidden="1">[39]Comparison!$E$99</definedName>
    <definedName name="FDP_516_1_aSrv" hidden="1">[39]Comparison!$E$100</definedName>
    <definedName name="FDP_517_1_aSrv" hidden="1">[39]Comparison!$E$101</definedName>
    <definedName name="FDP_518_1_aSrv" hidden="1">[39]Comparison!$E$102</definedName>
    <definedName name="FDP_519_1_aSrv" hidden="1">[39]Comparison!$E$103</definedName>
    <definedName name="FDP_52_1_aUrv" hidden="1">[39]Comparison!$E$41</definedName>
    <definedName name="FDP_520_1_aSrv" hidden="1">[39]Comparison!$E$104</definedName>
    <definedName name="FDP_521_1_aSrv" hidden="1">[39]Comparison!$E$107</definedName>
    <definedName name="FDP_522_1_aSrv" hidden="1">[39]Comparison!$E$109</definedName>
    <definedName name="FDP_523_1_aSrv" hidden="1">[39]Comparison!$E$110</definedName>
    <definedName name="FDP_524_1_aSrv" hidden="1">[39]Comparison!$E$111</definedName>
    <definedName name="FDP_525_1_aSrv" hidden="1">[39]Comparison!$E$112</definedName>
    <definedName name="FDP_526_1_aSrv" hidden="1">[39]Comparison!$E$113</definedName>
    <definedName name="FDP_527_1_aSrv" hidden="1">[39]Comparison!$E$114</definedName>
    <definedName name="FDP_528_1_aSrv" hidden="1">[39]Comparison!$E$115</definedName>
    <definedName name="FDP_529_1_aSrv" hidden="1">[39]Comparison!$E$116</definedName>
    <definedName name="FDP_53_1_aUrv" hidden="1">[39]Comparison!$E$42</definedName>
    <definedName name="FDP_530_1_aSrv" hidden="1">[39]Comparison!$E$117</definedName>
    <definedName name="FDP_531_1_aSrv" hidden="1">[39]Comparison!$E$118</definedName>
    <definedName name="FDP_532_1_aSrv" hidden="1">[39]Comparison!$E$119</definedName>
    <definedName name="FDP_533_1_aSrv" hidden="1">[39]Comparison!$E$120</definedName>
    <definedName name="FDP_534_1_aSrv" hidden="1">[39]Comparison!$E$121</definedName>
    <definedName name="FDP_535_1_aSrv" hidden="1">[39]Comparison!$E$122</definedName>
    <definedName name="FDP_536_1_aSrv" hidden="1">[39]Comparison!$E$123</definedName>
    <definedName name="FDP_537_1_aSrv" hidden="1">[39]Comparison!$E$124</definedName>
    <definedName name="FDP_538_1_aSrv" hidden="1">[39]Comparison!$E$128</definedName>
    <definedName name="FDP_539_1_aSrv" hidden="1">[39]Comparison!$E$127</definedName>
    <definedName name="FDP_54_1_aUrv" hidden="1">[39]Comparison!$E$43</definedName>
    <definedName name="FDP_540_1_aSrv" hidden="1">[39]Comparison!$E$129</definedName>
    <definedName name="FDP_541_1_aSrv" hidden="1">[39]Comparison!$E$130</definedName>
    <definedName name="FDP_542_1_aSrv" hidden="1">[39]Comparison!$E$132</definedName>
    <definedName name="FDP_543_1_aSrv" hidden="1">[39]Comparison!$E$133</definedName>
    <definedName name="FDP_544_1_aSrv" hidden="1">[39]Comparison!$E$134</definedName>
    <definedName name="FDP_545_1_aSrv" hidden="1">[39]Comparison!$E$140</definedName>
    <definedName name="FDP_546_1_aSrv" hidden="1">[39]Comparison!$E$141</definedName>
    <definedName name="FDP_547_1_aSrv" hidden="1">[39]Comparison!$E$142</definedName>
    <definedName name="FDP_548_1_aSrv" hidden="1">[39]Comparison!$E$143</definedName>
    <definedName name="FDP_549_1_aUrv" hidden="1">[39]Comparison!$O$1</definedName>
    <definedName name="FDP_55_1_aUrv" hidden="1">[39]Comparison!$E$44</definedName>
    <definedName name="FDP_550_1_aUrv" hidden="1">[39]Comparison!$Q$62</definedName>
    <definedName name="FDP_551_1_aUrv" hidden="1">[39]Comparison!$Q$84</definedName>
    <definedName name="FDP_552_1_aUrv" hidden="1">[39]Comparison!$Q$1</definedName>
    <definedName name="FDP_553_1_aUrv" hidden="1">[39]Comparison!$S$1</definedName>
    <definedName name="FDP_554_1_aUrv" hidden="1">[39]Comparison!$E$249</definedName>
    <definedName name="FDP_56_1_aUrv" hidden="1">[39]Comparison!$E$45</definedName>
    <definedName name="FDP_57_1_aSrv" hidden="1">[39]Comparison!$E$46</definedName>
    <definedName name="FDP_58_1_aUrv" hidden="1">[39]Comparison!$E$47</definedName>
    <definedName name="FDP_59_1_aSrv" hidden="1">[39]Comparison!$E$48</definedName>
    <definedName name="FDP_6_1_aUrv" hidden="1">[39]Comparison!$Y$21</definedName>
    <definedName name="FDP_60_1_aUrv" hidden="1">[39]Comparison!$E$49</definedName>
    <definedName name="FDP_608_1_aUrv" hidden="1">[39]Comparison!$Z$10</definedName>
    <definedName name="FDP_609_1_aSrv" hidden="1">[39]Comparison!$E$48</definedName>
    <definedName name="FDP_61_1_aUrv" hidden="1">[39]Comparison!$E$50</definedName>
    <definedName name="FDP_610_1_aSrv" hidden="1">[39]Comparison!$E$70</definedName>
    <definedName name="FDP_612_1_aSrv" hidden="1">[39]Comparison!$E$339</definedName>
    <definedName name="FDP_613_1_aSrv" hidden="1">[39]Comparison!$E$340</definedName>
    <definedName name="FDP_614_1_aSrv" hidden="1">[39]Comparison!$E$341</definedName>
    <definedName name="FDP_615_1_aSrv" hidden="1">[39]Comparison!$E$342</definedName>
    <definedName name="FDP_616_1_aSrv" hidden="1">[39]Comparison!$E$343</definedName>
    <definedName name="FDP_617_1_aSrv" hidden="1">[39]Comparison!$E$344</definedName>
    <definedName name="FDP_618_1_aSrv" hidden="1">[39]Comparison!$E$345</definedName>
    <definedName name="FDP_619_1_aSrv" hidden="1">[39]Comparison!$E$346</definedName>
    <definedName name="FDP_62_1_aUrv" hidden="1">[39]Comparison!$E$51</definedName>
    <definedName name="FDP_620_1_aSrv" hidden="1">[39]Comparison!$E$347</definedName>
    <definedName name="FDP_63_1_aUrv" hidden="1">[39]Comparison!$E$52</definedName>
    <definedName name="FDP_64_1_aUrv" hidden="1">[39]Comparison!$E$53</definedName>
    <definedName name="FDP_65_1_aSrv" hidden="1">[39]Comparison!$E$54</definedName>
    <definedName name="FDP_66_1_aUrv" hidden="1">[39]Comparison!$E$55</definedName>
    <definedName name="FDP_67_1_aSrv" hidden="1">[39]Comparison!$E$56</definedName>
    <definedName name="FDP_68_1_aUrv" hidden="1">[39]Comparison!$E$57</definedName>
    <definedName name="FDP_69_1_aSrv" hidden="1">[39]Comparison!$E$58</definedName>
    <definedName name="FDP_7_1_aUrv" hidden="1">[39]Comparison!$Y$22</definedName>
    <definedName name="FDP_70_1_aSrv" hidden="1">[39]Comparison!$E$59</definedName>
    <definedName name="FDP_71_1_aUrv" hidden="1">[39]Comparison!$E$60</definedName>
    <definedName name="FDP_72_1_aUrv" hidden="1">[39]Comparison!$E$61</definedName>
    <definedName name="FDP_73_1_aSrv" hidden="1">[39]Comparison!$E$62</definedName>
    <definedName name="FDP_74_1_aSrv" hidden="1">[39]Comparison!$E$63</definedName>
    <definedName name="FDP_75_1_aUrv" hidden="1">[39]Comparison!$F$64</definedName>
    <definedName name="FDP_76_1_aSrv" hidden="1">[39]Comparison!$E$65</definedName>
    <definedName name="FDP_77_1_aSrv" hidden="1">[39]Comparison!$E$66</definedName>
    <definedName name="FDP_78_1_aUrv" hidden="1">[39]Comparison!$E$67</definedName>
    <definedName name="FDP_79_1_aUrv" hidden="1">[39]Comparison!$E$68</definedName>
    <definedName name="FDP_8_1_aUrv" hidden="1">[39]Comparison!$Y$23</definedName>
    <definedName name="FDP_80_1_aUrv" hidden="1">[39]Comparison!$E$69</definedName>
    <definedName name="FDP_81_1_aUrv" hidden="1">[39]Comparison!$E$70</definedName>
    <definedName name="FDP_82_1_aUrv" hidden="1">[39]Comparison!$E$71</definedName>
    <definedName name="FDP_83_1_aUrv" hidden="1">[39]Comparison!$E$72</definedName>
    <definedName name="FDP_84_1_aUrv" hidden="1">[39]Comparison!$E$73</definedName>
    <definedName name="FDP_85_1_aUrv" hidden="1">[39]Comparison!$E$74</definedName>
    <definedName name="FDP_86_1_aUrv" hidden="1">[39]Comparison!$E$75</definedName>
    <definedName name="FDP_87_1_aUrv" hidden="1">[39]Comparison!$E$76</definedName>
    <definedName name="FDP_88_1_aUrv" hidden="1">[39]Comparison!$E$77</definedName>
    <definedName name="FDP_89_1_aUrv" hidden="1">[39]Comparison!$E$78</definedName>
    <definedName name="FDP_9_1_aUrv" hidden="1">[39]Comparison!$Y$24</definedName>
    <definedName name="FDP_90_1_aUrv" hidden="1">[39]Comparison!$E$79</definedName>
    <definedName name="FDP_91_1_aUrv" hidden="1">[39]Comparison!$E$80</definedName>
    <definedName name="FDP_92_1_aUrv" hidden="1">[39]Comparison!$E$81</definedName>
    <definedName name="FDP_93_1_aUrv" hidden="1">[39]Comparison!$E$82</definedName>
    <definedName name="FDP_94_1_aUrv" hidden="1">[39]Comparison!$E$83</definedName>
    <definedName name="FDP_95_1_aUrv" hidden="1">[39]Comparison!$E$84</definedName>
    <definedName name="FDP_96_1_aUrv" hidden="1">[39]Comparison!$E$92</definedName>
    <definedName name="FDP_97_1_aUrv" hidden="1">[39]Comparison!$E$93</definedName>
    <definedName name="FDP_98_1_aUrv" hidden="1">[39]Comparison!$E$94</definedName>
    <definedName name="FDP_99_1_aUrv" hidden="1">[39]Comparison!$E$95</definedName>
    <definedName name="fdsaf">'[19]Qrt Sales'!$DC$3:$DZ$133</definedName>
    <definedName name="fed">'[19]Qrt Sales'!$AO$3:$BT$133</definedName>
    <definedName name="FIVEYEAR">'[40]Five Year Sales &amp; Earnings'!$A$1:$T$72</definedName>
    <definedName name="FiveYearGrowthRate" localSheetId="30">IndexInformation!$B$16</definedName>
    <definedName name="Fixed_asset_turns">[20]Data_Download!$C$99:$AU$99</definedName>
    <definedName name="Fixed_asset_turns_DCF">[20]Data_Download!$C$81:$AZ$81</definedName>
    <definedName name="Fixed_asset_turns_fore">[20]Data_Download!$B$78:$K$78</definedName>
    <definedName name="Fixed_assets">[20]Data_Download!$C$43:$AE$43</definedName>
    <definedName name="Fixed_assets_DCF">[20]Data_Download!$C$75:$AZ$75</definedName>
    <definedName name="FollowingYearEPS" localSheetId="30">IndexInformation!$B$15</definedName>
    <definedName name="FollowingYearTotalRevenue" localSheetId="30">IndexInformation!$B$14</definedName>
    <definedName name="FollowingYearTotalRevenueActual" localSheetId="30">IndexInformation!$B$34</definedName>
    <definedName name="forecast" localSheetId="27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localSheetId="1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localSheetId="28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localSheetId="29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R_ACCT_CCY_LINK">[20]Data_Download!$O$1</definedName>
    <definedName name="FR_AP_EX_RATE_LINK">[20]Data_Download!$U$27</definedName>
    <definedName name="FR_AP_EX_RATE1_LINK">[20]Data_Download!$AB$32</definedName>
    <definedName name="FR_AP_EX_RATE10_LINK">[20]Data_Download!$S$32</definedName>
    <definedName name="FR_AP_EX_RATE11_LINK">[20]Data_Download!$R$32</definedName>
    <definedName name="FR_AP_EX_RATE2_LINK">[20]Data_Download!$AA$32</definedName>
    <definedName name="FR_AP_EX_RATE3_LINK">[20]Data_Download!$Z$32</definedName>
    <definedName name="FR_AP_EX_RATE4_LINK">[20]Data_Download!$Y$32</definedName>
    <definedName name="FR_AP_EX_RATE5_LINK">[20]Data_Download!$X$32</definedName>
    <definedName name="FR_AP_EX_RATE6_LINK">[20]Data_Download!$W$32</definedName>
    <definedName name="FR_AP_EX_RATE7_LINK">[20]Data_Download!$V$32</definedName>
    <definedName name="FR_AP_EX_RATE8_LINK">[20]Data_Download!$U$32</definedName>
    <definedName name="FR_AP_EX_RATE9_LINK">[20]Data_Download!$T$32</definedName>
    <definedName name="FR_CODE_COPY_LINK">" "</definedName>
    <definedName name="FR_CODE_DOWNLOAD_START">" "</definedName>
    <definedName name="FR_CODE_STOCK_LINK">" "</definedName>
    <definedName name="FR_COM_ABBR">"CHKP"</definedName>
    <definedName name="FR_COM_ABBR_LINK">[20]Data_Download!$F$3</definedName>
    <definedName name="FR_COM_AGG">0</definedName>
    <definedName name="FR_COM_NAME_LINK">[20]Data_Download!$D$3</definedName>
    <definedName name="FR_COU_ABBR">"usa"</definedName>
    <definedName name="FR_COU_ABBR_LINK">[20]Data_Download!$G$3</definedName>
    <definedName name="FR_COU_NAME_LINK">" "</definedName>
    <definedName name="FR_DATABOX_DOWNLOAD">"N"</definedName>
    <definedName name="FR_DISP_HIDDEN">FALSE</definedName>
    <definedName name="FR_END_DATE">"'"</definedName>
    <definedName name="FR_EX_DIM_FAC_LINK">[20]Data_Download!$R$1</definedName>
    <definedName name="FR_EXCHANGE_LINK">[20]Data_Download!$Z$11</definedName>
    <definedName name="FR_LINKS_OVERRUN">TRUE</definedName>
    <definedName name="FR_LOG_END_DATE">"'"</definedName>
    <definedName name="FR_LOG_START_DATE">"'"</definedName>
    <definedName name="FR_PRICE_CCY_LINK">[20]Data_Download!$Q$1</definedName>
    <definedName name="FR_PROTECT">"TRUE"</definedName>
    <definedName name="FR_RATIO_ABBR">"VDF_RATIO_BUNDLE"</definedName>
    <definedName name="FR_RATIO_COM_ABBR">"CWG.L"</definedName>
    <definedName name="FR_RATIO_COU_ABBR">"uk"</definedName>
    <definedName name="FR_RATIO_IGNORE_PROT_FLAG">TRUE</definedName>
    <definedName name="FR_RATIO_RECALC_FLAG">TRUE</definedName>
    <definedName name="FR_REPORT_STATUS_LINK">[20]Data_Download!$U$17</definedName>
    <definedName name="FR_REPORT_TYPE">""</definedName>
    <definedName name="FR_RPT_AREA_LINK">" "</definedName>
    <definedName name="FR_RPT_FOOTER_LINK">" "</definedName>
    <definedName name="FR_RPT_HEADER_LINK">" "</definedName>
    <definedName name="FR_RPT_LINE_SPACING">1</definedName>
    <definedName name="FR_RPT_PAGE_BREAK">0</definedName>
    <definedName name="FR_SDS_KEY">1</definedName>
    <definedName name="FR_SEC_LEVEL1_LINK">[20]Data_Download!$Z$15</definedName>
    <definedName name="FR_SEC_LEVEL4_LINK">[20]Data_Download!$Z$10</definedName>
    <definedName name="FR_SHOW_LINK_MARKER">FALSE</definedName>
    <definedName name="FR_START_DATE">"'"</definedName>
    <definedName name="FR_SYBASE_SERVER">"PNYEQFRD01"</definedName>
    <definedName name="FR_TEMPLATE_KEY">"69924|1"</definedName>
    <definedName name="FR_USE_BILLIONS">FALSE</definedName>
    <definedName name="FR_USE_DIMFAC">TRUE</definedName>
    <definedName name="FR_USE_LOCAL_CCY">FALSE</definedName>
    <definedName name="FR_USE_PRICEFACTORING">FALSE</definedName>
    <definedName name="FR_USE_SCALE_FLAG">TRUE</definedName>
    <definedName name="FR_WORKBOOK">"K:\traker1\WBSN\Old Model\WBSN-EPS-Edg.xls"</definedName>
    <definedName name="Free_cash_flow">[20]Data_Download!$C$23:$AZ$23</definedName>
    <definedName name="fuck">[41]Model!$FZ$3:$GS$64</definedName>
    <definedName name="fy_00">[15]IS!$AI$7:$AI$39</definedName>
    <definedName name="fy_97">[15]IS!$O$7:$O$38</definedName>
    <definedName name="fy_98">[15]IS!$U$7:$U$38</definedName>
    <definedName name="fy_99">[15]IS!$AB$7:$AB$38</definedName>
    <definedName name="g">'[19]Qrt Sales'!$BV$3:$DA$133</definedName>
    <definedName name="gd">'[19]Qrt Sales'!$DC$3:$DZ$133</definedName>
    <definedName name="Genotropin">'[1]5 yr Sales and Earnings'!$A$33:$AA$33</definedName>
    <definedName name="Geodon">'[1]5 yr Sales and Earnings'!$A$16:$AA$16</definedName>
    <definedName name="GGG" localSheetId="27" hidden="1">{"quartfin",#N/A,FALSE,"quartfin"}</definedName>
    <definedName name="GGG" localSheetId="28" hidden="1">{"quartfin",#N/A,FALSE,"quartfin"}</definedName>
    <definedName name="GGG" hidden="1">{"quartfin",#N/A,FALSE,"quartfin"}</definedName>
    <definedName name="gggg" localSheetId="28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gggg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Glucotrol_XL">'[1]5 yr Sales and Earnings'!$A$10:$AA$10</definedName>
    <definedName name="Goodwill">[20]Data_Download!$C$36:$AE$36</definedName>
    <definedName name="Goodwill_Amort">[20]Data_Download!$C$105:$AZ$105</definedName>
    <definedName name="Goodwill_growth_fore">[20]Data_Download!$H$162:$K$162</definedName>
    <definedName name="Gross_income_fore">[20]Data_Download!$E$9:$G$9</definedName>
    <definedName name="Gross_income_growth_avg">[20]Data_Download!$B$140</definedName>
    <definedName name="Gross_margins">'[1]5 yr Sales and Earnings'!$A$83:$AA$83</definedName>
    <definedName name="Gross_Profit">'[1]5 yr Sales and Earnings'!$A$54:$AA$54</definedName>
    <definedName name="Growth">'[1]5 yr Sales and Earnings'!$A$88:$AA$88</definedName>
    <definedName name="HHIhs" localSheetId="27" hidden="1">{"short1",#N/A,FALSE,"masmode";"short2",#N/A,FALSE,"masmode";"qtrres",#N/A,FALSE,"QTR. RES.";"sales",#N/A,FALSE,"Sales &amp; Market Share"}</definedName>
    <definedName name="HHIhs" localSheetId="28" hidden="1">{"short1",#N/A,FALSE,"masmode";"short2",#N/A,FALSE,"masmode";"qtrres",#N/A,FALSE,"QTR. RES.";"sales",#N/A,FALSE,"Sales &amp; Market Share"}</definedName>
    <definedName name="HHIhs" hidden="1">{"short1",#N/A,FALSE,"masmode";"short2",#N/A,FALSE,"masmode";"qtrres",#N/A,FALSE,"QTR. RES.";"sales",#N/A,FALSE,"Sales &amp; Market Share"}</definedName>
    <definedName name="hi" localSheetId="28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hi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Historical_Economic_Profit">[20]Data_Download!$C$48:$I$48</definedName>
    <definedName name="Historical_Incremental_ROIC">[20]Data_Download!$C$109:$Z$109</definedName>
    <definedName name="HL" localSheetId="31">ModPubIndex!$A$8</definedName>
    <definedName name="hn.ModelVersion" hidden="1">1</definedName>
    <definedName name="hn.NoUpload" hidden="1">0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i" hidden="1">'[21]Qtr Income'!$A$1:$W$160</definedName>
    <definedName name="IC_1">[20]Data_Download!$P$1:$P$65536</definedName>
    <definedName name="IC_10">[20]Data_Download!$G$1:$G$65536</definedName>
    <definedName name="IC_11">[20]Data_Download!$F$1:$F$65536</definedName>
    <definedName name="IC_12">[20]Data_Download!$E$1:$E$65536</definedName>
    <definedName name="IC_13">[20]Data_Download!$D$1:$D$65536</definedName>
    <definedName name="IC_14">[20]Data_Download!$C$1:$C$65536</definedName>
    <definedName name="IC_2">[20]Data_Download!$O$1:$O$65536</definedName>
    <definedName name="IC_3">[20]Data_Download!$N$1:$N$65536</definedName>
    <definedName name="IC_4">[20]Data_Download!$M$1:$M$65536</definedName>
    <definedName name="IC_5">[20]Data_Download!$L$1:$L$65536</definedName>
    <definedName name="IC_6">[20]Data_Download!$K$1:$K$65536</definedName>
    <definedName name="IC_7">[20]Data_Download!$J$1:$J$65536</definedName>
    <definedName name="IC_8">[20]Data_Download!$I$1:$I$65536</definedName>
    <definedName name="IC_9">[20]Data_Download!$H$1:$H$65536</definedName>
    <definedName name="IC_P">[20]Data_Download!$Q$1:$Q$65536</definedName>
    <definedName name="IC_P1">[20]Data_Download!$R$1:$R$65536</definedName>
    <definedName name="IC_P2">[20]Data_Download!$S$1:$S$65536</definedName>
    <definedName name="IC_P3">[20]Data_Download!$T$1:$T$65536</definedName>
    <definedName name="Img_ML_7g5e5e2b" hidden="1">"IMG_12"</definedName>
    <definedName name="Inc_cap_RnD_fore">[20]Data_Download!$E$21:$X$21</definedName>
    <definedName name="Inc00">[15]IS!$AI$7:$AI$39</definedName>
    <definedName name="Income__Loss__from_Disc._Ops">'[1]5 yr Sales and Earnings'!$A$66:$AA$66</definedName>
    <definedName name="Income_equivalents">[20]Data_Download!$C$30:$AZ$30</definedName>
    <definedName name="Income_equivalents_fore">[20]Data_Download!$E$26:$X$26</definedName>
    <definedName name="Income_form_uncons_subs_fore">[20]Data_Download!$E$32:$G$32</definedName>
    <definedName name="Income_from_Unconsolidated_Subs">[20]Data_Download!$C$48:$AZ$48</definedName>
    <definedName name="Income_tax_fore">[20]Data_Download!$E$39:$M$39</definedName>
    <definedName name="Income_tax_growth_fore">[20]Data_Download!$H$143:$K$143</definedName>
    <definedName name="Income_tax_rate">[20]Data_Download!$C$98:$Q$98</definedName>
    <definedName name="Income_taxes_payable">[20]Data_Download!$C$21:$AE$21</definedName>
    <definedName name="Income_taxes_payable_growth_fore">[20]Data_Download!$H$154:$K$154</definedName>
    <definedName name="Increase_cap_RnD_fore">[20]Data_Download!$E$21:$Z$21</definedName>
    <definedName name="Increase_Capitalized_R_D_net">[20]Data_Download!$C$22:$AZ$22</definedName>
    <definedName name="Increase_Deferred_Taxes">[20]Data_Download!$C$51:$AE$51</definedName>
    <definedName name="Increase_in_other_reserves">[20]Data_Download!$C$53:$AU$53</definedName>
    <definedName name="Increase_LIFO_Reserve">[20]Data_Download!$C$52:$AX$52</definedName>
    <definedName name="Incremental_investment">[20]Data_Download!$C$21:$AZ$21</definedName>
    <definedName name="Incremental_ROIC">[20]Data_Download!$C$91:$BZ$91</definedName>
    <definedName name="Incremental_ROIC_DCF">[20]Data_Download!$C$93:$BZ$93</definedName>
    <definedName name="IND" localSheetId="31">ModPubIndex!$A$9</definedName>
    <definedName name="Industry" localSheetId="0">ImportantDisclosures!$A$12</definedName>
    <definedName name="IndustryId" localSheetId="30">IndexInformation!$B$40</definedName>
    <definedName name="IndustryId">[42]IndexInformation!$B$40</definedName>
    <definedName name="IndustryRating" localSheetId="0">ImportantDisclosures!$A$13</definedName>
    <definedName name="Infgod" localSheetId="27" hidden="1">{"monthlyunits",#N/A,FALSE,"openings"}</definedName>
    <definedName name="Infgod" localSheetId="28" hidden="1">{"monthlyunits",#N/A,FALSE,"openings"}</definedName>
    <definedName name="Infgod" hidden="1">{"monthlyunits",#N/A,FALSE,"openings"}</definedName>
    <definedName name="Infosed" localSheetId="27" hidden="1">{"quartfin",#N/A,FALSE,"quartfin"}</definedName>
    <definedName name="Infosed" localSheetId="28" hidden="1">{"quartfin",#N/A,FALSE,"quartfin"}</definedName>
    <definedName name="Infosed" hidden="1">{"quartfin",#N/A,FALSE,"quartfin"}</definedName>
    <definedName name="Inspra">'[1]5 yr Sales and Earnings'!$A$11:$AA$11</definedName>
    <definedName name="INSTR_ebitda00">'[43]p&amp;leuro'!$J$39</definedName>
    <definedName name="INSTR_ebitda97">'[43]p&amp;leuro'!$J$15</definedName>
    <definedName name="INSTR_ebitda98">'[43]p&amp;leuro'!$J$23</definedName>
    <definedName name="INSTR_ebitda99">'[43]p&amp;leuro'!$J$31</definedName>
    <definedName name="Int_exp_OL">[20]Data_Download!$C$62:$AZ$62</definedName>
    <definedName name="Interest_exp_growth_fore">[20]Data_Download!$H$144:$K$144</definedName>
    <definedName name="Interest_exp_inc_fore">[20]Data_Download!$E$33:$M$33</definedName>
    <definedName name="Interest_expense_after_taxes">[20]Data_Download!$C$67:$AE$67</definedName>
    <definedName name="Interest_expense_income">[20]Data_Download!$C$63:$AE$63</definedName>
    <definedName name="Interest_expense_oper_leases">[20]Data_Download!$D$63:$AZ$63</definedName>
    <definedName name="Interest_oper_lease">[20]Data_Download!$C$63:$AW$63</definedName>
    <definedName name="Inventory">[20]Data_Download!$C$8:$AE$8</definedName>
    <definedName name="Inventory_growth_fore">[20]Data_Download!$H$148:$K$148</definedName>
    <definedName name="Inventory_turns">[20]Data_Download!$C$96:$AU$96</definedName>
    <definedName name="Invested_capital">[20]Data_Download!$C$87:$AE$87</definedName>
    <definedName name="Invested_capital_DCF">[20]Data_Download!$C$77:$AZ$77</definedName>
    <definedName name="Invested_capital_growth_fore">[20]Data_Download!$H$146:$K$146</definedName>
    <definedName name="Invested_capital_turns">[20]Data_Download!$C$102:$AU$102</definedName>
    <definedName name="Invested_capital_turns_DCF">[20]Data_Download!$C$83:$AZ$83</definedName>
    <definedName name="Invested_capital_turns_fore">[20]Data_Download!$H$80:$K$80</definedName>
    <definedName name="Investments_in_Unconsolidated_Subs">[20]Data_Download!$C$76:$AZ$76</definedName>
    <definedName name="IPR___D___Product_Licensing_Charges">'[1]5 yr Sales and Earnings'!$A$67:$AA$67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MES_REVISION_DATE_" hidden="1">40084.4202199074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39489.6256597222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ShowHideColumns" hidden="1">"iQShowAll"</definedName>
    <definedName name="IS_1">[20]Data_Download!$Q$1:$Q$65536</definedName>
    <definedName name="IS_10">[20]Data_Download!$H$1:$H$65536</definedName>
    <definedName name="IS_11">[20]Data_Download!$G$1:$G$65536</definedName>
    <definedName name="IS_12">[20]Data_Download!$F$1:$F$65536</definedName>
    <definedName name="IS_13">[20]Data_Download!$E$1:$E$65536</definedName>
    <definedName name="IS_14">[20]Data_Download!$D$1:$D$65536</definedName>
    <definedName name="IS_2">[20]Data_Download!$P$1:$P$65536</definedName>
    <definedName name="IS_3">[20]Data_Download!$O$1:$O$65536</definedName>
    <definedName name="IS_4">[20]Data_Download!$N$1:$N$65536</definedName>
    <definedName name="IS_5">[20]Data_Download!$M$1:$M$65536</definedName>
    <definedName name="IS_6">[20]Data_Download!$L$1:$L$65536</definedName>
    <definedName name="IS_7">[20]Data_Download!$K$1:$K$65536</definedName>
    <definedName name="IS_8">[20]Data_Download!$J$1:$J$65536</definedName>
    <definedName name="IS_9">[20]Data_Download!$I$1:$I$65536</definedName>
    <definedName name="IS_p">[20]Data_Download!$R$1:$R$65536</definedName>
    <definedName name="ISMethod">1</definedName>
    <definedName name="k">'[21]Qtr Margin'!$A$1:$N$75</definedName>
    <definedName name="Ke">[20]Data_Download!$D$11</definedName>
    <definedName name="KeepVersions" localSheetId="30">IndexInformation!$B$8</definedName>
    <definedName name="l">'[21]Qtr Sales'!$A$2:$AF$127</definedName>
    <definedName name="L_T_obligations_under_cap_leases">[20]Data_Download!$C$58:$AU$58</definedName>
    <definedName name="LanguageCode" localSheetId="30">IndexInformation!$B$38</definedName>
    <definedName name="LanguageCode">[42]IndexInformation!$B$38</definedName>
    <definedName name="Lasofoxifene">'[1]5 yr Sales and Earnings'!$A$38:$AA$38</definedName>
    <definedName name="LastCell" localSheetId="0">ImportantDisclosures!$A$22</definedName>
    <definedName name="LastListUpdate">0</definedName>
    <definedName name="LatestFiledQ">[44]summary!$J$11</definedName>
    <definedName name="LatestRpQ">[44]summary!$J$10</definedName>
    <definedName name="Lease_thereafter">[20]Data_Download!$C$10:$AX$10</definedName>
    <definedName name="Lease_years">[20]Data_Download!$B$20:$B$61</definedName>
    <definedName name="Lease_yr_1">[20]Data_Download!$C$5:$AX$5</definedName>
    <definedName name="Lease_yr_2">[20]Data_Download!$C$6:$AX$6</definedName>
    <definedName name="Lease_yr_3">[20]Data_Download!$C$7:$AX$7</definedName>
    <definedName name="Lease_yr_4">[20]Data_Download!$C$8:$AX$8</definedName>
    <definedName name="Lease_yr_5">[20]Data_Download!$C$9:$AX$9</definedName>
    <definedName name="LIFO_Reserve">[20]Data_Download!$C$9:$AE$9</definedName>
    <definedName name="limcount" hidden="1">1</definedName>
    <definedName name="Linking_1" localSheetId="27" xml:space="preserve">                        [45]IS!$B$4:$AU$57</definedName>
    <definedName name="Linking_1" localSheetId="28" xml:space="preserve">                        [45]IS!$B$4:$AU$57</definedName>
    <definedName name="Linking_10" localSheetId="27" xml:space="preserve">                                        [45]IS!$B$4:$AU$50</definedName>
    <definedName name="Linking_10" localSheetId="28" xml:space="preserve">                                        [45]IS!$B$4:$AU$50</definedName>
    <definedName name="Linking_10">IS!$B$1:$CP$91</definedName>
    <definedName name="Linking_11" localSheetId="27" xml:space="preserve">                                         [45]IS!$B$4:$AU$66</definedName>
    <definedName name="Linking_11" localSheetId="28" xml:space="preserve">                                         [45]IS!$B$4:$AU$66</definedName>
    <definedName name="Linking_12" localSheetId="27" xml:space="preserve">                                                                                [45]IS!$B$4:$AU$66</definedName>
    <definedName name="Linking_12" localSheetId="28" xml:space="preserve">                                                                                [45]IS!$B$4:$AU$66</definedName>
    <definedName name="Linking_13" localSheetId="27" xml:space="preserve">                                                                                [45]IS!$B$4:$AU$66</definedName>
    <definedName name="Linking_13" localSheetId="28" xml:space="preserve">                                                                                [45]IS!$B$4:$AU$66</definedName>
    <definedName name="Linking_14">IS!$B$1:$DE$91</definedName>
    <definedName name="Linking_15" localSheetId="27" xml:space="preserve">                                        [45]IS!$B$4:$AU$66</definedName>
    <definedName name="Linking_15" localSheetId="28" xml:space="preserve">                                        [45]IS!$B$4:$AU$66</definedName>
    <definedName name="Linking_15">BS!$B$1:$X$44</definedName>
    <definedName name="Linking_16" localSheetId="27" xml:space="preserve">                                                                                [45]IS!$B$4:$AU$66</definedName>
    <definedName name="Linking_16" localSheetId="28" xml:space="preserve">                                                                                [45]IS!$B$4:$AU$66</definedName>
    <definedName name="Linking_16">CF!$B$1:$X$55</definedName>
    <definedName name="Linking_17">REVS!$B$2:$DD$64</definedName>
    <definedName name="Linking_18" localSheetId="27" xml:space="preserve">                                                                                [45]IS!$B$4:$AU$66</definedName>
    <definedName name="Linking_18" localSheetId="28" xml:space="preserve">                                                                                [45]IS!$B$4:$AU$66</definedName>
    <definedName name="Linking_18">IS!$B$1:$DO$91</definedName>
    <definedName name="Linking_19" localSheetId="27" xml:space="preserve">                                                                                [45]IS!$B$4:$AU$66</definedName>
    <definedName name="Linking_19" localSheetId="28" xml:space="preserve">                                                                                [45]IS!$B$4:$AU$66</definedName>
    <definedName name="Linking_19">REVS!$B$2:$DN$64</definedName>
    <definedName name="Linking_2">MEDI4736!$B$3:$N$13</definedName>
    <definedName name="Linking_20" localSheetId="27" xml:space="preserve">                                                                                [45]IS!$B$4:$AU$66</definedName>
    <definedName name="Linking_20" localSheetId="28" xml:space="preserve">                                                                                [45]IS!$B$4:$AU$66</definedName>
    <definedName name="Linking_20">BS!$B$1:$Z$44</definedName>
    <definedName name="Linking_21" localSheetId="27" xml:space="preserve">                                        [45]IS!$B$4:$AU$66</definedName>
    <definedName name="Linking_21" localSheetId="28" xml:space="preserve">                                        [45]IS!$B$4:$AU$66</definedName>
    <definedName name="Linking_21">CF!$B$1:$Z$55</definedName>
    <definedName name="Linking_22" localSheetId="27" xml:space="preserve">                                                                                [45]IS!$B$4:$AU$66</definedName>
    <definedName name="Linking_22" localSheetId="28" xml:space="preserve">                                                                                [45]IS!$B$4:$AU$66</definedName>
    <definedName name="Linking_22">IS!$B$1:$DO$93</definedName>
    <definedName name="Linking_23" localSheetId="27" xml:space="preserve">                                        [45]IS!$B$4:$AU$66</definedName>
    <definedName name="Linking_23" localSheetId="28" xml:space="preserve">                                        [45]IS!$B$4:$AU$66</definedName>
    <definedName name="Linking_23">BS!$B$1:$Z$33</definedName>
    <definedName name="Linking_24" localSheetId="27" xml:space="preserve">                                                                                [45]IS!$B$4:$AU$66</definedName>
    <definedName name="Linking_24" localSheetId="28" xml:space="preserve">                                                                                [45]IS!$B$4:$AU$66</definedName>
    <definedName name="Linking_24">IS!$B$1:$DO$114</definedName>
    <definedName name="Linking_25" localSheetId="27" xml:space="preserve">                                                     [45]IS!$B$4:$AU$66</definedName>
    <definedName name="Linking_25" localSheetId="28" xml:space="preserve">                                                     [45]IS!$B$4:$AU$66</definedName>
    <definedName name="Linking_25">IS!$B$1:$DO$92</definedName>
    <definedName name="Linking_26" localSheetId="27" xml:space="preserve">                                                                                [45]IS!$B$4:$AU$66</definedName>
    <definedName name="Linking_26" localSheetId="28" xml:space="preserve">                                                                                [45]IS!$B$4:$AU$66</definedName>
    <definedName name="Linking_26">IS!$B$1:$DO$34</definedName>
    <definedName name="Linking_27" localSheetId="27" xml:space="preserve">                                         [45]IS!$B$4:$AU$59</definedName>
    <definedName name="Linking_27" localSheetId="28" xml:space="preserve">                                         [45]IS!$B$4:$AU$59</definedName>
    <definedName name="Linking_28" localSheetId="27" xml:space="preserve">                                                                                [45]IS!$B$4:$AU$59</definedName>
    <definedName name="Linking_28" localSheetId="28" xml:space="preserve">                                                                                [45]IS!$B$4:$AU$59</definedName>
    <definedName name="Linking_29" localSheetId="27" xml:space="preserve">                                                                                             [45]IS!$B$4:$AU$59</definedName>
    <definedName name="Linking_29" localSheetId="28" xml:space="preserve">                                                                                             [45]IS!$B$4:$AU$59</definedName>
    <definedName name="Linking_3" localSheetId="27" xml:space="preserve">                                                [46]DCF!$B$4:$T$27</definedName>
    <definedName name="Linking_3" localSheetId="28" xml:space="preserve">                                                [46]DCF!$B$4:$T$27</definedName>
    <definedName name="Linking_3">MEDI4736!$D$21:$F$26</definedName>
    <definedName name="Linking_30">IS!$B$1:$DO$36</definedName>
    <definedName name="Linking_4" localSheetId="27" xml:space="preserve">              [46]Milestones!$B$2:$E$7</definedName>
    <definedName name="Linking_4" localSheetId="28" xml:space="preserve">              [46]Milestones!$B$2:$E$7</definedName>
    <definedName name="Linking_40" xml:space="preserve"> '[46]SMA Sales Summary'!$D$4:$P$21</definedName>
    <definedName name="Linking_41" xml:space="preserve">      '[46]SMA Sales Summary'!$D$4:$P$21</definedName>
    <definedName name="Linking_42" xml:space="preserve">          '[46]SMA Sales Summary'!$D$4:$P$21</definedName>
    <definedName name="Linking_43" xml:space="preserve">              '[46]SMA Sales Summary'!$D$4:$P$21</definedName>
    <definedName name="Linking_6" localSheetId="27" xml:space="preserve">                                                                                [46]Milestones!$B$2:$E$7</definedName>
    <definedName name="Linking_6" localSheetId="28" xml:space="preserve">                                                                                [46]Milestones!$B$2:$E$7</definedName>
    <definedName name="Linking_7" localSheetId="27" xml:space="preserve">                                                                                [46]Milestones!$B$2:$E$7</definedName>
    <definedName name="Linking_7" localSheetId="28" xml:space="preserve">                                                                                [46]Milestones!$B$2:$E$7</definedName>
    <definedName name="Linking_7">MEDI4736!$G$42:$R$51</definedName>
    <definedName name="Linking_8" localSheetId="27" xml:space="preserve">                                        [46]Milestones!$B$2:$E$7</definedName>
    <definedName name="Linking_8" localSheetId="28" xml:space="preserve">                                        [46]Milestones!$B$2:$E$7</definedName>
    <definedName name="Linking_9" localSheetId="27" xml:space="preserve">             [46]Milestones!$B$2:$E$7</definedName>
    <definedName name="Linking_9" localSheetId="28" xml:space="preserve">             [46]Milestones!$B$2:$E$7</definedName>
    <definedName name="Linking_Range_10">IS!$B$1:$CP$105</definedName>
    <definedName name="Linking_Range_11">CF!$B$1:$U$55</definedName>
    <definedName name="Linking_Range_13">REVS!$B$2:$CO$63</definedName>
    <definedName name="Linking_Range_14">IS!$B$1:$EN$114</definedName>
    <definedName name="Linking_Range_15">IS!$B$1:$DE$88</definedName>
    <definedName name="Linking_Range_2">MM_US!$B$6:$U$232</definedName>
    <definedName name="Linking_Range_3">MM_EU!$B$6:$U$236</definedName>
    <definedName name="Linking_Range_33" localSheetId="28">'Other NHL'!$C$4:$M$20</definedName>
    <definedName name="Linking_Range_37" localSheetId="28">'Other NHL'!$C$4:$P$21</definedName>
    <definedName name="Linking_Range_4">Otezla!$B$3:$P$95</definedName>
    <definedName name="Linking_Range_50" localSheetId="28">'Other NHL'!$C$4:$Z$48</definedName>
    <definedName name="Linking_Range_6">IS!$B$1:$CP$114</definedName>
    <definedName name="Linking_Range_7">REVS!$B$2:$CO$64</definedName>
    <definedName name="Linking_Range_8">BS!$B$1:$U$44</definedName>
    <definedName name="Linking_Range_9">CF!$B$1:$U$54</definedName>
    <definedName name="Lipitor">'[1]5 yr Sales and Earnings'!$A$6:$AA$6</definedName>
    <definedName name="LT_debt">[20]Data_Download!$C$57:$AE$57</definedName>
    <definedName name="LT_debt_growth_fore">[20]Data_Download!$H$160:$K$160</definedName>
    <definedName name="m">'[21]Qtr Sales'!$AH$2:$BQ$127</definedName>
    <definedName name="MacroVersion" localSheetId="30">IndexInformation!$B$1</definedName>
    <definedName name="Margins">'[1]5 yr Sales and Earnings'!$A$82:$AA$82</definedName>
    <definedName name="Market_Implied_CAP">[20]Data_Download!$C$90</definedName>
    <definedName name="Medrol">'[1]5 yr Sales and Earnings'!$A$35:$AA$35</definedName>
    <definedName name="Millions_Except_EPS">[23]QTRINC!$A$4:$AA$122</definedName>
    <definedName name="Minority_Interest">'[1]5 yr Sales and Earnings'!$A$62:$AA$62</definedName>
    <definedName name="Minority_Interests">[20]Data_Download!$C$74:$AZ$74</definedName>
    <definedName name="MktSec2001">'[14]Balance Sheet'!$K$8</definedName>
    <definedName name="MktSec2002">'[14]Balance Sheet'!$L$8</definedName>
    <definedName name="ModelPrice" localSheetId="0">ImportantDisclosures!$A$14</definedName>
    <definedName name="MonitorRow">1</definedName>
    <definedName name="Monthlies_title">#N/A</definedName>
    <definedName name="Multiplier" localSheetId="30">IndexInformation!$B$35</definedName>
    <definedName name="multSecurities_L">[47]MultipleSecurities!$A$2:$A$17</definedName>
    <definedName name="n">'[21]Qtr Sales'!$BS$2:$CT$127</definedName>
    <definedName name="N_A">[20]Data_Download!$C$140</definedName>
    <definedName name="Net_Adj_capitalized_expenses">[20]Data_Download!$C$24:$AZ$24</definedName>
    <definedName name="Net_adj_for_capitalized_expenses">[20]Data_Download!$E$23:$Z$23</definedName>
    <definedName name="Net_Income">[48]NOPAT_VDF!$C$94:$AZ$94</definedName>
    <definedName name="Net_income_adj_cap_expenses">[20]Data_Download!$C$46:$AZ$46</definedName>
    <definedName name="Net_income_fore">[20]Data_Download!$E$40:$M$40</definedName>
    <definedName name="Net_income_growth">[20]Data_Download!$C$141:$AU$141</definedName>
    <definedName name="Net_income_margin">'[1]5 yr Sales and Earnings'!$A$86:$AA$86</definedName>
    <definedName name="Net_margin">[20]Data_Download!$C$113:$AU$113</definedName>
    <definedName name="Net_PPE">[20]Data_Download!$C$33:$AU$33</definedName>
    <definedName name="Net_PPE_DCF">[20]Data_Download!$C$75:$AZ$75</definedName>
    <definedName name="Net_PPE_growth_fore">[20]Data_Download!$H$157:$K$157</definedName>
    <definedName name="Net_property_under_capital_leases">[20]Data_Download!$C$34:$AU$34</definedName>
    <definedName name="Net_sales">[20]Data_Download!$C$8:$AE$8</definedName>
    <definedName name="Net_sales_DCF">[20]Data_Download!$C$9:$AZ$9</definedName>
    <definedName name="Net_sales_fore">[20]Data_Download!$E$7:$G$7</definedName>
    <definedName name="Net_sales_growth_fore">[20]Data_Download!$H$53:$K$53</definedName>
    <definedName name="Net_Tax_Benefit_of_Non_Op_Charges_Gains">[20]Data_Download!$C$35:$AZ$35</definedName>
    <definedName name="Net_Unrealized_Gains_Losses">[20]Data_Download!$C$79:$AZ$79</definedName>
    <definedName name="Net_working_capital_DCF">[20]Data_Download!$C$74:$AZ$74</definedName>
    <definedName name="Net_working_capital_turns">[20]Data_Download!$C$97:$AU$97</definedName>
    <definedName name="Net_working_capital_turns_DCF">[20]Data_Download!$C$80:$AZ$80</definedName>
    <definedName name="NetInc02">[33]Annual!$H$42</definedName>
    <definedName name="NetInc03">[33]Annual!$J$42</definedName>
    <definedName name="NetInc04">[33]Annual!$L$42</definedName>
    <definedName name="NetInc05">[33]Annual!$N$42</definedName>
    <definedName name="NetIncome2001">[34]Annual!$N$49</definedName>
    <definedName name="NetIncome2002">[34]Annual!$P$50</definedName>
    <definedName name="NetIncome2003">[34]Annual!$R$53</definedName>
    <definedName name="NetIncome2004">[34]Annual!$V$53</definedName>
    <definedName name="NetIncome2005">[6]Annual!$AL$52</definedName>
    <definedName name="NetWC_turns_fore">[20]Data_Download!$E$77:$K$77</definedName>
    <definedName name="Neurontin">'[1]5 yr Sales and Earnings'!$A$14:$AA$14</definedName>
    <definedName name="new" localSheetId="27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ew" localSheetId="2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ew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ewstone" localSheetId="27">{"Client Name or Project Name"}</definedName>
    <definedName name="newstone" localSheetId="28">{"Client Name or Project Name"}</definedName>
    <definedName name="newstone">{"Client Name or Project Name"}</definedName>
    <definedName name="newstone1" localSheetId="27">{"Client Name or Project Name"}</definedName>
    <definedName name="newstone1" localSheetId="28">{"Client Name or Project Name"}</definedName>
    <definedName name="newstone1">{"Client Name or Project Name"}</definedName>
    <definedName name="NextYearEPS" localSheetId="30">IndexInformation!$B$13</definedName>
    <definedName name="NextYearTotalRevenue" localSheetId="30">IndexInformation!$B$12</definedName>
    <definedName name="NextYearTotalRevenueActual" localSheetId="30">IndexInformation!$B$33</definedName>
    <definedName name="NIBCLs">[20]Data_Download!$C$24:$AE$24</definedName>
    <definedName name="Non_Operating_Income">'[1]5 yr Sales and Earnings'!$A$58:$AA$58</definedName>
    <definedName name="Non_Recurring_loss_gain">[20]Data_Download!$C$50:$AZ$50</definedName>
    <definedName name="NOPAT_DCF">[20]Data_Download!$C$12:$AZ$12</definedName>
    <definedName name="NOPAT_fore">[20]Data_Download!$E$29:$G$29</definedName>
    <definedName name="NOPAT_growth">[20]Data_Download!$C$144:$AU$144</definedName>
    <definedName name="NOPAT_margin">[20]Data_Download!$C$112:$AU$112</definedName>
    <definedName name="NOPAT_margin_fore">[20]Data_Download!$H$54:$K$54</definedName>
    <definedName name="NOPBT">[20]Data_Download!$C$32:$AU$32</definedName>
    <definedName name="NOPBT_fore">[20]Data_Download!$E$27:$V$27</definedName>
    <definedName name="Norm_forecast_11_15">[20]Data_Download!$J$8:$J$224</definedName>
    <definedName name="Norm_forecast_16_25">[20]Data_Download!$K$1:$K$65536</definedName>
    <definedName name="Norm_forecast_4_5">[20]Data_Download!$H$8:$H$224</definedName>
    <definedName name="Norm_forecast_6_10">[20]Data_Download!$I$8:$I$224</definedName>
    <definedName name="Norvasc">'[1]5 yr Sales and Earnings'!$A$7:$AA$7</definedName>
    <definedName name="NOVZ_NtDbt98">'[49]Balance Sheet'!$D$42</definedName>
    <definedName name="NPT_1">[20]Data_Download!$P$1:$P$65536</definedName>
    <definedName name="NPT_10">[20]Data_Download!$G$1:$G$65536</definedName>
    <definedName name="NPT_11">[20]Data_Download!$F$1:$F$65536</definedName>
    <definedName name="NPT_12">[20]Data_Download!$E$1:$E$65536</definedName>
    <definedName name="NPT_13">[20]Data_Download!$D$1:$D$65536</definedName>
    <definedName name="NPT_14">[20]Data_Download!$C$1:$C$65536</definedName>
    <definedName name="NPT_2">[20]Data_Download!$O$1:$O$65536</definedName>
    <definedName name="NPT_3">[20]Data_Download!$N$1:$N$65536</definedName>
    <definedName name="NPT_4">[20]Data_Download!$M$1:$M$65536</definedName>
    <definedName name="NPT_5">[20]Data_Download!$L$1:$L$65536</definedName>
    <definedName name="NPT_6">[20]Data_Download!$K$1:$K$65536</definedName>
    <definedName name="NPT_7">[20]Data_Download!$J$1:$J$65536</definedName>
    <definedName name="NPT_8">[20]Data_Download!$I$1:$I$65536</definedName>
    <definedName name="NPT_9">[20]Data_Download!$H$1:$H$65536</definedName>
    <definedName name="NPT_EY1">[20]Data_Download!$R$1:$R$65536</definedName>
    <definedName name="NPT_EY2">[20]Data_Download!$S$1:$S$65536</definedName>
    <definedName name="NPT_EY3">[20]Data_Download!$T$1:$T$65536</definedName>
    <definedName name="NPT_P">[20]Data_Download!$Q$1:$Q$65536</definedName>
    <definedName name="o">'[21]Qtr Sales'!$CV$2:$DP$127</definedName>
    <definedName name="ObjectType" localSheetId="30">IndexInformation!$B$37</definedName>
    <definedName name="ObjectType">[42]IndexInformation!$B$37</definedName>
    <definedName name="Off_B_S_Income">[20]Data_Download!$C$7:$AZ$7</definedName>
    <definedName name="Off_B_S_Income_DCF">[20]Data_Download!$C$8:$BZ$8</definedName>
    <definedName name="Off_B_S_Income_fore">[20]Data_Download!$E$6:$Z$6</definedName>
    <definedName name="Off_B_S_Income_growth_fore">[20]Data_Download!$H$52:$K$52</definedName>
    <definedName name="OL_1">[20]Data_Download!$AD$1:$AD$65536</definedName>
    <definedName name="OL_10">[20]Data_Download!$L$1:$L$65536</definedName>
    <definedName name="OL_11">[20]Data_Download!$J$1:$J$65536</definedName>
    <definedName name="OL_12">[20]Data_Download!$H$1:$H$65536</definedName>
    <definedName name="OL_13">[20]Data_Download!$F$1:$F$65536</definedName>
    <definedName name="OL_14">[20]Data_Download!$D$1:$D$65536</definedName>
    <definedName name="OL_2">[20]Data_Download!$AB$1:$AB$65536</definedName>
    <definedName name="OL_3">[20]Data_Download!$Z$1:$Z$65536</definedName>
    <definedName name="OL_4">[20]Data_Download!$X$1:$X$65536</definedName>
    <definedName name="OL_5">[20]Data_Download!$V$1:$V$65536</definedName>
    <definedName name="OL_6">[20]Data_Download!$T$1:$T$65536</definedName>
    <definedName name="OL_7">[20]Data_Download!$R$1:$R$65536</definedName>
    <definedName name="OL_8">[20]Data_Download!$P$1:$P$65536</definedName>
    <definedName name="OL_9">[20]Data_Download!$N$1:$N$65536</definedName>
    <definedName name="OL_P">[20]Data_Download!$AF$1:$AF$65536</definedName>
    <definedName name="OpDay_printarea">#N/A</definedName>
    <definedName name="Operating_Expenses">[20]Data_Download!$C$15:$AZ$15</definedName>
    <definedName name="Operating_Income">'[1]5 yr Sales and Earnings'!$A$57:$AA$57</definedName>
    <definedName name="Operating_income_fore">[20]Data_Download!$E$13:$G$13</definedName>
    <definedName name="Operating_Lease_Expense">[20]Data_Download!$C$23:$AZ$23</definedName>
    <definedName name="Operating_Lease_Expense_fore">[20]Data_Download!$E$22:$Z$22</definedName>
    <definedName name="Operating_margin">'[1]5 yr Sales and Earnings'!$A$84:$AA$84</definedName>
    <definedName name="Operating_Profit">'[1]5 yr Sales and Earnings'!$A$97:$AA$97</definedName>
    <definedName name="Other">[20]Data_Download!$C$45:$AU$45</definedName>
    <definedName name="Other_asset_turns">[20]Data_Download!$A$101:$Z$101</definedName>
    <definedName name="Other_asset_turns_DCF">[20]Data_Download!$C$82:$AZ$82</definedName>
    <definedName name="Other_asset_turns_fore">[20]Data_Download!$B$79:$K$79</definedName>
    <definedName name="Other_assets">[20]Data_Download!$C$45:$AU$45</definedName>
    <definedName name="Other_assets_DCF">[20]Data_Download!$C$76:$AZ$76</definedName>
    <definedName name="Other_Assets2">[20]Data_Download!$C$46:$AZ$46</definedName>
    <definedName name="Other_current_assets">[20]Data_Download!$C$12:$AE$12</definedName>
    <definedName name="Other_current_assets_growth_fore">[20]Data_Download!$H$149:$K$149</definedName>
    <definedName name="Other_Current_Assets2">[20]Data_Download!$C$14:$AZ$14</definedName>
    <definedName name="Other_current_liabilities">[20]Data_Download!$C$22:$AU$22</definedName>
    <definedName name="Other_current_liabilities_growth_fore">[20]Data_Download!$H$155:$K$155</definedName>
    <definedName name="Other_Current_Liabilities2">[20]Data_Download!$C$23:$AZ$23</definedName>
    <definedName name="Other_DCF">[20]Data_Download!$C$76:$AZ$76</definedName>
    <definedName name="Other_Expenses">[20]Data_Download!$C$59:$AZ$59</definedName>
    <definedName name="Other_Expenses_fore">[20]Data_Download!$E$35:$G$35</definedName>
    <definedName name="Other_expenses_gains">[20]Data_Download!$C$14:$AZ$14</definedName>
    <definedName name="Other_expenses_gains_fore">[20]Data_Download!$E$12:$G$12</definedName>
    <definedName name="Other_expenses_growth_fore">[20]Data_Download!$H$172:$K$172</definedName>
    <definedName name="Other_fixed_asset_turns">[20]Data_Download!$C$100:$AU$100</definedName>
    <definedName name="Other_fixed_asset_turns_fore">[20]Data_Download!$H$131:$K$131</definedName>
    <definedName name="Other_fixed_assets">[20]Data_Download!$D$41:$AU$41</definedName>
    <definedName name="Other_fixed_assets_growth_fore">[20]Data_Download!$H$158:$K$158</definedName>
    <definedName name="Other_fixed_assets2">[20]Data_Download!$C$42:$AZ$42</definedName>
    <definedName name="Other_growth_fore">[20]Data_Download!$H$166:$K$166</definedName>
    <definedName name="Other_inc_exp_fore">[20]Data_Download!$E$34:$M$34</definedName>
    <definedName name="Other_Income">[20]Data_Download!$C$58:$AZ$58</definedName>
    <definedName name="Other_income_growth_fore">[20]Data_Download!$H$173:$K$173</definedName>
    <definedName name="Other_Intangible_Assets">[20]Data_Download!$C$38:$AZ$38</definedName>
    <definedName name="Other_liabilities">[20]Data_Download!$C$72:$AE$72</definedName>
    <definedName name="Other_liabilities_growth_fore">[20]Data_Download!$H$168:$K$168</definedName>
    <definedName name="Other_liabilities2">[20]Data_Download!$C$73:$AZ$73</definedName>
    <definedName name="Other_LT_Debt">[20]Data_Download!$C$60:$AZ$60</definedName>
    <definedName name="Other_ncome_expenses">[20]Data_Download!$C$58:$AZ$58</definedName>
    <definedName name="Other_New_Pharmaceuticals">'[1]5 yr Sales and Earnings'!$A$43:$AA$43</definedName>
    <definedName name="Other_Pharmaceuticals">'[1]5 yr Sales and Earnings'!$A$36:$AA$36</definedName>
    <definedName name="Other_reserves">[20]Data_Download!$C$11:$AZ$11</definedName>
    <definedName name="Other_ST_Debt">[20]Data_Download!$C$56:$AZ$56</definedName>
    <definedName name="over_15_years">0.1</definedName>
    <definedName name="p">'[21]Qtr Sales'!$DR$2:$EK$127</definedName>
    <definedName name="P_L_2003_2005E___millions____Assume__4.0_billion_Cost_Savings_From_PHA_Merger">'[1]5 yr Sales and Earnings'!$A$113:$AA$113</definedName>
    <definedName name="PANA" localSheetId="31">ModPubIndex!$A$11</definedName>
    <definedName name="Partial_year">[20]Data_Download!$K$12</definedName>
    <definedName name="PathName" localSheetId="30">IndexInformation!$B$25</definedName>
    <definedName name="PERCENT_CHANGE">[20]Data_Download!$A$40:$C$63</definedName>
    <definedName name="Pharma_Sales">'[1]5 yr Sales and Earnings'!$A$89:$AA$89</definedName>
    <definedName name="PPnE_turns_fore">[20]Data_Download!$H$130:$K$130</definedName>
    <definedName name="Pre_Tax_Income">'[1]5 yr Sales and Earnings'!$A$59:$AA$59</definedName>
    <definedName name="Pre_tax_margin">'[1]5 yr Sales and Earnings'!$A$85:$AA$85</definedName>
    <definedName name="Pre_tax_profit">'[1]5 yr Sales and Earnings'!$A$98:$AA$98</definedName>
    <definedName name="Preferred_book_value">[20]Data_Download!$D$15</definedName>
    <definedName name="Preferred_Dividends">[20]Data_Download!$C$61:$AZ$61</definedName>
    <definedName name="Preferred_stock">[20]Data_Download!$C$81:$AE$81</definedName>
    <definedName name="Preferred_stock_growth_fore">[20]Data_Download!$H$171:$K$171</definedName>
    <definedName name="Pregabalin">'[1]5 yr Sales and Earnings'!$A$19:$AA$19</definedName>
    <definedName name="Present_Value_Oper_lease">[20]Data_Download!$C$62:$AW$62</definedName>
    <definedName name="Pretax_income">[20]Data_Download!$C$90:$AE$90</definedName>
    <definedName name="Pretax_income_fore">[20]Data_Download!$E$36:$Z$36</definedName>
    <definedName name="PrimaryShares2003">[14]Annual!$X$40</definedName>
    <definedName name="PrimaryShares2004">[14]Annual!$Z$40</definedName>
    <definedName name="PrimaryShares2005">[14]Annual!$AB$40</definedName>
    <definedName name="print">'[50]Old Model'!$BY$3:$CH$61,'[50]Old Model'!$BY$64:$CH$120,'[50]Old Model'!$BO$3:$BX$61,'[50]Old Model'!$BO$64:$BX$120,'[50]Old Model'!$CI$3:$CR$61,'[50]Old Model'!$CI$64:$CR$120,'[50]Old Model'!$L$128:$W$188,'[50]Old Model'!$L$205:$W$256,'[50]Old Model'!$B$263:$K$315,'[50]Old Model'!$B$323:$K$375,'[50]Old Model'!$B$385:$K$438</definedName>
    <definedName name="_xlnm.Print_Area">#N/A</definedName>
    <definedName name="PRODUCT" localSheetId="31">ModPubIndex!$A$6</definedName>
    <definedName name="ProjectName" localSheetId="27">{"BU Name or Client/Project Name"}</definedName>
    <definedName name="ProjectName" localSheetId="28">{"BU Name or Client/Project Name"}</definedName>
    <definedName name="ProjectName">{"Client Name or Project Name"}</definedName>
    <definedName name="pronames" localSheetId="27">{"Client Name or Project Name"}</definedName>
    <definedName name="pronames" localSheetId="28">{"Client Name or Project Name"}</definedName>
    <definedName name="pronames">{"Client Name or Project Name"}</definedName>
    <definedName name="PSYM" localSheetId="31">ModPubIndex!$A$4</definedName>
    <definedName name="PublishDate" localSheetId="30">IndexInformation!$B$2</definedName>
    <definedName name="PV_of_Economic_Profit">[20]Data_Download!$C$49:$BZ$49</definedName>
    <definedName name="PV_of_FCF">[20]Data_Download!$C$26:$AZ$26</definedName>
    <definedName name="PV_of_Residual_Value">[20]Data_Download!$C$30:$AZ$30</definedName>
    <definedName name="PV_Oper_lease">[20]Data_Download!$C$62:$AW$62</definedName>
    <definedName name="PVGO">[20]Data_Download!$C$10</definedName>
    <definedName name="q" hidden="1">'[21]Qtr Sales'!$EM$2:$FJ$127</definedName>
    <definedName name="Q1_00">[15]IS!$AE$7:$AE$39</definedName>
    <definedName name="Q1_97">[15]IS!$K$7:$K$38</definedName>
    <definedName name="Q1_98">[15]IS!$Q$7:$Q$38</definedName>
    <definedName name="Q1_99">[15]IS!$X$7:$X$38</definedName>
    <definedName name="Q2_00">[15]IS!$AF$7:$AF$39</definedName>
    <definedName name="Q2_97">[15]IS!$L$7:$L$38</definedName>
    <definedName name="Q2_98">[15]IS!$R$7:$R$38</definedName>
    <definedName name="Q2_99">[15]IS!$Y$7:$Y$38</definedName>
    <definedName name="Q3_00">[15]IS!$AG$7:$AG$39</definedName>
    <definedName name="Q3_97">[15]IS!$M$7:$M$38</definedName>
    <definedName name="Q3_98">[15]IS!$S$7:$S$38</definedName>
    <definedName name="Q3_99">[15]IS!$Z$7:$Z$38</definedName>
    <definedName name="Q4_00">[15]IS!$AH$7:$AH$39</definedName>
    <definedName name="Q4_97">[15]IS!$N$7:$N$38</definedName>
    <definedName name="Q4_98">[15]IS!$T$7:$T$38</definedName>
    <definedName name="Q4_99">[15]IS!$AA$7:$AA$38</definedName>
    <definedName name="QINC1">'[40]Qtr Income'!$A$1:$X$214</definedName>
    <definedName name="QMARGIN">'[40] Qtr Margin'!$A$1:$O$110</definedName>
    <definedName name="QSALES1">'[40]Qtr Sales'!$A$1:$AO$179</definedName>
    <definedName name="QSALES2">'[40]Qtr Sales'!$AU$1:$CA$179</definedName>
    <definedName name="QSALES3">'[51]Qrt Sales'!$BZ$3:$DV$113</definedName>
    <definedName name="Qsales3wla">'[52]PFE 2 Qtr Salessolo'!$J$1:$Q$107</definedName>
    <definedName name="QSALES4">'[51]Qrt Sales'!$DX$3:$EL$113</definedName>
    <definedName name="Qsales4wla">'[52]PFE 2 Qtr Salessolo'!$R$1:$T$107</definedName>
    <definedName name="QSALESCHG">'[23]QTR-SALES'!$A$68:$O$126</definedName>
    <definedName name="Qsaleswla">'[52]PFE 2 Qtr Salessolo'!$A$1:$I$107</definedName>
    <definedName name="R_D_Amortization">[20]Data_Download!$C$31:$AU$31</definedName>
    <definedName name="R_D_Capzed">[20]Data_Download!$C$21:$Z$21</definedName>
    <definedName name="R_D_ex._Cost_savings">'[1]5 yr Sales and Earnings'!$A$127:$AA$127</definedName>
    <definedName name="R_D_expense">[20]Data_Download!$C$28:$AZ$28</definedName>
    <definedName name="R_D_expense_IS">[20]Data_Download!$C$13:$AZ$13</definedName>
    <definedName name="Ranking_of_Product_Revenues">'[1]5 yr Sales and Earnings'!$A$130:$AA$130</definedName>
    <definedName name="Rating" localSheetId="30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lpax">'[1]5 yr Sales and Earnings'!$A$18:$AA$18</definedName>
    <definedName name="rep" localSheetId="27" hidden="1">{#N/A,#N/A,FALSE,"COVER";#N/A,#N/A,FALSE,"VALUATION";#N/A,#N/A,FALSE,"FORECAST";#N/A,#N/A,FALSE,"FY ANALYSIS ";#N/A,#N/A,FALSE," HY ANALYSIS"}</definedName>
    <definedName name="rep" localSheetId="11" hidden="1">{#N/A,#N/A,FALSE,"COVER";#N/A,#N/A,FALSE,"VALUATION";#N/A,#N/A,FALSE,"FORECAST";#N/A,#N/A,FALSE,"FY ANALYSIS ";#N/A,#N/A,FALSE," HY ANALYSIS"}</definedName>
    <definedName name="rep" localSheetId="28" hidden="1">{#N/A,#N/A,FALSE,"COVER";#N/A,#N/A,FALSE,"VALUATION";#N/A,#N/A,FALSE,"FORECAST";#N/A,#N/A,FALSE,"FY ANALYSIS ";#N/A,#N/A,FALSE," HY ANALYSIS"}</definedName>
    <definedName name="rep" localSheetId="29" hidden="1">{#N/A,#N/A,FALSE,"COVER";#N/A,#N/A,FALSE,"VALUATION";#N/A,#N/A,FALSE,"FORECAST";#N/A,#N/A,FALSE,"FY ANALYSIS ";#N/A,#N/A,FALSE," HY ANALYSIS"}</definedName>
    <definedName name="rep" hidden="1">{#N/A,#N/A,FALSE,"COVER";#N/A,#N/A,FALSE,"VALUATION";#N/A,#N/A,FALSE,"FORECAST";#N/A,#N/A,FALSE,"FY ANALYSIS ";#N/A,#N/A,FALSE," HY ANALYSIS"}</definedName>
    <definedName name="RepairedName0004" hidden="1">"iQShowAnnual"</definedName>
    <definedName name="RepairedName0035" hidden="1">"iQShowAnnual"</definedName>
    <definedName name="RepairedName0074" hidden="1">"iQShowAnnual"</definedName>
    <definedName name="RepairedName2249" hidden="1">"iQShowAnnual"</definedName>
    <definedName name="Reported_EPS">'[1]5 yr Sales and Earnings'!$A$78:$AA$78</definedName>
    <definedName name="Required_cash">[20]Data_Download!$C$6:$AU$6</definedName>
    <definedName name="Required_cash_percent">[20]Data_Download!$A$9</definedName>
    <definedName name="ResearchTopic" localSheetId="30">IndexInformation!$B$4</definedName>
    <definedName name="Residual_Value">[20]Data_Download!$C$29:$AZ$29</definedName>
    <definedName name="Restructuirng_Charges">'[1]5 yr Sales and Earnings'!$A$65:$AA$65</definedName>
    <definedName name="Restructuring_charges_growth_fore">[20]Data_Download!$H$165:$K$165</definedName>
    <definedName name="RIC" localSheetId="30">IndexInformation!$B$21</definedName>
    <definedName name="RIsk_free_30yr_Treas">[20]Data_Download!$D$47:$S$47</definedName>
    <definedName name="RiskAutoStopPercChange">1.5</definedName>
    <definedName name="RiskCollectDistributionSamples">2</definedName>
    <definedName name="RiskExcelReportsGoInNewWorkbook">TRUE</definedName>
    <definedName name="RiskExcelReportsToGenerate">1024</definedName>
    <definedName name="RiskFixedSeed">923</definedName>
    <definedName name="RiskGenerateExcelReportsAtEndOfSimulation">FALSE</definedName>
    <definedName name="RiskHasSettings">TRUE</definedName>
    <definedName name="RiskMinimizeOnStart">TRUE</definedName>
    <definedName name="RiskMonitorConvergence">FALSE</definedName>
    <definedName name="RiskNumIterations">10000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TRUE</definedName>
    <definedName name="RiskUseMultipleCPUs">FALSE</definedName>
    <definedName name="RnD_expense">[20]Data_Download!$C$28:$AZ$28</definedName>
    <definedName name="RnD_expense_fore">[20]Data_Download!$E$11:$X$11</definedName>
    <definedName name="RnD_expense_growth_fore">[20]Data_Download!$H$156:$K$156</definedName>
    <definedName name="RnD_expenses_fore">[20]Data_Download!$E$11:$X$11</definedName>
    <definedName name="Roflumilast">'[1]5 yr Sales and Earnings'!$A$39:$AA$39</definedName>
    <definedName name="ROIC_DCF">[20]Data_Download!$C$44:$BZ$44</definedName>
    <definedName name="ROIC_WACC">[20]Data_Download!$C$46:$AZ$46</definedName>
    <definedName name="RORIC__3_yr_rolling">[20]Data_Download!$C$92:$BZ$92</definedName>
    <definedName name="ROYAL1">'[23]FEES-R&amp;D'!$A$1:$L$59</definedName>
    <definedName name="ROYAL2">'[23]FEES-R&amp;D'!$A$62:$K$124</definedName>
    <definedName name="S_T_obligations_under_cap_leases">[20]Data_Download!$C$55:$AU$55</definedName>
    <definedName name="sadf">'[19]Qrt Sales'!$AO$3:$BT$133</definedName>
    <definedName name="Sales_growth">[20]Data_Download!$C$140:$AU$140</definedName>
    <definedName name="Sales_growth_avg">[20]Data_Download!$B$53</definedName>
    <definedName name="Sales_of_Products">'[1]5 yr Sales and Earnings'!$A$101:$AA$101</definedName>
    <definedName name="SECSettlement" localSheetId="0">ImportantDisclosures!#REF!</definedName>
    <definedName name="SEDOL" localSheetId="30">IndexInformation!$B$22</definedName>
    <definedName name="Segment1_income">[20]Data_Download!$C$5:$AZ$5</definedName>
    <definedName name="Segment1_income_DCF">[20]Data_Download!$C$6:$BZ$6</definedName>
    <definedName name="Segment1_income_fore">[20]Data_Download!$E$4:$G$4</definedName>
    <definedName name="Segment1_income_growth_fore">[20]Data_Download!$H$50:$K$50</definedName>
    <definedName name="Segment2_income">[20]Data_Download!$C$6:$AZ$6</definedName>
    <definedName name="Segment2_income_DCF">[20]Data_Download!$C$7:$BZ$7</definedName>
    <definedName name="Segment2_income_fore">[20]Data_Download!$E$5:$G$5</definedName>
    <definedName name="Segment2_income_growth_fore">[20]Data_Download!$H$51:$K$51</definedName>
    <definedName name="sencount" hidden="1">2</definedName>
    <definedName name="sf">'[19]Qtr Margin'!$A$1:$O$77</definedName>
    <definedName name="SG_A_ex._cost_savings">'[1]5 yr Sales and Earnings'!$A$125:$AA$125</definedName>
    <definedName name="SGA">[20]Data_Download!$C$12:$AE$12</definedName>
    <definedName name="SGA_fore">[20]Data_Download!$E$10:$X$10</definedName>
    <definedName name="SGA_growth_avg">[20]Data_Download!$B$141</definedName>
    <definedName name="SGA_growth_fore">[20]Data_Download!$H$53:$K$53</definedName>
    <definedName name="SGA_margin">[20]Data_Download!$C$114:$AU$114</definedName>
    <definedName name="Shareholder_value">[20]Data_Download!$C$36:$AB$36</definedName>
    <definedName name="Shareholder_Value_EVA">[20]Data_Download!$C$61:$BZ$61</definedName>
    <definedName name="Shareholders_equity">[20]Data_Download!$C$78:$AE$78</definedName>
    <definedName name="Shares">'[1]5 yr Sales and Earnings'!$A$76:$AA$76</definedName>
    <definedName name="Shares_DCF">[20]Data_Download!$C$37:$AZ$37</definedName>
    <definedName name="Shares_fore">[20]Data_Download!$E$41:$W$41</definedName>
    <definedName name="Shares_growth">[20]Data_Download!$M$151:$Q$151</definedName>
    <definedName name="Shares_growth_fore">[20]Data_Download!$E$59:$W$59</definedName>
    <definedName name="Smoking_Cessation_Drug">'[1]5 yr Sales and Earnings'!$A$42:$AA$42</definedName>
    <definedName name="SourceDefined" localSheetId="0">ImportantDisclosures!$A$19</definedName>
    <definedName name="Spread_on_debt">[20]Data_Download!$D$49:$S$49</definedName>
    <definedName name="ST_debt">[20]Data_Download!$C$54:$AE$54</definedName>
    <definedName name="ST_debt_growth_fore">[20]Data_Download!$H$159:$K$159</definedName>
    <definedName name="Staightline_charge">[20]Data_Download!$C$29:$AU$29</definedName>
    <definedName name="Stock_price">[20]Data_Download!$B$9</definedName>
    <definedName name="Stock_price_close">[20]Data_Download!$C$54:$AZ$54</definedName>
    <definedName name="Stock_price_high">[20]Data_Download!$C$27:$AY$27</definedName>
    <definedName name="Stock_price_low">[20]Data_Download!$C$28:$AY$28</definedName>
    <definedName name="StockRating" localSheetId="0">ImportantDisclosures!$A$11</definedName>
    <definedName name="SubjectCode" localSheetId="30">IndexInformation!$B$6</definedName>
    <definedName name="SubmissionData">[53]RAPID2!$C$1:$J$99</definedName>
    <definedName name="SubmitterUserId" localSheetId="30">IndexInformation!$B$39</definedName>
    <definedName name="SubmitterUserId">[42]IndexInformation!$B$39</definedName>
    <definedName name="Summary_1">[20]Data_Download!$F$1:$F$65536</definedName>
    <definedName name="Summary_1991">[20]Data_Download!$C$25:$C$106</definedName>
    <definedName name="Summary_1992">[20]Data_Download!$D$25:$D$106</definedName>
    <definedName name="Summary_1993">[20]Data_Download!$E$25:$E$106</definedName>
    <definedName name="Summary_1994">[20]Data_Download!$F$25:$F$106</definedName>
    <definedName name="Summary_1995">[20]Data_Download!$G$25:$G$106</definedName>
    <definedName name="Summary_1996">[20]Data_Download!$H$25:$H$106</definedName>
    <definedName name="Summary_1997">[20]Data_Download!$I$25:$I$106</definedName>
    <definedName name="Summary_2">[20]Data_Download!$E$1:$E$65536</definedName>
    <definedName name="Summary_3">[20]Data_Download!$D$1:$D$65536</definedName>
    <definedName name="Summary_4">[20]Data_Download!$C$1:$C$65536</definedName>
    <definedName name="Summary_EY1">[20]Data_Download!$H$1:$H$65536</definedName>
    <definedName name="Summary_EY2">[20]Data_Download!$I$1:$I$65536</definedName>
    <definedName name="Summary_IS" localSheetId="27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Summary_IS" localSheetId="2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Summary_IS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Summary_P">[20]Data_Download!$G$1:$G$65536</definedName>
    <definedName name="SUPPRESSED" localSheetId="31">ModPubIndex!$A$13</definedName>
    <definedName name="Table_10">'[54]SEARLE - SALES'!$B$1:$AJ$82</definedName>
    <definedName name="Tarceva.new" localSheetId="27">{"Client Name or Project Name"}</definedName>
    <definedName name="Tarceva.new" localSheetId="28">{"Client Name or Project Name"}</definedName>
    <definedName name="Tarceva.new">{"Client Name or Project Name"}</definedName>
    <definedName name="Target_debt_to_capital">[20]Data_Download!$E$72:$L$72</definedName>
    <definedName name="TargetPrice" localSheetId="0">ImportantDisclosures!$A$15</definedName>
    <definedName name="Tax_benefit_from_interest">[20]Data_Download!$C$36:$AU$36</definedName>
    <definedName name="Tax_benefit_from_oper_leases">[20]Data_Download!AO1:XEV1</definedName>
    <definedName name="Tax_benefit_from_ops_leases">[20]Data_Download!$C$37:$AZ$37</definedName>
    <definedName name="Tax_Shield_Tax_Rate">[20]Data_Download!$A$33</definedName>
    <definedName name="TemplateRegion" localSheetId="30">IndexInformation!$B$36</definedName>
    <definedName name="TemplateRegion">[42]IndexInformation!$B$36</definedName>
    <definedName name="Ticker" localSheetId="0">ImportantDisclosures!$A$10</definedName>
    <definedName name="TickerRegion">IndexInformation!$B$41</definedName>
    <definedName name="Tickers" localSheetId="30">IndexInformation!$B$19</definedName>
    <definedName name="tones" localSheetId="27">{"Client Name or Project Name"}</definedName>
    <definedName name="tones" localSheetId="28">{"Client Name or Project Name"}</definedName>
    <definedName name="tones">{"Client Name or Project Name"}</definedName>
    <definedName name="Total_amort_fore">[20]Data_Download!$E$18:$M$18</definedName>
    <definedName name="Total_Amortization">[20]Data_Download!$C$18:$AZ$18</definedName>
    <definedName name="Total_Amortization_fore">[20]Data_Download!$E$15:$G$15</definedName>
    <definedName name="Total_COS">[20]Data_Download!$C$9:$AZ$9</definedName>
    <definedName name="Total_COS_fore">[20]Data_Download!$E$8:$W$8</definedName>
    <definedName name="Total_COS_growth_fore">[20]Data_Download!$H$142:$K$142</definedName>
    <definedName name="Total_COS_net_DnA">[20]Data_Download!$C$103:$AZ$103</definedName>
    <definedName name="Total_debt">[20]Data_Download!$C$61:$AU$61</definedName>
    <definedName name="Total_debt_DCF">[20]Data_Download!$C$35:$AZ$35</definedName>
    <definedName name="Total_debt_fore">[20]Data_Download!$E$46:$W$46</definedName>
    <definedName name="Total_debt_growth_fore">[20]Data_Download!$E$58:$W$58</definedName>
    <definedName name="Total_increase_in_EEs">[20]Data_Download!$C$55:$AZ$55</definedName>
    <definedName name="Total_Increase_in_EEs_fore">[20]Data_Download!$B$26:$AX$26</definedName>
    <definedName name="Total_New_Pharmaceuticals">'[1]5 yr Sales and Earnings'!$A$44:$AA$44</definedName>
    <definedName name="Total_other_assets">[20]Data_Download!$C$47:$Z$47</definedName>
    <definedName name="Total_Prescriptions">'[55]MS Week2'!$A$3:$D$4</definedName>
    <definedName name="total_Rx_growth">'[55]MS Week2'!$K$5:$O$15</definedName>
    <definedName name="trc_XLS_DATASHEET_ProtectDate">35417.7656018519</definedName>
    <definedName name="UpdateReason" localSheetId="30">IndexInformation!$B$17</definedName>
    <definedName name="USRegDisclosures" localSheetId="0">ImportantDisclosures!#REF!</definedName>
    <definedName name="v" hidden="1">[16]ｾｸﾞﾒﾝﾄ!$E$164:$I$164</definedName>
    <definedName name="Value_of_Firm">[20]Data_Download!$C$58:$BZ$58</definedName>
    <definedName name="Value_of_Unconsol._Subs">[20]Data_Download!$C$34:$AZ$34</definedName>
    <definedName name="Value_per_share">[20]Data_Download!$C$39:$AZ$39</definedName>
    <definedName name="Vfend">'[1]5 yr Sales and Earnings'!$A$27:$AA$27</definedName>
    <definedName name="Viagra">'[1]5 yr Sales and Earnings'!$A$28:$AA$28</definedName>
    <definedName name="Viracept">'[1]5 yr Sales and Earnings'!$A$25:$AA$25</definedName>
    <definedName name="w" hidden="1">[16]単独!$AR$14:$AR$18</definedName>
    <definedName name="WACC_1">[20]Data_Download!$Q$44</definedName>
    <definedName name="WACC_10">[20]Data_Download!$H$44</definedName>
    <definedName name="WACC_11">[20]Data_Download!$G$44</definedName>
    <definedName name="WACC_12">[20]Data_Download!$F$44</definedName>
    <definedName name="WACC_13">[20]Data_Download!$E$44</definedName>
    <definedName name="WACC_14">[20]Data_Download!$D$44</definedName>
    <definedName name="WACC_4">[20]Data_Download!$N$44</definedName>
    <definedName name="WACC_5">[20]Data_Download!$M$44</definedName>
    <definedName name="WACC_6">[20]Data_Download!$L$44</definedName>
    <definedName name="WACC_7">[20]Data_Download!$K$44</definedName>
    <definedName name="WACC_8">[20]Data_Download!$J$44</definedName>
    <definedName name="WACC_9">[20]Data_Download!$I$44</definedName>
    <definedName name="WACC_fore">[20]Data_Download!$S$44</definedName>
    <definedName name="WACC_P">[20]Data_Download!$R$44</definedName>
    <definedName name="WACC_P_1">[20]Data_Download!$U$23</definedName>
    <definedName name="WACC_P_10">[20]Data_Download!$U$11</definedName>
    <definedName name="WACC_P_11">[20]Data_Download!$U$10</definedName>
    <definedName name="WACC_P_12">[20]Data_Download!$U$9</definedName>
    <definedName name="WACC_P_13">[20]Data_Download!$U$8</definedName>
    <definedName name="WACC_P_14">[20]Data_Download!$U$7</definedName>
    <definedName name="WACC_P_2">[20]Data_Download!$U$19</definedName>
    <definedName name="WACC_P_3">[20]Data_Download!$U$18</definedName>
    <definedName name="WACC_P_4">[20]Data_Download!$U$17</definedName>
    <definedName name="WACC_P_5">[20]Data_Download!$U$16</definedName>
    <definedName name="WACC_P_6">[20]Data_Download!$U$15</definedName>
    <definedName name="WACC_P_7">[20]Data_Download!$U$14</definedName>
    <definedName name="WACC_P_9">[20]Data_Download!$U$12</definedName>
    <definedName name="wrn.2._.pagers." localSheetId="27" hidden="1">{"Cover",#N/A,FALSE,"Cover";"Summary",#N/A,FALSE,"Summarpage"}</definedName>
    <definedName name="wrn.2._.pagers." localSheetId="28" hidden="1">{"Cover",#N/A,FALSE,"Cover";"Summary",#N/A,FALSE,"Summarpage"}</definedName>
    <definedName name="wrn.2._.pagers." localSheetId="29" hidden="1">{"Cover",#N/A,FALSE,"Cover";"Summary",#N/A,FALSE,"Summarpage"}</definedName>
    <definedName name="wrn.2._.pagers." hidden="1">{"Cover",#N/A,FALSE,"Cover";"Summary",#N/A,FALSE,"Summarpage"}</definedName>
    <definedName name="wrn.AGN._.MODELS." localSheetId="27" hidden="1">{"QTRINC1",#N/A,FALSE,"QTRINC";"QTRINC2",#N/A,FALSE,"QTRINC";"QTRSALES",#N/A,FALSE,"QTRSALES";"ANNSALES",#N/A,FALSE,"ANNSALES";"CASHFLOW",#N/A,FALSE,"CASHFLOW"}</definedName>
    <definedName name="wrn.AGN._.MODELS." localSheetId="11" hidden="1">{"QTRINC1",#N/A,FALSE,"QTRINC";"QTRINC2",#N/A,FALSE,"QTRINC";"QTRSALES",#N/A,FALSE,"QTRSALES";"ANNSALES",#N/A,FALSE,"ANNSALES";"CASHFLOW",#N/A,FALSE,"CASHFLOW"}</definedName>
    <definedName name="wrn.AGN._.MODELS." localSheetId="28" hidden="1">{"QTRINC1",#N/A,FALSE,"QTRINC";"QTRINC2",#N/A,FALSE,"QTRINC";"QTRSALES",#N/A,FALSE,"QTRSALES";"ANNSALES",#N/A,FALSE,"ANNSALES";"CASHFLOW",#N/A,FALSE,"CASHFLOW"}</definedName>
    <definedName name="wrn.AGN._.MODELS." localSheetId="29" hidden="1">{"QTRINC1",#N/A,FALSE,"QTRINC";"QTRINC2",#N/A,FALSE,"QTRINC";"QTRSALES",#N/A,FALSE,"QTRSALES";"ANNSALES",#N/A,FALSE,"ANNSALES";"CASHFLOW",#N/A,FALSE,"CASHFLOW"}</definedName>
    <definedName name="wrn.AGN._.MODELS." hidden="1">{"QTRINC1",#N/A,FALSE,"QTRINC";"QTRINC2",#N/A,FALSE,"QTRINC";"QTRSALES",#N/A,FALSE,"QTRSALES";"ANNSALES",#N/A,FALSE,"ANNSALES";"CASHFLOW",#N/A,FALSE,"CASHFLOW"}</definedName>
    <definedName name="wrn.AHP._.MODELS." localSheetId="27" hidden="1">{"QTRINC",#N/A,FALSE,"QTRINC";"MARGIN",#N/A,FALSE,"MARGIN";"CASHFLOW",#N/A,FALSE,"CASHFLOW"}</definedName>
    <definedName name="wrn.AHP._.MODELS." localSheetId="11" hidden="1">{"QTRINC",#N/A,FALSE,"QTRINC";"MARGIN",#N/A,FALSE,"MARGIN";"CASHFLOW",#N/A,FALSE,"CASHFLOW"}</definedName>
    <definedName name="wrn.AHP._.MODELS." localSheetId="28" hidden="1">{"QTRINC",#N/A,FALSE,"QTRINC";"MARGIN",#N/A,FALSE,"MARGIN";"CASHFLOW",#N/A,FALSE,"CASHFLOW"}</definedName>
    <definedName name="wrn.AHP._.MODELS." localSheetId="29" hidden="1">{"QTRINC",#N/A,FALSE,"QTRINC";"MARGIN",#N/A,FALSE,"MARGIN";"CASHFLOW",#N/A,FALSE,"CASHFLOW"}</definedName>
    <definedName name="wrn.AHP._.MODELS." hidden="1">{"QTRINC",#N/A,FALSE,"QTRINC";"MARGIN",#N/A,FALSE,"MARGIN";"CASHFLOW",#N/A,FALSE,"CASHFLOW"}</definedName>
    <definedName name="wrn.allpages." localSheetId="27" hidden="1">{#N/A,#N/A,TRUE,"Historicals";#N/A,#N/A,TRUE,"Charts";#N/A,#N/A,TRUE,"Forecasts"}</definedName>
    <definedName name="wrn.allpages." localSheetId="11" hidden="1">{#N/A,#N/A,TRUE,"Historicals";#N/A,#N/A,TRUE,"Charts";#N/A,#N/A,TRUE,"Forecasts"}</definedName>
    <definedName name="wrn.allpages." localSheetId="28" hidden="1">{#N/A,#N/A,TRUE,"Historicals";#N/A,#N/A,TRUE,"Charts";#N/A,#N/A,TRUE,"Forecasts"}</definedName>
    <definedName name="wrn.allpages." localSheetId="29" hidden="1">{#N/A,#N/A,TRUE,"Historicals";#N/A,#N/A,TRUE,"Charts";#N/A,#N/A,TRUE,"Forecasts"}</definedName>
    <definedName name="wrn.allpages." hidden="1">{#N/A,#N/A,TRUE,"Historicals";#N/A,#N/A,TRUE,"Charts";#N/A,#N/A,TRUE,"Forecasts"}</definedName>
    <definedName name="wrn.Annual._.Operating._.Earnings." localSheetId="27" hidden="1">{"Annual 1996",#N/A,FALSE,"Ann-Op (Mng)";"Annual 1996",#N/A,FALSE,"Ann-Op (Rep)";"Operating Vs. Reported Earnings",#N/A,FALSE,"Rpt-Op Inc"}</definedName>
    <definedName name="wrn.Annual._.Operating._.Earnings." localSheetId="11" hidden="1">{"Annual 1996",#N/A,FALSE,"Ann-Op (Mng)";"Annual 1996",#N/A,FALSE,"Ann-Op (Rep)";"Operating Vs. Reported Earnings",#N/A,FALSE,"Rpt-Op Inc"}</definedName>
    <definedName name="wrn.Annual._.Operating._.Earnings." localSheetId="28" hidden="1">{"Annual 1996",#N/A,FALSE,"Ann-Op (Mng)";"Annual 1996",#N/A,FALSE,"Ann-Op (Rep)";"Operating Vs. Reported Earnings",#N/A,FALSE,"Rpt-Op Inc"}</definedName>
    <definedName name="wrn.Annual._.Operating._.Earnings." localSheetId="29" hidden="1">{"Annual 1996",#N/A,FALSE,"Ann-Op (Mng)";"Annual 1996",#N/A,FALSE,"Ann-Op (Rep)";"Operating Vs. Reported Earnings",#N/A,FALSE,"Rpt-Op Inc"}</definedName>
    <definedName name="wrn.Annual._.Operating._.Earnings." hidden="1">{"Annual 1996",#N/A,FALSE,"Ann-Op (Mng)";"Annual 1996",#N/A,FALSE,"Ann-Op (Rep)";"Operating Vs. Reported Earnings",#N/A,FALSE,"Rpt-Op Inc"}</definedName>
    <definedName name="wrn.Annual._.Operating._.Earnings1." localSheetId="27" hidden="1">{"Annual 1996",#N/A,FALSE,"Ann-Op (Mng)";"Annual 1996",#N/A,FALSE,"Ann-Op (Rep)";"Operating Vs. Reported Earnings",#N/A,FALSE,"Rpt-Op Inc"}</definedName>
    <definedName name="wrn.Annual._.Operating._.Earnings1." localSheetId="11" hidden="1">{"Annual 1996",#N/A,FALSE,"Ann-Op (Mng)";"Annual 1996",#N/A,FALSE,"Ann-Op (Rep)";"Operating Vs. Reported Earnings",#N/A,FALSE,"Rpt-Op Inc"}</definedName>
    <definedName name="wrn.Annual._.Operating._.Earnings1." localSheetId="28" hidden="1">{"Annual 1996",#N/A,FALSE,"Ann-Op (Mng)";"Annual 1996",#N/A,FALSE,"Ann-Op (Rep)";"Operating Vs. Reported Earnings",#N/A,FALSE,"Rpt-Op Inc"}</definedName>
    <definedName name="wrn.Annual._.Operating._.Earnings1." localSheetId="29" hidden="1">{"Annual 1996",#N/A,FALSE,"Ann-Op (Mng)";"Annual 1996",#N/A,FALSE,"Ann-Op (Rep)";"Operating Vs. Reported Earnings",#N/A,FALSE,"Rpt-Op Inc"}</definedName>
    <definedName name="wrn.Annual._.Operating._.Earnings1." hidden="1">{"Annual 1996",#N/A,FALSE,"Ann-Op (Mng)";"Annual 1996",#N/A,FALSE,"Ann-Op (Rep)";"Operating Vs. Reported Earnings",#N/A,FALSE,"Rpt-Op Inc"}</definedName>
    <definedName name="wrn.BasicModel." localSheetId="27" hidden="1">{"MacroCo",#N/A,FALSE,"masmode";"IncomeS",#N/A,FALSE,"masmode";"BalanceS",#N/A,FALSE,"masmode";"CashF",#N/A,FALSE,"masmode";"Ratios",#N/A,FALSE,"masmode";"DebtFC",#N/A,FALSE,"masmode"}</definedName>
    <definedName name="wrn.BasicModel." localSheetId="28" hidden="1">{"MacroCo",#N/A,FALSE,"masmode";"IncomeS",#N/A,FALSE,"masmode";"BalanceS",#N/A,FALSE,"masmode";"CashF",#N/A,FALSE,"masmode";"Ratios",#N/A,FALSE,"masmode";"DebtFC",#N/A,FALSE,"masmode"}</definedName>
    <definedName name="wrn.BasicModel." hidden="1">{"MacroCo",#N/A,FALSE,"masmode";"IncomeS",#N/A,FALSE,"masmode";"BalanceS",#N/A,FALSE,"masmode";"CashF",#N/A,FALSE,"masmode";"Ratios",#N/A,FALSE,"masmode";"DebtFC",#N/A,FALSE,"masmode"}</definedName>
    <definedName name="wrn.Client._.cfbs." localSheetId="27" hidden="1">{"client cfbs",#N/A,FALSE,"Client"}</definedName>
    <definedName name="wrn.Client._.cfbs." localSheetId="28" hidden="1">{"client cfbs",#N/A,FALSE,"Client"}</definedName>
    <definedName name="wrn.Client._.cfbs." localSheetId="29" hidden="1">{"client cfbs",#N/A,FALSE,"Client"}</definedName>
    <definedName name="wrn.Client._.cfbs." hidden="1">{"client cfbs",#N/A,FALSE,"Client"}</definedName>
    <definedName name="wrn.Client._.is." localSheetId="27" hidden="1">{"Client is",#N/A,FALSE,"Client"}</definedName>
    <definedName name="wrn.Client._.is." localSheetId="28" hidden="1">{"Client is",#N/A,FALSE,"Client"}</definedName>
    <definedName name="wrn.Client._.is." localSheetId="29" hidden="1">{"Client is",#N/A,FALSE,"Client"}</definedName>
    <definedName name="wrn.Client._.is." hidden="1">{"Client is",#N/A,FALSE,"Client"}</definedName>
    <definedName name="wrn.Client._.stats." localSheetId="27" hidden="1">{"Client stats",#N/A,FALSE,"Client"}</definedName>
    <definedName name="wrn.Client._.stats." localSheetId="28" hidden="1">{"Client stats",#N/A,FALSE,"Client"}</definedName>
    <definedName name="wrn.Client._.stats." localSheetId="29" hidden="1">{"Client stats",#N/A,FALSE,"Client"}</definedName>
    <definedName name="wrn.Client._.stats." hidden="1">{"Client stats",#N/A,FALSE,"Client"}</definedName>
    <definedName name="wrn.Complete." localSheetId="27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localSheetId="28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localSheetId="29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nsolidated._.Statements." localSheetId="27" hidden="1">{"view1",#N/A,FALSE,"EARN (US$)";"view1",#N/A,FALSE,"DASTBS (US$)";"view1",#N/A,FALSE,"DASTCF (US$)"}</definedName>
    <definedName name="wrn.Consolidated._.Statements." localSheetId="28" hidden="1">{"view1",#N/A,FALSE,"EARN (US$)";"view1",#N/A,FALSE,"DASTBS (US$)";"view1",#N/A,FALSE,"DASTCF (US$)"}</definedName>
    <definedName name="wrn.Consolidated._.Statements." localSheetId="29" hidden="1">{"view1",#N/A,FALSE,"EARN (US$)";"view1",#N/A,FALSE,"DASTBS (US$)";"view1",#N/A,FALSE,"DASTCF (US$)"}</definedName>
    <definedName name="wrn.Consolidated._.Statements." hidden="1">{"view1",#N/A,FALSE,"EARN (US$)";"view1",#N/A,FALSE,"DASTBS (US$)";"view1",#N/A,FALSE,"DASTCF (US$)"}</definedName>
    <definedName name="wrn.Earnings._.Model." localSheetId="27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2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finstat." localSheetId="27" hidden="1">{"ass",#N/A,FALSE,"finstat";"inc",#N/A,FALSE,"finstat";"bs",#N/A,FALSE,"finstat";"cf",#N/A,FALSE,"finstat";"ratios",#N/A,FALSE,"finstat"}</definedName>
    <definedName name="wrn.finstat." localSheetId="28" hidden="1">{"ass",#N/A,FALSE,"finstat";"inc",#N/A,FALSE,"finstat";"bs",#N/A,FALSE,"finstat";"cf",#N/A,FALSE,"finstat";"ratios",#N/A,FALSE,"finstat"}</definedName>
    <definedName name="wrn.finstat." hidden="1">{"ass",#N/A,FALSE,"finstat";"inc",#N/A,FALSE,"finstat";"bs",#N/A,FALSE,"finstat";"cf",#N/A,FALSE,"finstat";"ratios",#N/A,FALSE,"finstat"}</definedName>
    <definedName name="wrn.Forecast._.Q1." localSheetId="27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localSheetId="1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localSheetId="28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localSheetId="29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27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1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28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29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27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1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28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29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27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11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28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29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27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1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28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29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27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1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28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29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ull._.Report." localSheetId="27" hidden="1">{#N/A,#N/A,FALSE,"COVER";#N/A,#N/A,FALSE,"VALUATION";#N/A,#N/A,FALSE,"FORECAST";#N/A,#N/A,FALSE,"FY ANALYSIS ";#N/A,#N/A,FALSE," HY ANALYSIS"}</definedName>
    <definedName name="wrn.Full._.Report." localSheetId="11" hidden="1">{#N/A,#N/A,FALSE,"COVER";#N/A,#N/A,FALSE,"VALUATION";#N/A,#N/A,FALSE,"FORECAST";#N/A,#N/A,FALSE,"FY ANALYSIS ";#N/A,#N/A,FALSE," HY ANALYSIS"}</definedName>
    <definedName name="wrn.Full._.Report." localSheetId="28" hidden="1">{#N/A,#N/A,FALSE,"COVER";#N/A,#N/A,FALSE,"VALUATION";#N/A,#N/A,FALSE,"FORECAST";#N/A,#N/A,FALSE,"FY ANALYSIS ";#N/A,#N/A,FALSE," HY ANALYSIS"}</definedName>
    <definedName name="wrn.Full._.Report." localSheetId="29" hidden="1">{#N/A,#N/A,FALSE,"COVER";#N/A,#N/A,FALSE,"VALUATION";#N/A,#N/A,FALSE,"FORECAST";#N/A,#N/A,FALSE,"FY ANALYSIS ";#N/A,#N/A,FALSE," HY ANALYSIS"}</definedName>
    <definedName name="wrn.Full._.Report." hidden="1">{#N/A,#N/A,FALSE,"COVER";#N/A,#N/A,FALSE,"VALUATION";#N/A,#N/A,FALSE,"FORECAST";#N/A,#N/A,FALSE,"FY ANALYSIS ";#N/A,#N/A,FALSE," HY ANALYSIS"}</definedName>
    <definedName name="wrn.inc." localSheetId="27" hidden="1">{"inc",#N/A,FALSE,"finstat"}</definedName>
    <definedName name="wrn.inc." localSheetId="28" hidden="1">{"inc",#N/A,FALSE,"finstat"}</definedName>
    <definedName name="wrn.inc." hidden="1">{"inc",#N/A,FALSE,"finstat"}</definedName>
    <definedName name="wrn.Income._.Stmt." localSheetId="27" hidden="1">{"Income Stmt",#N/A,FALSE,"Model"}</definedName>
    <definedName name="wrn.Income._.Stmt." localSheetId="28" hidden="1">{"Income Stmt",#N/A,FALSE,"Model"}</definedName>
    <definedName name="wrn.Income._.Stmt." localSheetId="29" hidden="1">{"Income Stmt",#N/A,FALSE,"Model"}</definedName>
    <definedName name="wrn.Income._.Stmt." hidden="1">{"Income Stmt",#N/A,FALSE,"Model"}</definedName>
    <definedName name="wrn.Industry.xls." localSheetId="27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localSheetId="28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localSheetId="29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ternal._.is." localSheetId="27" hidden="1">{"Internal is",#N/A,FALSE,"Model"}</definedName>
    <definedName name="wrn.Internal._.is." localSheetId="28" hidden="1">{"Internal is",#N/A,FALSE,"Model"}</definedName>
    <definedName name="wrn.Internal._.is." localSheetId="29" hidden="1">{"Internal is",#N/A,FALSE,"Model"}</definedName>
    <definedName name="wrn.Internal._.is." hidden="1">{"Internal is",#N/A,FALSE,"Model"}</definedName>
    <definedName name="wrn.Leases.xls." localSheetId="27" hidden="1">{#N/A,#N/A,FALSE,"Initial Year";#N/A,#N/A,FALSE,"Historical";#N/A,#N/A,FALSE,"balsheet";#N/A,#N/A,FALSE,"incstate";#N/A,#N/A,FALSE,"Fleet"}</definedName>
    <definedName name="wrn.Leases.xls." localSheetId="28" hidden="1">{#N/A,#N/A,FALSE,"Initial Year";#N/A,#N/A,FALSE,"Historical";#N/A,#N/A,FALSE,"balsheet";#N/A,#N/A,FALSE,"incstate";#N/A,#N/A,FALSE,"Fleet"}</definedName>
    <definedName name="wrn.Leases.xls." localSheetId="29" hidden="1">{#N/A,#N/A,FALSE,"Initial Year";#N/A,#N/A,FALSE,"Historical";#N/A,#N/A,FALSE,"balsheet";#N/A,#N/A,FALSE,"incstate";#N/A,#N/A,FALSE,"Fleet"}</definedName>
    <definedName name="wrn.Leases.xls." hidden="1">{#N/A,#N/A,FALSE,"Initial Year";#N/A,#N/A,FALSE,"Historical";#N/A,#N/A,FALSE,"balsheet";#N/A,#N/A,FALSE,"incstate";#N/A,#N/A,FALSE,"Fleet"}</definedName>
    <definedName name="wrn.MOBIL." localSheetId="27" hidden="1">{"quarter",#N/A,FALSE,"MOB"}</definedName>
    <definedName name="wrn.MOBIL." localSheetId="28" hidden="1">{"quarter",#N/A,FALSE,"MOB"}</definedName>
    <definedName name="wrn.MOBIL." hidden="1">{"quarter",#N/A,FALSE,"MOB"}</definedName>
    <definedName name="wrn.MODELS." localSheetId="27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wrn.MODELS." localSheetId="11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wrn.MODELS." localSheetId="28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wrn.MODELS." localSheetId="29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wrn.MODELS.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wrn.monthlyunits." localSheetId="27" hidden="1">{"monthlyunits",#N/A,FALSE,"openings"}</definedName>
    <definedName name="wrn.monthlyunits." localSheetId="28" hidden="1">{"monthlyunits",#N/A,FALSE,"openings"}</definedName>
    <definedName name="wrn.monthlyunits." hidden="1">{"monthlyunits",#N/A,FALSE,"openings"}</definedName>
    <definedName name="wrn.Portrait._.IS." localSheetId="27" hidden="1">{"Portrait letter is",#N/A,FALSE,"Model"}</definedName>
    <definedName name="wrn.Portrait._.IS." localSheetId="28" hidden="1">{"Portrait letter is",#N/A,FALSE,"Model"}</definedName>
    <definedName name="wrn.Portrait._.IS." localSheetId="29" hidden="1">{"Portrait letter is",#N/A,FALSE,"Model"}</definedName>
    <definedName name="wrn.Portrait._.IS." hidden="1">{"Portrait letter is",#N/A,FALSE,"Model"}</definedName>
    <definedName name="wrn.Portrait._.letter._.is." localSheetId="27" hidden="1">{"Portrait letter is",#N/A,FALSE,"Model"}</definedName>
    <definedName name="wrn.Portrait._.letter._.is." localSheetId="28" hidden="1">{"Portrait letter is",#N/A,FALSE,"Model"}</definedName>
    <definedName name="wrn.Portrait._.letter._.is." localSheetId="29" hidden="1">{"Portrait letter is",#N/A,FALSE,"Model"}</definedName>
    <definedName name="wrn.Portrait._.letter._.is." hidden="1">{"Portrait letter is",#N/A,FALSE,"Model"}</definedName>
    <definedName name="wrn.printall." localSheetId="27" hidden="1">{"printall",#N/A,FALSE,"BAIRNUMB"}</definedName>
    <definedName name="wrn.printall." localSheetId="28" hidden="1">{"printall",#N/A,FALSE,"BAIRNUMB"}</definedName>
    <definedName name="wrn.printall." localSheetId="29" hidden="1">{"printall",#N/A,FALSE,"BAIRNUMB"}</definedName>
    <definedName name="wrn.printall." hidden="1">{"printall",#N/A,FALSE,"BAIRNUMB"}</definedName>
    <definedName name="wrn.Pulp." localSheetId="27" hidden="1">{"Pulp Production",#N/A,FALSE,"Pulp";"Pulp Earnings",#N/A,FALSE,"Pulp"}</definedName>
    <definedName name="wrn.Pulp." localSheetId="28" hidden="1">{"Pulp Production",#N/A,FALSE,"Pulp";"Pulp Earnings",#N/A,FALSE,"Pulp"}</definedName>
    <definedName name="wrn.Pulp." localSheetId="29" hidden="1">{"Pulp Production",#N/A,FALSE,"Pulp";"Pulp Earnings",#N/A,FALSE,"Pulp"}</definedName>
    <definedName name="wrn.Pulp." hidden="1">{"Pulp Production",#N/A,FALSE,"Pulp";"Pulp Earnings",#N/A,FALSE,"Pulp"}</definedName>
    <definedName name="wrn.qrt95." localSheetId="27" hidden="1">{"qrt95",#N/A,FALSE,"BAIRNUMB"}</definedName>
    <definedName name="wrn.qrt95." localSheetId="28" hidden="1">{"qrt95",#N/A,FALSE,"BAIRNUMB"}</definedName>
    <definedName name="wrn.qrt95." localSheetId="29" hidden="1">{"qrt95",#N/A,FALSE,"BAIRNUMB"}</definedName>
    <definedName name="wrn.qrt95." hidden="1">{"qrt95",#N/A,FALSE,"BAIRNUMB"}</definedName>
    <definedName name="wrn.Qtr._.Op._.Q1." localSheetId="27" hidden="1">{"Qtr Op Mgd Q1",#N/A,FALSE,"Qtr-Op (Mng)";"Qtr Op Rpt Q1",#N/A,FALSE,"Qtr-Op (Rpt)";"Operating Vs Reported",#N/A,FALSE,"Rpt-Op Inc"}</definedName>
    <definedName name="wrn.Qtr._.Op._.Q1." localSheetId="11" hidden="1">{"Qtr Op Mgd Q1",#N/A,FALSE,"Qtr-Op (Mng)";"Qtr Op Rpt Q1",#N/A,FALSE,"Qtr-Op (Rpt)";"Operating Vs Reported",#N/A,FALSE,"Rpt-Op Inc"}</definedName>
    <definedName name="wrn.Qtr._.Op._.Q1." localSheetId="28" hidden="1">{"Qtr Op Mgd Q1",#N/A,FALSE,"Qtr-Op (Mng)";"Qtr Op Rpt Q1",#N/A,FALSE,"Qtr-Op (Rpt)";"Operating Vs Reported",#N/A,FALSE,"Rpt-Op Inc"}</definedName>
    <definedName name="wrn.Qtr._.Op._.Q1." localSheetId="29" hidden="1">{"Qtr Op Mgd Q1",#N/A,FALSE,"Qtr-Op (Mng)";"Qtr Op Rpt Q1",#N/A,FALSE,"Qtr-Op (Rpt)";"Operating Vs Reported",#N/A,FALSE,"Rpt-Op Inc"}</definedName>
    <definedName name="wrn.Qtr._.Op._.Q1." hidden="1">{"Qtr Op Mgd Q1",#N/A,FALSE,"Qtr-Op (Mng)";"Qtr Op Rpt Q1",#N/A,FALSE,"Qtr-Op (Rpt)";"Operating Vs Reported",#N/A,FALSE,"Rpt-Op Inc"}</definedName>
    <definedName name="wrn.Qtr._.Op._.Q2." localSheetId="27" hidden="1">{"Qtr Op Mgd Q2",#N/A,FALSE,"Qtr-Op (Mng)";"Qtr Op Rpt Q2",#N/A,FALSE,"Qtr-Op (Rpt)";"Operating Vs Reported",#N/A,FALSE,"Rpt-Op Inc"}</definedName>
    <definedName name="wrn.Qtr._.Op._.Q2." localSheetId="11" hidden="1">{"Qtr Op Mgd Q2",#N/A,FALSE,"Qtr-Op (Mng)";"Qtr Op Rpt Q2",#N/A,FALSE,"Qtr-Op (Rpt)";"Operating Vs Reported",#N/A,FALSE,"Rpt-Op Inc"}</definedName>
    <definedName name="wrn.Qtr._.Op._.Q2." localSheetId="28" hidden="1">{"Qtr Op Mgd Q2",#N/A,FALSE,"Qtr-Op (Mng)";"Qtr Op Rpt Q2",#N/A,FALSE,"Qtr-Op (Rpt)";"Operating Vs Reported",#N/A,FALSE,"Rpt-Op Inc"}</definedName>
    <definedName name="wrn.Qtr._.Op._.Q2." localSheetId="29" hidden="1">{"Qtr Op Mgd Q2",#N/A,FALSE,"Qtr-Op (Mng)";"Qtr Op Rpt Q2",#N/A,FALSE,"Qtr-Op (Rpt)";"Operating Vs Reported",#N/A,FALSE,"Rpt-Op Inc"}</definedName>
    <definedName name="wrn.Qtr._.Op._.Q2." hidden="1">{"Qtr Op Mgd Q2",#N/A,FALSE,"Qtr-Op (Mng)";"Qtr Op Rpt Q2",#N/A,FALSE,"Qtr-Op (Rpt)";"Operating Vs Reported",#N/A,FALSE,"Rpt-Op Inc"}</definedName>
    <definedName name="wrn.Qtr._.Op._.Q3." localSheetId="27" hidden="1">{"Qtr Op Mgd Q3",#N/A,FALSE,"Qtr-Op (Mng)";"Qtr Op Rpt Q3",#N/A,FALSE,"Qtr-Op (Rpt)";"Operating Vs Reported",#N/A,FALSE,"Rpt-Op Inc"}</definedName>
    <definedName name="wrn.Qtr._.Op._.Q3." localSheetId="11" hidden="1">{"Qtr Op Mgd Q3",#N/A,FALSE,"Qtr-Op (Mng)";"Qtr Op Rpt Q3",#N/A,FALSE,"Qtr-Op (Rpt)";"Operating Vs Reported",#N/A,FALSE,"Rpt-Op Inc"}</definedName>
    <definedName name="wrn.Qtr._.Op._.Q3." localSheetId="28" hidden="1">{"Qtr Op Mgd Q3",#N/A,FALSE,"Qtr-Op (Mng)";"Qtr Op Rpt Q3",#N/A,FALSE,"Qtr-Op (Rpt)";"Operating Vs Reported",#N/A,FALSE,"Rpt-Op Inc"}</definedName>
    <definedName name="wrn.Qtr._.Op._.Q3." localSheetId="29" hidden="1">{"Qtr Op Mgd Q3",#N/A,FALSE,"Qtr-Op (Mng)";"Qtr Op Rpt Q3",#N/A,FALSE,"Qtr-Op (Rpt)";"Operating Vs Reported",#N/A,FALSE,"Rpt-Op Inc"}</definedName>
    <definedName name="wrn.Qtr._.Op._.Q3." hidden="1">{"Qtr Op Mgd Q3",#N/A,FALSE,"Qtr-Op (Mng)";"Qtr Op Rpt Q3",#N/A,FALSE,"Qtr-Op (Rpt)";"Operating Vs Reported",#N/A,FALSE,"Rpt-Op Inc"}</definedName>
    <definedName name="wrn.Qtr._.Op._.Q4." localSheetId="27" hidden="1">{"Qtr Op Mgd Q3",#N/A,FALSE,"Qtr-Op (Mng)";"Qtr Op Rpt Q4",#N/A,FALSE,"Qtr-Op (Rpt)";"Operating Vs Reported",#N/A,FALSE,"Rpt-Op Inc"}</definedName>
    <definedName name="wrn.Qtr._.Op._.Q4." localSheetId="11" hidden="1">{"Qtr Op Mgd Q3",#N/A,FALSE,"Qtr-Op (Mng)";"Qtr Op Rpt Q4",#N/A,FALSE,"Qtr-Op (Rpt)";"Operating Vs Reported",#N/A,FALSE,"Rpt-Op Inc"}</definedName>
    <definedName name="wrn.Qtr._.Op._.Q4." localSheetId="28" hidden="1">{"Qtr Op Mgd Q3",#N/A,FALSE,"Qtr-Op (Mng)";"Qtr Op Rpt Q4",#N/A,FALSE,"Qtr-Op (Rpt)";"Operating Vs Reported",#N/A,FALSE,"Rpt-Op Inc"}</definedName>
    <definedName name="wrn.Qtr._.Op._.Q4." localSheetId="29" hidden="1">{"Qtr Op Mgd Q3",#N/A,FALSE,"Qtr-Op (Mng)";"Qtr Op Rpt Q4",#N/A,FALSE,"Qtr-Op (Rpt)";"Operating Vs Reported",#N/A,FALSE,"Rpt-Op Inc"}</definedName>
    <definedName name="wrn.Qtr._.Op._.Q4." hidden="1">{"Qtr Op Mgd Q3",#N/A,FALSE,"Qtr-Op (Mng)";"Qtr Op Rpt Q4",#N/A,FALSE,"Qtr-Op (Rpt)";"Operating Vs Reported",#N/A,FALSE,"Rpt-Op Inc"}</definedName>
    <definedName name="wrn.Qtr._.Op._Q2a." localSheetId="27" hidden="1">{"Qtr Op Mgd Q2",#N/A,FALSE,"Qtr-Op (Mng)";"Qtr Op Rpt Q2",#N/A,FALSE,"Qtr-Op (Rpt)";"Operating Vs Reported",#N/A,FALSE,"Rpt-Op Inc"}</definedName>
    <definedName name="wrn.Qtr._.Op._Q2a." localSheetId="11" hidden="1">{"Qtr Op Mgd Q2",#N/A,FALSE,"Qtr-Op (Mng)";"Qtr Op Rpt Q2",#N/A,FALSE,"Qtr-Op (Rpt)";"Operating Vs Reported",#N/A,FALSE,"Rpt-Op Inc"}</definedName>
    <definedName name="wrn.Qtr._.Op._Q2a." localSheetId="28" hidden="1">{"Qtr Op Mgd Q2",#N/A,FALSE,"Qtr-Op (Mng)";"Qtr Op Rpt Q2",#N/A,FALSE,"Qtr-Op (Rpt)";"Operating Vs Reported",#N/A,FALSE,"Rpt-Op Inc"}</definedName>
    <definedName name="wrn.Qtr._.Op._Q2a." localSheetId="29" hidden="1">{"Qtr Op Mgd Q2",#N/A,FALSE,"Qtr-Op (Mng)";"Qtr Op Rpt Q2",#N/A,FALSE,"Qtr-Op (Rpt)";"Operating Vs Reported",#N/A,FALSE,"Rpt-Op Inc"}</definedName>
    <definedName name="wrn.Qtr._.Op._Q2a." hidden="1">{"Qtr Op Mgd Q2",#N/A,FALSE,"Qtr-Op (Mng)";"Qtr Op Rpt Q2",#N/A,FALSE,"Qtr-Op (Rpt)";"Operating Vs Reported",#N/A,FALSE,"Rpt-Op Inc"}</definedName>
    <definedName name="wrn.Qtr_.Op._.Q4." localSheetId="27" hidden="1">{"Qtr Op Mgd Q3",#N/A,FALSE,"Qtr-Op (Mng)";"Qtr Op Rpt Q4",#N/A,FALSE,"Qtr-Op (Rpt)";"Operating Vs Reported",#N/A,FALSE,"Rpt-Op Inc"}</definedName>
    <definedName name="wrn.Qtr_.Op._.Q4." localSheetId="11" hidden="1">{"Qtr Op Mgd Q3",#N/A,FALSE,"Qtr-Op (Mng)";"Qtr Op Rpt Q4",#N/A,FALSE,"Qtr-Op (Rpt)";"Operating Vs Reported",#N/A,FALSE,"Rpt-Op Inc"}</definedName>
    <definedName name="wrn.Qtr_.Op._.Q4." localSheetId="28" hidden="1">{"Qtr Op Mgd Q3",#N/A,FALSE,"Qtr-Op (Mng)";"Qtr Op Rpt Q4",#N/A,FALSE,"Qtr-Op (Rpt)";"Operating Vs Reported",#N/A,FALSE,"Rpt-Op Inc"}</definedName>
    <definedName name="wrn.Qtr_.Op._.Q4." localSheetId="29" hidden="1">{"Qtr Op Mgd Q3",#N/A,FALSE,"Qtr-Op (Mng)";"Qtr Op Rpt Q4",#N/A,FALSE,"Qtr-Op (Rpt)";"Operating Vs Reported",#N/A,FALSE,"Rpt-Op Inc"}</definedName>
    <definedName name="wrn.Qtr_.Op._.Q4." hidden="1">{"Qtr Op Mgd Q3",#N/A,FALSE,"Qtr-Op (Mng)";"Qtr Op Rpt Q4",#N/A,FALSE,"Qtr-Op (Rpt)";"Operating Vs Reported",#N/A,FALSE,"Rpt-Op Inc"}</definedName>
    <definedName name="wrn.quart." localSheetId="27" hidden="1">{"quart",#N/A,FALSE,"quartfin"}</definedName>
    <definedName name="wrn.quart." localSheetId="28" hidden="1">{"quart",#N/A,FALSE,"quartfin"}</definedName>
    <definedName name="wrn.quart." hidden="1">{"quart",#N/A,FALSE,"quartfin"}</definedName>
    <definedName name="wrn.quarterly." localSheetId="27" hidden="1">{"quarterly",#N/A,FALSE,"BAIRNUMB"}</definedName>
    <definedName name="wrn.quarterly." localSheetId="28" hidden="1">{"quarterly",#N/A,FALSE,"BAIRNUMB"}</definedName>
    <definedName name="wrn.quarterly." localSheetId="29" hidden="1">{"quarterly",#N/A,FALSE,"BAIRNUMB"}</definedName>
    <definedName name="wrn.quarterly." hidden="1">{"quarterly",#N/A,FALSE,"BAIRNUMB"}</definedName>
    <definedName name="wrn.quartfin." localSheetId="27" hidden="1">{"quartfin",#N/A,FALSE,"quartfin"}</definedName>
    <definedName name="wrn.quartfin." localSheetId="28" hidden="1">{"quartfin",#N/A,FALSE,"quartfin"}</definedName>
    <definedName name="wrn.quartfin." hidden="1">{"quartfin",#N/A,FALSE,"quartfin"}</definedName>
    <definedName name="wrn.Report." localSheetId="27" hidden="1">{#N/A,#N/A,FALSE,"COVER";#N/A,#N/A,FALSE,"FORECAST";#N/A,#N/A,FALSE,"VALUATION";#N/A,#N/A,FALSE,"FY ANALYSIS ";#N/A,#N/A,FALSE," HY ANALYSIS"}</definedName>
    <definedName name="wrn.Report." localSheetId="11" hidden="1">{#N/A,#N/A,FALSE,"COVER";#N/A,#N/A,FALSE,"FORECAST";#N/A,#N/A,FALSE,"VALUATION";#N/A,#N/A,FALSE,"FY ANALYSIS ";#N/A,#N/A,FALSE," HY ANALYSIS"}</definedName>
    <definedName name="wrn.Report." localSheetId="28" hidden="1">{#N/A,#N/A,FALSE,"COVER";#N/A,#N/A,FALSE,"FORECAST";#N/A,#N/A,FALSE,"VALUATION";#N/A,#N/A,FALSE,"FY ANALYSIS ";#N/A,#N/A,FALSE," HY ANALYSIS"}</definedName>
    <definedName name="wrn.Report." localSheetId="29" hidden="1">{#N/A,#N/A,FALSE,"COVER";#N/A,#N/A,FALSE,"FORECAST";#N/A,#N/A,FALSE,"VALUATION";#N/A,#N/A,FALSE,"FY ANALYSIS ";#N/A,#N/A,FALSE," HY ANALYSIS"}</definedName>
    <definedName name="wrn.Report." hidden="1">{#N/A,#N/A,FALSE,"COVER";#N/A,#N/A,FALSE,"FORECAST";#N/A,#N/A,FALSE,"VALUATION";#N/A,#N/A,FALSE,"FY ANALYSIS ";#N/A,#N/A,FALSE," HY ANALYSIS"}</definedName>
    <definedName name="wrn.salesassum." localSheetId="27" hidden="1">{"Salesass",#N/A,FALSE,"assumpt"}</definedName>
    <definedName name="wrn.salesassum." localSheetId="28" hidden="1">{"Salesass",#N/A,FALSE,"assumpt"}</definedName>
    <definedName name="wrn.salesassum." hidden="1">{"Salesass",#N/A,FALSE,"assumpt"}</definedName>
    <definedName name="wrn.SGPMODELS." localSheetId="27" hidden="1">{"QTRINC1",#N/A,FALSE,"SGPNEW";"QTRINC2",#N/A,FALSE,"SGPNEW";"USSALES1",#N/A,FALSE,"SGPNEW";"USSALES2",#N/A,FALSE,"SGPNEW";"INTLSALES1",#N/A,FALSE,"SGPNEW";"INTLSALES2",#N/A,FALSE,"SGPNEW";"WWSALES1",#N/A,FALSE,"SGPNEW";"WWSALES2",#N/A,FALSE,"SGPNEW";"NEWPRODS",#N/A,FALSE,"SGPNEW";"CASHFLOW",#N/A,FALSE,"SGPNEW"}</definedName>
    <definedName name="wrn.SGPMODELS." localSheetId="11" hidden="1">{"QTRINC1",#N/A,FALSE,"SGPNEW";"QTRINC2",#N/A,FALSE,"SGPNEW";"USSALES1",#N/A,FALSE,"SGPNEW";"USSALES2",#N/A,FALSE,"SGPNEW";"INTLSALES1",#N/A,FALSE,"SGPNEW";"INTLSALES2",#N/A,FALSE,"SGPNEW";"WWSALES1",#N/A,FALSE,"SGPNEW";"WWSALES2",#N/A,FALSE,"SGPNEW";"NEWPRODS",#N/A,FALSE,"SGPNEW";"CASHFLOW",#N/A,FALSE,"SGPNEW"}</definedName>
    <definedName name="wrn.SGPMODELS." localSheetId="28" hidden="1">{"QTRINC1",#N/A,FALSE,"SGPNEW";"QTRINC2",#N/A,FALSE,"SGPNEW";"USSALES1",#N/A,FALSE,"SGPNEW";"USSALES2",#N/A,FALSE,"SGPNEW";"INTLSALES1",#N/A,FALSE,"SGPNEW";"INTLSALES2",#N/A,FALSE,"SGPNEW";"WWSALES1",#N/A,FALSE,"SGPNEW";"WWSALES2",#N/A,FALSE,"SGPNEW";"NEWPRODS",#N/A,FALSE,"SGPNEW";"CASHFLOW",#N/A,FALSE,"SGPNEW"}</definedName>
    <definedName name="wrn.SGPMODELS." localSheetId="29" hidden="1">{"QTRINC1",#N/A,FALSE,"SGPNEW";"QTRINC2",#N/A,FALSE,"SGPNEW";"USSALES1",#N/A,FALSE,"SGPNEW";"USSALES2",#N/A,FALSE,"SGPNEW";"INTLSALES1",#N/A,FALSE,"SGPNEW";"INTLSALES2",#N/A,FALSE,"SGPNEW";"WWSALES1",#N/A,FALSE,"SGPNEW";"WWSALES2",#N/A,FALSE,"SGPNEW";"NEWPRODS",#N/A,FALSE,"SGPNEW";"CASHFLOW",#N/A,FALSE,"SGPNEW"}</definedName>
    <definedName name="wrn.SGPMODELS." hidden="1">{"QTRINC1",#N/A,FALSE,"SGPNEW";"QTRINC2",#N/A,FALSE,"SGPNEW";"USSALES1",#N/A,FALSE,"SGPNEW";"USSALES2",#N/A,FALSE,"SGPNEW";"INTLSALES1",#N/A,FALSE,"SGPNEW";"INTLSALES2",#N/A,FALSE,"SGPNEW";"WWSALES1",#N/A,FALSE,"SGPNEW";"WWSALES2",#N/A,FALSE,"SGPNEW";"NEWPRODS",#N/A,FALSE,"SGPNEW";"CASHFLOW",#N/A,FALSE,"SGPNEW"}</definedName>
    <definedName name="wrn.Short._.Report." localSheetId="27" hidden="1">{"short1",#N/A,FALSE,"masmode";"short2",#N/A,FALSE,"masmode";"qtrres",#N/A,FALSE,"QTR. RES.";"sales",#N/A,FALSE,"Sales &amp; Market Share"}</definedName>
    <definedName name="wrn.Short._.Report." localSheetId="28" hidden="1">{"short1",#N/A,FALSE,"masmode";"short2",#N/A,FALSE,"masmode";"qtrres",#N/A,FALSE,"QTR. RES.";"sales",#N/A,FALSE,"Sales &amp; Market Share"}</definedName>
    <definedName name="wrn.Short._.Report." hidden="1">{"short1",#N/A,FALSE,"masmode";"short2",#N/A,FALSE,"masmode";"qtrres",#N/A,FALSE,"QTR. RES.";"sales",#N/A,FALSE,"Sales &amp; Market Share"}</definedName>
    <definedName name="wrn.Tables." localSheetId="27" hidden="1">{"view1",#N/A,FALSE,"Tables";"view2",#N/A,FALSE,"Tables";"view3",#N/A,FALSE,"Tables"}</definedName>
    <definedName name="wrn.Tables." localSheetId="28" hidden="1">{"view1",#N/A,FALSE,"Tables";"view2",#N/A,FALSE,"Tables";"view3",#N/A,FALSE,"Tables"}</definedName>
    <definedName name="wrn.Tables." localSheetId="29" hidden="1">{"view1",#N/A,FALSE,"Tables";"view2",#N/A,FALSE,"Tables";"view3",#N/A,FALSE,"Tables"}</definedName>
    <definedName name="wrn.Tables." hidden="1">{"view1",#N/A,FALSE,"Tables";"view2",#N/A,FALSE,"Tables";"view3",#N/A,FALSE,"Tables"}</definedName>
    <definedName name="wrn.Variance._.3." localSheetId="27" hidden="1">{"Variance Q3",#N/A,FALSE,"Var"}</definedName>
    <definedName name="wrn.Variance._.3." localSheetId="11" hidden="1">{"Variance Q3",#N/A,FALSE,"Var"}</definedName>
    <definedName name="wrn.Variance._.3." localSheetId="28" hidden="1">{"Variance Q3",#N/A,FALSE,"Var"}</definedName>
    <definedName name="wrn.Variance._.3." localSheetId="29" hidden="1">{"Variance Q3",#N/A,FALSE,"Var"}</definedName>
    <definedName name="wrn.Variance._.3." hidden="1">{"Variance Q3",#N/A,FALSE,"Var"}</definedName>
    <definedName name="wrn.Variance._.Q1." localSheetId="27" hidden="1">{"Variance Q1",#N/A,FALSE,"Var"}</definedName>
    <definedName name="wrn.Variance._.Q1." localSheetId="11" hidden="1">{"Variance Q1",#N/A,FALSE,"Var"}</definedName>
    <definedName name="wrn.Variance._.Q1." localSheetId="28" hidden="1">{"Variance Q1",#N/A,FALSE,"Var"}</definedName>
    <definedName name="wrn.Variance._.Q1." localSheetId="29" hidden="1">{"Variance Q1",#N/A,FALSE,"Var"}</definedName>
    <definedName name="wrn.Variance._.Q1." hidden="1">{"Variance Q1",#N/A,FALSE,"Var"}</definedName>
    <definedName name="wrn.Variance._.Q2." localSheetId="27" hidden="1">{"Variance Q2",#N/A,FALSE,"Var"}</definedName>
    <definedName name="wrn.Variance._.Q2." localSheetId="11" hidden="1">{"Variance Q2",#N/A,FALSE,"Var"}</definedName>
    <definedName name="wrn.Variance._.Q2." localSheetId="28" hidden="1">{"Variance Q2",#N/A,FALSE,"Var"}</definedName>
    <definedName name="wrn.Variance._.Q2." localSheetId="29" hidden="1">{"Variance Q2",#N/A,FALSE,"Var"}</definedName>
    <definedName name="wrn.Variance._.Q2." hidden="1">{"Variance Q2",#N/A,FALSE,"Var"}</definedName>
    <definedName name="wrn.Variance._.Q3." localSheetId="27" hidden="1">{"Variance Q3",#N/A,FALSE,"Var"}</definedName>
    <definedName name="wrn.Variance._.Q3." localSheetId="11" hidden="1">{"Variance Q3",#N/A,FALSE,"Var"}</definedName>
    <definedName name="wrn.Variance._.Q3." localSheetId="28" hidden="1">{"Variance Q3",#N/A,FALSE,"Var"}</definedName>
    <definedName name="wrn.Variance._.Q3." localSheetId="29" hidden="1">{"Variance Q3",#N/A,FALSE,"Var"}</definedName>
    <definedName name="wrn.Variance._.Q3." hidden="1">{"Variance Q3",#N/A,FALSE,"Var"}</definedName>
    <definedName name="wrn.Variance._.Q4" localSheetId="27" hidden="1">{"Variance Q4",#N/A,FALSE,"Var"}</definedName>
    <definedName name="wrn.Variance._.Q4" localSheetId="11" hidden="1">{"Variance Q4",#N/A,FALSE,"Var"}</definedName>
    <definedName name="wrn.Variance._.Q4" localSheetId="28" hidden="1">{"Variance Q4",#N/A,FALSE,"Var"}</definedName>
    <definedName name="wrn.Variance._.Q4" localSheetId="29" hidden="1">{"Variance Q4",#N/A,FALSE,"Var"}</definedName>
    <definedName name="wrn.Variance._.Q4" hidden="1">{"Variance Q4",#N/A,FALSE,"Var"}</definedName>
    <definedName name="wrn.Variance._.Q4." localSheetId="27" hidden="1">{"Variance Q4",#N/A,FALSE,"Var"}</definedName>
    <definedName name="wrn.Variance._.Q4." localSheetId="11" hidden="1">{"Variance Q4",#N/A,FALSE,"Var"}</definedName>
    <definedName name="wrn.Variance._.Q4." localSheetId="28" hidden="1">{"Variance Q4",#N/A,FALSE,"Var"}</definedName>
    <definedName name="wrn.Variance._.Q4." localSheetId="29" hidden="1">{"Variance Q4",#N/A,FALSE,"Var"}</definedName>
    <definedName name="wrn.Variance._.Q4." hidden="1">{"Variance Q4",#N/A,FALSE,"Var"}</definedName>
    <definedName name="wrn.WLAVARIANCEANALYSIS." localSheetId="27" hidden="1">{"INCOME STATEMENT",#N/A,FALSE,"IS";"WWSALES",#N/A,FALSE,"WWSALES";"USSALES",#N/A,FALSE,"USSALES";"INTLSALES",#N/A,FALSE,"INTLSALES"}</definedName>
    <definedName name="wrn.WLAVARIANCEANALYSIS." localSheetId="11" hidden="1">{"INCOME STATEMENT",#N/A,FALSE,"IS";"WWSALES",#N/A,FALSE,"WWSALES";"USSALES",#N/A,FALSE,"USSALES";"INTLSALES",#N/A,FALSE,"INTLSALES"}</definedName>
    <definedName name="wrn.WLAVARIANCEANALYSIS." localSheetId="28" hidden="1">{"INCOME STATEMENT",#N/A,FALSE,"IS";"WWSALES",#N/A,FALSE,"WWSALES";"USSALES",#N/A,FALSE,"USSALES";"INTLSALES",#N/A,FALSE,"INTLSALES"}</definedName>
    <definedName name="wrn.WLAVARIANCEANALYSIS." localSheetId="29" hidden="1">{"INCOME STATEMENT",#N/A,FALSE,"IS";"WWSALES",#N/A,FALSE,"WWSALES";"USSALES",#N/A,FALSE,"USSALES";"INTLSALES",#N/A,FALSE,"INTLSALES"}</definedName>
    <definedName name="wrn.WLAVARIANCEANALYSIS." hidden="1">{"INCOME STATEMENT",#N/A,FALSE,"IS";"WWSALES",#N/A,FALSE,"WWSALES";"USSALES",#N/A,FALSE,"USSALES";"INTLSALES",#N/A,FALSE,"INTLSALES"}</definedName>
    <definedName name="Xalatan">'[1]5 yr Sales and Earnings'!$A$30:$AA$30</definedName>
    <definedName name="Xanax">'[1]5 yr Sales and Earnings'!$A$15:$AA$15</definedName>
    <definedName name="YearQtr_title">#N/A</definedName>
    <definedName name="Years_in_full_stream">[20]Data_Download!$C$15:$AX$15</definedName>
    <definedName name="Years_into_future">[20]Data_Download!$C$41:$AZ$41</definedName>
    <definedName name="Zithromax">'[1]5 yr Sales and Earnings'!$A$23:$AA$23</definedName>
    <definedName name="Zoloft">'[1]5 yr Sales and Earnings'!$A$13:$AA$13</definedName>
    <definedName name="Zyrtec">'[1]5 yr Sales and Earnings'!$A$34:$AA$34</definedName>
    <definedName name="Zyrtec_Reactine">'[1]5 yr Sales and Earnings'!$A$34:$AA$34</definedName>
    <definedName name="Zyvox">'[1]5 yr Sales and Earnings'!$A$26:$AA$26</definedName>
  </definedNames>
  <calcPr calcId="145621"/>
</workbook>
</file>

<file path=xl/calcChain.xml><?xml version="1.0" encoding="utf-8"?>
<calcChain xmlns="http://schemas.openxmlformats.org/spreadsheetml/2006/main">
  <c r="EN100" i="10" l="1"/>
  <c r="EI100" i="10"/>
  <c r="ED100" i="10"/>
  <c r="DY100" i="10"/>
  <c r="DT100" i="10"/>
  <c r="DO100" i="10"/>
  <c r="DJ100" i="10"/>
  <c r="DE100" i="10"/>
  <c r="CZ100" i="10"/>
  <c r="CU100" i="10"/>
  <c r="L9" i="63" l="1"/>
  <c r="M9" i="63"/>
  <c r="K9" i="62"/>
  <c r="L9" i="62" s="1"/>
  <c r="M6" i="62"/>
  <c r="P319" i="93"/>
  <c r="E6" i="73"/>
  <c r="E5" i="73"/>
  <c r="E4" i="73"/>
  <c r="D6" i="73"/>
  <c r="D5" i="73"/>
  <c r="D4" i="73"/>
  <c r="P7" i="73"/>
  <c r="O7" i="73"/>
  <c r="P10" i="73" s="1"/>
  <c r="N7" i="73"/>
  <c r="O10" i="73" s="1"/>
  <c r="M7" i="73"/>
  <c r="N10" i="73" s="1"/>
  <c r="L7" i="73"/>
  <c r="M10" i="73" s="1"/>
  <c r="K7" i="73"/>
  <c r="L10" i="73" s="1"/>
  <c r="J7" i="73"/>
  <c r="K10" i="73" s="1"/>
  <c r="I7" i="73"/>
  <c r="J10" i="73" s="1"/>
  <c r="H7" i="73"/>
  <c r="I10" i="73" s="1"/>
  <c r="G7" i="73"/>
  <c r="H10" i="73" s="1"/>
  <c r="F7" i="73"/>
  <c r="G10" i="73" s="1"/>
  <c r="E7" i="73"/>
  <c r="D7" i="73"/>
  <c r="C7" i="73"/>
  <c r="S331" i="93"/>
  <c r="T331" i="93" s="1"/>
  <c r="U331" i="93" s="1"/>
  <c r="V331" i="93" s="1"/>
  <c r="W331" i="93" s="1"/>
  <c r="X331" i="93" s="1"/>
  <c r="Y331" i="93" s="1"/>
  <c r="Z331" i="93" s="1"/>
  <c r="R331" i="93"/>
  <c r="Q331" i="93"/>
  <c r="S319" i="93"/>
  <c r="T319" i="93" s="1"/>
  <c r="U319" i="93" s="1"/>
  <c r="V319" i="93" s="1"/>
  <c r="W319" i="93" s="1"/>
  <c r="X319" i="93" s="1"/>
  <c r="Y319" i="93" s="1"/>
  <c r="Z319" i="93" s="1"/>
  <c r="R319" i="93"/>
  <c r="R12" i="64" l="1"/>
  <c r="Q12" i="64"/>
  <c r="P12" i="64"/>
  <c r="O12" i="64"/>
  <c r="N12" i="64"/>
  <c r="M12" i="64"/>
  <c r="L12" i="64"/>
  <c r="K12" i="64"/>
  <c r="J12" i="64"/>
  <c r="I12" i="64"/>
  <c r="Q11" i="64"/>
  <c r="R11" i="64" s="1"/>
  <c r="P11" i="64"/>
  <c r="O11" i="64"/>
  <c r="K19" i="91"/>
  <c r="J19" i="91"/>
  <c r="I19" i="91"/>
  <c r="H19" i="91"/>
  <c r="G19" i="91"/>
  <c r="F19" i="91"/>
  <c r="K7" i="91"/>
  <c r="J7" i="91"/>
  <c r="I7" i="91"/>
  <c r="H7" i="91"/>
  <c r="G7" i="91"/>
  <c r="F7" i="91"/>
  <c r="E144" i="1" l="1"/>
  <c r="D11" i="80" l="1"/>
  <c r="Z316" i="93"/>
  <c r="Y316" i="93"/>
  <c r="X316" i="93"/>
  <c r="W316" i="93"/>
  <c r="V316" i="93"/>
  <c r="U316" i="93"/>
  <c r="T316" i="93"/>
  <c r="S316" i="93"/>
  <c r="R316" i="93"/>
  <c r="Q316" i="93"/>
  <c r="P316" i="93"/>
  <c r="O316" i="93"/>
  <c r="N316" i="93"/>
  <c r="M316" i="93"/>
  <c r="L316" i="93"/>
  <c r="K316" i="93"/>
  <c r="J316" i="93"/>
  <c r="Q338" i="93"/>
  <c r="R338" i="93" s="1"/>
  <c r="S338" i="93" s="1"/>
  <c r="T338" i="93" s="1"/>
  <c r="U338" i="93" s="1"/>
  <c r="V338" i="93" s="1"/>
  <c r="W338" i="93" s="1"/>
  <c r="X338" i="93" s="1"/>
  <c r="Y338" i="93" s="1"/>
  <c r="Z338" i="93" s="1"/>
  <c r="P326" i="93"/>
  <c r="Q326" i="93" s="1"/>
  <c r="R326" i="93" s="1"/>
  <c r="S326" i="93" s="1"/>
  <c r="T326" i="93" s="1"/>
  <c r="U326" i="93" s="1"/>
  <c r="V326" i="93" s="1"/>
  <c r="W326" i="93" s="1"/>
  <c r="X326" i="93" s="1"/>
  <c r="Y326" i="93" s="1"/>
  <c r="Z326" i="93" s="1"/>
  <c r="O325" i="93"/>
  <c r="O323" i="93"/>
  <c r="P323" i="93" s="1"/>
  <c r="Q323" i="93" s="1"/>
  <c r="P261" i="93"/>
  <c r="Q261" i="93" s="1"/>
  <c r="R261" i="93" s="1"/>
  <c r="S261" i="93" s="1"/>
  <c r="T261" i="93" s="1"/>
  <c r="U261" i="93" s="1"/>
  <c r="V261" i="93" s="1"/>
  <c r="W261" i="93" s="1"/>
  <c r="X261" i="93" s="1"/>
  <c r="Y261" i="93" s="1"/>
  <c r="Z261" i="93" s="1"/>
  <c r="O258" i="93"/>
  <c r="P258" i="93" s="1"/>
  <c r="Q258" i="93" s="1"/>
  <c r="R258" i="93" s="1"/>
  <c r="S258" i="93" s="1"/>
  <c r="T258" i="93" s="1"/>
  <c r="U258" i="93" s="1"/>
  <c r="V258" i="93" s="1"/>
  <c r="W258" i="93" s="1"/>
  <c r="X258" i="93" s="1"/>
  <c r="Y258" i="93" s="1"/>
  <c r="Z258" i="93" s="1"/>
  <c r="Z333" i="93"/>
  <c r="Z332" i="93" s="1"/>
  <c r="Y333" i="93"/>
  <c r="X333" i="93"/>
  <c r="W333" i="93"/>
  <c r="V333" i="93"/>
  <c r="V332" i="93" s="1"/>
  <c r="U333" i="93"/>
  <c r="T333" i="93"/>
  <c r="S333" i="93"/>
  <c r="R333" i="93"/>
  <c r="Q333" i="93"/>
  <c r="P333" i="93"/>
  <c r="O252" i="93"/>
  <c r="P252" i="93" s="1"/>
  <c r="Q252" i="93" s="1"/>
  <c r="R252" i="93" s="1"/>
  <c r="S252" i="93" s="1"/>
  <c r="T252" i="93" s="1"/>
  <c r="U252" i="93" s="1"/>
  <c r="V252" i="93" s="1"/>
  <c r="W252" i="93" s="1"/>
  <c r="X252" i="93" s="1"/>
  <c r="Y252" i="93" s="1"/>
  <c r="Z252" i="93" s="1"/>
  <c r="Z250" i="93"/>
  <c r="Y250" i="93"/>
  <c r="X250" i="93"/>
  <c r="W250" i="93"/>
  <c r="V250" i="93"/>
  <c r="U250" i="93"/>
  <c r="T250" i="93"/>
  <c r="S250" i="93"/>
  <c r="R250" i="93"/>
  <c r="Q250" i="93"/>
  <c r="P250" i="93"/>
  <c r="O250" i="93"/>
  <c r="N250" i="93"/>
  <c r="O245" i="93"/>
  <c r="P245" i="93" s="1"/>
  <c r="Q245" i="93" s="1"/>
  <c r="R245" i="93" s="1"/>
  <c r="S245" i="93" s="1"/>
  <c r="T245" i="93" s="1"/>
  <c r="U245" i="93" s="1"/>
  <c r="V245" i="93" s="1"/>
  <c r="W245" i="93" s="1"/>
  <c r="X245" i="93" s="1"/>
  <c r="Y245" i="93" s="1"/>
  <c r="Z245" i="93" s="1"/>
  <c r="N244" i="93"/>
  <c r="N242" i="93"/>
  <c r="O242" i="93" s="1"/>
  <c r="P242" i="93" s="1"/>
  <c r="Q242" i="93" s="1"/>
  <c r="R242" i="93" s="1"/>
  <c r="S242" i="93" s="1"/>
  <c r="T242" i="93" s="1"/>
  <c r="U242" i="93" s="1"/>
  <c r="V242" i="93" s="1"/>
  <c r="W242" i="93" s="1"/>
  <c r="X242" i="93" s="1"/>
  <c r="Y242" i="93" s="1"/>
  <c r="Z242" i="93" s="1"/>
  <c r="Z321" i="93"/>
  <c r="Z320" i="93" s="1"/>
  <c r="Y321" i="93"/>
  <c r="X321" i="93"/>
  <c r="X320" i="93" s="1"/>
  <c r="W321" i="93"/>
  <c r="W320" i="93" s="1"/>
  <c r="V321" i="93"/>
  <c r="V320" i="93" s="1"/>
  <c r="U321" i="93"/>
  <c r="U320" i="93" s="1"/>
  <c r="T321" i="93"/>
  <c r="T320" i="93" s="1"/>
  <c r="S321" i="93"/>
  <c r="S320" i="93" s="1"/>
  <c r="R321" i="93"/>
  <c r="R320" i="93" s="1"/>
  <c r="Q321" i="93"/>
  <c r="Q320" i="93" s="1"/>
  <c r="P321" i="93"/>
  <c r="O321" i="93"/>
  <c r="Z234" i="93"/>
  <c r="Y236" i="93"/>
  <c r="X236" i="93"/>
  <c r="W236" i="93"/>
  <c r="V234" i="93"/>
  <c r="U236" i="93"/>
  <c r="T236" i="93"/>
  <c r="S236" i="93"/>
  <c r="R234" i="93"/>
  <c r="Q236" i="93"/>
  <c r="P236" i="93"/>
  <c r="O236" i="93"/>
  <c r="N234" i="93"/>
  <c r="M236" i="93"/>
  <c r="D19" i="80"/>
  <c r="Z188" i="93"/>
  <c r="Y188" i="93"/>
  <c r="X188" i="93"/>
  <c r="W188" i="93"/>
  <c r="V188" i="93"/>
  <c r="U188" i="93"/>
  <c r="T188" i="93"/>
  <c r="S188" i="93"/>
  <c r="R188" i="93"/>
  <c r="Q188" i="93"/>
  <c r="P188" i="93"/>
  <c r="O188" i="93"/>
  <c r="Z130" i="93"/>
  <c r="Y130" i="93"/>
  <c r="X130" i="93"/>
  <c r="W130" i="93"/>
  <c r="V130" i="93"/>
  <c r="U130" i="93"/>
  <c r="T130" i="93"/>
  <c r="S130" i="93"/>
  <c r="R130" i="93"/>
  <c r="Q130" i="93"/>
  <c r="P130" i="93"/>
  <c r="O130" i="93"/>
  <c r="N130" i="93"/>
  <c r="O244" i="93" l="1"/>
  <c r="P244" i="93" s="1"/>
  <c r="Q244" i="93" s="1"/>
  <c r="R244" i="93" s="1"/>
  <c r="S244" i="93" s="1"/>
  <c r="T244" i="93" s="1"/>
  <c r="P325" i="93"/>
  <c r="Q325" i="93" s="1"/>
  <c r="R325" i="93" s="1"/>
  <c r="Y320" i="93"/>
  <c r="R332" i="93"/>
  <c r="S332" i="93"/>
  <c r="W332" i="93"/>
  <c r="O337" i="93"/>
  <c r="P337" i="93" s="1"/>
  <c r="Q337" i="93" s="1"/>
  <c r="R337" i="93" s="1"/>
  <c r="S337" i="93" s="1"/>
  <c r="T337" i="93" s="1"/>
  <c r="U337" i="93" s="1"/>
  <c r="V337" i="93" s="1"/>
  <c r="W337" i="93" s="1"/>
  <c r="X337" i="93" s="1"/>
  <c r="Y337" i="93" s="1"/>
  <c r="Z337" i="93" s="1"/>
  <c r="T332" i="93"/>
  <c r="X332" i="93"/>
  <c r="U332" i="93"/>
  <c r="Y332" i="93"/>
  <c r="R323" i="93"/>
  <c r="N260" i="93"/>
  <c r="O260" i="93" s="1"/>
  <c r="P260" i="93" s="1"/>
  <c r="Q260" i="93" s="1"/>
  <c r="R260" i="93" s="1"/>
  <c r="S260" i="93" s="1"/>
  <c r="T260" i="93" s="1"/>
  <c r="U260" i="93" s="1"/>
  <c r="V260" i="93" s="1"/>
  <c r="W260" i="93" s="1"/>
  <c r="X260" i="93" s="1"/>
  <c r="Y260" i="93" s="1"/>
  <c r="Z260" i="93" s="1"/>
  <c r="T234" i="93"/>
  <c r="P234" i="93"/>
  <c r="X234" i="93"/>
  <c r="Q234" i="93"/>
  <c r="Y234" i="93"/>
  <c r="M234" i="93"/>
  <c r="U234" i="93"/>
  <c r="O234" i="93"/>
  <c r="S234" i="93"/>
  <c r="W234" i="93"/>
  <c r="N236" i="93"/>
  <c r="R236" i="93"/>
  <c r="V236" i="93"/>
  <c r="Z236" i="93"/>
  <c r="E23" i="80"/>
  <c r="D23" i="80"/>
  <c r="R88" i="93"/>
  <c r="S88" i="93" s="1"/>
  <c r="T88" i="93" s="1"/>
  <c r="U88" i="93" s="1"/>
  <c r="V88" i="93" s="1"/>
  <c r="W88" i="93" s="1"/>
  <c r="X88" i="93" s="1"/>
  <c r="Y88" i="93" s="1"/>
  <c r="Z88" i="93" s="1"/>
  <c r="O43" i="93"/>
  <c r="P43" i="93" s="1"/>
  <c r="Q43" i="93" s="1"/>
  <c r="R43" i="93" s="1"/>
  <c r="S43" i="93" s="1"/>
  <c r="T43" i="93" s="1"/>
  <c r="U43" i="93" s="1"/>
  <c r="V43" i="93" s="1"/>
  <c r="W43" i="93" s="1"/>
  <c r="X43" i="93" s="1"/>
  <c r="Y43" i="93" s="1"/>
  <c r="Z43" i="93" s="1"/>
  <c r="S323" i="93" l="1"/>
  <c r="T323" i="93" l="1"/>
  <c r="U323" i="93" l="1"/>
  <c r="V323" i="93" l="1"/>
  <c r="W323" i="93" l="1"/>
  <c r="X323" i="93" l="1"/>
  <c r="Y323" i="93" l="1"/>
  <c r="Z323" i="93" l="1"/>
  <c r="X32" i="93" l="1"/>
  <c r="W32" i="93"/>
  <c r="V32" i="93"/>
  <c r="U32" i="93"/>
  <c r="S32" i="93"/>
  <c r="R32" i="93"/>
  <c r="Q32" i="93"/>
  <c r="P32" i="93"/>
  <c r="O32" i="93"/>
  <c r="Z32" i="93"/>
  <c r="Y32" i="93"/>
  <c r="N32" i="93"/>
  <c r="S356" i="93"/>
  <c r="O335" i="93"/>
  <c r="P335" i="93" s="1"/>
  <c r="Q335" i="93" s="1"/>
  <c r="R335" i="93" s="1"/>
  <c r="S335" i="93" s="1"/>
  <c r="T335" i="93" s="1"/>
  <c r="U335" i="93" s="1"/>
  <c r="V335" i="93" s="1"/>
  <c r="W335" i="93" s="1"/>
  <c r="X335" i="93" s="1"/>
  <c r="Y335" i="93" s="1"/>
  <c r="Z335" i="93" s="1"/>
  <c r="J304" i="93"/>
  <c r="J303" i="93"/>
  <c r="J288" i="93"/>
  <c r="J287" i="93"/>
  <c r="J292" i="93" s="1"/>
  <c r="L285" i="93"/>
  <c r="M285" i="93" s="1"/>
  <c r="N285" i="93" s="1"/>
  <c r="O285" i="93" s="1"/>
  <c r="P285" i="93" s="1"/>
  <c r="Q285" i="93" s="1"/>
  <c r="R285" i="93" s="1"/>
  <c r="S285" i="93" s="1"/>
  <c r="T285" i="93" s="1"/>
  <c r="U285" i="93" s="1"/>
  <c r="V285" i="93" s="1"/>
  <c r="W285" i="93" s="1"/>
  <c r="X285" i="93" s="1"/>
  <c r="Y285" i="93" s="1"/>
  <c r="Z285" i="93" s="1"/>
  <c r="K284" i="93"/>
  <c r="E283" i="93"/>
  <c r="F283" i="93" s="1"/>
  <c r="G283" i="93" s="1"/>
  <c r="H283" i="93" s="1"/>
  <c r="I283" i="93" s="1"/>
  <c r="J283" i="93" s="1"/>
  <c r="K283" i="93" s="1"/>
  <c r="L283" i="93" s="1"/>
  <c r="M283" i="93" s="1"/>
  <c r="N283" i="93" s="1"/>
  <c r="O283" i="93" s="1"/>
  <c r="P283" i="93" s="1"/>
  <c r="Q283" i="93" s="1"/>
  <c r="R283" i="93" s="1"/>
  <c r="S283" i="93" s="1"/>
  <c r="T283" i="93" s="1"/>
  <c r="U283" i="93" s="1"/>
  <c r="V283" i="93" s="1"/>
  <c r="W283" i="93" s="1"/>
  <c r="X283" i="93" s="1"/>
  <c r="Y283" i="93" s="1"/>
  <c r="Z283" i="93" s="1"/>
  <c r="D274" i="93"/>
  <c r="D272" i="93"/>
  <c r="J267" i="93"/>
  <c r="J345" i="93" s="1"/>
  <c r="J223" i="93"/>
  <c r="J221" i="93"/>
  <c r="J220" i="93"/>
  <c r="J268" i="93" s="1"/>
  <c r="K219" i="93"/>
  <c r="J209" i="93"/>
  <c r="J207" i="93"/>
  <c r="J205" i="93"/>
  <c r="I205" i="93" s="1"/>
  <c r="H205" i="93" s="1"/>
  <c r="G205" i="93" s="1"/>
  <c r="F205" i="93" s="1"/>
  <c r="E205" i="93" s="1"/>
  <c r="D205" i="93" s="1"/>
  <c r="I204" i="93"/>
  <c r="H204" i="93" s="1"/>
  <c r="G204" i="93" s="1"/>
  <c r="F204" i="93" s="1"/>
  <c r="E204" i="93" s="1"/>
  <c r="D204" i="93" s="1"/>
  <c r="K203" i="93"/>
  <c r="L203" i="93" s="1"/>
  <c r="M203" i="93" s="1"/>
  <c r="I203" i="93"/>
  <c r="E200" i="93"/>
  <c r="F200" i="93" s="1"/>
  <c r="G200" i="93" s="1"/>
  <c r="H200" i="93" s="1"/>
  <c r="I200" i="93" s="1"/>
  <c r="J200" i="93" s="1"/>
  <c r="K200" i="93" s="1"/>
  <c r="L200" i="93" s="1"/>
  <c r="M200" i="93" s="1"/>
  <c r="N200" i="93" s="1"/>
  <c r="O200" i="93" s="1"/>
  <c r="P200" i="93" s="1"/>
  <c r="Q200" i="93" s="1"/>
  <c r="R200" i="93" s="1"/>
  <c r="S200" i="93" s="1"/>
  <c r="T200" i="93" s="1"/>
  <c r="U200" i="93" s="1"/>
  <c r="V200" i="93" s="1"/>
  <c r="W200" i="93" s="1"/>
  <c r="X200" i="93" s="1"/>
  <c r="Y200" i="93" s="1"/>
  <c r="Z200" i="93" s="1"/>
  <c r="H195" i="93"/>
  <c r="I195" i="93" s="1"/>
  <c r="J195" i="93" s="1"/>
  <c r="K195" i="93" s="1"/>
  <c r="H173" i="93"/>
  <c r="H177" i="93" s="1"/>
  <c r="H168" i="93"/>
  <c r="H162" i="93"/>
  <c r="G162" i="93" s="1"/>
  <c r="H159" i="93"/>
  <c r="I159" i="93" s="1"/>
  <c r="H156" i="93"/>
  <c r="I153" i="93" s="1"/>
  <c r="G155" i="93"/>
  <c r="G173" i="93" s="1"/>
  <c r="I154" i="93"/>
  <c r="G154" i="93"/>
  <c r="F154" i="93" s="1"/>
  <c r="E154" i="93" s="1"/>
  <c r="E151" i="93"/>
  <c r="F151" i="93" s="1"/>
  <c r="G151" i="93" s="1"/>
  <c r="H151" i="93" s="1"/>
  <c r="I151" i="93" s="1"/>
  <c r="J151" i="93" s="1"/>
  <c r="K151" i="93" s="1"/>
  <c r="L151" i="93" s="1"/>
  <c r="M151" i="93" s="1"/>
  <c r="N151" i="93" s="1"/>
  <c r="O151" i="93" s="1"/>
  <c r="P151" i="93" s="1"/>
  <c r="Q151" i="93" s="1"/>
  <c r="R151" i="93" s="1"/>
  <c r="S151" i="93" s="1"/>
  <c r="T151" i="93" s="1"/>
  <c r="U151" i="93" s="1"/>
  <c r="V151" i="93" s="1"/>
  <c r="W151" i="93" s="1"/>
  <c r="X151" i="93" s="1"/>
  <c r="Y151" i="93" s="1"/>
  <c r="Z151" i="93" s="1"/>
  <c r="H149" i="93"/>
  <c r="I149" i="93" s="1"/>
  <c r="H121" i="93"/>
  <c r="H126" i="93" s="1"/>
  <c r="H117" i="93"/>
  <c r="G112" i="93"/>
  <c r="F112" i="93" s="1"/>
  <c r="E112" i="93" s="1"/>
  <c r="H110" i="93"/>
  <c r="I110" i="93" s="1"/>
  <c r="H107" i="93"/>
  <c r="G107" i="93" s="1"/>
  <c r="F107" i="93" s="1"/>
  <c r="H104" i="93"/>
  <c r="G104" i="93" s="1"/>
  <c r="F104" i="93" s="1"/>
  <c r="E104" i="93" s="1"/>
  <c r="D104" i="93" s="1"/>
  <c r="G103" i="93"/>
  <c r="F103" i="93" s="1"/>
  <c r="F121" i="93" s="1"/>
  <c r="I102" i="93"/>
  <c r="J102" i="93" s="1"/>
  <c r="G102" i="93"/>
  <c r="F102" i="93" s="1"/>
  <c r="E102" i="93" s="1"/>
  <c r="D102" i="93" s="1"/>
  <c r="E99" i="93"/>
  <c r="F99" i="93" s="1"/>
  <c r="G99" i="93" s="1"/>
  <c r="H99" i="93" s="1"/>
  <c r="I99" i="93" s="1"/>
  <c r="J99" i="93" s="1"/>
  <c r="K99" i="93" s="1"/>
  <c r="L99" i="93" s="1"/>
  <c r="M99" i="93" s="1"/>
  <c r="N99" i="93" s="1"/>
  <c r="O99" i="93" s="1"/>
  <c r="P99" i="93" s="1"/>
  <c r="Q99" i="93" s="1"/>
  <c r="R99" i="93" s="1"/>
  <c r="S99" i="93" s="1"/>
  <c r="T99" i="93" s="1"/>
  <c r="U99" i="93" s="1"/>
  <c r="V99" i="93" s="1"/>
  <c r="W99" i="93" s="1"/>
  <c r="X99" i="93" s="1"/>
  <c r="Y99" i="93" s="1"/>
  <c r="Z99" i="93" s="1"/>
  <c r="H95" i="93"/>
  <c r="I95" i="93" s="1"/>
  <c r="J95" i="93" s="1"/>
  <c r="K95" i="93" s="1"/>
  <c r="L95" i="93" s="1"/>
  <c r="M95" i="93" s="1"/>
  <c r="N95" i="93" s="1"/>
  <c r="O95" i="93" s="1"/>
  <c r="P95" i="93" s="1"/>
  <c r="Q95" i="93" s="1"/>
  <c r="R95" i="93" s="1"/>
  <c r="S95" i="93" s="1"/>
  <c r="T95" i="93" s="1"/>
  <c r="U95" i="93" s="1"/>
  <c r="V95" i="93" s="1"/>
  <c r="W95" i="93" s="1"/>
  <c r="X95" i="93" s="1"/>
  <c r="Y95" i="93" s="1"/>
  <c r="Z95" i="93" s="1"/>
  <c r="H72" i="93"/>
  <c r="H77" i="93" s="1"/>
  <c r="H68" i="93"/>
  <c r="H62" i="93"/>
  <c r="I62" i="93" s="1"/>
  <c r="J62" i="93" s="1"/>
  <c r="G58" i="93"/>
  <c r="G72" i="93" s="1"/>
  <c r="I57" i="93"/>
  <c r="J57" i="93" s="1"/>
  <c r="K57" i="93" s="1"/>
  <c r="L57" i="93" s="1"/>
  <c r="G57" i="93"/>
  <c r="F57" i="93" s="1"/>
  <c r="E57" i="93" s="1"/>
  <c r="D57" i="93" s="1"/>
  <c r="E56" i="93"/>
  <c r="E59" i="93" s="1"/>
  <c r="D59" i="93" s="1"/>
  <c r="E54" i="93"/>
  <c r="F54" i="93" s="1"/>
  <c r="G54" i="93" s="1"/>
  <c r="H54" i="93" s="1"/>
  <c r="I54" i="93" s="1"/>
  <c r="J54" i="93" s="1"/>
  <c r="K54" i="93" s="1"/>
  <c r="L54" i="93" s="1"/>
  <c r="M54" i="93" s="1"/>
  <c r="N54" i="93" s="1"/>
  <c r="O54" i="93" s="1"/>
  <c r="P54" i="93" s="1"/>
  <c r="Q54" i="93" s="1"/>
  <c r="R54" i="93" s="1"/>
  <c r="S54" i="93" s="1"/>
  <c r="T54" i="93" s="1"/>
  <c r="U54" i="93" s="1"/>
  <c r="V54" i="93" s="1"/>
  <c r="W54" i="93" s="1"/>
  <c r="X54" i="93" s="1"/>
  <c r="Y54" i="93" s="1"/>
  <c r="Z54" i="93" s="1"/>
  <c r="Z141" i="93"/>
  <c r="Y141" i="93"/>
  <c r="X141" i="93"/>
  <c r="W141" i="93"/>
  <c r="V141" i="93"/>
  <c r="U141" i="93"/>
  <c r="T141" i="93"/>
  <c r="S141" i="93"/>
  <c r="R141" i="93"/>
  <c r="Q141" i="93"/>
  <c r="P141" i="93"/>
  <c r="N141" i="93"/>
  <c r="E4" i="93"/>
  <c r="F4" i="93" s="1"/>
  <c r="G4" i="93" s="1"/>
  <c r="H4" i="93" s="1"/>
  <c r="I4" i="93" s="1"/>
  <c r="J4" i="93" s="1"/>
  <c r="K4" i="93" s="1"/>
  <c r="L4" i="93" s="1"/>
  <c r="M4" i="93" s="1"/>
  <c r="N4" i="93" s="1"/>
  <c r="O4" i="93" s="1"/>
  <c r="P4" i="93" s="1"/>
  <c r="Q4" i="93" s="1"/>
  <c r="R4" i="93" s="1"/>
  <c r="S4" i="93" s="1"/>
  <c r="T4" i="93" s="1"/>
  <c r="U4" i="93" s="1"/>
  <c r="V4" i="93" s="1"/>
  <c r="W4" i="93" s="1"/>
  <c r="X4" i="93" s="1"/>
  <c r="Y4" i="93" s="1"/>
  <c r="Z4" i="93" s="1"/>
  <c r="P320" i="93" l="1"/>
  <c r="O320" i="93"/>
  <c r="Z253" i="93"/>
  <c r="Z255" i="93" s="1"/>
  <c r="V253" i="93"/>
  <c r="V255" i="93" s="1"/>
  <c r="Q253" i="93"/>
  <c r="Q255" i="93" s="1"/>
  <c r="Y253" i="93"/>
  <c r="Y255" i="93" s="1"/>
  <c r="U253" i="93"/>
  <c r="U255" i="93" s="1"/>
  <c r="P253" i="93"/>
  <c r="P255" i="93" s="1"/>
  <c r="T253" i="93"/>
  <c r="T255" i="93" s="1"/>
  <c r="W253" i="93"/>
  <c r="W255" i="93" s="1"/>
  <c r="R253" i="93"/>
  <c r="R255" i="93" s="1"/>
  <c r="N253" i="93"/>
  <c r="N255" i="93" s="1"/>
  <c r="X253" i="93"/>
  <c r="X255" i="93" s="1"/>
  <c r="O253" i="93"/>
  <c r="O255" i="93" s="1"/>
  <c r="Z237" i="93"/>
  <c r="Z239" i="93" s="1"/>
  <c r="V237" i="93"/>
  <c r="V239" i="93" s="1"/>
  <c r="R237" i="93"/>
  <c r="R239" i="93" s="1"/>
  <c r="N237" i="93"/>
  <c r="N239" i="93" s="1"/>
  <c r="Y237" i="93"/>
  <c r="Y239" i="93" s="1"/>
  <c r="U237" i="93"/>
  <c r="U239" i="93" s="1"/>
  <c r="Q237" i="93"/>
  <c r="Q239" i="93" s="1"/>
  <c r="M237" i="93"/>
  <c r="M239" i="93" s="1"/>
  <c r="X237" i="93"/>
  <c r="X239" i="93" s="1"/>
  <c r="T237" i="93"/>
  <c r="T239" i="93" s="1"/>
  <c r="P237" i="93"/>
  <c r="P239" i="93" s="1"/>
  <c r="W237" i="93"/>
  <c r="W239" i="93" s="1"/>
  <c r="S237" i="93"/>
  <c r="S239" i="93" s="1"/>
  <c r="O237" i="93"/>
  <c r="O239" i="93" s="1"/>
  <c r="S139" i="93"/>
  <c r="U184" i="93" s="1"/>
  <c r="N139" i="93"/>
  <c r="P184" i="93" s="1"/>
  <c r="H179" i="93"/>
  <c r="Z139" i="93"/>
  <c r="R139" i="93"/>
  <c r="T184" i="93" s="1"/>
  <c r="W139" i="93"/>
  <c r="Y184" i="93" s="1"/>
  <c r="O139" i="93"/>
  <c r="Q184" i="93" s="1"/>
  <c r="V139" i="93"/>
  <c r="X184" i="93" s="1"/>
  <c r="Y139" i="93"/>
  <c r="Q139" i="93"/>
  <c r="S184" i="93" s="1"/>
  <c r="P139" i="93"/>
  <c r="R184" i="93" s="1"/>
  <c r="U139" i="93"/>
  <c r="W184" i="93" s="1"/>
  <c r="T139" i="93"/>
  <c r="V184" i="93" s="1"/>
  <c r="X139" i="93"/>
  <c r="Z184" i="93" s="1"/>
  <c r="E11" i="93"/>
  <c r="E18" i="93" s="1"/>
  <c r="I11" i="93"/>
  <c r="I18" i="93" s="1"/>
  <c r="M11" i="93"/>
  <c r="M18" i="93" s="1"/>
  <c r="Q11" i="93"/>
  <c r="Q18" i="93" s="1"/>
  <c r="U11" i="93"/>
  <c r="U18" i="93" s="1"/>
  <c r="Y11" i="93"/>
  <c r="Y18" i="93" s="1"/>
  <c r="T32" i="93"/>
  <c r="Z133" i="93"/>
  <c r="Z135" i="93" s="1"/>
  <c r="V133" i="93"/>
  <c r="V135" i="93" s="1"/>
  <c r="R133" i="93"/>
  <c r="R135" i="93" s="1"/>
  <c r="N133" i="93"/>
  <c r="N135" i="93" s="1"/>
  <c r="U133" i="93"/>
  <c r="U135" i="93" s="1"/>
  <c r="T133" i="93"/>
  <c r="T135" i="93" s="1"/>
  <c r="P133" i="93"/>
  <c r="P135" i="93" s="1"/>
  <c r="W133" i="93"/>
  <c r="W135" i="93" s="1"/>
  <c r="S133" i="93"/>
  <c r="S135" i="93" s="1"/>
  <c r="O133" i="93"/>
  <c r="O135" i="93" s="1"/>
  <c r="Y133" i="93"/>
  <c r="Y135" i="93" s="1"/>
  <c r="Q133" i="93"/>
  <c r="Q135" i="93" s="1"/>
  <c r="X133" i="93"/>
  <c r="X135" i="93" s="1"/>
  <c r="G110" i="93"/>
  <c r="F110" i="93" s="1"/>
  <c r="E110" i="93" s="1"/>
  <c r="H178" i="93"/>
  <c r="K202" i="93"/>
  <c r="K207" i="93" s="1"/>
  <c r="F58" i="93"/>
  <c r="F72" i="93" s="1"/>
  <c r="F155" i="93"/>
  <c r="F173" i="93" s="1"/>
  <c r="K28" i="93"/>
  <c r="O28" i="93"/>
  <c r="S28" i="93"/>
  <c r="W28" i="93"/>
  <c r="X35" i="93"/>
  <c r="X37" i="93" s="1"/>
  <c r="H75" i="93"/>
  <c r="H76" i="93"/>
  <c r="H78" i="93" s="1"/>
  <c r="H28" i="93"/>
  <c r="L28" i="93"/>
  <c r="P28" i="93"/>
  <c r="T28" i="93"/>
  <c r="X28" i="93"/>
  <c r="I28" i="93"/>
  <c r="M28" i="93"/>
  <c r="Q28" i="93"/>
  <c r="U28" i="93"/>
  <c r="Y28" i="93"/>
  <c r="O35" i="93"/>
  <c r="O37" i="93" s="1"/>
  <c r="S35" i="93"/>
  <c r="S37" i="93" s="1"/>
  <c r="W35" i="93"/>
  <c r="W37" i="93" s="1"/>
  <c r="N35" i="93"/>
  <c r="V35" i="93"/>
  <c r="V37" i="93" s="1"/>
  <c r="T35" i="93"/>
  <c r="P35" i="93"/>
  <c r="Y41" i="93"/>
  <c r="U41" i="93"/>
  <c r="W83" i="93" s="1"/>
  <c r="Q41" i="93"/>
  <c r="S83" i="93" s="1"/>
  <c r="X41" i="93"/>
  <c r="T41" i="93"/>
  <c r="V83" i="93" s="1"/>
  <c r="P41" i="93"/>
  <c r="R83" i="93" s="1"/>
  <c r="W41" i="93"/>
  <c r="S41" i="93"/>
  <c r="O41" i="93"/>
  <c r="Q83" i="93" s="1"/>
  <c r="Z41" i="93"/>
  <c r="V41" i="93"/>
  <c r="X83" i="93" s="1"/>
  <c r="R41" i="93"/>
  <c r="T83" i="93" s="1"/>
  <c r="N41" i="93"/>
  <c r="P83" i="93" s="1"/>
  <c r="P82" i="93" s="1"/>
  <c r="Q35" i="93"/>
  <c r="U35" i="93"/>
  <c r="Y35" i="93"/>
  <c r="R35" i="93"/>
  <c r="Z35" i="93"/>
  <c r="Z37" i="93" s="1"/>
  <c r="J28" i="93"/>
  <c r="N28" i="93"/>
  <c r="R28" i="93"/>
  <c r="V28" i="93"/>
  <c r="Z28" i="93"/>
  <c r="D6" i="93"/>
  <c r="F11" i="93"/>
  <c r="F18" i="93" s="1"/>
  <c r="J11" i="93"/>
  <c r="J18" i="93" s="1"/>
  <c r="N11" i="93"/>
  <c r="N18" i="93" s="1"/>
  <c r="R11" i="93"/>
  <c r="R18" i="93" s="1"/>
  <c r="V11" i="93"/>
  <c r="V18" i="93" s="1"/>
  <c r="Z11" i="93"/>
  <c r="Z18" i="93" s="1"/>
  <c r="G11" i="93"/>
  <c r="G18" i="93" s="1"/>
  <c r="K11" i="93"/>
  <c r="K18" i="93" s="1"/>
  <c r="O11" i="93"/>
  <c r="O18" i="93" s="1"/>
  <c r="S11" i="93"/>
  <c r="S18" i="93" s="1"/>
  <c r="W11" i="93"/>
  <c r="W18" i="93" s="1"/>
  <c r="H52" i="93"/>
  <c r="I52" i="93" s="1"/>
  <c r="J52" i="93" s="1"/>
  <c r="K52" i="93" s="1"/>
  <c r="L52" i="93" s="1"/>
  <c r="M52" i="93" s="1"/>
  <c r="N52" i="93" s="1"/>
  <c r="O52" i="93" s="1"/>
  <c r="P52" i="93" s="1"/>
  <c r="Q52" i="93" s="1"/>
  <c r="R52" i="93" s="1"/>
  <c r="S52" i="93" s="1"/>
  <c r="T52" i="93" s="1"/>
  <c r="U52" i="93" s="1"/>
  <c r="V52" i="93" s="1"/>
  <c r="W52" i="93" s="1"/>
  <c r="X52" i="93" s="1"/>
  <c r="Y52" i="93" s="1"/>
  <c r="Z52" i="93" s="1"/>
  <c r="D11" i="93"/>
  <c r="D18" i="93" s="1"/>
  <c r="H11" i="93"/>
  <c r="H18" i="93" s="1"/>
  <c r="L11" i="93"/>
  <c r="L18" i="93" s="1"/>
  <c r="P11" i="93"/>
  <c r="P18" i="93" s="1"/>
  <c r="T11" i="93"/>
  <c r="T18" i="93" s="1"/>
  <c r="X11" i="93"/>
  <c r="X18" i="93" s="1"/>
  <c r="J149" i="93"/>
  <c r="K149" i="93" s="1"/>
  <c r="L149" i="93" s="1"/>
  <c r="M149" i="93" s="1"/>
  <c r="N149" i="93" s="1"/>
  <c r="O149" i="93" s="1"/>
  <c r="P149" i="93" s="1"/>
  <c r="Q149" i="93" s="1"/>
  <c r="R149" i="93" s="1"/>
  <c r="S149" i="93" s="1"/>
  <c r="T149" i="93" s="1"/>
  <c r="U149" i="93" s="1"/>
  <c r="V149" i="93" s="1"/>
  <c r="W149" i="93" s="1"/>
  <c r="X149" i="93" s="1"/>
  <c r="Y149" i="93" s="1"/>
  <c r="Z149" i="93" s="1"/>
  <c r="I103" i="93"/>
  <c r="I121" i="93" s="1"/>
  <c r="I126" i="93" s="1"/>
  <c r="F162" i="93"/>
  <c r="E162" i="93" s="1"/>
  <c r="D162" i="93" s="1"/>
  <c r="G161" i="93"/>
  <c r="J103" i="93"/>
  <c r="J121" i="93" s="1"/>
  <c r="J126" i="93" s="1"/>
  <c r="I61" i="93"/>
  <c r="I68" i="93" s="1"/>
  <c r="I107" i="93"/>
  <c r="J107" i="93" s="1"/>
  <c r="K107" i="93" s="1"/>
  <c r="H122" i="93"/>
  <c r="J210" i="93"/>
  <c r="I162" i="93"/>
  <c r="J162" i="93" s="1"/>
  <c r="K162" i="93" s="1"/>
  <c r="G62" i="93"/>
  <c r="G61" i="93" s="1"/>
  <c r="G68" i="93" s="1"/>
  <c r="H73" i="93"/>
  <c r="I101" i="93"/>
  <c r="I104" i="93" s="1"/>
  <c r="J101" i="93" s="1"/>
  <c r="G109" i="93"/>
  <c r="H125" i="93"/>
  <c r="I155" i="93"/>
  <c r="I173" i="93" s="1"/>
  <c r="I178" i="93" s="1"/>
  <c r="I158" i="93"/>
  <c r="I168" i="93" s="1"/>
  <c r="J215" i="93"/>
  <c r="J61" i="93"/>
  <c r="K62" i="93"/>
  <c r="F6" i="93"/>
  <c r="G6" i="93" s="1"/>
  <c r="O85" i="93"/>
  <c r="O141" i="93"/>
  <c r="I58" i="93"/>
  <c r="I72" i="93" s="1"/>
  <c r="K58" i="93"/>
  <c r="K72" i="93" s="1"/>
  <c r="D110" i="93"/>
  <c r="D109" i="93" s="1"/>
  <c r="E109" i="93"/>
  <c r="E107" i="93"/>
  <c r="F106" i="93"/>
  <c r="F117" i="93" s="1"/>
  <c r="J110" i="93"/>
  <c r="I109" i="93"/>
  <c r="L58" i="93"/>
  <c r="L72" i="93" s="1"/>
  <c r="J68" i="93"/>
  <c r="M57" i="93"/>
  <c r="J58" i="93"/>
  <c r="J72" i="93" s="1"/>
  <c r="E103" i="93"/>
  <c r="G106" i="93"/>
  <c r="G117" i="93" s="1"/>
  <c r="F109" i="93"/>
  <c r="D154" i="93"/>
  <c r="I156" i="93"/>
  <c r="L195" i="93"/>
  <c r="G101" i="93"/>
  <c r="F101" i="93" s="1"/>
  <c r="K102" i="93"/>
  <c r="G121" i="93"/>
  <c r="P189" i="93"/>
  <c r="H124" i="93"/>
  <c r="E155" i="93"/>
  <c r="G156" i="93"/>
  <c r="J159" i="93"/>
  <c r="H176" i="93"/>
  <c r="H174" i="93"/>
  <c r="H203" i="93"/>
  <c r="G203" i="93" s="1"/>
  <c r="F203" i="93" s="1"/>
  <c r="E203" i="93" s="1"/>
  <c r="D203" i="93" s="1"/>
  <c r="I202" i="93"/>
  <c r="J154" i="93"/>
  <c r="J155" i="93" s="1"/>
  <c r="J173" i="93" s="1"/>
  <c r="G159" i="93"/>
  <c r="N203" i="93"/>
  <c r="K218" i="93"/>
  <c r="J225" i="93"/>
  <c r="L219" i="93"/>
  <c r="J346" i="93"/>
  <c r="J305" i="93" s="1"/>
  <c r="K268" i="93"/>
  <c r="K220" i="93" s="1"/>
  <c r="K225" i="93" s="1"/>
  <c r="K267" i="93"/>
  <c r="K304" i="93"/>
  <c r="K288" i="93"/>
  <c r="L284" i="93"/>
  <c r="J289" i="93"/>
  <c r="J294" i="93" s="1"/>
  <c r="J290" i="93"/>
  <c r="J308" i="93"/>
  <c r="J306" i="93"/>
  <c r="Q332" i="93" l="1"/>
  <c r="P332" i="93"/>
  <c r="K205" i="93"/>
  <c r="F161" i="93"/>
  <c r="J298" i="93"/>
  <c r="J297" i="93"/>
  <c r="J299" i="93"/>
  <c r="E161" i="93"/>
  <c r="I161" i="93"/>
  <c r="J153" i="93"/>
  <c r="J156" i="93" s="1"/>
  <c r="K153" i="93" s="1"/>
  <c r="E14" i="93"/>
  <c r="E23" i="93" s="1"/>
  <c r="Y182" i="93"/>
  <c r="Y183" i="93" s="1"/>
  <c r="W182" i="93"/>
  <c r="W183" i="93" s="1"/>
  <c r="X182" i="93"/>
  <c r="X183" i="93" s="1"/>
  <c r="S182" i="93"/>
  <c r="S183" i="93" s="1"/>
  <c r="E58" i="93"/>
  <c r="F56" i="93" s="1"/>
  <c r="R182" i="93"/>
  <c r="R183" i="93" s="1"/>
  <c r="Q182" i="93"/>
  <c r="Q183" i="93" s="1"/>
  <c r="Z182" i="93"/>
  <c r="Z183" i="93" s="1"/>
  <c r="P182" i="93"/>
  <c r="P183" i="93" s="1"/>
  <c r="I106" i="93"/>
  <c r="I117" i="93" s="1"/>
  <c r="V182" i="93"/>
  <c r="V183" i="93" s="1"/>
  <c r="T182" i="93"/>
  <c r="T183" i="93" s="1"/>
  <c r="U182" i="93"/>
  <c r="U183" i="93" s="1"/>
  <c r="H202" i="93"/>
  <c r="G202" i="93" s="1"/>
  <c r="F202" i="93" s="1"/>
  <c r="E202" i="93" s="1"/>
  <c r="D202" i="93" s="1"/>
  <c r="H127" i="93"/>
  <c r="S253" i="93"/>
  <c r="S255" i="93" s="1"/>
  <c r="R81" i="93"/>
  <c r="R82" i="93" s="1"/>
  <c r="Q81" i="93"/>
  <c r="Q82" i="93" s="1"/>
  <c r="X81" i="93"/>
  <c r="X82" i="93" s="1"/>
  <c r="S81" i="93"/>
  <c r="W81" i="93"/>
  <c r="F62" i="93"/>
  <c r="E62" i="93" s="1"/>
  <c r="V81" i="93"/>
  <c r="N37" i="93"/>
  <c r="T81" i="93"/>
  <c r="T82" i="93" s="1"/>
  <c r="Y83" i="93"/>
  <c r="D14" i="93"/>
  <c r="D23" i="93" s="1"/>
  <c r="U83" i="93"/>
  <c r="Z83" i="93"/>
  <c r="R37" i="93"/>
  <c r="Y37" i="93"/>
  <c r="U37" i="93"/>
  <c r="Q37" i="93"/>
  <c r="P37" i="93"/>
  <c r="T37" i="93"/>
  <c r="U19" i="93"/>
  <c r="X19" i="93"/>
  <c r="J106" i="93"/>
  <c r="J117" i="93" s="1"/>
  <c r="T19" i="93"/>
  <c r="P19" i="93"/>
  <c r="W19" i="93"/>
  <c r="H19" i="93"/>
  <c r="O19" i="93"/>
  <c r="J310" i="93"/>
  <c r="K303" i="93"/>
  <c r="L304" i="93"/>
  <c r="L288" i="93"/>
  <c r="M284" i="93"/>
  <c r="K346" i="93"/>
  <c r="K305" i="93" s="1"/>
  <c r="K310" i="93" s="1"/>
  <c r="L268" i="93"/>
  <c r="L220" i="93" s="1"/>
  <c r="L225" i="93" s="1"/>
  <c r="K154" i="93"/>
  <c r="K161" i="93" s="1"/>
  <c r="J158" i="93"/>
  <c r="J168" i="93" s="1"/>
  <c r="K159" i="93"/>
  <c r="E173" i="93"/>
  <c r="D155" i="93"/>
  <c r="D173" i="93" s="1"/>
  <c r="E101" i="93"/>
  <c r="J161" i="93"/>
  <c r="K106" i="93"/>
  <c r="K117" i="93" s="1"/>
  <c r="L107" i="93"/>
  <c r="F59" i="93"/>
  <c r="G56" i="93" s="1"/>
  <c r="E72" i="93"/>
  <c r="Q19" i="93"/>
  <c r="L19" i="93"/>
  <c r="M19" i="93"/>
  <c r="K19" i="93"/>
  <c r="Y19" i="93"/>
  <c r="N19" i="93"/>
  <c r="J295" i="93"/>
  <c r="J226" i="93"/>
  <c r="J231" i="93"/>
  <c r="F156" i="93"/>
  <c r="E156" i="93" s="1"/>
  <c r="D156" i="93" s="1"/>
  <c r="G153" i="93"/>
  <c r="L162" i="93"/>
  <c r="J104" i="93"/>
  <c r="K101" i="93" s="1"/>
  <c r="E106" i="93"/>
  <c r="E117" i="93" s="1"/>
  <c r="D107" i="93"/>
  <c r="D106" i="93" s="1"/>
  <c r="D117" i="93" s="1"/>
  <c r="I77" i="93"/>
  <c r="Z19" i="93"/>
  <c r="J19" i="93"/>
  <c r="M219" i="93"/>
  <c r="K223" i="93"/>
  <c r="K226" i="93" s="1"/>
  <c r="K221" i="93"/>
  <c r="L218" i="93" s="1"/>
  <c r="O203" i="93"/>
  <c r="M195" i="93"/>
  <c r="D161" i="93"/>
  <c r="D103" i="93"/>
  <c r="D121" i="93" s="1"/>
  <c r="E121" i="93"/>
  <c r="J77" i="93"/>
  <c r="G14" i="93"/>
  <c r="G23" i="93" s="1"/>
  <c r="H6" i="93"/>
  <c r="S19" i="93"/>
  <c r="V19" i="93"/>
  <c r="K287" i="93"/>
  <c r="K345" i="93"/>
  <c r="K289" i="93" s="1"/>
  <c r="K294" i="93" s="1"/>
  <c r="L267" i="93"/>
  <c r="K204" i="93"/>
  <c r="G158" i="93"/>
  <c r="G168" i="93" s="1"/>
  <c r="F159" i="93"/>
  <c r="J178" i="93"/>
  <c r="K103" i="93"/>
  <c r="K121" i="93" s="1"/>
  <c r="L102" i="93"/>
  <c r="M58" i="93"/>
  <c r="M72" i="93" s="1"/>
  <c r="N57" i="93"/>
  <c r="L77" i="93"/>
  <c r="J109" i="93"/>
  <c r="K110" i="93"/>
  <c r="K77" i="93"/>
  <c r="O186" i="93"/>
  <c r="P85" i="93"/>
  <c r="I19" i="93"/>
  <c r="L62" i="93"/>
  <c r="K61" i="93"/>
  <c r="K68" i="93" s="1"/>
  <c r="K69" i="93" s="1"/>
  <c r="F14" i="93"/>
  <c r="F23" i="93" s="1"/>
  <c r="R19" i="93"/>
  <c r="D58" i="93" l="1"/>
  <c r="F61" i="93"/>
  <c r="F68" i="93" s="1"/>
  <c r="J69" i="93" s="1"/>
  <c r="I118" i="93"/>
  <c r="I119" i="93" s="1"/>
  <c r="J315" i="93"/>
  <c r="J314" i="93"/>
  <c r="J313" i="93"/>
  <c r="K299" i="93"/>
  <c r="K315" i="93"/>
  <c r="J118" i="93"/>
  <c r="J119" i="93" s="1"/>
  <c r="K118" i="93"/>
  <c r="K119" i="93" s="1"/>
  <c r="W82" i="93"/>
  <c r="V82" i="93"/>
  <c r="S82" i="93"/>
  <c r="U81" i="93"/>
  <c r="U82" i="93" s="1"/>
  <c r="Y81" i="93"/>
  <c r="Z81" i="93"/>
  <c r="Z82" i="93" s="1"/>
  <c r="K104" i="93"/>
  <c r="L101" i="93" s="1"/>
  <c r="K156" i="93"/>
  <c r="G59" i="93"/>
  <c r="H56" i="93" s="1"/>
  <c r="N195" i="93"/>
  <c r="O195" i="93" s="1"/>
  <c r="P195" i="93" s="1"/>
  <c r="Q195" i="93" s="1"/>
  <c r="R195" i="93" s="1"/>
  <c r="S195" i="93" s="1"/>
  <c r="T195" i="93" s="1"/>
  <c r="U195" i="93" s="1"/>
  <c r="V195" i="93" s="1"/>
  <c r="W195" i="93" s="1"/>
  <c r="X195" i="93" s="1"/>
  <c r="Y195" i="93" s="1"/>
  <c r="Z195" i="93" s="1"/>
  <c r="P203" i="93"/>
  <c r="M304" i="93"/>
  <c r="N284" i="93"/>
  <c r="M288" i="93"/>
  <c r="P186" i="93"/>
  <c r="Q85" i="93"/>
  <c r="O57" i="93"/>
  <c r="N58" i="93"/>
  <c r="N72" i="93" s="1"/>
  <c r="M102" i="93"/>
  <c r="L103" i="93"/>
  <c r="L121" i="93" s="1"/>
  <c r="L345" i="93"/>
  <c r="L289" i="93" s="1"/>
  <c r="L294" i="93" s="1"/>
  <c r="M267" i="93"/>
  <c r="L204" i="93"/>
  <c r="L209" i="93" s="1"/>
  <c r="D62" i="93"/>
  <c r="D61" i="93" s="1"/>
  <c r="D68" i="93" s="1"/>
  <c r="E61" i="93"/>
  <c r="E68" i="93" s="1"/>
  <c r="I69" i="93" s="1"/>
  <c r="H118" i="93"/>
  <c r="H119" i="93" s="1"/>
  <c r="H113" i="93" s="1"/>
  <c r="I113" i="93" s="1"/>
  <c r="D72" i="93"/>
  <c r="D56" i="93"/>
  <c r="M77" i="93"/>
  <c r="K126" i="93"/>
  <c r="E159" i="93"/>
  <c r="F158" i="93"/>
  <c r="F168" i="93" s="1"/>
  <c r="J169" i="93" s="1"/>
  <c r="J170" i="93" s="1"/>
  <c r="I6" i="93"/>
  <c r="H14" i="93"/>
  <c r="H23" i="93" s="1"/>
  <c r="L159" i="93"/>
  <c r="K158" i="93"/>
  <c r="K168" i="93" s="1"/>
  <c r="K169" i="93" s="1"/>
  <c r="K170" i="93" s="1"/>
  <c r="L346" i="93"/>
  <c r="L305" i="93" s="1"/>
  <c r="L310" i="93" s="1"/>
  <c r="M268" i="93"/>
  <c r="M220" i="93" s="1"/>
  <c r="M225" i="93" s="1"/>
  <c r="M62" i="93"/>
  <c r="L61" i="93"/>
  <c r="L68" i="93" s="1"/>
  <c r="L69" i="93" s="1"/>
  <c r="L110" i="93"/>
  <c r="K109" i="93"/>
  <c r="K292" i="93"/>
  <c r="K295" i="93" s="1"/>
  <c r="K290" i="93"/>
  <c r="L287" i="93" s="1"/>
  <c r="L223" i="93"/>
  <c r="L226" i="93" s="1"/>
  <c r="L221" i="93"/>
  <c r="M218" i="93" s="1"/>
  <c r="F153" i="93"/>
  <c r="E153" i="93" s="1"/>
  <c r="D153" i="93" s="1"/>
  <c r="L106" i="93"/>
  <c r="L117" i="93" s="1"/>
  <c r="L118" i="93" s="1"/>
  <c r="M107" i="93"/>
  <c r="D101" i="93"/>
  <c r="K308" i="93"/>
  <c r="K311" i="93" s="1"/>
  <c r="K306" i="93"/>
  <c r="L303" i="93" s="1"/>
  <c r="K209" i="93"/>
  <c r="L202" i="93"/>
  <c r="N219" i="93"/>
  <c r="M162" i="93"/>
  <c r="L154" i="93"/>
  <c r="L161" i="93" s="1"/>
  <c r="K155" i="93"/>
  <c r="K173" i="93" s="1"/>
  <c r="J311" i="93"/>
  <c r="K313" i="93" l="1"/>
  <c r="K297" i="93"/>
  <c r="L315" i="93"/>
  <c r="L299" i="93"/>
  <c r="K314" i="93"/>
  <c r="K298" i="93"/>
  <c r="K231" i="93"/>
  <c r="Y82" i="93"/>
  <c r="H20" i="93"/>
  <c r="M223" i="93"/>
  <c r="M221" i="93"/>
  <c r="N218" i="93" s="1"/>
  <c r="H65" i="93"/>
  <c r="H59" i="93"/>
  <c r="I56" i="93" s="1"/>
  <c r="L290" i="93"/>
  <c r="M287" i="93" s="1"/>
  <c r="L292" i="93"/>
  <c r="L306" i="93"/>
  <c r="M303" i="93" s="1"/>
  <c r="L308" i="93"/>
  <c r="L311" i="93" s="1"/>
  <c r="N62" i="93"/>
  <c r="M61" i="93"/>
  <c r="M68" i="93" s="1"/>
  <c r="M69" i="93" s="1"/>
  <c r="M154" i="93"/>
  <c r="M161" i="93" s="1"/>
  <c r="L155" i="93"/>
  <c r="L173" i="93" s="1"/>
  <c r="N162" i="93"/>
  <c r="L205" i="93"/>
  <c r="M202" i="93" s="1"/>
  <c r="L207" i="93"/>
  <c r="D159" i="93"/>
  <c r="D158" i="93" s="1"/>
  <c r="D168" i="93" s="1"/>
  <c r="E158" i="93"/>
  <c r="E168" i="93" s="1"/>
  <c r="I169" i="93" s="1"/>
  <c r="I170" i="93" s="1"/>
  <c r="J113" i="93"/>
  <c r="I112" i="93"/>
  <c r="M345" i="93"/>
  <c r="M289" i="93" s="1"/>
  <c r="M294" i="93" s="1"/>
  <c r="N267" i="93"/>
  <c r="M204" i="93"/>
  <c r="M209" i="93" s="1"/>
  <c r="M103" i="93"/>
  <c r="M121" i="93" s="1"/>
  <c r="N102" i="93"/>
  <c r="Q186" i="93"/>
  <c r="R85" i="93"/>
  <c r="L153" i="93"/>
  <c r="J6" i="93"/>
  <c r="I14" i="93"/>
  <c r="I23" i="93" s="1"/>
  <c r="L104" i="93"/>
  <c r="M101" i="93" s="1"/>
  <c r="L119" i="93"/>
  <c r="K178" i="93"/>
  <c r="M159" i="93"/>
  <c r="L158" i="93"/>
  <c r="L168" i="93" s="1"/>
  <c r="L169" i="93" s="1"/>
  <c r="L126" i="93"/>
  <c r="N77" i="93"/>
  <c r="L231" i="93"/>
  <c r="K210" i="93"/>
  <c r="O219" i="93"/>
  <c r="N107" i="93"/>
  <c r="M106" i="93"/>
  <c r="M117" i="93" s="1"/>
  <c r="M118" i="93" s="1"/>
  <c r="M110" i="93"/>
  <c r="L109" i="93"/>
  <c r="M346" i="93"/>
  <c r="M305" i="93" s="1"/>
  <c r="M310" i="93" s="1"/>
  <c r="N268" i="93"/>
  <c r="L215" i="93"/>
  <c r="O58" i="93"/>
  <c r="O72" i="93" s="1"/>
  <c r="P57" i="93"/>
  <c r="N304" i="93"/>
  <c r="N288" i="93"/>
  <c r="O284" i="93"/>
  <c r="Q203" i="93"/>
  <c r="H69" i="93"/>
  <c r="H70" i="93" s="1"/>
  <c r="L314" i="93" l="1"/>
  <c r="M315" i="93"/>
  <c r="M299" i="93"/>
  <c r="L297" i="93"/>
  <c r="L298" i="93"/>
  <c r="L313" i="93"/>
  <c r="M226" i="93"/>
  <c r="M231" i="93"/>
  <c r="M247" i="93" s="1"/>
  <c r="K215" i="93"/>
  <c r="L210" i="93"/>
  <c r="L295" i="93"/>
  <c r="M290" i="93"/>
  <c r="N287" i="93" s="1"/>
  <c r="M292" i="93"/>
  <c r="M295" i="93" s="1"/>
  <c r="I59" i="93"/>
  <c r="J56" i="93" s="1"/>
  <c r="M205" i="93"/>
  <c r="N202" i="93" s="1"/>
  <c r="M207" i="93"/>
  <c r="M210" i="93" s="1"/>
  <c r="M306" i="93"/>
  <c r="N303" i="93" s="1"/>
  <c r="M308" i="93"/>
  <c r="M314" i="93" s="1"/>
  <c r="N221" i="93"/>
  <c r="N223" i="93"/>
  <c r="O304" i="93"/>
  <c r="O288" i="93"/>
  <c r="P284" i="93"/>
  <c r="L170" i="93"/>
  <c r="L156" i="93"/>
  <c r="M153" i="93" s="1"/>
  <c r="N103" i="93"/>
  <c r="N121" i="93" s="1"/>
  <c r="O102" i="93"/>
  <c r="N345" i="93"/>
  <c r="N289" i="93" s="1"/>
  <c r="N294" i="93" s="1"/>
  <c r="O267" i="93"/>
  <c r="N204" i="93"/>
  <c r="N209" i="93" s="1"/>
  <c r="H169" i="93"/>
  <c r="H170" i="93" s="1"/>
  <c r="H165" i="93" s="1"/>
  <c r="I165" i="93" s="1"/>
  <c r="O162" i="93"/>
  <c r="O77" i="93"/>
  <c r="O107" i="93"/>
  <c r="N106" i="93"/>
  <c r="N117" i="93" s="1"/>
  <c r="N118" i="93" s="1"/>
  <c r="M119" i="93"/>
  <c r="M104" i="93"/>
  <c r="N101" i="93" s="1"/>
  <c r="K6" i="93"/>
  <c r="J14" i="93"/>
  <c r="J23" i="93" s="1"/>
  <c r="M126" i="93"/>
  <c r="N110" i="93"/>
  <c r="M109" i="93"/>
  <c r="P219" i="93"/>
  <c r="I20" i="93"/>
  <c r="R186" i="93"/>
  <c r="S85" i="93"/>
  <c r="I125" i="93"/>
  <c r="I124" i="93"/>
  <c r="I122" i="93"/>
  <c r="L178" i="93"/>
  <c r="O62" i="93"/>
  <c r="N61" i="93"/>
  <c r="N68" i="93" s="1"/>
  <c r="N69" i="93" s="1"/>
  <c r="R203" i="93"/>
  <c r="P58" i="93"/>
  <c r="P72" i="93" s="1"/>
  <c r="Q57" i="93"/>
  <c r="N346" i="93"/>
  <c r="N305" i="93" s="1"/>
  <c r="N310" i="93" s="1"/>
  <c r="O268" i="93"/>
  <c r="N220" i="93"/>
  <c r="N225" i="93" s="1"/>
  <c r="N159" i="93"/>
  <c r="M158" i="93"/>
  <c r="M168" i="93" s="1"/>
  <c r="M169" i="93" s="1"/>
  <c r="K113" i="93"/>
  <c r="J112" i="93"/>
  <c r="N154" i="93"/>
  <c r="M155" i="93"/>
  <c r="M173" i="93" s="1"/>
  <c r="G65" i="93"/>
  <c r="I65" i="93"/>
  <c r="N315" i="93" l="1"/>
  <c r="N299" i="93"/>
  <c r="M297" i="93"/>
  <c r="M298" i="93"/>
  <c r="M313" i="93"/>
  <c r="I127" i="93"/>
  <c r="M215" i="93"/>
  <c r="J59" i="93"/>
  <c r="K56" i="93" s="1"/>
  <c r="N119" i="93"/>
  <c r="N104" i="93"/>
  <c r="O101" i="93" s="1"/>
  <c r="N205" i="93"/>
  <c r="O202" i="93" s="1"/>
  <c r="N207" i="93"/>
  <c r="K112" i="93"/>
  <c r="L113" i="93"/>
  <c r="N226" i="93"/>
  <c r="P77" i="93"/>
  <c r="N109" i="93"/>
  <c r="O110" i="93"/>
  <c r="J165" i="93"/>
  <c r="I164" i="93"/>
  <c r="O103" i="93"/>
  <c r="O121" i="93" s="1"/>
  <c r="P102" i="93"/>
  <c r="M170" i="93"/>
  <c r="M156" i="93"/>
  <c r="N153" i="93" s="1"/>
  <c r="N308" i="93"/>
  <c r="N306" i="93"/>
  <c r="O303" i="93" s="1"/>
  <c r="O346" i="93"/>
  <c r="O305" i="93" s="1"/>
  <c r="O310" i="93" s="1"/>
  <c r="P268" i="93"/>
  <c r="P62" i="93"/>
  <c r="O61" i="93"/>
  <c r="O68" i="93" s="1"/>
  <c r="O69" i="93" s="1"/>
  <c r="Q219" i="93"/>
  <c r="J20" i="93"/>
  <c r="N126" i="93"/>
  <c r="O218" i="93"/>
  <c r="M311" i="93"/>
  <c r="M178" i="93"/>
  <c r="J65" i="93"/>
  <c r="I64" i="93"/>
  <c r="O154" i="93"/>
  <c r="O161" i="93" s="1"/>
  <c r="N155" i="93"/>
  <c r="N173" i="93" s="1"/>
  <c r="S203" i="93"/>
  <c r="S186" i="93"/>
  <c r="T85" i="93"/>
  <c r="O220" i="93"/>
  <c r="O225" i="93" s="1"/>
  <c r="K14" i="93"/>
  <c r="K23" i="93" s="1"/>
  <c r="L6" i="93"/>
  <c r="N161" i="93"/>
  <c r="O345" i="93"/>
  <c r="O289" i="93" s="1"/>
  <c r="O294" i="93" s="1"/>
  <c r="P267" i="93"/>
  <c r="O204" i="93"/>
  <c r="O209" i="93" s="1"/>
  <c r="P304" i="93"/>
  <c r="P288" i="93"/>
  <c r="Q284" i="93"/>
  <c r="N292" i="93"/>
  <c r="N298" i="93" s="1"/>
  <c r="N290" i="93"/>
  <c r="O287" i="93" s="1"/>
  <c r="G64" i="93"/>
  <c r="G73" i="93" s="1"/>
  <c r="F65" i="93"/>
  <c r="J124" i="93"/>
  <c r="J122" i="93"/>
  <c r="J125" i="93"/>
  <c r="N158" i="93"/>
  <c r="N168" i="93" s="1"/>
  <c r="N169" i="93" s="1"/>
  <c r="O159" i="93"/>
  <c r="Q58" i="93"/>
  <c r="Q72" i="93" s="1"/>
  <c r="R57" i="93"/>
  <c r="P107" i="93"/>
  <c r="O106" i="93"/>
  <c r="O117" i="93" s="1"/>
  <c r="O118" i="93" s="1"/>
  <c r="P162" i="93"/>
  <c r="N297" i="93" l="1"/>
  <c r="N314" i="93"/>
  <c r="N328" i="93" s="1"/>
  <c r="D7" i="80" s="1"/>
  <c r="E29" i="80" s="1"/>
  <c r="O315" i="93"/>
  <c r="O299" i="93"/>
  <c r="N313" i="93"/>
  <c r="J127" i="93"/>
  <c r="N210" i="93"/>
  <c r="N231" i="93"/>
  <c r="N247" i="93" s="1"/>
  <c r="D6" i="80" s="1"/>
  <c r="N215" i="93"/>
  <c r="N263" i="93" s="1"/>
  <c r="D10" i="80" s="1"/>
  <c r="N170" i="93"/>
  <c r="N156" i="93"/>
  <c r="O153" i="93" s="1"/>
  <c r="O207" i="93"/>
  <c r="O210" i="93" s="1"/>
  <c r="O205" i="93"/>
  <c r="P202" i="93" s="1"/>
  <c r="O308" i="93"/>
  <c r="O314" i="93" s="1"/>
  <c r="O306" i="93"/>
  <c r="P303" i="93" s="1"/>
  <c r="S57" i="93"/>
  <c r="R58" i="93"/>
  <c r="R72" i="93" s="1"/>
  <c r="F64" i="93"/>
  <c r="F73" i="93" s="1"/>
  <c r="E65" i="93"/>
  <c r="O292" i="93"/>
  <c r="O298" i="93" s="1"/>
  <c r="O290" i="93"/>
  <c r="P287" i="93" s="1"/>
  <c r="M6" i="93"/>
  <c r="L14" i="93"/>
  <c r="L23" i="93" s="1"/>
  <c r="T186" i="93"/>
  <c r="U85" i="93"/>
  <c r="N178" i="93"/>
  <c r="K65" i="93"/>
  <c r="J64" i="93"/>
  <c r="R219" i="93"/>
  <c r="P346" i="93"/>
  <c r="P305" i="93" s="1"/>
  <c r="P310" i="93" s="1"/>
  <c r="Q268" i="93"/>
  <c r="Q220" i="93" s="1"/>
  <c r="Q225" i="93" s="1"/>
  <c r="N311" i="93"/>
  <c r="O104" i="93"/>
  <c r="P101" i="93" s="1"/>
  <c r="O119" i="93"/>
  <c r="Q77" i="93"/>
  <c r="Q304" i="93"/>
  <c r="Q288" i="93"/>
  <c r="R284" i="93"/>
  <c r="P345" i="93"/>
  <c r="P289" i="93" s="1"/>
  <c r="P294" i="93" s="1"/>
  <c r="Q267" i="93"/>
  <c r="P204" i="93"/>
  <c r="P209" i="93" s="1"/>
  <c r="N295" i="93"/>
  <c r="P220" i="93"/>
  <c r="P225" i="93" s="1"/>
  <c r="I174" i="93"/>
  <c r="I177" i="93"/>
  <c r="I179" i="93" s="1"/>
  <c r="I176" i="93"/>
  <c r="L112" i="93"/>
  <c r="M113" i="93"/>
  <c r="K59" i="93"/>
  <c r="L56" i="93" s="1"/>
  <c r="K20" i="93"/>
  <c r="O155" i="93"/>
  <c r="O173" i="93" s="1"/>
  <c r="P154" i="93"/>
  <c r="O223" i="93"/>
  <c r="O226" i="93" s="1"/>
  <c r="O221" i="93"/>
  <c r="P218" i="93" s="1"/>
  <c r="Q102" i="93"/>
  <c r="P103" i="93"/>
  <c r="P121" i="93" s="1"/>
  <c r="K165" i="93"/>
  <c r="J164" i="93"/>
  <c r="K122" i="93"/>
  <c r="K124" i="93"/>
  <c r="K125" i="93"/>
  <c r="Q162" i="93"/>
  <c r="P106" i="93"/>
  <c r="P117" i="93" s="1"/>
  <c r="P118" i="93" s="1"/>
  <c r="Q107" i="93"/>
  <c r="O158" i="93"/>
  <c r="O168" i="93" s="1"/>
  <c r="O169" i="93" s="1"/>
  <c r="P159" i="93"/>
  <c r="T203" i="93"/>
  <c r="I76" i="93"/>
  <c r="I73" i="93"/>
  <c r="I75" i="93"/>
  <c r="I70" i="93"/>
  <c r="Q62" i="93"/>
  <c r="P61" i="93"/>
  <c r="P68" i="93" s="1"/>
  <c r="P69" i="93" s="1"/>
  <c r="O126" i="93"/>
  <c r="O109" i="93"/>
  <c r="P110" i="93"/>
  <c r="N342" i="93" l="1"/>
  <c r="O313" i="93"/>
  <c r="O297" i="93"/>
  <c r="P299" i="93"/>
  <c r="P315" i="93"/>
  <c r="I78" i="93"/>
  <c r="O295" i="93"/>
  <c r="K127" i="93"/>
  <c r="O340" i="93"/>
  <c r="E11" i="80" s="1"/>
  <c r="P104" i="93"/>
  <c r="Q101" i="93" s="1"/>
  <c r="P119" i="93"/>
  <c r="L59" i="93"/>
  <c r="M56" i="93" s="1"/>
  <c r="P306" i="93"/>
  <c r="Q303" i="93" s="1"/>
  <c r="P308" i="93"/>
  <c r="P314" i="93" s="1"/>
  <c r="Q106" i="93"/>
  <c r="Q117" i="93" s="1"/>
  <c r="Q118" i="93" s="1"/>
  <c r="R107" i="93"/>
  <c r="J174" i="93"/>
  <c r="J176" i="93"/>
  <c r="J177" i="93"/>
  <c r="J179" i="93" s="1"/>
  <c r="Q103" i="93"/>
  <c r="Q121" i="93" s="1"/>
  <c r="R102" i="93"/>
  <c r="P155" i="93"/>
  <c r="P173" i="93" s="1"/>
  <c r="Q154" i="93"/>
  <c r="Q161" i="93" s="1"/>
  <c r="N113" i="93"/>
  <c r="M112" i="93"/>
  <c r="S219" i="93"/>
  <c r="L65" i="93"/>
  <c r="K64" i="93"/>
  <c r="P290" i="93"/>
  <c r="Q287" i="93" s="1"/>
  <c r="P292" i="93"/>
  <c r="P297" i="93" s="1"/>
  <c r="L165" i="93"/>
  <c r="K164" i="93"/>
  <c r="P223" i="93"/>
  <c r="P221" i="93"/>
  <c r="Q218" i="93" s="1"/>
  <c r="O178" i="93"/>
  <c r="L124" i="93"/>
  <c r="L125" i="93"/>
  <c r="L127" i="93" s="1"/>
  <c r="L122" i="93"/>
  <c r="Q345" i="93"/>
  <c r="Q289" i="93" s="1"/>
  <c r="Q294" i="93" s="1"/>
  <c r="R267" i="93"/>
  <c r="Q204" i="93"/>
  <c r="Q209" i="93" s="1"/>
  <c r="U186" i="93"/>
  <c r="V85" i="93"/>
  <c r="N6" i="93"/>
  <c r="M14" i="93"/>
  <c r="M23" i="93" s="1"/>
  <c r="R77" i="93"/>
  <c r="O328" i="93"/>
  <c r="E7" i="80" s="1"/>
  <c r="O156" i="93"/>
  <c r="P153" i="93" s="1"/>
  <c r="O170" i="93"/>
  <c r="R62" i="93"/>
  <c r="Q61" i="93"/>
  <c r="Q68" i="93" s="1"/>
  <c r="Q69" i="93" s="1"/>
  <c r="Q159" i="93"/>
  <c r="P158" i="93"/>
  <c r="P168" i="93" s="1"/>
  <c r="P169" i="93" s="1"/>
  <c r="P161" i="93"/>
  <c r="Q346" i="93"/>
  <c r="Q305" i="93" s="1"/>
  <c r="Q310" i="93" s="1"/>
  <c r="R268" i="93"/>
  <c r="R220" i="93" s="1"/>
  <c r="R225" i="93" s="1"/>
  <c r="L20" i="93"/>
  <c r="O215" i="93"/>
  <c r="O263" i="93" s="1"/>
  <c r="E10" i="80" s="1"/>
  <c r="E64" i="93"/>
  <c r="E73" i="93" s="1"/>
  <c r="D65" i="93"/>
  <c r="D64" i="93" s="1"/>
  <c r="D73" i="93" s="1"/>
  <c r="S58" i="93"/>
  <c r="S72" i="93" s="1"/>
  <c r="T57" i="93"/>
  <c r="O311" i="93"/>
  <c r="P207" i="93"/>
  <c r="P210" i="93" s="1"/>
  <c r="P205" i="93"/>
  <c r="Q202" i="93" s="1"/>
  <c r="Q110" i="93"/>
  <c r="P109" i="93"/>
  <c r="U203" i="93"/>
  <c r="R162" i="93"/>
  <c r="P126" i="93"/>
  <c r="R304" i="93"/>
  <c r="R288" i="93"/>
  <c r="S284" i="93"/>
  <c r="J75" i="93"/>
  <c r="J76" i="93"/>
  <c r="J78" i="93" s="1"/>
  <c r="J73" i="93"/>
  <c r="J70" i="93"/>
  <c r="P313" i="93" l="1"/>
  <c r="P298" i="93"/>
  <c r="P340" i="93" s="1"/>
  <c r="F11" i="80" s="1"/>
  <c r="Q315" i="93"/>
  <c r="Q299" i="93"/>
  <c r="P328" i="93"/>
  <c r="F7" i="80" s="1"/>
  <c r="P311" i="93"/>
  <c r="P231" i="93"/>
  <c r="P247" i="93" s="1"/>
  <c r="F6" i="80" s="1"/>
  <c r="O231" i="93"/>
  <c r="O247" i="93" s="1"/>
  <c r="E6" i="80" s="1"/>
  <c r="P226" i="93"/>
  <c r="M20" i="93"/>
  <c r="P295" i="93"/>
  <c r="M59" i="93"/>
  <c r="N56" i="93" s="1"/>
  <c r="Q223" i="93"/>
  <c r="Q221" i="93"/>
  <c r="R218" i="93" s="1"/>
  <c r="Q290" i="93"/>
  <c r="R287" i="93" s="1"/>
  <c r="Q292" i="93"/>
  <c r="Q295" i="93" s="1"/>
  <c r="Q205" i="93"/>
  <c r="R202" i="93" s="1"/>
  <c r="Q207" i="93"/>
  <c r="Q210" i="93" s="1"/>
  <c r="Q306" i="93"/>
  <c r="R303" i="93" s="1"/>
  <c r="Q308" i="93"/>
  <c r="Q313" i="93" s="1"/>
  <c r="S162" i="93"/>
  <c r="R345" i="93"/>
  <c r="R289" i="93" s="1"/>
  <c r="R294" i="93" s="1"/>
  <c r="S267" i="93"/>
  <c r="R204" i="93"/>
  <c r="R209" i="93" s="1"/>
  <c r="K174" i="93"/>
  <c r="K177" i="93"/>
  <c r="K179" i="93" s="1"/>
  <c r="K176" i="93"/>
  <c r="P215" i="93"/>
  <c r="P263" i="93" s="1"/>
  <c r="F10" i="80" s="1"/>
  <c r="Q155" i="93"/>
  <c r="Q173" i="93" s="1"/>
  <c r="R154" i="93"/>
  <c r="Q126" i="93"/>
  <c r="S304" i="93"/>
  <c r="S288" i="93"/>
  <c r="T284" i="93"/>
  <c r="R346" i="93"/>
  <c r="R305" i="93" s="1"/>
  <c r="R310" i="93" s="1"/>
  <c r="S268" i="93"/>
  <c r="S220" i="93" s="1"/>
  <c r="S225" i="93" s="1"/>
  <c r="R159" i="93"/>
  <c r="Q158" i="93"/>
  <c r="Q168" i="93" s="1"/>
  <c r="Q169" i="93" s="1"/>
  <c r="P156" i="93"/>
  <c r="Q153" i="93" s="1"/>
  <c r="P170" i="93"/>
  <c r="L164" i="93"/>
  <c r="M165" i="93"/>
  <c r="K73" i="93"/>
  <c r="K75" i="93"/>
  <c r="K76" i="93"/>
  <c r="K70" i="93"/>
  <c r="P178" i="93"/>
  <c r="S107" i="93"/>
  <c r="R106" i="93"/>
  <c r="R117" i="93" s="1"/>
  <c r="R118" i="93" s="1"/>
  <c r="R110" i="93"/>
  <c r="Q109" i="93"/>
  <c r="T58" i="93"/>
  <c r="T72" i="93" s="1"/>
  <c r="U57" i="93"/>
  <c r="O6" i="93"/>
  <c r="N14" i="93"/>
  <c r="N23" i="93" s="1"/>
  <c r="M65" i="93"/>
  <c r="L64" i="93"/>
  <c r="M122" i="93"/>
  <c r="M125" i="93"/>
  <c r="M124" i="93"/>
  <c r="Q119" i="93"/>
  <c r="Q104" i="93"/>
  <c r="R101" i="93" s="1"/>
  <c r="V203" i="93"/>
  <c r="S77" i="93"/>
  <c r="R61" i="93"/>
  <c r="R68" i="93" s="1"/>
  <c r="R69" i="93" s="1"/>
  <c r="S62" i="93"/>
  <c r="V186" i="93"/>
  <c r="W85" i="93"/>
  <c r="T219" i="93"/>
  <c r="N112" i="93"/>
  <c r="O113" i="93"/>
  <c r="R103" i="93"/>
  <c r="R121" i="93" s="1"/>
  <c r="S102" i="93"/>
  <c r="P342" i="93" l="1"/>
  <c r="O342" i="93"/>
  <c r="Q314" i="93"/>
  <c r="Q297" i="93"/>
  <c r="Q298" i="93"/>
  <c r="Q340" i="93" s="1"/>
  <c r="G11" i="80" s="1"/>
  <c r="R315" i="93"/>
  <c r="R299" i="93"/>
  <c r="Q215" i="93"/>
  <c r="Q263" i="93" s="1"/>
  <c r="G10" i="80" s="1"/>
  <c r="M127" i="93"/>
  <c r="K78" i="93"/>
  <c r="Q328" i="93"/>
  <c r="G7" i="80" s="1"/>
  <c r="Q311" i="93"/>
  <c r="R104" i="93"/>
  <c r="S101" i="93" s="1"/>
  <c r="R119" i="93"/>
  <c r="R290" i="93"/>
  <c r="S287" i="93" s="1"/>
  <c r="R292" i="93"/>
  <c r="R295" i="93" s="1"/>
  <c r="R221" i="93"/>
  <c r="S218" i="93" s="1"/>
  <c r="R223" i="93"/>
  <c r="T77" i="93"/>
  <c r="S110" i="93"/>
  <c r="R109" i="93"/>
  <c r="N165" i="93"/>
  <c r="M164" i="93"/>
  <c r="Q170" i="93"/>
  <c r="Q156" i="93"/>
  <c r="R153" i="93" s="1"/>
  <c r="S346" i="93"/>
  <c r="S305" i="93" s="1"/>
  <c r="S310" i="93" s="1"/>
  <c r="T268" i="93"/>
  <c r="T220" i="93" s="1"/>
  <c r="T225" i="93" s="1"/>
  <c r="T162" i="93"/>
  <c r="R205" i="93"/>
  <c r="S202" i="93" s="1"/>
  <c r="R207" i="93"/>
  <c r="R210" i="93" s="1"/>
  <c r="Q226" i="93"/>
  <c r="S103" i="93"/>
  <c r="S121" i="93" s="1"/>
  <c r="T102" i="93"/>
  <c r="N125" i="93"/>
  <c r="N127" i="93" s="1"/>
  <c r="N124" i="93"/>
  <c r="N122" i="93"/>
  <c r="W186" i="93"/>
  <c r="X85" i="93"/>
  <c r="W203" i="93"/>
  <c r="O14" i="93"/>
  <c r="O23" i="93" s="1"/>
  <c r="P6" i="93"/>
  <c r="L177" i="93"/>
  <c r="L179" i="93" s="1"/>
  <c r="L176" i="93"/>
  <c r="L174" i="93"/>
  <c r="S154" i="93"/>
  <c r="R155" i="93"/>
  <c r="R173" i="93" s="1"/>
  <c r="S345" i="93"/>
  <c r="S289" i="93" s="1"/>
  <c r="S294" i="93" s="1"/>
  <c r="T267" i="93"/>
  <c r="S204" i="93"/>
  <c r="S209" i="93" s="1"/>
  <c r="R308" i="93"/>
  <c r="R311" i="93" s="1"/>
  <c r="R306" i="93"/>
  <c r="S303" i="93" s="1"/>
  <c r="N59" i="93"/>
  <c r="O56" i="93" s="1"/>
  <c r="U219" i="93"/>
  <c r="L76" i="93"/>
  <c r="L78" i="93" s="1"/>
  <c r="L73" i="93"/>
  <c r="L75" i="93"/>
  <c r="L70" i="93"/>
  <c r="N20" i="93"/>
  <c r="T107" i="93"/>
  <c r="S106" i="93"/>
  <c r="S117" i="93" s="1"/>
  <c r="S118" i="93" s="1"/>
  <c r="T304" i="93"/>
  <c r="T288" i="93"/>
  <c r="U284" i="93"/>
  <c r="P113" i="93"/>
  <c r="O112" i="93"/>
  <c r="R126" i="93"/>
  <c r="T62" i="93"/>
  <c r="S61" i="93"/>
  <c r="S68" i="93" s="1"/>
  <c r="S69" i="93" s="1"/>
  <c r="N65" i="93"/>
  <c r="M64" i="93"/>
  <c r="V57" i="93"/>
  <c r="U58" i="93"/>
  <c r="U72" i="93" s="1"/>
  <c r="S159" i="93"/>
  <c r="R158" i="93"/>
  <c r="R168" i="93" s="1"/>
  <c r="R169" i="93" s="1"/>
  <c r="Q178" i="93"/>
  <c r="R161" i="93"/>
  <c r="R314" i="93" l="1"/>
  <c r="R328" i="93" s="1"/>
  <c r="H7" i="80" s="1"/>
  <c r="R297" i="93"/>
  <c r="R298" i="93"/>
  <c r="R340" i="93" s="1"/>
  <c r="H11" i="80" s="1"/>
  <c r="R313" i="93"/>
  <c r="S299" i="93"/>
  <c r="S315" i="93"/>
  <c r="Q231" i="93"/>
  <c r="Q247" i="93" s="1"/>
  <c r="G6" i="80" s="1"/>
  <c r="O20" i="93"/>
  <c r="O59" i="93"/>
  <c r="P56" i="93" s="1"/>
  <c r="S119" i="93"/>
  <c r="S104" i="93"/>
  <c r="T101" i="93" s="1"/>
  <c r="U77" i="93"/>
  <c r="O65" i="93"/>
  <c r="N64" i="93"/>
  <c r="P112" i="93"/>
  <c r="Q113" i="93"/>
  <c r="R178" i="93"/>
  <c r="X186" i="93"/>
  <c r="Y85" i="93"/>
  <c r="S207" i="93"/>
  <c r="S205" i="93"/>
  <c r="T202" i="93" s="1"/>
  <c r="U162" i="93"/>
  <c r="R170" i="93"/>
  <c r="R156" i="93"/>
  <c r="S153" i="93" s="1"/>
  <c r="O165" i="93"/>
  <c r="N164" i="93"/>
  <c r="S221" i="93"/>
  <c r="T218" i="93" s="1"/>
  <c r="S223" i="93"/>
  <c r="S292" i="93"/>
  <c r="S298" i="93" s="1"/>
  <c r="S300" i="93" s="1"/>
  <c r="S340" i="93" s="1"/>
  <c r="I11" i="80" s="1"/>
  <c r="S290" i="93"/>
  <c r="T287" i="93" s="1"/>
  <c r="V219" i="93"/>
  <c r="S155" i="93"/>
  <c r="S173" i="93" s="1"/>
  <c r="T154" i="93"/>
  <c r="U102" i="93"/>
  <c r="T103" i="93"/>
  <c r="T121" i="93" s="1"/>
  <c r="W57" i="93"/>
  <c r="V58" i="93"/>
  <c r="V72" i="93" s="1"/>
  <c r="U62" i="93"/>
  <c r="T61" i="93"/>
  <c r="T68" i="93" s="1"/>
  <c r="T69" i="93" s="1"/>
  <c r="U304" i="93"/>
  <c r="U288" i="93"/>
  <c r="V284" i="93"/>
  <c r="U107" i="93"/>
  <c r="T106" i="93"/>
  <c r="T117" i="93" s="1"/>
  <c r="T118" i="93" s="1"/>
  <c r="S308" i="93"/>
  <c r="S313" i="93" s="1"/>
  <c r="S306" i="93"/>
  <c r="T303" i="93" s="1"/>
  <c r="T345" i="93"/>
  <c r="T289" i="93" s="1"/>
  <c r="T294" i="93" s="1"/>
  <c r="U267" i="93"/>
  <c r="T204" i="93"/>
  <c r="T209" i="93" s="1"/>
  <c r="Q6" i="93"/>
  <c r="P14" i="93"/>
  <c r="P23" i="93" s="1"/>
  <c r="X203" i="93"/>
  <c r="S126" i="93"/>
  <c r="R215" i="93"/>
  <c r="R263" i="93" s="1"/>
  <c r="H10" i="80" s="1"/>
  <c r="T346" i="93"/>
  <c r="T305" i="93" s="1"/>
  <c r="T310" i="93" s="1"/>
  <c r="U268" i="93"/>
  <c r="U220" i="93" s="1"/>
  <c r="U225" i="93" s="1"/>
  <c r="S109" i="93"/>
  <c r="T110" i="93"/>
  <c r="S158" i="93"/>
  <c r="S168" i="93" s="1"/>
  <c r="S169" i="93" s="1"/>
  <c r="T159" i="93"/>
  <c r="M73" i="93"/>
  <c r="M76" i="93"/>
  <c r="M75" i="93"/>
  <c r="M70" i="93"/>
  <c r="O122" i="93"/>
  <c r="O124" i="93"/>
  <c r="O125" i="93"/>
  <c r="O127" i="93" s="1"/>
  <c r="S161" i="93"/>
  <c r="M176" i="93"/>
  <c r="M174" i="93"/>
  <c r="M177" i="93"/>
  <c r="M179" i="93" s="1"/>
  <c r="R226" i="93"/>
  <c r="Q342" i="93" l="1"/>
  <c r="S297" i="93"/>
  <c r="T315" i="93"/>
  <c r="S314" i="93"/>
  <c r="S328" i="93" s="1"/>
  <c r="I7" i="80" s="1"/>
  <c r="T299" i="93"/>
  <c r="S295" i="93"/>
  <c r="M78" i="93"/>
  <c r="R231" i="93"/>
  <c r="R247" i="93" s="1"/>
  <c r="H6" i="80" s="1"/>
  <c r="S210" i="93"/>
  <c r="S215" i="93"/>
  <c r="S263" i="93" s="1"/>
  <c r="I10" i="80" s="1"/>
  <c r="T207" i="93"/>
  <c r="T210" i="93" s="1"/>
  <c r="T205" i="93"/>
  <c r="U202" i="93" s="1"/>
  <c r="T290" i="93"/>
  <c r="U287" i="93" s="1"/>
  <c r="T292" i="93"/>
  <c r="T297" i="93" s="1"/>
  <c r="T306" i="93"/>
  <c r="U303" i="93" s="1"/>
  <c r="T308" i="93"/>
  <c r="T313" i="93" s="1"/>
  <c r="U345" i="93"/>
  <c r="U289" i="93" s="1"/>
  <c r="U294" i="93" s="1"/>
  <c r="V267" i="93"/>
  <c r="U204" i="93"/>
  <c r="U209" i="93" s="1"/>
  <c r="S311" i="93"/>
  <c r="W219" i="93"/>
  <c r="N177" i="93"/>
  <c r="N179" i="93" s="1"/>
  <c r="N176" i="93"/>
  <c r="N174" i="93"/>
  <c r="N76" i="93"/>
  <c r="N78" i="93" s="1"/>
  <c r="N73" i="93"/>
  <c r="N75" i="93"/>
  <c r="N70" i="93"/>
  <c r="P20" i="93"/>
  <c r="V77" i="93"/>
  <c r="T126" i="93"/>
  <c r="T155" i="93"/>
  <c r="T173" i="93" s="1"/>
  <c r="U154" i="93"/>
  <c r="T223" i="93"/>
  <c r="T221" i="93"/>
  <c r="U218" i="93" s="1"/>
  <c r="O164" i="93"/>
  <c r="P165" i="93"/>
  <c r="V162" i="93"/>
  <c r="P65" i="93"/>
  <c r="O64" i="93"/>
  <c r="P59" i="93"/>
  <c r="Q56" i="93" s="1"/>
  <c r="T109" i="93"/>
  <c r="U110" i="93"/>
  <c r="Y203" i="93"/>
  <c r="R6" i="93"/>
  <c r="Q14" i="93"/>
  <c r="Q23" i="93" s="1"/>
  <c r="U106" i="93"/>
  <c r="U117" i="93" s="1"/>
  <c r="U118" i="93" s="1"/>
  <c r="V107" i="93"/>
  <c r="W58" i="93"/>
  <c r="W72" i="93" s="1"/>
  <c r="X57" i="93"/>
  <c r="S178" i="93"/>
  <c r="S226" i="93"/>
  <c r="S170" i="93"/>
  <c r="S156" i="93"/>
  <c r="T153" i="93" s="1"/>
  <c r="T161" i="93"/>
  <c r="Y186" i="93"/>
  <c r="Z85" i="93"/>
  <c r="R113" i="93"/>
  <c r="Q112" i="93"/>
  <c r="T104" i="93"/>
  <c r="U101" i="93" s="1"/>
  <c r="T119" i="93"/>
  <c r="U159" i="93"/>
  <c r="T158" i="93"/>
  <c r="T168" i="93" s="1"/>
  <c r="T169" i="93" s="1"/>
  <c r="U346" i="93"/>
  <c r="U305" i="93" s="1"/>
  <c r="U310" i="93" s="1"/>
  <c r="V268" i="93"/>
  <c r="V220" i="93" s="1"/>
  <c r="V225" i="93" s="1"/>
  <c r="V304" i="93"/>
  <c r="V288" i="93"/>
  <c r="W284" i="93"/>
  <c r="V62" i="93"/>
  <c r="U61" i="93"/>
  <c r="U68" i="93" s="1"/>
  <c r="U69" i="93" s="1"/>
  <c r="U103" i="93"/>
  <c r="U121" i="93" s="1"/>
  <c r="V102" i="93"/>
  <c r="P124" i="93"/>
  <c r="P122" i="93"/>
  <c r="P125" i="93"/>
  <c r="R342" i="93" l="1"/>
  <c r="T298" i="93"/>
  <c r="T300" i="93" s="1"/>
  <c r="T340" i="93" s="1"/>
  <c r="J11" i="80" s="1"/>
  <c r="T314" i="93"/>
  <c r="T328" i="93" s="1"/>
  <c r="J7" i="80" s="1"/>
  <c r="U299" i="93"/>
  <c r="U315" i="93"/>
  <c r="T215" i="93"/>
  <c r="T263" i="93" s="1"/>
  <c r="J10" i="80" s="1"/>
  <c r="P127" i="93"/>
  <c r="S231" i="93"/>
  <c r="T295" i="93"/>
  <c r="Q20" i="93"/>
  <c r="T170" i="93"/>
  <c r="T156" i="93"/>
  <c r="U153" i="93" s="1"/>
  <c r="Q59" i="93"/>
  <c r="R56" i="93" s="1"/>
  <c r="U306" i="93"/>
  <c r="V303" i="93" s="1"/>
  <c r="U308" i="93"/>
  <c r="U311" i="93" s="1"/>
  <c r="U207" i="93"/>
  <c r="U205" i="93"/>
  <c r="V202" i="93" s="1"/>
  <c r="U290" i="93"/>
  <c r="V287" i="93" s="1"/>
  <c r="U292" i="93"/>
  <c r="U295" i="93" s="1"/>
  <c r="V103" i="93"/>
  <c r="V121" i="93" s="1"/>
  <c r="W102" i="93"/>
  <c r="U126" i="93"/>
  <c r="W107" i="93"/>
  <c r="V106" i="93"/>
  <c r="V117" i="93" s="1"/>
  <c r="V118" i="93" s="1"/>
  <c r="S6" i="93"/>
  <c r="R14" i="93"/>
  <c r="R23" i="93" s="1"/>
  <c r="O73" i="93"/>
  <c r="O75" i="93"/>
  <c r="O76" i="93"/>
  <c r="O70" i="93"/>
  <c r="Q165" i="93"/>
  <c r="P164" i="93"/>
  <c r="T226" i="93"/>
  <c r="V345" i="93"/>
  <c r="V289" i="93" s="1"/>
  <c r="V294" i="93" s="1"/>
  <c r="W267" i="93"/>
  <c r="V204" i="93"/>
  <c r="V209" i="93" s="1"/>
  <c r="U158" i="93"/>
  <c r="U168" i="93" s="1"/>
  <c r="U169" i="93" s="1"/>
  <c r="V159" i="93"/>
  <c r="Q125" i="93"/>
  <c r="Q124" i="93"/>
  <c r="Q122" i="93"/>
  <c r="Q65" i="93"/>
  <c r="P64" i="93"/>
  <c r="O176" i="93"/>
  <c r="O177" i="93"/>
  <c r="O179" i="93" s="1"/>
  <c r="O191" i="93" s="1"/>
  <c r="O174" i="93"/>
  <c r="U155" i="93"/>
  <c r="U173" i="93" s="1"/>
  <c r="V154" i="93"/>
  <c r="V161" i="93" s="1"/>
  <c r="T311" i="93"/>
  <c r="W304" i="93"/>
  <c r="W288" i="93"/>
  <c r="X284" i="93"/>
  <c r="W62" i="93"/>
  <c r="V61" i="93"/>
  <c r="V68" i="93" s="1"/>
  <c r="V69" i="93" s="1"/>
  <c r="V346" i="93"/>
  <c r="V305" i="93" s="1"/>
  <c r="V310" i="93" s="1"/>
  <c r="W268" i="93"/>
  <c r="W220" i="93" s="1"/>
  <c r="W225" i="93" s="1"/>
  <c r="R112" i="93"/>
  <c r="S113" i="93"/>
  <c r="X58" i="93"/>
  <c r="X72" i="93" s="1"/>
  <c r="Y57" i="93"/>
  <c r="Z203" i="93"/>
  <c r="U161" i="93"/>
  <c r="T178" i="93"/>
  <c r="U119" i="93"/>
  <c r="U104" i="93"/>
  <c r="V101" i="93" s="1"/>
  <c r="Z186" i="93"/>
  <c r="W77" i="93"/>
  <c r="V110" i="93"/>
  <c r="U109" i="93"/>
  <c r="W162" i="93"/>
  <c r="U223" i="93"/>
  <c r="U221" i="93"/>
  <c r="V218" i="93" s="1"/>
  <c r="X219" i="93"/>
  <c r="U297" i="93" l="1"/>
  <c r="U298" i="93"/>
  <c r="U313" i="93"/>
  <c r="V299" i="93"/>
  <c r="V315" i="93"/>
  <c r="U314" i="93"/>
  <c r="U328" i="93" s="1"/>
  <c r="K7" i="80" s="1"/>
  <c r="S247" i="93"/>
  <c r="I6" i="80" s="1"/>
  <c r="E19" i="80"/>
  <c r="T231" i="93"/>
  <c r="U215" i="93"/>
  <c r="U263" i="93" s="1"/>
  <c r="K10" i="80" s="1"/>
  <c r="Q127" i="93"/>
  <c r="O78" i="93"/>
  <c r="U210" i="93"/>
  <c r="V308" i="93"/>
  <c r="V314" i="93" s="1"/>
  <c r="V306" i="93"/>
  <c r="W303" i="93" s="1"/>
  <c r="R59" i="93"/>
  <c r="S56" i="93" s="1"/>
  <c r="V221" i="93"/>
  <c r="W218" i="93" s="1"/>
  <c r="V223" i="93"/>
  <c r="V104" i="93"/>
  <c r="W101" i="93" s="1"/>
  <c r="V119" i="93"/>
  <c r="U170" i="93"/>
  <c r="U156" i="93"/>
  <c r="V153" i="93" s="1"/>
  <c r="X162" i="93"/>
  <c r="V205" i="93"/>
  <c r="W202" i="93" s="1"/>
  <c r="V207" i="93"/>
  <c r="X62" i="93"/>
  <c r="W61" i="93"/>
  <c r="W68" i="93" s="1"/>
  <c r="W69" i="93" s="1"/>
  <c r="R65" i="93"/>
  <c r="Q64" i="93"/>
  <c r="X77" i="93"/>
  <c r="W346" i="93"/>
  <c r="W305" i="93" s="1"/>
  <c r="W310" i="93" s="1"/>
  <c r="X268" i="93"/>
  <c r="X220" i="93" s="1"/>
  <c r="X225" i="93" s="1"/>
  <c r="X304" i="93"/>
  <c r="Y284" i="93"/>
  <c r="X288" i="93"/>
  <c r="W159" i="93"/>
  <c r="V158" i="93"/>
  <c r="V168" i="93" s="1"/>
  <c r="V169" i="93" s="1"/>
  <c r="W345" i="93"/>
  <c r="W289" i="93" s="1"/>
  <c r="W294" i="93" s="1"/>
  <c r="X267" i="93"/>
  <c r="W204" i="93"/>
  <c r="W209" i="93" s="1"/>
  <c r="S14" i="93"/>
  <c r="S23" i="93" s="1"/>
  <c r="T6" i="93"/>
  <c r="Z57" i="93"/>
  <c r="Y58" i="93"/>
  <c r="Y72" i="93" s="1"/>
  <c r="Y219" i="93"/>
  <c r="U226" i="93"/>
  <c r="U231" i="93"/>
  <c r="W110" i="93"/>
  <c r="V109" i="93"/>
  <c r="W154" i="93"/>
  <c r="V155" i="93"/>
  <c r="V173" i="93" s="1"/>
  <c r="P177" i="93"/>
  <c r="P179" i="93" s="1"/>
  <c r="P191" i="93" s="1"/>
  <c r="P176" i="93"/>
  <c r="P174" i="93"/>
  <c r="R20" i="93"/>
  <c r="W103" i="93"/>
  <c r="W121" i="93" s="1"/>
  <c r="X102" i="93"/>
  <c r="V292" i="93"/>
  <c r="V295" i="93" s="1"/>
  <c r="V290" i="93"/>
  <c r="W287" i="93" s="1"/>
  <c r="R125" i="93"/>
  <c r="R124" i="93"/>
  <c r="R122" i="93"/>
  <c r="W106" i="93"/>
  <c r="W117" i="93" s="1"/>
  <c r="W118" i="93" s="1"/>
  <c r="X107" i="93"/>
  <c r="S112" i="93"/>
  <c r="T113" i="93"/>
  <c r="U178" i="93"/>
  <c r="P75" i="93"/>
  <c r="P76" i="93"/>
  <c r="P73" i="93"/>
  <c r="P70" i="93"/>
  <c r="R165" i="93"/>
  <c r="Q164" i="93"/>
  <c r="V126" i="93"/>
  <c r="V297" i="93" l="1"/>
  <c r="V313" i="93"/>
  <c r="W315" i="93"/>
  <c r="W299" i="93"/>
  <c r="V298" i="93"/>
  <c r="V300" i="93" s="1"/>
  <c r="V340" i="93" s="1"/>
  <c r="L11" i="80" s="1"/>
  <c r="V328" i="93"/>
  <c r="L7" i="80" s="1"/>
  <c r="T247" i="93"/>
  <c r="J6" i="80" s="1"/>
  <c r="F19" i="80"/>
  <c r="V311" i="93"/>
  <c r="V210" i="93"/>
  <c r="U300" i="93"/>
  <c r="U340" i="93" s="1"/>
  <c r="K11" i="80" s="1"/>
  <c r="V215" i="93"/>
  <c r="V263" i="93" s="1"/>
  <c r="L10" i="80" s="1"/>
  <c r="R127" i="93"/>
  <c r="P78" i="93"/>
  <c r="P90" i="93" s="1"/>
  <c r="S20" i="93"/>
  <c r="W207" i="93"/>
  <c r="W205" i="93"/>
  <c r="X202" i="93" s="1"/>
  <c r="V170" i="93"/>
  <c r="V156" i="93"/>
  <c r="W153" i="93" s="1"/>
  <c r="W308" i="93"/>
  <c r="W311" i="93" s="1"/>
  <c r="W306" i="93"/>
  <c r="X303" i="93" s="1"/>
  <c r="W223" i="93"/>
  <c r="W221" i="93"/>
  <c r="X218" i="93" s="1"/>
  <c r="Y77" i="93"/>
  <c r="X345" i="93"/>
  <c r="X289" i="93" s="1"/>
  <c r="X294" i="93" s="1"/>
  <c r="Y267" i="93"/>
  <c r="X204" i="93"/>
  <c r="X209" i="93" s="1"/>
  <c r="Y62" i="93"/>
  <c r="X61" i="93"/>
  <c r="X68" i="93" s="1"/>
  <c r="X69" i="93" s="1"/>
  <c r="S59" i="93"/>
  <c r="T56" i="93" s="1"/>
  <c r="S165" i="93"/>
  <c r="R164" i="93"/>
  <c r="Y107" i="93"/>
  <c r="X106" i="93"/>
  <c r="X117" i="93" s="1"/>
  <c r="X118" i="93" s="1"/>
  <c r="W126" i="93"/>
  <c r="X154" i="93"/>
  <c r="X161" i="93" s="1"/>
  <c r="W155" i="93"/>
  <c r="W173" i="93" s="1"/>
  <c r="X110" i="93"/>
  <c r="W109" i="93"/>
  <c r="Z219" i="93"/>
  <c r="Z58" i="93"/>
  <c r="Z72" i="93" s="1"/>
  <c r="S65" i="93"/>
  <c r="R64" i="93"/>
  <c r="Y162" i="93"/>
  <c r="V226" i="93"/>
  <c r="V231" i="93"/>
  <c r="W292" i="93"/>
  <c r="W298" i="93" s="1"/>
  <c r="W290" i="93"/>
  <c r="X287" i="93" s="1"/>
  <c r="X159" i="93"/>
  <c r="W158" i="93"/>
  <c r="W168" i="93" s="1"/>
  <c r="W169" i="93" s="1"/>
  <c r="X346" i="93"/>
  <c r="X305" i="93" s="1"/>
  <c r="X310" i="93" s="1"/>
  <c r="Y268" i="93"/>
  <c r="Y220" i="93" s="1"/>
  <c r="Y225" i="93" s="1"/>
  <c r="U113" i="93"/>
  <c r="T112" i="93"/>
  <c r="V178" i="93"/>
  <c r="U6" i="93"/>
  <c r="T14" i="93"/>
  <c r="T23" i="93" s="1"/>
  <c r="W104" i="93"/>
  <c r="X101" i="93" s="1"/>
  <c r="W119" i="93"/>
  <c r="Q176" i="93"/>
  <c r="Q174" i="93"/>
  <c r="Q177" i="93"/>
  <c r="Q179" i="93" s="1"/>
  <c r="Q191" i="93" s="1"/>
  <c r="S124" i="93"/>
  <c r="S125" i="93"/>
  <c r="S127" i="93" s="1"/>
  <c r="S122" i="93"/>
  <c r="Y102" i="93"/>
  <c r="X103" i="93"/>
  <c r="X121" i="93" s="1"/>
  <c r="Y304" i="93"/>
  <c r="Z284" i="93"/>
  <c r="Y288" i="93"/>
  <c r="Q73" i="93"/>
  <c r="Q75" i="93"/>
  <c r="Q76" i="93"/>
  <c r="Q78" i="93" s="1"/>
  <c r="Q70" i="93"/>
  <c r="W161" i="93"/>
  <c r="W313" i="93" l="1"/>
  <c r="X299" i="93"/>
  <c r="W297" i="93"/>
  <c r="X315" i="93"/>
  <c r="W314" i="93"/>
  <c r="G19" i="80"/>
  <c r="W210" i="93"/>
  <c r="F23" i="80"/>
  <c r="W215" i="93"/>
  <c r="W263" i="93" s="1"/>
  <c r="M10" i="80" s="1"/>
  <c r="W300" i="93"/>
  <c r="W340" i="93" s="1"/>
  <c r="M11" i="80" s="1"/>
  <c r="X104" i="93"/>
  <c r="Y101" i="93" s="1"/>
  <c r="X119" i="93"/>
  <c r="X223" i="93"/>
  <c r="X221" i="93"/>
  <c r="Y218" i="93" s="1"/>
  <c r="X205" i="93"/>
  <c r="Y202" i="93" s="1"/>
  <c r="X207" i="93"/>
  <c r="X210" i="93" s="1"/>
  <c r="X290" i="93"/>
  <c r="Y287" i="93" s="1"/>
  <c r="X292" i="93"/>
  <c r="X295" i="93" s="1"/>
  <c r="X306" i="93"/>
  <c r="Y303" i="93" s="1"/>
  <c r="X308" i="93"/>
  <c r="X314" i="93" s="1"/>
  <c r="Y103" i="93"/>
  <c r="Y121" i="93" s="1"/>
  <c r="Z102" i="93"/>
  <c r="Y159" i="93"/>
  <c r="X158" i="93"/>
  <c r="X168" i="93" s="1"/>
  <c r="X169" i="93" s="1"/>
  <c r="R177" i="93"/>
  <c r="R179" i="93" s="1"/>
  <c r="R191" i="93" s="1"/>
  <c r="R174" i="93"/>
  <c r="R176" i="93"/>
  <c r="W170" i="93"/>
  <c r="W156" i="93"/>
  <c r="X153" i="93" s="1"/>
  <c r="X126" i="93"/>
  <c r="T124" i="93"/>
  <c r="T125" i="93"/>
  <c r="T127" i="93" s="1"/>
  <c r="T122" i="93"/>
  <c r="W295" i="93"/>
  <c r="R76" i="93"/>
  <c r="R73" i="93"/>
  <c r="R75" i="93"/>
  <c r="R70" i="93"/>
  <c r="X109" i="93"/>
  <c r="Y110" i="93"/>
  <c r="T59" i="93"/>
  <c r="U56" i="93" s="1"/>
  <c r="Z62" i="93"/>
  <c r="Z61" i="93" s="1"/>
  <c r="Z68" i="93" s="1"/>
  <c r="Y61" i="93"/>
  <c r="Y68" i="93" s="1"/>
  <c r="Y69" i="93" s="1"/>
  <c r="W328" i="93"/>
  <c r="M7" i="80" s="1"/>
  <c r="V6" i="93"/>
  <c r="U14" i="93"/>
  <c r="U23" i="93" s="1"/>
  <c r="Y345" i="93"/>
  <c r="Y289" i="93" s="1"/>
  <c r="Y294" i="93" s="1"/>
  <c r="Z267" i="93"/>
  <c r="Y204" i="93"/>
  <c r="Y209" i="93" s="1"/>
  <c r="V113" i="93"/>
  <c r="U112" i="93"/>
  <c r="T65" i="93"/>
  <c r="S64" i="93"/>
  <c r="W178" i="93"/>
  <c r="Z107" i="93"/>
  <c r="Y106" i="93"/>
  <c r="Y117" i="93" s="1"/>
  <c r="Y118" i="93" s="1"/>
  <c r="Z304" i="93"/>
  <c r="Z288" i="93"/>
  <c r="Y154" i="93"/>
  <c r="X155" i="93"/>
  <c r="X173" i="93" s="1"/>
  <c r="W226" i="93"/>
  <c r="T20" i="93"/>
  <c r="Y346" i="93"/>
  <c r="Y305" i="93" s="1"/>
  <c r="Y310" i="93" s="1"/>
  <c r="Z268" i="93"/>
  <c r="Z346" i="93" s="1"/>
  <c r="Z162" i="93"/>
  <c r="Z77" i="93"/>
  <c r="T165" i="93"/>
  <c r="S164" i="93"/>
  <c r="X298" i="93" l="1"/>
  <c r="X313" i="93"/>
  <c r="X297" i="93"/>
  <c r="Y315" i="93"/>
  <c r="Y299" i="93"/>
  <c r="H19" i="80"/>
  <c r="X215" i="93"/>
  <c r="X263" i="93" s="1"/>
  <c r="N10" i="80" s="1"/>
  <c r="X311" i="93"/>
  <c r="R78" i="93"/>
  <c r="W231" i="93"/>
  <c r="Z220" i="93"/>
  <c r="Z225" i="93" s="1"/>
  <c r="Z69" i="93"/>
  <c r="U20" i="93"/>
  <c r="X170" i="93"/>
  <c r="X156" i="93"/>
  <c r="Y153" i="93" s="1"/>
  <c r="Y290" i="93"/>
  <c r="Z287" i="93" s="1"/>
  <c r="Y292" i="93"/>
  <c r="Y295" i="93" s="1"/>
  <c r="Y223" i="93"/>
  <c r="Y221" i="93"/>
  <c r="Z218" i="93" s="1"/>
  <c r="Z154" i="93"/>
  <c r="Z161" i="93" s="1"/>
  <c r="Y155" i="93"/>
  <c r="Y173" i="93" s="1"/>
  <c r="X328" i="93"/>
  <c r="N7" i="80" s="1"/>
  <c r="U65" i="93"/>
  <c r="T64" i="93"/>
  <c r="W6" i="93"/>
  <c r="V14" i="93"/>
  <c r="V23" i="93" s="1"/>
  <c r="Z110" i="93"/>
  <c r="Z109" i="93" s="1"/>
  <c r="Y109" i="93"/>
  <c r="Y207" i="93"/>
  <c r="Y210" i="93" s="1"/>
  <c r="Y205" i="93"/>
  <c r="Z202" i="93" s="1"/>
  <c r="X226" i="93"/>
  <c r="V112" i="93"/>
  <c r="W113" i="93"/>
  <c r="S177" i="93"/>
  <c r="S179" i="93" s="1"/>
  <c r="S191" i="93" s="1"/>
  <c r="I19" i="80" s="1"/>
  <c r="S176" i="93"/>
  <c r="S174" i="93"/>
  <c r="T164" i="93"/>
  <c r="U165" i="93"/>
  <c r="Z106" i="93"/>
  <c r="Z117" i="93" s="1"/>
  <c r="Z118" i="93" s="1"/>
  <c r="U124" i="93"/>
  <c r="U125" i="93"/>
  <c r="U127" i="93" s="1"/>
  <c r="U122" i="93"/>
  <c r="Z345" i="93"/>
  <c r="Z289" i="93" s="1"/>
  <c r="Z294" i="93" s="1"/>
  <c r="Z204" i="93"/>
  <c r="Z209" i="93" s="1"/>
  <c r="Y158" i="93"/>
  <c r="Y168" i="93" s="1"/>
  <c r="Y169" i="93" s="1"/>
  <c r="Z159" i="93"/>
  <c r="Y306" i="93"/>
  <c r="Z303" i="93" s="1"/>
  <c r="Y308" i="93"/>
  <c r="Y313" i="93" s="1"/>
  <c r="Y119" i="93"/>
  <c r="Y104" i="93"/>
  <c r="Z101" i="93" s="1"/>
  <c r="U59" i="93"/>
  <c r="V56" i="93" s="1"/>
  <c r="Z103" i="93"/>
  <c r="Z121" i="93" s="1"/>
  <c r="Y161" i="93"/>
  <c r="X178" i="93"/>
  <c r="Z305" i="93"/>
  <c r="Z310" i="93" s="1"/>
  <c r="S73" i="93"/>
  <c r="S75" i="93"/>
  <c r="S76" i="93"/>
  <c r="S70" i="93"/>
  <c r="Y126" i="93"/>
  <c r="Y298" i="93" l="1"/>
  <c r="Y297" i="93"/>
  <c r="Y314" i="93"/>
  <c r="Y328" i="93" s="1"/>
  <c r="O7" i="80" s="1"/>
  <c r="Z315" i="93"/>
  <c r="Z299" i="93"/>
  <c r="X300" i="93"/>
  <c r="X340" i="93" s="1"/>
  <c r="N11" i="80" s="1"/>
  <c r="X231" i="93"/>
  <c r="S78" i="93"/>
  <c r="Y300" i="93"/>
  <c r="Y340" i="93" s="1"/>
  <c r="O11" i="80" s="1"/>
  <c r="Z158" i="93"/>
  <c r="Z168" i="93" s="1"/>
  <c r="Z169" i="93" s="1"/>
  <c r="Y311" i="93"/>
  <c r="Z221" i="93"/>
  <c r="AA218" i="93"/>
  <c r="Z223" i="93"/>
  <c r="Z290" i="93"/>
  <c r="Z292" i="93"/>
  <c r="Z295" i="93" s="1"/>
  <c r="Z207" i="93"/>
  <c r="Z205" i="93"/>
  <c r="Z308" i="93"/>
  <c r="Z313" i="93" s="1"/>
  <c r="Z306" i="93"/>
  <c r="Y170" i="93"/>
  <c r="Y156" i="93"/>
  <c r="Z153" i="93" s="1"/>
  <c r="Y178" i="93"/>
  <c r="V165" i="93"/>
  <c r="U164" i="93"/>
  <c r="T73" i="93"/>
  <c r="T75" i="93"/>
  <c r="T76" i="93"/>
  <c r="T70" i="93"/>
  <c r="Z155" i="93"/>
  <c r="Z173" i="93" s="1"/>
  <c r="Y226" i="93"/>
  <c r="V59" i="93"/>
  <c r="W56" i="93" s="1"/>
  <c r="T174" i="93"/>
  <c r="T177" i="93"/>
  <c r="T179" i="93" s="1"/>
  <c r="T191" i="93" s="1"/>
  <c r="J19" i="80" s="1"/>
  <c r="T176" i="93"/>
  <c r="W112" i="93"/>
  <c r="X113" i="93"/>
  <c r="V65" i="93"/>
  <c r="U64" i="93"/>
  <c r="Z104" i="93"/>
  <c r="Z119" i="93"/>
  <c r="W14" i="93"/>
  <c r="W23" i="93" s="1"/>
  <c r="X6" i="93"/>
  <c r="Z126" i="93"/>
  <c r="V125" i="93"/>
  <c r="V124" i="93"/>
  <c r="V122" i="93"/>
  <c r="V20" i="93"/>
  <c r="Z298" i="93" l="1"/>
  <c r="Z314" i="93"/>
  <c r="Z328" i="93" s="1"/>
  <c r="P7" i="80" s="1"/>
  <c r="Z297" i="93"/>
  <c r="Z311" i="93"/>
  <c r="Y215" i="93"/>
  <c r="Y263" i="93" s="1"/>
  <c r="O10" i="80" s="1"/>
  <c r="V127" i="93"/>
  <c r="Y231" i="93"/>
  <c r="T78" i="93"/>
  <c r="Z300" i="93"/>
  <c r="Z340" i="93" s="1"/>
  <c r="P11" i="80" s="1"/>
  <c r="Z210" i="93"/>
  <c r="Z215" i="93"/>
  <c r="Z263" i="93" s="1"/>
  <c r="P10" i="80" s="1"/>
  <c r="W59" i="93"/>
  <c r="X56" i="93" s="1"/>
  <c r="X112" i="93"/>
  <c r="Y113" i="93"/>
  <c r="Z178" i="93"/>
  <c r="Z170" i="93"/>
  <c r="Z156" i="93"/>
  <c r="Y6" i="93"/>
  <c r="X14" i="93"/>
  <c r="X23" i="93" s="1"/>
  <c r="W125" i="93"/>
  <c r="W124" i="93"/>
  <c r="W122" i="93"/>
  <c r="Z226" i="93"/>
  <c r="Z231" i="93"/>
  <c r="U73" i="93"/>
  <c r="U75" i="93"/>
  <c r="U76" i="93"/>
  <c r="U78" i="93" s="1"/>
  <c r="U70" i="93"/>
  <c r="U176" i="93"/>
  <c r="U174" i="93"/>
  <c r="U177" i="93"/>
  <c r="U179" i="93" s="1"/>
  <c r="U191" i="93" s="1"/>
  <c r="K19" i="80" s="1"/>
  <c r="W20" i="93"/>
  <c r="W65" i="93"/>
  <c r="V64" i="93"/>
  <c r="W165" i="93"/>
  <c r="V164" i="93"/>
  <c r="W127" i="93" l="1"/>
  <c r="X59" i="93"/>
  <c r="Y56" i="93" s="1"/>
  <c r="W164" i="93"/>
  <c r="X165" i="93"/>
  <c r="X65" i="93"/>
  <c r="W64" i="93"/>
  <c r="Z113" i="93"/>
  <c r="Z112" i="93" s="1"/>
  <c r="Y112" i="93"/>
  <c r="V73" i="93"/>
  <c r="V75" i="93"/>
  <c r="V76" i="93"/>
  <c r="V78" i="93" s="1"/>
  <c r="V70" i="93"/>
  <c r="Z6" i="93"/>
  <c r="Y14" i="93"/>
  <c r="Y23" i="93" s="1"/>
  <c r="V177" i="93"/>
  <c r="V179" i="93" s="1"/>
  <c r="V191" i="93" s="1"/>
  <c r="L19" i="80" s="1"/>
  <c r="V176" i="93"/>
  <c r="V174" i="93"/>
  <c r="X20" i="93"/>
  <c r="X122" i="93"/>
  <c r="X125" i="93"/>
  <c r="X124" i="93"/>
  <c r="X127" i="93" l="1"/>
  <c r="Z122" i="93"/>
  <c r="Z125" i="93"/>
  <c r="Z124" i="93"/>
  <c r="W176" i="93"/>
  <c r="W174" i="93"/>
  <c r="W177" i="93"/>
  <c r="W179" i="93" s="1"/>
  <c r="W191" i="93" s="1"/>
  <c r="M19" i="80" s="1"/>
  <c r="Z14" i="93"/>
  <c r="Z23" i="93" s="1"/>
  <c r="W76" i="93"/>
  <c r="W73" i="93"/>
  <c r="W75" i="93"/>
  <c r="W70" i="93"/>
  <c r="Y20" i="93"/>
  <c r="Y65" i="93"/>
  <c r="X64" i="93"/>
  <c r="Y59" i="93"/>
  <c r="Z56" i="93" s="1"/>
  <c r="Y122" i="93"/>
  <c r="Y125" i="93"/>
  <c r="Y124" i="93"/>
  <c r="Y165" i="93"/>
  <c r="X164" i="93"/>
  <c r="W78" i="93" l="1"/>
  <c r="Z127" i="93"/>
  <c r="Y127" i="93"/>
  <c r="Z59" i="93"/>
  <c r="Z165" i="93"/>
  <c r="Z164" i="93" s="1"/>
  <c r="Y164" i="93"/>
  <c r="X174" i="93"/>
  <c r="X176" i="93"/>
  <c r="X177" i="93"/>
  <c r="X179" i="93" s="1"/>
  <c r="X191" i="93" s="1"/>
  <c r="N19" i="80" s="1"/>
  <c r="X73" i="93"/>
  <c r="X75" i="93"/>
  <c r="X76" i="93"/>
  <c r="X70" i="93"/>
  <c r="Z20" i="93"/>
  <c r="Z65" i="93"/>
  <c r="Z64" i="93" s="1"/>
  <c r="Y64" i="93"/>
  <c r="X78" i="93" l="1"/>
  <c r="Y177" i="93"/>
  <c r="Y179" i="93" s="1"/>
  <c r="Y191" i="93" s="1"/>
  <c r="O19" i="80" s="1"/>
  <c r="Y176" i="93"/>
  <c r="Y174" i="93"/>
  <c r="Z174" i="93"/>
  <c r="Z177" i="93"/>
  <c r="Z179" i="93" s="1"/>
  <c r="Z191" i="93" s="1"/>
  <c r="P19" i="80" s="1"/>
  <c r="Z176" i="93"/>
  <c r="Y75" i="93"/>
  <c r="Y76" i="93"/>
  <c r="Y78" i="93" s="1"/>
  <c r="Y73" i="93"/>
  <c r="Y70" i="93"/>
  <c r="Z73" i="93"/>
  <c r="Z76" i="93"/>
  <c r="Z75" i="93"/>
  <c r="Z70" i="93"/>
  <c r="Z78" i="93" l="1"/>
  <c r="S106" i="92"/>
  <c r="D15" i="80"/>
  <c r="Q88" i="92" l="1"/>
  <c r="R88" i="92" s="1"/>
  <c r="S88" i="92" s="1"/>
  <c r="T88" i="92" s="1"/>
  <c r="U88" i="92" s="1"/>
  <c r="V88" i="92" s="1"/>
  <c r="W88" i="92" s="1"/>
  <c r="X88" i="92" s="1"/>
  <c r="Y88" i="92" s="1"/>
  <c r="Z88" i="92" s="1"/>
  <c r="Z45" i="93"/>
  <c r="Y45" i="93"/>
  <c r="X45" i="93"/>
  <c r="W45" i="93"/>
  <c r="V45" i="93"/>
  <c r="U45" i="93"/>
  <c r="T45" i="93"/>
  <c r="S45" i="93"/>
  <c r="R45" i="93"/>
  <c r="Q45" i="93"/>
  <c r="P45" i="93"/>
  <c r="N45" i="93"/>
  <c r="Z87" i="92"/>
  <c r="Y87" i="92"/>
  <c r="X87" i="92"/>
  <c r="W87" i="92"/>
  <c r="V87" i="92"/>
  <c r="U87" i="92"/>
  <c r="U86" i="92" s="1"/>
  <c r="T87" i="92"/>
  <c r="S87" i="92"/>
  <c r="R87" i="92"/>
  <c r="Q87" i="92"/>
  <c r="Q86" i="92" s="1"/>
  <c r="P87" i="92"/>
  <c r="Q143" i="93" l="1"/>
  <c r="Q46" i="93"/>
  <c r="Q48" i="93"/>
  <c r="G22" i="80" s="1"/>
  <c r="P143" i="93"/>
  <c r="P48" i="93"/>
  <c r="T143" i="93"/>
  <c r="T46" i="93"/>
  <c r="T48" i="93"/>
  <c r="J22" i="80" s="1"/>
  <c r="X143" i="93"/>
  <c r="X46" i="93"/>
  <c r="X48" i="93"/>
  <c r="N22" i="80" s="1"/>
  <c r="Y143" i="93"/>
  <c r="Y46" i="93"/>
  <c r="Y48" i="93"/>
  <c r="O22" i="80" s="1"/>
  <c r="N143" i="93"/>
  <c r="N146" i="93" s="1"/>
  <c r="N48" i="93"/>
  <c r="R143" i="93"/>
  <c r="R46" i="93"/>
  <c r="R48" i="93"/>
  <c r="H22" i="80" s="1"/>
  <c r="V46" i="93"/>
  <c r="V143" i="93"/>
  <c r="V48" i="93"/>
  <c r="L22" i="80" s="1"/>
  <c r="Z143" i="93"/>
  <c r="Z46" i="93"/>
  <c r="Z48" i="93"/>
  <c r="P22" i="80" s="1"/>
  <c r="U143" i="93"/>
  <c r="U46" i="93"/>
  <c r="U48" i="93"/>
  <c r="K22" i="80" s="1"/>
  <c r="S108" i="92"/>
  <c r="O45" i="93"/>
  <c r="S143" i="93"/>
  <c r="S46" i="93"/>
  <c r="S48" i="93"/>
  <c r="I22" i="80" s="1"/>
  <c r="W143" i="93"/>
  <c r="W46" i="93"/>
  <c r="W48" i="93"/>
  <c r="M22" i="80" s="1"/>
  <c r="P86" i="92"/>
  <c r="T86" i="92"/>
  <c r="X86" i="92"/>
  <c r="Z86" i="92"/>
  <c r="P47" i="92"/>
  <c r="T47" i="92"/>
  <c r="X47" i="92"/>
  <c r="S86" i="92"/>
  <c r="V86" i="92"/>
  <c r="R86" i="92"/>
  <c r="W86" i="92"/>
  <c r="Y86" i="92"/>
  <c r="R47" i="92"/>
  <c r="V47" i="92"/>
  <c r="Z47" i="92"/>
  <c r="O47" i="92"/>
  <c r="S47" i="92"/>
  <c r="W47" i="92"/>
  <c r="Q47" i="92"/>
  <c r="U47" i="92"/>
  <c r="Y47" i="92"/>
  <c r="S144" i="93" l="1"/>
  <c r="S146" i="93"/>
  <c r="I18" i="80" s="1"/>
  <c r="Z144" i="93"/>
  <c r="Z146" i="93"/>
  <c r="P18" i="80" s="1"/>
  <c r="N197" i="93"/>
  <c r="D18" i="80"/>
  <c r="P146" i="93"/>
  <c r="O143" i="93"/>
  <c r="P144" i="93" s="1"/>
  <c r="O46" i="93"/>
  <c r="O48" i="93"/>
  <c r="T144" i="93"/>
  <c r="T146" i="93"/>
  <c r="J18" i="80" s="1"/>
  <c r="V144" i="93"/>
  <c r="V146" i="93"/>
  <c r="L18" i="80" s="1"/>
  <c r="R144" i="93"/>
  <c r="R146" i="93"/>
  <c r="X144" i="93"/>
  <c r="X146" i="93"/>
  <c r="N18" i="80" s="1"/>
  <c r="F22" i="80"/>
  <c r="P97" i="93"/>
  <c r="W144" i="93"/>
  <c r="W146" i="93"/>
  <c r="M18" i="80" s="1"/>
  <c r="U144" i="93"/>
  <c r="U146" i="93"/>
  <c r="K18" i="80" s="1"/>
  <c r="D22" i="80"/>
  <c r="N97" i="93"/>
  <c r="Y144" i="93"/>
  <c r="Y146" i="93"/>
  <c r="O18" i="80" s="1"/>
  <c r="P46" i="93"/>
  <c r="Q144" i="93"/>
  <c r="Q146" i="93"/>
  <c r="Z30" i="92"/>
  <c r="X30" i="92"/>
  <c r="W30" i="92"/>
  <c r="V30" i="92"/>
  <c r="T30" i="92"/>
  <c r="S30" i="92"/>
  <c r="R30" i="92"/>
  <c r="P30" i="92"/>
  <c r="O30" i="92"/>
  <c r="N30" i="92"/>
  <c r="S105" i="92"/>
  <c r="G18" i="80" l="1"/>
  <c r="Q197" i="93"/>
  <c r="F18" i="80"/>
  <c r="P197" i="93"/>
  <c r="E22" i="80"/>
  <c r="O97" i="93"/>
  <c r="H18" i="80"/>
  <c r="R197" i="93"/>
  <c r="O144" i="93"/>
  <c r="O146" i="93"/>
  <c r="Q89" i="92"/>
  <c r="Q81" i="92" s="1"/>
  <c r="Z89" i="92"/>
  <c r="V89" i="92"/>
  <c r="P89" i="92"/>
  <c r="P82" i="92" s="1"/>
  <c r="X89" i="92"/>
  <c r="W89" i="92"/>
  <c r="W81" i="92" s="1"/>
  <c r="U89" i="92"/>
  <c r="S89" i="92"/>
  <c r="S81" i="92" s="1"/>
  <c r="T89" i="92"/>
  <c r="T81" i="92" s="1"/>
  <c r="Y89" i="92"/>
  <c r="Y81" i="92" s="1"/>
  <c r="R89" i="92"/>
  <c r="Z33" i="92"/>
  <c r="Z38" i="92" s="1"/>
  <c r="S42" i="92"/>
  <c r="Z42" i="92"/>
  <c r="N42" i="92"/>
  <c r="Y42" i="92"/>
  <c r="U42" i="92"/>
  <c r="Q42" i="92"/>
  <c r="X42" i="92"/>
  <c r="T42" i="92"/>
  <c r="P42" i="92"/>
  <c r="W42" i="92"/>
  <c r="O42" i="92"/>
  <c r="V42" i="92"/>
  <c r="R42" i="92"/>
  <c r="Y33" i="92"/>
  <c r="Y38" i="92" s="1"/>
  <c r="T33" i="92"/>
  <c r="T38" i="92" s="1"/>
  <c r="P33" i="92"/>
  <c r="P38" i="92" s="1"/>
  <c r="X33" i="92"/>
  <c r="X38" i="92" s="1"/>
  <c r="U30" i="92"/>
  <c r="U33" i="92" s="1"/>
  <c r="U38" i="92" s="1"/>
  <c r="Q30" i="92"/>
  <c r="Q33" i="92" s="1"/>
  <c r="Q38" i="92" s="1"/>
  <c r="Y30" i="92"/>
  <c r="O33" i="92"/>
  <c r="O38" i="92" s="1"/>
  <c r="S33" i="92"/>
  <c r="S38" i="92" s="1"/>
  <c r="W33" i="92"/>
  <c r="W38" i="92" s="1"/>
  <c r="N33" i="92"/>
  <c r="N38" i="92" s="1"/>
  <c r="R33" i="92"/>
  <c r="R38" i="92" s="1"/>
  <c r="V33" i="92"/>
  <c r="V38" i="92" s="1"/>
  <c r="H100" i="92"/>
  <c r="I100" i="92" s="1"/>
  <c r="J100" i="92" s="1"/>
  <c r="K100" i="92" s="1"/>
  <c r="L100" i="92" s="1"/>
  <c r="M100" i="92" s="1"/>
  <c r="N100" i="92" s="1"/>
  <c r="O100" i="92" s="1"/>
  <c r="P100" i="92" s="1"/>
  <c r="Q100" i="92" s="1"/>
  <c r="R100" i="92" s="1"/>
  <c r="S100" i="92" s="1"/>
  <c r="T100" i="92" s="1"/>
  <c r="U100" i="92" s="1"/>
  <c r="V100" i="92" s="1"/>
  <c r="W100" i="92" s="1"/>
  <c r="X100" i="92" s="1"/>
  <c r="Y100" i="92" s="1"/>
  <c r="Z100" i="92" s="1"/>
  <c r="Z94" i="92"/>
  <c r="Y94" i="92"/>
  <c r="X94" i="92"/>
  <c r="W94" i="92"/>
  <c r="V94" i="92"/>
  <c r="U94" i="92"/>
  <c r="T94" i="92"/>
  <c r="S94" i="92"/>
  <c r="R94" i="92"/>
  <c r="Q94" i="92"/>
  <c r="P94" i="92"/>
  <c r="O91" i="92"/>
  <c r="P91" i="92" s="1"/>
  <c r="Q91" i="92" s="1"/>
  <c r="R91" i="92" s="1"/>
  <c r="S91" i="92" s="1"/>
  <c r="T91" i="92" s="1"/>
  <c r="U91" i="92" s="1"/>
  <c r="V91" i="92" s="1"/>
  <c r="W91" i="92" s="1"/>
  <c r="X91" i="92" s="1"/>
  <c r="Y91" i="92" s="1"/>
  <c r="Z91" i="92" s="1"/>
  <c r="H72" i="92"/>
  <c r="H77" i="92" s="1"/>
  <c r="H68" i="92"/>
  <c r="H62" i="92"/>
  <c r="G62" i="92" s="1"/>
  <c r="F62" i="92" s="1"/>
  <c r="E62" i="92" s="1"/>
  <c r="H59" i="92"/>
  <c r="G59" i="92" s="1"/>
  <c r="F59" i="92" s="1"/>
  <c r="E59" i="92" s="1"/>
  <c r="D59" i="92" s="1"/>
  <c r="G58" i="92"/>
  <c r="I57" i="92"/>
  <c r="J57" i="92" s="1"/>
  <c r="K57" i="92" s="1"/>
  <c r="G57" i="92"/>
  <c r="F57" i="92" s="1"/>
  <c r="E57" i="92" s="1"/>
  <c r="D57" i="92" s="1"/>
  <c r="I56" i="92"/>
  <c r="E54" i="92"/>
  <c r="F54" i="92" s="1"/>
  <c r="G54" i="92" s="1"/>
  <c r="H54" i="92" s="1"/>
  <c r="I54" i="92" s="1"/>
  <c r="J54" i="92" s="1"/>
  <c r="K54" i="92" s="1"/>
  <c r="L54" i="92" s="1"/>
  <c r="M54" i="92" s="1"/>
  <c r="N54" i="92" s="1"/>
  <c r="O54" i="92" s="1"/>
  <c r="P54" i="92" s="1"/>
  <c r="Q54" i="92" s="1"/>
  <c r="R54" i="92" s="1"/>
  <c r="S54" i="92" s="1"/>
  <c r="T54" i="92" s="1"/>
  <c r="U54" i="92" s="1"/>
  <c r="V54" i="92" s="1"/>
  <c r="W54" i="92" s="1"/>
  <c r="X54" i="92" s="1"/>
  <c r="Y54" i="92" s="1"/>
  <c r="Z54" i="92" s="1"/>
  <c r="H52" i="92"/>
  <c r="I52" i="92" s="1"/>
  <c r="J52" i="92" s="1"/>
  <c r="K52" i="92" s="1"/>
  <c r="L52" i="92" s="1"/>
  <c r="M52" i="92" s="1"/>
  <c r="N52" i="92" s="1"/>
  <c r="O52" i="92" s="1"/>
  <c r="P52" i="92" s="1"/>
  <c r="Q52" i="92" s="1"/>
  <c r="R52" i="92" s="1"/>
  <c r="S52" i="92" s="1"/>
  <c r="T52" i="92" s="1"/>
  <c r="U52" i="92" s="1"/>
  <c r="V52" i="92" s="1"/>
  <c r="W52" i="92" s="1"/>
  <c r="X52" i="92" s="1"/>
  <c r="Y52" i="92" s="1"/>
  <c r="Z52" i="92" s="1"/>
  <c r="N44" i="92"/>
  <c r="H21" i="92"/>
  <c r="H25" i="92" s="1"/>
  <c r="H17" i="92"/>
  <c r="G12" i="92"/>
  <c r="F12" i="92" s="1"/>
  <c r="E12" i="92" s="1"/>
  <c r="H10" i="92"/>
  <c r="I10" i="92" s="1"/>
  <c r="H7" i="92"/>
  <c r="G6" i="92"/>
  <c r="F6" i="92" s="1"/>
  <c r="I5" i="92"/>
  <c r="G5" i="92"/>
  <c r="F5" i="92" s="1"/>
  <c r="E5" i="92" s="1"/>
  <c r="E2" i="92"/>
  <c r="F2" i="92" s="1"/>
  <c r="G2" i="92" s="1"/>
  <c r="H2" i="92" s="1"/>
  <c r="I2" i="92" s="1"/>
  <c r="J2" i="92" s="1"/>
  <c r="K2" i="92" s="1"/>
  <c r="L2" i="92" s="1"/>
  <c r="M2" i="92" s="1"/>
  <c r="N2" i="92" s="1"/>
  <c r="O2" i="92" s="1"/>
  <c r="P2" i="92" s="1"/>
  <c r="Q2" i="92" s="1"/>
  <c r="R2" i="92" s="1"/>
  <c r="S2" i="92" s="1"/>
  <c r="T2" i="92" s="1"/>
  <c r="U2" i="92" s="1"/>
  <c r="V2" i="92" s="1"/>
  <c r="W2" i="92" s="1"/>
  <c r="X2" i="92" s="1"/>
  <c r="Y2" i="92" s="1"/>
  <c r="Z2" i="92" s="1"/>
  <c r="R81" i="92" l="1"/>
  <c r="R82" i="92" s="1"/>
  <c r="U81" i="92"/>
  <c r="U82" i="92" s="1"/>
  <c r="V81" i="92"/>
  <c r="V82" i="92" s="1"/>
  <c r="Z81" i="92"/>
  <c r="Z82" i="92" s="1"/>
  <c r="X81" i="92"/>
  <c r="X82" i="92" s="1"/>
  <c r="E18" i="80"/>
  <c r="O197" i="93"/>
  <c r="S82" i="92"/>
  <c r="Y82" i="92"/>
  <c r="W82" i="92"/>
  <c r="T82" i="92"/>
  <c r="Q82" i="92"/>
  <c r="I6" i="92"/>
  <c r="I21" i="92" s="1"/>
  <c r="I26" i="92" s="1"/>
  <c r="G10" i="92"/>
  <c r="F10" i="92" s="1"/>
  <c r="P93" i="92"/>
  <c r="Q93" i="92" s="1"/>
  <c r="R93" i="92" s="1"/>
  <c r="S93" i="92" s="1"/>
  <c r="T93" i="92" s="1"/>
  <c r="U93" i="92" s="1"/>
  <c r="V93" i="92" s="1"/>
  <c r="W93" i="92" s="1"/>
  <c r="X93" i="92" s="1"/>
  <c r="Y93" i="92" s="1"/>
  <c r="Z93" i="92" s="1"/>
  <c r="G56" i="92"/>
  <c r="G61" i="92"/>
  <c r="I58" i="92"/>
  <c r="I72" i="92" s="1"/>
  <c r="I77" i="92" s="1"/>
  <c r="I62" i="92"/>
  <c r="I61" i="92" s="1"/>
  <c r="I68" i="92" s="1"/>
  <c r="H22" i="92"/>
  <c r="H27" i="92"/>
  <c r="I4" i="92"/>
  <c r="G7" i="92"/>
  <c r="F7" i="92" s="1"/>
  <c r="E7" i="92" s="1"/>
  <c r="D7" i="92" s="1"/>
  <c r="E61" i="92"/>
  <c r="E68" i="92" s="1"/>
  <c r="D62" i="92"/>
  <c r="D61" i="92" s="1"/>
  <c r="D5" i="92"/>
  <c r="J5" i="92"/>
  <c r="J10" i="92"/>
  <c r="I9" i="92"/>
  <c r="I17" i="92" s="1"/>
  <c r="G21" i="92"/>
  <c r="L57" i="92"/>
  <c r="K58" i="92"/>
  <c r="K72" i="92" s="1"/>
  <c r="F21" i="92"/>
  <c r="E6" i="92"/>
  <c r="G9" i="92"/>
  <c r="G17" i="92" s="1"/>
  <c r="O44" i="92"/>
  <c r="I59" i="92"/>
  <c r="J56" i="92" s="1"/>
  <c r="H24" i="92"/>
  <c r="F61" i="92"/>
  <c r="F68" i="92" s="1"/>
  <c r="G72" i="92"/>
  <c r="F58" i="92"/>
  <c r="H26" i="92"/>
  <c r="D68" i="92"/>
  <c r="J58" i="92"/>
  <c r="J72" i="92" s="1"/>
  <c r="H76" i="92"/>
  <c r="H78" i="92" s="1"/>
  <c r="H73" i="92"/>
  <c r="H75" i="92"/>
  <c r="G68" i="92"/>
  <c r="J62" i="92" l="1"/>
  <c r="H69" i="92"/>
  <c r="H70" i="92" s="1"/>
  <c r="H65" i="92" s="1"/>
  <c r="I65" i="92" s="1"/>
  <c r="G4" i="92"/>
  <c r="F4" i="92" s="1"/>
  <c r="E4" i="92" s="1"/>
  <c r="I69" i="92"/>
  <c r="I70" i="92" s="1"/>
  <c r="I64" i="92" s="1"/>
  <c r="J59" i="92"/>
  <c r="K56" i="92" s="1"/>
  <c r="J65" i="92"/>
  <c r="F72" i="92"/>
  <c r="E58" i="92"/>
  <c r="J77" i="92"/>
  <c r="F56" i="92"/>
  <c r="P44" i="92"/>
  <c r="K5" i="92"/>
  <c r="J6" i="92"/>
  <c r="J21" i="92" s="1"/>
  <c r="E10" i="92"/>
  <c r="F9" i="92"/>
  <c r="F17" i="92" s="1"/>
  <c r="K77" i="92"/>
  <c r="I7" i="92"/>
  <c r="J4" i="92" s="1"/>
  <c r="K62" i="92"/>
  <c r="J61" i="92"/>
  <c r="J68" i="92" s="1"/>
  <c r="J69" i="92" s="1"/>
  <c r="J70" i="92" s="1"/>
  <c r="M57" i="92"/>
  <c r="L58" i="92"/>
  <c r="L72" i="92" s="1"/>
  <c r="E21" i="92"/>
  <c r="D6" i="92"/>
  <c r="D21" i="92" s="1"/>
  <c r="K10" i="92"/>
  <c r="J9" i="92"/>
  <c r="J17" i="92" s="1"/>
  <c r="J18" i="92" l="1"/>
  <c r="J19" i="92" s="1"/>
  <c r="E56" i="92"/>
  <c r="J7" i="92"/>
  <c r="K4" i="92" s="1"/>
  <c r="K61" i="92"/>
  <c r="K68" i="92" s="1"/>
  <c r="K69" i="92" s="1"/>
  <c r="K70" i="92" s="1"/>
  <c r="L62" i="92"/>
  <c r="L10" i="92"/>
  <c r="K9" i="92"/>
  <c r="K17" i="92" s="1"/>
  <c r="K18" i="92" s="1"/>
  <c r="L5" i="92"/>
  <c r="K6" i="92"/>
  <c r="K21" i="92" s="1"/>
  <c r="N57" i="92"/>
  <c r="M58" i="92"/>
  <c r="M72" i="92" s="1"/>
  <c r="L77" i="92"/>
  <c r="K59" i="92"/>
  <c r="L56" i="92" s="1"/>
  <c r="I73" i="92"/>
  <c r="I75" i="92"/>
  <c r="I76" i="92"/>
  <c r="I78" i="92" s="1"/>
  <c r="D4" i="92"/>
  <c r="E9" i="92"/>
  <c r="E17" i="92" s="1"/>
  <c r="D10" i="92"/>
  <c r="D9" i="92" s="1"/>
  <c r="D17" i="92" s="1"/>
  <c r="J26" i="92"/>
  <c r="Q44" i="92"/>
  <c r="E72" i="92"/>
  <c r="D58" i="92"/>
  <c r="D72" i="92" s="1"/>
  <c r="K65" i="92"/>
  <c r="J64" i="92"/>
  <c r="H18" i="92" l="1"/>
  <c r="H19" i="92" s="1"/>
  <c r="H13" i="92" s="1"/>
  <c r="I13" i="92" s="1"/>
  <c r="J13" i="92" s="1"/>
  <c r="I18" i="92"/>
  <c r="I19" i="92" s="1"/>
  <c r="K19" i="92"/>
  <c r="K7" i="92"/>
  <c r="L4" i="92" s="1"/>
  <c r="L59" i="92"/>
  <c r="M56" i="92" s="1"/>
  <c r="K64" i="92"/>
  <c r="L65" i="92"/>
  <c r="R44" i="92"/>
  <c r="N58" i="92"/>
  <c r="N72" i="92" s="1"/>
  <c r="O57" i="92"/>
  <c r="L6" i="92"/>
  <c r="L21" i="92" s="1"/>
  <c r="M5" i="92"/>
  <c r="D56" i="92"/>
  <c r="M62" i="92"/>
  <c r="L61" i="92"/>
  <c r="L68" i="92" s="1"/>
  <c r="L69" i="92" s="1"/>
  <c r="L70" i="92" s="1"/>
  <c r="J76" i="92"/>
  <c r="J78" i="92" s="1"/>
  <c r="J75" i="92"/>
  <c r="J73" i="92"/>
  <c r="M77" i="92"/>
  <c r="K26" i="92"/>
  <c r="M10" i="92"/>
  <c r="L9" i="92"/>
  <c r="L17" i="92" s="1"/>
  <c r="L18" i="92" s="1"/>
  <c r="I12" i="92" l="1"/>
  <c r="I25" i="92" s="1"/>
  <c r="I27" i="92" s="1"/>
  <c r="L19" i="92"/>
  <c r="L7" i="92"/>
  <c r="M4" i="92" s="1"/>
  <c r="M59" i="92"/>
  <c r="N56" i="92" s="1"/>
  <c r="N10" i="92"/>
  <c r="M9" i="92"/>
  <c r="M17" i="92" s="1"/>
  <c r="M18" i="92" s="1"/>
  <c r="L26" i="92"/>
  <c r="S44" i="92"/>
  <c r="P57" i="92"/>
  <c r="O58" i="92"/>
  <c r="O72" i="92" s="1"/>
  <c r="K73" i="92"/>
  <c r="K76" i="92"/>
  <c r="K78" i="92" s="1"/>
  <c r="K75" i="92"/>
  <c r="N62" i="92"/>
  <c r="M61" i="92"/>
  <c r="M68" i="92" s="1"/>
  <c r="M69" i="92" s="1"/>
  <c r="M70" i="92" s="1"/>
  <c r="M6" i="92"/>
  <c r="M21" i="92" s="1"/>
  <c r="N5" i="92"/>
  <c r="N77" i="92"/>
  <c r="M65" i="92"/>
  <c r="L64" i="92"/>
  <c r="K13" i="92"/>
  <c r="J12" i="92"/>
  <c r="I22" i="92" l="1"/>
  <c r="I24" i="92"/>
  <c r="N59" i="92"/>
  <c r="O56" i="92" s="1"/>
  <c r="M19" i="92"/>
  <c r="M7" i="92"/>
  <c r="N4" i="92" s="1"/>
  <c r="O62" i="92"/>
  <c r="N61" i="92"/>
  <c r="N68" i="92" s="1"/>
  <c r="N69" i="92" s="1"/>
  <c r="N70" i="92" s="1"/>
  <c r="L73" i="92"/>
  <c r="L76" i="92"/>
  <c r="L78" i="92" s="1"/>
  <c r="L75" i="92"/>
  <c r="M26" i="92"/>
  <c r="Q57" i="92"/>
  <c r="P58" i="92"/>
  <c r="P72" i="92" s="1"/>
  <c r="N65" i="92"/>
  <c r="M64" i="92"/>
  <c r="O10" i="92"/>
  <c r="N9" i="92"/>
  <c r="J24" i="92"/>
  <c r="J22" i="92"/>
  <c r="J25" i="92"/>
  <c r="J27" i="92" s="1"/>
  <c r="N17" i="92"/>
  <c r="N18" i="92" s="1"/>
  <c r="O5" i="92"/>
  <c r="N6" i="92"/>
  <c r="N21" i="92" s="1"/>
  <c r="L13" i="92"/>
  <c r="K12" i="92"/>
  <c r="O77" i="92"/>
  <c r="T44" i="92"/>
  <c r="N7" i="92" l="1"/>
  <c r="O4" i="92" s="1"/>
  <c r="N19" i="92"/>
  <c r="O59" i="92"/>
  <c r="P56" i="92" s="1"/>
  <c r="M13" i="92"/>
  <c r="L12" i="92"/>
  <c r="R57" i="92"/>
  <c r="Q58" i="92"/>
  <c r="Q72" i="92" s="1"/>
  <c r="K25" i="92"/>
  <c r="K27" i="92" s="1"/>
  <c r="K24" i="92"/>
  <c r="K22" i="92"/>
  <c r="P77" i="92"/>
  <c r="M76" i="92"/>
  <c r="M78" i="92" s="1"/>
  <c r="M75" i="92"/>
  <c r="M73" i="92"/>
  <c r="P10" i="92"/>
  <c r="O9" i="92"/>
  <c r="O17" i="92" s="1"/>
  <c r="O18" i="92" s="1"/>
  <c r="N26" i="92"/>
  <c r="P62" i="92"/>
  <c r="O61" i="92"/>
  <c r="O68" i="92" s="1"/>
  <c r="O69" i="92" s="1"/>
  <c r="O70" i="92" s="1"/>
  <c r="O65" i="92"/>
  <c r="N64" i="92"/>
  <c r="U44" i="92"/>
  <c r="P5" i="92"/>
  <c r="O6" i="92"/>
  <c r="O21" i="92" s="1"/>
  <c r="N13" i="92" l="1"/>
  <c r="M12" i="92"/>
  <c r="O26" i="92"/>
  <c r="V44" i="92"/>
  <c r="Q62" i="92"/>
  <c r="P61" i="92"/>
  <c r="P68" i="92" s="1"/>
  <c r="P69" i="92" s="1"/>
  <c r="Q10" i="92"/>
  <c r="P9" i="92"/>
  <c r="P17" i="92" s="1"/>
  <c r="P18" i="92" s="1"/>
  <c r="L25" i="92"/>
  <c r="L27" i="92" s="1"/>
  <c r="L24" i="92"/>
  <c r="L22" i="92"/>
  <c r="Q5" i="92"/>
  <c r="P6" i="92"/>
  <c r="P21" i="92" s="1"/>
  <c r="N73" i="92"/>
  <c r="N76" i="92"/>
  <c r="N78" i="92" s="1"/>
  <c r="N75" i="92"/>
  <c r="Q77" i="92"/>
  <c r="O7" i="92"/>
  <c r="P4" i="92" s="1"/>
  <c r="O19" i="92"/>
  <c r="P65" i="92"/>
  <c r="O64" i="92"/>
  <c r="P70" i="92"/>
  <c r="P59" i="92"/>
  <c r="Q56" i="92" s="1"/>
  <c r="R58" i="92"/>
  <c r="R72" i="92" s="1"/>
  <c r="S57" i="92"/>
  <c r="P19" i="92" l="1"/>
  <c r="P7" i="92"/>
  <c r="Q4" i="92" s="1"/>
  <c r="W44" i="92"/>
  <c r="R77" i="92"/>
  <c r="P26" i="92"/>
  <c r="M22" i="92"/>
  <c r="M25" i="92"/>
  <c r="M27" i="92" s="1"/>
  <c r="M24" i="92"/>
  <c r="R10" i="92"/>
  <c r="Q9" i="92"/>
  <c r="Q17" i="92" s="1"/>
  <c r="Q18" i="92" s="1"/>
  <c r="O75" i="92"/>
  <c r="O76" i="92"/>
  <c r="O78" i="92" s="1"/>
  <c r="O96" i="92" s="1"/>
  <c r="E15" i="80" s="1"/>
  <c r="F29" i="80" s="1"/>
  <c r="O73" i="92"/>
  <c r="Q59" i="92"/>
  <c r="R56" i="92" s="1"/>
  <c r="Q65" i="92"/>
  <c r="P64" i="92"/>
  <c r="R62" i="92"/>
  <c r="Q61" i="92"/>
  <c r="Q68" i="92" s="1"/>
  <c r="Q69" i="92" s="1"/>
  <c r="Q70" i="92" s="1"/>
  <c r="O13" i="92"/>
  <c r="N12" i="92"/>
  <c r="T57" i="92"/>
  <c r="S58" i="92"/>
  <c r="S72" i="92" s="1"/>
  <c r="Q6" i="92"/>
  <c r="Q21" i="92" s="1"/>
  <c r="R5" i="92"/>
  <c r="Q19" i="92" l="1"/>
  <c r="Q7" i="92"/>
  <c r="R4" i="92" s="1"/>
  <c r="S62" i="92"/>
  <c r="R61" i="92"/>
  <c r="R68" i="92" s="1"/>
  <c r="R69" i="92" s="1"/>
  <c r="R70" i="92" s="1"/>
  <c r="S5" i="92"/>
  <c r="R6" i="92"/>
  <c r="R21" i="92" s="1"/>
  <c r="U57" i="92"/>
  <c r="T58" i="92"/>
  <c r="T72" i="92" s="1"/>
  <c r="X44" i="92"/>
  <c r="R59" i="92"/>
  <c r="S56" i="92" s="1"/>
  <c r="Q26" i="92"/>
  <c r="N25" i="92"/>
  <c r="N27" i="92" s="1"/>
  <c r="N49" i="92" s="1"/>
  <c r="D14" i="80" s="1"/>
  <c r="N24" i="92"/>
  <c r="N22" i="92"/>
  <c r="P76" i="92"/>
  <c r="P78" i="92" s="1"/>
  <c r="P96" i="92" s="1"/>
  <c r="F15" i="80" s="1"/>
  <c r="G29" i="80" s="1"/>
  <c r="P73" i="92"/>
  <c r="P75" i="92"/>
  <c r="S77" i="92"/>
  <c r="O12" i="92"/>
  <c r="P13" i="92"/>
  <c r="R65" i="92"/>
  <c r="Q64" i="92"/>
  <c r="S10" i="92"/>
  <c r="R9" i="92"/>
  <c r="R17" i="92" s="1"/>
  <c r="R18" i="92" s="1"/>
  <c r="R7" i="92" l="1"/>
  <c r="S4" i="92" s="1"/>
  <c r="R19" i="92"/>
  <c r="V57" i="92"/>
  <c r="U58" i="92"/>
  <c r="U72" i="92" s="1"/>
  <c r="T10" i="92"/>
  <c r="S9" i="92"/>
  <c r="S17" i="92" s="1"/>
  <c r="S18" i="92" s="1"/>
  <c r="O25" i="92"/>
  <c r="O27" i="92" s="1"/>
  <c r="O49" i="92" s="1"/>
  <c r="O22" i="92"/>
  <c r="O24" i="92"/>
  <c r="S59" i="92"/>
  <c r="T56" i="92" s="1"/>
  <c r="R26" i="92"/>
  <c r="T62" i="92"/>
  <c r="S61" i="92"/>
  <c r="S68" i="92" s="1"/>
  <c r="S69" i="92" s="1"/>
  <c r="S70" i="92" s="1"/>
  <c r="Q76" i="92"/>
  <c r="Q78" i="92" s="1"/>
  <c r="Q96" i="92" s="1"/>
  <c r="G15" i="80" s="1"/>
  <c r="Q75" i="92"/>
  <c r="Q73" i="92"/>
  <c r="T77" i="92"/>
  <c r="T5" i="92"/>
  <c r="S6" i="92"/>
  <c r="S21" i="92" s="1"/>
  <c r="S65" i="92"/>
  <c r="R64" i="92"/>
  <c r="Q13" i="92"/>
  <c r="P12" i="92"/>
  <c r="Y44" i="92"/>
  <c r="O102" i="92" l="1"/>
  <c r="E14" i="80"/>
  <c r="T65" i="92"/>
  <c r="S64" i="92"/>
  <c r="S26" i="92"/>
  <c r="U77" i="92"/>
  <c r="Z44" i="92"/>
  <c r="R75" i="92"/>
  <c r="R73" i="92"/>
  <c r="R76" i="92"/>
  <c r="R78" i="92" s="1"/>
  <c r="R96" i="92" s="1"/>
  <c r="H15" i="80" s="1"/>
  <c r="U62" i="92"/>
  <c r="T61" i="92"/>
  <c r="T68" i="92" s="1"/>
  <c r="T69" i="92" s="1"/>
  <c r="T70" i="92" s="1"/>
  <c r="U10" i="92"/>
  <c r="T9" i="92"/>
  <c r="T17" i="92" s="1"/>
  <c r="T18" i="92" s="1"/>
  <c r="P22" i="92"/>
  <c r="P25" i="92"/>
  <c r="P27" i="92" s="1"/>
  <c r="P49" i="92" s="1"/>
  <c r="P24" i="92"/>
  <c r="T59" i="92"/>
  <c r="U56" i="92" s="1"/>
  <c r="S19" i="92"/>
  <c r="S7" i="92"/>
  <c r="T4" i="92" s="1"/>
  <c r="R13" i="92"/>
  <c r="Q12" i="92"/>
  <c r="T6" i="92"/>
  <c r="T21" i="92" s="1"/>
  <c r="U5" i="92"/>
  <c r="V58" i="92"/>
  <c r="V72" i="92" s="1"/>
  <c r="W57" i="92"/>
  <c r="P102" i="92" l="1"/>
  <c r="F14" i="80"/>
  <c r="T19" i="92"/>
  <c r="T7" i="92"/>
  <c r="U4" i="92" s="1"/>
  <c r="U59" i="92"/>
  <c r="V56" i="92" s="1"/>
  <c r="V10" i="92"/>
  <c r="U9" i="92"/>
  <c r="U17" i="92" s="1"/>
  <c r="U18" i="92" s="1"/>
  <c r="V77" i="92"/>
  <c r="V62" i="92"/>
  <c r="U61" i="92"/>
  <c r="U68" i="92" s="1"/>
  <c r="U69" i="92" s="1"/>
  <c r="U70" i="92" s="1"/>
  <c r="T26" i="92"/>
  <c r="Q24" i="92"/>
  <c r="Q25" i="92"/>
  <c r="Q27" i="92" s="1"/>
  <c r="Q49" i="92" s="1"/>
  <c r="Q22" i="92"/>
  <c r="S73" i="92"/>
  <c r="S75" i="92"/>
  <c r="S76" i="92"/>
  <c r="S78" i="92" s="1"/>
  <c r="S96" i="92" s="1"/>
  <c r="I15" i="80" s="1"/>
  <c r="X57" i="92"/>
  <c r="W58" i="92"/>
  <c r="W72" i="92" s="1"/>
  <c r="U6" i="92"/>
  <c r="U21" i="92" s="1"/>
  <c r="V5" i="92"/>
  <c r="R12" i="92"/>
  <c r="S13" i="92"/>
  <c r="U65" i="92"/>
  <c r="T64" i="92"/>
  <c r="Q102" i="92" l="1"/>
  <c r="G14" i="80"/>
  <c r="U19" i="92"/>
  <c r="U7" i="92"/>
  <c r="V4" i="92" s="1"/>
  <c r="V59" i="92"/>
  <c r="W56" i="92" s="1"/>
  <c r="V65" i="92"/>
  <c r="U64" i="92"/>
  <c r="T13" i="92"/>
  <c r="S12" i="92"/>
  <c r="T73" i="92"/>
  <c r="T75" i="92"/>
  <c r="T76" i="92"/>
  <c r="T78" i="92" s="1"/>
  <c r="T96" i="92" s="1"/>
  <c r="J15" i="80" s="1"/>
  <c r="W5" i="92"/>
  <c r="V6" i="92"/>
  <c r="V21" i="92" s="1"/>
  <c r="Y57" i="92"/>
  <c r="X58" i="92"/>
  <c r="X72" i="92" s="1"/>
  <c r="W10" i="92"/>
  <c r="V9" i="92"/>
  <c r="V17" i="92" s="1"/>
  <c r="V18" i="92" s="1"/>
  <c r="W62" i="92"/>
  <c r="V61" i="92"/>
  <c r="V68" i="92" s="1"/>
  <c r="V69" i="92" s="1"/>
  <c r="V70" i="92" s="1"/>
  <c r="U26" i="92"/>
  <c r="R24" i="92"/>
  <c r="R25" i="92"/>
  <c r="R27" i="92" s="1"/>
  <c r="R49" i="92" s="1"/>
  <c r="R22" i="92"/>
  <c r="W77" i="92"/>
  <c r="R102" i="92" l="1"/>
  <c r="H14" i="80"/>
  <c r="W59" i="92"/>
  <c r="X56" i="92" s="1"/>
  <c r="V7" i="92"/>
  <c r="W4" i="92" s="1"/>
  <c r="V19" i="92"/>
  <c r="X10" i="92"/>
  <c r="W9" i="92"/>
  <c r="W17" i="92" s="1"/>
  <c r="W18" i="92" s="1"/>
  <c r="V26" i="92"/>
  <c r="U76" i="92"/>
  <c r="U78" i="92" s="1"/>
  <c r="U96" i="92" s="1"/>
  <c r="K15" i="80" s="1"/>
  <c r="U75" i="92"/>
  <c r="U73" i="92"/>
  <c r="X77" i="92"/>
  <c r="X5" i="92"/>
  <c r="W6" i="92"/>
  <c r="W21" i="92" s="1"/>
  <c r="W65" i="92"/>
  <c r="V64" i="92"/>
  <c r="X62" i="92"/>
  <c r="W61" i="92"/>
  <c r="W68" i="92" s="1"/>
  <c r="W69" i="92" s="1"/>
  <c r="W70" i="92" s="1"/>
  <c r="Z57" i="92"/>
  <c r="Y58" i="92"/>
  <c r="Y72" i="92" s="1"/>
  <c r="S22" i="92"/>
  <c r="S24" i="92"/>
  <c r="S25" i="92"/>
  <c r="S27" i="92" s="1"/>
  <c r="S49" i="92" s="1"/>
  <c r="U13" i="92"/>
  <c r="T12" i="92"/>
  <c r="S102" i="92" l="1"/>
  <c r="I14" i="80"/>
  <c r="W19" i="92"/>
  <c r="W7" i="92"/>
  <c r="X4" i="92"/>
  <c r="Z58" i="92"/>
  <c r="Z72" i="92" s="1"/>
  <c r="V75" i="92"/>
  <c r="V73" i="92"/>
  <c r="V76" i="92"/>
  <c r="V78" i="92" s="1"/>
  <c r="V96" i="92" s="1"/>
  <c r="L15" i="80" s="1"/>
  <c r="X65" i="92"/>
  <c r="W64" i="92"/>
  <c r="Y10" i="92"/>
  <c r="X9" i="92"/>
  <c r="X17" i="92" s="1"/>
  <c r="X18" i="92" s="1"/>
  <c r="X59" i="92"/>
  <c r="Y56" i="92" s="1"/>
  <c r="W26" i="92"/>
  <c r="T24" i="92"/>
  <c r="T22" i="92"/>
  <c r="T25" i="92"/>
  <c r="T27" i="92" s="1"/>
  <c r="T49" i="92" s="1"/>
  <c r="V13" i="92"/>
  <c r="U12" i="92"/>
  <c r="Y77" i="92"/>
  <c r="Y62" i="92"/>
  <c r="X61" i="92"/>
  <c r="X68" i="92" s="1"/>
  <c r="X69" i="92" s="1"/>
  <c r="X70" i="92" s="1"/>
  <c r="X6" i="92"/>
  <c r="X21" i="92" s="1"/>
  <c r="Y5" i="92"/>
  <c r="T102" i="92" l="1"/>
  <c r="J14" i="80"/>
  <c r="X26" i="92"/>
  <c r="W13" i="92"/>
  <c r="V12" i="92"/>
  <c r="Y59" i="92"/>
  <c r="Z56" i="92" s="1"/>
  <c r="Z10" i="92"/>
  <c r="Y9" i="92"/>
  <c r="Y17" i="92" s="1"/>
  <c r="Y18" i="92" s="1"/>
  <c r="X19" i="92"/>
  <c r="X7" i="92"/>
  <c r="Y4" i="92" s="1"/>
  <c r="W73" i="92"/>
  <c r="W76" i="92"/>
  <c r="W78" i="92" s="1"/>
  <c r="W96" i="92" s="1"/>
  <c r="M15" i="80" s="1"/>
  <c r="W75" i="92"/>
  <c r="U22" i="92"/>
  <c r="U25" i="92"/>
  <c r="U27" i="92" s="1"/>
  <c r="U49" i="92" s="1"/>
  <c r="U24" i="92"/>
  <c r="Y6" i="92"/>
  <c r="Y21" i="92" s="1"/>
  <c r="Z5" i="92"/>
  <c r="Z62" i="92"/>
  <c r="Z61" i="92" s="1"/>
  <c r="Z68" i="92" s="1"/>
  <c r="Y61" i="92"/>
  <c r="Y68" i="92" s="1"/>
  <c r="Y69" i="92" s="1"/>
  <c r="Y70" i="92" s="1"/>
  <c r="Y65" i="92"/>
  <c r="X64" i="92"/>
  <c r="Z77" i="92"/>
  <c r="U102" i="92" l="1"/>
  <c r="K14" i="80"/>
  <c r="Y19" i="92"/>
  <c r="Y7" i="92"/>
  <c r="Z4" i="92" s="1"/>
  <c r="Z59" i="92"/>
  <c r="Z9" i="92"/>
  <c r="Z17" i="92" s="1"/>
  <c r="Z18" i="92" s="1"/>
  <c r="V22" i="92"/>
  <c r="V24" i="92"/>
  <c r="V25" i="92"/>
  <c r="V27" i="92" s="1"/>
  <c r="V49" i="92" s="1"/>
  <c r="X73" i="92"/>
  <c r="X75" i="92"/>
  <c r="X76" i="92"/>
  <c r="X78" i="92" s="1"/>
  <c r="X96" i="92" s="1"/>
  <c r="N15" i="80" s="1"/>
  <c r="Y26" i="92"/>
  <c r="W12" i="92"/>
  <c r="X13" i="92"/>
  <c r="Z6" i="92"/>
  <c r="Z21" i="92" s="1"/>
  <c r="Z65" i="92"/>
  <c r="Y64" i="92"/>
  <c r="Z69" i="92"/>
  <c r="Z70" i="92" s="1"/>
  <c r="V102" i="92" l="1"/>
  <c r="L14" i="80"/>
  <c r="Z7" i="92"/>
  <c r="Z19" i="92"/>
  <c r="Z26" i="92"/>
  <c r="Y75" i="92"/>
  <c r="Y76" i="92"/>
  <c r="Y78" i="92" s="1"/>
  <c r="Y96" i="92" s="1"/>
  <c r="O15" i="80" s="1"/>
  <c r="Y73" i="92"/>
  <c r="Y13" i="92"/>
  <c r="X12" i="92"/>
  <c r="Z64" i="92"/>
  <c r="W24" i="92"/>
  <c r="W25" i="92"/>
  <c r="W27" i="92" s="1"/>
  <c r="W49" i="92" s="1"/>
  <c r="W22" i="92"/>
  <c r="W102" i="92" l="1"/>
  <c r="M14" i="80"/>
  <c r="X22" i="92"/>
  <c r="X25" i="92"/>
  <c r="X27" i="92" s="1"/>
  <c r="X49" i="92" s="1"/>
  <c r="X24" i="92"/>
  <c r="Z13" i="92"/>
  <c r="Z12" i="92" s="1"/>
  <c r="Y12" i="92"/>
  <c r="Z73" i="92"/>
  <c r="Z75" i="92"/>
  <c r="Z76" i="92"/>
  <c r="Z78" i="92" s="1"/>
  <c r="Z96" i="92" s="1"/>
  <c r="P15" i="80" s="1"/>
  <c r="X102" i="92" l="1"/>
  <c r="N14" i="80"/>
  <c r="Y25" i="92"/>
  <c r="Y27" i="92" s="1"/>
  <c r="Y49" i="92" s="1"/>
  <c r="Y22" i="92"/>
  <c r="Y24" i="92"/>
  <c r="Z24" i="92"/>
  <c r="Z25" i="92"/>
  <c r="Z27" i="92" s="1"/>
  <c r="Z49" i="92" s="1"/>
  <c r="Z22" i="92"/>
  <c r="Z102" i="92" l="1"/>
  <c r="P14" i="80"/>
  <c r="Y102" i="92"/>
  <c r="O14" i="80"/>
  <c r="R156" i="19"/>
  <c r="R155" i="19"/>
  <c r="R157" i="19" s="1"/>
  <c r="R154" i="19"/>
  <c r="R153" i="19"/>
  <c r="R152" i="19" s="1"/>
  <c r="EM137" i="8" l="1"/>
  <c r="EH137" i="8"/>
  <c r="EC137" i="8"/>
  <c r="DX137" i="8"/>
  <c r="DS137" i="8"/>
  <c r="DN137" i="8"/>
  <c r="DI137" i="8"/>
  <c r="DD137" i="8"/>
  <c r="CY137" i="8"/>
  <c r="CT137" i="8"/>
  <c r="DC137" i="8"/>
  <c r="DB137" i="8"/>
  <c r="DA137" i="8"/>
  <c r="CZ137" i="8"/>
  <c r="O24" i="91" l="1"/>
  <c r="N24" i="91"/>
  <c r="M24" i="91"/>
  <c r="L24" i="91"/>
  <c r="K24" i="91"/>
  <c r="J24" i="91"/>
  <c r="I24" i="91"/>
  <c r="H24" i="91"/>
  <c r="G24" i="91"/>
  <c r="F24" i="91"/>
  <c r="E24" i="91"/>
  <c r="D24" i="91"/>
  <c r="C24" i="91"/>
  <c r="O23" i="91"/>
  <c r="N23" i="91"/>
  <c r="M23" i="91"/>
  <c r="L23" i="91"/>
  <c r="K23" i="91"/>
  <c r="J23" i="91"/>
  <c r="I23" i="91"/>
  <c r="H23" i="91"/>
  <c r="G23" i="91"/>
  <c r="F23" i="91"/>
  <c r="E22" i="91"/>
  <c r="F22" i="91" s="1"/>
  <c r="G22" i="91" s="1"/>
  <c r="H22" i="91" s="1"/>
  <c r="I22" i="91" s="1"/>
  <c r="J22" i="91" s="1"/>
  <c r="K22" i="91" s="1"/>
  <c r="L22" i="91" s="1"/>
  <c r="M22" i="91" s="1"/>
  <c r="N22" i="91" s="1"/>
  <c r="O22" i="91" s="1"/>
  <c r="F18" i="91"/>
  <c r="E23" i="91"/>
  <c r="D23" i="91"/>
  <c r="D22" i="91"/>
  <c r="E18" i="91"/>
  <c r="I20" i="91"/>
  <c r="J20" i="91" s="1"/>
  <c r="K20" i="91" s="1"/>
  <c r="L20" i="91" s="1"/>
  <c r="M20" i="91" s="1"/>
  <c r="N20" i="91" s="1"/>
  <c r="O20" i="91" s="1"/>
  <c r="H20" i="91"/>
  <c r="G20" i="91"/>
  <c r="F20" i="91"/>
  <c r="D20" i="91"/>
  <c r="D19" i="91"/>
  <c r="D18" i="91"/>
  <c r="L7" i="91"/>
  <c r="E17" i="91"/>
  <c r="E21" i="91" s="1"/>
  <c r="D17" i="91"/>
  <c r="D21" i="91" s="1"/>
  <c r="C17" i="91"/>
  <c r="C21" i="91" s="1"/>
  <c r="C25" i="91" s="1"/>
  <c r="O15" i="91"/>
  <c r="N15" i="91"/>
  <c r="M15" i="91"/>
  <c r="L15" i="91"/>
  <c r="K15" i="91"/>
  <c r="J15" i="91"/>
  <c r="I15" i="91"/>
  <c r="H15" i="91"/>
  <c r="G15" i="91"/>
  <c r="F15" i="91"/>
  <c r="E15" i="91"/>
  <c r="D15" i="91"/>
  <c r="C15" i="91"/>
  <c r="H12" i="91"/>
  <c r="G12" i="91"/>
  <c r="I12" i="91" s="1"/>
  <c r="J12" i="91" s="1"/>
  <c r="K12" i="91" s="1"/>
  <c r="L12" i="91" s="1"/>
  <c r="M12" i="91" s="1"/>
  <c r="N12" i="91" s="1"/>
  <c r="O12" i="91" s="1"/>
  <c r="F12" i="91"/>
  <c r="D12" i="91"/>
  <c r="F10" i="91"/>
  <c r="G10" i="91" s="1"/>
  <c r="H10" i="91" s="1"/>
  <c r="I10" i="91" s="1"/>
  <c r="J10" i="91" s="1"/>
  <c r="K10" i="91" s="1"/>
  <c r="D10" i="91"/>
  <c r="L11" i="91"/>
  <c r="M11" i="91" s="1"/>
  <c r="N11" i="91" s="1"/>
  <c r="O11" i="91" s="1"/>
  <c r="G11" i="91"/>
  <c r="H11" i="91" s="1"/>
  <c r="I11" i="91" s="1"/>
  <c r="J11" i="91" s="1"/>
  <c r="D11" i="91"/>
  <c r="E11" i="91" s="1"/>
  <c r="E6" i="91"/>
  <c r="D6" i="91"/>
  <c r="D7" i="91"/>
  <c r="E5" i="91"/>
  <c r="E9" i="91" s="1"/>
  <c r="E13" i="91" s="1"/>
  <c r="D5" i="91"/>
  <c r="D9" i="91" s="1"/>
  <c r="D13" i="91" s="1"/>
  <c r="C5" i="91"/>
  <c r="C9" i="91" s="1"/>
  <c r="C13" i="91" s="1"/>
  <c r="F8" i="91"/>
  <c r="G8" i="91" s="1"/>
  <c r="H8" i="91" s="1"/>
  <c r="I8" i="91" s="1"/>
  <c r="J8" i="91" s="1"/>
  <c r="K8" i="91" s="1"/>
  <c r="L8" i="91" s="1"/>
  <c r="M8" i="91" s="1"/>
  <c r="N8" i="91" s="1"/>
  <c r="O8" i="91" s="1"/>
  <c r="D8" i="91"/>
  <c r="D3" i="91"/>
  <c r="E3" i="91" s="1"/>
  <c r="F3" i="91" s="1"/>
  <c r="G3" i="91" s="1"/>
  <c r="H3" i="91" s="1"/>
  <c r="I3" i="91" s="1"/>
  <c r="J3" i="91" s="1"/>
  <c r="K3" i="91" s="1"/>
  <c r="L3" i="91" s="1"/>
  <c r="M3" i="91" s="1"/>
  <c r="N3" i="91" s="1"/>
  <c r="O3" i="91" s="1"/>
  <c r="C27" i="91" l="1"/>
  <c r="D25" i="91"/>
  <c r="D27" i="91" s="1"/>
  <c r="E25" i="91"/>
  <c r="E27" i="91" s="1"/>
  <c r="F17" i="91"/>
  <c r="F21" i="91" s="1"/>
  <c r="F25" i="91" s="1"/>
  <c r="L10" i="91"/>
  <c r="M10" i="91"/>
  <c r="F6" i="91"/>
  <c r="I6" i="91"/>
  <c r="I5" i="91"/>
  <c r="I9" i="91" s="1"/>
  <c r="I13" i="91" s="1"/>
  <c r="G6" i="91"/>
  <c r="G5" i="91"/>
  <c r="G9" i="91" s="1"/>
  <c r="G13" i="91" s="1"/>
  <c r="F5" i="91"/>
  <c r="F9" i="91" s="1"/>
  <c r="F13" i="91" s="1"/>
  <c r="F27" i="91" l="1"/>
  <c r="G17" i="91"/>
  <c r="G21" i="91" s="1"/>
  <c r="G25" i="91" s="1"/>
  <c r="G27" i="91" s="1"/>
  <c r="G18" i="91"/>
  <c r="H17" i="91"/>
  <c r="H21" i="91" s="1"/>
  <c r="H25" i="91" s="1"/>
  <c r="N10" i="91"/>
  <c r="M7" i="91"/>
  <c r="L6" i="91"/>
  <c r="L5" i="91"/>
  <c r="L9" i="91" s="1"/>
  <c r="L13" i="91" s="1"/>
  <c r="K5" i="91"/>
  <c r="K9" i="91" s="1"/>
  <c r="K13" i="91" s="1"/>
  <c r="J6" i="91"/>
  <c r="K6" i="91"/>
  <c r="J5" i="91"/>
  <c r="J9" i="91" s="1"/>
  <c r="J13" i="91" s="1"/>
  <c r="H6" i="91"/>
  <c r="H5" i="91"/>
  <c r="H9" i="91" s="1"/>
  <c r="H13" i="91" s="1"/>
  <c r="K18" i="91" l="1"/>
  <c r="L19" i="91"/>
  <c r="K17" i="91"/>
  <c r="K21" i="91" s="1"/>
  <c r="K25" i="91" s="1"/>
  <c r="K27" i="91" s="1"/>
  <c r="H27" i="91"/>
  <c r="J18" i="91"/>
  <c r="J17" i="91"/>
  <c r="J21" i="91" s="1"/>
  <c r="J25" i="91" s="1"/>
  <c r="J27" i="91" s="1"/>
  <c r="H18" i="91"/>
  <c r="I18" i="91"/>
  <c r="I17" i="91"/>
  <c r="I21" i="91" s="1"/>
  <c r="I25" i="91" s="1"/>
  <c r="I27" i="91" s="1"/>
  <c r="O10" i="91"/>
  <c r="M6" i="91"/>
  <c r="N7" i="91"/>
  <c r="M5" i="91"/>
  <c r="M9" i="91" s="1"/>
  <c r="M13" i="91" s="1"/>
  <c r="L18" i="91" l="1"/>
  <c r="M19" i="91"/>
  <c r="L17" i="91"/>
  <c r="L21" i="91" s="1"/>
  <c r="L25" i="91" s="1"/>
  <c r="L27" i="91" s="1"/>
  <c r="O7" i="91"/>
  <c r="N6" i="91"/>
  <c r="N5" i="91"/>
  <c r="N9" i="91" s="1"/>
  <c r="N13" i="91" s="1"/>
  <c r="N19" i="91" l="1"/>
  <c r="M17" i="91"/>
  <c r="M21" i="91" s="1"/>
  <c r="M25" i="91" s="1"/>
  <c r="M27" i="91" s="1"/>
  <c r="M18" i="91"/>
  <c r="O6" i="91"/>
  <c r="O5" i="91"/>
  <c r="O9" i="91" s="1"/>
  <c r="O13" i="91" s="1"/>
  <c r="O19" i="91" l="1"/>
  <c r="N17" i="91"/>
  <c r="N21" i="91" s="1"/>
  <c r="N25" i="91" s="1"/>
  <c r="N27" i="91" s="1"/>
  <c r="N18" i="91"/>
  <c r="R83" i="20"/>
  <c r="R80" i="20"/>
  <c r="R77" i="20"/>
  <c r="R75" i="20"/>
  <c r="R74" i="20"/>
  <c r="O17" i="91" l="1"/>
  <c r="O21" i="91" s="1"/>
  <c r="O25" i="91" s="1"/>
  <c r="O27" i="91" s="1"/>
  <c r="O18" i="91"/>
  <c r="J85" i="21"/>
  <c r="K85" i="21" s="1"/>
  <c r="L85" i="21" s="1"/>
  <c r="M85" i="21" s="1"/>
  <c r="N85" i="21" s="1"/>
  <c r="O85" i="21" s="1"/>
  <c r="P85" i="21" s="1"/>
  <c r="Q85" i="21" s="1"/>
  <c r="R85" i="21" s="1"/>
  <c r="S85" i="21" s="1"/>
  <c r="T85" i="21" s="1"/>
  <c r="U85" i="21" s="1"/>
  <c r="V85" i="21" s="1"/>
  <c r="W85" i="21" s="1"/>
  <c r="I85" i="21"/>
  <c r="H85" i="21"/>
  <c r="G85" i="21"/>
  <c r="I65" i="21"/>
  <c r="J65" i="21" s="1"/>
  <c r="K65" i="21" s="1"/>
  <c r="L65" i="21" s="1"/>
  <c r="M65" i="21" s="1"/>
  <c r="N65" i="21" s="1"/>
  <c r="O65" i="21" s="1"/>
  <c r="P65" i="21" s="1"/>
  <c r="Q65" i="21" s="1"/>
  <c r="R65" i="21" s="1"/>
  <c r="S65" i="21" s="1"/>
  <c r="T65" i="21" s="1"/>
  <c r="U65" i="21" s="1"/>
  <c r="V65" i="21" s="1"/>
  <c r="W65" i="21" s="1"/>
  <c r="H65" i="21"/>
  <c r="L27" i="21"/>
  <c r="K104" i="21"/>
  <c r="J104" i="21"/>
  <c r="W101" i="21"/>
  <c r="V101" i="21"/>
  <c r="U101" i="21"/>
  <c r="T101" i="21"/>
  <c r="S101" i="21"/>
  <c r="R101" i="21"/>
  <c r="Q101" i="21"/>
  <c r="P101" i="21"/>
  <c r="O101" i="21"/>
  <c r="N101" i="21"/>
  <c r="M101" i="21"/>
  <c r="L101" i="21"/>
  <c r="K101" i="21"/>
  <c r="J101" i="21"/>
  <c r="L100" i="21"/>
  <c r="M100" i="21" s="1"/>
  <c r="N100" i="21" s="1"/>
  <c r="O100" i="21" s="1"/>
  <c r="P100" i="21" s="1"/>
  <c r="Q100" i="21" s="1"/>
  <c r="R100" i="21" s="1"/>
  <c r="S100" i="21" s="1"/>
  <c r="T100" i="21" s="1"/>
  <c r="U100" i="21" s="1"/>
  <c r="V100" i="21" s="1"/>
  <c r="W100" i="21" s="1"/>
  <c r="K100" i="21"/>
  <c r="K99" i="21"/>
  <c r="L99" i="21" s="1"/>
  <c r="M99" i="21" s="1"/>
  <c r="N99" i="21" s="1"/>
  <c r="O99" i="21" s="1"/>
  <c r="P99" i="21" s="1"/>
  <c r="Q99" i="21" s="1"/>
  <c r="R99" i="21" s="1"/>
  <c r="S99" i="21" s="1"/>
  <c r="T99" i="21" s="1"/>
  <c r="U99" i="21" s="1"/>
  <c r="V99" i="21" s="1"/>
  <c r="W99" i="21" s="1"/>
  <c r="T77" i="21"/>
  <c r="S76" i="21"/>
  <c r="R76" i="21"/>
  <c r="Q76" i="21"/>
  <c r="P76" i="21"/>
  <c r="O76" i="21"/>
  <c r="N76" i="21"/>
  <c r="M76" i="21"/>
  <c r="L76" i="21"/>
  <c r="K76" i="21"/>
  <c r="J76" i="21"/>
  <c r="L75" i="21"/>
  <c r="M75" i="21" s="1"/>
  <c r="N75" i="21" s="1"/>
  <c r="O75" i="21" s="1"/>
  <c r="P75" i="21" s="1"/>
  <c r="Q75" i="21" s="1"/>
  <c r="R75" i="21" s="1"/>
  <c r="S75" i="21" s="1"/>
  <c r="T75" i="21" s="1"/>
  <c r="U75" i="21" s="1"/>
  <c r="V75" i="21" s="1"/>
  <c r="W75" i="21" s="1"/>
  <c r="K75" i="21"/>
  <c r="L74" i="21"/>
  <c r="M74" i="21" s="1"/>
  <c r="N74" i="21" s="1"/>
  <c r="O74" i="21" s="1"/>
  <c r="P74" i="21" s="1"/>
  <c r="Q74" i="21" s="1"/>
  <c r="R74" i="21" s="1"/>
  <c r="S74" i="21" s="1"/>
  <c r="T74" i="21" s="1"/>
  <c r="U74" i="21" s="1"/>
  <c r="V74" i="21" s="1"/>
  <c r="W74" i="21" s="1"/>
  <c r="W76" i="21" s="1"/>
  <c r="K74" i="21"/>
  <c r="P57" i="21"/>
  <c r="O56" i="21"/>
  <c r="N56" i="21"/>
  <c r="M56" i="21"/>
  <c r="L56" i="21"/>
  <c r="K56" i="21"/>
  <c r="J56" i="21"/>
  <c r="L55" i="21"/>
  <c r="M55" i="21" s="1"/>
  <c r="N55" i="21" s="1"/>
  <c r="O55" i="21" s="1"/>
  <c r="P55" i="21" s="1"/>
  <c r="Q55" i="21" s="1"/>
  <c r="R55" i="21" s="1"/>
  <c r="S55" i="21" s="1"/>
  <c r="T55" i="21" s="1"/>
  <c r="U55" i="21" s="1"/>
  <c r="V55" i="21" s="1"/>
  <c r="W55" i="21" s="1"/>
  <c r="K55" i="21"/>
  <c r="M54" i="21"/>
  <c r="N54" i="21" s="1"/>
  <c r="O54" i="21" s="1"/>
  <c r="P54" i="21" s="1"/>
  <c r="Q54" i="21" s="1"/>
  <c r="R54" i="21" s="1"/>
  <c r="S54" i="21" s="1"/>
  <c r="T54" i="21" s="1"/>
  <c r="U54" i="21" s="1"/>
  <c r="V54" i="21" s="1"/>
  <c r="W54" i="21" s="1"/>
  <c r="W56" i="21" s="1"/>
  <c r="L54" i="21"/>
  <c r="K54" i="21"/>
  <c r="N42" i="21"/>
  <c r="M41" i="21"/>
  <c r="L41" i="21"/>
  <c r="K41" i="21"/>
  <c r="J41" i="21"/>
  <c r="M40" i="21"/>
  <c r="N40" i="21" s="1"/>
  <c r="O40" i="21" s="1"/>
  <c r="P40" i="21" s="1"/>
  <c r="Q40" i="21" s="1"/>
  <c r="R40" i="21" s="1"/>
  <c r="S40" i="21" s="1"/>
  <c r="T40" i="21" s="1"/>
  <c r="U40" i="21" s="1"/>
  <c r="V40" i="21" s="1"/>
  <c r="W40" i="21" s="1"/>
  <c r="L40" i="21"/>
  <c r="K40" i="21"/>
  <c r="L39" i="21"/>
  <c r="M39" i="21" s="1"/>
  <c r="N39" i="21" s="1"/>
  <c r="O39" i="21" s="1"/>
  <c r="P39" i="21" s="1"/>
  <c r="Q39" i="21" s="1"/>
  <c r="R39" i="21" s="1"/>
  <c r="S39" i="21" s="1"/>
  <c r="T39" i="21" s="1"/>
  <c r="U39" i="21" s="1"/>
  <c r="V39" i="21" s="1"/>
  <c r="W39" i="21" s="1"/>
  <c r="W41" i="21" s="1"/>
  <c r="K39" i="21"/>
  <c r="K22" i="21"/>
  <c r="J17" i="21"/>
  <c r="S30" i="19"/>
  <c r="R107" i="19"/>
  <c r="R108" i="19"/>
  <c r="R104" i="19"/>
  <c r="R79" i="19"/>
  <c r="R77" i="19"/>
  <c r="R75" i="19"/>
  <c r="R73" i="19"/>
  <c r="R71" i="19"/>
  <c r="R69" i="19"/>
  <c r="R67" i="19"/>
  <c r="R66" i="19"/>
  <c r="R64" i="19"/>
  <c r="R62" i="19"/>
  <c r="R43" i="20"/>
  <c r="R19" i="20"/>
  <c r="R21" i="19"/>
  <c r="E27" i="80"/>
  <c r="F27" i="80" s="1"/>
  <c r="G27" i="80" s="1"/>
  <c r="E26" i="80"/>
  <c r="E25" i="80" s="1"/>
  <c r="D26" i="80"/>
  <c r="D25" i="80" s="1"/>
  <c r="U76" i="21" l="1"/>
  <c r="V76" i="21"/>
  <c r="T76" i="21"/>
  <c r="Q56" i="21"/>
  <c r="U56" i="21"/>
  <c r="R56" i="21"/>
  <c r="V56" i="21"/>
  <c r="S56" i="21"/>
  <c r="P56" i="21"/>
  <c r="T56" i="21"/>
  <c r="N41" i="21"/>
  <c r="R41" i="21"/>
  <c r="S41" i="21"/>
  <c r="T41" i="21"/>
  <c r="Q41" i="21"/>
  <c r="U41" i="21"/>
  <c r="V41" i="21"/>
  <c r="O41" i="21"/>
  <c r="P41" i="21"/>
  <c r="C2" i="89"/>
  <c r="S22" i="89"/>
  <c r="R22" i="89"/>
  <c r="Q22" i="89"/>
  <c r="P22" i="89"/>
  <c r="O22" i="89"/>
  <c r="N22" i="89"/>
  <c r="M22" i="89"/>
  <c r="L22" i="89"/>
  <c r="K22" i="89"/>
  <c r="J22" i="89"/>
  <c r="I22" i="89"/>
  <c r="S17" i="89"/>
  <c r="R17" i="89"/>
  <c r="Q17" i="89"/>
  <c r="O17" i="89"/>
  <c r="N17" i="89"/>
  <c r="M17" i="89"/>
  <c r="L17" i="89"/>
  <c r="K17" i="89"/>
  <c r="J17" i="89"/>
  <c r="I17" i="89"/>
  <c r="P17" i="89"/>
  <c r="E6" i="89"/>
  <c r="F6" i="89" s="1"/>
  <c r="G6" i="89" s="1"/>
  <c r="H6" i="89" s="1"/>
  <c r="I6" i="89" s="1"/>
  <c r="J6" i="89" s="1"/>
  <c r="K6" i="89" s="1"/>
  <c r="L6" i="89" s="1"/>
  <c r="M6" i="89" s="1"/>
  <c r="N6" i="89" s="1"/>
  <c r="O6" i="89" s="1"/>
  <c r="P6" i="89" s="1"/>
  <c r="Q6" i="89" s="1"/>
  <c r="R6" i="89" s="1"/>
  <c r="S6" i="89" s="1"/>
  <c r="D6" i="89"/>
  <c r="E2" i="80"/>
  <c r="F2" i="80" s="1"/>
  <c r="G2" i="80" s="1"/>
  <c r="H2" i="80" s="1"/>
  <c r="I2" i="80" s="1"/>
  <c r="J2" i="80" s="1"/>
  <c r="K2" i="80" s="1"/>
  <c r="L2" i="80" s="1"/>
  <c r="M2" i="80" s="1"/>
  <c r="N2" i="80" s="1"/>
  <c r="O2" i="80" s="1"/>
  <c r="P2" i="80" s="1"/>
  <c r="K28" i="89" l="1"/>
  <c r="S28" i="89"/>
  <c r="D9" i="89"/>
  <c r="D15" i="89" s="1"/>
  <c r="H9" i="89"/>
  <c r="H15" i="89" s="1"/>
  <c r="P9" i="89"/>
  <c r="P15" i="89" s="1"/>
  <c r="L9" i="89"/>
  <c r="L15" i="89" s="1"/>
  <c r="R28" i="89"/>
  <c r="I30" i="89"/>
  <c r="M30" i="89"/>
  <c r="Q30" i="89"/>
  <c r="R20" i="89"/>
  <c r="J30" i="89"/>
  <c r="N30" i="89"/>
  <c r="R30" i="89"/>
  <c r="L28" i="89"/>
  <c r="P28" i="89"/>
  <c r="J28" i="89"/>
  <c r="N20" i="89"/>
  <c r="D17" i="80"/>
  <c r="D13" i="80"/>
  <c r="J20" i="89"/>
  <c r="N28" i="89"/>
  <c r="K30" i="89"/>
  <c r="O30" i="89"/>
  <c r="S30" i="89"/>
  <c r="O28" i="89"/>
  <c r="P20" i="89"/>
  <c r="E9" i="89"/>
  <c r="E15" i="89" s="1"/>
  <c r="C9" i="89"/>
  <c r="C15" i="89" s="1"/>
  <c r="G9" i="89"/>
  <c r="G15" i="89" s="1"/>
  <c r="K9" i="89"/>
  <c r="K15" i="89" s="1"/>
  <c r="O9" i="89"/>
  <c r="O15" i="89" s="1"/>
  <c r="S9" i="89"/>
  <c r="S15" i="89" s="1"/>
  <c r="I20" i="89"/>
  <c r="M20" i="89"/>
  <c r="Q20" i="89"/>
  <c r="M28" i="89"/>
  <c r="Q28" i="89"/>
  <c r="L30" i="89"/>
  <c r="P30" i="89"/>
  <c r="I9" i="89"/>
  <c r="I15" i="89" s="1"/>
  <c r="M9" i="89"/>
  <c r="M15" i="89" s="1"/>
  <c r="Q9" i="89"/>
  <c r="Q15" i="89" s="1"/>
  <c r="K20" i="89"/>
  <c r="O20" i="89"/>
  <c r="S20" i="89"/>
  <c r="F9" i="89"/>
  <c r="F15" i="89" s="1"/>
  <c r="J9" i="89"/>
  <c r="J15" i="89" s="1"/>
  <c r="N9" i="89"/>
  <c r="N15" i="89" s="1"/>
  <c r="R9" i="89"/>
  <c r="R15" i="89" s="1"/>
  <c r="L20" i="89"/>
  <c r="D21" i="80"/>
  <c r="D9" i="80" l="1"/>
  <c r="E21" i="80" l="1"/>
  <c r="F21" i="80" l="1"/>
  <c r="D5" i="80" l="1"/>
  <c r="D3" i="80" s="1"/>
  <c r="D31" i="80" s="1"/>
  <c r="CE44" i="8" s="1"/>
  <c r="E17" i="80"/>
  <c r="E13" i="80"/>
  <c r="E5" i="80" l="1"/>
  <c r="E9" i="80"/>
  <c r="E3" i="80" l="1"/>
  <c r="F5" i="80"/>
  <c r="F13" i="80"/>
  <c r="F17" i="80"/>
  <c r="F9" i="80"/>
  <c r="E31" i="80" l="1"/>
  <c r="CJ44" i="8" s="1"/>
  <c r="F3" i="80"/>
  <c r="G5" i="80"/>
  <c r="G13" i="80"/>
  <c r="G17" i="80"/>
  <c r="G9" i="80"/>
  <c r="H5" i="80" l="1"/>
  <c r="G3" i="80"/>
  <c r="H13" i="80"/>
  <c r="H17" i="80"/>
  <c r="H9" i="80"/>
  <c r="H3" i="80" l="1"/>
  <c r="I5" i="80"/>
  <c r="I17" i="80"/>
  <c r="J17" i="80"/>
  <c r="I13" i="80"/>
  <c r="I9" i="80"/>
  <c r="I3" i="80" l="1"/>
  <c r="J5" i="80"/>
  <c r="J13" i="80"/>
  <c r="J9" i="80"/>
  <c r="J3" i="80" l="1"/>
  <c r="K17" i="80"/>
  <c r="K13" i="80"/>
  <c r="K9" i="80"/>
  <c r="L13" i="80" l="1"/>
  <c r="L17" i="80"/>
  <c r="L9" i="80"/>
  <c r="M17" i="80" l="1"/>
  <c r="M13" i="80"/>
  <c r="M9" i="80"/>
  <c r="N17" i="80" l="1"/>
  <c r="N13" i="80"/>
  <c r="N9" i="80"/>
  <c r="O13" i="80" l="1"/>
  <c r="O17" i="80"/>
  <c r="P9" i="80"/>
  <c r="O9" i="80"/>
  <c r="P13" i="80" l="1"/>
  <c r="P17" i="80"/>
  <c r="CC87" i="10" l="1"/>
  <c r="CD87" i="10" s="1"/>
  <c r="CE87" i="10" s="1"/>
  <c r="CB87" i="10"/>
  <c r="BX42" i="8" l="1"/>
  <c r="BZ42" i="8"/>
  <c r="CA54" i="10"/>
  <c r="CA23" i="10"/>
  <c r="CA22" i="10"/>
  <c r="BZ81" i="10"/>
  <c r="BZ13" i="10"/>
  <c r="BZ80" i="10"/>
  <c r="CA56" i="10"/>
  <c r="CA55" i="10"/>
  <c r="CA53" i="10"/>
  <c r="CA50" i="10"/>
  <c r="BZ63" i="8"/>
  <c r="BY62" i="8"/>
  <c r="BZ40" i="8"/>
  <c r="BZ34" i="8"/>
  <c r="BZ26" i="8"/>
  <c r="BZ25" i="8"/>
  <c r="BZ21" i="8"/>
  <c r="BZ20" i="8"/>
  <c r="BZ16" i="8"/>
  <c r="BZ15" i="8"/>
  <c r="BZ11" i="8"/>
  <c r="BZ10" i="8"/>
  <c r="BZ7" i="8"/>
  <c r="BZ6" i="8"/>
  <c r="BY38" i="8"/>
  <c r="BZ38" i="8" s="1"/>
  <c r="BY36" i="8"/>
  <c r="BZ36" i="8" s="1"/>
  <c r="CC61" i="10" l="1"/>
  <c r="CD61" i="10" l="1"/>
  <c r="CC56" i="10"/>
  <c r="CD56" i="10" s="1"/>
  <c r="CB55" i="10"/>
  <c r="CC50" i="10"/>
  <c r="CD50" i="10" s="1"/>
  <c r="CB38" i="10"/>
  <c r="CC38" i="10" l="1"/>
  <c r="CC55" i="10"/>
  <c r="CD55" i="10" s="1"/>
  <c r="CD38" i="10"/>
  <c r="CC23" i="10"/>
  <c r="CD23" i="10" s="1"/>
  <c r="CC22" i="10"/>
  <c r="CD22" i="10" s="1"/>
  <c r="CE55" i="10" l="1"/>
  <c r="CA134" i="8"/>
  <c r="CB134" i="8" s="1"/>
  <c r="CC134" i="8" s="1"/>
  <c r="CD134" i="8" s="1"/>
  <c r="CA127" i="8"/>
  <c r="CB127" i="8" s="1"/>
  <c r="CC127" i="8" s="1"/>
  <c r="CD127" i="8" s="1"/>
  <c r="CA122" i="8"/>
  <c r="CB122" i="8" s="1"/>
  <c r="CC122" i="8" s="1"/>
  <c r="CD122" i="8" s="1"/>
  <c r="CC48" i="8" l="1"/>
  <c r="CC154" i="8" s="1"/>
  <c r="CA48" i="8"/>
  <c r="CA154" i="8" s="1"/>
  <c r="CB50" i="8"/>
  <c r="CB49" i="8"/>
  <c r="CB48" i="8" s="1"/>
  <c r="CB154" i="8" s="1"/>
  <c r="CB34" i="8"/>
  <c r="CC34" i="8" s="1"/>
  <c r="CC40" i="8"/>
  <c r="CB40" i="8"/>
  <c r="CD40" i="8" s="1"/>
  <c r="CA40" i="8"/>
  <c r="R30" i="4"/>
  <c r="H12" i="64" l="1"/>
  <c r="EH136" i="8" l="1"/>
  <c r="DS136" i="8"/>
  <c r="DD136" i="8"/>
  <c r="CO136" i="8"/>
  <c r="BZ136" i="8" l="1"/>
  <c r="P26" i="73"/>
  <c r="EM136" i="8" s="1"/>
  <c r="M26" i="73"/>
  <c r="DX136" i="8" s="1"/>
  <c r="J26" i="73"/>
  <c r="DI136" i="8" s="1"/>
  <c r="G26" i="73"/>
  <c r="CT136" i="8" s="1"/>
  <c r="D26" i="73"/>
  <c r="CE136" i="8" s="1"/>
  <c r="D22" i="73"/>
  <c r="E22" i="73" s="1"/>
  <c r="F22" i="73" s="1"/>
  <c r="G22" i="73" s="1"/>
  <c r="H22" i="73" s="1"/>
  <c r="I22" i="73" s="1"/>
  <c r="J22" i="73" s="1"/>
  <c r="K22" i="73" s="1"/>
  <c r="L22" i="73" s="1"/>
  <c r="M22" i="73" s="1"/>
  <c r="N22" i="73" s="1"/>
  <c r="O22" i="73" s="1"/>
  <c r="P22" i="73" s="1"/>
  <c r="M17" i="73"/>
  <c r="N17" i="73" s="1"/>
  <c r="O17" i="73" s="1"/>
  <c r="D17" i="73"/>
  <c r="E17" i="73" s="1"/>
  <c r="D18" i="73"/>
  <c r="E18" i="73" s="1"/>
  <c r="E26" i="73" l="1"/>
  <c r="CJ136" i="8" s="1"/>
  <c r="K26" i="73"/>
  <c r="DN136" i="8" s="1"/>
  <c r="H26" i="73"/>
  <c r="CY136" i="8" s="1"/>
  <c r="N26" i="73"/>
  <c r="EC136" i="8" s="1"/>
  <c r="P17" i="73"/>
  <c r="D9" i="73" l="1"/>
  <c r="E9" i="73" s="1"/>
  <c r="F9" i="73" l="1"/>
  <c r="H9" i="73" l="1"/>
  <c r="I9" i="73" l="1"/>
  <c r="J9" i="73" l="1"/>
  <c r="K9" i="73" l="1"/>
  <c r="L9" i="73" l="1"/>
  <c r="M9" i="73" l="1"/>
  <c r="N9" i="73" l="1"/>
  <c r="O9" i="73" l="1"/>
  <c r="P9" i="73" l="1"/>
  <c r="E3" i="73" l="1"/>
  <c r="F3" i="73" s="1"/>
  <c r="G3" i="73" s="1"/>
  <c r="H3" i="73" s="1"/>
  <c r="I3" i="73" s="1"/>
  <c r="J3" i="73" s="1"/>
  <c r="K3" i="73" s="1"/>
  <c r="L3" i="73" s="1"/>
  <c r="M3" i="73" s="1"/>
  <c r="N3" i="73" s="1"/>
  <c r="O3" i="73" s="1"/>
  <c r="P3" i="73" s="1"/>
  <c r="D3" i="73"/>
  <c r="CB7" i="10"/>
  <c r="FA2" i="10"/>
  <c r="CE36" i="10"/>
  <c r="CC36" i="10"/>
  <c r="CE7" i="10"/>
  <c r="CK36" i="10"/>
  <c r="CB36" i="10"/>
  <c r="CF36" i="10"/>
  <c r="CC7" i="10"/>
  <c r="CK7" i="10"/>
  <c r="CF7" i="10"/>
  <c r="CP36" i="10"/>
  <c r="CD36" i="10"/>
  <c r="CD7" i="10"/>
  <c r="CP7" i="10"/>
  <c r="AC239" i="15" l="1"/>
  <c r="AD239" i="15" s="1"/>
  <c r="AE239" i="15" s="1"/>
  <c r="CB86" i="10" l="1"/>
  <c r="CC86" i="10" s="1"/>
  <c r="CD86" i="10" s="1"/>
  <c r="CE86" i="10" s="1"/>
  <c r="CF86" i="10" s="1"/>
  <c r="J20" i="61"/>
  <c r="K20" i="61" l="1"/>
  <c r="L20" i="61" s="1"/>
  <c r="M20" i="61" s="1"/>
  <c r="N20" i="61" s="1"/>
  <c r="CF87" i="10" l="1"/>
  <c r="BY80" i="10"/>
  <c r="BY81" i="10" s="1"/>
  <c r="BY13" i="10"/>
  <c r="BY12" i="10"/>
  <c r="BY9" i="10"/>
  <c r="BX159" i="8" s="1"/>
  <c r="BX62" i="8"/>
  <c r="C22" i="22" l="1"/>
  <c r="J25" i="38" l="1"/>
  <c r="K25" i="38" s="1"/>
  <c r="L25" i="38" s="1"/>
  <c r="M25" i="38" s="1"/>
  <c r="N25" i="38" s="1"/>
  <c r="O25" i="38" s="1"/>
  <c r="P25" i="38" s="1"/>
  <c r="Q25" i="38" s="1"/>
  <c r="R25" i="38" s="1"/>
  <c r="S25" i="38" s="1"/>
  <c r="J23" i="38"/>
  <c r="K23" i="38" s="1"/>
  <c r="L23" i="38" s="1"/>
  <c r="M23" i="38" s="1"/>
  <c r="N23" i="38" s="1"/>
  <c r="O23" i="38" s="1"/>
  <c r="P23" i="38" s="1"/>
  <c r="Q23" i="38" s="1"/>
  <c r="R23" i="38" s="1"/>
  <c r="S23" i="38" s="1"/>
  <c r="I25" i="38"/>
  <c r="I24" i="38"/>
  <c r="J24" i="38" s="1"/>
  <c r="K24" i="38" s="1"/>
  <c r="L24" i="38" s="1"/>
  <c r="M24" i="38" s="1"/>
  <c r="N24" i="38" s="1"/>
  <c r="O24" i="38" s="1"/>
  <c r="P24" i="38" s="1"/>
  <c r="Q24" i="38" s="1"/>
  <c r="R24" i="38" s="1"/>
  <c r="S24" i="38" s="1"/>
  <c r="I23" i="38"/>
  <c r="H31" i="38" l="1"/>
  <c r="R56" i="1" l="1"/>
  <c r="BX80" i="10" l="1"/>
  <c r="BX81" i="10" s="1"/>
  <c r="CA60" i="10"/>
  <c r="BX13" i="10"/>
  <c r="BX12" i="10"/>
  <c r="BX9" i="10"/>
  <c r="BW159" i="8" s="1"/>
  <c r="BW62" i="8"/>
  <c r="I43" i="64" l="1"/>
  <c r="I44" i="64" s="1"/>
  <c r="H43" i="64"/>
  <c r="H44" i="64" s="1"/>
  <c r="C38" i="64"/>
  <c r="K38" i="64"/>
  <c r="J38" i="64"/>
  <c r="I38" i="64"/>
  <c r="H38" i="64"/>
  <c r="G38" i="64"/>
  <c r="F38" i="64"/>
  <c r="E38" i="64"/>
  <c r="D38" i="64"/>
  <c r="F16" i="64"/>
  <c r="F32" i="64" s="1"/>
  <c r="F33" i="64" s="1"/>
  <c r="D16" i="64"/>
  <c r="D32" i="64" s="1"/>
  <c r="C16" i="64"/>
  <c r="C32" i="64" s="1"/>
  <c r="C34" i="64" s="1"/>
  <c r="I15" i="64"/>
  <c r="H15" i="64"/>
  <c r="C15" i="64"/>
  <c r="D14" i="64"/>
  <c r="C13" i="64"/>
  <c r="C18" i="64" s="1"/>
  <c r="E12" i="64"/>
  <c r="F12" i="64" s="1"/>
  <c r="G12" i="64" s="1"/>
  <c r="D12" i="64"/>
  <c r="G11" i="64"/>
  <c r="G16" i="64" s="1"/>
  <c r="G32" i="64" s="1"/>
  <c r="G34" i="64" s="1"/>
  <c r="E11" i="64"/>
  <c r="E16" i="64" s="1"/>
  <c r="E32" i="64" s="1"/>
  <c r="F10" i="64"/>
  <c r="G10" i="64" s="1"/>
  <c r="D10" i="64"/>
  <c r="E10" i="64" s="1"/>
  <c r="D8" i="64"/>
  <c r="E8" i="64" s="1"/>
  <c r="F8" i="64" s="1"/>
  <c r="D7" i="64"/>
  <c r="D15" i="64" s="1"/>
  <c r="K10" i="64"/>
  <c r="L10" i="64" s="1"/>
  <c r="I10" i="64"/>
  <c r="J10" i="64" s="1"/>
  <c r="I9" i="64"/>
  <c r="I17" i="64" s="1"/>
  <c r="C9" i="64"/>
  <c r="C17" i="64" s="1"/>
  <c r="R8" i="64"/>
  <c r="P8" i="64"/>
  <c r="H9" i="64"/>
  <c r="H17" i="64" s="1"/>
  <c r="G8" i="64"/>
  <c r="H8" i="64" s="1"/>
  <c r="I8" i="64" s="1"/>
  <c r="J7" i="64"/>
  <c r="D3" i="64"/>
  <c r="E3" i="64" s="1"/>
  <c r="F3" i="64" s="1"/>
  <c r="G3" i="64" s="1"/>
  <c r="H3" i="64" s="1"/>
  <c r="P28" i="61"/>
  <c r="Q28" i="61" s="1"/>
  <c r="R28" i="61" s="1"/>
  <c r="K28" i="61"/>
  <c r="L28" i="61" s="1"/>
  <c r="M28" i="61" s="1"/>
  <c r="N28" i="61" s="1"/>
  <c r="E21" i="61"/>
  <c r="F21" i="61" s="1"/>
  <c r="G21" i="61" s="1"/>
  <c r="H21" i="61" s="1"/>
  <c r="G20" i="61"/>
  <c r="H20" i="61" s="1"/>
  <c r="E20" i="61"/>
  <c r="F20" i="61" s="1"/>
  <c r="J21" i="61"/>
  <c r="K21" i="61" s="1"/>
  <c r="L21" i="61" s="1"/>
  <c r="M21" i="61" s="1"/>
  <c r="N21" i="61" s="1"/>
  <c r="O21" i="61" s="1"/>
  <c r="P21" i="61" s="1"/>
  <c r="Q21" i="61" s="1"/>
  <c r="R21" i="61" s="1"/>
  <c r="S21" i="61" s="1"/>
  <c r="F19" i="61"/>
  <c r="G19" i="61" s="1"/>
  <c r="H19" i="61" s="1"/>
  <c r="E19" i="61"/>
  <c r="E13" i="61"/>
  <c r="F13" i="61" s="1"/>
  <c r="E11" i="61"/>
  <c r="F11" i="61" s="1"/>
  <c r="D9" i="61"/>
  <c r="D12" i="61" s="1"/>
  <c r="E8" i="61"/>
  <c r="F8" i="61" s="1"/>
  <c r="G8" i="61" s="1"/>
  <c r="H8" i="61" s="1"/>
  <c r="I8" i="61" s="1"/>
  <c r="J8" i="61" s="1"/>
  <c r="K8" i="61" s="1"/>
  <c r="L8" i="61" s="1"/>
  <c r="M8" i="61" s="1"/>
  <c r="N8" i="61" s="1"/>
  <c r="O8" i="61" s="1"/>
  <c r="P8" i="61" s="1"/>
  <c r="Q8" i="61" s="1"/>
  <c r="R8" i="61" s="1"/>
  <c r="S8" i="61" s="1"/>
  <c r="E7" i="61"/>
  <c r="E9" i="61" s="1"/>
  <c r="D1" i="61"/>
  <c r="G17" i="63"/>
  <c r="N11" i="63"/>
  <c r="O11" i="63" s="1"/>
  <c r="P11" i="63" s="1"/>
  <c r="Q11" i="63" s="1"/>
  <c r="R11" i="63" s="1"/>
  <c r="S11" i="63" s="1"/>
  <c r="T11" i="63" s="1"/>
  <c r="U11" i="63" s="1"/>
  <c r="V11" i="63" s="1"/>
  <c r="W11" i="63" s="1"/>
  <c r="X11" i="63" s="1"/>
  <c r="M11" i="63"/>
  <c r="O10" i="63"/>
  <c r="P10" i="63" s="1"/>
  <c r="Q10" i="63" s="1"/>
  <c r="F9" i="63"/>
  <c r="G9" i="63" s="1"/>
  <c r="H9" i="63" s="1"/>
  <c r="I9" i="63" s="1"/>
  <c r="J9" i="63" s="1"/>
  <c r="K9" i="63" s="1"/>
  <c r="D9" i="63"/>
  <c r="E9" i="63" s="1"/>
  <c r="L7" i="63"/>
  <c r="S10" i="63"/>
  <c r="T10" i="63" s="1"/>
  <c r="U10" i="63" s="1"/>
  <c r="V10" i="63" s="1"/>
  <c r="W10" i="63" s="1"/>
  <c r="X10" i="63" s="1"/>
  <c r="N6" i="63"/>
  <c r="O6" i="63" s="1"/>
  <c r="P6" i="63" s="1"/>
  <c r="Q6" i="63" s="1"/>
  <c r="R6" i="63" s="1"/>
  <c r="S6" i="63" s="1"/>
  <c r="T6" i="63" s="1"/>
  <c r="U6" i="63" s="1"/>
  <c r="V6" i="63" s="1"/>
  <c r="W6" i="63" s="1"/>
  <c r="X6" i="63" s="1"/>
  <c r="M4" i="63"/>
  <c r="D2" i="63"/>
  <c r="E2" i="63" s="1"/>
  <c r="F2" i="63" s="1"/>
  <c r="G2" i="63" s="1"/>
  <c r="H2" i="63" s="1"/>
  <c r="I2" i="63" s="1"/>
  <c r="J2" i="63" s="1"/>
  <c r="K2" i="63" s="1"/>
  <c r="L2" i="63" s="1"/>
  <c r="M2" i="63" s="1"/>
  <c r="N2" i="63" s="1"/>
  <c r="O2" i="63" s="1"/>
  <c r="P2" i="63" s="1"/>
  <c r="Q2" i="63" s="1"/>
  <c r="R2" i="63" s="1"/>
  <c r="S2" i="63" s="1"/>
  <c r="T2" i="63" s="1"/>
  <c r="U2" i="63" s="1"/>
  <c r="V2" i="63" s="1"/>
  <c r="W2" i="63" s="1"/>
  <c r="X2" i="63" s="1"/>
  <c r="I17" i="62"/>
  <c r="M11" i="62"/>
  <c r="N11" i="62" s="1"/>
  <c r="O11" i="62" s="1"/>
  <c r="P11" i="62" s="1"/>
  <c r="Q11" i="62" s="1"/>
  <c r="R11" i="62" s="1"/>
  <c r="S11" i="62" s="1"/>
  <c r="T11" i="62" s="1"/>
  <c r="U11" i="62" s="1"/>
  <c r="V11" i="62" s="1"/>
  <c r="W11" i="62" s="1"/>
  <c r="X11" i="62" s="1"/>
  <c r="W10" i="62"/>
  <c r="S10" i="62"/>
  <c r="T10" i="62" s="1"/>
  <c r="U10" i="62" s="1"/>
  <c r="O10" i="62"/>
  <c r="P10" i="62" s="1"/>
  <c r="Q10" i="62" s="1"/>
  <c r="E9" i="62"/>
  <c r="F9" i="62" s="1"/>
  <c r="G9" i="62" s="1"/>
  <c r="H9" i="62" s="1"/>
  <c r="I9" i="62" s="1"/>
  <c r="J9" i="62" s="1"/>
  <c r="D9" i="62"/>
  <c r="J27" i="61"/>
  <c r="K27" i="61" s="1"/>
  <c r="M7" i="62"/>
  <c r="N6" i="62"/>
  <c r="O6" i="62" s="1"/>
  <c r="P6" i="62" s="1"/>
  <c r="Q6" i="62" s="1"/>
  <c r="R6" i="62" s="1"/>
  <c r="S6" i="62" s="1"/>
  <c r="T6" i="62" s="1"/>
  <c r="U6" i="62" s="1"/>
  <c r="V6" i="62" s="1"/>
  <c r="W6" i="62" s="1"/>
  <c r="X6" i="62" s="1"/>
  <c r="N7" i="62"/>
  <c r="M4" i="62"/>
  <c r="D2" i="62"/>
  <c r="E2" i="62" s="1"/>
  <c r="F2" i="62" s="1"/>
  <c r="G2" i="62" s="1"/>
  <c r="H2" i="62" s="1"/>
  <c r="I2" i="62" s="1"/>
  <c r="J2" i="62" s="1"/>
  <c r="K2" i="62" s="1"/>
  <c r="L2" i="62" s="1"/>
  <c r="M2" i="62" s="1"/>
  <c r="N2" i="62" s="1"/>
  <c r="O2" i="62" s="1"/>
  <c r="P2" i="62" s="1"/>
  <c r="Q2" i="62" s="1"/>
  <c r="R2" i="62" s="1"/>
  <c r="S2" i="62" s="1"/>
  <c r="T2" i="62" s="1"/>
  <c r="U2" i="62" s="1"/>
  <c r="V2" i="62" s="1"/>
  <c r="W2" i="62" s="1"/>
  <c r="X2" i="62" s="1"/>
  <c r="F40" i="38"/>
  <c r="H34" i="38"/>
  <c r="I34" i="38" s="1"/>
  <c r="J34" i="38" s="1"/>
  <c r="K34" i="38" s="1"/>
  <c r="L34" i="38" s="1"/>
  <c r="M34" i="38" s="1"/>
  <c r="N34" i="38" s="1"/>
  <c r="O34" i="38" s="1"/>
  <c r="P34" i="38" s="1"/>
  <c r="Q34" i="38" s="1"/>
  <c r="R34" i="38" s="1"/>
  <c r="S34" i="38" s="1"/>
  <c r="I32" i="38"/>
  <c r="J32" i="38" s="1"/>
  <c r="K32" i="38" s="1"/>
  <c r="L32" i="38" s="1"/>
  <c r="M32" i="38" s="1"/>
  <c r="N32" i="38" s="1"/>
  <c r="O32" i="38" s="1"/>
  <c r="P32" i="38" s="1"/>
  <c r="Q32" i="38" s="1"/>
  <c r="R32" i="38" s="1"/>
  <c r="S32" i="38" s="1"/>
  <c r="G31" i="38"/>
  <c r="D9" i="38"/>
  <c r="F7" i="38"/>
  <c r="G7" i="38" s="1"/>
  <c r="E7" i="38"/>
  <c r="E9" i="38" s="1"/>
  <c r="D1" i="38"/>
  <c r="J246" i="12"/>
  <c r="AG234" i="12"/>
  <c r="AG233" i="12"/>
  <c r="AG232" i="12"/>
  <c r="AG231" i="12"/>
  <c r="AG230" i="12"/>
  <c r="AG229" i="12"/>
  <c r="AG228" i="12"/>
  <c r="AG227" i="12"/>
  <c r="AG226" i="12"/>
  <c r="Z113" i="12"/>
  <c r="AA113" i="12" s="1"/>
  <c r="AB113" i="12" s="1"/>
  <c r="V112" i="12"/>
  <c r="W112" i="12" s="1"/>
  <c r="X112" i="12" s="1"/>
  <c r="Y112" i="12" s="1"/>
  <c r="Z112" i="12" s="1"/>
  <c r="AA112" i="12" s="1"/>
  <c r="AB112" i="12" s="1"/>
  <c r="M107" i="12"/>
  <c r="N107" i="12" s="1"/>
  <c r="L107" i="12"/>
  <c r="L102" i="12"/>
  <c r="M102" i="12" s="1"/>
  <c r="N102" i="12" s="1"/>
  <c r="O102" i="12" s="1"/>
  <c r="P102" i="12" s="1"/>
  <c r="Q102" i="12" s="1"/>
  <c r="R102" i="12" s="1"/>
  <c r="S102" i="12" s="1"/>
  <c r="T102" i="12" s="1"/>
  <c r="U102" i="12" s="1"/>
  <c r="V102" i="12" s="1"/>
  <c r="W102" i="12" s="1"/>
  <c r="X102" i="12" s="1"/>
  <c r="Y102" i="12" s="1"/>
  <c r="Z102" i="12" s="1"/>
  <c r="AA102" i="12" s="1"/>
  <c r="AB102" i="12" s="1"/>
  <c r="L101" i="12"/>
  <c r="M101" i="12" s="1"/>
  <c r="N101" i="12" s="1"/>
  <c r="O101" i="12" s="1"/>
  <c r="P101" i="12" s="1"/>
  <c r="Q101" i="12" s="1"/>
  <c r="R101" i="12" s="1"/>
  <c r="S101" i="12" s="1"/>
  <c r="T101" i="12" s="1"/>
  <c r="U101" i="12" s="1"/>
  <c r="V101" i="12" s="1"/>
  <c r="W101" i="12" s="1"/>
  <c r="X101" i="12" s="1"/>
  <c r="Y101" i="12" s="1"/>
  <c r="Z101" i="12" s="1"/>
  <c r="AA101" i="12" s="1"/>
  <c r="AB101" i="12" s="1"/>
  <c r="L97" i="12"/>
  <c r="M97" i="12" s="1"/>
  <c r="N97" i="12" s="1"/>
  <c r="O97" i="12" s="1"/>
  <c r="P97" i="12" s="1"/>
  <c r="Q97" i="12" s="1"/>
  <c r="R97" i="12" s="1"/>
  <c r="S97" i="12" s="1"/>
  <c r="T97" i="12" s="1"/>
  <c r="U97" i="12" s="1"/>
  <c r="V97" i="12" s="1"/>
  <c r="W97" i="12" s="1"/>
  <c r="X97" i="12" s="1"/>
  <c r="Y97" i="12" s="1"/>
  <c r="Z97" i="12" s="1"/>
  <c r="AA97" i="12" s="1"/>
  <c r="AB97" i="12" s="1"/>
  <c r="O96" i="12"/>
  <c r="P96" i="12" s="1"/>
  <c r="Q96" i="12" s="1"/>
  <c r="R96" i="12" s="1"/>
  <c r="S96" i="12" s="1"/>
  <c r="T96" i="12" s="1"/>
  <c r="U96" i="12" s="1"/>
  <c r="V96" i="12" s="1"/>
  <c r="W96" i="12" s="1"/>
  <c r="X96" i="12" s="1"/>
  <c r="Y96" i="12" s="1"/>
  <c r="Z96" i="12" s="1"/>
  <c r="AA96" i="12" s="1"/>
  <c r="AB96" i="12" s="1"/>
  <c r="L95" i="12"/>
  <c r="M95" i="12" s="1"/>
  <c r="N95" i="12" s="1"/>
  <c r="O95" i="12" s="1"/>
  <c r="P95" i="12" s="1"/>
  <c r="Q95" i="12" s="1"/>
  <c r="R95" i="12" s="1"/>
  <c r="S95" i="12" s="1"/>
  <c r="T95" i="12" s="1"/>
  <c r="U95" i="12" s="1"/>
  <c r="V95" i="12" s="1"/>
  <c r="W95" i="12" s="1"/>
  <c r="X95" i="12" s="1"/>
  <c r="Y95" i="12" s="1"/>
  <c r="Z95" i="12" s="1"/>
  <c r="AA95" i="12" s="1"/>
  <c r="AB95" i="12" s="1"/>
  <c r="L93" i="12"/>
  <c r="M93" i="12" s="1"/>
  <c r="N93" i="12" s="1"/>
  <c r="O93" i="12" s="1"/>
  <c r="P93" i="12" s="1"/>
  <c r="Q93" i="12" s="1"/>
  <c r="R93" i="12" s="1"/>
  <c r="S93" i="12" s="1"/>
  <c r="T93" i="12" s="1"/>
  <c r="U93" i="12" s="1"/>
  <c r="V93" i="12" s="1"/>
  <c r="W93" i="12" s="1"/>
  <c r="X93" i="12" s="1"/>
  <c r="Y93" i="12" s="1"/>
  <c r="Z93" i="12" s="1"/>
  <c r="AA93" i="12" s="1"/>
  <c r="AB93" i="12" s="1"/>
  <c r="P92" i="12"/>
  <c r="Q92" i="12" s="1"/>
  <c r="R92" i="12" s="1"/>
  <c r="S92" i="12" s="1"/>
  <c r="T92" i="12" s="1"/>
  <c r="U92" i="12" s="1"/>
  <c r="V92" i="12" s="1"/>
  <c r="W92" i="12" s="1"/>
  <c r="X92" i="12" s="1"/>
  <c r="Y92" i="12" s="1"/>
  <c r="Z92" i="12" s="1"/>
  <c r="AA92" i="12" s="1"/>
  <c r="AB92" i="12" s="1"/>
  <c r="M91" i="12"/>
  <c r="N91" i="12" s="1"/>
  <c r="O91" i="12" s="1"/>
  <c r="P91" i="12" s="1"/>
  <c r="Q91" i="12" s="1"/>
  <c r="R91" i="12" s="1"/>
  <c r="S91" i="12" s="1"/>
  <c r="T91" i="12" s="1"/>
  <c r="U91" i="12" s="1"/>
  <c r="V91" i="12" s="1"/>
  <c r="W91" i="12" s="1"/>
  <c r="X91" i="12" s="1"/>
  <c r="Y91" i="12" s="1"/>
  <c r="Z91" i="12" s="1"/>
  <c r="AA91" i="12" s="1"/>
  <c r="AB91" i="12" s="1"/>
  <c r="L91" i="12"/>
  <c r="K86" i="12"/>
  <c r="L86" i="12" s="1"/>
  <c r="J84" i="12"/>
  <c r="K84" i="12" s="1"/>
  <c r="L84" i="12" s="1"/>
  <c r="M84" i="12" s="1"/>
  <c r="N84" i="12" s="1"/>
  <c r="O84" i="12" s="1"/>
  <c r="P84" i="12" s="1"/>
  <c r="Q84" i="12" s="1"/>
  <c r="R84" i="12" s="1"/>
  <c r="S84" i="12" s="1"/>
  <c r="T84" i="12" s="1"/>
  <c r="U84" i="12" s="1"/>
  <c r="V84" i="12" s="1"/>
  <c r="W84" i="12" s="1"/>
  <c r="X84" i="12" s="1"/>
  <c r="Y84" i="12" s="1"/>
  <c r="Z84" i="12" s="1"/>
  <c r="AA84" i="12" s="1"/>
  <c r="AB84" i="12" s="1"/>
  <c r="K83" i="12"/>
  <c r="J80" i="12"/>
  <c r="K78" i="12"/>
  <c r="L78" i="12" s="1"/>
  <c r="M78" i="12" s="1"/>
  <c r="N78" i="12" s="1"/>
  <c r="O78" i="12" s="1"/>
  <c r="P78" i="12" s="1"/>
  <c r="Q78" i="12" s="1"/>
  <c r="R78" i="12" s="1"/>
  <c r="S78" i="12" s="1"/>
  <c r="T78" i="12" s="1"/>
  <c r="U78" i="12" s="1"/>
  <c r="V78" i="12" s="1"/>
  <c r="W78" i="12" s="1"/>
  <c r="X78" i="12" s="1"/>
  <c r="Y78" i="12" s="1"/>
  <c r="Z78" i="12" s="1"/>
  <c r="AA78" i="12" s="1"/>
  <c r="AB78" i="12" s="1"/>
  <c r="J78" i="12"/>
  <c r="K77" i="12"/>
  <c r="L77" i="12" s="1"/>
  <c r="M77" i="12" s="1"/>
  <c r="N77" i="12" s="1"/>
  <c r="O77" i="12" s="1"/>
  <c r="P77" i="12" s="1"/>
  <c r="Q77" i="12" s="1"/>
  <c r="R77" i="12" s="1"/>
  <c r="S77" i="12" s="1"/>
  <c r="T77" i="12" s="1"/>
  <c r="U77" i="12" s="1"/>
  <c r="V77" i="12" s="1"/>
  <c r="W77" i="12" s="1"/>
  <c r="X77" i="12" s="1"/>
  <c r="Y77" i="12" s="1"/>
  <c r="Z77" i="12" s="1"/>
  <c r="AA77" i="12" s="1"/>
  <c r="AB77" i="12" s="1"/>
  <c r="J75" i="12"/>
  <c r="K74" i="12"/>
  <c r="L74" i="12" s="1"/>
  <c r="K72" i="12"/>
  <c r="K75" i="12" s="1"/>
  <c r="J68" i="12"/>
  <c r="K68" i="12" s="1"/>
  <c r="I63" i="12"/>
  <c r="J63" i="12" s="1"/>
  <c r="K63" i="12" s="1"/>
  <c r="L63" i="12" s="1"/>
  <c r="M63" i="12" s="1"/>
  <c r="N63" i="12" s="1"/>
  <c r="O63" i="12" s="1"/>
  <c r="P63" i="12" s="1"/>
  <c r="Q63" i="12" s="1"/>
  <c r="R63" i="12" s="1"/>
  <c r="S63" i="12" s="1"/>
  <c r="T63" i="12" s="1"/>
  <c r="U63" i="12" s="1"/>
  <c r="V63" i="12" s="1"/>
  <c r="W63" i="12" s="1"/>
  <c r="X63" i="12" s="1"/>
  <c r="Y63" i="12" s="1"/>
  <c r="Z63" i="12" s="1"/>
  <c r="AA63" i="12" s="1"/>
  <c r="AB63" i="12" s="1"/>
  <c r="I62" i="12"/>
  <c r="J62" i="12" s="1"/>
  <c r="K62" i="12" s="1"/>
  <c r="L62" i="12" s="1"/>
  <c r="M62" i="12" s="1"/>
  <c r="N62" i="12" s="1"/>
  <c r="O62" i="12" s="1"/>
  <c r="P62" i="12" s="1"/>
  <c r="Q62" i="12" s="1"/>
  <c r="R62" i="12" s="1"/>
  <c r="S62" i="12" s="1"/>
  <c r="T62" i="12" s="1"/>
  <c r="U62" i="12" s="1"/>
  <c r="V62" i="12" s="1"/>
  <c r="W62" i="12" s="1"/>
  <c r="X62" i="12" s="1"/>
  <c r="Y62" i="12" s="1"/>
  <c r="Z62" i="12" s="1"/>
  <c r="AA62" i="12" s="1"/>
  <c r="AB62" i="12" s="1"/>
  <c r="I61" i="12"/>
  <c r="J61" i="12" s="1"/>
  <c r="K61" i="12" s="1"/>
  <c r="L61" i="12" s="1"/>
  <c r="M61" i="12" s="1"/>
  <c r="N61" i="12" s="1"/>
  <c r="O61" i="12" s="1"/>
  <c r="P61" i="12" s="1"/>
  <c r="Q61" i="12" s="1"/>
  <c r="R61" i="12" s="1"/>
  <c r="S61" i="12" s="1"/>
  <c r="T61" i="12" s="1"/>
  <c r="U61" i="12" s="1"/>
  <c r="V61" i="12" s="1"/>
  <c r="W61" i="12" s="1"/>
  <c r="X61" i="12" s="1"/>
  <c r="Y61" i="12" s="1"/>
  <c r="Z61" i="12" s="1"/>
  <c r="AA61" i="12" s="1"/>
  <c r="AB61" i="12" s="1"/>
  <c r="I60" i="12"/>
  <c r="I57" i="12"/>
  <c r="J57" i="12" s="1"/>
  <c r="K57" i="12" s="1"/>
  <c r="L57" i="12" s="1"/>
  <c r="M57" i="12" s="1"/>
  <c r="N57" i="12" s="1"/>
  <c r="O57" i="12" s="1"/>
  <c r="P57" i="12" s="1"/>
  <c r="Q57" i="12" s="1"/>
  <c r="R57" i="12" s="1"/>
  <c r="S57" i="12" s="1"/>
  <c r="T57" i="12" s="1"/>
  <c r="U57" i="12" s="1"/>
  <c r="V57" i="12" s="1"/>
  <c r="W57" i="12" s="1"/>
  <c r="X57" i="12" s="1"/>
  <c r="Y57" i="12" s="1"/>
  <c r="Z57" i="12" s="1"/>
  <c r="AA57" i="12" s="1"/>
  <c r="AB57" i="12" s="1"/>
  <c r="K56" i="12"/>
  <c r="L56" i="12" s="1"/>
  <c r="M56" i="12" s="1"/>
  <c r="N56" i="12" s="1"/>
  <c r="O56" i="12" s="1"/>
  <c r="P56" i="12" s="1"/>
  <c r="Q56" i="12" s="1"/>
  <c r="R56" i="12" s="1"/>
  <c r="S56" i="12" s="1"/>
  <c r="T56" i="12" s="1"/>
  <c r="U56" i="12" s="1"/>
  <c r="V56" i="12" s="1"/>
  <c r="W56" i="12" s="1"/>
  <c r="X56" i="12" s="1"/>
  <c r="Y56" i="12" s="1"/>
  <c r="Z56" i="12" s="1"/>
  <c r="AA56" i="12" s="1"/>
  <c r="AB56" i="12" s="1"/>
  <c r="I56" i="12"/>
  <c r="J56" i="12" s="1"/>
  <c r="M55" i="12"/>
  <c r="I55" i="12"/>
  <c r="N54" i="12"/>
  <c r="K54" i="12"/>
  <c r="I50" i="12"/>
  <c r="J50" i="12" s="1"/>
  <c r="I47" i="12"/>
  <c r="H44" i="12"/>
  <c r="H45" i="12" s="1"/>
  <c r="H48" i="12" s="1"/>
  <c r="H51" i="12" s="1"/>
  <c r="H42" i="12"/>
  <c r="I41" i="12"/>
  <c r="J41" i="12" s="1"/>
  <c r="H35" i="12"/>
  <c r="I34" i="12"/>
  <c r="J34" i="12" s="1"/>
  <c r="K34" i="12" s="1"/>
  <c r="L34" i="12" s="1"/>
  <c r="M34" i="12" s="1"/>
  <c r="N34" i="12" s="1"/>
  <c r="O34" i="12" s="1"/>
  <c r="P34" i="12" s="1"/>
  <c r="Q34" i="12" s="1"/>
  <c r="R34" i="12" s="1"/>
  <c r="S34" i="12" s="1"/>
  <c r="T34" i="12" s="1"/>
  <c r="U34" i="12" s="1"/>
  <c r="V34" i="12" s="1"/>
  <c r="W34" i="12" s="1"/>
  <c r="X34" i="12" s="1"/>
  <c r="Y34" i="12" s="1"/>
  <c r="Z34" i="12" s="1"/>
  <c r="AA34" i="12" s="1"/>
  <c r="AB34" i="12" s="1"/>
  <c r="H31" i="12"/>
  <c r="I30" i="12"/>
  <c r="J30" i="12" s="1"/>
  <c r="I29" i="12"/>
  <c r="I31" i="12" s="1"/>
  <c r="F25" i="12"/>
  <c r="G25" i="12" s="1"/>
  <c r="F24" i="12"/>
  <c r="G24" i="12" s="1"/>
  <c r="H24" i="12" s="1"/>
  <c r="I24" i="12" s="1"/>
  <c r="J24" i="12" s="1"/>
  <c r="K24" i="12" s="1"/>
  <c r="L24" i="12" s="1"/>
  <c r="M24" i="12" s="1"/>
  <c r="N24" i="12" s="1"/>
  <c r="O24" i="12" s="1"/>
  <c r="P24" i="12" s="1"/>
  <c r="Q24" i="12" s="1"/>
  <c r="R24" i="12" s="1"/>
  <c r="S24" i="12" s="1"/>
  <c r="T24" i="12" s="1"/>
  <c r="U24" i="12" s="1"/>
  <c r="V24" i="12" s="1"/>
  <c r="W24" i="12" s="1"/>
  <c r="X24" i="12" s="1"/>
  <c r="Y24" i="12" s="1"/>
  <c r="Z24" i="12" s="1"/>
  <c r="AA24" i="12" s="1"/>
  <c r="AB24" i="12" s="1"/>
  <c r="E23" i="12"/>
  <c r="E26" i="12" s="1"/>
  <c r="I21" i="12"/>
  <c r="J21" i="12" s="1"/>
  <c r="K21" i="12" s="1"/>
  <c r="N21" i="12"/>
  <c r="O21" i="12" s="1"/>
  <c r="F20" i="12"/>
  <c r="G20" i="12" s="1"/>
  <c r="G23" i="12" s="1"/>
  <c r="H9" i="12"/>
  <c r="G9" i="12"/>
  <c r="F9" i="12"/>
  <c r="E9" i="12"/>
  <c r="M17" i="12"/>
  <c r="N17" i="12" s="1"/>
  <c r="D6" i="12"/>
  <c r="D9" i="12" s="1"/>
  <c r="C6" i="12"/>
  <c r="C9" i="12" s="1"/>
  <c r="M3" i="12"/>
  <c r="N3" i="12" s="1"/>
  <c r="O3" i="12" s="1"/>
  <c r="P3" i="12" s="1"/>
  <c r="Q3" i="12" s="1"/>
  <c r="R3" i="12" s="1"/>
  <c r="S3" i="12" s="1"/>
  <c r="T3" i="12" s="1"/>
  <c r="U3" i="12" s="1"/>
  <c r="V3" i="12" s="1"/>
  <c r="W3" i="12" s="1"/>
  <c r="X3" i="12" s="1"/>
  <c r="Y3" i="12" s="1"/>
  <c r="Z3" i="12" s="1"/>
  <c r="AA3" i="12" s="1"/>
  <c r="AB3" i="12" s="1"/>
  <c r="G1" i="12"/>
  <c r="J92" i="13"/>
  <c r="K92" i="13" s="1"/>
  <c r="L92" i="13" s="1"/>
  <c r="I90" i="13"/>
  <c r="I93" i="13" s="1"/>
  <c r="I95" i="13" s="1"/>
  <c r="O89" i="13"/>
  <c r="P89" i="13" s="1"/>
  <c r="Q89" i="13" s="1"/>
  <c r="R89" i="13" s="1"/>
  <c r="S89" i="13" s="1"/>
  <c r="T89" i="13" s="1"/>
  <c r="U89" i="13" s="1"/>
  <c r="V89" i="13" s="1"/>
  <c r="W89" i="13" s="1"/>
  <c r="X89" i="13" s="1"/>
  <c r="Y89" i="13" s="1"/>
  <c r="Z89" i="13" s="1"/>
  <c r="J88" i="13"/>
  <c r="K88" i="13" s="1"/>
  <c r="J82" i="13"/>
  <c r="J80" i="13"/>
  <c r="K81" i="13"/>
  <c r="K82" i="13" s="1"/>
  <c r="K80" i="13"/>
  <c r="H61" i="13"/>
  <c r="H58" i="13"/>
  <c r="H64" i="13" s="1"/>
  <c r="K28" i="13"/>
  <c r="L28" i="13" s="1"/>
  <c r="M28" i="13" s="1"/>
  <c r="N28" i="13" s="1"/>
  <c r="O28" i="13" s="1"/>
  <c r="P28" i="13" s="1"/>
  <c r="Q28" i="13" s="1"/>
  <c r="R28" i="13" s="1"/>
  <c r="S28" i="13" s="1"/>
  <c r="T28" i="13" s="1"/>
  <c r="U28" i="13" s="1"/>
  <c r="V28" i="13" s="1"/>
  <c r="W28" i="13" s="1"/>
  <c r="X28" i="13" s="1"/>
  <c r="Y28" i="13" s="1"/>
  <c r="Z28" i="13" s="1"/>
  <c r="I9" i="13"/>
  <c r="I8" i="13"/>
  <c r="I7" i="13"/>
  <c r="I6" i="13"/>
  <c r="I5" i="13"/>
  <c r="D9" i="13"/>
  <c r="E9" i="13" s="1"/>
  <c r="D8" i="13"/>
  <c r="D7" i="13"/>
  <c r="E7" i="13" s="1"/>
  <c r="D6" i="13"/>
  <c r="D5" i="13"/>
  <c r="E5" i="13" s="1"/>
  <c r="E3" i="13"/>
  <c r="F3" i="13" s="1"/>
  <c r="G3" i="13" s="1"/>
  <c r="H3" i="13" s="1"/>
  <c r="I3" i="13" s="1"/>
  <c r="J3" i="13" s="1"/>
  <c r="K3" i="13" s="1"/>
  <c r="L3" i="13" s="1"/>
  <c r="M3" i="13" s="1"/>
  <c r="N3" i="13" s="1"/>
  <c r="O3" i="13" s="1"/>
  <c r="P3" i="13" s="1"/>
  <c r="Q3" i="13" s="1"/>
  <c r="R3" i="13" s="1"/>
  <c r="S3" i="13" s="1"/>
  <c r="T3" i="13" s="1"/>
  <c r="U3" i="13" s="1"/>
  <c r="V3" i="13" s="1"/>
  <c r="W3" i="13" s="1"/>
  <c r="X3" i="13" s="1"/>
  <c r="Y3" i="13" s="1"/>
  <c r="Z3" i="13" s="1"/>
  <c r="D1" i="13"/>
  <c r="K92" i="4"/>
  <c r="K91" i="4"/>
  <c r="K90" i="4"/>
  <c r="K89" i="4"/>
  <c r="K88" i="4"/>
  <c r="K87" i="4"/>
  <c r="K86" i="4"/>
  <c r="G91" i="4"/>
  <c r="G89" i="4"/>
  <c r="H77" i="4"/>
  <c r="H76" i="4"/>
  <c r="H75" i="4"/>
  <c r="H74" i="4"/>
  <c r="H73" i="4"/>
  <c r="H72" i="4"/>
  <c r="H71" i="4"/>
  <c r="H70" i="4"/>
  <c r="K76" i="4"/>
  <c r="K75" i="4"/>
  <c r="K74" i="4"/>
  <c r="K73" i="4"/>
  <c r="K72" i="4"/>
  <c r="K71" i="4"/>
  <c r="K70" i="4"/>
  <c r="G73" i="4"/>
  <c r="G71" i="4"/>
  <c r="G59" i="4"/>
  <c r="F59" i="4"/>
  <c r="E59" i="4"/>
  <c r="I54" i="4"/>
  <c r="J54" i="4" s="1"/>
  <c r="T48" i="4"/>
  <c r="U48" i="4" s="1"/>
  <c r="R48" i="4"/>
  <c r="S48" i="4" s="1"/>
  <c r="O48" i="4"/>
  <c r="P48" i="4" s="1"/>
  <c r="W48" i="4"/>
  <c r="X48" i="4" s="1"/>
  <c r="Y48" i="4" s="1"/>
  <c r="Z48" i="4" s="1"/>
  <c r="AA48" i="4" s="1"/>
  <c r="AB48" i="4" s="1"/>
  <c r="AC48" i="4" s="1"/>
  <c r="AD48" i="4" s="1"/>
  <c r="AE48" i="4" s="1"/>
  <c r="Q47" i="4"/>
  <c r="R47" i="4" s="1"/>
  <c r="S47" i="4" s="1"/>
  <c r="T47" i="4" s="1"/>
  <c r="U47" i="4" s="1"/>
  <c r="V47" i="4" s="1"/>
  <c r="W47" i="4" s="1"/>
  <c r="X47" i="4" s="1"/>
  <c r="Y47" i="4" s="1"/>
  <c r="Z47" i="4" s="1"/>
  <c r="AA47" i="4" s="1"/>
  <c r="AB47" i="4" s="1"/>
  <c r="AC47" i="4" s="1"/>
  <c r="AD47" i="4" s="1"/>
  <c r="AE47" i="4" s="1"/>
  <c r="Q44" i="4"/>
  <c r="R44" i="4" s="1"/>
  <c r="S44" i="4" s="1"/>
  <c r="T44" i="4" s="1"/>
  <c r="U44" i="4" s="1"/>
  <c r="V44" i="4" s="1"/>
  <c r="W44" i="4" s="1"/>
  <c r="X44" i="4" s="1"/>
  <c r="Y44" i="4" s="1"/>
  <c r="Z44" i="4" s="1"/>
  <c r="AA44" i="4" s="1"/>
  <c r="AB44" i="4" s="1"/>
  <c r="AC44" i="4" s="1"/>
  <c r="AD44" i="4" s="1"/>
  <c r="AE44" i="4" s="1"/>
  <c r="P43" i="4"/>
  <c r="Q43" i="4" s="1"/>
  <c r="R43" i="4" s="1"/>
  <c r="S43" i="4" s="1"/>
  <c r="T43" i="4" s="1"/>
  <c r="U43" i="4" s="1"/>
  <c r="V43" i="4" s="1"/>
  <c r="W43" i="4" s="1"/>
  <c r="X43" i="4" s="1"/>
  <c r="Y43" i="4" s="1"/>
  <c r="Z43" i="4" s="1"/>
  <c r="AA43" i="4" s="1"/>
  <c r="AB43" i="4" s="1"/>
  <c r="AC43" i="4" s="1"/>
  <c r="AD43" i="4" s="1"/>
  <c r="AE43" i="4" s="1"/>
  <c r="E37" i="4"/>
  <c r="E36" i="4"/>
  <c r="E38" i="4" s="1"/>
  <c r="G35" i="4"/>
  <c r="H35" i="4" s="1"/>
  <c r="F35" i="4"/>
  <c r="F34" i="4"/>
  <c r="G34" i="4" s="1"/>
  <c r="H34" i="4" s="1"/>
  <c r="I34" i="4" s="1"/>
  <c r="J34" i="4" s="1"/>
  <c r="K34" i="4" s="1"/>
  <c r="L34" i="4" s="1"/>
  <c r="M34" i="4" s="1"/>
  <c r="N34" i="4" s="1"/>
  <c r="O34" i="4" s="1"/>
  <c r="P34" i="4" s="1"/>
  <c r="Q34" i="4" s="1"/>
  <c r="R34" i="4" s="1"/>
  <c r="S34" i="4" s="1"/>
  <c r="T34" i="4" s="1"/>
  <c r="U34" i="4" s="1"/>
  <c r="V34" i="4" s="1"/>
  <c r="W34" i="4" s="1"/>
  <c r="X34" i="4" s="1"/>
  <c r="Y34" i="4" s="1"/>
  <c r="Z34" i="4" s="1"/>
  <c r="AA34" i="4" s="1"/>
  <c r="AB34" i="4" s="1"/>
  <c r="AC34" i="4" s="1"/>
  <c r="AD34" i="4" s="1"/>
  <c r="AE34" i="4" s="1"/>
  <c r="D34" i="4"/>
  <c r="I30" i="4"/>
  <c r="G30" i="4"/>
  <c r="F30" i="4"/>
  <c r="E30" i="4"/>
  <c r="L24" i="4"/>
  <c r="I24" i="4"/>
  <c r="P18" i="4"/>
  <c r="Q18" i="4" s="1"/>
  <c r="H18" i="4"/>
  <c r="E18" i="4"/>
  <c r="Q17" i="4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P14" i="4"/>
  <c r="Q14" i="4" s="1"/>
  <c r="S14" i="4"/>
  <c r="T14" i="4" s="1"/>
  <c r="U14" i="4" s="1"/>
  <c r="V14" i="4" s="1"/>
  <c r="W14" i="4" s="1"/>
  <c r="X14" i="4" s="1"/>
  <c r="Y14" i="4" s="1"/>
  <c r="Z14" i="4" s="1"/>
  <c r="AA14" i="4" s="1"/>
  <c r="AB14" i="4" s="1"/>
  <c r="AC14" i="4" s="1"/>
  <c r="AD14" i="4" s="1"/>
  <c r="AE14" i="4" s="1"/>
  <c r="N13" i="4"/>
  <c r="O13" i="4" s="1"/>
  <c r="L13" i="4"/>
  <c r="E7" i="4"/>
  <c r="E6" i="4"/>
  <c r="F6" i="4" s="1"/>
  <c r="G6" i="4" s="1"/>
  <c r="H6" i="4" s="1"/>
  <c r="I6" i="4" s="1"/>
  <c r="J6" i="4" s="1"/>
  <c r="K6" i="4" s="1"/>
  <c r="L6" i="4" s="1"/>
  <c r="M6" i="4" s="1"/>
  <c r="N6" i="4" s="1"/>
  <c r="O6" i="4" s="1"/>
  <c r="P6" i="4" s="1"/>
  <c r="Q6" i="4" s="1"/>
  <c r="R6" i="4" s="1"/>
  <c r="S6" i="4" s="1"/>
  <c r="T6" i="4" s="1"/>
  <c r="U6" i="4" s="1"/>
  <c r="V6" i="4" s="1"/>
  <c r="W6" i="4" s="1"/>
  <c r="X6" i="4" s="1"/>
  <c r="Y6" i="4" s="1"/>
  <c r="Z6" i="4" s="1"/>
  <c r="AA6" i="4" s="1"/>
  <c r="AB6" i="4" s="1"/>
  <c r="AC6" i="4" s="1"/>
  <c r="AD6" i="4" s="1"/>
  <c r="AE6" i="4" s="1"/>
  <c r="F5" i="4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B5" i="4" s="1"/>
  <c r="AC5" i="4" s="1"/>
  <c r="AD5" i="4" s="1"/>
  <c r="AE5" i="4" s="1"/>
  <c r="F4" i="4"/>
  <c r="F8" i="4" s="1"/>
  <c r="D4" i="4"/>
  <c r="H277" i="15"/>
  <c r="H276" i="15"/>
  <c r="H275" i="15"/>
  <c r="H274" i="15"/>
  <c r="H273" i="15"/>
  <c r="J273" i="15" s="1"/>
  <c r="I276" i="15"/>
  <c r="I275" i="15" s="1"/>
  <c r="I274" i="15" s="1"/>
  <c r="I273" i="15" s="1"/>
  <c r="R253" i="15"/>
  <c r="Y240" i="15"/>
  <c r="Z240" i="15" s="1"/>
  <c r="AA240" i="15" s="1"/>
  <c r="AB240" i="15" s="1"/>
  <c r="AC240" i="15" s="1"/>
  <c r="AD240" i="15" s="1"/>
  <c r="X239" i="15"/>
  <c r="N223" i="15"/>
  <c r="N222" i="15"/>
  <c r="O222" i="15"/>
  <c r="P222" i="15" s="1"/>
  <c r="Q222" i="15" s="1"/>
  <c r="R222" i="15" s="1"/>
  <c r="S222" i="15" s="1"/>
  <c r="T222" i="15" s="1"/>
  <c r="U222" i="15" s="1"/>
  <c r="V222" i="15" s="1"/>
  <c r="W222" i="15" s="1"/>
  <c r="X222" i="15" s="1"/>
  <c r="Y222" i="15" s="1"/>
  <c r="Z222" i="15" s="1"/>
  <c r="AA222" i="15" s="1"/>
  <c r="AB222" i="15" s="1"/>
  <c r="AC222" i="15" s="1"/>
  <c r="AD222" i="15" s="1"/>
  <c r="AE222" i="15" s="1"/>
  <c r="P223" i="15"/>
  <c r="Q223" i="15" s="1"/>
  <c r="R223" i="15" s="1"/>
  <c r="S223" i="15" s="1"/>
  <c r="T223" i="15" s="1"/>
  <c r="U223" i="15" s="1"/>
  <c r="V223" i="15" s="1"/>
  <c r="W223" i="15" s="1"/>
  <c r="X223" i="15" s="1"/>
  <c r="Y223" i="15" s="1"/>
  <c r="Z223" i="15" s="1"/>
  <c r="AA223" i="15" s="1"/>
  <c r="AB223" i="15" s="1"/>
  <c r="AC223" i="15" s="1"/>
  <c r="AD223" i="15" s="1"/>
  <c r="AE223" i="15" s="1"/>
  <c r="R221" i="15"/>
  <c r="Q221" i="15"/>
  <c r="P219" i="15"/>
  <c r="Q219" i="15" s="1"/>
  <c r="R219" i="15" s="1"/>
  <c r="S219" i="15" s="1"/>
  <c r="T219" i="15" s="1"/>
  <c r="U219" i="15" s="1"/>
  <c r="V219" i="15" s="1"/>
  <c r="W219" i="15" s="1"/>
  <c r="X219" i="15" s="1"/>
  <c r="Y219" i="15" s="1"/>
  <c r="Z219" i="15" s="1"/>
  <c r="AA219" i="15" s="1"/>
  <c r="AB219" i="15" s="1"/>
  <c r="AC219" i="15" s="1"/>
  <c r="AD219" i="15" s="1"/>
  <c r="AE219" i="15" s="1"/>
  <c r="N218" i="15"/>
  <c r="O218" i="15" s="1"/>
  <c r="P218" i="15" s="1"/>
  <c r="Q218" i="15" s="1"/>
  <c r="R218" i="15" s="1"/>
  <c r="S218" i="15" s="1"/>
  <c r="T218" i="15" s="1"/>
  <c r="U218" i="15" s="1"/>
  <c r="V218" i="15" s="1"/>
  <c r="W218" i="15" s="1"/>
  <c r="X218" i="15" s="1"/>
  <c r="Y218" i="15" s="1"/>
  <c r="Z218" i="15" s="1"/>
  <c r="AA218" i="15" s="1"/>
  <c r="AB218" i="15" s="1"/>
  <c r="AC218" i="15" s="1"/>
  <c r="AD218" i="15" s="1"/>
  <c r="AE218" i="15" s="1"/>
  <c r="M218" i="15"/>
  <c r="R211" i="15"/>
  <c r="Q211" i="15"/>
  <c r="P211" i="15"/>
  <c r="O211" i="15"/>
  <c r="N211" i="15"/>
  <c r="R210" i="15"/>
  <c r="N210" i="15"/>
  <c r="R209" i="15"/>
  <c r="P209" i="15"/>
  <c r="O209" i="15"/>
  <c r="N209" i="15"/>
  <c r="P207" i="15"/>
  <c r="Q207" i="15" s="1"/>
  <c r="R207" i="15" s="1"/>
  <c r="S207" i="15" s="1"/>
  <c r="T207" i="15" s="1"/>
  <c r="U207" i="15" s="1"/>
  <c r="V207" i="15" s="1"/>
  <c r="W207" i="15" s="1"/>
  <c r="X207" i="15" s="1"/>
  <c r="Y207" i="15" s="1"/>
  <c r="Z207" i="15" s="1"/>
  <c r="AA207" i="15" s="1"/>
  <c r="AB207" i="15" s="1"/>
  <c r="AC207" i="15" s="1"/>
  <c r="AD207" i="15" s="1"/>
  <c r="AE207" i="15" s="1"/>
  <c r="N206" i="15"/>
  <c r="O206" i="15" s="1"/>
  <c r="J198" i="15"/>
  <c r="J199" i="15" s="1"/>
  <c r="K199" i="15" s="1"/>
  <c r="L199" i="15" s="1"/>
  <c r="M199" i="15" s="1"/>
  <c r="N199" i="15" s="1"/>
  <c r="O199" i="15" s="1"/>
  <c r="P199" i="15" s="1"/>
  <c r="Q199" i="15" s="1"/>
  <c r="R199" i="15" s="1"/>
  <c r="S199" i="15" s="1"/>
  <c r="T199" i="15" s="1"/>
  <c r="U199" i="15" s="1"/>
  <c r="V199" i="15" s="1"/>
  <c r="W199" i="15" s="1"/>
  <c r="X199" i="15" s="1"/>
  <c r="Y199" i="15" s="1"/>
  <c r="Z199" i="15" s="1"/>
  <c r="AA199" i="15" s="1"/>
  <c r="AB199" i="15" s="1"/>
  <c r="AC199" i="15" s="1"/>
  <c r="AD199" i="15" s="1"/>
  <c r="AE199" i="15" s="1"/>
  <c r="S197" i="15"/>
  <c r="T197" i="15" s="1"/>
  <c r="T221" i="15" s="1"/>
  <c r="K197" i="15"/>
  <c r="L197" i="15" s="1"/>
  <c r="L195" i="15"/>
  <c r="N185" i="15"/>
  <c r="M185" i="15"/>
  <c r="L185" i="15"/>
  <c r="K185" i="15"/>
  <c r="J185" i="15"/>
  <c r="T184" i="15"/>
  <c r="U184" i="15" s="1"/>
  <c r="V184" i="15" s="1"/>
  <c r="W184" i="15" s="1"/>
  <c r="U183" i="15"/>
  <c r="V183" i="15" s="1"/>
  <c r="W183" i="15" s="1"/>
  <c r="X183" i="15" s="1"/>
  <c r="Y183" i="15" s="1"/>
  <c r="Z183" i="15" s="1"/>
  <c r="AA183" i="15" s="1"/>
  <c r="AB183" i="15" s="1"/>
  <c r="AC183" i="15" s="1"/>
  <c r="AD183" i="15" s="1"/>
  <c r="AE183" i="15" s="1"/>
  <c r="T183" i="15"/>
  <c r="O182" i="15"/>
  <c r="P182" i="15" s="1"/>
  <c r="P185" i="15" s="1"/>
  <c r="S171" i="15"/>
  <c r="T171" i="15" s="1"/>
  <c r="U171" i="15" s="1"/>
  <c r="V171" i="15" s="1"/>
  <c r="W171" i="15" s="1"/>
  <c r="X171" i="15" s="1"/>
  <c r="Y171" i="15" s="1"/>
  <c r="Z171" i="15" s="1"/>
  <c r="AA171" i="15" s="1"/>
  <c r="AB171" i="15" s="1"/>
  <c r="AC171" i="15" s="1"/>
  <c r="AD171" i="15" s="1"/>
  <c r="AE171" i="15" s="1"/>
  <c r="O170" i="15"/>
  <c r="P170" i="15" s="1"/>
  <c r="Q170" i="15" s="1"/>
  <c r="R170" i="15" s="1"/>
  <c r="S170" i="15" s="1"/>
  <c r="T170" i="15" s="1"/>
  <c r="U170" i="15" s="1"/>
  <c r="V170" i="15" s="1"/>
  <c r="W170" i="15" s="1"/>
  <c r="X170" i="15" s="1"/>
  <c r="Y170" i="15" s="1"/>
  <c r="Z170" i="15" s="1"/>
  <c r="AA170" i="15" s="1"/>
  <c r="AB170" i="15" s="1"/>
  <c r="AC170" i="15" s="1"/>
  <c r="AD170" i="15" s="1"/>
  <c r="AE170" i="15" s="1"/>
  <c r="S159" i="15"/>
  <c r="R159" i="15"/>
  <c r="Q159" i="15"/>
  <c r="S157" i="15"/>
  <c r="R157" i="15"/>
  <c r="Q157" i="15"/>
  <c r="S155" i="15"/>
  <c r="R155" i="15"/>
  <c r="Q155" i="15"/>
  <c r="T158" i="15"/>
  <c r="U158" i="15" s="1"/>
  <c r="V158" i="15" s="1"/>
  <c r="T154" i="15"/>
  <c r="U154" i="15" s="1"/>
  <c r="U155" i="15" s="1"/>
  <c r="T153" i="15"/>
  <c r="S153" i="15"/>
  <c r="R153" i="15"/>
  <c r="Q153" i="15"/>
  <c r="O151" i="15"/>
  <c r="P150" i="15"/>
  <c r="Q150" i="15" s="1"/>
  <c r="O150" i="15"/>
  <c r="O149" i="15"/>
  <c r="P149" i="15" s="1"/>
  <c r="Q149" i="15" s="1"/>
  <c r="R149" i="15" s="1"/>
  <c r="S149" i="15" s="1"/>
  <c r="T149" i="15" s="1"/>
  <c r="U149" i="15" s="1"/>
  <c r="V149" i="15" s="1"/>
  <c r="W149" i="15" s="1"/>
  <c r="X149" i="15" s="1"/>
  <c r="Y149" i="15" s="1"/>
  <c r="Z149" i="15" s="1"/>
  <c r="AA149" i="15" s="1"/>
  <c r="AB149" i="15" s="1"/>
  <c r="AC149" i="15" s="1"/>
  <c r="AD149" i="15" s="1"/>
  <c r="AE149" i="15" s="1"/>
  <c r="E145" i="15"/>
  <c r="F144" i="15"/>
  <c r="F143" i="15"/>
  <c r="G143" i="15" s="1"/>
  <c r="F142" i="15"/>
  <c r="G142" i="15" s="1"/>
  <c r="I129" i="15"/>
  <c r="N128" i="15"/>
  <c r="M128" i="15"/>
  <c r="L128" i="15"/>
  <c r="K128" i="15"/>
  <c r="J128" i="15"/>
  <c r="N127" i="15"/>
  <c r="M127" i="15"/>
  <c r="L127" i="15"/>
  <c r="K127" i="15"/>
  <c r="J127" i="15"/>
  <c r="N126" i="15"/>
  <c r="M126" i="15"/>
  <c r="L126" i="15"/>
  <c r="K126" i="15"/>
  <c r="J126" i="15"/>
  <c r="T124" i="15"/>
  <c r="S124" i="15"/>
  <c r="R124" i="15"/>
  <c r="Q124" i="15"/>
  <c r="P124" i="15"/>
  <c r="O124" i="15"/>
  <c r="P122" i="15"/>
  <c r="Q122" i="15" s="1"/>
  <c r="R122" i="15" s="1"/>
  <c r="S122" i="15" s="1"/>
  <c r="T122" i="15" s="1"/>
  <c r="U122" i="15" s="1"/>
  <c r="V122" i="15" s="1"/>
  <c r="W122" i="15" s="1"/>
  <c r="X122" i="15" s="1"/>
  <c r="Y122" i="15" s="1"/>
  <c r="Z122" i="15" s="1"/>
  <c r="AA122" i="15" s="1"/>
  <c r="AB122" i="15" s="1"/>
  <c r="AC122" i="15" s="1"/>
  <c r="AD122" i="15" s="1"/>
  <c r="AE122" i="15" s="1"/>
  <c r="O122" i="15"/>
  <c r="N121" i="15"/>
  <c r="M121" i="15"/>
  <c r="L121" i="15"/>
  <c r="K121" i="15"/>
  <c r="J121" i="15"/>
  <c r="O117" i="15"/>
  <c r="P117" i="15" s="1"/>
  <c r="N107" i="15"/>
  <c r="N110" i="15" s="1"/>
  <c r="M107" i="15"/>
  <c r="M110" i="15" s="1"/>
  <c r="L107" i="15"/>
  <c r="L110" i="15" s="1"/>
  <c r="K107" i="15"/>
  <c r="K110" i="15" s="1"/>
  <c r="J107" i="15"/>
  <c r="J110" i="15" s="1"/>
  <c r="M106" i="15"/>
  <c r="L106" i="15"/>
  <c r="K106" i="15"/>
  <c r="O102" i="15"/>
  <c r="P102" i="15" s="1"/>
  <c r="N95" i="15"/>
  <c r="M95" i="15"/>
  <c r="L95" i="15"/>
  <c r="K95" i="15"/>
  <c r="J95" i="15"/>
  <c r="N94" i="15"/>
  <c r="M94" i="15"/>
  <c r="L94" i="15"/>
  <c r="K94" i="15"/>
  <c r="J94" i="15"/>
  <c r="N93" i="15"/>
  <c r="M93" i="15"/>
  <c r="L93" i="15"/>
  <c r="K93" i="15"/>
  <c r="J93" i="15"/>
  <c r="R91" i="15"/>
  <c r="Q91" i="15"/>
  <c r="P91" i="15"/>
  <c r="O90" i="15"/>
  <c r="O91" i="15" s="1"/>
  <c r="O89" i="15"/>
  <c r="S90" i="15"/>
  <c r="S91" i="15" s="1"/>
  <c r="P89" i="15"/>
  <c r="Q89" i="15" s="1"/>
  <c r="R89" i="15" s="1"/>
  <c r="S89" i="15" s="1"/>
  <c r="T89" i="15" s="1"/>
  <c r="U89" i="15" s="1"/>
  <c r="V89" i="15" s="1"/>
  <c r="W89" i="15" s="1"/>
  <c r="X89" i="15" s="1"/>
  <c r="Y89" i="15" s="1"/>
  <c r="Z89" i="15" s="1"/>
  <c r="AA89" i="15" s="1"/>
  <c r="AB89" i="15" s="1"/>
  <c r="AC89" i="15" s="1"/>
  <c r="AD89" i="15" s="1"/>
  <c r="AE89" i="15" s="1"/>
  <c r="N88" i="15"/>
  <c r="M88" i="15"/>
  <c r="L88" i="15"/>
  <c r="K88" i="15"/>
  <c r="J88" i="15"/>
  <c r="O84" i="15"/>
  <c r="M81" i="15"/>
  <c r="M80" i="15" s="1"/>
  <c r="P81" i="15"/>
  <c r="Q81" i="15" s="1"/>
  <c r="U81" i="15" s="1"/>
  <c r="V81" i="15" s="1"/>
  <c r="W81" i="15" s="1"/>
  <c r="X81" i="15" s="1"/>
  <c r="Y81" i="15" s="1"/>
  <c r="Z81" i="15" s="1"/>
  <c r="AA81" i="15" s="1"/>
  <c r="AB81" i="15" s="1"/>
  <c r="AC81" i="15" s="1"/>
  <c r="AD81" i="15" s="1"/>
  <c r="AE81" i="15" s="1"/>
  <c r="K80" i="15"/>
  <c r="K195" i="15" s="1"/>
  <c r="U73" i="15"/>
  <c r="T73" i="15"/>
  <c r="S73" i="15"/>
  <c r="R73" i="15"/>
  <c r="Q73" i="15"/>
  <c r="P73" i="15"/>
  <c r="O72" i="15"/>
  <c r="O73" i="15" s="1"/>
  <c r="V73" i="15"/>
  <c r="U71" i="15"/>
  <c r="T71" i="15"/>
  <c r="S71" i="15"/>
  <c r="R71" i="15"/>
  <c r="Q71" i="15"/>
  <c r="P71" i="15"/>
  <c r="N65" i="15"/>
  <c r="M65" i="15"/>
  <c r="L65" i="15"/>
  <c r="K65" i="15"/>
  <c r="J65" i="15"/>
  <c r="M58" i="15"/>
  <c r="O57" i="15"/>
  <c r="P57" i="15" s="1"/>
  <c r="Q57" i="15" s="1"/>
  <c r="R57" i="15" s="1"/>
  <c r="S57" i="15" s="1"/>
  <c r="T57" i="15" s="1"/>
  <c r="U57" i="15" s="1"/>
  <c r="V57" i="15" s="1"/>
  <c r="W57" i="15" s="1"/>
  <c r="X57" i="15" s="1"/>
  <c r="Y57" i="15" s="1"/>
  <c r="Z57" i="15" s="1"/>
  <c r="AA57" i="15" s="1"/>
  <c r="AB57" i="15" s="1"/>
  <c r="AC57" i="15" s="1"/>
  <c r="AD57" i="15" s="1"/>
  <c r="AE57" i="15" s="1"/>
  <c r="O56" i="15"/>
  <c r="P56" i="15" s="1"/>
  <c r="O55" i="15"/>
  <c r="H51" i="15"/>
  <c r="I51" i="15" s="1"/>
  <c r="J51" i="15" s="1"/>
  <c r="K51" i="15" s="1"/>
  <c r="L51" i="15" s="1"/>
  <c r="M51" i="15" s="1"/>
  <c r="G51" i="15"/>
  <c r="H50" i="15"/>
  <c r="I50" i="15" s="1"/>
  <c r="J50" i="15" s="1"/>
  <c r="K50" i="15" s="1"/>
  <c r="L50" i="15" s="1"/>
  <c r="M50" i="15" s="1"/>
  <c r="N50" i="15" s="1"/>
  <c r="O50" i="15" s="1"/>
  <c r="P50" i="15" s="1"/>
  <c r="Q50" i="15" s="1"/>
  <c r="R50" i="15" s="1"/>
  <c r="S50" i="15" s="1"/>
  <c r="T50" i="15" s="1"/>
  <c r="U50" i="15" s="1"/>
  <c r="V50" i="15" s="1"/>
  <c r="W50" i="15" s="1"/>
  <c r="X50" i="15" s="1"/>
  <c r="Y50" i="15" s="1"/>
  <c r="Z50" i="15" s="1"/>
  <c r="AA50" i="15" s="1"/>
  <c r="AB50" i="15" s="1"/>
  <c r="AC50" i="15" s="1"/>
  <c r="AD50" i="15" s="1"/>
  <c r="AE50" i="15" s="1"/>
  <c r="G50" i="15"/>
  <c r="O51" i="15"/>
  <c r="P51" i="15" s="1"/>
  <c r="Q51" i="15" s="1"/>
  <c r="R51" i="15" s="1"/>
  <c r="S51" i="15" s="1"/>
  <c r="T51" i="15" s="1"/>
  <c r="U51" i="15" s="1"/>
  <c r="V51" i="15" s="1"/>
  <c r="W51" i="15" s="1"/>
  <c r="X51" i="15" s="1"/>
  <c r="Y51" i="15" s="1"/>
  <c r="Z51" i="15" s="1"/>
  <c r="AA51" i="15" s="1"/>
  <c r="AB51" i="15" s="1"/>
  <c r="AC51" i="15" s="1"/>
  <c r="AD51" i="15" s="1"/>
  <c r="AE51" i="15" s="1"/>
  <c r="O47" i="15"/>
  <c r="M39" i="15"/>
  <c r="L39" i="15" s="1"/>
  <c r="S38" i="15"/>
  <c r="R38" i="15"/>
  <c r="N37" i="15"/>
  <c r="O37" i="15" s="1"/>
  <c r="P38" i="15" s="1"/>
  <c r="S37" i="15"/>
  <c r="T38" i="15" s="1"/>
  <c r="R36" i="15"/>
  <c r="Q36" i="15"/>
  <c r="F31" i="15"/>
  <c r="AM29" i="15"/>
  <c r="H32" i="15"/>
  <c r="I32" i="15" s="1"/>
  <c r="G32" i="15"/>
  <c r="G30" i="15"/>
  <c r="H30" i="15" s="1"/>
  <c r="I30" i="15" s="1"/>
  <c r="J30" i="15" s="1"/>
  <c r="K30" i="15" s="1"/>
  <c r="L30" i="15" s="1"/>
  <c r="M30" i="15" s="1"/>
  <c r="N30" i="15" s="1"/>
  <c r="O30" i="15" s="1"/>
  <c r="P30" i="15" s="1"/>
  <c r="Q30" i="15" s="1"/>
  <c r="R30" i="15" s="1"/>
  <c r="S30" i="15" s="1"/>
  <c r="T30" i="15" s="1"/>
  <c r="U30" i="15" s="1"/>
  <c r="V30" i="15" s="1"/>
  <c r="W30" i="15" s="1"/>
  <c r="X30" i="15" s="1"/>
  <c r="Y30" i="15" s="1"/>
  <c r="Z30" i="15" s="1"/>
  <c r="AA30" i="15" s="1"/>
  <c r="AB30" i="15" s="1"/>
  <c r="AC30" i="15" s="1"/>
  <c r="AD30" i="15" s="1"/>
  <c r="AE30" i="15" s="1"/>
  <c r="G29" i="15"/>
  <c r="L28" i="15"/>
  <c r="AR25" i="15"/>
  <c r="AR27" i="15" s="1"/>
  <c r="E22" i="15"/>
  <c r="F21" i="15"/>
  <c r="I21" i="15"/>
  <c r="J21" i="15" s="1"/>
  <c r="G20" i="15"/>
  <c r="F20" i="15"/>
  <c r="F16" i="15"/>
  <c r="N11" i="15"/>
  <c r="O11" i="15" s="1"/>
  <c r="N9" i="15"/>
  <c r="N8" i="15"/>
  <c r="O6" i="15"/>
  <c r="P6" i="15" s="1"/>
  <c r="Q6" i="15" s="1"/>
  <c r="R6" i="15" s="1"/>
  <c r="S6" i="15" s="1"/>
  <c r="T6" i="15" s="1"/>
  <c r="U6" i="15" s="1"/>
  <c r="V6" i="15" s="1"/>
  <c r="W6" i="15" s="1"/>
  <c r="X6" i="15" s="1"/>
  <c r="Y6" i="15" s="1"/>
  <c r="Z6" i="15" s="1"/>
  <c r="AA6" i="15" s="1"/>
  <c r="AB6" i="15" s="1"/>
  <c r="AC6" i="15" s="1"/>
  <c r="AD6" i="15" s="1"/>
  <c r="AE6" i="15" s="1"/>
  <c r="G6" i="15"/>
  <c r="H6" i="15" s="1"/>
  <c r="I6" i="15" s="1"/>
  <c r="J6" i="15" s="1"/>
  <c r="K6" i="15" s="1"/>
  <c r="L6" i="15" s="1"/>
  <c r="M6" i="15" s="1"/>
  <c r="F6" i="15"/>
  <c r="M4" i="15"/>
  <c r="L4" i="15"/>
  <c r="K4" i="15"/>
  <c r="J4" i="15"/>
  <c r="I4" i="15"/>
  <c r="H4" i="15"/>
  <c r="G4" i="15"/>
  <c r="F4" i="15"/>
  <c r="O4" i="15"/>
  <c r="P4" i="15" s="1"/>
  <c r="Q4" i="15" s="1"/>
  <c r="R4" i="15" s="1"/>
  <c r="S4" i="15" s="1"/>
  <c r="T4" i="15" s="1"/>
  <c r="U4" i="15" s="1"/>
  <c r="V4" i="15" s="1"/>
  <c r="W4" i="15" s="1"/>
  <c r="X4" i="15" s="1"/>
  <c r="Y4" i="15" s="1"/>
  <c r="Z4" i="15" s="1"/>
  <c r="AA4" i="15" s="1"/>
  <c r="AB4" i="15" s="1"/>
  <c r="AC4" i="15" s="1"/>
  <c r="AD4" i="15" s="1"/>
  <c r="AE4" i="15" s="1"/>
  <c r="N3" i="15"/>
  <c r="O3" i="15" s="1"/>
  <c r="J1" i="15"/>
  <c r="H284" i="1"/>
  <c r="H283" i="1"/>
  <c r="J283" i="1" s="1"/>
  <c r="K77" i="1" s="1"/>
  <c r="H282" i="1"/>
  <c r="J281" i="1" s="1"/>
  <c r="M77" i="1" s="1"/>
  <c r="M76" i="1" s="1"/>
  <c r="H281" i="1"/>
  <c r="H280" i="1"/>
  <c r="I283" i="1"/>
  <c r="I282" i="1" s="1"/>
  <c r="I281" i="1" s="1"/>
  <c r="I280" i="1" s="1"/>
  <c r="J280" i="1"/>
  <c r="L250" i="1"/>
  <c r="L251" i="1" s="1"/>
  <c r="L252" i="1" s="1"/>
  <c r="L253" i="1" s="1"/>
  <c r="L254" i="1" s="1"/>
  <c r="L255" i="1" s="1"/>
  <c r="L256" i="1" s="1"/>
  <c r="K250" i="1"/>
  <c r="K251" i="1" s="1"/>
  <c r="K252" i="1" s="1"/>
  <c r="K253" i="1" s="1"/>
  <c r="K254" i="1" s="1"/>
  <c r="K255" i="1" s="1"/>
  <c r="K256" i="1" s="1"/>
  <c r="J249" i="1"/>
  <c r="V243" i="1"/>
  <c r="V242" i="1"/>
  <c r="V241" i="1"/>
  <c r="V240" i="1"/>
  <c r="V239" i="1"/>
  <c r="V238" i="1"/>
  <c r="V237" i="1"/>
  <c r="W238" i="1" s="1"/>
  <c r="B237" i="1"/>
  <c r="B238" i="1" s="1"/>
  <c r="B239" i="1" s="1"/>
  <c r="B240" i="1" s="1"/>
  <c r="B241" i="1" s="1"/>
  <c r="B242" i="1" s="1"/>
  <c r="B243" i="1" s="1"/>
  <c r="Y237" i="1"/>
  <c r="Z238" i="1" s="1"/>
  <c r="AA239" i="1" s="1"/>
  <c r="AB240" i="1" s="1"/>
  <c r="AC241" i="1" s="1"/>
  <c r="Z241" i="1"/>
  <c r="AD237" i="1"/>
  <c r="AE238" i="1" s="1"/>
  <c r="AC237" i="1"/>
  <c r="AD238" i="1" s="1"/>
  <c r="AE239" i="1" s="1"/>
  <c r="AB237" i="1"/>
  <c r="AC238" i="1" s="1"/>
  <c r="AD239" i="1" s="1"/>
  <c r="AE240" i="1" s="1"/>
  <c r="AA237" i="1"/>
  <c r="AB238" i="1" s="1"/>
  <c r="AC239" i="1" s="1"/>
  <c r="AD240" i="1" s="1"/>
  <c r="AE241" i="1" s="1"/>
  <c r="Z237" i="1"/>
  <c r="AA238" i="1" s="1"/>
  <c r="AB239" i="1" s="1"/>
  <c r="AC240" i="1" s="1"/>
  <c r="AD241" i="1" s="1"/>
  <c r="X237" i="1"/>
  <c r="Y238" i="1" s="1"/>
  <c r="Z239" i="1" s="1"/>
  <c r="AA240" i="1" s="1"/>
  <c r="AB241" i="1" s="1"/>
  <c r="W237" i="1"/>
  <c r="X238" i="1" s="1"/>
  <c r="Y239" i="1" s="1"/>
  <c r="Z240" i="1" s="1"/>
  <c r="AA241" i="1" s="1"/>
  <c r="AD236" i="1"/>
  <c r="N219" i="1"/>
  <c r="N218" i="1"/>
  <c r="P219" i="1"/>
  <c r="Q219" i="1" s="1"/>
  <c r="R219" i="1" s="1"/>
  <c r="S219" i="1" s="1"/>
  <c r="T219" i="1" s="1"/>
  <c r="U219" i="1" s="1"/>
  <c r="V219" i="1" s="1"/>
  <c r="W219" i="1" s="1"/>
  <c r="X219" i="1" s="1"/>
  <c r="Y219" i="1" s="1"/>
  <c r="Z219" i="1" s="1"/>
  <c r="AA219" i="1" s="1"/>
  <c r="AB219" i="1" s="1"/>
  <c r="AC219" i="1" s="1"/>
  <c r="AD219" i="1" s="1"/>
  <c r="AE219" i="1" s="1"/>
  <c r="P218" i="1"/>
  <c r="Q218" i="1" s="1"/>
  <c r="R218" i="1" s="1"/>
  <c r="S218" i="1" s="1"/>
  <c r="T218" i="1" s="1"/>
  <c r="U218" i="1" s="1"/>
  <c r="V218" i="1" s="1"/>
  <c r="W218" i="1" s="1"/>
  <c r="X218" i="1" s="1"/>
  <c r="Y218" i="1" s="1"/>
  <c r="Z218" i="1" s="1"/>
  <c r="AA218" i="1" s="1"/>
  <c r="AB218" i="1" s="1"/>
  <c r="AC218" i="1" s="1"/>
  <c r="AD218" i="1" s="1"/>
  <c r="AE218" i="1" s="1"/>
  <c r="O215" i="1"/>
  <c r="P215" i="1" s="1"/>
  <c r="Q215" i="1" s="1"/>
  <c r="R215" i="1" s="1"/>
  <c r="S215" i="1" s="1"/>
  <c r="T215" i="1" s="1"/>
  <c r="U215" i="1" s="1"/>
  <c r="V215" i="1" s="1"/>
  <c r="W215" i="1" s="1"/>
  <c r="X215" i="1" s="1"/>
  <c r="Y215" i="1" s="1"/>
  <c r="Z215" i="1" s="1"/>
  <c r="AA215" i="1" s="1"/>
  <c r="AB215" i="1" s="1"/>
  <c r="AC215" i="1" s="1"/>
  <c r="AD215" i="1" s="1"/>
  <c r="AE215" i="1" s="1"/>
  <c r="O214" i="1"/>
  <c r="N214" i="1"/>
  <c r="M214" i="1"/>
  <c r="O206" i="1"/>
  <c r="P206" i="1" s="1"/>
  <c r="Q206" i="1" s="1"/>
  <c r="S206" i="1" s="1"/>
  <c r="T206" i="1" s="1"/>
  <c r="U206" i="1" s="1"/>
  <c r="V206" i="1" s="1"/>
  <c r="W206" i="1" s="1"/>
  <c r="X206" i="1" s="1"/>
  <c r="Y206" i="1" s="1"/>
  <c r="Z206" i="1" s="1"/>
  <c r="AA206" i="1" s="1"/>
  <c r="AB206" i="1" s="1"/>
  <c r="AC206" i="1" s="1"/>
  <c r="AD206" i="1" s="1"/>
  <c r="AE206" i="1" s="1"/>
  <c r="AE210" i="15" s="1"/>
  <c r="S207" i="1"/>
  <c r="T207" i="1" s="1"/>
  <c r="S205" i="1"/>
  <c r="T205" i="1" s="1"/>
  <c r="T209" i="15" s="1"/>
  <c r="Q205" i="1"/>
  <c r="Q209" i="15" s="1"/>
  <c r="U203" i="1"/>
  <c r="V203" i="1" s="1"/>
  <c r="W203" i="1" s="1"/>
  <c r="X203" i="1" s="1"/>
  <c r="Y203" i="1" s="1"/>
  <c r="Z203" i="1" s="1"/>
  <c r="AA203" i="1" s="1"/>
  <c r="AB203" i="1" s="1"/>
  <c r="AC203" i="1" s="1"/>
  <c r="AD203" i="1" s="1"/>
  <c r="AE203" i="1" s="1"/>
  <c r="S203" i="1"/>
  <c r="T203" i="1" s="1"/>
  <c r="N202" i="1"/>
  <c r="O202" i="1" s="1"/>
  <c r="P202" i="1" s="1"/>
  <c r="Q202" i="1" s="1"/>
  <c r="R202" i="1" s="1"/>
  <c r="S202" i="1" s="1"/>
  <c r="T202" i="1" s="1"/>
  <c r="U202" i="1" s="1"/>
  <c r="V202" i="1" s="1"/>
  <c r="W202" i="1" s="1"/>
  <c r="X202" i="1" s="1"/>
  <c r="Y202" i="1" s="1"/>
  <c r="Z202" i="1" s="1"/>
  <c r="AA202" i="1" s="1"/>
  <c r="AB202" i="1" s="1"/>
  <c r="AC202" i="1" s="1"/>
  <c r="AD202" i="1" s="1"/>
  <c r="AE202" i="1" s="1"/>
  <c r="J194" i="1"/>
  <c r="V195" i="1"/>
  <c r="W195" i="1" s="1"/>
  <c r="X195" i="1" s="1"/>
  <c r="Y195" i="1" s="1"/>
  <c r="Z195" i="1" s="1"/>
  <c r="AA195" i="1" s="1"/>
  <c r="AB195" i="1" s="1"/>
  <c r="AC195" i="1" s="1"/>
  <c r="AD195" i="1" s="1"/>
  <c r="AE195" i="1" s="1"/>
  <c r="V194" i="1"/>
  <c r="W194" i="1" s="1"/>
  <c r="X194" i="1" s="1"/>
  <c r="Y194" i="1" s="1"/>
  <c r="Z194" i="1" s="1"/>
  <c r="AA194" i="1" s="1"/>
  <c r="AB194" i="1" s="1"/>
  <c r="AC194" i="1" s="1"/>
  <c r="AD194" i="1" s="1"/>
  <c r="AE194" i="1" s="1"/>
  <c r="Q193" i="1"/>
  <c r="R193" i="1" s="1"/>
  <c r="S193" i="1" s="1"/>
  <c r="T193" i="1" s="1"/>
  <c r="K193" i="1"/>
  <c r="L191" i="1"/>
  <c r="N181" i="1"/>
  <c r="M181" i="1"/>
  <c r="L181" i="1"/>
  <c r="K181" i="1"/>
  <c r="J181" i="1"/>
  <c r="U180" i="1"/>
  <c r="V180" i="1" s="1"/>
  <c r="R179" i="1"/>
  <c r="Q179" i="1"/>
  <c r="P178" i="1"/>
  <c r="P181" i="1" s="1"/>
  <c r="O178" i="1"/>
  <c r="O181" i="1" s="1"/>
  <c r="O169" i="1"/>
  <c r="N169" i="1"/>
  <c r="M169" i="1"/>
  <c r="L169" i="1"/>
  <c r="K169" i="1"/>
  <c r="J169" i="1"/>
  <c r="R167" i="1"/>
  <c r="S168" i="1"/>
  <c r="P166" i="1"/>
  <c r="O166" i="1"/>
  <c r="R155" i="1"/>
  <c r="Q155" i="1"/>
  <c r="P155" i="1"/>
  <c r="R153" i="1"/>
  <c r="Q153" i="1"/>
  <c r="P153" i="1"/>
  <c r="T154" i="1"/>
  <c r="S154" i="1"/>
  <c r="S155" i="1" s="1"/>
  <c r="S153" i="1"/>
  <c r="Q151" i="1"/>
  <c r="R151" i="1" s="1"/>
  <c r="S151" i="1" s="1"/>
  <c r="T151" i="1" s="1"/>
  <c r="U151" i="1" s="1"/>
  <c r="V151" i="1" s="1"/>
  <c r="W151" i="1" s="1"/>
  <c r="X151" i="1" s="1"/>
  <c r="Y151" i="1" s="1"/>
  <c r="Z151" i="1" s="1"/>
  <c r="AA151" i="1" s="1"/>
  <c r="AB151" i="1" s="1"/>
  <c r="AC151" i="1" s="1"/>
  <c r="AD151" i="1" s="1"/>
  <c r="AE151" i="1" s="1"/>
  <c r="T150" i="1"/>
  <c r="U150" i="1" s="1"/>
  <c r="U149" i="1" s="1"/>
  <c r="S149" i="1"/>
  <c r="R149" i="1"/>
  <c r="Q149" i="1"/>
  <c r="P149" i="1"/>
  <c r="S148" i="1"/>
  <c r="T148" i="1" s="1"/>
  <c r="U148" i="1" s="1"/>
  <c r="V148" i="1" s="1"/>
  <c r="W148" i="1" s="1"/>
  <c r="X148" i="1" s="1"/>
  <c r="Y148" i="1" s="1"/>
  <c r="Z148" i="1" s="1"/>
  <c r="AA148" i="1" s="1"/>
  <c r="AB148" i="1" s="1"/>
  <c r="AC148" i="1" s="1"/>
  <c r="AD148" i="1" s="1"/>
  <c r="AE148" i="1" s="1"/>
  <c r="O148" i="1"/>
  <c r="P148" i="1" s="1"/>
  <c r="Q148" i="1" s="1"/>
  <c r="F140" i="1"/>
  <c r="F144" i="1" s="1"/>
  <c r="F139" i="1"/>
  <c r="G139" i="1" s="1"/>
  <c r="H138" i="1"/>
  <c r="I138" i="1" s="1"/>
  <c r="J138" i="1" s="1"/>
  <c r="K138" i="1" s="1"/>
  <c r="L138" i="1" s="1"/>
  <c r="M138" i="1" s="1"/>
  <c r="N138" i="1" s="1"/>
  <c r="F138" i="1"/>
  <c r="G138" i="1" s="1"/>
  <c r="P137" i="1"/>
  <c r="Q136" i="1"/>
  <c r="Q137" i="1" s="1"/>
  <c r="I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Q120" i="1"/>
  <c r="R120" i="1" s="1"/>
  <c r="S120" i="1" s="1"/>
  <c r="T120" i="1" s="1"/>
  <c r="U120" i="1" s="1"/>
  <c r="V120" i="1" s="1"/>
  <c r="W120" i="1" s="1"/>
  <c r="X120" i="1" s="1"/>
  <c r="Y120" i="1" s="1"/>
  <c r="Z120" i="1" s="1"/>
  <c r="AA120" i="1" s="1"/>
  <c r="AB120" i="1" s="1"/>
  <c r="AC120" i="1" s="1"/>
  <c r="AD120" i="1" s="1"/>
  <c r="AE120" i="1" s="1"/>
  <c r="O120" i="1"/>
  <c r="P120" i="1" s="1"/>
  <c r="V119" i="1"/>
  <c r="W119" i="1" s="1"/>
  <c r="X119" i="1" s="1"/>
  <c r="Y119" i="1" s="1"/>
  <c r="Z119" i="1" s="1"/>
  <c r="AA119" i="1" s="1"/>
  <c r="AB119" i="1" s="1"/>
  <c r="AC119" i="1" s="1"/>
  <c r="AD119" i="1" s="1"/>
  <c r="AE119" i="1" s="1"/>
  <c r="O118" i="1"/>
  <c r="P118" i="1" s="1"/>
  <c r="Q118" i="1" s="1"/>
  <c r="R118" i="1" s="1"/>
  <c r="S118" i="1" s="1"/>
  <c r="T118" i="1" s="1"/>
  <c r="U118" i="1" s="1"/>
  <c r="V118" i="1" s="1"/>
  <c r="W118" i="1" s="1"/>
  <c r="X118" i="1" s="1"/>
  <c r="Y118" i="1" s="1"/>
  <c r="Z118" i="1" s="1"/>
  <c r="AA118" i="1" s="1"/>
  <c r="AB118" i="1" s="1"/>
  <c r="AC118" i="1" s="1"/>
  <c r="AD118" i="1" s="1"/>
  <c r="AE118" i="1" s="1"/>
  <c r="N117" i="1"/>
  <c r="M117" i="1"/>
  <c r="L117" i="1"/>
  <c r="K117" i="1"/>
  <c r="J117" i="1"/>
  <c r="O113" i="1"/>
  <c r="N103" i="1"/>
  <c r="N106" i="1" s="1"/>
  <c r="M103" i="1"/>
  <c r="M105" i="1" s="1"/>
  <c r="L103" i="1"/>
  <c r="L106" i="1" s="1"/>
  <c r="K103" i="1"/>
  <c r="K106" i="1" s="1"/>
  <c r="J103" i="1"/>
  <c r="J106" i="1" s="1"/>
  <c r="L102" i="1"/>
  <c r="O98" i="1"/>
  <c r="P98" i="1" s="1"/>
  <c r="I92" i="1"/>
  <c r="N91" i="1"/>
  <c r="M91" i="1"/>
  <c r="L91" i="1"/>
  <c r="K91" i="1"/>
  <c r="J91" i="1"/>
  <c r="N90" i="1"/>
  <c r="M90" i="1"/>
  <c r="L90" i="1"/>
  <c r="K90" i="1"/>
  <c r="J90" i="1"/>
  <c r="N89" i="1"/>
  <c r="M89" i="1"/>
  <c r="L89" i="1"/>
  <c r="K89" i="1"/>
  <c r="J89" i="1"/>
  <c r="O87" i="1"/>
  <c r="P87" i="1" s="1"/>
  <c r="Q87" i="1" s="1"/>
  <c r="R87" i="1" s="1"/>
  <c r="S87" i="1" s="1"/>
  <c r="T87" i="1" s="1"/>
  <c r="U87" i="1" s="1"/>
  <c r="V87" i="1" s="1"/>
  <c r="W87" i="1" s="1"/>
  <c r="X87" i="1" s="1"/>
  <c r="Y87" i="1" s="1"/>
  <c r="Z87" i="1" s="1"/>
  <c r="AA87" i="1" s="1"/>
  <c r="AB87" i="1" s="1"/>
  <c r="AC87" i="1" s="1"/>
  <c r="AD87" i="1" s="1"/>
  <c r="AE87" i="1" s="1"/>
  <c r="V86" i="1"/>
  <c r="W86" i="1" s="1"/>
  <c r="X86" i="1" s="1"/>
  <c r="Y86" i="1" s="1"/>
  <c r="Z86" i="1" s="1"/>
  <c r="AA86" i="1" s="1"/>
  <c r="AB86" i="1" s="1"/>
  <c r="AC86" i="1" s="1"/>
  <c r="AD86" i="1" s="1"/>
  <c r="AE86" i="1" s="1"/>
  <c r="U86" i="1"/>
  <c r="O85" i="1"/>
  <c r="P85" i="1" s="1"/>
  <c r="Q85" i="1" s="1"/>
  <c r="R85" i="1" s="1"/>
  <c r="S85" i="1" s="1"/>
  <c r="T85" i="1" s="1"/>
  <c r="U85" i="1" s="1"/>
  <c r="V85" i="1" s="1"/>
  <c r="W85" i="1" s="1"/>
  <c r="X85" i="1" s="1"/>
  <c r="Y85" i="1" s="1"/>
  <c r="Z85" i="1" s="1"/>
  <c r="AA85" i="1" s="1"/>
  <c r="AB85" i="1" s="1"/>
  <c r="AC85" i="1" s="1"/>
  <c r="AD85" i="1" s="1"/>
  <c r="AE85" i="1" s="1"/>
  <c r="N84" i="1"/>
  <c r="M84" i="1"/>
  <c r="L84" i="1"/>
  <c r="K84" i="1"/>
  <c r="J84" i="1"/>
  <c r="P80" i="1"/>
  <c r="O80" i="1"/>
  <c r="N77" i="1"/>
  <c r="S77" i="1"/>
  <c r="T77" i="1" s="1"/>
  <c r="U77" i="1" s="1"/>
  <c r="V77" i="1" s="1"/>
  <c r="W77" i="1" s="1"/>
  <c r="X77" i="1" s="1"/>
  <c r="Y77" i="1" s="1"/>
  <c r="Z77" i="1" s="1"/>
  <c r="AA77" i="1" s="1"/>
  <c r="AB77" i="1" s="1"/>
  <c r="AC77" i="1" s="1"/>
  <c r="AD77" i="1" s="1"/>
  <c r="AE77" i="1" s="1"/>
  <c r="L70" i="1"/>
  <c r="N65" i="1"/>
  <c r="M65" i="1"/>
  <c r="L65" i="1"/>
  <c r="K65" i="1"/>
  <c r="K66" i="1" s="1"/>
  <c r="J65" i="1"/>
  <c r="N58" i="1"/>
  <c r="K58" i="1"/>
  <c r="K70" i="1" s="1"/>
  <c r="S57" i="1"/>
  <c r="R57" i="1"/>
  <c r="Q57" i="1"/>
  <c r="P57" i="1"/>
  <c r="P56" i="1"/>
  <c r="P55" i="1"/>
  <c r="N56" i="1"/>
  <c r="O57" i="1" s="1"/>
  <c r="S56" i="1"/>
  <c r="S55" i="1"/>
  <c r="R55" i="1"/>
  <c r="Q55" i="1"/>
  <c r="G51" i="1"/>
  <c r="H51" i="1" s="1"/>
  <c r="I51" i="1" s="1"/>
  <c r="J51" i="1" s="1"/>
  <c r="K51" i="1" s="1"/>
  <c r="L51" i="1" s="1"/>
  <c r="M51" i="1" s="1"/>
  <c r="G50" i="1"/>
  <c r="H50" i="1" s="1"/>
  <c r="I50" i="1" s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O51" i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O48" i="1"/>
  <c r="P47" i="1"/>
  <c r="P46" i="1"/>
  <c r="O46" i="1"/>
  <c r="M39" i="1"/>
  <c r="L39" i="1" s="1"/>
  <c r="K39" i="1" s="1"/>
  <c r="R38" i="1"/>
  <c r="Q38" i="1"/>
  <c r="P38" i="1"/>
  <c r="O38" i="1"/>
  <c r="R37" i="1"/>
  <c r="S38" i="1" s="1"/>
  <c r="Q36" i="1"/>
  <c r="P36" i="1"/>
  <c r="O36" i="1"/>
  <c r="F31" i="1"/>
  <c r="G32" i="1"/>
  <c r="G30" i="1"/>
  <c r="H30" i="1" s="1"/>
  <c r="I30" i="1" s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W30" i="1" s="1"/>
  <c r="X30" i="1" s="1"/>
  <c r="Y30" i="1" s="1"/>
  <c r="Z30" i="1" s="1"/>
  <c r="AA30" i="1" s="1"/>
  <c r="AB30" i="1" s="1"/>
  <c r="AC30" i="1" s="1"/>
  <c r="AD30" i="1" s="1"/>
  <c r="AE30" i="1" s="1"/>
  <c r="H29" i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AB29" i="1" s="1"/>
  <c r="AC29" i="1" s="1"/>
  <c r="AD29" i="1" s="1"/>
  <c r="AE29" i="1" s="1"/>
  <c r="G29" i="1"/>
  <c r="L28" i="1"/>
  <c r="M28" i="1" s="1"/>
  <c r="AR27" i="1"/>
  <c r="AR25" i="1"/>
  <c r="E22" i="1"/>
  <c r="J21" i="1"/>
  <c r="H21" i="1"/>
  <c r="F21" i="1"/>
  <c r="G21" i="1" s="1"/>
  <c r="L21" i="1"/>
  <c r="M21" i="1" s="1"/>
  <c r="N21" i="1" s="1"/>
  <c r="O21" i="1" s="1"/>
  <c r="F20" i="1"/>
  <c r="G20" i="1" s="1"/>
  <c r="H20" i="1" s="1"/>
  <c r="I20" i="1" s="1"/>
  <c r="F16" i="1"/>
  <c r="N12" i="1"/>
  <c r="M11" i="1"/>
  <c r="L11" i="1"/>
  <c r="K11" i="1"/>
  <c r="J11" i="1"/>
  <c r="I11" i="1"/>
  <c r="H11" i="1"/>
  <c r="G11" i="1"/>
  <c r="F11" i="1"/>
  <c r="E11" i="1"/>
  <c r="M9" i="1"/>
  <c r="L9" i="1"/>
  <c r="K9" i="1"/>
  <c r="J9" i="1"/>
  <c r="I9" i="1"/>
  <c r="H9" i="1"/>
  <c r="G9" i="1"/>
  <c r="F9" i="1"/>
  <c r="E9" i="1"/>
  <c r="E17" i="1" s="1"/>
  <c r="M8" i="1"/>
  <c r="L8" i="1" s="1"/>
  <c r="O6" i="1"/>
  <c r="P6" i="1" s="1"/>
  <c r="Q6" i="1" s="1"/>
  <c r="R6" i="1" s="1"/>
  <c r="S6" i="1" s="1"/>
  <c r="T6" i="1" s="1"/>
  <c r="U6" i="1" s="1"/>
  <c r="V6" i="1" s="1"/>
  <c r="F6" i="1"/>
  <c r="G6" i="1" s="1"/>
  <c r="H6" i="1" s="1"/>
  <c r="I6" i="1" s="1"/>
  <c r="J6" i="1" s="1"/>
  <c r="K6" i="1" s="1"/>
  <c r="L6" i="1" s="1"/>
  <c r="M6" i="1" s="1"/>
  <c r="M4" i="1"/>
  <c r="L4" i="1"/>
  <c r="K4" i="1"/>
  <c r="J4" i="1"/>
  <c r="I4" i="1"/>
  <c r="H4" i="1"/>
  <c r="G4" i="1"/>
  <c r="F4" i="1"/>
  <c r="O4" i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N3" i="1"/>
  <c r="N11" i="1" s="1"/>
  <c r="O11" i="1" s="1"/>
  <c r="J1" i="1"/>
  <c r="Y17" i="17"/>
  <c r="X17" i="17"/>
  <c r="W17" i="17"/>
  <c r="V17" i="17"/>
  <c r="U17" i="17"/>
  <c r="T17" i="17"/>
  <c r="S17" i="17"/>
  <c r="R17" i="17"/>
  <c r="Q17" i="17"/>
  <c r="O13" i="17"/>
  <c r="N13" i="17"/>
  <c r="M13" i="17"/>
  <c r="I2" i="17"/>
  <c r="J2" i="17" s="1"/>
  <c r="K2" i="17" s="1"/>
  <c r="L2" i="17" s="1"/>
  <c r="M2" i="17" s="1"/>
  <c r="N2" i="17" s="1"/>
  <c r="O2" i="17" s="1"/>
  <c r="P2" i="17" s="1"/>
  <c r="Q2" i="17" s="1"/>
  <c r="R2" i="17" s="1"/>
  <c r="S2" i="17" s="1"/>
  <c r="T2" i="17" s="1"/>
  <c r="U2" i="17" s="1"/>
  <c r="V2" i="17" s="1"/>
  <c r="W2" i="17" s="1"/>
  <c r="X2" i="17" s="1"/>
  <c r="Y2" i="17" s="1"/>
  <c r="G2" i="17"/>
  <c r="F2" i="17" s="1"/>
  <c r="E2" i="17" s="1"/>
  <c r="D2" i="17" s="1"/>
  <c r="E106" i="21"/>
  <c r="F106" i="21" s="1"/>
  <c r="G106" i="21" s="1"/>
  <c r="H106" i="21" s="1"/>
  <c r="I106" i="21" s="1"/>
  <c r="J106" i="21" s="1"/>
  <c r="K106" i="21" s="1"/>
  <c r="L106" i="21" s="1"/>
  <c r="M106" i="21" s="1"/>
  <c r="N106" i="21" s="1"/>
  <c r="O106" i="21" s="1"/>
  <c r="P106" i="21" s="1"/>
  <c r="Q106" i="21" s="1"/>
  <c r="R106" i="21" s="1"/>
  <c r="S106" i="21" s="1"/>
  <c r="T106" i="21" s="1"/>
  <c r="U106" i="21" s="1"/>
  <c r="V106" i="21" s="1"/>
  <c r="W106" i="21" s="1"/>
  <c r="I104" i="21"/>
  <c r="I107" i="21" s="1"/>
  <c r="H104" i="21"/>
  <c r="H107" i="21" s="1"/>
  <c r="G104" i="21"/>
  <c r="G107" i="21" s="1"/>
  <c r="F104" i="21"/>
  <c r="F107" i="21" s="1"/>
  <c r="C104" i="21"/>
  <c r="C107" i="21" s="1"/>
  <c r="H97" i="21"/>
  <c r="H96" i="21"/>
  <c r="I95" i="21"/>
  <c r="I96" i="21" s="1"/>
  <c r="K94" i="21"/>
  <c r="L94" i="21" s="1"/>
  <c r="M94" i="21" s="1"/>
  <c r="N94" i="21" s="1"/>
  <c r="O94" i="21" s="1"/>
  <c r="P94" i="21" s="1"/>
  <c r="Q94" i="21" s="1"/>
  <c r="R94" i="21" s="1"/>
  <c r="S94" i="21" s="1"/>
  <c r="T94" i="21" s="1"/>
  <c r="U94" i="21" s="1"/>
  <c r="V94" i="21" s="1"/>
  <c r="W94" i="21" s="1"/>
  <c r="G92" i="21"/>
  <c r="G91" i="21"/>
  <c r="I91" i="21"/>
  <c r="H91" i="21"/>
  <c r="J91" i="21"/>
  <c r="G87" i="21"/>
  <c r="F87" i="21"/>
  <c r="I86" i="21"/>
  <c r="H86" i="21"/>
  <c r="G86" i="21"/>
  <c r="F86" i="21"/>
  <c r="J86" i="21"/>
  <c r="G82" i="21"/>
  <c r="E82" i="21"/>
  <c r="D82" i="21"/>
  <c r="D79" i="21" s="1"/>
  <c r="E81" i="21" s="1"/>
  <c r="I81" i="21"/>
  <c r="H81" i="21"/>
  <c r="G81" i="21"/>
  <c r="D81" i="21"/>
  <c r="K79" i="21"/>
  <c r="H72" i="21"/>
  <c r="H71" i="21"/>
  <c r="I70" i="21"/>
  <c r="I71" i="21" s="1"/>
  <c r="K69" i="21"/>
  <c r="L69" i="21" s="1"/>
  <c r="M69" i="21" s="1"/>
  <c r="N69" i="21" s="1"/>
  <c r="O69" i="21" s="1"/>
  <c r="P69" i="21" s="1"/>
  <c r="Q69" i="21" s="1"/>
  <c r="G67" i="21"/>
  <c r="G66" i="21"/>
  <c r="I66" i="21"/>
  <c r="H66" i="21"/>
  <c r="K64" i="21"/>
  <c r="G62" i="21"/>
  <c r="G61" i="21"/>
  <c r="G60" i="21"/>
  <c r="F61" i="21"/>
  <c r="H60" i="21"/>
  <c r="I60" i="21" s="1"/>
  <c r="K59" i="21"/>
  <c r="L59" i="21" s="1"/>
  <c r="M59" i="21" s="1"/>
  <c r="N59" i="21" s="1"/>
  <c r="O59" i="21" s="1"/>
  <c r="H52" i="21"/>
  <c r="H51" i="21"/>
  <c r="J50" i="21"/>
  <c r="K50" i="21" s="1"/>
  <c r="I50" i="21"/>
  <c r="I51" i="21" s="1"/>
  <c r="K49" i="21"/>
  <c r="L49" i="21" s="1"/>
  <c r="M49" i="21" s="1"/>
  <c r="N49" i="21" s="1"/>
  <c r="G47" i="21"/>
  <c r="F47" i="21"/>
  <c r="I46" i="21"/>
  <c r="H46" i="21"/>
  <c r="G46" i="21"/>
  <c r="F46" i="21"/>
  <c r="E46" i="21"/>
  <c r="H37" i="21"/>
  <c r="H36" i="21"/>
  <c r="I35" i="21"/>
  <c r="J35" i="21" s="1"/>
  <c r="J36" i="21" s="1"/>
  <c r="K34" i="21"/>
  <c r="L34" i="21" s="1"/>
  <c r="M37" i="21" s="1"/>
  <c r="G32" i="21"/>
  <c r="E32" i="21"/>
  <c r="D32" i="21"/>
  <c r="D29" i="21" s="1"/>
  <c r="E29" i="21" s="1"/>
  <c r="I31" i="21"/>
  <c r="H31" i="21"/>
  <c r="G31" i="21"/>
  <c r="K29" i="21"/>
  <c r="I26" i="21"/>
  <c r="H26" i="21"/>
  <c r="G26" i="21"/>
  <c r="J26" i="21"/>
  <c r="I21" i="21"/>
  <c r="H21" i="21"/>
  <c r="K19" i="21"/>
  <c r="J21" i="21"/>
  <c r="G17" i="21"/>
  <c r="F17" i="21"/>
  <c r="F16" i="21"/>
  <c r="G15" i="21"/>
  <c r="G16" i="21" s="1"/>
  <c r="J12" i="21"/>
  <c r="G12" i="21"/>
  <c r="F12" i="21"/>
  <c r="I11" i="21"/>
  <c r="H11" i="21"/>
  <c r="G11" i="21"/>
  <c r="F11" i="21"/>
  <c r="E11" i="21"/>
  <c r="H7" i="21"/>
  <c r="G7" i="21"/>
  <c r="F7" i="21"/>
  <c r="D7" i="21"/>
  <c r="D4" i="21" s="1"/>
  <c r="I6" i="21"/>
  <c r="H6" i="21"/>
  <c r="G6" i="21"/>
  <c r="F6" i="21"/>
  <c r="P106" i="20"/>
  <c r="Q106" i="20" s="1"/>
  <c r="R106" i="20" s="1"/>
  <c r="S106" i="20" s="1"/>
  <c r="T106" i="20" s="1"/>
  <c r="U106" i="20" s="1"/>
  <c r="V106" i="20" s="1"/>
  <c r="W106" i="20" s="1"/>
  <c r="X106" i="20" s="1"/>
  <c r="Y106" i="20" s="1"/>
  <c r="Z106" i="20" s="1"/>
  <c r="AA106" i="20" s="1"/>
  <c r="AB106" i="20" s="1"/>
  <c r="AC106" i="20" s="1"/>
  <c r="AD106" i="20" s="1"/>
  <c r="AE106" i="20" s="1"/>
  <c r="O106" i="20"/>
  <c r="N106" i="20"/>
  <c r="M106" i="20"/>
  <c r="L106" i="20"/>
  <c r="K106" i="20"/>
  <c r="J106" i="20"/>
  <c r="I106" i="20"/>
  <c r="H106" i="20"/>
  <c r="G106" i="20"/>
  <c r="F106" i="20"/>
  <c r="E106" i="20"/>
  <c r="D106" i="20"/>
  <c r="C106" i="20"/>
  <c r="Q102" i="20"/>
  <c r="P102" i="20"/>
  <c r="O102" i="20"/>
  <c r="N102" i="20"/>
  <c r="M102" i="20"/>
  <c r="L102" i="20"/>
  <c r="K102" i="20"/>
  <c r="J102" i="20"/>
  <c r="H102" i="20"/>
  <c r="F102" i="20"/>
  <c r="E102" i="20"/>
  <c r="D102" i="20"/>
  <c r="C102" i="20"/>
  <c r="O99" i="20"/>
  <c r="M99" i="20"/>
  <c r="L99" i="20"/>
  <c r="I99" i="20"/>
  <c r="H99" i="20"/>
  <c r="E99" i="20"/>
  <c r="D99" i="20"/>
  <c r="F96" i="20"/>
  <c r="E96" i="20"/>
  <c r="D96" i="20"/>
  <c r="C96" i="20"/>
  <c r="Q91" i="20"/>
  <c r="Q90" i="20"/>
  <c r="O92" i="20"/>
  <c r="N92" i="20"/>
  <c r="M92" i="20"/>
  <c r="L92" i="20"/>
  <c r="K92" i="20"/>
  <c r="J92" i="20"/>
  <c r="I92" i="20"/>
  <c r="H92" i="20"/>
  <c r="G92" i="20"/>
  <c r="F92" i="20"/>
  <c r="E92" i="20"/>
  <c r="D92" i="20"/>
  <c r="C92" i="20"/>
  <c r="O91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D90" i="20"/>
  <c r="R91" i="20"/>
  <c r="P89" i="20"/>
  <c r="P90" i="20" s="1"/>
  <c r="O89" i="20"/>
  <c r="O90" i="20" s="1"/>
  <c r="N89" i="20"/>
  <c r="M88" i="20"/>
  <c r="L88" i="20"/>
  <c r="K88" i="20"/>
  <c r="G88" i="20"/>
  <c r="I85" i="20"/>
  <c r="H85" i="20"/>
  <c r="G85" i="20"/>
  <c r="F85" i="20"/>
  <c r="C85" i="20"/>
  <c r="C84" i="20"/>
  <c r="C82" i="20"/>
  <c r="I84" i="20"/>
  <c r="H84" i="20"/>
  <c r="E84" i="20"/>
  <c r="E82" i="20"/>
  <c r="E83" i="20" s="1"/>
  <c r="Q83" i="20"/>
  <c r="P83" i="20"/>
  <c r="O83" i="20"/>
  <c r="N83" i="20"/>
  <c r="M83" i="20"/>
  <c r="J83" i="20"/>
  <c r="H83" i="20"/>
  <c r="G83" i="20"/>
  <c r="F83" i="20"/>
  <c r="D82" i="20"/>
  <c r="I82" i="20"/>
  <c r="I83" i="20" s="1"/>
  <c r="N80" i="20"/>
  <c r="N90" i="20" s="1"/>
  <c r="M80" i="20"/>
  <c r="M90" i="20" s="1"/>
  <c r="L80" i="20"/>
  <c r="K80" i="20"/>
  <c r="K90" i="20" s="1"/>
  <c r="J80" i="20"/>
  <c r="J90" i="20" s="1"/>
  <c r="I80" i="20"/>
  <c r="H80" i="20"/>
  <c r="G80" i="20"/>
  <c r="F80" i="20"/>
  <c r="E80" i="20"/>
  <c r="E90" i="20" s="1"/>
  <c r="D80" i="20"/>
  <c r="C80" i="20"/>
  <c r="S78" i="20"/>
  <c r="T78" i="20" s="1"/>
  <c r="U78" i="20" s="1"/>
  <c r="V78" i="20" s="1"/>
  <c r="W78" i="20" s="1"/>
  <c r="X78" i="20" s="1"/>
  <c r="Y78" i="20" s="1"/>
  <c r="Z78" i="20" s="1"/>
  <c r="AA78" i="20" s="1"/>
  <c r="AB78" i="20" s="1"/>
  <c r="AC78" i="20" s="1"/>
  <c r="AD78" i="20" s="1"/>
  <c r="AE78" i="20" s="1"/>
  <c r="F78" i="20"/>
  <c r="E78" i="20"/>
  <c r="D78" i="20"/>
  <c r="C78" i="20"/>
  <c r="Q77" i="20"/>
  <c r="P77" i="20"/>
  <c r="O77" i="20"/>
  <c r="N77" i="20"/>
  <c r="M77" i="20"/>
  <c r="K77" i="20"/>
  <c r="L77" i="20" s="1"/>
  <c r="J77" i="20"/>
  <c r="I77" i="20"/>
  <c r="H77" i="20"/>
  <c r="G77" i="20"/>
  <c r="T77" i="20"/>
  <c r="U77" i="20" s="1"/>
  <c r="E76" i="20"/>
  <c r="D76" i="20"/>
  <c r="C76" i="20"/>
  <c r="N75" i="20"/>
  <c r="I75" i="20"/>
  <c r="Q74" i="20"/>
  <c r="Q75" i="20" s="1"/>
  <c r="P74" i="20"/>
  <c r="P75" i="20" s="1"/>
  <c r="O74" i="20"/>
  <c r="O75" i="20" s="1"/>
  <c r="M74" i="20"/>
  <c r="M75" i="20" s="1"/>
  <c r="K74" i="20"/>
  <c r="K75" i="20" s="1"/>
  <c r="J74" i="20"/>
  <c r="J75" i="20" s="1"/>
  <c r="I74" i="20"/>
  <c r="H74" i="20"/>
  <c r="H75" i="20" s="1"/>
  <c r="G74" i="20"/>
  <c r="G75" i="20" s="1"/>
  <c r="S73" i="20"/>
  <c r="T73" i="20" s="1"/>
  <c r="U73" i="20" s="1"/>
  <c r="V73" i="20" s="1"/>
  <c r="W73" i="20" s="1"/>
  <c r="X73" i="20" s="1"/>
  <c r="Y73" i="20" s="1"/>
  <c r="Z73" i="20" s="1"/>
  <c r="AA73" i="20" s="1"/>
  <c r="AB73" i="20" s="1"/>
  <c r="AC73" i="20" s="1"/>
  <c r="AD73" i="20" s="1"/>
  <c r="AE73" i="20" s="1"/>
  <c r="E74" i="20"/>
  <c r="D74" i="20"/>
  <c r="D75" i="20" s="1"/>
  <c r="C74" i="20"/>
  <c r="C75" i="20" s="1"/>
  <c r="E73" i="20"/>
  <c r="D73" i="20"/>
  <c r="C73" i="20"/>
  <c r="P72" i="20"/>
  <c r="O72" i="20"/>
  <c r="N72" i="20"/>
  <c r="M72" i="20"/>
  <c r="I72" i="20"/>
  <c r="H72" i="20"/>
  <c r="G72" i="20"/>
  <c r="L69" i="20"/>
  <c r="L85" i="20" s="1"/>
  <c r="L90" i="20" s="1"/>
  <c r="E71" i="20"/>
  <c r="D71" i="20"/>
  <c r="K70" i="20"/>
  <c r="K83" i="20" s="1"/>
  <c r="F70" i="20"/>
  <c r="E70" i="20"/>
  <c r="E75" i="20" s="1"/>
  <c r="D70" i="20"/>
  <c r="C70" i="20"/>
  <c r="Q69" i="20"/>
  <c r="P69" i="20"/>
  <c r="O69" i="20"/>
  <c r="N69" i="20"/>
  <c r="M69" i="20"/>
  <c r="O63" i="20"/>
  <c r="O65" i="20" s="1"/>
  <c r="M63" i="20"/>
  <c r="M65" i="20" s="1"/>
  <c r="L63" i="20"/>
  <c r="L65" i="20" s="1"/>
  <c r="I63" i="20"/>
  <c r="I65" i="20" s="1"/>
  <c r="Q61" i="20"/>
  <c r="P61" i="20"/>
  <c r="O61" i="20"/>
  <c r="N61" i="20"/>
  <c r="M61" i="20"/>
  <c r="L61" i="20"/>
  <c r="K61" i="20"/>
  <c r="J61" i="20"/>
  <c r="I61" i="20"/>
  <c r="Q60" i="20"/>
  <c r="P60" i="20"/>
  <c r="O60" i="20"/>
  <c r="N60" i="20"/>
  <c r="M60" i="20"/>
  <c r="L60" i="20"/>
  <c r="K60" i="20"/>
  <c r="J60" i="20"/>
  <c r="I60" i="20"/>
  <c r="H60" i="20"/>
  <c r="G60" i="20"/>
  <c r="E60" i="20"/>
  <c r="D60" i="20"/>
  <c r="C60" i="20"/>
  <c r="N56" i="20"/>
  <c r="F56" i="20"/>
  <c r="Q55" i="20"/>
  <c r="Q56" i="20" s="1"/>
  <c r="P55" i="20"/>
  <c r="P56" i="20" s="1"/>
  <c r="O55" i="20"/>
  <c r="O56" i="20" s="1"/>
  <c r="N55" i="20"/>
  <c r="M55" i="20"/>
  <c r="M56" i="20" s="1"/>
  <c r="L55" i="20"/>
  <c r="K55" i="20"/>
  <c r="K56" i="20" s="1"/>
  <c r="J55" i="20"/>
  <c r="J56" i="20" s="1"/>
  <c r="I55" i="20"/>
  <c r="I56" i="20" s="1"/>
  <c r="H55" i="20"/>
  <c r="H56" i="20" s="1"/>
  <c r="G55" i="20"/>
  <c r="G56" i="20" s="1"/>
  <c r="F55" i="20"/>
  <c r="E55" i="20"/>
  <c r="E56" i="20" s="1"/>
  <c r="D55" i="20"/>
  <c r="D56" i="20" s="1"/>
  <c r="C55" i="20"/>
  <c r="C56" i="20" s="1"/>
  <c r="K49" i="20"/>
  <c r="J49" i="20"/>
  <c r="H49" i="20"/>
  <c r="F49" i="20"/>
  <c r="E49" i="20"/>
  <c r="D49" i="20"/>
  <c r="C49" i="20"/>
  <c r="G47" i="20"/>
  <c r="L46" i="20"/>
  <c r="L45" i="20"/>
  <c r="L49" i="20" s="1"/>
  <c r="Q45" i="20"/>
  <c r="Q49" i="20" s="1"/>
  <c r="P45" i="20"/>
  <c r="O45" i="20"/>
  <c r="O49" i="20" s="1"/>
  <c r="N45" i="20"/>
  <c r="N49" i="20" s="1"/>
  <c r="M45" i="20"/>
  <c r="M49" i="20" s="1"/>
  <c r="I44" i="20"/>
  <c r="I102" i="20" s="1"/>
  <c r="P43" i="20"/>
  <c r="P49" i="20" s="1"/>
  <c r="D43" i="20"/>
  <c r="Q40" i="20"/>
  <c r="P40" i="20"/>
  <c r="O40" i="20"/>
  <c r="L40" i="20"/>
  <c r="K40" i="20"/>
  <c r="J40" i="20"/>
  <c r="I40" i="20"/>
  <c r="H40" i="20"/>
  <c r="E40" i="20"/>
  <c r="C40" i="20"/>
  <c r="Q39" i="20"/>
  <c r="O39" i="20"/>
  <c r="N39" i="20"/>
  <c r="M39" i="20"/>
  <c r="M40" i="20" s="1"/>
  <c r="D39" i="20"/>
  <c r="D40" i="20" s="1"/>
  <c r="N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G34" i="20"/>
  <c r="G40" i="20" s="1"/>
  <c r="F34" i="20"/>
  <c r="F60" i="20" s="1"/>
  <c r="F33" i="20"/>
  <c r="F40" i="20" s="1"/>
  <c r="Q28" i="20"/>
  <c r="P28" i="20"/>
  <c r="N28" i="20"/>
  <c r="M28" i="20"/>
  <c r="L28" i="20"/>
  <c r="K28" i="20"/>
  <c r="I28" i="20"/>
  <c r="H28" i="20"/>
  <c r="G28" i="20"/>
  <c r="F28" i="20"/>
  <c r="E28" i="20"/>
  <c r="D28" i="20"/>
  <c r="C28" i="20"/>
  <c r="J24" i="20"/>
  <c r="J28" i="20" s="1"/>
  <c r="O23" i="20"/>
  <c r="O28" i="20" s="1"/>
  <c r="S25" i="20"/>
  <c r="T25" i="20" s="1"/>
  <c r="U25" i="20" s="1"/>
  <c r="V25" i="20" s="1"/>
  <c r="W25" i="20" s="1"/>
  <c r="X25" i="20" s="1"/>
  <c r="Y25" i="20" s="1"/>
  <c r="Q19" i="20"/>
  <c r="P19" i="20"/>
  <c r="O19" i="20"/>
  <c r="N19" i="20"/>
  <c r="M19" i="20"/>
  <c r="I19" i="20"/>
  <c r="G19" i="20"/>
  <c r="F19" i="20"/>
  <c r="E19" i="20"/>
  <c r="D19" i="20"/>
  <c r="C19" i="20"/>
  <c r="F18" i="20"/>
  <c r="T11" i="20"/>
  <c r="U11" i="20" s="1"/>
  <c r="V11" i="20" s="1"/>
  <c r="W11" i="20" s="1"/>
  <c r="X11" i="20" s="1"/>
  <c r="Y11" i="20" s="1"/>
  <c r="Z11" i="20" s="1"/>
  <c r="AA11" i="20" s="1"/>
  <c r="AB11" i="20" s="1"/>
  <c r="AC11" i="20" s="1"/>
  <c r="AD11" i="20" s="1"/>
  <c r="AE11" i="20" s="1"/>
  <c r="Q6" i="20"/>
  <c r="BV90" i="10" s="1"/>
  <c r="BR90" i="10" s="1"/>
  <c r="P6" i="20"/>
  <c r="P29" i="20" s="1"/>
  <c r="P53" i="19" s="1"/>
  <c r="O6" i="20"/>
  <c r="N6" i="20"/>
  <c r="N29" i="20" s="1"/>
  <c r="M6" i="20"/>
  <c r="BB90" i="10" s="1"/>
  <c r="L6" i="20"/>
  <c r="L29" i="20" s="1"/>
  <c r="K6" i="20"/>
  <c r="K29" i="20" s="1"/>
  <c r="I6" i="20"/>
  <c r="I29" i="20" s="1"/>
  <c r="I59" i="20" s="1"/>
  <c r="I62" i="20" s="1"/>
  <c r="H6" i="20"/>
  <c r="H29" i="20" s="1"/>
  <c r="D6" i="20"/>
  <c r="D29" i="20" s="1"/>
  <c r="C6" i="20"/>
  <c r="C142" i="19" s="1"/>
  <c r="J4" i="20"/>
  <c r="J6" i="20" s="1"/>
  <c r="J29" i="20" s="1"/>
  <c r="G4" i="20"/>
  <c r="G6" i="20" s="1"/>
  <c r="F4" i="20"/>
  <c r="F6" i="20" s="1"/>
  <c r="F29" i="20" s="1"/>
  <c r="F53" i="19" s="1"/>
  <c r="E4" i="20"/>
  <c r="E141" i="19" s="1"/>
  <c r="C171" i="19"/>
  <c r="C169" i="19"/>
  <c r="Q175" i="19"/>
  <c r="P175" i="19"/>
  <c r="O175" i="19"/>
  <c r="N175" i="19"/>
  <c r="M175" i="19"/>
  <c r="L175" i="19"/>
  <c r="K175" i="19"/>
  <c r="Q171" i="19"/>
  <c r="P171" i="19"/>
  <c r="O171" i="19"/>
  <c r="N171" i="19"/>
  <c r="M171" i="19"/>
  <c r="L171" i="19"/>
  <c r="K171" i="19"/>
  <c r="J171" i="19"/>
  <c r="I171" i="19"/>
  <c r="H171" i="19"/>
  <c r="G171" i="19"/>
  <c r="F171" i="19"/>
  <c r="E171" i="19"/>
  <c r="D171" i="19"/>
  <c r="Q170" i="19"/>
  <c r="P170" i="19"/>
  <c r="O170" i="19"/>
  <c r="N170" i="19"/>
  <c r="M170" i="19"/>
  <c r="L170" i="19"/>
  <c r="K170" i="19"/>
  <c r="J170" i="19"/>
  <c r="I170" i="19"/>
  <c r="H170" i="19"/>
  <c r="G170" i="19"/>
  <c r="F170" i="19"/>
  <c r="D170" i="19"/>
  <c r="Q169" i="19"/>
  <c r="P169" i="19"/>
  <c r="O169" i="19"/>
  <c r="N169" i="19"/>
  <c r="M169" i="19"/>
  <c r="L169" i="19"/>
  <c r="K169" i="19"/>
  <c r="J169" i="19"/>
  <c r="I169" i="19"/>
  <c r="H169" i="19"/>
  <c r="G169" i="19"/>
  <c r="F169" i="19"/>
  <c r="E169" i="19"/>
  <c r="D169" i="19"/>
  <c r="Q156" i="19"/>
  <c r="S156" i="19" s="1"/>
  <c r="T156" i="19" s="1"/>
  <c r="U156" i="19" s="1"/>
  <c r="V156" i="19" s="1"/>
  <c r="W156" i="19" s="1"/>
  <c r="X156" i="19" s="1"/>
  <c r="Y156" i="19" s="1"/>
  <c r="Y5" i="20" s="1"/>
  <c r="P156" i="19"/>
  <c r="O156" i="19"/>
  <c r="N156" i="19"/>
  <c r="M156" i="19"/>
  <c r="L156" i="19"/>
  <c r="K156" i="19"/>
  <c r="J156" i="19"/>
  <c r="I156" i="19"/>
  <c r="Q155" i="19"/>
  <c r="P155" i="19"/>
  <c r="P157" i="19" s="1"/>
  <c r="O155" i="19"/>
  <c r="N155" i="19"/>
  <c r="M155" i="19"/>
  <c r="L155" i="19"/>
  <c r="L157" i="19" s="1"/>
  <c r="K155" i="19"/>
  <c r="J155" i="19"/>
  <c r="I155" i="19"/>
  <c r="Q154" i="19"/>
  <c r="P154" i="19"/>
  <c r="O154" i="19"/>
  <c r="N154" i="19"/>
  <c r="M154" i="19"/>
  <c r="M150" i="19" s="1"/>
  <c r="L154" i="19"/>
  <c r="K154" i="19"/>
  <c r="L150" i="19" s="1"/>
  <c r="J154" i="19"/>
  <c r="I154" i="19"/>
  <c r="H156" i="19"/>
  <c r="G156" i="19"/>
  <c r="F156" i="19"/>
  <c r="E156" i="19"/>
  <c r="D156" i="19"/>
  <c r="C156" i="19"/>
  <c r="H155" i="19"/>
  <c r="G155" i="19"/>
  <c r="F155" i="19"/>
  <c r="E155" i="19"/>
  <c r="D155" i="19"/>
  <c r="C155" i="19"/>
  <c r="H154" i="19"/>
  <c r="G154" i="19"/>
  <c r="F154" i="19"/>
  <c r="E154" i="19"/>
  <c r="D154" i="19"/>
  <c r="C154" i="19"/>
  <c r="N153" i="19"/>
  <c r="N152" i="19" s="1"/>
  <c r="M153" i="19"/>
  <c r="L147" i="19"/>
  <c r="AE150" i="19"/>
  <c r="AD150" i="19"/>
  <c r="AC150" i="19"/>
  <c r="AB150" i="19"/>
  <c r="AA150" i="19"/>
  <c r="Z150" i="19"/>
  <c r="Y150" i="19"/>
  <c r="X150" i="19"/>
  <c r="W150" i="19"/>
  <c r="V150" i="19"/>
  <c r="U150" i="19"/>
  <c r="T150" i="19"/>
  <c r="S150" i="19"/>
  <c r="R150" i="19"/>
  <c r="Q150" i="19"/>
  <c r="P150" i="19"/>
  <c r="O150" i="19"/>
  <c r="N150" i="19"/>
  <c r="N149" i="19"/>
  <c r="O149" i="19" s="1"/>
  <c r="N148" i="19"/>
  <c r="M141" i="19"/>
  <c r="M106" i="19" s="1"/>
  <c r="L141" i="19"/>
  <c r="K141" i="19"/>
  <c r="J141" i="19"/>
  <c r="J106" i="19" s="1"/>
  <c r="I141" i="19"/>
  <c r="I106" i="19" s="1"/>
  <c r="H141" i="19"/>
  <c r="D141" i="19"/>
  <c r="D142" i="19" s="1"/>
  <c r="C141" i="19"/>
  <c r="C112" i="19"/>
  <c r="D112" i="19" s="1"/>
  <c r="Q108" i="19"/>
  <c r="R103" i="19" s="1"/>
  <c r="P108" i="19"/>
  <c r="Q103" i="19" s="1"/>
  <c r="O108" i="19"/>
  <c r="N108" i="19"/>
  <c r="M108" i="19"/>
  <c r="L108" i="19"/>
  <c r="M103" i="19" s="1"/>
  <c r="K108" i="19"/>
  <c r="J108" i="19"/>
  <c r="I108" i="19"/>
  <c r="J103" i="19" s="1"/>
  <c r="J107" i="19" s="1"/>
  <c r="H108" i="19"/>
  <c r="I103" i="19" s="1"/>
  <c r="G108" i="19"/>
  <c r="F108" i="19"/>
  <c r="E108" i="19"/>
  <c r="F103" i="19" s="1"/>
  <c r="D108" i="19"/>
  <c r="E103" i="19" s="1"/>
  <c r="C108" i="19"/>
  <c r="L106" i="19"/>
  <c r="K106" i="19"/>
  <c r="H106" i="19"/>
  <c r="C106" i="19"/>
  <c r="V105" i="19"/>
  <c r="W105" i="19" s="1"/>
  <c r="Q104" i="19"/>
  <c r="P104" i="19"/>
  <c r="P125" i="19" s="1"/>
  <c r="Q125" i="19" s="1"/>
  <c r="R125" i="19" s="1"/>
  <c r="S125" i="19" s="1"/>
  <c r="T125" i="19" s="1"/>
  <c r="U125" i="19" s="1"/>
  <c r="V125" i="19" s="1"/>
  <c r="W125" i="19" s="1"/>
  <c r="X125" i="19" s="1"/>
  <c r="Y125" i="19" s="1"/>
  <c r="Z125" i="19" s="1"/>
  <c r="AA125" i="19" s="1"/>
  <c r="AB125" i="19" s="1"/>
  <c r="AC125" i="19" s="1"/>
  <c r="AD125" i="19" s="1"/>
  <c r="AE125" i="19" s="1"/>
  <c r="O104" i="19"/>
  <c r="O124" i="19" s="1"/>
  <c r="P124" i="19" s="1"/>
  <c r="Q124" i="19" s="1"/>
  <c r="R124" i="19" s="1"/>
  <c r="S124" i="19" s="1"/>
  <c r="T124" i="19" s="1"/>
  <c r="U124" i="19" s="1"/>
  <c r="V124" i="19" s="1"/>
  <c r="W124" i="19" s="1"/>
  <c r="X124" i="19" s="1"/>
  <c r="Y124" i="19" s="1"/>
  <c r="Z124" i="19" s="1"/>
  <c r="AA124" i="19" s="1"/>
  <c r="AB124" i="19" s="1"/>
  <c r="AC124" i="19" s="1"/>
  <c r="AD124" i="19" s="1"/>
  <c r="AE124" i="19" s="1"/>
  <c r="N104" i="19"/>
  <c r="N123" i="19" s="1"/>
  <c r="O123" i="19" s="1"/>
  <c r="P123" i="19" s="1"/>
  <c r="Q123" i="19" s="1"/>
  <c r="R123" i="19" s="1"/>
  <c r="S123" i="19" s="1"/>
  <c r="T123" i="19" s="1"/>
  <c r="U123" i="19" s="1"/>
  <c r="V123" i="19" s="1"/>
  <c r="W123" i="19" s="1"/>
  <c r="X123" i="19" s="1"/>
  <c r="Y123" i="19" s="1"/>
  <c r="Z123" i="19" s="1"/>
  <c r="AA123" i="19" s="1"/>
  <c r="AB123" i="19" s="1"/>
  <c r="AC123" i="19" s="1"/>
  <c r="AD123" i="19" s="1"/>
  <c r="AE123" i="19" s="1"/>
  <c r="M104" i="19"/>
  <c r="L104" i="19"/>
  <c r="K104" i="19"/>
  <c r="J104" i="19"/>
  <c r="I104" i="19"/>
  <c r="H104" i="19"/>
  <c r="G104" i="19"/>
  <c r="F104" i="19"/>
  <c r="E104" i="19"/>
  <c r="D104" i="19"/>
  <c r="C104" i="19"/>
  <c r="AA105" i="19"/>
  <c r="AB105" i="19" s="1"/>
  <c r="AC105" i="19" s="1"/>
  <c r="P103" i="19"/>
  <c r="O103" i="19"/>
  <c r="L103" i="19"/>
  <c r="K103" i="19"/>
  <c r="H103" i="19"/>
  <c r="G103" i="19"/>
  <c r="D103" i="19"/>
  <c r="C94" i="19"/>
  <c r="K94" i="19"/>
  <c r="I94" i="19"/>
  <c r="Q79" i="19"/>
  <c r="Q167" i="19" s="1"/>
  <c r="P79" i="19"/>
  <c r="P167" i="19" s="1"/>
  <c r="O79" i="19"/>
  <c r="O167" i="19" s="1"/>
  <c r="N79" i="19"/>
  <c r="N167" i="19" s="1"/>
  <c r="M79" i="19"/>
  <c r="M167" i="19" s="1"/>
  <c r="L79" i="19"/>
  <c r="L167" i="19" s="1"/>
  <c r="K79" i="19"/>
  <c r="K167" i="19" s="1"/>
  <c r="J79" i="19"/>
  <c r="J167" i="19" s="1"/>
  <c r="I79" i="19"/>
  <c r="I167" i="19" s="1"/>
  <c r="H79" i="19"/>
  <c r="H167" i="19" s="1"/>
  <c r="G79" i="19"/>
  <c r="G167" i="19" s="1"/>
  <c r="F79" i="19"/>
  <c r="F167" i="19" s="1"/>
  <c r="E79" i="19"/>
  <c r="E167" i="19" s="1"/>
  <c r="D79" i="19"/>
  <c r="D167" i="19" s="1"/>
  <c r="C79" i="19"/>
  <c r="C167" i="19" s="1"/>
  <c r="Q77" i="19"/>
  <c r="P77" i="19"/>
  <c r="O77" i="19"/>
  <c r="N77" i="19"/>
  <c r="M77" i="19"/>
  <c r="L77" i="19"/>
  <c r="J77" i="19"/>
  <c r="I77" i="19"/>
  <c r="H77" i="19"/>
  <c r="G77" i="19"/>
  <c r="F77" i="19"/>
  <c r="D77" i="19"/>
  <c r="C77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Q71" i="19"/>
  <c r="Q174" i="19" s="1"/>
  <c r="P71" i="19"/>
  <c r="P174" i="19" s="1"/>
  <c r="O71" i="19"/>
  <c r="O174" i="19" s="1"/>
  <c r="N71" i="19"/>
  <c r="N174" i="19" s="1"/>
  <c r="M71" i="19"/>
  <c r="M174" i="19" s="1"/>
  <c r="L71" i="19"/>
  <c r="L174" i="19" s="1"/>
  <c r="J71" i="19"/>
  <c r="J174" i="19" s="1"/>
  <c r="I71" i="19"/>
  <c r="I174" i="19" s="1"/>
  <c r="G71" i="19"/>
  <c r="G174" i="19" s="1"/>
  <c r="F71" i="19"/>
  <c r="F174" i="19" s="1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Q67" i="19"/>
  <c r="Q173" i="19" s="1"/>
  <c r="Q176" i="19" s="1"/>
  <c r="P67" i="19"/>
  <c r="P173" i="19" s="1"/>
  <c r="O67" i="19"/>
  <c r="O173" i="19" s="1"/>
  <c r="N67" i="19"/>
  <c r="N173" i="19" s="1"/>
  <c r="N176" i="19" s="1"/>
  <c r="M67" i="19"/>
  <c r="M173" i="19" s="1"/>
  <c r="M176" i="19" s="1"/>
  <c r="L67" i="19"/>
  <c r="L173" i="19" s="1"/>
  <c r="K67" i="19"/>
  <c r="K173" i="19" s="1"/>
  <c r="J67" i="19"/>
  <c r="J173" i="19" s="1"/>
  <c r="I67" i="19"/>
  <c r="I173" i="19" s="1"/>
  <c r="H67" i="19"/>
  <c r="H173" i="19" s="1"/>
  <c r="G67" i="19"/>
  <c r="G173" i="19" s="1"/>
  <c r="F67" i="19"/>
  <c r="F173" i="19" s="1"/>
  <c r="E67" i="19"/>
  <c r="E173" i="19" s="1"/>
  <c r="D67" i="19"/>
  <c r="D173" i="19" s="1"/>
  <c r="C67" i="19"/>
  <c r="C173" i="19" s="1"/>
  <c r="Q64" i="19"/>
  <c r="Q168" i="19" s="1"/>
  <c r="P64" i="19"/>
  <c r="P168" i="19" s="1"/>
  <c r="O64" i="19"/>
  <c r="O168" i="19" s="1"/>
  <c r="N64" i="19"/>
  <c r="N168" i="19" s="1"/>
  <c r="M64" i="19"/>
  <c r="M168" i="19" s="1"/>
  <c r="L64" i="19"/>
  <c r="L168" i="19" s="1"/>
  <c r="J64" i="19"/>
  <c r="J168" i="19" s="1"/>
  <c r="I64" i="19"/>
  <c r="I168" i="19" s="1"/>
  <c r="H64" i="19"/>
  <c r="H168" i="19" s="1"/>
  <c r="G64" i="19"/>
  <c r="G168" i="19" s="1"/>
  <c r="F64" i="19"/>
  <c r="F168" i="19" s="1"/>
  <c r="D64" i="19"/>
  <c r="D168" i="19" s="1"/>
  <c r="C64" i="19"/>
  <c r="C168" i="19" s="1"/>
  <c r="Q62" i="19"/>
  <c r="Q166" i="19" s="1"/>
  <c r="Q172" i="19" s="1"/>
  <c r="P62" i="19"/>
  <c r="P166" i="19" s="1"/>
  <c r="O62" i="19"/>
  <c r="O166" i="19" s="1"/>
  <c r="N62" i="19"/>
  <c r="N166" i="19" s="1"/>
  <c r="M62" i="19"/>
  <c r="M166" i="19" s="1"/>
  <c r="M172" i="19" s="1"/>
  <c r="L62" i="19"/>
  <c r="L166" i="19" s="1"/>
  <c r="K62" i="19"/>
  <c r="K166" i="19" s="1"/>
  <c r="J62" i="19"/>
  <c r="J166" i="19" s="1"/>
  <c r="I62" i="19"/>
  <c r="I166" i="19" s="1"/>
  <c r="I172" i="19" s="1"/>
  <c r="H62" i="19"/>
  <c r="H166" i="19" s="1"/>
  <c r="G62" i="19"/>
  <c r="G166" i="19" s="1"/>
  <c r="F62" i="19"/>
  <c r="F166" i="19" s="1"/>
  <c r="E62" i="19"/>
  <c r="E166" i="19" s="1"/>
  <c r="D62" i="19"/>
  <c r="D166" i="19" s="1"/>
  <c r="C62" i="19"/>
  <c r="C166" i="19" s="1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N53" i="19"/>
  <c r="L53" i="19"/>
  <c r="J53" i="19"/>
  <c r="D53" i="19"/>
  <c r="C51" i="19"/>
  <c r="C49" i="19"/>
  <c r="C58" i="19" s="1"/>
  <c r="Q43" i="19"/>
  <c r="P43" i="19"/>
  <c r="O43" i="19"/>
  <c r="N43" i="19"/>
  <c r="M43" i="19"/>
  <c r="L43" i="19"/>
  <c r="L95" i="19" s="1"/>
  <c r="E43" i="19"/>
  <c r="C42" i="19"/>
  <c r="C41" i="19"/>
  <c r="I41" i="19"/>
  <c r="K39" i="19"/>
  <c r="K38" i="19"/>
  <c r="S42" i="19"/>
  <c r="T42" i="19" s="1"/>
  <c r="U42" i="19" s="1"/>
  <c r="V42" i="19" s="1"/>
  <c r="W42" i="19" s="1"/>
  <c r="X42" i="19" s="1"/>
  <c r="Y42" i="19" s="1"/>
  <c r="Z42" i="19" s="1"/>
  <c r="AA42" i="19" s="1"/>
  <c r="AB42" i="19" s="1"/>
  <c r="AC42" i="19" s="1"/>
  <c r="AD42" i="19" s="1"/>
  <c r="AE42" i="19" s="1"/>
  <c r="S38" i="19"/>
  <c r="J38" i="19"/>
  <c r="J43" i="19" s="1"/>
  <c r="I38" i="19"/>
  <c r="I43" i="19" s="1"/>
  <c r="H38" i="19"/>
  <c r="H43" i="19" s="1"/>
  <c r="G38" i="19"/>
  <c r="G43" i="19" s="1"/>
  <c r="F38" i="19"/>
  <c r="F43" i="19" s="1"/>
  <c r="E38" i="19"/>
  <c r="D38" i="19"/>
  <c r="D43" i="19" s="1"/>
  <c r="C38" i="19"/>
  <c r="N36" i="19"/>
  <c r="O36" i="19" s="1"/>
  <c r="P36" i="19" s="1"/>
  <c r="Q36" i="19" s="1"/>
  <c r="R36" i="19" s="1"/>
  <c r="S36" i="19" s="1"/>
  <c r="T36" i="19" s="1"/>
  <c r="U36" i="19" s="1"/>
  <c r="V36" i="19" s="1"/>
  <c r="W36" i="19" s="1"/>
  <c r="X36" i="19" s="1"/>
  <c r="Y36" i="19" s="1"/>
  <c r="Z36" i="19" s="1"/>
  <c r="AA36" i="19" s="1"/>
  <c r="AB36" i="19" s="1"/>
  <c r="AC36" i="19" s="1"/>
  <c r="AD36" i="19" s="1"/>
  <c r="AE36" i="19" s="1"/>
  <c r="N35" i="19"/>
  <c r="O35" i="19" s="1"/>
  <c r="P35" i="19" s="1"/>
  <c r="Q35" i="19" s="1"/>
  <c r="R35" i="19" s="1"/>
  <c r="S35" i="19" s="1"/>
  <c r="T35" i="19" s="1"/>
  <c r="U35" i="19" s="1"/>
  <c r="V35" i="19" s="1"/>
  <c r="W35" i="19" s="1"/>
  <c r="X35" i="19" s="1"/>
  <c r="Y35" i="19" s="1"/>
  <c r="Z35" i="19" s="1"/>
  <c r="AA35" i="19" s="1"/>
  <c r="AB35" i="19" s="1"/>
  <c r="AC35" i="19" s="1"/>
  <c r="AD35" i="19" s="1"/>
  <c r="AE35" i="19" s="1"/>
  <c r="M33" i="19"/>
  <c r="J32" i="19"/>
  <c r="I32" i="19"/>
  <c r="H32" i="19"/>
  <c r="G32" i="19"/>
  <c r="G175" i="19" s="1"/>
  <c r="F32" i="19"/>
  <c r="F175" i="19" s="1"/>
  <c r="E32" i="19"/>
  <c r="E175" i="19" s="1"/>
  <c r="D32" i="19"/>
  <c r="D175" i="19" s="1"/>
  <c r="C32" i="19"/>
  <c r="G31" i="19"/>
  <c r="F31" i="19"/>
  <c r="E31" i="19"/>
  <c r="D31" i="19"/>
  <c r="R175" i="19"/>
  <c r="T30" i="19"/>
  <c r="U30" i="19" s="1"/>
  <c r="V30" i="19" s="1"/>
  <c r="W30" i="19" s="1"/>
  <c r="X30" i="19" s="1"/>
  <c r="Y30" i="19" s="1"/>
  <c r="Z30" i="19" s="1"/>
  <c r="AA30" i="19" s="1"/>
  <c r="AB30" i="19" s="1"/>
  <c r="AC30" i="19" s="1"/>
  <c r="AD30" i="19" s="1"/>
  <c r="AE30" i="19" s="1"/>
  <c r="S29" i="19"/>
  <c r="T29" i="19" s="1"/>
  <c r="U29" i="19" s="1"/>
  <c r="V29" i="19" s="1"/>
  <c r="W29" i="19" s="1"/>
  <c r="X29" i="19" s="1"/>
  <c r="Y29" i="19" s="1"/>
  <c r="Z29" i="19" s="1"/>
  <c r="AA29" i="19" s="1"/>
  <c r="AB29" i="19" s="1"/>
  <c r="AC29" i="19" s="1"/>
  <c r="AD29" i="19" s="1"/>
  <c r="AE29" i="19" s="1"/>
  <c r="P26" i="19"/>
  <c r="P83" i="19" s="1"/>
  <c r="O26" i="19"/>
  <c r="O83" i="19" s="1"/>
  <c r="N26" i="19"/>
  <c r="N83" i="19" s="1"/>
  <c r="M26" i="19"/>
  <c r="M83" i="19" s="1"/>
  <c r="L26" i="19"/>
  <c r="L33" i="19" s="1"/>
  <c r="J26" i="19"/>
  <c r="J83" i="19" s="1"/>
  <c r="I26" i="19"/>
  <c r="I83" i="19" s="1"/>
  <c r="G26" i="19"/>
  <c r="G83" i="19" s="1"/>
  <c r="F26" i="19"/>
  <c r="F83" i="19" s="1"/>
  <c r="K24" i="19"/>
  <c r="H24" i="19"/>
  <c r="H71" i="19" s="1"/>
  <c r="E24" i="19"/>
  <c r="E71" i="19" s="1"/>
  <c r="D24" i="19"/>
  <c r="D71" i="19" s="1"/>
  <c r="C24" i="19"/>
  <c r="C71" i="19" s="1"/>
  <c r="Q21" i="19"/>
  <c r="Q69" i="19" s="1"/>
  <c r="S25" i="19"/>
  <c r="T25" i="19" s="1"/>
  <c r="S22" i="19"/>
  <c r="S19" i="19"/>
  <c r="P17" i="19"/>
  <c r="F17" i="19"/>
  <c r="E16" i="19"/>
  <c r="E170" i="19" s="1"/>
  <c r="C16" i="19"/>
  <c r="C170" i="19" s="1"/>
  <c r="S16" i="19"/>
  <c r="S170" i="19" s="1"/>
  <c r="R170" i="19"/>
  <c r="S13" i="19"/>
  <c r="T13" i="19" s="1"/>
  <c r="U13" i="19" s="1"/>
  <c r="V13" i="19" s="1"/>
  <c r="W13" i="19" s="1"/>
  <c r="X13" i="19" s="1"/>
  <c r="Y13" i="19" s="1"/>
  <c r="Z13" i="19" s="1"/>
  <c r="AA13" i="19" s="1"/>
  <c r="AB13" i="19" s="1"/>
  <c r="AC13" i="19" s="1"/>
  <c r="AD13" i="19" s="1"/>
  <c r="AE13" i="19" s="1"/>
  <c r="Q10" i="19"/>
  <c r="P10" i="19"/>
  <c r="O10" i="19"/>
  <c r="N10" i="19"/>
  <c r="N17" i="19" s="1"/>
  <c r="M10" i="19"/>
  <c r="M82" i="19" s="1"/>
  <c r="J10" i="19"/>
  <c r="J17" i="19" s="1"/>
  <c r="I10" i="19"/>
  <c r="H10" i="19"/>
  <c r="H17" i="19" s="1"/>
  <c r="G10" i="19"/>
  <c r="G82" i="19" s="1"/>
  <c r="F10" i="19"/>
  <c r="D10" i="19"/>
  <c r="D17" i="19" s="1"/>
  <c r="C10" i="19"/>
  <c r="K8" i="19"/>
  <c r="K10" i="19" s="1"/>
  <c r="E8" i="19"/>
  <c r="S9" i="19"/>
  <c r="T9" i="19" s="1"/>
  <c r="U9" i="19" s="1"/>
  <c r="V9" i="19" s="1"/>
  <c r="W9" i="19" s="1"/>
  <c r="X9" i="19" s="1"/>
  <c r="Y9" i="19" s="1"/>
  <c r="Z9" i="19" s="1"/>
  <c r="AA9" i="19" s="1"/>
  <c r="AB9" i="19" s="1"/>
  <c r="AC9" i="19" s="1"/>
  <c r="AD9" i="19" s="1"/>
  <c r="AE9" i="19" s="1"/>
  <c r="S7" i="19"/>
  <c r="T7" i="19" s="1"/>
  <c r="U7" i="19" s="1"/>
  <c r="V7" i="19" s="1"/>
  <c r="W7" i="19" s="1"/>
  <c r="X7" i="19" s="1"/>
  <c r="Y7" i="19" s="1"/>
  <c r="Z7" i="19" s="1"/>
  <c r="AA7" i="19" s="1"/>
  <c r="AB7" i="19" s="1"/>
  <c r="AC7" i="19" s="1"/>
  <c r="AD7" i="19" s="1"/>
  <c r="AE7" i="19" s="1"/>
  <c r="S4" i="19"/>
  <c r="T4" i="19" s="1"/>
  <c r="U4" i="19" s="1"/>
  <c r="V4" i="19" s="1"/>
  <c r="W4" i="19" s="1"/>
  <c r="X4" i="19" s="1"/>
  <c r="Y4" i="19" s="1"/>
  <c r="Z4" i="19" s="1"/>
  <c r="AA4" i="19" s="1"/>
  <c r="AB4" i="19" s="1"/>
  <c r="AC4" i="19" s="1"/>
  <c r="AD4" i="19" s="1"/>
  <c r="AE4" i="19" s="1"/>
  <c r="L3" i="19"/>
  <c r="L56" i="20" s="1"/>
  <c r="BU162" i="8"/>
  <c r="BB151" i="8"/>
  <c r="AW151" i="8"/>
  <c r="AM151" i="8"/>
  <c r="BB150" i="8"/>
  <c r="BP149" i="8"/>
  <c r="BP148" i="8"/>
  <c r="BP147" i="8"/>
  <c r="BA146" i="8"/>
  <c r="BA145" i="8"/>
  <c r="AV146" i="8"/>
  <c r="AV145" i="8"/>
  <c r="AQ146" i="8"/>
  <c r="AQ145" i="8"/>
  <c r="BY148" i="8"/>
  <c r="BX148" i="8"/>
  <c r="BW148" i="8"/>
  <c r="BV148" i="8"/>
  <c r="BU148" i="8"/>
  <c r="BZ147" i="8"/>
  <c r="BY147" i="8"/>
  <c r="BX147" i="8"/>
  <c r="BW147" i="8"/>
  <c r="BV147" i="8"/>
  <c r="BU147" i="8"/>
  <c r="BG146" i="8"/>
  <c r="BF146" i="8"/>
  <c r="BB145" i="8"/>
  <c r="BE144" i="8"/>
  <c r="BD144" i="8"/>
  <c r="BC144" i="8"/>
  <c r="BB144" i="8"/>
  <c r="BB142" i="8"/>
  <c r="AY144" i="8"/>
  <c r="AX144" i="8"/>
  <c r="AW142" i="8"/>
  <c r="AT143" i="8"/>
  <c r="AO143" i="8"/>
  <c r="AN143" i="8"/>
  <c r="AM143" i="8"/>
  <c r="CT132" i="8"/>
  <c r="CO135" i="8"/>
  <c r="CO133" i="8"/>
  <c r="CJ138" i="8"/>
  <c r="CX135" i="8"/>
  <c r="CW135" i="8"/>
  <c r="CV135" i="8"/>
  <c r="CU135" i="8"/>
  <c r="CS134" i="8"/>
  <c r="CR134" i="8"/>
  <c r="CQ134" i="8"/>
  <c r="CP134" i="8"/>
  <c r="CJ134" i="8"/>
  <c r="DH133" i="8"/>
  <c r="DG133" i="8"/>
  <c r="DL133" i="8" s="1"/>
  <c r="DF133" i="8"/>
  <c r="DE133" i="8"/>
  <c r="CS132" i="8"/>
  <c r="CR132" i="8"/>
  <c r="CW132" i="8" s="1"/>
  <c r="CQ132" i="8"/>
  <c r="CP132" i="8"/>
  <c r="CJ127" i="8"/>
  <c r="BC131" i="8"/>
  <c r="BC151" i="8" s="1"/>
  <c r="BC130" i="8"/>
  <c r="BC150" i="8" s="1"/>
  <c r="AX131" i="8"/>
  <c r="AX151" i="8" s="1"/>
  <c r="AX130" i="8"/>
  <c r="AX150" i="8" s="1"/>
  <c r="AN131" i="8"/>
  <c r="AN151" i="8" s="1"/>
  <c r="AM130" i="8"/>
  <c r="AM150" i="8" s="1"/>
  <c r="BZ129" i="8"/>
  <c r="CE129" i="8" s="1"/>
  <c r="CA129" i="8" s="1"/>
  <c r="BQ129" i="8"/>
  <c r="BQ149" i="8" s="1"/>
  <c r="BZ128" i="8"/>
  <c r="BH126" i="8"/>
  <c r="BC125" i="8"/>
  <c r="BC145" i="8" s="1"/>
  <c r="BU126" i="8"/>
  <c r="BZ126" i="8" s="1"/>
  <c r="BV126" i="8" s="1"/>
  <c r="BR126" i="8"/>
  <c r="BH125" i="8"/>
  <c r="BI125" i="8" s="1"/>
  <c r="AX123" i="8"/>
  <c r="AX143" i="8" s="1"/>
  <c r="AW123" i="8"/>
  <c r="AW143" i="8" s="1"/>
  <c r="AP123" i="8"/>
  <c r="BV122" i="8"/>
  <c r="BW122" i="8" s="1"/>
  <c r="BS122" i="8"/>
  <c r="BJ122" i="8"/>
  <c r="BG124" i="8"/>
  <c r="BC122" i="8"/>
  <c r="BC142" i="8" s="1"/>
  <c r="AX122" i="8"/>
  <c r="AX142" i="8" s="1"/>
  <c r="AM122" i="8"/>
  <c r="AM142" i="8" s="1"/>
  <c r="BV118" i="8"/>
  <c r="BT118" i="8"/>
  <c r="BS118" i="8"/>
  <c r="BR118" i="8"/>
  <c r="BQ118" i="8"/>
  <c r="BM118" i="8"/>
  <c r="BL118" i="8"/>
  <c r="BH118" i="8"/>
  <c r="BG118" i="8"/>
  <c r="BD118" i="8"/>
  <c r="BC118" i="8"/>
  <c r="BB118" i="8"/>
  <c r="AY118" i="8"/>
  <c r="AT118" i="8"/>
  <c r="AO118" i="8"/>
  <c r="AN118" i="8"/>
  <c r="AM118" i="8"/>
  <c r="AJ118" i="8"/>
  <c r="AI118" i="8"/>
  <c r="AH118" i="8"/>
  <c r="AE118" i="8"/>
  <c r="AD118" i="8"/>
  <c r="AC118" i="8"/>
  <c r="Z118" i="8"/>
  <c r="Y118" i="8"/>
  <c r="X118" i="8"/>
  <c r="U118" i="8"/>
  <c r="T118" i="8"/>
  <c r="S118" i="8"/>
  <c r="P118" i="8"/>
  <c r="O118" i="8"/>
  <c r="N118" i="8"/>
  <c r="K118" i="8"/>
  <c r="J118" i="8"/>
  <c r="I118" i="8"/>
  <c r="BD117" i="8"/>
  <c r="BC117" i="8"/>
  <c r="BB117" i="8"/>
  <c r="AY117" i="8"/>
  <c r="AX117" i="8"/>
  <c r="AW117" i="8"/>
  <c r="AT117" i="8"/>
  <c r="AS117" i="8"/>
  <c r="AR117" i="8"/>
  <c r="AO117" i="8"/>
  <c r="AN117" i="8"/>
  <c r="AM117" i="8"/>
  <c r="AJ117" i="8"/>
  <c r="AI117" i="8"/>
  <c r="AH117" i="8"/>
  <c r="AE117" i="8"/>
  <c r="AD117" i="8"/>
  <c r="AC117" i="8"/>
  <c r="Z117" i="8"/>
  <c r="Y117" i="8"/>
  <c r="X117" i="8"/>
  <c r="U117" i="8"/>
  <c r="T117" i="8"/>
  <c r="S117" i="8"/>
  <c r="P117" i="8"/>
  <c r="O117" i="8"/>
  <c r="N117" i="8"/>
  <c r="K117" i="8"/>
  <c r="J117" i="8"/>
  <c r="I117" i="8"/>
  <c r="BV114" i="8"/>
  <c r="BT114" i="8"/>
  <c r="BS114" i="8"/>
  <c r="BR114" i="8"/>
  <c r="BQ114" i="8"/>
  <c r="BO114" i="8"/>
  <c r="BN114" i="8"/>
  <c r="BM114" i="8"/>
  <c r="BL114" i="8"/>
  <c r="BI114" i="8"/>
  <c r="BH114" i="8"/>
  <c r="BG114" i="8"/>
  <c r="BD114" i="8"/>
  <c r="BC114" i="8"/>
  <c r="BB114" i="8"/>
  <c r="EL110" i="8"/>
  <c r="EK110" i="8"/>
  <c r="EJ110" i="8"/>
  <c r="EI110" i="8"/>
  <c r="EG110" i="8"/>
  <c r="EF110" i="8"/>
  <c r="EE110" i="8"/>
  <c r="ED110" i="8"/>
  <c r="EB110" i="8"/>
  <c r="EA110" i="8"/>
  <c r="DZ110" i="8"/>
  <c r="DY110" i="8"/>
  <c r="DW110" i="8"/>
  <c r="DV110" i="8"/>
  <c r="DU110" i="8"/>
  <c r="DT110" i="8"/>
  <c r="DR110" i="8"/>
  <c r="DQ110" i="8"/>
  <c r="DP110" i="8"/>
  <c r="DO110" i="8"/>
  <c r="DM110" i="8"/>
  <c r="DL110" i="8"/>
  <c r="DK110" i="8"/>
  <c r="DJ110" i="8"/>
  <c r="DH110" i="8"/>
  <c r="DG110" i="8"/>
  <c r="DF110" i="8"/>
  <c r="DE110" i="8"/>
  <c r="DC110" i="8"/>
  <c r="DB110" i="8"/>
  <c r="DA110" i="8"/>
  <c r="CZ110" i="8"/>
  <c r="CX110" i="8"/>
  <c r="CW110" i="8"/>
  <c r="CV110" i="8"/>
  <c r="CU110" i="8"/>
  <c r="CS110" i="8"/>
  <c r="CR110" i="8"/>
  <c r="CQ110" i="8"/>
  <c r="CP110" i="8"/>
  <c r="EL109" i="8"/>
  <c r="EK109" i="8"/>
  <c r="EJ109" i="8"/>
  <c r="EI109" i="8"/>
  <c r="EG109" i="8"/>
  <c r="EF109" i="8"/>
  <c r="EE109" i="8"/>
  <c r="ED109" i="8"/>
  <c r="EB109" i="8"/>
  <c r="EA109" i="8"/>
  <c r="DZ109" i="8"/>
  <c r="DY109" i="8"/>
  <c r="DW109" i="8"/>
  <c r="DV109" i="8"/>
  <c r="DU109" i="8"/>
  <c r="DT109" i="8"/>
  <c r="DR109" i="8"/>
  <c r="DQ109" i="8"/>
  <c r="DP109" i="8"/>
  <c r="DO109" i="8"/>
  <c r="DM109" i="8"/>
  <c r="DL109" i="8"/>
  <c r="DK109" i="8"/>
  <c r="DJ109" i="8"/>
  <c r="DH109" i="8"/>
  <c r="DG109" i="8"/>
  <c r="DF109" i="8"/>
  <c r="DE109" i="8"/>
  <c r="DC109" i="8"/>
  <c r="DB109" i="8"/>
  <c r="DA109" i="8"/>
  <c r="CZ109" i="8"/>
  <c r="CX109" i="8"/>
  <c r="CW109" i="8"/>
  <c r="CV109" i="8"/>
  <c r="CU109" i="8"/>
  <c r="CS109" i="8"/>
  <c r="CR109" i="8"/>
  <c r="CQ109" i="8"/>
  <c r="CP109" i="8"/>
  <c r="BV102" i="8"/>
  <c r="BT102" i="8"/>
  <c r="BS102" i="8"/>
  <c r="BR102" i="8"/>
  <c r="BQ102" i="8"/>
  <c r="BO102" i="8"/>
  <c r="BN102" i="8"/>
  <c r="BM102" i="8"/>
  <c r="BL102" i="8"/>
  <c r="BJ102" i="8"/>
  <c r="BI102" i="8"/>
  <c r="BH102" i="8"/>
  <c r="BG102" i="8"/>
  <c r="BD102" i="8"/>
  <c r="BC102" i="8"/>
  <c r="BB102" i="8"/>
  <c r="AY102" i="8"/>
  <c r="AX102" i="8"/>
  <c r="AW102" i="8"/>
  <c r="AT102" i="8"/>
  <c r="AS102" i="8"/>
  <c r="AR102" i="8"/>
  <c r="BV100" i="8"/>
  <c r="BT100" i="8"/>
  <c r="BS100" i="8"/>
  <c r="BR100" i="8"/>
  <c r="BQ100" i="8"/>
  <c r="BO100" i="8"/>
  <c r="BN100" i="8"/>
  <c r="BM100" i="8"/>
  <c r="BL100" i="8"/>
  <c r="BJ100" i="8"/>
  <c r="BI100" i="8"/>
  <c r="BH100" i="8"/>
  <c r="BG100" i="8"/>
  <c r="BD100" i="8"/>
  <c r="BC100" i="8"/>
  <c r="AX100" i="8"/>
  <c r="AS100" i="8"/>
  <c r="AR100" i="8"/>
  <c r="AO100" i="8"/>
  <c r="AN100" i="8"/>
  <c r="AM100" i="8"/>
  <c r="AJ100" i="8"/>
  <c r="AI100" i="8"/>
  <c r="AH100" i="8"/>
  <c r="AE100" i="8"/>
  <c r="AD100" i="8"/>
  <c r="AC100" i="8"/>
  <c r="Z100" i="8"/>
  <c r="Y100" i="8"/>
  <c r="X100" i="8"/>
  <c r="U100" i="8"/>
  <c r="T100" i="8"/>
  <c r="S100" i="8"/>
  <c r="P100" i="8"/>
  <c r="O100" i="8"/>
  <c r="N100" i="8"/>
  <c r="K100" i="8"/>
  <c r="J100" i="8"/>
  <c r="I100" i="8"/>
  <c r="EL98" i="8"/>
  <c r="EK98" i="8"/>
  <c r="EJ98" i="8"/>
  <c r="EI98" i="8"/>
  <c r="EG98" i="8"/>
  <c r="EF98" i="8"/>
  <c r="EE98" i="8"/>
  <c r="ED98" i="8"/>
  <c r="EB98" i="8"/>
  <c r="EA98" i="8"/>
  <c r="DZ98" i="8"/>
  <c r="DY98" i="8"/>
  <c r="DW98" i="8"/>
  <c r="DV98" i="8"/>
  <c r="DU98" i="8"/>
  <c r="DT98" i="8"/>
  <c r="DR98" i="8"/>
  <c r="DQ98" i="8"/>
  <c r="DP98" i="8"/>
  <c r="DO98" i="8"/>
  <c r="DM98" i="8"/>
  <c r="DL98" i="8"/>
  <c r="DK98" i="8"/>
  <c r="DJ98" i="8"/>
  <c r="DH98" i="8"/>
  <c r="DG98" i="8"/>
  <c r="DF98" i="8"/>
  <c r="DE98" i="8"/>
  <c r="DC98" i="8"/>
  <c r="DB98" i="8"/>
  <c r="DA98" i="8"/>
  <c r="CZ98" i="8"/>
  <c r="CX98" i="8"/>
  <c r="CW98" i="8"/>
  <c r="CV98" i="8"/>
  <c r="CU98" i="8"/>
  <c r="CS98" i="8"/>
  <c r="CR98" i="8"/>
  <c r="CQ98" i="8"/>
  <c r="CP98" i="8"/>
  <c r="CN98" i="8"/>
  <c r="CM98" i="8"/>
  <c r="CL98" i="8"/>
  <c r="CK98" i="8"/>
  <c r="CH98" i="8"/>
  <c r="CG98" i="8"/>
  <c r="CF98" i="8"/>
  <c r="CC98" i="8"/>
  <c r="CB98" i="8"/>
  <c r="CA98" i="8"/>
  <c r="BX98" i="8"/>
  <c r="BW98" i="8"/>
  <c r="BV98" i="8"/>
  <c r="EL96" i="8"/>
  <c r="EK96" i="8"/>
  <c r="EJ96" i="8"/>
  <c r="EI96" i="8"/>
  <c r="EG96" i="8"/>
  <c r="EF96" i="8"/>
  <c r="EE96" i="8"/>
  <c r="ED96" i="8"/>
  <c r="EB96" i="8"/>
  <c r="EA96" i="8"/>
  <c r="DZ96" i="8"/>
  <c r="DY96" i="8"/>
  <c r="DW96" i="8"/>
  <c r="DV96" i="8"/>
  <c r="DU96" i="8"/>
  <c r="DT96" i="8"/>
  <c r="DR96" i="8"/>
  <c r="DQ96" i="8"/>
  <c r="DP96" i="8"/>
  <c r="DO96" i="8"/>
  <c r="DM96" i="8"/>
  <c r="DL96" i="8"/>
  <c r="DK96" i="8"/>
  <c r="DJ96" i="8"/>
  <c r="DH96" i="8"/>
  <c r="DG96" i="8"/>
  <c r="DF96" i="8"/>
  <c r="DE96" i="8"/>
  <c r="DC96" i="8"/>
  <c r="DB96" i="8"/>
  <c r="DA96" i="8"/>
  <c r="CZ96" i="8"/>
  <c r="CX96" i="8"/>
  <c r="CW96" i="8"/>
  <c r="CV96" i="8"/>
  <c r="CU96" i="8"/>
  <c r="CS96" i="8"/>
  <c r="CR96" i="8"/>
  <c r="CQ96" i="8"/>
  <c r="CP96" i="8"/>
  <c r="CN96" i="8"/>
  <c r="CM96" i="8"/>
  <c r="CL96" i="8"/>
  <c r="CK96" i="8"/>
  <c r="CI96" i="8"/>
  <c r="CH96" i="8"/>
  <c r="CG96" i="8"/>
  <c r="CF96" i="8"/>
  <c r="BV90" i="8"/>
  <c r="BT90" i="8"/>
  <c r="BS90" i="8"/>
  <c r="BR90" i="8"/>
  <c r="BQ90" i="8"/>
  <c r="BX89" i="8"/>
  <c r="BW89" i="8"/>
  <c r="BV89" i="8"/>
  <c r="BT89" i="8"/>
  <c r="BS89" i="8"/>
  <c r="BR89" i="8"/>
  <c r="BQ89" i="8"/>
  <c r="BO89" i="8"/>
  <c r="BN89" i="8"/>
  <c r="BV86" i="8"/>
  <c r="BT86" i="8"/>
  <c r="BS86" i="8"/>
  <c r="BR86" i="8"/>
  <c r="BQ86" i="8"/>
  <c r="BO86" i="8"/>
  <c r="BN86" i="8"/>
  <c r="BM86" i="8"/>
  <c r="BL86" i="8"/>
  <c r="BH86" i="8"/>
  <c r="BV85" i="8"/>
  <c r="BT85" i="8"/>
  <c r="BS85" i="8"/>
  <c r="BR85" i="8"/>
  <c r="BQ85" i="8"/>
  <c r="BO85" i="8"/>
  <c r="BN85" i="8"/>
  <c r="BM85" i="8"/>
  <c r="BL85" i="8"/>
  <c r="BJ85" i="8"/>
  <c r="BI85" i="8"/>
  <c r="BX82" i="8"/>
  <c r="BW82" i="8"/>
  <c r="BV82" i="8"/>
  <c r="BT82" i="8"/>
  <c r="BS82" i="8"/>
  <c r="BR82" i="8"/>
  <c r="BQ82" i="8"/>
  <c r="BO82" i="8"/>
  <c r="BN82" i="8"/>
  <c r="BM82" i="8"/>
  <c r="BL82" i="8"/>
  <c r="BJ82" i="8"/>
  <c r="BI82" i="8"/>
  <c r="BX81" i="8"/>
  <c r="BW81" i="8"/>
  <c r="BV81" i="8"/>
  <c r="BT81" i="8"/>
  <c r="BS81" i="8"/>
  <c r="BR81" i="8"/>
  <c r="BQ81" i="8"/>
  <c r="BO81" i="8"/>
  <c r="BN81" i="8"/>
  <c r="BM81" i="8"/>
  <c r="BL81" i="8"/>
  <c r="BJ81" i="8"/>
  <c r="BI81" i="8"/>
  <c r="BH81" i="8"/>
  <c r="BG81" i="8"/>
  <c r="BE81" i="8"/>
  <c r="BD81" i="8"/>
  <c r="BC81" i="8"/>
  <c r="BB81" i="8"/>
  <c r="BD80" i="8"/>
  <c r="BC80" i="8"/>
  <c r="BV78" i="8"/>
  <c r="BT78" i="8"/>
  <c r="BS78" i="8"/>
  <c r="BR78" i="8"/>
  <c r="BQ78" i="8"/>
  <c r="BO78" i="8"/>
  <c r="BN78" i="8"/>
  <c r="BM78" i="8"/>
  <c r="BL78" i="8"/>
  <c r="BX77" i="8"/>
  <c r="BW77" i="8"/>
  <c r="BV77" i="8"/>
  <c r="BT77" i="8"/>
  <c r="BS77" i="8"/>
  <c r="BR77" i="8"/>
  <c r="BQ77" i="8"/>
  <c r="BO77" i="8"/>
  <c r="BN77" i="8"/>
  <c r="BM77" i="8"/>
  <c r="BL77" i="8"/>
  <c r="BJ77" i="8"/>
  <c r="BI77" i="8"/>
  <c r="BH77" i="8"/>
  <c r="BG77" i="8"/>
  <c r="BE77" i="8"/>
  <c r="BD77" i="8"/>
  <c r="BC77" i="8"/>
  <c r="BB77" i="8"/>
  <c r="AZ77" i="8"/>
  <c r="AY77" i="8"/>
  <c r="AX77" i="8"/>
  <c r="AW77" i="8"/>
  <c r="AT77" i="8"/>
  <c r="BD76" i="8"/>
  <c r="BC76" i="8"/>
  <c r="BB76" i="8"/>
  <c r="AY76" i="8"/>
  <c r="AX76" i="8"/>
  <c r="AW76" i="8"/>
  <c r="AT76" i="8"/>
  <c r="AS76" i="8"/>
  <c r="AR76" i="8"/>
  <c r="AO76" i="8"/>
  <c r="AN76" i="8"/>
  <c r="AM76" i="8"/>
  <c r="AJ76" i="8"/>
  <c r="AI76" i="8"/>
  <c r="AH76" i="8"/>
  <c r="BV74" i="8"/>
  <c r="BT74" i="8"/>
  <c r="BS74" i="8"/>
  <c r="BR74" i="8"/>
  <c r="BQ74" i="8"/>
  <c r="BO74" i="8"/>
  <c r="BN74" i="8"/>
  <c r="BM74" i="8"/>
  <c r="BL74" i="8"/>
  <c r="BV73" i="8"/>
  <c r="BT73" i="8"/>
  <c r="BS73" i="8"/>
  <c r="BR73" i="8"/>
  <c r="BQ73" i="8"/>
  <c r="BO73" i="8"/>
  <c r="BN73" i="8"/>
  <c r="BM73" i="8"/>
  <c r="BL73" i="8"/>
  <c r="BJ73" i="8"/>
  <c r="BI73" i="8"/>
  <c r="BH73" i="8"/>
  <c r="BG73" i="8"/>
  <c r="BE73" i="8"/>
  <c r="BD73" i="8"/>
  <c r="BC73" i="8"/>
  <c r="AZ73" i="8"/>
  <c r="AX73" i="8"/>
  <c r="AU73" i="8"/>
  <c r="AS73" i="8"/>
  <c r="AR73" i="8"/>
  <c r="AP73" i="8"/>
  <c r="AO73" i="8"/>
  <c r="AN73" i="8"/>
  <c r="AM73" i="8"/>
  <c r="BD72" i="8"/>
  <c r="BC72" i="8"/>
  <c r="BB72" i="8"/>
  <c r="AY72" i="8"/>
  <c r="AX72" i="8"/>
  <c r="AW72" i="8"/>
  <c r="AT72" i="8"/>
  <c r="AS72" i="8"/>
  <c r="AR72" i="8"/>
  <c r="AO72" i="8"/>
  <c r="AN72" i="8"/>
  <c r="AM72" i="8"/>
  <c r="AJ72" i="8"/>
  <c r="AI72" i="8"/>
  <c r="AH72" i="8"/>
  <c r="AE72" i="8"/>
  <c r="AD72" i="8"/>
  <c r="AC72" i="8"/>
  <c r="Z72" i="8"/>
  <c r="Y72" i="8"/>
  <c r="X72" i="8"/>
  <c r="EL71" i="8"/>
  <c r="EK71" i="8"/>
  <c r="EJ71" i="8"/>
  <c r="EI71" i="8"/>
  <c r="EG71" i="8"/>
  <c r="EF71" i="8"/>
  <c r="EE71" i="8"/>
  <c r="ED71" i="8"/>
  <c r="EB71" i="8"/>
  <c r="EA71" i="8"/>
  <c r="DZ71" i="8"/>
  <c r="DY71" i="8"/>
  <c r="BG71" i="8"/>
  <c r="BE71" i="8"/>
  <c r="V71" i="8"/>
  <c r="U71" i="8"/>
  <c r="T71" i="8"/>
  <c r="S71" i="8"/>
  <c r="Q71" i="8"/>
  <c r="P71" i="8"/>
  <c r="O71" i="8"/>
  <c r="N71" i="8"/>
  <c r="L71" i="8"/>
  <c r="K71" i="8"/>
  <c r="J71" i="8"/>
  <c r="I71" i="8"/>
  <c r="G71" i="8"/>
  <c r="F71" i="8"/>
  <c r="E71" i="8"/>
  <c r="D71" i="8"/>
  <c r="EI70" i="8"/>
  <c r="ED70" i="8"/>
  <c r="DY70" i="8"/>
  <c r="DT70" i="8"/>
  <c r="DO70" i="8"/>
  <c r="DJ70" i="8"/>
  <c r="DE70" i="8"/>
  <c r="CZ70" i="8"/>
  <c r="CU70" i="8"/>
  <c r="CP70" i="8"/>
  <c r="CK70" i="8"/>
  <c r="CF70" i="8"/>
  <c r="CA70" i="8"/>
  <c r="BV70" i="8"/>
  <c r="BQ70" i="8"/>
  <c r="BL70" i="8"/>
  <c r="BG70" i="8"/>
  <c r="BB70" i="8"/>
  <c r="AW70" i="8"/>
  <c r="AR70" i="8"/>
  <c r="AM70" i="8"/>
  <c r="AH70" i="8"/>
  <c r="AC70" i="8"/>
  <c r="X70" i="8"/>
  <c r="S70" i="8"/>
  <c r="N70" i="8"/>
  <c r="I70" i="8"/>
  <c r="D70" i="8"/>
  <c r="C70" i="8"/>
  <c r="AN68" i="8"/>
  <c r="AO124" i="10" s="1"/>
  <c r="BU63" i="8"/>
  <c r="BP63" i="8"/>
  <c r="BI63" i="8"/>
  <c r="BF63" i="8"/>
  <c r="AS63" i="8"/>
  <c r="AR63" i="8"/>
  <c r="AU63" i="8" s="1"/>
  <c r="AP63" i="8"/>
  <c r="AQ63" i="8" s="1"/>
  <c r="BV62" i="8"/>
  <c r="BZ62" i="8" s="1"/>
  <c r="BS62" i="8"/>
  <c r="BR62" i="8"/>
  <c r="BQ62" i="8"/>
  <c r="BE62" i="8"/>
  <c r="BF62" i="8" s="1"/>
  <c r="BE61" i="8"/>
  <c r="AZ63" i="8"/>
  <c r="AZ62" i="8"/>
  <c r="AU62" i="8"/>
  <c r="AP62" i="8"/>
  <c r="AK63" i="8"/>
  <c r="AK62" i="8"/>
  <c r="AF63" i="8"/>
  <c r="AF62" i="8"/>
  <c r="AA63" i="8"/>
  <c r="AA62" i="8"/>
  <c r="V63" i="8"/>
  <c r="V62" i="8"/>
  <c r="Q63" i="8"/>
  <c r="Q62" i="8"/>
  <c r="L63" i="8"/>
  <c r="L62" i="8"/>
  <c r="G63" i="8"/>
  <c r="G62" i="8"/>
  <c r="H62" i="8" s="1"/>
  <c r="H117" i="8" s="1"/>
  <c r="BX118" i="8"/>
  <c r="BW118" i="8"/>
  <c r="BO62" i="8"/>
  <c r="BN62" i="8"/>
  <c r="BM62" i="8"/>
  <c r="BL62" i="8"/>
  <c r="BI62" i="8"/>
  <c r="BI117" i="8" s="1"/>
  <c r="BH62" i="8"/>
  <c r="BH117" i="8" s="1"/>
  <c r="BG62" i="8"/>
  <c r="BG117" i="8" s="1"/>
  <c r="BD61" i="8"/>
  <c r="BC61" i="8"/>
  <c r="BB61" i="8"/>
  <c r="AY61" i="8"/>
  <c r="AX61" i="8"/>
  <c r="D61" i="8"/>
  <c r="D64" i="8" s="1"/>
  <c r="C61" i="8"/>
  <c r="C64" i="8" s="1"/>
  <c r="BX114" i="8"/>
  <c r="BW114" i="8"/>
  <c r="BU42" i="8"/>
  <c r="BP42" i="8"/>
  <c r="BK42" i="8"/>
  <c r="BF42" i="8"/>
  <c r="AZ42" i="8"/>
  <c r="BA42" i="8" s="1"/>
  <c r="AT42" i="8"/>
  <c r="AS42" i="8"/>
  <c r="AR42" i="8"/>
  <c r="AO42" i="8"/>
  <c r="AM42" i="8"/>
  <c r="AJ42" i="8"/>
  <c r="AI42" i="8"/>
  <c r="AH42" i="8"/>
  <c r="AE42" i="8"/>
  <c r="AD42" i="8"/>
  <c r="AC42" i="8"/>
  <c r="Z42" i="8"/>
  <c r="Y42" i="8"/>
  <c r="X42" i="8"/>
  <c r="U42" i="8"/>
  <c r="T42" i="8"/>
  <c r="S42" i="8"/>
  <c r="P42" i="8"/>
  <c r="O42" i="8"/>
  <c r="N42" i="8"/>
  <c r="K42" i="8"/>
  <c r="J42" i="8"/>
  <c r="I42" i="8"/>
  <c r="I114" i="8" s="1"/>
  <c r="F42" i="8"/>
  <c r="G42" i="8" s="1"/>
  <c r="E42" i="8"/>
  <c r="E61" i="8" s="1"/>
  <c r="E64" i="8" s="1"/>
  <c r="BU40" i="8"/>
  <c r="BP40" i="8"/>
  <c r="BK40" i="8"/>
  <c r="BF40" i="8"/>
  <c r="BU38" i="8"/>
  <c r="BP38" i="8"/>
  <c r="BK38" i="8"/>
  <c r="BF38" i="8"/>
  <c r="AZ38" i="8"/>
  <c r="BA38" i="8" s="1"/>
  <c r="AU38" i="8"/>
  <c r="AV38" i="8" s="1"/>
  <c r="AP38" i="8"/>
  <c r="AQ38" i="8" s="1"/>
  <c r="BU36" i="8"/>
  <c r="CE36" i="8" s="1"/>
  <c r="CJ36" i="8" s="1"/>
  <c r="CO36" i="8" s="1"/>
  <c r="CT36" i="8" s="1"/>
  <c r="CY36" i="8" s="1"/>
  <c r="DD36" i="8" s="1"/>
  <c r="DI36" i="8" s="1"/>
  <c r="DN36" i="8" s="1"/>
  <c r="DS36" i="8" s="1"/>
  <c r="DX36" i="8" s="1"/>
  <c r="EC36" i="8" s="1"/>
  <c r="EH36" i="8" s="1"/>
  <c r="EM36" i="8" s="1"/>
  <c r="BP36" i="8"/>
  <c r="BK36" i="8"/>
  <c r="BF36" i="8"/>
  <c r="AW36" i="8"/>
  <c r="AZ36" i="8" s="1"/>
  <c r="AT36" i="8"/>
  <c r="AP36" i="8"/>
  <c r="AK36" i="8"/>
  <c r="AF36" i="8"/>
  <c r="AA36" i="8"/>
  <c r="V36" i="8"/>
  <c r="Q36" i="8"/>
  <c r="L36" i="8"/>
  <c r="G36" i="8"/>
  <c r="G61" i="8" s="1"/>
  <c r="BU34" i="8"/>
  <c r="BU149" i="8" s="1"/>
  <c r="BX90" i="8"/>
  <c r="BU26" i="8"/>
  <c r="BU25" i="8"/>
  <c r="BP26" i="8"/>
  <c r="BP25" i="8"/>
  <c r="BK25" i="8"/>
  <c r="BK23" i="8" s="1"/>
  <c r="BV23" i="8"/>
  <c r="BT23" i="8"/>
  <c r="BS23" i="8"/>
  <c r="BR23" i="8"/>
  <c r="BQ23" i="8"/>
  <c r="BO23" i="8"/>
  <c r="BN23" i="8"/>
  <c r="BM23" i="8"/>
  <c r="BL23" i="8"/>
  <c r="BJ23" i="8"/>
  <c r="BI23" i="8"/>
  <c r="BH23" i="8"/>
  <c r="BU21" i="8"/>
  <c r="BU20" i="8"/>
  <c r="BP21" i="8"/>
  <c r="BP20" i="8"/>
  <c r="BK21" i="8"/>
  <c r="BK20" i="8"/>
  <c r="BE21" i="8"/>
  <c r="BJ86" i="8" s="1"/>
  <c r="BD21" i="8"/>
  <c r="BI86" i="8" s="1"/>
  <c r="BC20" i="8"/>
  <c r="BV18" i="8"/>
  <c r="BT18" i="8"/>
  <c r="BS18" i="8"/>
  <c r="BR18" i="8"/>
  <c r="BQ18" i="8"/>
  <c r="BO18" i="8"/>
  <c r="BN18" i="8"/>
  <c r="BM18" i="8"/>
  <c r="BL18" i="8"/>
  <c r="BJ18" i="8"/>
  <c r="BJ84" i="8" s="1"/>
  <c r="BI18" i="8"/>
  <c r="BI84" i="8" s="1"/>
  <c r="BH18" i="8"/>
  <c r="BH84" i="8" s="1"/>
  <c r="BG18" i="8"/>
  <c r="BF18" i="8"/>
  <c r="BU16" i="8"/>
  <c r="BU15" i="8"/>
  <c r="BP16" i="8"/>
  <c r="BP15" i="8"/>
  <c r="BK16" i="8"/>
  <c r="BK15" i="8"/>
  <c r="BF15" i="8"/>
  <c r="K7" i="12" s="1"/>
  <c r="BC16" i="8"/>
  <c r="BB16" i="8"/>
  <c r="AY16" i="8"/>
  <c r="AX16" i="8"/>
  <c r="AX82" i="8" s="1"/>
  <c r="AR16" i="8"/>
  <c r="AV16" i="8" s="1"/>
  <c r="I8" i="12" s="1"/>
  <c r="BA15" i="8"/>
  <c r="J7" i="12" s="1"/>
  <c r="BX13" i="8"/>
  <c r="BW13" i="8"/>
  <c r="BV13" i="8"/>
  <c r="BT13" i="8"/>
  <c r="BS13" i="8"/>
  <c r="BR13" i="8"/>
  <c r="BQ13" i="8"/>
  <c r="BO13" i="8"/>
  <c r="BN13" i="8"/>
  <c r="BM13" i="8"/>
  <c r="BL13" i="8"/>
  <c r="BJ13" i="8"/>
  <c r="BJ80" i="8" s="1"/>
  <c r="BI13" i="8"/>
  <c r="BI80" i="8" s="1"/>
  <c r="BH13" i="8"/>
  <c r="BH80" i="8" s="1"/>
  <c r="BG13" i="8"/>
  <c r="BG80" i="8" s="1"/>
  <c r="BF13" i="8"/>
  <c r="K6" i="12" s="1"/>
  <c r="AW13" i="8"/>
  <c r="AT13" i="8"/>
  <c r="AT15" i="8" s="1"/>
  <c r="AY81" i="8" s="1"/>
  <c r="AS13" i="8"/>
  <c r="AR13" i="8"/>
  <c r="AR15" i="8" s="1"/>
  <c r="AW81" i="8" s="1"/>
  <c r="AP13" i="8"/>
  <c r="AP144" i="8" s="1"/>
  <c r="AQ144" i="8" s="1"/>
  <c r="BU11" i="8"/>
  <c r="BU10" i="8"/>
  <c r="BP11" i="8"/>
  <c r="BP10" i="8"/>
  <c r="BK11" i="8"/>
  <c r="BK10" i="8"/>
  <c r="BE11" i="8"/>
  <c r="BD11" i="8"/>
  <c r="BC11" i="8"/>
  <c r="BB11" i="8"/>
  <c r="AY11" i="8"/>
  <c r="AX11" i="8"/>
  <c r="AW11" i="8"/>
  <c r="AT11" i="8"/>
  <c r="AS11" i="8"/>
  <c r="AR11" i="8"/>
  <c r="AO11" i="8"/>
  <c r="BF10" i="8"/>
  <c r="BF9" i="8"/>
  <c r="BA10" i="8"/>
  <c r="AV10" i="8"/>
  <c r="BV9" i="8"/>
  <c r="BT9" i="8"/>
  <c r="BS9" i="8"/>
  <c r="BR9" i="8"/>
  <c r="BQ9" i="8"/>
  <c r="BO9" i="8"/>
  <c r="BN9" i="8"/>
  <c r="BM9" i="8"/>
  <c r="BL9" i="8"/>
  <c r="BJ9" i="8"/>
  <c r="BJ76" i="8" s="1"/>
  <c r="BI9" i="8"/>
  <c r="BI76" i="8" s="1"/>
  <c r="BH9" i="8"/>
  <c r="BH76" i="8" s="1"/>
  <c r="BG9" i="8"/>
  <c r="BG76" i="8" s="1"/>
  <c r="AZ9" i="8"/>
  <c r="AZ11" i="8" s="1"/>
  <c r="AU9" i="8"/>
  <c r="AP10" i="8"/>
  <c r="AU77" i="8" s="1"/>
  <c r="AP9" i="8"/>
  <c r="AK9" i="8"/>
  <c r="AF9" i="8"/>
  <c r="AG9" i="8" s="1"/>
  <c r="BU7" i="8"/>
  <c r="BU6" i="8"/>
  <c r="BP7" i="8"/>
  <c r="BP6" i="8"/>
  <c r="BK7" i="8"/>
  <c r="BK6" i="8"/>
  <c r="I4" i="17" s="1"/>
  <c r="BE7" i="8"/>
  <c r="BD7" i="8"/>
  <c r="BC7" i="8"/>
  <c r="BB7" i="8"/>
  <c r="AY7" i="8"/>
  <c r="AX7" i="8"/>
  <c r="AS7" i="8"/>
  <c r="AR7" i="8"/>
  <c r="AO7" i="8"/>
  <c r="AN7" i="8"/>
  <c r="AM7" i="8"/>
  <c r="AJ7" i="8"/>
  <c r="AI7" i="8"/>
  <c r="AH7" i="8"/>
  <c r="BF6" i="8"/>
  <c r="H4" i="17" s="1"/>
  <c r="AW6" i="8"/>
  <c r="AT6" i="8"/>
  <c r="AQ6" i="8"/>
  <c r="E4" i="17" s="1"/>
  <c r="AL6" i="8"/>
  <c r="D4" i="17" s="1"/>
  <c r="BV4" i="8"/>
  <c r="BT4" i="8"/>
  <c r="BS4" i="8"/>
  <c r="BR4" i="8"/>
  <c r="BQ4" i="8"/>
  <c r="BO4" i="8"/>
  <c r="BN4" i="8"/>
  <c r="BM4" i="8"/>
  <c r="BL4" i="8"/>
  <c r="BJ4" i="8"/>
  <c r="BI4" i="8"/>
  <c r="BH4" i="8"/>
  <c r="BG4" i="8"/>
  <c r="BF4" i="8"/>
  <c r="AZ4" i="8"/>
  <c r="AU4" i="8"/>
  <c r="AP4" i="8"/>
  <c r="AK4" i="8"/>
  <c r="AF4" i="8"/>
  <c r="AA4" i="8"/>
  <c r="V4" i="8"/>
  <c r="Q4" i="8"/>
  <c r="BK147" i="10"/>
  <c r="BK145" i="10"/>
  <c r="AW126" i="10"/>
  <c r="AR126" i="10"/>
  <c r="AM126" i="10"/>
  <c r="AH126" i="10"/>
  <c r="AC126" i="10"/>
  <c r="X126" i="10"/>
  <c r="S126" i="10"/>
  <c r="EN125" i="10"/>
  <c r="EN124" i="10"/>
  <c r="EN123" i="10"/>
  <c r="EI125" i="10"/>
  <c r="EI124" i="10"/>
  <c r="EI123" i="10"/>
  <c r="ED125" i="10"/>
  <c r="ED124" i="10"/>
  <c r="ED123" i="10"/>
  <c r="DY125" i="10"/>
  <c r="DX125" i="10"/>
  <c r="DW125" i="10"/>
  <c r="DV125" i="10"/>
  <c r="DU125" i="10"/>
  <c r="DT125" i="10"/>
  <c r="DS125" i="10"/>
  <c r="DR125" i="10"/>
  <c r="DQ125" i="10"/>
  <c r="DP125" i="10"/>
  <c r="DO125" i="10"/>
  <c r="DN125" i="10"/>
  <c r="DM125" i="10"/>
  <c r="DL125" i="10"/>
  <c r="DK125" i="10"/>
  <c r="DJ125" i="10"/>
  <c r="DI125" i="10"/>
  <c r="DH125" i="10"/>
  <c r="DG125" i="10"/>
  <c r="DF125" i="10"/>
  <c r="DE125" i="10"/>
  <c r="DD125" i="10"/>
  <c r="DC125" i="10"/>
  <c r="DB125" i="10"/>
  <c r="DA125" i="10"/>
  <c r="CZ125" i="10"/>
  <c r="CY125" i="10"/>
  <c r="CX125" i="10"/>
  <c r="CW125" i="10"/>
  <c r="CV125" i="10"/>
  <c r="CU125" i="10"/>
  <c r="CT125" i="10"/>
  <c r="CS125" i="10"/>
  <c r="CR125" i="10"/>
  <c r="CQ125" i="10"/>
  <c r="CP125" i="10"/>
  <c r="CO125" i="10"/>
  <c r="CN125" i="10"/>
  <c r="CM125" i="10"/>
  <c r="CL125" i="10"/>
  <c r="CK125" i="10"/>
  <c r="CJ125" i="10"/>
  <c r="CI125" i="10"/>
  <c r="CH125" i="10"/>
  <c r="CG125" i="10"/>
  <c r="CF125" i="10"/>
  <c r="CE125" i="10"/>
  <c r="CD125" i="10"/>
  <c r="CC125" i="10"/>
  <c r="CB125" i="10"/>
  <c r="CA125" i="10"/>
  <c r="BZ125" i="10"/>
  <c r="BY125" i="10"/>
  <c r="BX125" i="10"/>
  <c r="BW125" i="10"/>
  <c r="BV125" i="10"/>
  <c r="BU125" i="10"/>
  <c r="BT125" i="10"/>
  <c r="BS125" i="10"/>
  <c r="BR125" i="10"/>
  <c r="BQ125" i="10"/>
  <c r="BP125" i="10"/>
  <c r="BO125" i="10"/>
  <c r="BN125" i="10"/>
  <c r="BM125" i="10"/>
  <c r="BL125" i="10"/>
  <c r="BK125" i="10"/>
  <c r="BJ125" i="10"/>
  <c r="BI125" i="10"/>
  <c r="BH125" i="10"/>
  <c r="BG125" i="10"/>
  <c r="BF125" i="10"/>
  <c r="BE125" i="10"/>
  <c r="BD125" i="10"/>
  <c r="BC125" i="10"/>
  <c r="BB125" i="10"/>
  <c r="BA125" i="10"/>
  <c r="AZ125" i="10"/>
  <c r="AY125" i="10"/>
  <c r="AX125" i="10"/>
  <c r="DY124" i="10"/>
  <c r="DX124" i="10"/>
  <c r="DW124" i="10"/>
  <c r="DV124" i="10"/>
  <c r="DU124" i="10"/>
  <c r="DT124" i="10"/>
  <c r="DS124" i="10"/>
  <c r="DR124" i="10"/>
  <c r="DQ124" i="10"/>
  <c r="DP124" i="10"/>
  <c r="DO124" i="10"/>
  <c r="DN124" i="10"/>
  <c r="DM124" i="10"/>
  <c r="DL124" i="10"/>
  <c r="DK124" i="10"/>
  <c r="DJ124" i="10"/>
  <c r="DI124" i="10"/>
  <c r="DH124" i="10"/>
  <c r="DG124" i="10"/>
  <c r="DF124" i="10"/>
  <c r="DE124" i="10"/>
  <c r="DD124" i="10"/>
  <c r="DC124" i="10"/>
  <c r="DB124" i="10"/>
  <c r="DA124" i="10"/>
  <c r="CZ124" i="10"/>
  <c r="CY124" i="10"/>
  <c r="CX124" i="10"/>
  <c r="CW124" i="10"/>
  <c r="CV124" i="10"/>
  <c r="CU124" i="10"/>
  <c r="CT124" i="10"/>
  <c r="CS124" i="10"/>
  <c r="CR124" i="10"/>
  <c r="CQ124" i="10"/>
  <c r="CP124" i="10"/>
  <c r="CO124" i="10"/>
  <c r="CN124" i="10"/>
  <c r="CM124" i="10"/>
  <c r="CL124" i="10"/>
  <c r="CK124" i="10"/>
  <c r="CJ124" i="10"/>
  <c r="CI124" i="10"/>
  <c r="CH124" i="10"/>
  <c r="CG124" i="10"/>
  <c r="CF124" i="10"/>
  <c r="CE124" i="10"/>
  <c r="CD124" i="10"/>
  <c r="CC124" i="10"/>
  <c r="CB124" i="10"/>
  <c r="CA124" i="10"/>
  <c r="BZ124" i="10"/>
  <c r="BY124" i="10"/>
  <c r="BX124" i="10"/>
  <c r="BW124" i="10"/>
  <c r="BV124" i="10"/>
  <c r="BU124" i="10"/>
  <c r="BT124" i="10"/>
  <c r="BS124" i="10"/>
  <c r="BR124" i="10"/>
  <c r="BQ124" i="10"/>
  <c r="BP124" i="10"/>
  <c r="BO124" i="10"/>
  <c r="BN124" i="10"/>
  <c r="BM124" i="10"/>
  <c r="BL124" i="10"/>
  <c r="BK124" i="10"/>
  <c r="BJ124" i="10"/>
  <c r="BI124" i="10"/>
  <c r="BH124" i="10"/>
  <c r="BG124" i="10"/>
  <c r="BF124" i="10"/>
  <c r="BE124" i="10"/>
  <c r="BD124" i="10"/>
  <c r="BC124" i="10"/>
  <c r="BB124" i="10"/>
  <c r="BA124" i="10"/>
  <c r="AZ124" i="10"/>
  <c r="AY124" i="10"/>
  <c r="AX124" i="10"/>
  <c r="DY123" i="10"/>
  <c r="DX123" i="10"/>
  <c r="DW123" i="10"/>
  <c r="DV123" i="10"/>
  <c r="DU123" i="10"/>
  <c r="DT123" i="10"/>
  <c r="DS123" i="10"/>
  <c r="DR123" i="10"/>
  <c r="DQ123" i="10"/>
  <c r="DP123" i="10"/>
  <c r="DO123" i="10"/>
  <c r="DN123" i="10"/>
  <c r="DM123" i="10"/>
  <c r="DL123" i="10"/>
  <c r="DK123" i="10"/>
  <c r="DJ123" i="10"/>
  <c r="DI123" i="10"/>
  <c r="DH123" i="10"/>
  <c r="DG123" i="10"/>
  <c r="DF123" i="10"/>
  <c r="DE123" i="10"/>
  <c r="DD123" i="10"/>
  <c r="DC123" i="10"/>
  <c r="DB123" i="10"/>
  <c r="DA123" i="10"/>
  <c r="CZ123" i="10"/>
  <c r="CY123" i="10"/>
  <c r="CX123" i="10"/>
  <c r="CW123" i="10"/>
  <c r="CV123" i="10"/>
  <c r="CU123" i="10"/>
  <c r="CT123" i="10"/>
  <c r="CS123" i="10"/>
  <c r="CR123" i="10"/>
  <c r="CQ123" i="10"/>
  <c r="CP123" i="10"/>
  <c r="CO123" i="10"/>
  <c r="CN123" i="10"/>
  <c r="CM123" i="10"/>
  <c r="CL123" i="10"/>
  <c r="CK123" i="10"/>
  <c r="CJ123" i="10"/>
  <c r="CI123" i="10"/>
  <c r="CH123" i="10"/>
  <c r="CG123" i="10"/>
  <c r="CF123" i="10"/>
  <c r="CE123" i="10"/>
  <c r="CD123" i="10"/>
  <c r="CC123" i="10"/>
  <c r="CB123" i="10"/>
  <c r="CA123" i="10"/>
  <c r="BZ123" i="10"/>
  <c r="BY123" i="10"/>
  <c r="BX123" i="10"/>
  <c r="BW123" i="10"/>
  <c r="BV123" i="10"/>
  <c r="BU123" i="10"/>
  <c r="BT123" i="10"/>
  <c r="BS123" i="10"/>
  <c r="BR123" i="10"/>
  <c r="BQ123" i="10"/>
  <c r="BP123" i="10"/>
  <c r="BO123" i="10"/>
  <c r="BN123" i="10"/>
  <c r="BM123" i="10"/>
  <c r="BL123" i="10"/>
  <c r="BK123" i="10"/>
  <c r="BJ123" i="10"/>
  <c r="BI123" i="10"/>
  <c r="BH123" i="10"/>
  <c r="BG123" i="10"/>
  <c r="BF123" i="10"/>
  <c r="BE123" i="10"/>
  <c r="BD123" i="10"/>
  <c r="BC123" i="10"/>
  <c r="BB123" i="10"/>
  <c r="BA123" i="10"/>
  <c r="AZ123" i="10"/>
  <c r="AY123" i="10"/>
  <c r="AX123" i="10"/>
  <c r="AV125" i="10"/>
  <c r="AU125" i="10"/>
  <c r="AT125" i="10"/>
  <c r="AS125" i="10"/>
  <c r="AV124" i="10"/>
  <c r="AU124" i="10"/>
  <c r="AT124" i="10"/>
  <c r="AS124" i="10"/>
  <c r="AV123" i="10"/>
  <c r="AU123" i="10"/>
  <c r="AT123" i="10"/>
  <c r="AS123" i="10"/>
  <c r="AQ125" i="10"/>
  <c r="AP125" i="10"/>
  <c r="AO125" i="10"/>
  <c r="AN125" i="10"/>
  <c r="AQ124" i="10"/>
  <c r="AP124" i="10"/>
  <c r="AN124" i="10"/>
  <c r="AQ123" i="10"/>
  <c r="AP123" i="10"/>
  <c r="AO123" i="10"/>
  <c r="AN123" i="10"/>
  <c r="AL125" i="10"/>
  <c r="AK125" i="10"/>
  <c r="AJ125" i="10"/>
  <c r="AI125" i="10"/>
  <c r="AL124" i="10"/>
  <c r="AK124" i="10"/>
  <c r="AJ124" i="10"/>
  <c r="AI124" i="10"/>
  <c r="AL123" i="10"/>
  <c r="AK123" i="10"/>
  <c r="AJ123" i="10"/>
  <c r="AI123" i="10"/>
  <c r="AG125" i="10"/>
  <c r="AF125" i="10"/>
  <c r="AE125" i="10"/>
  <c r="AD125" i="10"/>
  <c r="AG124" i="10"/>
  <c r="AF124" i="10"/>
  <c r="AE124" i="10"/>
  <c r="AD124" i="10"/>
  <c r="AG123" i="10"/>
  <c r="AF123" i="10"/>
  <c r="AE123" i="10"/>
  <c r="AD123" i="10"/>
  <c r="AB125" i="10"/>
  <c r="AA125" i="10"/>
  <c r="Z125" i="10"/>
  <c r="Y125" i="10"/>
  <c r="AB124" i="10"/>
  <c r="AA124" i="10"/>
  <c r="Z124" i="10"/>
  <c r="Y124" i="10"/>
  <c r="AB123" i="10"/>
  <c r="AA123" i="10"/>
  <c r="Z123" i="10"/>
  <c r="Y123" i="10"/>
  <c r="W125" i="10"/>
  <c r="V125" i="10"/>
  <c r="U125" i="10"/>
  <c r="T125" i="10"/>
  <c r="W124" i="10"/>
  <c r="V124" i="10"/>
  <c r="U124" i="10"/>
  <c r="T124" i="10"/>
  <c r="W123" i="10"/>
  <c r="V123" i="10"/>
  <c r="U123" i="10"/>
  <c r="T123" i="10"/>
  <c r="R125" i="10"/>
  <c r="Q125" i="10"/>
  <c r="P125" i="10"/>
  <c r="O125" i="10"/>
  <c r="M125" i="10"/>
  <c r="L125" i="10"/>
  <c r="K125" i="10"/>
  <c r="J125" i="10"/>
  <c r="H125" i="10"/>
  <c r="G125" i="10"/>
  <c r="F125" i="10"/>
  <c r="E125" i="10"/>
  <c r="D125" i="10"/>
  <c r="R124" i="10"/>
  <c r="Q124" i="10"/>
  <c r="P124" i="10"/>
  <c r="O124" i="10"/>
  <c r="M124" i="10"/>
  <c r="L124" i="10"/>
  <c r="K124" i="10"/>
  <c r="J124" i="10"/>
  <c r="H124" i="10"/>
  <c r="G124" i="10"/>
  <c r="F124" i="10"/>
  <c r="E124" i="10"/>
  <c r="D124" i="10"/>
  <c r="R123" i="10"/>
  <c r="Q123" i="10"/>
  <c r="P123" i="10"/>
  <c r="O123" i="10"/>
  <c r="M123" i="10"/>
  <c r="L123" i="10"/>
  <c r="K123" i="10"/>
  <c r="J123" i="10"/>
  <c r="H123" i="10"/>
  <c r="G123" i="10"/>
  <c r="F123" i="10"/>
  <c r="E123" i="10"/>
  <c r="D123" i="10"/>
  <c r="D118" i="10"/>
  <c r="R112" i="10"/>
  <c r="Q112" i="10"/>
  <c r="P112" i="10"/>
  <c r="O112" i="10"/>
  <c r="M112" i="10"/>
  <c r="L112" i="10"/>
  <c r="K112" i="10"/>
  <c r="J112" i="10"/>
  <c r="M111" i="10"/>
  <c r="L111" i="10"/>
  <c r="K111" i="10"/>
  <c r="J111" i="10"/>
  <c r="P110" i="10"/>
  <c r="O110" i="10"/>
  <c r="M110" i="10"/>
  <c r="L110" i="10"/>
  <c r="K110" i="10"/>
  <c r="J110" i="10"/>
  <c r="EN90" i="10"/>
  <c r="BQ90" i="10"/>
  <c r="BN90" i="10" s="1"/>
  <c r="BP90" i="10"/>
  <c r="BL90" i="10"/>
  <c r="BH90" i="10" s="1"/>
  <c r="BG90" i="10"/>
  <c r="BF90" i="10" s="1"/>
  <c r="BC90" i="10"/>
  <c r="AX90" i="10"/>
  <c r="AY90" i="10" s="1"/>
  <c r="AS90" i="10"/>
  <c r="AT90" i="10" s="1"/>
  <c r="AU90" i="10" s="1"/>
  <c r="AN90" i="10"/>
  <c r="AO90" i="10" s="1"/>
  <c r="AP90" i="10" s="1"/>
  <c r="AQ90" i="10" s="1"/>
  <c r="AR90" i="10" s="1"/>
  <c r="AJ90" i="10"/>
  <c r="AK90" i="10" s="1"/>
  <c r="AL90" i="10" s="1"/>
  <c r="AM90" i="10" s="1"/>
  <c r="AI90" i="10"/>
  <c r="AD90" i="10"/>
  <c r="AE90" i="10" s="1"/>
  <c r="AF90" i="10" s="1"/>
  <c r="AG90" i="10" s="1"/>
  <c r="AH90" i="10" s="1"/>
  <c r="Z90" i="10"/>
  <c r="AA90" i="10" s="1"/>
  <c r="AB90" i="10" s="1"/>
  <c r="AC90" i="10" s="1"/>
  <c r="Y90" i="10"/>
  <c r="U90" i="10"/>
  <c r="V90" i="10" s="1"/>
  <c r="W90" i="10" s="1"/>
  <c r="X90" i="10" s="1"/>
  <c r="P90" i="10"/>
  <c r="Q90" i="10" s="1"/>
  <c r="R90" i="10" s="1"/>
  <c r="S90" i="10" s="1"/>
  <c r="K90" i="10"/>
  <c r="L90" i="10" s="1"/>
  <c r="M90" i="10" s="1"/>
  <c r="N90" i="10" s="1"/>
  <c r="F90" i="10"/>
  <c r="G90" i="10" s="1"/>
  <c r="H90" i="10" s="1"/>
  <c r="I90" i="10" s="1"/>
  <c r="BQ89" i="10"/>
  <c r="BQ87" i="10"/>
  <c r="P99" i="20" s="1"/>
  <c r="BQ86" i="10"/>
  <c r="BL89" i="10"/>
  <c r="BV87" i="10"/>
  <c r="Q99" i="20" s="1"/>
  <c r="BV86" i="10"/>
  <c r="BH87" i="10"/>
  <c r="BG87" i="10"/>
  <c r="N99" i="20" s="1"/>
  <c r="BF87" i="10"/>
  <c r="BE87" i="10"/>
  <c r="BD87" i="10"/>
  <c r="BC87" i="10"/>
  <c r="BB87" i="10"/>
  <c r="BA87" i="10"/>
  <c r="AZ87" i="10"/>
  <c r="AY87" i="10"/>
  <c r="AX87" i="10"/>
  <c r="AW87" i="10"/>
  <c r="AV87" i="10"/>
  <c r="AU87" i="10"/>
  <c r="AT87" i="10"/>
  <c r="AS87" i="10"/>
  <c r="AR87" i="10"/>
  <c r="K99" i="20" s="1"/>
  <c r="AQ87" i="10"/>
  <c r="AP87" i="10"/>
  <c r="AO87" i="10"/>
  <c r="AN87" i="10"/>
  <c r="AM87" i="10"/>
  <c r="J99" i="20" s="1"/>
  <c r="AL87" i="10"/>
  <c r="AK87" i="10"/>
  <c r="AJ87" i="10"/>
  <c r="AI87" i="10"/>
  <c r="AH87" i="10"/>
  <c r="AG87" i="10"/>
  <c r="AF87" i="10"/>
  <c r="AE87" i="10"/>
  <c r="AD87" i="10"/>
  <c r="AC87" i="10"/>
  <c r="AB87" i="10"/>
  <c r="AA87" i="10"/>
  <c r="Z87" i="10"/>
  <c r="Y87" i="10"/>
  <c r="X87" i="10"/>
  <c r="G99" i="20" s="1"/>
  <c r="W87" i="10"/>
  <c r="V87" i="10"/>
  <c r="U87" i="10"/>
  <c r="T87" i="10"/>
  <c r="S87" i="10"/>
  <c r="F99" i="20" s="1"/>
  <c r="R87" i="10"/>
  <c r="Q87" i="10"/>
  <c r="P87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C99" i="20" s="1"/>
  <c r="BH86" i="10"/>
  <c r="BG86" i="10"/>
  <c r="BF86" i="10"/>
  <c r="BE86" i="10"/>
  <c r="BD86" i="10"/>
  <c r="BC86" i="10"/>
  <c r="BB86" i="10"/>
  <c r="BA86" i="10"/>
  <c r="AZ86" i="10"/>
  <c r="AY86" i="10"/>
  <c r="AX86" i="10"/>
  <c r="AW86" i="10"/>
  <c r="AV86" i="10"/>
  <c r="AU86" i="10"/>
  <c r="AT86" i="10"/>
  <c r="AS86" i="10"/>
  <c r="AR86" i="10"/>
  <c r="AQ86" i="10"/>
  <c r="AP86" i="10"/>
  <c r="AO86" i="10"/>
  <c r="AN86" i="10"/>
  <c r="AM86" i="10"/>
  <c r="AL86" i="10"/>
  <c r="AK86" i="10"/>
  <c r="AJ86" i="10"/>
  <c r="AI86" i="10"/>
  <c r="AH86" i="10"/>
  <c r="AG86" i="10"/>
  <c r="AF86" i="10"/>
  <c r="AE86" i="10"/>
  <c r="AD86" i="10"/>
  <c r="AC86" i="10"/>
  <c r="AB86" i="10"/>
  <c r="AA86" i="10"/>
  <c r="Z86" i="10"/>
  <c r="Y86" i="10"/>
  <c r="X86" i="10"/>
  <c r="W86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BQ80" i="10"/>
  <c r="BL80" i="10"/>
  <c r="BG80" i="10"/>
  <c r="BB80" i="10"/>
  <c r="BT81" i="10"/>
  <c r="BS81" i="10"/>
  <c r="BR81" i="10"/>
  <c r="BP81" i="10"/>
  <c r="BO81" i="10"/>
  <c r="BN81" i="10"/>
  <c r="BM81" i="10"/>
  <c r="BW80" i="10"/>
  <c r="BW81" i="10" s="1"/>
  <c r="BV80" i="10"/>
  <c r="BU80" i="10"/>
  <c r="BU81" i="10" s="1"/>
  <c r="AV80" i="10"/>
  <c r="AW80" i="10" s="1"/>
  <c r="AR80" i="10"/>
  <c r="AP80" i="10"/>
  <c r="AK80" i="10"/>
  <c r="AJ80" i="10"/>
  <c r="AM80" i="10" s="1"/>
  <c r="AF80" i="10"/>
  <c r="AH80" i="10" s="1"/>
  <c r="AC80" i="10"/>
  <c r="U80" i="10"/>
  <c r="T80" i="10"/>
  <c r="X80" i="10" s="1"/>
  <c r="S80" i="10"/>
  <c r="K80" i="10"/>
  <c r="N80" i="10" s="1"/>
  <c r="I80" i="10"/>
  <c r="BV78" i="10"/>
  <c r="AT74" i="10"/>
  <c r="AW74" i="10" s="1"/>
  <c r="AR74" i="10"/>
  <c r="AQ74" i="10"/>
  <c r="AM74" i="10"/>
  <c r="AH74" i="10"/>
  <c r="AC74" i="10"/>
  <c r="T74" i="10"/>
  <c r="X74" i="10" s="1"/>
  <c r="S74" i="10"/>
  <c r="N74" i="10"/>
  <c r="I74" i="10"/>
  <c r="AW71" i="10"/>
  <c r="AR71" i="10"/>
  <c r="AR70" i="10"/>
  <c r="AM71" i="10"/>
  <c r="AM70" i="10"/>
  <c r="AH71" i="10"/>
  <c r="AH70" i="10"/>
  <c r="AC71" i="10"/>
  <c r="AC70" i="10"/>
  <c r="X71" i="10"/>
  <c r="X70" i="10"/>
  <c r="S71" i="10"/>
  <c r="S70" i="10"/>
  <c r="N71" i="10"/>
  <c r="N70" i="10"/>
  <c r="I71" i="10"/>
  <c r="I70" i="10"/>
  <c r="AT70" i="10"/>
  <c r="AW70" i="10" s="1"/>
  <c r="BV67" i="10"/>
  <c r="BV66" i="10"/>
  <c r="BP67" i="10"/>
  <c r="BO67" i="10"/>
  <c r="BB67" i="10"/>
  <c r="BB66" i="10"/>
  <c r="AU67" i="10"/>
  <c r="AT67" i="10"/>
  <c r="AS67" i="10"/>
  <c r="AW67" i="10" s="1"/>
  <c r="AQ67" i="10"/>
  <c r="AR67" i="10" s="1"/>
  <c r="AM67" i="10"/>
  <c r="AM66" i="10"/>
  <c r="AH67" i="10"/>
  <c r="AH66" i="10"/>
  <c r="AC67" i="10"/>
  <c r="AC66" i="10"/>
  <c r="X67" i="10"/>
  <c r="X66" i="10"/>
  <c r="S67" i="10"/>
  <c r="S66" i="10"/>
  <c r="N67" i="10"/>
  <c r="N66" i="10"/>
  <c r="I67" i="10"/>
  <c r="I66" i="10"/>
  <c r="EN66" i="10"/>
  <c r="EI66" i="10"/>
  <c r="ED66" i="10"/>
  <c r="DY66" i="10"/>
  <c r="DT66" i="10"/>
  <c r="DO66" i="10"/>
  <c r="DJ66" i="10"/>
  <c r="DE66" i="10"/>
  <c r="CZ66" i="10"/>
  <c r="CU66" i="10"/>
  <c r="CP66" i="10"/>
  <c r="CK66" i="10"/>
  <c r="CF66" i="10"/>
  <c r="CA66" i="10"/>
  <c r="BQ66" i="10"/>
  <c r="BL66" i="10"/>
  <c r="BG66" i="10"/>
  <c r="AV66" i="10"/>
  <c r="AU66" i="10"/>
  <c r="AT66" i="10"/>
  <c r="AS66" i="10"/>
  <c r="AR66" i="10"/>
  <c r="DJ63" i="10"/>
  <c r="DE63" i="10"/>
  <c r="CZ63" i="10"/>
  <c r="CU63" i="10"/>
  <c r="CP63" i="10"/>
  <c r="CK63" i="10"/>
  <c r="CF63" i="10"/>
  <c r="BV63" i="10"/>
  <c r="BQ63" i="10"/>
  <c r="BL63" i="10"/>
  <c r="BG63" i="10"/>
  <c r="AX63" i="10"/>
  <c r="BB63" i="10" s="1"/>
  <c r="AV63" i="10"/>
  <c r="AU63" i="10"/>
  <c r="AT63" i="10"/>
  <c r="AS63" i="10"/>
  <c r="AQ63" i="10"/>
  <c r="AP63" i="10"/>
  <c r="AO63" i="10"/>
  <c r="AN63" i="10"/>
  <c r="AM63" i="10"/>
  <c r="AD63" i="10"/>
  <c r="AH63" i="10" s="1"/>
  <c r="AA63" i="10"/>
  <c r="AA61" i="10" s="1"/>
  <c r="Z63" i="10"/>
  <c r="U63" i="10"/>
  <c r="U61" i="10" s="1"/>
  <c r="U38" i="10" s="1"/>
  <c r="S63" i="10"/>
  <c r="N63" i="10"/>
  <c r="I63" i="10"/>
  <c r="BV61" i="10"/>
  <c r="BV60" i="10"/>
  <c r="BQ61" i="10"/>
  <c r="BL61" i="10"/>
  <c r="BL60" i="10"/>
  <c r="BG61" i="10"/>
  <c r="BB61" i="10"/>
  <c r="AW61" i="10"/>
  <c r="AW60" i="10"/>
  <c r="AW59" i="10"/>
  <c r="AR61" i="10"/>
  <c r="AR60" i="10"/>
  <c r="AR59" i="10"/>
  <c r="AM61" i="10"/>
  <c r="AM60" i="10"/>
  <c r="AM59" i="10"/>
  <c r="AH61" i="10"/>
  <c r="AH60" i="10"/>
  <c r="AH59" i="10"/>
  <c r="AB61" i="10"/>
  <c r="AB50" i="10" s="1"/>
  <c r="Z61" i="10"/>
  <c r="Y61" i="10"/>
  <c r="Y63" i="10" s="1"/>
  <c r="W61" i="10"/>
  <c r="V61" i="10"/>
  <c r="V50" i="10" s="1"/>
  <c r="T61" i="10"/>
  <c r="T63" i="10" s="1"/>
  <c r="X63" i="10" s="1"/>
  <c r="S61" i="10"/>
  <c r="N61" i="10"/>
  <c r="N60" i="10"/>
  <c r="N59" i="10"/>
  <c r="I61" i="10"/>
  <c r="I60" i="10"/>
  <c r="I59" i="10"/>
  <c r="AC60" i="10"/>
  <c r="AC59" i="10"/>
  <c r="X60" i="10"/>
  <c r="X59" i="10"/>
  <c r="S60" i="10"/>
  <c r="S59" i="10"/>
  <c r="DT55" i="10"/>
  <c r="DY55" i="10" s="1"/>
  <c r="ED55" i="10" s="1"/>
  <c r="EI55" i="10" s="1"/>
  <c r="EN55" i="10" s="1"/>
  <c r="CK55" i="10"/>
  <c r="CP55" i="10" s="1"/>
  <c r="CU55" i="10" s="1"/>
  <c r="CZ55" i="10" s="1"/>
  <c r="DE55" i="10" s="1"/>
  <c r="DJ55" i="10" s="1"/>
  <c r="BV56" i="10"/>
  <c r="BV55" i="10"/>
  <c r="BQ56" i="10"/>
  <c r="BQ55" i="10"/>
  <c r="BL56" i="10"/>
  <c r="BL55" i="10"/>
  <c r="O117" i="20" s="1"/>
  <c r="BL54" i="10"/>
  <c r="O148" i="19" s="1"/>
  <c r="BG56" i="10"/>
  <c r="BG55" i="10"/>
  <c r="N117" i="20" s="1"/>
  <c r="BB56" i="10"/>
  <c r="BB55" i="10"/>
  <c r="M117" i="20" s="1"/>
  <c r="BB54" i="10"/>
  <c r="M148" i="19" s="1"/>
  <c r="AW56" i="10"/>
  <c r="AW55" i="10"/>
  <c r="L117" i="20" s="1"/>
  <c r="AW54" i="10"/>
  <c r="L148" i="19" s="1"/>
  <c r="AW53" i="10"/>
  <c r="AR56" i="10"/>
  <c r="AR55" i="10"/>
  <c r="K117" i="20" s="1"/>
  <c r="AR54" i="10"/>
  <c r="AR53" i="10"/>
  <c r="AM56" i="10"/>
  <c r="AM55" i="10"/>
  <c r="J117" i="20" s="1"/>
  <c r="AM54" i="10"/>
  <c r="AM53" i="10"/>
  <c r="AH56" i="10"/>
  <c r="AH55" i="10"/>
  <c r="AH54" i="10"/>
  <c r="AH53" i="10"/>
  <c r="AC55" i="10"/>
  <c r="AC54" i="10"/>
  <c r="AC53" i="10"/>
  <c r="AA56" i="10"/>
  <c r="AC56" i="10" s="1"/>
  <c r="X56" i="10"/>
  <c r="X55" i="10"/>
  <c r="X54" i="10"/>
  <c r="X53" i="10"/>
  <c r="S56" i="10"/>
  <c r="S55" i="10"/>
  <c r="S54" i="10"/>
  <c r="S53" i="10"/>
  <c r="N56" i="10"/>
  <c r="N55" i="10"/>
  <c r="N54" i="10"/>
  <c r="N53" i="10"/>
  <c r="I56" i="10"/>
  <c r="I55" i="10"/>
  <c r="I54" i="10"/>
  <c r="I53" i="10"/>
  <c r="BV53" i="10"/>
  <c r="BV50" i="10"/>
  <c r="BQ50" i="10"/>
  <c r="BL50" i="10"/>
  <c r="BG50" i="10"/>
  <c r="BB50" i="10"/>
  <c r="BB49" i="10"/>
  <c r="AW50" i="10"/>
  <c r="AW48" i="10"/>
  <c r="AR50" i="10"/>
  <c r="AR48" i="10"/>
  <c r="AM50" i="10"/>
  <c r="AM48" i="10"/>
  <c r="AH50" i="10"/>
  <c r="AH48" i="10"/>
  <c r="S50" i="10"/>
  <c r="S49" i="10"/>
  <c r="S48" i="10"/>
  <c r="N50" i="10"/>
  <c r="N49" i="10"/>
  <c r="N48" i="10"/>
  <c r="I50" i="10"/>
  <c r="I49" i="10"/>
  <c r="I48" i="10"/>
  <c r="AT49" i="10"/>
  <c r="AS49" i="10"/>
  <c r="AQ49" i="10"/>
  <c r="AP49" i="10"/>
  <c r="AR49" i="10" s="1"/>
  <c r="AL49" i="10"/>
  <c r="AK49" i="10"/>
  <c r="AG49" i="10"/>
  <c r="AF49" i="10"/>
  <c r="AH49" i="10" s="1"/>
  <c r="AC48" i="10"/>
  <c r="X48" i="10"/>
  <c r="BW38" i="10"/>
  <c r="BU38" i="10"/>
  <c r="BT38" i="10"/>
  <c r="BS38" i="10"/>
  <c r="BR38" i="10"/>
  <c r="BP38" i="10"/>
  <c r="BO38" i="10"/>
  <c r="BN38" i="10"/>
  <c r="BM38" i="10"/>
  <c r="BK38" i="10"/>
  <c r="BJ38" i="10"/>
  <c r="BI38" i="10"/>
  <c r="BH38" i="10"/>
  <c r="BF38" i="10"/>
  <c r="BE38" i="10"/>
  <c r="BD38" i="10"/>
  <c r="BC38" i="10"/>
  <c r="BA38" i="10"/>
  <c r="AZ38" i="10"/>
  <c r="AY38" i="10"/>
  <c r="AX38" i="10"/>
  <c r="AV38" i="10"/>
  <c r="AU38" i="10"/>
  <c r="AT38" i="10"/>
  <c r="AS38" i="10"/>
  <c r="AQ38" i="10"/>
  <c r="AP38" i="10"/>
  <c r="AO38" i="10"/>
  <c r="AN38" i="10"/>
  <c r="AL38" i="10"/>
  <c r="AK38" i="10"/>
  <c r="AJ38" i="10"/>
  <c r="AI38" i="10"/>
  <c r="AG38" i="10"/>
  <c r="AF38" i="10"/>
  <c r="AE38" i="10"/>
  <c r="AD38" i="10"/>
  <c r="CE34" i="8" l="1"/>
  <c r="CD34" i="8" s="1"/>
  <c r="CI98" i="8" s="1"/>
  <c r="EM59" i="8"/>
  <c r="EM157" i="8" s="1"/>
  <c r="DS59" i="8"/>
  <c r="DS157" i="8" s="1"/>
  <c r="CY59" i="8"/>
  <c r="CY157" i="8" s="1"/>
  <c r="CE59" i="8"/>
  <c r="CE157" i="8" s="1"/>
  <c r="EH59" i="8"/>
  <c r="EH157" i="8" s="1"/>
  <c r="DN59" i="8"/>
  <c r="DN157" i="8" s="1"/>
  <c r="CT59" i="8"/>
  <c r="CT157" i="8" s="1"/>
  <c r="EC59" i="8"/>
  <c r="EC157" i="8" s="1"/>
  <c r="DI59" i="8"/>
  <c r="DI157" i="8" s="1"/>
  <c r="CO59" i="8"/>
  <c r="CO157" i="8" s="1"/>
  <c r="DX59" i="8"/>
  <c r="DX157" i="8" s="1"/>
  <c r="DD59" i="8"/>
  <c r="DD157" i="8" s="1"/>
  <c r="CJ59" i="8"/>
  <c r="CJ157" i="8" s="1"/>
  <c r="N4" i="62"/>
  <c r="O3" i="1"/>
  <c r="N9" i="1"/>
  <c r="K102" i="1"/>
  <c r="P214" i="1"/>
  <c r="Q214" i="1" s="1"/>
  <c r="R214" i="1" s="1"/>
  <c r="S214" i="1" s="1"/>
  <c r="T214" i="1" s="1"/>
  <c r="U214" i="1" s="1"/>
  <c r="V214" i="1" s="1"/>
  <c r="W214" i="1" s="1"/>
  <c r="X214" i="1" s="1"/>
  <c r="Y214" i="1" s="1"/>
  <c r="Z214" i="1" s="1"/>
  <c r="AA214" i="1" s="1"/>
  <c r="AB214" i="1" s="1"/>
  <c r="AC214" i="1" s="1"/>
  <c r="AD214" i="1" s="1"/>
  <c r="AE214" i="1" s="1"/>
  <c r="U5" i="20"/>
  <c r="CB63" i="10"/>
  <c r="CE63" i="10" s="1"/>
  <c r="CD63" i="10"/>
  <c r="CC63" i="10"/>
  <c r="V5" i="20"/>
  <c r="BK114" i="8"/>
  <c r="CB129" i="8"/>
  <c r="CA149" i="8"/>
  <c r="BU77" i="8"/>
  <c r="P63" i="20"/>
  <c r="P65" i="20" s="1"/>
  <c r="Q63" i="20"/>
  <c r="Q65" i="20" s="1"/>
  <c r="CT46" i="8"/>
  <c r="CP46" i="8" s="1"/>
  <c r="CP152" i="8" s="1"/>
  <c r="BU118" i="8"/>
  <c r="BP4" i="8"/>
  <c r="AT78" i="8"/>
  <c r="BP78" i="8"/>
  <c r="AQ13" i="8"/>
  <c r="AQ124" i="8" s="1"/>
  <c r="BO88" i="8"/>
  <c r="J114" i="8"/>
  <c r="P114" i="8"/>
  <c r="X114" i="8"/>
  <c r="AD114" i="8"/>
  <c r="AJ114" i="8"/>
  <c r="BV129" i="8"/>
  <c r="BV149" i="8" s="1"/>
  <c r="AM74" i="8"/>
  <c r="AS74" i="8"/>
  <c r="BO80" i="8"/>
  <c r="BM117" i="8"/>
  <c r="BD131" i="8"/>
  <c r="BD151" i="8" s="1"/>
  <c r="AY131" i="8"/>
  <c r="AY151" i="8" s="1"/>
  <c r="BU102" i="8"/>
  <c r="BR129" i="8"/>
  <c r="BR149" i="8" s="1"/>
  <c r="CO46" i="8"/>
  <c r="CO152" i="8" s="1"/>
  <c r="T22" i="19"/>
  <c r="S26" i="20"/>
  <c r="M191" i="1"/>
  <c r="M24" i="4"/>
  <c r="N76" i="1"/>
  <c r="N24" i="4" s="1"/>
  <c r="U25" i="19"/>
  <c r="V25" i="19" s="1"/>
  <c r="W25" i="19" s="1"/>
  <c r="X25" i="19" s="1"/>
  <c r="T23" i="20"/>
  <c r="BN84" i="8"/>
  <c r="BM90" i="10"/>
  <c r="BT84" i="8"/>
  <c r="BU114" i="8"/>
  <c r="F172" i="19"/>
  <c r="M107" i="19"/>
  <c r="Q157" i="19"/>
  <c r="G29" i="20"/>
  <c r="AC63" i="10"/>
  <c r="AW90" i="10"/>
  <c r="AV90" i="10" s="1"/>
  <c r="BO90" i="10"/>
  <c r="AO74" i="8"/>
  <c r="BM80" i="8"/>
  <c r="BW80" i="8"/>
  <c r="BR84" i="8"/>
  <c r="N114" i="8"/>
  <c r="T114" i="8"/>
  <c r="Z114" i="8"/>
  <c r="AH114" i="8"/>
  <c r="AN42" i="8"/>
  <c r="AN114" i="8" s="1"/>
  <c r="AU118" i="8"/>
  <c r="H26" i="19"/>
  <c r="H83" i="19" s="1"/>
  <c r="O33" i="19"/>
  <c r="O44" i="19" s="1"/>
  <c r="C43" i="19"/>
  <c r="D172" i="19"/>
  <c r="H172" i="19"/>
  <c r="L172" i="19"/>
  <c r="P172" i="19"/>
  <c r="P177" i="19" s="1"/>
  <c r="L176" i="19"/>
  <c r="P176" i="19"/>
  <c r="N103" i="19"/>
  <c r="D106" i="19"/>
  <c r="C107" i="19"/>
  <c r="K107" i="19"/>
  <c r="K157" i="19"/>
  <c r="O157" i="19"/>
  <c r="T5" i="20"/>
  <c r="X5" i="20"/>
  <c r="O29" i="20"/>
  <c r="S10" i="20"/>
  <c r="W10" i="20"/>
  <c r="AA10" i="20"/>
  <c r="AE10" i="20"/>
  <c r="S23" i="20"/>
  <c r="W23" i="20"/>
  <c r="K63" i="20"/>
  <c r="K65" i="20" s="1"/>
  <c r="C77" i="20"/>
  <c r="H90" i="20"/>
  <c r="H22" i="1"/>
  <c r="O55" i="1"/>
  <c r="J102" i="1"/>
  <c r="N102" i="1"/>
  <c r="T149" i="1"/>
  <c r="J282" i="1"/>
  <c r="L77" i="1" s="1"/>
  <c r="K76" i="1" s="1"/>
  <c r="K24" i="4" s="1"/>
  <c r="N138" i="15"/>
  <c r="F22" i="15"/>
  <c r="G31" i="15"/>
  <c r="O38" i="15"/>
  <c r="J106" i="15"/>
  <c r="N106" i="15"/>
  <c r="F145" i="15"/>
  <c r="T157" i="15"/>
  <c r="P206" i="15"/>
  <c r="Q206" i="15" s="1"/>
  <c r="R206" i="15" s="1"/>
  <c r="S206" i="15" s="1"/>
  <c r="T206" i="15" s="1"/>
  <c r="U206" i="15" s="1"/>
  <c r="V206" i="15" s="1"/>
  <c r="W206" i="15" s="1"/>
  <c r="X206" i="15" s="1"/>
  <c r="Y206" i="15" s="1"/>
  <c r="Z206" i="15" s="1"/>
  <c r="AA206" i="15" s="1"/>
  <c r="AB206" i="15" s="1"/>
  <c r="AC206" i="15" s="1"/>
  <c r="AD206" i="15" s="1"/>
  <c r="AE206" i="15" s="1"/>
  <c r="O210" i="15"/>
  <c r="S210" i="15"/>
  <c r="AA210" i="15"/>
  <c r="J275" i="15"/>
  <c r="F37" i="4"/>
  <c r="F23" i="12"/>
  <c r="H36" i="12"/>
  <c r="H38" i="12" s="1"/>
  <c r="I38" i="12" s="1"/>
  <c r="O5" i="62"/>
  <c r="O7" i="62" s="1"/>
  <c r="O8" i="62" s="1"/>
  <c r="H11" i="64"/>
  <c r="D26" i="19"/>
  <c r="D83" i="19" s="1"/>
  <c r="T10" i="20"/>
  <c r="X10" i="20"/>
  <c r="AB10" i="20"/>
  <c r="K14" i="21"/>
  <c r="L14" i="21" s="1"/>
  <c r="M14" i="21" s="1"/>
  <c r="N14" i="21" s="1"/>
  <c r="O14" i="21" s="1"/>
  <c r="P14" i="21" s="1"/>
  <c r="Q14" i="21" s="1"/>
  <c r="R14" i="21" s="1"/>
  <c r="S14" i="21" s="1"/>
  <c r="T14" i="21" s="1"/>
  <c r="U14" i="21" s="1"/>
  <c r="V14" i="21" s="1"/>
  <c r="W14" i="21" s="1"/>
  <c r="P3" i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P210" i="15"/>
  <c r="V210" i="15"/>
  <c r="AD210" i="15"/>
  <c r="BS80" i="8"/>
  <c r="AW63" i="10"/>
  <c r="BP100" i="8"/>
  <c r="BW129" i="8"/>
  <c r="BW149" i="8" s="1"/>
  <c r="I82" i="19"/>
  <c r="J172" i="19"/>
  <c r="H107" i="19"/>
  <c r="I157" i="19"/>
  <c r="U10" i="20"/>
  <c r="K89" i="21"/>
  <c r="L89" i="21" s="1"/>
  <c r="L91" i="21" s="1"/>
  <c r="J95" i="21"/>
  <c r="J96" i="21" s="1"/>
  <c r="S37" i="1"/>
  <c r="Q210" i="15"/>
  <c r="W210" i="15"/>
  <c r="J276" i="15"/>
  <c r="P17" i="12"/>
  <c r="Q17" i="12" s="1"/>
  <c r="R17" i="12" s="1"/>
  <c r="S17" i="12" s="1"/>
  <c r="T17" i="12" s="1"/>
  <c r="U17" i="12" s="1"/>
  <c r="V17" i="12" s="1"/>
  <c r="W17" i="12" s="1"/>
  <c r="X17" i="12" s="1"/>
  <c r="Y17" i="12" s="1"/>
  <c r="Z17" i="12" s="1"/>
  <c r="AA17" i="12" s="1"/>
  <c r="AB17" i="12" s="1"/>
  <c r="O17" i="12"/>
  <c r="J29" i="12"/>
  <c r="K29" i="12" s="1"/>
  <c r="L29" i="12" s="1"/>
  <c r="M29" i="12" s="1"/>
  <c r="N29" i="12" s="1"/>
  <c r="O29" i="12" s="1"/>
  <c r="P29" i="12" s="1"/>
  <c r="Q29" i="12" s="1"/>
  <c r="R29" i="12" s="1"/>
  <c r="S29" i="12" s="1"/>
  <c r="T29" i="12" s="1"/>
  <c r="U29" i="12" s="1"/>
  <c r="V29" i="12" s="1"/>
  <c r="W29" i="12" s="1"/>
  <c r="X29" i="12" s="1"/>
  <c r="Y29" i="12" s="1"/>
  <c r="Z29" i="12" s="1"/>
  <c r="AA29" i="12" s="1"/>
  <c r="AB29" i="12" s="1"/>
  <c r="L72" i="12"/>
  <c r="M72" i="12" s="1"/>
  <c r="N72" i="12" s="1"/>
  <c r="O72" i="12" s="1"/>
  <c r="P72" i="12" s="1"/>
  <c r="Q72" i="12" s="1"/>
  <c r="R72" i="12" s="1"/>
  <c r="S72" i="12" s="1"/>
  <c r="T72" i="12" s="1"/>
  <c r="U72" i="12" s="1"/>
  <c r="V72" i="12" s="1"/>
  <c r="W72" i="12" s="1"/>
  <c r="X72" i="12" s="1"/>
  <c r="Y72" i="12" s="1"/>
  <c r="Z72" i="12" s="1"/>
  <c r="AA72" i="12" s="1"/>
  <c r="AB72" i="12" s="1"/>
  <c r="K43" i="19"/>
  <c r="K95" i="19" s="1"/>
  <c r="N172" i="19"/>
  <c r="N177" i="19" s="1"/>
  <c r="D107" i="19"/>
  <c r="L107" i="19"/>
  <c r="I107" i="19"/>
  <c r="F141" i="19"/>
  <c r="F106" i="19" s="1"/>
  <c r="M157" i="19"/>
  <c r="Y10" i="20"/>
  <c r="AC10" i="20"/>
  <c r="E77" i="20"/>
  <c r="F90" i="20"/>
  <c r="K84" i="21"/>
  <c r="AM49" i="10"/>
  <c r="AW49" i="10"/>
  <c r="BE90" i="10"/>
  <c r="AX78" i="8"/>
  <c r="BQ80" i="8"/>
  <c r="BF81" i="8"/>
  <c r="BL84" i="8"/>
  <c r="BV84" i="8"/>
  <c r="BS88" i="8"/>
  <c r="BK102" i="8"/>
  <c r="BZ118" i="8"/>
  <c r="AY122" i="8"/>
  <c r="AY142" i="8" s="1"/>
  <c r="AY130" i="8"/>
  <c r="AY150" i="8" s="1"/>
  <c r="BD130" i="8"/>
  <c r="BD150" i="8" s="1"/>
  <c r="O82" i="19"/>
  <c r="L44" i="19"/>
  <c r="M44" i="19"/>
  <c r="I53" i="19"/>
  <c r="G172" i="19"/>
  <c r="O172" i="19"/>
  <c r="O176" i="19"/>
  <c r="G141" i="19"/>
  <c r="G106" i="19" s="1"/>
  <c r="J157" i="19"/>
  <c r="N157" i="19"/>
  <c r="S5" i="20"/>
  <c r="W5" i="20"/>
  <c r="V10" i="20"/>
  <c r="Z10" i="20"/>
  <c r="AD10" i="20"/>
  <c r="N40" i="20"/>
  <c r="J63" i="20"/>
  <c r="J65" i="20" s="1"/>
  <c r="N63" i="20"/>
  <c r="N65" i="20" s="1"/>
  <c r="S64" i="20"/>
  <c r="R69" i="20"/>
  <c r="S70" i="20"/>
  <c r="R72" i="20" s="1"/>
  <c r="C83" i="20"/>
  <c r="R36" i="1"/>
  <c r="M102" i="1"/>
  <c r="V150" i="1"/>
  <c r="Q178" i="1"/>
  <c r="Q181" i="1" s="1"/>
  <c r="AD25" i="4"/>
  <c r="M8" i="15"/>
  <c r="L8" i="15" s="1"/>
  <c r="Q182" i="15"/>
  <c r="R182" i="15" s="1"/>
  <c r="R185" i="15" s="1"/>
  <c r="Z210" i="15"/>
  <c r="F36" i="4"/>
  <c r="M8" i="62"/>
  <c r="N8" i="62"/>
  <c r="CJ34" i="8"/>
  <c r="CT32" i="8"/>
  <c r="CO32" i="8"/>
  <c r="CJ32" i="8"/>
  <c r="CO34" i="8"/>
  <c r="CT34" i="8" s="1"/>
  <c r="CT98" i="8" s="1"/>
  <c r="I66" i="20"/>
  <c r="X25" i="4"/>
  <c r="R136" i="1"/>
  <c r="S136" i="1" s="1"/>
  <c r="T136" i="1" s="1"/>
  <c r="U136" i="1" s="1"/>
  <c r="V136" i="1" s="1"/>
  <c r="W136" i="1" s="1"/>
  <c r="X136" i="1" s="1"/>
  <c r="Y136" i="1" s="1"/>
  <c r="Z136" i="1" s="1"/>
  <c r="Y25" i="4"/>
  <c r="AB244" i="1"/>
  <c r="U25" i="4"/>
  <c r="AC25" i="4"/>
  <c r="AB25" i="4"/>
  <c r="W25" i="4"/>
  <c r="AA25" i="4"/>
  <c r="AE25" i="4"/>
  <c r="X244" i="1"/>
  <c r="V25" i="4"/>
  <c r="Z25" i="4"/>
  <c r="M195" i="15"/>
  <c r="N80" i="15"/>
  <c r="N195" i="15" s="1"/>
  <c r="J80" i="15"/>
  <c r="J195" i="15" s="1"/>
  <c r="W72" i="15"/>
  <c r="V71" i="15"/>
  <c r="S125" i="10"/>
  <c r="X125" i="10"/>
  <c r="AH125" i="10"/>
  <c r="AM125" i="10"/>
  <c r="AW123" i="10"/>
  <c r="AC123" i="10"/>
  <c r="AC125" i="10"/>
  <c r="AM123" i="10"/>
  <c r="AR125" i="10"/>
  <c r="AW125" i="10"/>
  <c r="X123" i="10"/>
  <c r="AH123" i="10"/>
  <c r="AR123" i="10"/>
  <c r="N125" i="10"/>
  <c r="X124" i="10"/>
  <c r="AC124" i="10"/>
  <c r="AH124" i="10"/>
  <c r="AM124" i="10"/>
  <c r="AW124" i="10"/>
  <c r="CE32" i="8"/>
  <c r="N123" i="10"/>
  <c r="S123" i="10"/>
  <c r="I124" i="10"/>
  <c r="N124" i="10"/>
  <c r="S124" i="10"/>
  <c r="H17" i="13"/>
  <c r="L27" i="61"/>
  <c r="M27" i="61" s="1"/>
  <c r="N27" i="61" s="1"/>
  <c r="O27" i="61" s="1"/>
  <c r="P27" i="61" s="1"/>
  <c r="Q27" i="61" s="1"/>
  <c r="R27" i="61" s="1"/>
  <c r="S27" i="61" s="1"/>
  <c r="Y38" i="10"/>
  <c r="T38" i="10"/>
  <c r="I31" i="38"/>
  <c r="J31" i="38" s="1"/>
  <c r="K31" i="38" s="1"/>
  <c r="L31" i="38" s="1"/>
  <c r="M31" i="38" s="1"/>
  <c r="N31" i="38" s="1"/>
  <c r="O31" i="38" s="1"/>
  <c r="P31" i="38" s="1"/>
  <c r="Q31" i="38" s="1"/>
  <c r="R31" i="38" s="1"/>
  <c r="S31" i="38" s="1"/>
  <c r="U207" i="1"/>
  <c r="T211" i="15"/>
  <c r="S211" i="15"/>
  <c r="U210" i="15"/>
  <c r="Y210" i="15"/>
  <c r="AC210" i="15"/>
  <c r="T210" i="15"/>
  <c r="X210" i="15"/>
  <c r="AB210" i="15"/>
  <c r="S209" i="15"/>
  <c r="AH38" i="10"/>
  <c r="I96" i="20" s="1"/>
  <c r="S150" i="15"/>
  <c r="T150" i="15" s="1"/>
  <c r="U150" i="15" s="1"/>
  <c r="V150" i="15" s="1"/>
  <c r="W150" i="15" s="1"/>
  <c r="X150" i="15" s="1"/>
  <c r="Y150" i="15" s="1"/>
  <c r="Z150" i="15" s="1"/>
  <c r="AA150" i="15" s="1"/>
  <c r="AB150" i="15" s="1"/>
  <c r="AC150" i="15" s="1"/>
  <c r="AD150" i="15" s="1"/>
  <c r="AE150" i="15" s="1"/>
  <c r="BV38" i="10"/>
  <c r="Q96" i="20" s="1"/>
  <c r="AM38" i="10"/>
  <c r="J96" i="20" s="1"/>
  <c r="AW38" i="10"/>
  <c r="L96" i="20" s="1"/>
  <c r="BL38" i="10"/>
  <c r="O96" i="20" s="1"/>
  <c r="AB49" i="10"/>
  <c r="AB9" i="10" s="1"/>
  <c r="AB38" i="10"/>
  <c r="BB38" i="10"/>
  <c r="M96" i="20" s="1"/>
  <c r="AR38" i="10"/>
  <c r="K96" i="20" s="1"/>
  <c r="BL81" i="10"/>
  <c r="W50" i="10"/>
  <c r="W49" i="10" s="1"/>
  <c r="W9" i="10" s="1"/>
  <c r="BQ81" i="10"/>
  <c r="BG81" i="10"/>
  <c r="BV81" i="10"/>
  <c r="BB81" i="10"/>
  <c r="AA50" i="10"/>
  <c r="L149" i="19"/>
  <c r="L12" i="62"/>
  <c r="L13" i="62" s="1"/>
  <c r="CE49" i="8" s="1"/>
  <c r="CD49" i="8" s="1"/>
  <c r="H42" i="64"/>
  <c r="I3" i="64"/>
  <c r="J43" i="64"/>
  <c r="J15" i="64"/>
  <c r="K7" i="64"/>
  <c r="K9" i="64" s="1"/>
  <c r="K17" i="64" s="1"/>
  <c r="CY46" i="8"/>
  <c r="D19" i="64"/>
  <c r="D9" i="64"/>
  <c r="D17" i="64" s="1"/>
  <c r="J9" i="64"/>
  <c r="J17" i="64" s="1"/>
  <c r="M10" i="64"/>
  <c r="E7" i="64"/>
  <c r="E34" i="64"/>
  <c r="E33" i="64"/>
  <c r="H16" i="64"/>
  <c r="H32" i="64" s="1"/>
  <c r="I11" i="64"/>
  <c r="E14" i="64"/>
  <c r="D13" i="64"/>
  <c r="D18" i="64" s="1"/>
  <c r="C19" i="64"/>
  <c r="D33" i="64"/>
  <c r="D34" i="64"/>
  <c r="C39" i="64"/>
  <c r="C33" i="64"/>
  <c r="G33" i="64"/>
  <c r="F34" i="64"/>
  <c r="D14" i="61"/>
  <c r="D15" i="61" s="1"/>
  <c r="G11" i="61"/>
  <c r="E12" i="61"/>
  <c r="F22" i="61"/>
  <c r="I22" i="61"/>
  <c r="G22" i="61"/>
  <c r="E22" i="61"/>
  <c r="F7" i="61"/>
  <c r="G13" i="61"/>
  <c r="J22" i="61"/>
  <c r="I19" i="61"/>
  <c r="D22" i="61"/>
  <c r="H22" i="61"/>
  <c r="L8" i="63"/>
  <c r="L12" i="63" s="1"/>
  <c r="L13" i="63" s="1"/>
  <c r="CE50" i="8" s="1"/>
  <c r="CD50" i="8" s="1"/>
  <c r="M7" i="63"/>
  <c r="M8" i="63" s="1"/>
  <c r="N5" i="63"/>
  <c r="G9" i="38"/>
  <c r="H7" i="38"/>
  <c r="E19" i="38"/>
  <c r="E18" i="38"/>
  <c r="E17" i="38"/>
  <c r="E16" i="38"/>
  <c r="E26" i="38"/>
  <c r="P26" i="38"/>
  <c r="N26" i="38"/>
  <c r="L26" i="38"/>
  <c r="J26" i="38"/>
  <c r="H26" i="38"/>
  <c r="D19" i="38"/>
  <c r="D18" i="38"/>
  <c r="D17" i="38"/>
  <c r="D16" i="38"/>
  <c r="F9" i="38"/>
  <c r="R26" i="38"/>
  <c r="I26" i="38"/>
  <c r="M26" i="38"/>
  <c r="Q26" i="38"/>
  <c r="D26" i="38"/>
  <c r="G26" i="38"/>
  <c r="K26" i="38"/>
  <c r="O26" i="38"/>
  <c r="F26" i="38"/>
  <c r="P21" i="12"/>
  <c r="L21" i="12"/>
  <c r="I11" i="12"/>
  <c r="I14" i="12" s="1"/>
  <c r="G26" i="12"/>
  <c r="G10" i="12" s="1"/>
  <c r="G11" i="12" s="1"/>
  <c r="F26" i="12"/>
  <c r="F10" i="12" s="1"/>
  <c r="F11" i="12" s="1"/>
  <c r="AA98" i="12"/>
  <c r="Y98" i="12"/>
  <c r="W98" i="12"/>
  <c r="U98" i="12"/>
  <c r="S98" i="12"/>
  <c r="Q98" i="12"/>
  <c r="O98" i="12"/>
  <c r="M98" i="12"/>
  <c r="AA94" i="12"/>
  <c r="AB98" i="12"/>
  <c r="X98" i="12"/>
  <c r="T98" i="12"/>
  <c r="P98" i="12"/>
  <c r="L98" i="12"/>
  <c r="Z94" i="12"/>
  <c r="X94" i="12"/>
  <c r="V94" i="12"/>
  <c r="T94" i="12"/>
  <c r="R94" i="12"/>
  <c r="P94" i="12"/>
  <c r="M94" i="12"/>
  <c r="Z98" i="12"/>
  <c r="V98" i="12"/>
  <c r="R98" i="12"/>
  <c r="N98" i="12"/>
  <c r="AB94" i="12"/>
  <c r="Y94" i="12"/>
  <c r="W94" i="12"/>
  <c r="U94" i="12"/>
  <c r="S94" i="12"/>
  <c r="Q94" i="12"/>
  <c r="O94" i="12"/>
  <c r="N94" i="12"/>
  <c r="L94" i="12"/>
  <c r="H20" i="12"/>
  <c r="H25" i="12"/>
  <c r="J31" i="12"/>
  <c r="J38" i="12"/>
  <c r="L54" i="12"/>
  <c r="K55" i="12"/>
  <c r="K30" i="12"/>
  <c r="I35" i="12"/>
  <c r="K41" i="12"/>
  <c r="I44" i="12"/>
  <c r="J47" i="12"/>
  <c r="K50" i="12"/>
  <c r="N55" i="12"/>
  <c r="O54" i="12"/>
  <c r="J60" i="12"/>
  <c r="L68" i="12"/>
  <c r="J81" i="12"/>
  <c r="J87" i="12" s="1"/>
  <c r="K80" i="12"/>
  <c r="M74" i="12"/>
  <c r="L83" i="12"/>
  <c r="M83" i="12" s="1"/>
  <c r="N83" i="12" s="1"/>
  <c r="O83" i="12" s="1"/>
  <c r="P83" i="12" s="1"/>
  <c r="Q83" i="12" s="1"/>
  <c r="R83" i="12" s="1"/>
  <c r="S83" i="12" s="1"/>
  <c r="T83" i="12" s="1"/>
  <c r="U83" i="12" s="1"/>
  <c r="V83" i="12" s="1"/>
  <c r="W83" i="12" s="1"/>
  <c r="X83" i="12" s="1"/>
  <c r="Y83" i="12" s="1"/>
  <c r="Z83" i="12" s="1"/>
  <c r="AA83" i="12" s="1"/>
  <c r="AB83" i="12" s="1"/>
  <c r="J88" i="12"/>
  <c r="O107" i="12"/>
  <c r="M86" i="12"/>
  <c r="F5" i="13"/>
  <c r="F7" i="13"/>
  <c r="F9" i="13"/>
  <c r="H68" i="13"/>
  <c r="I64" i="13"/>
  <c r="I27" i="13"/>
  <c r="I17" i="13"/>
  <c r="H63" i="13"/>
  <c r="J83" i="13"/>
  <c r="K83" i="13"/>
  <c r="E6" i="13"/>
  <c r="E8" i="13"/>
  <c r="H62" i="13"/>
  <c r="I62" i="13" s="1"/>
  <c r="M92" i="13"/>
  <c r="L81" i="13"/>
  <c r="M81" i="13" s="1"/>
  <c r="N81" i="13" s="1"/>
  <c r="O81" i="13" s="1"/>
  <c r="P81" i="13" s="1"/>
  <c r="L88" i="13"/>
  <c r="F7" i="4"/>
  <c r="F23" i="4" s="1"/>
  <c r="F26" i="4" s="1"/>
  <c r="E8" i="4"/>
  <c r="E23" i="4" s="1"/>
  <c r="E26" i="4" s="1"/>
  <c r="I18" i="4"/>
  <c r="G4" i="4"/>
  <c r="K13" i="4"/>
  <c r="P13" i="4"/>
  <c r="H30" i="4"/>
  <c r="H37" i="4"/>
  <c r="G36" i="4"/>
  <c r="F38" i="4"/>
  <c r="F58" i="4" s="1"/>
  <c r="F60" i="4" s="1"/>
  <c r="G37" i="4"/>
  <c r="R18" i="4"/>
  <c r="O24" i="4"/>
  <c r="I59" i="4"/>
  <c r="J30" i="4"/>
  <c r="I35" i="4"/>
  <c r="E58" i="4"/>
  <c r="E53" i="4"/>
  <c r="E55" i="4" s="1"/>
  <c r="K54" i="4"/>
  <c r="E60" i="4"/>
  <c r="H59" i="4"/>
  <c r="P3" i="15"/>
  <c r="Q3" i="15" s="1"/>
  <c r="R3" i="15" s="1"/>
  <c r="S3" i="15" s="1"/>
  <c r="T3" i="15" s="1"/>
  <c r="U3" i="15" s="1"/>
  <c r="V3" i="15" s="1"/>
  <c r="W3" i="15" s="1"/>
  <c r="X3" i="15" s="1"/>
  <c r="Y3" i="15" s="1"/>
  <c r="Z3" i="15" s="1"/>
  <c r="AA3" i="15" s="1"/>
  <c r="AB3" i="15" s="1"/>
  <c r="AC3" i="15" s="1"/>
  <c r="AD3" i="15" s="1"/>
  <c r="AE3" i="15" s="1"/>
  <c r="K8" i="15"/>
  <c r="P11" i="15"/>
  <c r="J32" i="15"/>
  <c r="U160" i="15"/>
  <c r="S160" i="15"/>
  <c r="Q160" i="15"/>
  <c r="V160" i="15"/>
  <c r="T160" i="15"/>
  <c r="R160" i="15"/>
  <c r="S156" i="15"/>
  <c r="Q156" i="15"/>
  <c r="U156" i="15"/>
  <c r="T156" i="15"/>
  <c r="U125" i="15"/>
  <c r="S125" i="15"/>
  <c r="Q125" i="15"/>
  <c r="O125" i="15"/>
  <c r="R156" i="15"/>
  <c r="O152" i="15"/>
  <c r="P151" i="15" s="1"/>
  <c r="P152" i="15" s="1"/>
  <c r="Q151" i="15" s="1"/>
  <c r="Q152" i="15" s="1"/>
  <c r="R151" i="15" s="1"/>
  <c r="R152" i="15" s="1"/>
  <c r="S151" i="15" s="1"/>
  <c r="T125" i="15"/>
  <c r="R125" i="15"/>
  <c r="P125" i="15"/>
  <c r="R92" i="15"/>
  <c r="P92" i="15"/>
  <c r="V74" i="15"/>
  <c r="T74" i="15"/>
  <c r="R74" i="15"/>
  <c r="P74" i="15"/>
  <c r="S92" i="15"/>
  <c r="Q92" i="15"/>
  <c r="O92" i="15"/>
  <c r="W74" i="15"/>
  <c r="U74" i="15"/>
  <c r="S74" i="15"/>
  <c r="Q74" i="15"/>
  <c r="O74" i="15"/>
  <c r="O58" i="15"/>
  <c r="M9" i="15"/>
  <c r="L9" i="15" s="1"/>
  <c r="K9" i="15" s="1"/>
  <c r="J9" i="15" s="1"/>
  <c r="I9" i="15" s="1"/>
  <c r="H9" i="15" s="1"/>
  <c r="G9" i="15" s="1"/>
  <c r="F9" i="15" s="1"/>
  <c r="E9" i="15" s="1"/>
  <c r="E17" i="15" s="1"/>
  <c r="M11" i="15"/>
  <c r="L11" i="15" s="1"/>
  <c r="K11" i="15" s="1"/>
  <c r="J11" i="15" s="1"/>
  <c r="I11" i="15" s="1"/>
  <c r="H11" i="15" s="1"/>
  <c r="G11" i="15" s="1"/>
  <c r="F11" i="15" s="1"/>
  <c r="E11" i="15" s="1"/>
  <c r="O9" i="15"/>
  <c r="G16" i="15"/>
  <c r="H20" i="15"/>
  <c r="K21" i="15"/>
  <c r="G21" i="15"/>
  <c r="G22" i="15" s="1"/>
  <c r="M28" i="15"/>
  <c r="H29" i="15"/>
  <c r="I29" i="15" s="1"/>
  <c r="J29" i="15" s="1"/>
  <c r="K29" i="15" s="1"/>
  <c r="L29" i="15" s="1"/>
  <c r="M29" i="15" s="1"/>
  <c r="N29" i="15" s="1"/>
  <c r="O29" i="15" s="1"/>
  <c r="P29" i="15" s="1"/>
  <c r="Q29" i="15" s="1"/>
  <c r="R29" i="15" s="1"/>
  <c r="S29" i="15" s="1"/>
  <c r="T29" i="15" s="1"/>
  <c r="U29" i="15" s="1"/>
  <c r="V29" i="15" s="1"/>
  <c r="W29" i="15" s="1"/>
  <c r="X29" i="15" s="1"/>
  <c r="Y29" i="15" s="1"/>
  <c r="Z29" i="15" s="1"/>
  <c r="AA29" i="15" s="1"/>
  <c r="AB29" i="15" s="1"/>
  <c r="AC29" i="15" s="1"/>
  <c r="AD29" i="15" s="1"/>
  <c r="AE29" i="15" s="1"/>
  <c r="O36" i="15"/>
  <c r="S36" i="15"/>
  <c r="T37" i="15"/>
  <c r="T39" i="15" s="1"/>
  <c r="P37" i="15"/>
  <c r="O39" i="15"/>
  <c r="Q39" i="15"/>
  <c r="S39" i="15"/>
  <c r="K39" i="15"/>
  <c r="O48" i="15"/>
  <c r="P47" i="15"/>
  <c r="O46" i="15"/>
  <c r="P58" i="15"/>
  <c r="L58" i="15"/>
  <c r="N12" i="15"/>
  <c r="N10" i="15" s="1"/>
  <c r="P39" i="15"/>
  <c r="R39" i="15"/>
  <c r="O49" i="15"/>
  <c r="Q56" i="15"/>
  <c r="P55" i="15"/>
  <c r="X72" i="15"/>
  <c r="O80" i="15"/>
  <c r="P84" i="15"/>
  <c r="T90" i="15"/>
  <c r="Q102" i="15"/>
  <c r="K108" i="15"/>
  <c r="M108" i="15"/>
  <c r="K109" i="15"/>
  <c r="M109" i="15"/>
  <c r="Q117" i="15"/>
  <c r="U124" i="15"/>
  <c r="V123" i="15"/>
  <c r="H142" i="15"/>
  <c r="J108" i="15"/>
  <c r="L108" i="15"/>
  <c r="N108" i="15"/>
  <c r="J109" i="15"/>
  <c r="L109" i="15"/>
  <c r="N109" i="15"/>
  <c r="H143" i="15"/>
  <c r="W158" i="15"/>
  <c r="V159" i="15"/>
  <c r="V157" i="15"/>
  <c r="G144" i="15"/>
  <c r="U153" i="15"/>
  <c r="V154" i="15"/>
  <c r="V156" i="15" s="1"/>
  <c r="X184" i="15"/>
  <c r="T155" i="15"/>
  <c r="U159" i="15"/>
  <c r="U157" i="15"/>
  <c r="T159" i="15"/>
  <c r="S182" i="15"/>
  <c r="O185" i="15"/>
  <c r="M197" i="15"/>
  <c r="Q185" i="15"/>
  <c r="S221" i="15"/>
  <c r="U197" i="15"/>
  <c r="K198" i="15"/>
  <c r="L198" i="15" s="1"/>
  <c r="M198" i="15" s="1"/>
  <c r="N198" i="15" s="1"/>
  <c r="O198" i="15" s="1"/>
  <c r="P198" i="15" s="1"/>
  <c r="Q198" i="15" s="1"/>
  <c r="R198" i="15" s="1"/>
  <c r="S198" i="15" s="1"/>
  <c r="T198" i="15" s="1"/>
  <c r="U198" i="15" s="1"/>
  <c r="V198" i="15" s="1"/>
  <c r="W198" i="15" s="1"/>
  <c r="X198" i="15" s="1"/>
  <c r="Y198" i="15" s="1"/>
  <c r="Z198" i="15" s="1"/>
  <c r="AA198" i="15" s="1"/>
  <c r="AB198" i="15" s="1"/>
  <c r="AC198" i="15" s="1"/>
  <c r="AD198" i="15" s="1"/>
  <c r="AE198" i="15" s="1"/>
  <c r="J274" i="15"/>
  <c r="E62" i="1"/>
  <c r="E25" i="1"/>
  <c r="E43" i="1" s="1"/>
  <c r="K191" i="1"/>
  <c r="J76" i="1"/>
  <c r="W6" i="1"/>
  <c r="S156" i="1"/>
  <c r="Q156" i="1"/>
  <c r="Q152" i="1"/>
  <c r="U152" i="1"/>
  <c r="S152" i="1"/>
  <c r="AE121" i="1"/>
  <c r="AC121" i="1"/>
  <c r="AA121" i="1"/>
  <c r="Y121" i="1"/>
  <c r="W121" i="1"/>
  <c r="U121" i="1"/>
  <c r="S121" i="1"/>
  <c r="Q121" i="1"/>
  <c r="O121" i="1"/>
  <c r="P156" i="1"/>
  <c r="P152" i="1"/>
  <c r="T152" i="1"/>
  <c r="AD121" i="1"/>
  <c r="Z121" i="1"/>
  <c r="V121" i="1"/>
  <c r="R121" i="1"/>
  <c r="AE88" i="1"/>
  <c r="AC88" i="1"/>
  <c r="AA88" i="1"/>
  <c r="Y88" i="1"/>
  <c r="W88" i="1"/>
  <c r="U88" i="1"/>
  <c r="S88" i="1"/>
  <c r="Q88" i="1"/>
  <c r="O88" i="1"/>
  <c r="S58" i="1"/>
  <c r="Q58" i="1"/>
  <c r="O58" i="1"/>
  <c r="O49" i="1"/>
  <c r="R39" i="1"/>
  <c r="P39" i="1"/>
  <c r="R156" i="1"/>
  <c r="R152" i="1"/>
  <c r="AB121" i="1"/>
  <c r="X121" i="1"/>
  <c r="T121" i="1"/>
  <c r="P121" i="1"/>
  <c r="AD88" i="1"/>
  <c r="AB88" i="1"/>
  <c r="Z88" i="1"/>
  <c r="X88" i="1"/>
  <c r="V88" i="1"/>
  <c r="T88" i="1"/>
  <c r="R88" i="1"/>
  <c r="P88" i="1"/>
  <c r="L134" i="1"/>
  <c r="L159" i="1" s="1"/>
  <c r="K8" i="1"/>
  <c r="L10" i="1"/>
  <c r="O9" i="1"/>
  <c r="N134" i="1"/>
  <c r="N159" i="1" s="1"/>
  <c r="N13" i="1"/>
  <c r="O8" i="1" s="1"/>
  <c r="I22" i="1"/>
  <c r="J20" i="1"/>
  <c r="Q39" i="1"/>
  <c r="P48" i="1"/>
  <c r="Q47" i="1"/>
  <c r="N70" i="1"/>
  <c r="M58" i="1"/>
  <c r="R58" i="1"/>
  <c r="M66" i="1"/>
  <c r="N191" i="1"/>
  <c r="O76" i="1"/>
  <c r="N10" i="1"/>
  <c r="P11" i="1"/>
  <c r="F17" i="1"/>
  <c r="F62" i="1" s="1"/>
  <c r="F68" i="1" s="1"/>
  <c r="G16" i="1"/>
  <c r="P21" i="1"/>
  <c r="G22" i="1"/>
  <c r="F22" i="1"/>
  <c r="F25" i="1" s="1"/>
  <c r="F34" i="1" s="1"/>
  <c r="N28" i="1"/>
  <c r="H32" i="1"/>
  <c r="G31" i="1"/>
  <c r="T38" i="1"/>
  <c r="O39" i="1"/>
  <c r="J39" i="1"/>
  <c r="P49" i="1"/>
  <c r="T57" i="1"/>
  <c r="T56" i="1"/>
  <c r="T55" i="1"/>
  <c r="J58" i="1"/>
  <c r="P58" i="1"/>
  <c r="Q80" i="1"/>
  <c r="O135" i="1"/>
  <c r="P135" i="1" s="1"/>
  <c r="Q135" i="1" s="1"/>
  <c r="R135" i="1" s="1"/>
  <c r="S135" i="1" s="1"/>
  <c r="T135" i="1" s="1"/>
  <c r="U135" i="1" s="1"/>
  <c r="V135" i="1" s="1"/>
  <c r="W135" i="1" s="1"/>
  <c r="X135" i="1" s="1"/>
  <c r="Y135" i="1" s="1"/>
  <c r="Z135" i="1" s="1"/>
  <c r="AA135" i="1" s="1"/>
  <c r="AB135" i="1" s="1"/>
  <c r="AC135" i="1" s="1"/>
  <c r="AD135" i="1" s="1"/>
  <c r="AE135" i="1" s="1"/>
  <c r="O136" i="1"/>
  <c r="O137" i="1" s="1"/>
  <c r="M104" i="1"/>
  <c r="K105" i="1"/>
  <c r="M106" i="1"/>
  <c r="P113" i="1"/>
  <c r="P169" i="1"/>
  <c r="Q166" i="1"/>
  <c r="S179" i="1"/>
  <c r="R178" i="1"/>
  <c r="R181" i="1" s="1"/>
  <c r="W180" i="1"/>
  <c r="U193" i="1"/>
  <c r="M134" i="1"/>
  <c r="M159" i="1" s="1"/>
  <c r="M10" i="1"/>
  <c r="F43" i="1"/>
  <c r="F53" i="1" s="1"/>
  <c r="J66" i="1"/>
  <c r="L66" i="1"/>
  <c r="N66" i="1"/>
  <c r="Q98" i="1"/>
  <c r="K104" i="1"/>
  <c r="H139" i="1"/>
  <c r="G140" i="1"/>
  <c r="G144" i="1" s="1"/>
  <c r="U154" i="1"/>
  <c r="T153" i="1"/>
  <c r="T156" i="1" s="1"/>
  <c r="T155" i="1"/>
  <c r="T168" i="1"/>
  <c r="J195" i="1"/>
  <c r="K195" i="1" s="1"/>
  <c r="L195" i="1" s="1"/>
  <c r="M195" i="1" s="1"/>
  <c r="N195" i="1" s="1"/>
  <c r="O195" i="1" s="1"/>
  <c r="P195" i="1" s="1"/>
  <c r="K194" i="1"/>
  <c r="L194" i="1" s="1"/>
  <c r="M194" i="1" s="1"/>
  <c r="N194" i="1" s="1"/>
  <c r="O194" i="1" s="1"/>
  <c r="P194" i="1" s="1"/>
  <c r="J104" i="1"/>
  <c r="L104" i="1"/>
  <c r="N104" i="1"/>
  <c r="J105" i="1"/>
  <c r="L105" i="1"/>
  <c r="N105" i="1"/>
  <c r="S167" i="1"/>
  <c r="T167" i="1" s="1"/>
  <c r="U167" i="1" s="1"/>
  <c r="V167" i="1" s="1"/>
  <c r="W167" i="1" s="1"/>
  <c r="X167" i="1" s="1"/>
  <c r="Y167" i="1" s="1"/>
  <c r="Z167" i="1" s="1"/>
  <c r="AA167" i="1" s="1"/>
  <c r="AB167" i="1" s="1"/>
  <c r="AC167" i="1" s="1"/>
  <c r="AD167" i="1" s="1"/>
  <c r="AE167" i="1" s="1"/>
  <c r="L193" i="1"/>
  <c r="U205" i="1"/>
  <c r="U209" i="15" s="1"/>
  <c r="AE244" i="1"/>
  <c r="AC244" i="1"/>
  <c r="AA244" i="1"/>
  <c r="Y244" i="1"/>
  <c r="W244" i="1"/>
  <c r="U244" i="1"/>
  <c r="P13" i="17" s="1"/>
  <c r="AD244" i="1"/>
  <c r="Z244" i="1"/>
  <c r="V244" i="1"/>
  <c r="AE237" i="1"/>
  <c r="AE236" i="1"/>
  <c r="J11" i="21"/>
  <c r="K9" i="21"/>
  <c r="F32" i="21"/>
  <c r="E31" i="21"/>
  <c r="F31" i="21"/>
  <c r="O52" i="21"/>
  <c r="O49" i="21" s="1"/>
  <c r="P49" i="21" s="1"/>
  <c r="Q49" i="21" s="1"/>
  <c r="R49" i="21" s="1"/>
  <c r="S49" i="21" s="1"/>
  <c r="T49" i="21" s="1"/>
  <c r="U49" i="21" s="1"/>
  <c r="V49" i="21" s="1"/>
  <c r="W49" i="21" s="1"/>
  <c r="D104" i="21"/>
  <c r="D107" i="21" s="1"/>
  <c r="E7" i="21"/>
  <c r="E6" i="21"/>
  <c r="E105" i="21" s="1"/>
  <c r="D6" i="21"/>
  <c r="K31" i="21"/>
  <c r="L29" i="21"/>
  <c r="J6" i="21"/>
  <c r="D31" i="21"/>
  <c r="J31" i="21"/>
  <c r="I36" i="21"/>
  <c r="M34" i="21"/>
  <c r="N34" i="21" s="1"/>
  <c r="O34" i="21" s="1"/>
  <c r="P34" i="21" s="1"/>
  <c r="Q34" i="21" s="1"/>
  <c r="R34" i="21" s="1"/>
  <c r="S34" i="21" s="1"/>
  <c r="T34" i="21" s="1"/>
  <c r="U34" i="21" s="1"/>
  <c r="V34" i="21" s="1"/>
  <c r="W34" i="21" s="1"/>
  <c r="J46" i="21"/>
  <c r="K44" i="21"/>
  <c r="K51" i="21"/>
  <c r="L50" i="21"/>
  <c r="P62" i="21"/>
  <c r="P59" i="21" s="1"/>
  <c r="Q59" i="21" s="1"/>
  <c r="R59" i="21" s="1"/>
  <c r="S59" i="21" s="1"/>
  <c r="T59" i="21" s="1"/>
  <c r="U59" i="21" s="1"/>
  <c r="V59" i="21" s="1"/>
  <c r="W59" i="21" s="1"/>
  <c r="K66" i="21"/>
  <c r="L64" i="21"/>
  <c r="R72" i="21"/>
  <c r="R69" i="21" s="1"/>
  <c r="S69" i="21" s="1"/>
  <c r="T69" i="21" s="1"/>
  <c r="U69" i="21" s="1"/>
  <c r="V69" i="21" s="1"/>
  <c r="W69" i="21" s="1"/>
  <c r="K4" i="21"/>
  <c r="G105" i="21"/>
  <c r="H15" i="21"/>
  <c r="L19" i="21"/>
  <c r="L21" i="21" s="1"/>
  <c r="K21" i="21"/>
  <c r="K24" i="21"/>
  <c r="K35" i="21"/>
  <c r="I61" i="21"/>
  <c r="J60" i="21"/>
  <c r="K81" i="21"/>
  <c r="L79" i="21"/>
  <c r="J51" i="21"/>
  <c r="H61" i="21"/>
  <c r="J66" i="21"/>
  <c r="J81" i="21"/>
  <c r="L84" i="21"/>
  <c r="K86" i="21"/>
  <c r="M89" i="21"/>
  <c r="J70" i="21"/>
  <c r="E79" i="21"/>
  <c r="K95" i="21"/>
  <c r="Z25" i="20"/>
  <c r="E106" i="19"/>
  <c r="E142" i="19"/>
  <c r="G59" i="20"/>
  <c r="G62" i="20" s="1"/>
  <c r="G53" i="19"/>
  <c r="K116" i="20"/>
  <c r="K118" i="20" s="1"/>
  <c r="K59" i="20"/>
  <c r="K62" i="20" s="1"/>
  <c r="K66" i="20" s="1"/>
  <c r="K52" i="20"/>
  <c r="K53" i="19"/>
  <c r="O116" i="20"/>
  <c r="O118" i="20" s="1"/>
  <c r="O59" i="20"/>
  <c r="O62" i="20" s="1"/>
  <c r="O66" i="20" s="1"/>
  <c r="O52" i="20"/>
  <c r="O53" i="19"/>
  <c r="E6" i="20"/>
  <c r="E29" i="20" s="1"/>
  <c r="H59" i="20"/>
  <c r="H62" i="20" s="1"/>
  <c r="H52" i="20"/>
  <c r="M29" i="20"/>
  <c r="Q29" i="20"/>
  <c r="G102" i="20"/>
  <c r="G49" i="20"/>
  <c r="G52" i="20" s="1"/>
  <c r="S69" i="20"/>
  <c r="T64" i="20"/>
  <c r="BD90" i="10"/>
  <c r="H53" i="19"/>
  <c r="H96" i="19" s="1"/>
  <c r="F107" i="19"/>
  <c r="E107" i="19"/>
  <c r="G107" i="19"/>
  <c r="F59" i="20"/>
  <c r="F62" i="20" s="1"/>
  <c r="F52" i="20"/>
  <c r="J116" i="20"/>
  <c r="J118" i="20" s="1"/>
  <c r="J59" i="20"/>
  <c r="J62" i="20" s="1"/>
  <c r="J66" i="20" s="1"/>
  <c r="J52" i="20"/>
  <c r="D59" i="20"/>
  <c r="D62" i="20" s="1"/>
  <c r="D52" i="20"/>
  <c r="L116" i="20"/>
  <c r="L118" i="20" s="1"/>
  <c r="L59" i="20"/>
  <c r="L62" i="20" s="1"/>
  <c r="L66" i="20" s="1"/>
  <c r="L52" i="20"/>
  <c r="N59" i="20"/>
  <c r="N62" i="20" s="1"/>
  <c r="N66" i="20" s="1"/>
  <c r="N52" i="20"/>
  <c r="P59" i="20"/>
  <c r="P62" i="20" s="1"/>
  <c r="P52" i="20"/>
  <c r="C29" i="20"/>
  <c r="V77" i="20"/>
  <c r="N116" i="20"/>
  <c r="N118" i="20" s="1"/>
  <c r="I49" i="20"/>
  <c r="I52" i="20" s="1"/>
  <c r="F77" i="20"/>
  <c r="F75" i="20"/>
  <c r="F72" i="20"/>
  <c r="D72" i="20"/>
  <c r="E72" i="20"/>
  <c r="D77" i="20"/>
  <c r="D83" i="20"/>
  <c r="L70" i="20"/>
  <c r="J72" i="20"/>
  <c r="Q72" i="20"/>
  <c r="C90" i="20"/>
  <c r="G90" i="20"/>
  <c r="I90" i="20"/>
  <c r="E77" i="19"/>
  <c r="E64" i="19"/>
  <c r="E10" i="19"/>
  <c r="C174" i="19"/>
  <c r="E174" i="19"/>
  <c r="K99" i="19"/>
  <c r="K71" i="19"/>
  <c r="L99" i="19"/>
  <c r="L83" i="19"/>
  <c r="K77" i="19"/>
  <c r="K64" i="19"/>
  <c r="D82" i="19"/>
  <c r="F82" i="19"/>
  <c r="H82" i="19"/>
  <c r="J82" i="19"/>
  <c r="L10" i="19"/>
  <c r="N82" i="19"/>
  <c r="P82" i="19"/>
  <c r="T16" i="19"/>
  <c r="C17" i="19"/>
  <c r="D91" i="19" s="1"/>
  <c r="G17" i="19"/>
  <c r="I17" i="19"/>
  <c r="K17" i="19"/>
  <c r="M17" i="19"/>
  <c r="N91" i="19" s="1"/>
  <c r="O17" i="19"/>
  <c r="P91" i="19" s="1"/>
  <c r="Q17" i="19"/>
  <c r="T19" i="19"/>
  <c r="D174" i="19"/>
  <c r="H174" i="19"/>
  <c r="H176" i="19" s="1"/>
  <c r="H177" i="19" s="1"/>
  <c r="C26" i="19"/>
  <c r="E26" i="19"/>
  <c r="K26" i="19"/>
  <c r="Q26" i="19"/>
  <c r="S32" i="19"/>
  <c r="E95" i="19"/>
  <c r="E99" i="19"/>
  <c r="G95" i="19"/>
  <c r="G99" i="19"/>
  <c r="H175" i="19"/>
  <c r="H99" i="19"/>
  <c r="H95" i="19"/>
  <c r="J175" i="19"/>
  <c r="J99" i="19"/>
  <c r="J95" i="19"/>
  <c r="D33" i="19"/>
  <c r="D44" i="19" s="1"/>
  <c r="F33" i="19"/>
  <c r="F44" i="19" s="1"/>
  <c r="H33" i="19"/>
  <c r="H44" i="19" s="1"/>
  <c r="J33" i="19"/>
  <c r="J44" i="19" s="1"/>
  <c r="N33" i="19"/>
  <c r="N44" i="19" s="1"/>
  <c r="P33" i="19"/>
  <c r="P44" i="19" s="1"/>
  <c r="T38" i="19"/>
  <c r="N99" i="19"/>
  <c r="N95" i="19"/>
  <c r="P99" i="19"/>
  <c r="P95" i="19"/>
  <c r="H45" i="19"/>
  <c r="C50" i="19"/>
  <c r="C72" i="19" s="1"/>
  <c r="D99" i="19"/>
  <c r="D95" i="19"/>
  <c r="F99" i="19"/>
  <c r="F95" i="19"/>
  <c r="C175" i="19"/>
  <c r="C176" i="19" s="1"/>
  <c r="C99" i="19"/>
  <c r="C95" i="19"/>
  <c r="I175" i="19"/>
  <c r="I95" i="19"/>
  <c r="I99" i="19"/>
  <c r="G33" i="19"/>
  <c r="G44" i="19" s="1"/>
  <c r="I33" i="19"/>
  <c r="I44" i="19" s="1"/>
  <c r="M95" i="19"/>
  <c r="M99" i="19"/>
  <c r="O95" i="19"/>
  <c r="O99" i="19"/>
  <c r="Q95" i="19"/>
  <c r="Q99" i="19"/>
  <c r="C61" i="19"/>
  <c r="C57" i="19"/>
  <c r="D98" i="19"/>
  <c r="D96" i="19"/>
  <c r="F98" i="19"/>
  <c r="F96" i="19"/>
  <c r="H98" i="19"/>
  <c r="J98" i="19"/>
  <c r="J97" i="19"/>
  <c r="J96" i="19"/>
  <c r="L98" i="19"/>
  <c r="L96" i="19"/>
  <c r="N98" i="19"/>
  <c r="N96" i="19"/>
  <c r="P98" i="19"/>
  <c r="P97" i="19"/>
  <c r="P96" i="19"/>
  <c r="C70" i="19"/>
  <c r="G98" i="19"/>
  <c r="G96" i="19"/>
  <c r="I98" i="19"/>
  <c r="I97" i="19"/>
  <c r="I96" i="19"/>
  <c r="K98" i="19"/>
  <c r="K96" i="19"/>
  <c r="O98" i="19"/>
  <c r="O96" i="19"/>
  <c r="C172" i="19"/>
  <c r="M177" i="19"/>
  <c r="O177" i="19"/>
  <c r="Q177" i="19"/>
  <c r="C66" i="19"/>
  <c r="G66" i="19"/>
  <c r="I66" i="19"/>
  <c r="M66" i="19"/>
  <c r="O66" i="19"/>
  <c r="Q66" i="19"/>
  <c r="D176" i="19"/>
  <c r="D177" i="19" s="1"/>
  <c r="F176" i="19"/>
  <c r="J176" i="19"/>
  <c r="J177" i="19" s="1"/>
  <c r="AD105" i="19"/>
  <c r="X105" i="19"/>
  <c r="F177" i="19"/>
  <c r="D66" i="19"/>
  <c r="F66" i="19"/>
  <c r="H66" i="19"/>
  <c r="J66" i="19"/>
  <c r="L66" i="19"/>
  <c r="N66" i="19"/>
  <c r="P66" i="19"/>
  <c r="E176" i="19"/>
  <c r="G176" i="19"/>
  <c r="G177" i="19" s="1"/>
  <c r="I176" i="19"/>
  <c r="I177" i="19" s="1"/>
  <c r="D113" i="19"/>
  <c r="E113" i="19" s="1"/>
  <c r="E112" i="19"/>
  <c r="F112" i="19" s="1"/>
  <c r="G112" i="19" s="1"/>
  <c r="H112" i="19" s="1"/>
  <c r="I112" i="19" s="1"/>
  <c r="J112" i="19" s="1"/>
  <c r="K112" i="19" s="1"/>
  <c r="L112" i="19" s="1"/>
  <c r="Q126" i="19"/>
  <c r="R126" i="19" s="1"/>
  <c r="S126" i="19" s="1"/>
  <c r="T126" i="19" s="1"/>
  <c r="U126" i="19" s="1"/>
  <c r="V126" i="19" s="1"/>
  <c r="W126" i="19" s="1"/>
  <c r="X126" i="19" s="1"/>
  <c r="Y126" i="19" s="1"/>
  <c r="Z126" i="19" s="1"/>
  <c r="AA126" i="19" s="1"/>
  <c r="AB126" i="19" s="1"/>
  <c r="AC126" i="19" s="1"/>
  <c r="AD126" i="19" s="1"/>
  <c r="AE126" i="19" s="1"/>
  <c r="F142" i="19"/>
  <c r="H142" i="19"/>
  <c r="J142" i="19"/>
  <c r="L142" i="19"/>
  <c r="O153" i="19"/>
  <c r="O152" i="19" s="1"/>
  <c r="P149" i="19"/>
  <c r="L151" i="19"/>
  <c r="G142" i="19"/>
  <c r="I142" i="19"/>
  <c r="K142" i="19"/>
  <c r="M142" i="19"/>
  <c r="Z156" i="19"/>
  <c r="Z5" i="20" s="1"/>
  <c r="AA72" i="8"/>
  <c r="AK72" i="8"/>
  <c r="AU72" i="8"/>
  <c r="BF61" i="8"/>
  <c r="BF64" i="8" s="1"/>
  <c r="BJ72" i="8"/>
  <c r="BJ61" i="8"/>
  <c r="BN72" i="8"/>
  <c r="BN61" i="8"/>
  <c r="BT72" i="8"/>
  <c r="BT61" i="8"/>
  <c r="AY73" i="8"/>
  <c r="AT73" i="8"/>
  <c r="AW73" i="8"/>
  <c r="BB73" i="8"/>
  <c r="AK7" i="8"/>
  <c r="AL7" i="8" s="1"/>
  <c r="AU7" i="8"/>
  <c r="AW7" i="8"/>
  <c r="BH74" i="8"/>
  <c r="BC74" i="8"/>
  <c r="BJ74" i="8"/>
  <c r="BK73" i="8"/>
  <c r="BP73" i="8"/>
  <c r="BU73" i="8"/>
  <c r="AK76" i="8"/>
  <c r="AP76" i="8"/>
  <c r="AU143" i="8"/>
  <c r="AU76" i="8"/>
  <c r="BL76" i="8"/>
  <c r="BN76" i="8"/>
  <c r="BQ76" i="8"/>
  <c r="BS76" i="8"/>
  <c r="BV76" i="8"/>
  <c r="BA77" i="8"/>
  <c r="BF77" i="8"/>
  <c r="AP11" i="8"/>
  <c r="BB78" i="8"/>
  <c r="BG78" i="8"/>
  <c r="BD78" i="8"/>
  <c r="BI78" i="8"/>
  <c r="BF11" i="8"/>
  <c r="BK77" i="8"/>
  <c r="BP9" i="8"/>
  <c r="AS144" i="8"/>
  <c r="AX80" i="8"/>
  <c r="AS61" i="8"/>
  <c r="AU13" i="8"/>
  <c r="AV13" i="8" s="1"/>
  <c r="AW144" i="8"/>
  <c r="AW80" i="8"/>
  <c r="BB80" i="8"/>
  <c r="BK13" i="8"/>
  <c r="BK80" i="8" s="1"/>
  <c r="BU13" i="8"/>
  <c r="BG82" i="8"/>
  <c r="BK81" i="8"/>
  <c r="BP81" i="8"/>
  <c r="BU81" i="8"/>
  <c r="BP18" i="8"/>
  <c r="BF21" i="8"/>
  <c r="BK86" i="8" s="1"/>
  <c r="BP86" i="8"/>
  <c r="BU86" i="8"/>
  <c r="V72" i="8"/>
  <c r="AF72" i="8"/>
  <c r="AP72" i="8"/>
  <c r="AZ72" i="8"/>
  <c r="BE72" i="8"/>
  <c r="BH142" i="8"/>
  <c r="BH72" i="8"/>
  <c r="BH61" i="8"/>
  <c r="BL72" i="8"/>
  <c r="BL61" i="8"/>
  <c r="BL64" i="8" s="1"/>
  <c r="BR142" i="8"/>
  <c r="BR72" i="8"/>
  <c r="BR61" i="8"/>
  <c r="BV72" i="8"/>
  <c r="BV61" i="8"/>
  <c r="AR124" i="10"/>
  <c r="R4" i="8"/>
  <c r="W4" i="8"/>
  <c r="AB4" i="8"/>
  <c r="AG4" i="8"/>
  <c r="AL4" i="8"/>
  <c r="AQ4" i="8"/>
  <c r="AV4" i="8"/>
  <c r="BA4" i="8"/>
  <c r="BG61" i="8"/>
  <c r="BG72" i="8"/>
  <c r="BI142" i="8"/>
  <c r="BI61" i="8"/>
  <c r="BI72" i="8"/>
  <c r="BK4" i="8"/>
  <c r="BM61" i="8"/>
  <c r="BM72" i="8"/>
  <c r="BO61" i="8"/>
  <c r="BO72" i="8"/>
  <c r="BQ142" i="8"/>
  <c r="BQ61" i="8"/>
  <c r="BQ72" i="8"/>
  <c r="BS61" i="8"/>
  <c r="BS64" i="8" s="1"/>
  <c r="BS72" i="8"/>
  <c r="BU4" i="8"/>
  <c r="AQ73" i="8"/>
  <c r="AV6" i="8"/>
  <c r="BA6" i="8"/>
  <c r="G4" i="17" s="1"/>
  <c r="AN74" i="8"/>
  <c r="AP7" i="8"/>
  <c r="AR74" i="8"/>
  <c r="AT7" i="8"/>
  <c r="AT74" i="8" s="1"/>
  <c r="AX74" i="8"/>
  <c r="AZ7" i="8"/>
  <c r="AZ74" i="8" s="1"/>
  <c r="BB74" i="8"/>
  <c r="BG74" i="8"/>
  <c r="BD74" i="8"/>
  <c r="BI74" i="8"/>
  <c r="BF7" i="8"/>
  <c r="H10" i="17" s="1"/>
  <c r="BP74" i="8"/>
  <c r="BU74" i="8"/>
  <c r="AL9" i="8"/>
  <c r="AQ9" i="8"/>
  <c r="AQ10" i="8"/>
  <c r="AV77" i="8" s="1"/>
  <c r="AZ76" i="8"/>
  <c r="BE76" i="8"/>
  <c r="BM76" i="8"/>
  <c r="BO76" i="8"/>
  <c r="BR76" i="8"/>
  <c r="BT76" i="8"/>
  <c r="AV9" i="8"/>
  <c r="BA9" i="8"/>
  <c r="AU11" i="8"/>
  <c r="AU78" i="8" s="1"/>
  <c r="AW78" i="8"/>
  <c r="AY78" i="8"/>
  <c r="BA11" i="8"/>
  <c r="BH78" i="8"/>
  <c r="BC78" i="8"/>
  <c r="BJ78" i="8"/>
  <c r="BE78" i="8"/>
  <c r="BK9" i="8"/>
  <c r="BK76" i="8" s="1"/>
  <c r="BK78" i="8"/>
  <c r="BP77" i="8"/>
  <c r="BU9" i="8"/>
  <c r="BU76" i="8" s="1"/>
  <c r="BU78" i="8"/>
  <c r="AR144" i="8"/>
  <c r="AR61" i="8"/>
  <c r="AR64" i="8" s="1"/>
  <c r="AT144" i="8"/>
  <c r="AY80" i="8"/>
  <c r="AZ13" i="8"/>
  <c r="AZ61" i="8" s="1"/>
  <c r="BL80" i="8"/>
  <c r="BN80" i="8"/>
  <c r="BP13" i="8"/>
  <c r="BR80" i="8"/>
  <c r="BT80" i="8"/>
  <c r="BV80" i="8"/>
  <c r="BX80" i="8"/>
  <c r="AS15" i="8"/>
  <c r="AW16" i="8"/>
  <c r="AY82" i="8"/>
  <c r="BD82" i="8"/>
  <c r="BC82" i="8"/>
  <c r="BH82" i="8"/>
  <c r="BF16" i="8"/>
  <c r="K8" i="12" s="1"/>
  <c r="BP82" i="8"/>
  <c r="BU82" i="8"/>
  <c r="BG145" i="8"/>
  <c r="BG84" i="8"/>
  <c r="BK18" i="8"/>
  <c r="BK84" i="8" s="1"/>
  <c r="BM84" i="8"/>
  <c r="BO84" i="8"/>
  <c r="BQ84" i="8"/>
  <c r="BS84" i="8"/>
  <c r="BU18" i="8"/>
  <c r="BU84" i="8" s="1"/>
  <c r="BH85" i="8"/>
  <c r="BF20" i="8"/>
  <c r="BP23" i="8"/>
  <c r="BP88" i="8" s="1"/>
  <c r="BQ146" i="8"/>
  <c r="BQ88" i="8"/>
  <c r="BU23" i="8"/>
  <c r="BN64" i="8"/>
  <c r="G64" i="8"/>
  <c r="BU90" i="8"/>
  <c r="BZ98" i="8"/>
  <c r="L100" i="8"/>
  <c r="Q100" i="8"/>
  <c r="V100" i="8"/>
  <c r="AA100" i="8"/>
  <c r="AF100" i="8"/>
  <c r="AK100" i="8"/>
  <c r="AP100" i="8"/>
  <c r="AY100" i="8"/>
  <c r="AT100" i="8"/>
  <c r="BE100" i="8"/>
  <c r="AV102" i="8"/>
  <c r="BA102" i="8"/>
  <c r="H42" i="8"/>
  <c r="H114" i="8" s="1"/>
  <c r="L42" i="8"/>
  <c r="L114" i="8" s="1"/>
  <c r="V42" i="8"/>
  <c r="AF42" i="8"/>
  <c r="AP42" i="8"/>
  <c r="AW114" i="8"/>
  <c r="AR114" i="8"/>
  <c r="AY114" i="8"/>
  <c r="AT114" i="8"/>
  <c r="F61" i="8"/>
  <c r="F64" i="8" s="1"/>
  <c r="J61" i="8"/>
  <c r="N61" i="8"/>
  <c r="P61" i="8"/>
  <c r="T61" i="8"/>
  <c r="X61" i="8"/>
  <c r="Z61" i="8"/>
  <c r="AD61" i="8"/>
  <c r="AH61" i="8"/>
  <c r="AJ61" i="8"/>
  <c r="AN61" i="8"/>
  <c r="AT61" i="8"/>
  <c r="AX116" i="8"/>
  <c r="BD116" i="8"/>
  <c r="BT117" i="8"/>
  <c r="L117" i="8"/>
  <c r="L118" i="8"/>
  <c r="Q117" i="8"/>
  <c r="Q118" i="8"/>
  <c r="V117" i="8"/>
  <c r="V118" i="8"/>
  <c r="AA117" i="8"/>
  <c r="AA118" i="8"/>
  <c r="AF117" i="8"/>
  <c r="AF118" i="8"/>
  <c r="AK117" i="8"/>
  <c r="AK118" i="8"/>
  <c r="AP117" i="8"/>
  <c r="AU117" i="8"/>
  <c r="AZ117" i="8"/>
  <c r="BE118" i="8"/>
  <c r="AZ118" i="8"/>
  <c r="BQ117" i="8"/>
  <c r="BS117" i="8"/>
  <c r="BV117" i="8"/>
  <c r="AS118" i="8"/>
  <c r="AX118" i="8"/>
  <c r="BI118" i="8"/>
  <c r="BN118" i="8"/>
  <c r="BP62" i="8"/>
  <c r="AX64" i="8"/>
  <c r="BB64" i="8"/>
  <c r="BD64" i="8"/>
  <c r="BH64" i="8"/>
  <c r="BV64" i="8"/>
  <c r="BK85" i="8"/>
  <c r="BP85" i="8"/>
  <c r="BU85" i="8"/>
  <c r="BN88" i="8"/>
  <c r="BR88" i="8"/>
  <c r="BT88" i="8"/>
  <c r="BV88" i="8"/>
  <c r="BX23" i="8"/>
  <c r="BX88" i="8" s="1"/>
  <c r="BP89" i="8"/>
  <c r="BU89" i="8"/>
  <c r="CY32" i="8"/>
  <c r="CO98" i="8"/>
  <c r="H36" i="8"/>
  <c r="M36" i="8"/>
  <c r="R36" i="8"/>
  <c r="W36" i="8"/>
  <c r="AB36" i="8"/>
  <c r="AG36" i="8"/>
  <c r="AL36" i="8"/>
  <c r="AQ36" i="8"/>
  <c r="AU36" i="8"/>
  <c r="AU100" i="8" s="1"/>
  <c r="AW150" i="8"/>
  <c r="AW100" i="8"/>
  <c r="BB100" i="8"/>
  <c r="BA36" i="8"/>
  <c r="BK100" i="8"/>
  <c r="BU100" i="8"/>
  <c r="AU102" i="8"/>
  <c r="BE102" i="8"/>
  <c r="AZ102" i="8"/>
  <c r="BF102" i="8"/>
  <c r="BP102" i="8"/>
  <c r="K114" i="8"/>
  <c r="O114" i="8"/>
  <c r="Q42" i="8"/>
  <c r="S114" i="8"/>
  <c r="U114" i="8"/>
  <c r="W42" i="8"/>
  <c r="Y114" i="8"/>
  <c r="AA42" i="8"/>
  <c r="AA114" i="8" s="1"/>
  <c r="AC114" i="8"/>
  <c r="AE114" i="8"/>
  <c r="AG42" i="8"/>
  <c r="AI114" i="8"/>
  <c r="AK42" i="8"/>
  <c r="AM114" i="8"/>
  <c r="AO114" i="8"/>
  <c r="AQ42" i="8"/>
  <c r="AS114" i="8"/>
  <c r="AX114" i="8"/>
  <c r="AU42" i="8"/>
  <c r="AU114" i="8" s="1"/>
  <c r="BE114" i="8"/>
  <c r="BF114" i="8"/>
  <c r="BP114" i="8"/>
  <c r="I61" i="8"/>
  <c r="K61" i="8"/>
  <c r="O61" i="8"/>
  <c r="S61" i="8"/>
  <c r="U61" i="8"/>
  <c r="Y61" i="8"/>
  <c r="AC61" i="8"/>
  <c r="AE61" i="8"/>
  <c r="AI61" i="8"/>
  <c r="AM61" i="8"/>
  <c r="AO61" i="8"/>
  <c r="AW61" i="8"/>
  <c r="BB116" i="8" s="1"/>
  <c r="AY116" i="8"/>
  <c r="BC116" i="8"/>
  <c r="BL117" i="8"/>
  <c r="BN117" i="8"/>
  <c r="CE63" i="8"/>
  <c r="H63" i="8"/>
  <c r="M62" i="8"/>
  <c r="M117" i="8" s="1"/>
  <c r="M63" i="8"/>
  <c r="R62" i="8"/>
  <c r="R63" i="8"/>
  <c r="W62" i="8"/>
  <c r="W63" i="8"/>
  <c r="AB62" i="8"/>
  <c r="AB63" i="8"/>
  <c r="AG62" i="8"/>
  <c r="AG63" i="8"/>
  <c r="AL62" i="8"/>
  <c r="AL63" i="8"/>
  <c r="AQ62" i="8"/>
  <c r="AV62" i="8"/>
  <c r="AV63" i="8"/>
  <c r="BA62" i="8"/>
  <c r="BA63" i="8"/>
  <c r="BF118" i="8" s="1"/>
  <c r="BE117" i="8"/>
  <c r="BR117" i="8"/>
  <c r="AP118" i="8"/>
  <c r="AW118" i="8"/>
  <c r="AR118" i="8"/>
  <c r="BJ63" i="8"/>
  <c r="BU62" i="8"/>
  <c r="AS64" i="8"/>
  <c r="AY64" i="8"/>
  <c r="BC64" i="8"/>
  <c r="BC119" i="8" s="1"/>
  <c r="BE64" i="8"/>
  <c r="BG64" i="8"/>
  <c r="BI64" i="8"/>
  <c r="BI119" i="8" s="1"/>
  <c r="BM64" i="8"/>
  <c r="BM119" i="8" s="1"/>
  <c r="BO64" i="8"/>
  <c r="BQ64" i="8"/>
  <c r="BG144" i="8"/>
  <c r="BS142" i="8"/>
  <c r="AP143" i="8"/>
  <c r="AQ143" i="8" s="1"/>
  <c r="AQ123" i="8" s="1"/>
  <c r="AR123" i="8" s="1"/>
  <c r="BI145" i="8"/>
  <c r="BR146" i="8"/>
  <c r="BV146" i="8"/>
  <c r="BH146" i="8"/>
  <c r="BZ148" i="8"/>
  <c r="CJ129" i="8"/>
  <c r="CO127" i="8"/>
  <c r="CV132" i="8"/>
  <c r="DB132" i="8"/>
  <c r="DQ133" i="8"/>
  <c r="AN122" i="8"/>
  <c r="BD122" i="8"/>
  <c r="BJ142" i="8"/>
  <c r="BL122" i="8"/>
  <c r="BT122" i="8"/>
  <c r="BT142" i="8" s="1"/>
  <c r="BV142" i="8"/>
  <c r="BX122" i="8"/>
  <c r="AY123" i="8"/>
  <c r="BH124" i="8"/>
  <c r="BH145" i="8"/>
  <c r="BJ125" i="8"/>
  <c r="BS126" i="8"/>
  <c r="BU146" i="8"/>
  <c r="BW126" i="8"/>
  <c r="BD125" i="8"/>
  <c r="BI126" i="8"/>
  <c r="CE126" i="8"/>
  <c r="CA126" i="8" s="1"/>
  <c r="CB126" i="8" s="1"/>
  <c r="CC126" i="8" s="1"/>
  <c r="CD126" i="8" s="1"/>
  <c r="BS129" i="8"/>
  <c r="BX129" i="8"/>
  <c r="BZ149" i="8"/>
  <c r="AN130" i="8"/>
  <c r="AO131" i="8"/>
  <c r="AZ130" i="8"/>
  <c r="AZ150" i="8" s="1"/>
  <c r="AZ131" i="8"/>
  <c r="AZ151" i="8" s="1"/>
  <c r="BA151" i="8" s="1"/>
  <c r="BA131" i="8" s="1"/>
  <c r="BE130" i="8"/>
  <c r="CE128" i="8"/>
  <c r="CA128" i="8" s="1"/>
  <c r="CJ122" i="8"/>
  <c r="CU132" i="8"/>
  <c r="DJ133" i="8"/>
  <c r="CV134" i="8"/>
  <c r="CX134" i="8"/>
  <c r="DA135" i="8"/>
  <c r="DC135" i="8"/>
  <c r="CT133" i="8"/>
  <c r="CT135" i="8"/>
  <c r="CX132" i="8"/>
  <c r="DK133" i="8"/>
  <c r="DM133" i="8"/>
  <c r="CU134" i="8"/>
  <c r="CW134" i="8"/>
  <c r="CZ135" i="8"/>
  <c r="DB135" i="8"/>
  <c r="CO134" i="8"/>
  <c r="CO138" i="8"/>
  <c r="CY132" i="8"/>
  <c r="BF144" i="8"/>
  <c r="BF124" i="8" s="1"/>
  <c r="CF50" i="10"/>
  <c r="BY29" i="10"/>
  <c r="CF56" i="10"/>
  <c r="CE56" i="10" s="1"/>
  <c r="V49" i="10"/>
  <c r="AC50" i="10"/>
  <c r="AA49" i="10"/>
  <c r="X61" i="10"/>
  <c r="BK90" i="10"/>
  <c r="BI90" i="10"/>
  <c r="BS90" i="10"/>
  <c r="V38" i="10"/>
  <c r="AA38" i="10"/>
  <c r="BG38" i="10"/>
  <c r="N96" i="20" s="1"/>
  <c r="BQ38" i="10"/>
  <c r="P96" i="20" s="1"/>
  <c r="AC61" i="10"/>
  <c r="AR63" i="10"/>
  <c r="AW66" i="10"/>
  <c r="BQ67" i="10"/>
  <c r="CA86" i="10"/>
  <c r="AZ90" i="10"/>
  <c r="BA90" i="10" s="1"/>
  <c r="BJ90" i="10"/>
  <c r="BT90" i="10"/>
  <c r="I123" i="10"/>
  <c r="I125" i="10"/>
  <c r="I29" i="10"/>
  <c r="D51" i="19" s="1"/>
  <c r="BW29" i="10"/>
  <c r="BU29" i="10"/>
  <c r="BT29" i="10"/>
  <c r="BS29" i="10"/>
  <c r="BR29" i="10"/>
  <c r="BP29" i="10"/>
  <c r="BO29" i="10"/>
  <c r="BN29" i="10"/>
  <c r="BM29" i="10"/>
  <c r="BK29" i="10"/>
  <c r="BJ29" i="10"/>
  <c r="BI29" i="10"/>
  <c r="BH29" i="10"/>
  <c r="BF29" i="10"/>
  <c r="BE29" i="10"/>
  <c r="BD29" i="10"/>
  <c r="BC29" i="10"/>
  <c r="BA29" i="10"/>
  <c r="AZ29" i="10"/>
  <c r="AY29" i="10"/>
  <c r="AX29" i="10"/>
  <c r="AV29" i="10"/>
  <c r="AU29" i="10"/>
  <c r="AT29" i="10"/>
  <c r="AS29" i="10"/>
  <c r="AQ29" i="10"/>
  <c r="AP29" i="10"/>
  <c r="AO29" i="10"/>
  <c r="AN29" i="10"/>
  <c r="AL29" i="10"/>
  <c r="AK29" i="10"/>
  <c r="AJ29" i="10"/>
  <c r="AI29" i="10"/>
  <c r="AG29" i="10"/>
  <c r="AF29" i="10"/>
  <c r="AE29" i="10"/>
  <c r="AD29" i="10"/>
  <c r="AB29" i="10"/>
  <c r="AA29" i="10"/>
  <c r="Z29" i="10"/>
  <c r="Y29" i="10"/>
  <c r="W29" i="10"/>
  <c r="V29" i="10"/>
  <c r="U29" i="10"/>
  <c r="T29" i="10"/>
  <c r="R29" i="10"/>
  <c r="Q29" i="10"/>
  <c r="P29" i="10"/>
  <c r="O29" i="10"/>
  <c r="M29" i="10"/>
  <c r="L29" i="10"/>
  <c r="K29" i="10"/>
  <c r="BW26" i="10"/>
  <c r="BT26" i="10"/>
  <c r="BS26" i="10"/>
  <c r="BR26" i="10"/>
  <c r="BP26" i="10"/>
  <c r="BO26" i="10"/>
  <c r="BN26" i="10"/>
  <c r="BM26" i="10"/>
  <c r="BK26" i="10"/>
  <c r="BJ26" i="10"/>
  <c r="BE26" i="10"/>
  <c r="BD26" i="10"/>
  <c r="BC26" i="10"/>
  <c r="AZ26" i="10"/>
  <c r="AY26" i="10"/>
  <c r="AX26" i="10"/>
  <c r="H26" i="10"/>
  <c r="G26" i="10"/>
  <c r="F26" i="10"/>
  <c r="E26" i="10"/>
  <c r="AV25" i="10"/>
  <c r="AU25" i="10"/>
  <c r="AU26" i="10" s="1"/>
  <c r="AT25" i="10"/>
  <c r="AS25" i="10"/>
  <c r="AQ25" i="10"/>
  <c r="AP25" i="10"/>
  <c r="AO25" i="10"/>
  <c r="AN25" i="10"/>
  <c r="AN26" i="10" s="1"/>
  <c r="AL25" i="10"/>
  <c r="AK25" i="10"/>
  <c r="AJ25" i="10"/>
  <c r="AI25" i="10"/>
  <c r="AG25" i="10"/>
  <c r="AF25" i="10"/>
  <c r="AE25" i="10"/>
  <c r="AD25" i="10"/>
  <c r="AB25" i="10"/>
  <c r="AA25" i="10"/>
  <c r="Z25" i="10"/>
  <c r="Y25" i="10"/>
  <c r="W25" i="10"/>
  <c r="V25" i="10"/>
  <c r="U25" i="10"/>
  <c r="T25" i="10"/>
  <c r="R25" i="10"/>
  <c r="Q25" i="10"/>
  <c r="Q26" i="10" s="1"/>
  <c r="P25" i="10"/>
  <c r="P26" i="10" s="1"/>
  <c r="O25" i="10"/>
  <c r="N25" i="10"/>
  <c r="I25" i="10"/>
  <c r="EN24" i="10"/>
  <c r="EI24" i="10"/>
  <c r="ED24" i="10"/>
  <c r="DY24" i="10"/>
  <c r="DT24" i="10"/>
  <c r="DO24" i="10"/>
  <c r="DJ24" i="10"/>
  <c r="DE24" i="10"/>
  <c r="CZ24" i="10"/>
  <c r="CU24" i="10"/>
  <c r="CP24" i="10"/>
  <c r="CK24" i="10"/>
  <c r="BU24" i="10"/>
  <c r="BU26" i="10" s="1"/>
  <c r="BQ24" i="10"/>
  <c r="BQ23" i="10"/>
  <c r="BQ22" i="10"/>
  <c r="BL23" i="10"/>
  <c r="BL22" i="10"/>
  <c r="BI24" i="10"/>
  <c r="BI26" i="10" s="1"/>
  <c r="BH24" i="10"/>
  <c r="BH26" i="10" s="1"/>
  <c r="BB25" i="10"/>
  <c r="BB24" i="10" s="1"/>
  <c r="BA24" i="10" s="1"/>
  <c r="AW24" i="10"/>
  <c r="AT24" i="10"/>
  <c r="AT26" i="10" s="1"/>
  <c r="AS24" i="10"/>
  <c r="AR24" i="10"/>
  <c r="AQ24" i="10" s="1"/>
  <c r="AL24" i="10"/>
  <c r="AI24" i="10"/>
  <c r="AI23" i="10"/>
  <c r="AG24" i="10"/>
  <c r="AG22" i="10"/>
  <c r="AC24" i="10"/>
  <c r="AA24" i="10"/>
  <c r="Z24" i="10"/>
  <c r="Y24" i="10"/>
  <c r="Y26" i="10" s="1"/>
  <c r="X24" i="10"/>
  <c r="V24" i="10"/>
  <c r="U24" i="10"/>
  <c r="T24" i="10"/>
  <c r="T26" i="10" s="1"/>
  <c r="D24" i="10"/>
  <c r="D26" i="10" s="1"/>
  <c r="BV23" i="10"/>
  <c r="BV22" i="10"/>
  <c r="BA23" i="10"/>
  <c r="BA22" i="10"/>
  <c r="AV23" i="10"/>
  <c r="AV22" i="10"/>
  <c r="AP23" i="10"/>
  <c r="AO23" i="10"/>
  <c r="AK23" i="10"/>
  <c r="AJ23" i="10"/>
  <c r="AF23" i="10"/>
  <c r="AE23" i="10"/>
  <c r="AD23" i="10"/>
  <c r="AC23" i="10"/>
  <c r="H94" i="19" s="1"/>
  <c r="AA23" i="10"/>
  <c r="Z23" i="10"/>
  <c r="Y23" i="10"/>
  <c r="X23" i="10"/>
  <c r="V23" i="10"/>
  <c r="U23" i="10"/>
  <c r="T23" i="10"/>
  <c r="S23" i="10"/>
  <c r="R23" i="10"/>
  <c r="Q23" i="10"/>
  <c r="J23" i="10"/>
  <c r="J26" i="10" s="1"/>
  <c r="I23" i="10"/>
  <c r="BG22" i="10"/>
  <c r="AQ22" i="10"/>
  <c r="AM22" i="10"/>
  <c r="AB22" i="10"/>
  <c r="W22" i="10"/>
  <c r="S22" i="10"/>
  <c r="O23" i="10"/>
  <c r="N23" i="10"/>
  <c r="M23" i="10" s="1"/>
  <c r="L23" i="10"/>
  <c r="O22" i="10"/>
  <c r="N22" i="10"/>
  <c r="L22" i="10"/>
  <c r="K22" i="10"/>
  <c r="K26" i="10" s="1"/>
  <c r="I22" i="10"/>
  <c r="N13" i="10"/>
  <c r="N12" i="10"/>
  <c r="I13" i="10"/>
  <c r="I12" i="10"/>
  <c r="BW13" i="10"/>
  <c r="BU13" i="10"/>
  <c r="BT13" i="10"/>
  <c r="BS13" i="10"/>
  <c r="BR13" i="10"/>
  <c r="BP13" i="10"/>
  <c r="BO13" i="10"/>
  <c r="BN13" i="10"/>
  <c r="BM13" i="10"/>
  <c r="BK13" i="10"/>
  <c r="BJ13" i="10"/>
  <c r="BI13" i="10"/>
  <c r="BH13" i="10"/>
  <c r="BF13" i="10"/>
  <c r="BE13" i="10"/>
  <c r="BD13" i="10"/>
  <c r="BD18" i="10" s="1"/>
  <c r="BC13" i="10"/>
  <c r="BA13" i="10"/>
  <c r="AZ13" i="10"/>
  <c r="AZ18" i="10" s="1"/>
  <c r="AY13" i="10"/>
  <c r="AX13" i="10"/>
  <c r="AX17" i="10" s="1"/>
  <c r="AV13" i="10"/>
  <c r="AU13" i="10"/>
  <c r="AT13" i="10"/>
  <c r="AT15" i="10" s="1"/>
  <c r="AS13" i="10"/>
  <c r="AQ13" i="10"/>
  <c r="AP13" i="10"/>
  <c r="AP17" i="10" s="1"/>
  <c r="AO13" i="10"/>
  <c r="AN13" i="10"/>
  <c r="AN17" i="10" s="1"/>
  <c r="AL13" i="10"/>
  <c r="AK13" i="10"/>
  <c r="AJ13" i="10"/>
  <c r="AI13" i="10"/>
  <c r="AG13" i="10"/>
  <c r="AF13" i="10"/>
  <c r="AE13" i="10"/>
  <c r="AD13" i="10"/>
  <c r="AB13" i="10"/>
  <c r="AA13" i="10"/>
  <c r="Z13" i="10"/>
  <c r="Y13" i="10"/>
  <c r="W13" i="10"/>
  <c r="V13" i="10"/>
  <c r="U13" i="10"/>
  <c r="T13" i="10"/>
  <c r="S13" i="10"/>
  <c r="BW12" i="10"/>
  <c r="BU12" i="10"/>
  <c r="BT12" i="10"/>
  <c r="BS12" i="10"/>
  <c r="BR12" i="10"/>
  <c r="BP12" i="10"/>
  <c r="BO12" i="10"/>
  <c r="BN12" i="10"/>
  <c r="BM12" i="10"/>
  <c r="BK12" i="10"/>
  <c r="BJ12" i="10"/>
  <c r="BI12" i="10"/>
  <c r="BH12" i="10"/>
  <c r="BF12" i="10"/>
  <c r="BE12" i="10"/>
  <c r="BD12" i="10"/>
  <c r="BC12" i="10"/>
  <c r="BA12" i="10"/>
  <c r="AZ12" i="10"/>
  <c r="AY12" i="10"/>
  <c r="AX12" i="10"/>
  <c r="AV12" i="10"/>
  <c r="AU12" i="10"/>
  <c r="AT12" i="10"/>
  <c r="AS12" i="10"/>
  <c r="AQ12" i="10"/>
  <c r="AP12" i="10"/>
  <c r="AO12" i="10"/>
  <c r="AN12" i="10"/>
  <c r="AL12" i="10"/>
  <c r="AK12" i="10"/>
  <c r="AJ12" i="10"/>
  <c r="AI12" i="10"/>
  <c r="AG12" i="10"/>
  <c r="AF12" i="10"/>
  <c r="AE12" i="10"/>
  <c r="AD12" i="10"/>
  <c r="AB12" i="10"/>
  <c r="AA12" i="10"/>
  <c r="Z12" i="10"/>
  <c r="Y12" i="10"/>
  <c r="W12" i="10"/>
  <c r="V12" i="10"/>
  <c r="U12" i="10"/>
  <c r="T12" i="10"/>
  <c r="R12" i="10"/>
  <c r="Q12" i="10"/>
  <c r="P12" i="10"/>
  <c r="O12" i="10"/>
  <c r="BW9" i="10"/>
  <c r="BU9" i="10"/>
  <c r="BT159" i="8" s="1"/>
  <c r="BT9" i="10"/>
  <c r="BS9" i="10"/>
  <c r="BR9" i="10"/>
  <c r="BQ159" i="8" s="1"/>
  <c r="BP9" i="10"/>
  <c r="BO9" i="10"/>
  <c r="BN159" i="8" s="1"/>
  <c r="BN9" i="10"/>
  <c r="BM159" i="8" s="1"/>
  <c r="BM9" i="10"/>
  <c r="BL159" i="8" s="1"/>
  <c r="BK9" i="10"/>
  <c r="BJ159" i="8" s="1"/>
  <c r="BJ9" i="10"/>
  <c r="BI159" i="8" s="1"/>
  <c r="BI9" i="10"/>
  <c r="BH159" i="8" s="1"/>
  <c r="BH9" i="10"/>
  <c r="BG159" i="8" s="1"/>
  <c r="BF9" i="10"/>
  <c r="BE159" i="8" s="1"/>
  <c r="BE139" i="8" s="1"/>
  <c r="BE9" i="10"/>
  <c r="BD159" i="8" s="1"/>
  <c r="BD139" i="8" s="1"/>
  <c r="BD9" i="10"/>
  <c r="BC159" i="8" s="1"/>
  <c r="BC139" i="8" s="1"/>
  <c r="BC9" i="10"/>
  <c r="BB159" i="8" s="1"/>
  <c r="BB139" i="8" s="1"/>
  <c r="BA9" i="10"/>
  <c r="AZ159" i="8" s="1"/>
  <c r="AZ9" i="10"/>
  <c r="AY159" i="8" s="1"/>
  <c r="AY139" i="8" s="1"/>
  <c r="AY9" i="10"/>
  <c r="AX159" i="8" s="1"/>
  <c r="AX158" i="8" s="1"/>
  <c r="AX138" i="8" s="1"/>
  <c r="AX9" i="10"/>
  <c r="AW159" i="8" s="1"/>
  <c r="AW158" i="8" s="1"/>
  <c r="AV9" i="10"/>
  <c r="AU159" i="8" s="1"/>
  <c r="AU9" i="10"/>
  <c r="AT159" i="8" s="1"/>
  <c r="AT9" i="10"/>
  <c r="AS159" i="8" s="1"/>
  <c r="AS9" i="10"/>
  <c r="AR159" i="8" s="1"/>
  <c r="AQ9" i="10"/>
  <c r="AP159" i="8" s="1"/>
  <c r="AP9" i="10"/>
  <c r="AO159" i="8" s="1"/>
  <c r="AO9" i="10"/>
  <c r="AN159" i="8" s="1"/>
  <c r="AN9" i="10"/>
  <c r="AM159" i="8" s="1"/>
  <c r="AM158" i="8" s="1"/>
  <c r="AL9" i="10"/>
  <c r="AK159" i="8" s="1"/>
  <c r="AK9" i="10"/>
  <c r="AJ159" i="8" s="1"/>
  <c r="AJ9" i="10"/>
  <c r="AI159" i="8" s="1"/>
  <c r="AI9" i="10"/>
  <c r="AH159" i="8" s="1"/>
  <c r="AG9" i="10"/>
  <c r="AF9" i="10"/>
  <c r="AE9" i="10"/>
  <c r="AD9" i="10"/>
  <c r="Z9" i="10"/>
  <c r="Y9" i="10"/>
  <c r="U9" i="10"/>
  <c r="T9" i="10"/>
  <c r="R9" i="10"/>
  <c r="Q9" i="10"/>
  <c r="N9" i="10"/>
  <c r="E49" i="19" s="1"/>
  <c r="E58" i="19" s="1"/>
  <c r="I9" i="10"/>
  <c r="D49" i="19" s="1"/>
  <c r="D61" i="19" s="1"/>
  <c r="CE149" i="8" l="1"/>
  <c r="N9" i="62"/>
  <c r="O9" i="62" s="1"/>
  <c r="O4" i="62"/>
  <c r="P5" i="62"/>
  <c r="R138" i="1"/>
  <c r="P138" i="1"/>
  <c r="Q138" i="1"/>
  <c r="K91" i="21"/>
  <c r="AZ122" i="8"/>
  <c r="AZ142" i="8" s="1"/>
  <c r="BA142" i="8" s="1"/>
  <c r="BA122" i="8" s="1"/>
  <c r="CY34" i="8"/>
  <c r="CK46" i="8"/>
  <c r="BP80" i="8"/>
  <c r="BE131" i="8"/>
  <c r="BO116" i="8"/>
  <c r="CM46" i="8"/>
  <c r="CB128" i="8"/>
  <c r="CA148" i="8"/>
  <c r="CC129" i="8"/>
  <c r="CB149" i="8"/>
  <c r="BV159" i="8"/>
  <c r="P66" i="20"/>
  <c r="AD26" i="10"/>
  <c r="C68" i="19"/>
  <c r="L153" i="19"/>
  <c r="L152" i="19" s="1"/>
  <c r="AC49" i="10"/>
  <c r="E50" i="19"/>
  <c r="E70" i="19" s="1"/>
  <c r="AA9" i="10"/>
  <c r="CK50" i="10"/>
  <c r="CP50" i="10" s="1"/>
  <c r="CU50" i="10" s="1"/>
  <c r="CZ50" i="10" s="1"/>
  <c r="DE50" i="10" s="1"/>
  <c r="DJ50" i="10" s="1"/>
  <c r="DO50" i="10" s="1"/>
  <c r="DT50" i="10" s="1"/>
  <c r="DY50" i="10" s="1"/>
  <c r="ED50" i="10" s="1"/>
  <c r="EI50" i="10" s="1"/>
  <c r="EN50" i="10" s="1"/>
  <c r="CE50" i="10"/>
  <c r="CD48" i="8"/>
  <c r="CD154" i="8" s="1"/>
  <c r="CT152" i="8"/>
  <c r="CS46" i="8"/>
  <c r="CX46" i="8" s="1"/>
  <c r="CR46" i="8"/>
  <c r="CR152" i="8" s="1"/>
  <c r="CU46" i="8"/>
  <c r="CQ46" i="8"/>
  <c r="CQ152" i="8" s="1"/>
  <c r="CT104" i="8"/>
  <c r="CN46" i="8"/>
  <c r="CL46" i="8"/>
  <c r="R100" i="8"/>
  <c r="BA76" i="8"/>
  <c r="BS119" i="8"/>
  <c r="AQ117" i="8"/>
  <c r="AG117" i="8"/>
  <c r="W117" i="8"/>
  <c r="CO96" i="8"/>
  <c r="CE98" i="8"/>
  <c r="CE96" i="8"/>
  <c r="CT96" i="8"/>
  <c r="CJ98" i="8"/>
  <c r="S76" i="20"/>
  <c r="S80" i="20" s="1"/>
  <c r="S74" i="20"/>
  <c r="S71" i="20"/>
  <c r="S82" i="20"/>
  <c r="AB23" i="10"/>
  <c r="AQ23" i="10"/>
  <c r="AQ26" i="10" s="1"/>
  <c r="AE26" i="10"/>
  <c r="AO26" i="10"/>
  <c r="BQ119" i="8"/>
  <c r="BG119" i="8"/>
  <c r="AV117" i="8"/>
  <c r="Q114" i="8"/>
  <c r="AB100" i="8"/>
  <c r="O97" i="19"/>
  <c r="N45" i="19"/>
  <c r="H31" i="15"/>
  <c r="V23" i="20"/>
  <c r="AV73" i="8"/>
  <c r="F4" i="17"/>
  <c r="J252" i="15"/>
  <c r="D10" i="17"/>
  <c r="E61" i="19"/>
  <c r="D57" i="19"/>
  <c r="T37" i="1"/>
  <c r="S36" i="1"/>
  <c r="S39" i="1" s="1"/>
  <c r="Y25" i="19"/>
  <c r="X23" i="20"/>
  <c r="AL22" i="10"/>
  <c r="J94" i="19"/>
  <c r="W23" i="10"/>
  <c r="G94" i="19"/>
  <c r="BA117" i="8"/>
  <c r="AZ114" i="8"/>
  <c r="M42" i="8"/>
  <c r="M114" i="8" s="1"/>
  <c r="L61" i="8"/>
  <c r="AP74" i="8"/>
  <c r="E57" i="19"/>
  <c r="D58" i="19"/>
  <c r="D45" i="19"/>
  <c r="M10" i="15"/>
  <c r="F53" i="4"/>
  <c r="F55" i="4" s="1"/>
  <c r="N12" i="62"/>
  <c r="N13" i="62" s="1"/>
  <c r="CO49" i="8" s="1"/>
  <c r="W150" i="1"/>
  <c r="V149" i="1"/>
  <c r="V152" i="1" s="1"/>
  <c r="U23" i="20"/>
  <c r="S91" i="20"/>
  <c r="D50" i="19"/>
  <c r="F94" i="19"/>
  <c r="AL23" i="10"/>
  <c r="AL26" i="10" s="1"/>
  <c r="BV24" i="10"/>
  <c r="BV26" i="10" s="1"/>
  <c r="AL117" i="8"/>
  <c r="AB117" i="8"/>
  <c r="R117" i="8"/>
  <c r="BK82" i="8"/>
  <c r="AV80" i="8"/>
  <c r="I6" i="12"/>
  <c r="BK74" i="8"/>
  <c r="AV7" i="8"/>
  <c r="N97" i="19"/>
  <c r="J191" i="1"/>
  <c r="J24" i="4"/>
  <c r="E29" i="4"/>
  <c r="E31" i="4" s="1"/>
  <c r="L177" i="19"/>
  <c r="L75" i="12"/>
  <c r="U22" i="19"/>
  <c r="T26" i="20"/>
  <c r="X49" i="10"/>
  <c r="I18" i="13"/>
  <c r="P7" i="17"/>
  <c r="Q7" i="17" s="1"/>
  <c r="R7" i="17" s="1"/>
  <c r="S7" i="17" s="1"/>
  <c r="T7" i="17" s="1"/>
  <c r="R137" i="1"/>
  <c r="W73" i="15"/>
  <c r="W71" i="15"/>
  <c r="CJ96" i="8"/>
  <c r="CE48" i="8"/>
  <c r="BS159" i="8"/>
  <c r="BS139" i="8" s="1"/>
  <c r="V207" i="1"/>
  <c r="U211" i="15"/>
  <c r="AJ26" i="10"/>
  <c r="U26" i="10"/>
  <c r="Z26" i="10"/>
  <c r="AC38" i="10"/>
  <c r="H96" i="20" s="1"/>
  <c r="X50" i="10"/>
  <c r="X38" i="10" s="1"/>
  <c r="G96" i="20" s="1"/>
  <c r="S152" i="15"/>
  <c r="T151" i="15" s="1"/>
  <c r="T152" i="15" s="1"/>
  <c r="U151" i="15" s="1"/>
  <c r="U152" i="15" s="1"/>
  <c r="V151" i="15" s="1"/>
  <c r="V152" i="15" s="1"/>
  <c r="W151" i="15" s="1"/>
  <c r="W152" i="15" s="1"/>
  <c r="X151" i="15" s="1"/>
  <c r="X152" i="15" s="1"/>
  <c r="Y151" i="15" s="1"/>
  <c r="Y152" i="15" s="1"/>
  <c r="Z151" i="15" s="1"/>
  <c r="Z152" i="15" s="1"/>
  <c r="AA151" i="15" s="1"/>
  <c r="AA152" i="15" s="1"/>
  <c r="AB151" i="15" s="1"/>
  <c r="AB152" i="15" s="1"/>
  <c r="AC151" i="15" s="1"/>
  <c r="AC152" i="15" s="1"/>
  <c r="AD151" i="15" s="1"/>
  <c r="AD152" i="15" s="1"/>
  <c r="AE151" i="15" s="1"/>
  <c r="AE152" i="15" s="1"/>
  <c r="CA87" i="10"/>
  <c r="AT17" i="10"/>
  <c r="BY38" i="10"/>
  <c r="AZ16" i="10"/>
  <c r="AZ19" i="10"/>
  <c r="V9" i="10"/>
  <c r="AZ14" i="10"/>
  <c r="L26" i="10"/>
  <c r="W38" i="10"/>
  <c r="AX15" i="10"/>
  <c r="BD16" i="10"/>
  <c r="R22" i="10"/>
  <c r="R26" i="10" s="1"/>
  <c r="AK26" i="10"/>
  <c r="V26" i="10"/>
  <c r="AA26" i="10"/>
  <c r="N26" i="10"/>
  <c r="AN15" i="10"/>
  <c r="AB24" i="10"/>
  <c r="O26" i="10"/>
  <c r="X25" i="10"/>
  <c r="X26" i="10" s="1"/>
  <c r="AC25" i="10"/>
  <c r="AC26" i="10" s="1"/>
  <c r="AH25" i="10"/>
  <c r="AH26" i="10" s="1"/>
  <c r="AM25" i="10"/>
  <c r="AM26" i="10" s="1"/>
  <c r="AS26" i="10"/>
  <c r="AX139" i="8"/>
  <c r="M22" i="10"/>
  <c r="E94" i="19"/>
  <c r="BK159" i="8"/>
  <c r="BR159" i="8"/>
  <c r="BR139" i="8" s="1"/>
  <c r="AP15" i="10"/>
  <c r="BD14" i="10"/>
  <c r="AF26" i="10"/>
  <c r="AP26" i="10"/>
  <c r="AV24" i="10"/>
  <c r="AV26" i="10" s="1"/>
  <c r="D94" i="19"/>
  <c r="BA26" i="10"/>
  <c r="BQ26" i="10"/>
  <c r="I26" i="10"/>
  <c r="BB26" i="10"/>
  <c r="F14" i="64"/>
  <c r="E13" i="64"/>
  <c r="E18" i="64" s="1"/>
  <c r="F7" i="64"/>
  <c r="E15" i="64"/>
  <c r="E19" i="64" s="1"/>
  <c r="E9" i="64"/>
  <c r="E17" i="64" s="1"/>
  <c r="I42" i="64"/>
  <c r="J3" i="64"/>
  <c r="CY104" i="8"/>
  <c r="I16" i="64"/>
  <c r="J11" i="64"/>
  <c r="H33" i="64"/>
  <c r="H34" i="64"/>
  <c r="N10" i="64"/>
  <c r="K43" i="64"/>
  <c r="K15" i="64"/>
  <c r="L7" i="64"/>
  <c r="DD46" i="8"/>
  <c r="DD104" i="8" s="1"/>
  <c r="J44" i="64"/>
  <c r="H13" i="61"/>
  <c r="F9" i="61"/>
  <c r="F12" i="61" s="1"/>
  <c r="G7" i="61"/>
  <c r="E14" i="61"/>
  <c r="E15" i="61" s="1"/>
  <c r="J19" i="61"/>
  <c r="H11" i="61"/>
  <c r="M12" i="63"/>
  <c r="M13" i="63" s="1"/>
  <c r="CJ50" i="8" s="1"/>
  <c r="N9" i="63"/>
  <c r="N4" i="63"/>
  <c r="N7" i="63"/>
  <c r="N8" i="63" s="1"/>
  <c r="O5" i="63"/>
  <c r="O12" i="62"/>
  <c r="O13" i="62" s="1"/>
  <c r="CT49" i="8" s="1"/>
  <c r="P9" i="62"/>
  <c r="P7" i="62"/>
  <c r="P8" i="62" s="1"/>
  <c r="Q5" i="62"/>
  <c r="P4" i="62"/>
  <c r="F19" i="38"/>
  <c r="F18" i="38"/>
  <c r="F17" i="38"/>
  <c r="F16" i="38"/>
  <c r="I7" i="38"/>
  <c r="H9" i="38"/>
  <c r="G19" i="38"/>
  <c r="G27" i="38" s="1"/>
  <c r="G35" i="38" s="1"/>
  <c r="G36" i="38" s="1"/>
  <c r="CE29" i="8" s="1"/>
  <c r="G18" i="38"/>
  <c r="G17" i="38"/>
  <c r="G16" i="38"/>
  <c r="N86" i="12"/>
  <c r="M75" i="12"/>
  <c r="N74" i="12"/>
  <c r="L80" i="12"/>
  <c r="K81" i="12"/>
  <c r="K60" i="12"/>
  <c r="O55" i="12"/>
  <c r="P54" i="12"/>
  <c r="L50" i="12"/>
  <c r="J44" i="12"/>
  <c r="I36" i="12"/>
  <c r="I39" i="12" s="1"/>
  <c r="I42" i="12" s="1"/>
  <c r="J35" i="12"/>
  <c r="K38" i="12"/>
  <c r="H23" i="12"/>
  <c r="I20" i="12"/>
  <c r="P107" i="12"/>
  <c r="M68" i="12"/>
  <c r="K47" i="12"/>
  <c r="L41" i="12"/>
  <c r="K31" i="12"/>
  <c r="L30" i="12"/>
  <c r="L55" i="12"/>
  <c r="I25" i="12"/>
  <c r="H26" i="12"/>
  <c r="H10" i="12" s="1"/>
  <c r="H11" i="12" s="1"/>
  <c r="Q21" i="12"/>
  <c r="N92" i="13"/>
  <c r="J62" i="13"/>
  <c r="F6" i="13"/>
  <c r="D17" i="13"/>
  <c r="G9" i="13"/>
  <c r="G7" i="13"/>
  <c r="G5" i="13"/>
  <c r="M88" i="13"/>
  <c r="L82" i="13"/>
  <c r="L80" i="13"/>
  <c r="F8" i="13"/>
  <c r="L83" i="13"/>
  <c r="H71" i="13"/>
  <c r="I63" i="13"/>
  <c r="I61" i="13" s="1"/>
  <c r="H27" i="13"/>
  <c r="I66" i="13"/>
  <c r="J27" i="13"/>
  <c r="I68" i="13"/>
  <c r="J64" i="13"/>
  <c r="L54" i="4"/>
  <c r="J35" i="4"/>
  <c r="I37" i="4"/>
  <c r="P24" i="4"/>
  <c r="J18" i="4"/>
  <c r="J59" i="4"/>
  <c r="K30" i="4"/>
  <c r="S18" i="4"/>
  <c r="G38" i="4"/>
  <c r="G53" i="4" s="1"/>
  <c r="G55" i="4" s="1"/>
  <c r="H36" i="4"/>
  <c r="Q13" i="4"/>
  <c r="J13" i="4"/>
  <c r="G7" i="4"/>
  <c r="G8" i="4"/>
  <c r="H4" i="4"/>
  <c r="F29" i="4"/>
  <c r="F31" i="4" s="1"/>
  <c r="M221" i="15"/>
  <c r="N197" i="15"/>
  <c r="Y184" i="15"/>
  <c r="W159" i="15"/>
  <c r="W157" i="15"/>
  <c r="X158" i="15"/>
  <c r="I142" i="15"/>
  <c r="W123" i="15"/>
  <c r="V124" i="15"/>
  <c r="R117" i="15"/>
  <c r="R102" i="15"/>
  <c r="U90" i="15"/>
  <c r="T91" i="15"/>
  <c r="O195" i="15"/>
  <c r="P80" i="15"/>
  <c r="O65" i="15"/>
  <c r="M138" i="15"/>
  <c r="P48" i="15"/>
  <c r="Q47" i="15"/>
  <c r="P46" i="15"/>
  <c r="U38" i="15"/>
  <c r="U37" i="15"/>
  <c r="T36" i="15"/>
  <c r="I20" i="15"/>
  <c r="H22" i="15"/>
  <c r="P9" i="15"/>
  <c r="P49" i="15"/>
  <c r="O107" i="15"/>
  <c r="O95" i="15"/>
  <c r="O94" i="15"/>
  <c r="O93" i="15"/>
  <c r="O88" i="15"/>
  <c r="S107" i="15"/>
  <c r="S95" i="15"/>
  <c r="S94" i="15"/>
  <c r="S93" i="15"/>
  <c r="R107" i="15"/>
  <c r="R95" i="15"/>
  <c r="R94" i="15"/>
  <c r="R93" i="15"/>
  <c r="R128" i="15"/>
  <c r="R127" i="15"/>
  <c r="R126" i="15"/>
  <c r="R121" i="15"/>
  <c r="V125" i="15"/>
  <c r="O128" i="15"/>
  <c r="O127" i="15"/>
  <c r="O126" i="15"/>
  <c r="O121" i="15"/>
  <c r="S128" i="15"/>
  <c r="S127" i="15"/>
  <c r="S126" i="15"/>
  <c r="I31" i="15"/>
  <c r="Q11" i="15"/>
  <c r="F17" i="15"/>
  <c r="L10" i="15"/>
  <c r="L138" i="15"/>
  <c r="U221" i="15"/>
  <c r="V197" i="15"/>
  <c r="T182" i="15"/>
  <c r="S185" i="15"/>
  <c r="W154" i="15"/>
  <c r="V153" i="15"/>
  <c r="V155" i="15"/>
  <c r="G145" i="15"/>
  <c r="H144" i="15"/>
  <c r="I143" i="15"/>
  <c r="Q84" i="15"/>
  <c r="Q88" i="15" s="1"/>
  <c r="Y72" i="15"/>
  <c r="X73" i="15"/>
  <c r="X71" i="15"/>
  <c r="Q55" i="15"/>
  <c r="K58" i="15"/>
  <c r="J39" i="15"/>
  <c r="Q38" i="15"/>
  <c r="P36" i="15"/>
  <c r="N28" i="15"/>
  <c r="L21" i="15"/>
  <c r="G17" i="15"/>
  <c r="H16" i="15"/>
  <c r="E62" i="15"/>
  <c r="Q58" i="15"/>
  <c r="Q107" i="15"/>
  <c r="Q95" i="15"/>
  <c r="Q94" i="15"/>
  <c r="Q93" i="15"/>
  <c r="X74" i="15"/>
  <c r="P107" i="15"/>
  <c r="P95" i="15"/>
  <c r="P94" i="15"/>
  <c r="P93" i="15"/>
  <c r="P88" i="15"/>
  <c r="T92" i="15"/>
  <c r="P128" i="15"/>
  <c r="P127" i="15"/>
  <c r="P126" i="15"/>
  <c r="P121" i="15"/>
  <c r="T128" i="15"/>
  <c r="T127" i="15"/>
  <c r="T126" i="15"/>
  <c r="Q128" i="15"/>
  <c r="Q127" i="15"/>
  <c r="Q126" i="15"/>
  <c r="Q121" i="15"/>
  <c r="U128" i="15"/>
  <c r="U127" i="15"/>
  <c r="U126" i="15"/>
  <c r="W160" i="15"/>
  <c r="K32" i="15"/>
  <c r="J31" i="15"/>
  <c r="E25" i="15"/>
  <c r="E43" i="15" s="1"/>
  <c r="N13" i="15"/>
  <c r="O8" i="15" s="1"/>
  <c r="K138" i="15"/>
  <c r="K10" i="15"/>
  <c r="J8" i="15"/>
  <c r="M193" i="1"/>
  <c r="U168" i="1"/>
  <c r="I139" i="1"/>
  <c r="R98" i="1"/>
  <c r="M161" i="1"/>
  <c r="M162" i="1"/>
  <c r="M160" i="1"/>
  <c r="V193" i="1"/>
  <c r="S178" i="1"/>
  <c r="S181" i="1" s="1"/>
  <c r="T179" i="1"/>
  <c r="R166" i="1"/>
  <c r="Q169" i="1"/>
  <c r="R80" i="1"/>
  <c r="R84" i="1" s="1"/>
  <c r="P70" i="1"/>
  <c r="U57" i="1"/>
  <c r="U56" i="1"/>
  <c r="U55" i="1"/>
  <c r="H31" i="1"/>
  <c r="I32" i="1"/>
  <c r="Q21" i="1"/>
  <c r="G17" i="1"/>
  <c r="G25" i="1" s="1"/>
  <c r="G34" i="1" s="1"/>
  <c r="H16" i="1"/>
  <c r="Q11" i="1"/>
  <c r="O191" i="1"/>
  <c r="P76" i="1"/>
  <c r="R70" i="1"/>
  <c r="O134" i="1"/>
  <c r="O12" i="1"/>
  <c r="O10" i="1" s="1"/>
  <c r="N162" i="1"/>
  <c r="N160" i="1"/>
  <c r="N161" i="1"/>
  <c r="L162" i="1"/>
  <c r="L160" i="1"/>
  <c r="L161" i="1"/>
  <c r="R103" i="1"/>
  <c r="R91" i="1"/>
  <c r="R90" i="1"/>
  <c r="R89" i="1"/>
  <c r="V103" i="1"/>
  <c r="V91" i="1"/>
  <c r="V90" i="1"/>
  <c r="V89" i="1"/>
  <c r="Z103" i="1"/>
  <c r="Z91" i="1"/>
  <c r="Z90" i="1"/>
  <c r="Z89" i="1"/>
  <c r="AD103" i="1"/>
  <c r="AD91" i="1"/>
  <c r="AD90" i="1"/>
  <c r="AD89" i="1"/>
  <c r="T124" i="1"/>
  <c r="T122" i="1"/>
  <c r="T123" i="1"/>
  <c r="AB124" i="1"/>
  <c r="AB122" i="1"/>
  <c r="AB123" i="1"/>
  <c r="O70" i="1"/>
  <c r="S70" i="1"/>
  <c r="Q103" i="1"/>
  <c r="Q91" i="1"/>
  <c r="Q90" i="1"/>
  <c r="Q89" i="1"/>
  <c r="Q84" i="1"/>
  <c r="U103" i="1"/>
  <c r="U91" i="1"/>
  <c r="U90" i="1"/>
  <c r="U89" i="1"/>
  <c r="Y103" i="1"/>
  <c r="Y91" i="1"/>
  <c r="Y90" i="1"/>
  <c r="Y89" i="1"/>
  <c r="AC103" i="1"/>
  <c r="AC91" i="1"/>
  <c r="AC90" i="1"/>
  <c r="AC89" i="1"/>
  <c r="R123" i="1"/>
  <c r="R124" i="1"/>
  <c r="R122" i="1"/>
  <c r="Z123" i="1"/>
  <c r="Z124" i="1"/>
  <c r="Z122" i="1"/>
  <c r="O124" i="1"/>
  <c r="O123" i="1"/>
  <c r="O122" i="1"/>
  <c r="O117" i="1"/>
  <c r="S124" i="1"/>
  <c r="S123" i="1"/>
  <c r="S122" i="1"/>
  <c r="W124" i="1"/>
  <c r="W123" i="1"/>
  <c r="W122" i="1"/>
  <c r="AA124" i="1"/>
  <c r="AA123" i="1"/>
  <c r="AA122" i="1"/>
  <c r="AE124" i="1"/>
  <c r="AE123" i="1"/>
  <c r="AE122" i="1"/>
  <c r="X6" i="1"/>
  <c r="V205" i="1"/>
  <c r="V209" i="15" s="1"/>
  <c r="U155" i="1"/>
  <c r="V154" i="1"/>
  <c r="U153" i="1"/>
  <c r="U156" i="1" s="1"/>
  <c r="H140" i="1"/>
  <c r="H144" i="1" s="1"/>
  <c r="X180" i="1"/>
  <c r="Q113" i="1"/>
  <c r="Q117" i="1" s="1"/>
  <c r="T58" i="1"/>
  <c r="J70" i="1"/>
  <c r="I58" i="1"/>
  <c r="P65" i="1"/>
  <c r="I39" i="1"/>
  <c r="H39" i="1" s="1"/>
  <c r="G39" i="1" s="1"/>
  <c r="O28" i="1"/>
  <c r="M70" i="1"/>
  <c r="R48" i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Q46" i="1"/>
  <c r="Q49" i="1" s="1"/>
  <c r="Q65" i="1" s="1"/>
  <c r="Q48" i="1"/>
  <c r="R47" i="1"/>
  <c r="S47" i="1" s="1"/>
  <c r="T47" i="1" s="1"/>
  <c r="U47" i="1" s="1"/>
  <c r="V47" i="1" s="1"/>
  <c r="W47" i="1" s="1"/>
  <c r="K20" i="1"/>
  <c r="P9" i="1"/>
  <c r="K134" i="1"/>
  <c r="K159" i="1" s="1"/>
  <c r="K10" i="1"/>
  <c r="J8" i="1"/>
  <c r="P103" i="1"/>
  <c r="P91" i="1"/>
  <c r="P90" i="1"/>
  <c r="P89" i="1"/>
  <c r="P84" i="1"/>
  <c r="T103" i="1"/>
  <c r="T91" i="1"/>
  <c r="T90" i="1"/>
  <c r="T89" i="1"/>
  <c r="X103" i="1"/>
  <c r="X91" i="1"/>
  <c r="X90" i="1"/>
  <c r="X89" i="1"/>
  <c r="AB103" i="1"/>
  <c r="AB91" i="1"/>
  <c r="AB90" i="1"/>
  <c r="AB89" i="1"/>
  <c r="P117" i="1"/>
  <c r="P124" i="1"/>
  <c r="P122" i="1"/>
  <c r="P123" i="1"/>
  <c r="X124" i="1"/>
  <c r="X122" i="1"/>
  <c r="X123" i="1"/>
  <c r="O65" i="1"/>
  <c r="Q70" i="1"/>
  <c r="O90" i="1"/>
  <c r="O89" i="1"/>
  <c r="O84" i="1"/>
  <c r="O103" i="1"/>
  <c r="O91" i="1"/>
  <c r="S90" i="1"/>
  <c r="S89" i="1"/>
  <c r="S103" i="1"/>
  <c r="S91" i="1"/>
  <c r="W89" i="1"/>
  <c r="W103" i="1"/>
  <c r="W91" i="1"/>
  <c r="W90" i="1"/>
  <c r="AA89" i="1"/>
  <c r="AA103" i="1"/>
  <c r="AA91" i="1"/>
  <c r="AA90" i="1"/>
  <c r="AE89" i="1"/>
  <c r="AE103" i="1"/>
  <c r="AE91" i="1"/>
  <c r="AE90" i="1"/>
  <c r="V123" i="1"/>
  <c r="V124" i="1"/>
  <c r="V122" i="1"/>
  <c r="AD123" i="1"/>
  <c r="AD124" i="1"/>
  <c r="AD122" i="1"/>
  <c r="Q124" i="1"/>
  <c r="Q123" i="1"/>
  <c r="Q122" i="1"/>
  <c r="U124" i="1"/>
  <c r="U123" i="1"/>
  <c r="U122" i="1"/>
  <c r="Y124" i="1"/>
  <c r="Y123" i="1"/>
  <c r="Y122" i="1"/>
  <c r="AC124" i="1"/>
  <c r="AC123" i="1"/>
  <c r="AC122" i="1"/>
  <c r="O138" i="1"/>
  <c r="J22" i="1"/>
  <c r="J71" i="21"/>
  <c r="K70" i="21"/>
  <c r="L86" i="21"/>
  <c r="M84" i="21"/>
  <c r="K26" i="21"/>
  <c r="L24" i="21"/>
  <c r="L104" i="21" s="1"/>
  <c r="K6" i="21"/>
  <c r="L4" i="21"/>
  <c r="M64" i="21"/>
  <c r="L66" i="21"/>
  <c r="M50" i="21"/>
  <c r="L51" i="21"/>
  <c r="L44" i="21"/>
  <c r="K46" i="21"/>
  <c r="M32" i="21"/>
  <c r="M29" i="21" s="1"/>
  <c r="L31" i="21"/>
  <c r="D105" i="21"/>
  <c r="L9" i="21"/>
  <c r="K11" i="21"/>
  <c r="K96" i="21"/>
  <c r="L95" i="21"/>
  <c r="F82" i="21"/>
  <c r="F81" i="21"/>
  <c r="F105" i="21" s="1"/>
  <c r="BG23" i="10" s="1"/>
  <c r="BF23" i="10" s="1"/>
  <c r="BF24" i="10" s="1"/>
  <c r="BF26" i="10" s="1"/>
  <c r="N89" i="21"/>
  <c r="M91" i="21"/>
  <c r="M79" i="21"/>
  <c r="L81" i="21"/>
  <c r="K60" i="21"/>
  <c r="J61" i="21"/>
  <c r="L35" i="21"/>
  <c r="K36" i="21"/>
  <c r="H16" i="21"/>
  <c r="H105" i="21" s="1"/>
  <c r="I15" i="21"/>
  <c r="E104" i="21"/>
  <c r="E107" i="21" s="1"/>
  <c r="L82" i="20"/>
  <c r="L74" i="20"/>
  <c r="K72" i="20"/>
  <c r="L71" i="20"/>
  <c r="W77" i="20"/>
  <c r="C59" i="20"/>
  <c r="C62" i="20" s="1"/>
  <c r="C52" i="20"/>
  <c r="C54" i="20" s="1"/>
  <c r="D53" i="20" s="1"/>
  <c r="D54" i="20" s="1"/>
  <c r="E53" i="20" s="1"/>
  <c r="C53" i="19"/>
  <c r="C98" i="19" s="1"/>
  <c r="S87" i="20"/>
  <c r="S44" i="20" s="1"/>
  <c r="S85" i="20"/>
  <c r="Q59" i="20"/>
  <c r="Q62" i="20" s="1"/>
  <c r="Q66" i="20" s="1"/>
  <c r="Q52" i="20"/>
  <c r="Q53" i="19"/>
  <c r="E52" i="20"/>
  <c r="E59" i="20"/>
  <c r="E62" i="20" s="1"/>
  <c r="E53" i="19"/>
  <c r="BU90" i="10"/>
  <c r="L76" i="20"/>
  <c r="T69" i="20"/>
  <c r="U64" i="20"/>
  <c r="M116" i="20"/>
  <c r="M118" i="20" s="1"/>
  <c r="M59" i="20"/>
  <c r="M62" i="20" s="1"/>
  <c r="M66" i="20" s="1"/>
  <c r="M52" i="20"/>
  <c r="M53" i="19"/>
  <c r="AA25" i="20"/>
  <c r="M112" i="19"/>
  <c r="AE105" i="19"/>
  <c r="S154" i="19"/>
  <c r="P148" i="19"/>
  <c r="P153" i="19"/>
  <c r="P152" i="19" s="1"/>
  <c r="Q149" i="19"/>
  <c r="F113" i="19"/>
  <c r="G113" i="19" s="1"/>
  <c r="H113" i="19" s="1"/>
  <c r="I113" i="19" s="1"/>
  <c r="J113" i="19" s="1"/>
  <c r="K113" i="19" s="1"/>
  <c r="L113" i="19" s="1"/>
  <c r="M113" i="19" s="1"/>
  <c r="N113" i="19" s="1"/>
  <c r="O113" i="19" s="1"/>
  <c r="P113" i="19" s="1"/>
  <c r="Q113" i="19" s="1"/>
  <c r="R113" i="19" s="1"/>
  <c r="S113" i="19" s="1"/>
  <c r="T113" i="19" s="1"/>
  <c r="U113" i="19" s="1"/>
  <c r="V113" i="19" s="1"/>
  <c r="W113" i="19" s="1"/>
  <c r="X113" i="19" s="1"/>
  <c r="Y113" i="19" s="1"/>
  <c r="Z113" i="19" s="1"/>
  <c r="AA113" i="19" s="1"/>
  <c r="AB113" i="19" s="1"/>
  <c r="AC113" i="19" s="1"/>
  <c r="AD113" i="19" s="1"/>
  <c r="AE113" i="19" s="1"/>
  <c r="E114" i="19"/>
  <c r="F114" i="19" s="1"/>
  <c r="Y105" i="19"/>
  <c r="G97" i="19"/>
  <c r="H97" i="19"/>
  <c r="P45" i="19"/>
  <c r="J45" i="19"/>
  <c r="F45" i="19"/>
  <c r="U38" i="19"/>
  <c r="K83" i="19"/>
  <c r="K33" i="19"/>
  <c r="C83" i="19"/>
  <c r="C33" i="19"/>
  <c r="C45" i="19" s="1"/>
  <c r="U19" i="19"/>
  <c r="O91" i="19"/>
  <c r="O45" i="19"/>
  <c r="K91" i="19"/>
  <c r="K45" i="19"/>
  <c r="G91" i="19"/>
  <c r="G45" i="19"/>
  <c r="T170" i="19"/>
  <c r="U16" i="19"/>
  <c r="K168" i="19"/>
  <c r="K172" i="19" s="1"/>
  <c r="K66" i="19"/>
  <c r="K174" i="19"/>
  <c r="K176" i="19" s="1"/>
  <c r="H91" i="19"/>
  <c r="K82" i="19"/>
  <c r="C82" i="19"/>
  <c r="AA156" i="19"/>
  <c r="AA5" i="20" s="1"/>
  <c r="DO63" i="10"/>
  <c r="C177" i="19"/>
  <c r="S175" i="19"/>
  <c r="T32" i="19"/>
  <c r="Q83" i="19"/>
  <c r="Q33" i="19"/>
  <c r="E83" i="19"/>
  <c r="E33" i="19"/>
  <c r="Q91" i="19"/>
  <c r="Q45" i="19"/>
  <c r="M45" i="19"/>
  <c r="I91" i="19"/>
  <c r="I45" i="19"/>
  <c r="L82" i="19"/>
  <c r="L17" i="19"/>
  <c r="J91" i="19"/>
  <c r="Q82" i="19"/>
  <c r="E82" i="19"/>
  <c r="E17" i="19"/>
  <c r="E168" i="19"/>
  <c r="E172" i="19" s="1"/>
  <c r="E177" i="19" s="1"/>
  <c r="E66" i="19"/>
  <c r="CX104" i="8"/>
  <c r="AZ139" i="8"/>
  <c r="BE116" i="8"/>
  <c r="AZ64" i="8"/>
  <c r="BE119" i="8" s="1"/>
  <c r="AW138" i="8"/>
  <c r="CT134" i="8"/>
  <c r="DE135" i="8"/>
  <c r="CZ134" i="8"/>
  <c r="DP133" i="8"/>
  <c r="AR143" i="8"/>
  <c r="AS123" i="8"/>
  <c r="AS143" i="8" s="1"/>
  <c r="CY133" i="8"/>
  <c r="DH135" i="8"/>
  <c r="DC134" i="8"/>
  <c r="DO133" i="8"/>
  <c r="CO122" i="8"/>
  <c r="BE151" i="8"/>
  <c r="BF151" i="8" s="1"/>
  <c r="BF131" i="8" s="1"/>
  <c r="BG131" i="8"/>
  <c r="AO151" i="8"/>
  <c r="AP131" i="8"/>
  <c r="AP151" i="8" s="1"/>
  <c r="BS149" i="8"/>
  <c r="BT129" i="8"/>
  <c r="BT149" i="8" s="1"/>
  <c r="BD145" i="8"/>
  <c r="BE125" i="8"/>
  <c r="BE145" i="8" s="1"/>
  <c r="BJ145" i="8"/>
  <c r="BL125" i="8"/>
  <c r="BH144" i="8"/>
  <c r="BI124" i="8"/>
  <c r="BL142" i="8"/>
  <c r="BM122" i="8"/>
  <c r="BD142" i="8"/>
  <c r="BE122" i="8"/>
  <c r="AN142" i="8"/>
  <c r="AO122" i="8"/>
  <c r="DA132" i="8"/>
  <c r="CT127" i="8"/>
  <c r="AM138" i="8"/>
  <c r="BU117" i="8"/>
  <c r="BO118" i="8"/>
  <c r="BJ118" i="8"/>
  <c r="BJ62" i="8"/>
  <c r="AL118" i="8"/>
  <c r="AG118" i="8"/>
  <c r="AB118" i="8"/>
  <c r="W118" i="8"/>
  <c r="R118" i="8"/>
  <c r="M118" i="8"/>
  <c r="H118" i="8"/>
  <c r="BY118" i="8"/>
  <c r="AO139" i="8"/>
  <c r="AO116" i="8"/>
  <c r="AO64" i="8"/>
  <c r="AI116" i="8"/>
  <c r="AI64" i="8"/>
  <c r="AC116" i="8"/>
  <c r="AC64" i="8"/>
  <c r="U116" i="8"/>
  <c r="U64" i="8"/>
  <c r="O116" i="8"/>
  <c r="O64" i="8"/>
  <c r="I116" i="8"/>
  <c r="I64" i="8"/>
  <c r="I119" i="8" s="1"/>
  <c r="CU104" i="8"/>
  <c r="AK114" i="8"/>
  <c r="AL42" i="8"/>
  <c r="AL114" i="8" s="1"/>
  <c r="AL150" i="8"/>
  <c r="AL100" i="8"/>
  <c r="H100" i="8"/>
  <c r="H61" i="8"/>
  <c r="H116" i="8" s="1"/>
  <c r="BY98" i="8"/>
  <c r="CD98" i="8"/>
  <c r="BW90" i="8"/>
  <c r="BW23" i="8"/>
  <c r="BW88" i="8" s="1"/>
  <c r="BV119" i="8"/>
  <c r="BD119" i="8"/>
  <c r="BK63" i="8"/>
  <c r="AQ118" i="8"/>
  <c r="AT139" i="8"/>
  <c r="AT116" i="8"/>
  <c r="AT64" i="8"/>
  <c r="AT119" i="8" s="1"/>
  <c r="AJ116" i="8"/>
  <c r="AJ64" i="8"/>
  <c r="AD116" i="8"/>
  <c r="AD64" i="8"/>
  <c r="X116" i="8"/>
  <c r="X64" i="8"/>
  <c r="P116" i="8"/>
  <c r="P64" i="8"/>
  <c r="AP114" i="8"/>
  <c r="AB42" i="8"/>
  <c r="AB114" i="8" s="1"/>
  <c r="R42" i="8"/>
  <c r="R114" i="8" s="1"/>
  <c r="BF100" i="8"/>
  <c r="BL119" i="8"/>
  <c r="AW82" i="8"/>
  <c r="AQ76" i="8"/>
  <c r="AQ11" i="8"/>
  <c r="BU72" i="8"/>
  <c r="BU61" i="8"/>
  <c r="BS116" i="8"/>
  <c r="BQ139" i="8"/>
  <c r="BQ116" i="8"/>
  <c r="BK61" i="8"/>
  <c r="BK72" i="8"/>
  <c r="BI139" i="8"/>
  <c r="BI116" i="8"/>
  <c r="BA72" i="8"/>
  <c r="AQ61" i="8"/>
  <c r="AQ72" i="8"/>
  <c r="AG61" i="8"/>
  <c r="AG72" i="8"/>
  <c r="W61" i="8"/>
  <c r="W72" i="8"/>
  <c r="BV139" i="8"/>
  <c r="BV116" i="8"/>
  <c r="BR116" i="8"/>
  <c r="AS139" i="8"/>
  <c r="AS116" i="8"/>
  <c r="BP76" i="8"/>
  <c r="BF78" i="8"/>
  <c r="AW74" i="8"/>
  <c r="BA7" i="8"/>
  <c r="AQ7" i="8"/>
  <c r="BT139" i="8"/>
  <c r="BT116" i="8"/>
  <c r="BT64" i="8"/>
  <c r="BT119" i="8" s="1"/>
  <c r="BN139" i="8"/>
  <c r="BN116" i="8"/>
  <c r="BJ139" i="8"/>
  <c r="BJ116" i="8"/>
  <c r="Q61" i="8"/>
  <c r="BP72" i="8"/>
  <c r="CY152" i="8"/>
  <c r="DD132" i="8"/>
  <c r="CT138" i="8"/>
  <c r="DG135" i="8"/>
  <c r="DB134" i="8"/>
  <c r="DR133" i="8"/>
  <c r="CX152" i="8"/>
  <c r="DC132" i="8"/>
  <c r="CY135" i="8"/>
  <c r="DF135" i="8"/>
  <c r="DA134" i="8"/>
  <c r="CU152" i="8"/>
  <c r="CZ132" i="8"/>
  <c r="CE148" i="8"/>
  <c r="CJ128" i="8"/>
  <c r="BE150" i="8"/>
  <c r="BF150" i="8" s="1"/>
  <c r="BF130" i="8" s="1"/>
  <c r="BG130" i="8"/>
  <c r="AN150" i="8"/>
  <c r="AO130" i="8"/>
  <c r="BX149" i="8"/>
  <c r="BY129" i="8"/>
  <c r="BY149" i="8" s="1"/>
  <c r="CJ126" i="8"/>
  <c r="BI146" i="8"/>
  <c r="BJ126" i="8"/>
  <c r="BX126" i="8"/>
  <c r="BS146" i="8"/>
  <c r="BT126" i="8"/>
  <c r="BT146" i="8" s="1"/>
  <c r="AY143" i="8"/>
  <c r="AZ123" i="8"/>
  <c r="BY122" i="8"/>
  <c r="DV133" i="8"/>
  <c r="DG132" i="8"/>
  <c r="CJ149" i="8"/>
  <c r="CO129" i="8"/>
  <c r="BA118" i="8"/>
  <c r="AV118" i="8"/>
  <c r="CE118" i="8"/>
  <c r="CA63" i="8"/>
  <c r="CJ63" i="8"/>
  <c r="AW139" i="8"/>
  <c r="AW116" i="8"/>
  <c r="AW64" i="8"/>
  <c r="AW119" i="8" s="1"/>
  <c r="AM139" i="8"/>
  <c r="AM116" i="8"/>
  <c r="AM64" i="8"/>
  <c r="AE116" i="8"/>
  <c r="AE64" i="8"/>
  <c r="Y116" i="8"/>
  <c r="Y64" i="8"/>
  <c r="S116" i="8"/>
  <c r="S64" i="8"/>
  <c r="K116" i="8"/>
  <c r="K64" i="8"/>
  <c r="K119" i="8" s="1"/>
  <c r="W114" i="8"/>
  <c r="BZ100" i="8"/>
  <c r="BX100" i="8"/>
  <c r="BY100" i="8"/>
  <c r="BW100" i="8"/>
  <c r="BA150" i="8"/>
  <c r="BA130" i="8" s="1"/>
  <c r="AQ100" i="8"/>
  <c r="AG100" i="8"/>
  <c r="W100" i="8"/>
  <c r="M100" i="8"/>
  <c r="M61" i="8"/>
  <c r="CY98" i="8"/>
  <c r="DD34" i="8"/>
  <c r="CY96" i="8"/>
  <c r="DD32" i="8"/>
  <c r="BH119" i="8"/>
  <c r="AX119" i="8"/>
  <c r="BF117" i="8"/>
  <c r="AN139" i="8"/>
  <c r="AN116" i="8"/>
  <c r="AN64" i="8"/>
  <c r="AH116" i="8"/>
  <c r="AH64" i="8"/>
  <c r="Z116" i="8"/>
  <c r="Z64" i="8"/>
  <c r="T116" i="8"/>
  <c r="T64" i="8"/>
  <c r="N116" i="8"/>
  <c r="N64" i="8"/>
  <c r="J116" i="8"/>
  <c r="J64" i="8"/>
  <c r="J119" i="8" s="1"/>
  <c r="BZ114" i="8"/>
  <c r="CE42" i="8"/>
  <c r="BY114" i="8"/>
  <c r="AV42" i="8"/>
  <c r="AF114" i="8"/>
  <c r="V114" i="8"/>
  <c r="BZ102" i="8"/>
  <c r="CE38" i="8"/>
  <c r="BW102" i="8"/>
  <c r="BX102" i="8"/>
  <c r="AZ100" i="8"/>
  <c r="AV36" i="8"/>
  <c r="AV100" i="8" s="1"/>
  <c r="BN119" i="8"/>
  <c r="BU88" i="8"/>
  <c r="BK145" i="8"/>
  <c r="BK125" i="8" s="1"/>
  <c r="AX81" i="8"/>
  <c r="AZ144" i="8"/>
  <c r="BA144" i="8" s="1"/>
  <c r="BE80" i="8"/>
  <c r="AZ80" i="8"/>
  <c r="AZ16" i="8"/>
  <c r="BA16" i="8" s="1"/>
  <c r="J8" i="12" s="1"/>
  <c r="J11" i="12" s="1"/>
  <c r="K11" i="12" s="1"/>
  <c r="L11" i="12" s="1"/>
  <c r="M11" i="12" s="1"/>
  <c r="N11" i="12" s="1"/>
  <c r="AR139" i="8"/>
  <c r="AR116" i="8"/>
  <c r="BF76" i="8"/>
  <c r="AV76" i="8"/>
  <c r="AL143" i="8"/>
  <c r="AL76" i="8"/>
  <c r="BF74" i="8"/>
  <c r="BA73" i="8"/>
  <c r="BU142" i="8"/>
  <c r="BM139" i="8"/>
  <c r="BM116" i="8"/>
  <c r="BG139" i="8"/>
  <c r="BG116" i="8"/>
  <c r="AV72" i="8"/>
  <c r="AL142" i="8"/>
  <c r="AL72" i="8"/>
  <c r="AL61" i="8"/>
  <c r="AB72" i="8"/>
  <c r="AB61" i="8"/>
  <c r="AB116" i="8" s="1"/>
  <c r="R61" i="8"/>
  <c r="R116" i="8" s="1"/>
  <c r="BF73" i="8"/>
  <c r="BL139" i="8"/>
  <c r="BL116" i="8"/>
  <c r="BH139" i="8"/>
  <c r="BH116" i="8"/>
  <c r="AP61" i="8"/>
  <c r="AF61" i="8"/>
  <c r="V61" i="8"/>
  <c r="BR64" i="8"/>
  <c r="BR119" i="8" s="1"/>
  <c r="BP84" i="8"/>
  <c r="BB82" i="8"/>
  <c r="BU80" i="8"/>
  <c r="BA13" i="8"/>
  <c r="J6" i="12" s="1"/>
  <c r="AU144" i="8"/>
  <c r="AV144" i="8" s="1"/>
  <c r="AV124" i="8" s="1"/>
  <c r="AU80" i="8"/>
  <c r="AU15" i="8"/>
  <c r="AZ81" i="8" s="1"/>
  <c r="AZ78" i="8"/>
  <c r="BE74" i="8"/>
  <c r="AY74" i="8"/>
  <c r="AU74" i="8"/>
  <c r="BF72" i="8"/>
  <c r="AU61" i="8"/>
  <c r="AK61" i="8"/>
  <c r="AA61" i="8"/>
  <c r="BP61" i="8"/>
  <c r="BP116" i="8" s="1"/>
  <c r="AV11" i="8"/>
  <c r="M26" i="10"/>
  <c r="AB26" i="10"/>
  <c r="I110" i="10"/>
  <c r="Q110" i="10"/>
  <c r="S9" i="10"/>
  <c r="F49" i="19" s="1"/>
  <c r="U110" i="10"/>
  <c r="W110" i="10"/>
  <c r="Y110" i="10"/>
  <c r="AA110" i="10"/>
  <c r="AC9" i="10"/>
  <c r="H49" i="19" s="1"/>
  <c r="AE110" i="10"/>
  <c r="AG110" i="10"/>
  <c r="AI110" i="10"/>
  <c r="AK110" i="10"/>
  <c r="AM9" i="10"/>
  <c r="AO110" i="10"/>
  <c r="AQ110" i="10"/>
  <c r="AS110" i="10"/>
  <c r="AU110" i="10"/>
  <c r="AW9" i="10"/>
  <c r="AY110" i="10"/>
  <c r="BA110" i="10"/>
  <c r="BC110" i="10"/>
  <c r="BE110" i="10"/>
  <c r="BG9" i="10"/>
  <c r="BI51" i="10"/>
  <c r="BI110" i="10"/>
  <c r="BK110" i="10"/>
  <c r="BK51" i="10"/>
  <c r="BM110" i="10"/>
  <c r="BM51" i="10"/>
  <c r="BO110" i="10"/>
  <c r="BO51" i="10"/>
  <c r="BQ9" i="10"/>
  <c r="P49" i="19" s="1"/>
  <c r="BS110" i="10"/>
  <c r="BS51" i="10"/>
  <c r="BU110" i="10"/>
  <c r="BU51" i="10"/>
  <c r="BW110" i="10"/>
  <c r="BW51" i="10"/>
  <c r="P111" i="10"/>
  <c r="R111" i="10"/>
  <c r="T111" i="10"/>
  <c r="T39" i="10"/>
  <c r="V111" i="10"/>
  <c r="X12" i="10"/>
  <c r="Z111" i="10"/>
  <c r="Z39" i="10"/>
  <c r="AB111" i="10"/>
  <c r="AD111" i="10"/>
  <c r="AF111" i="10"/>
  <c r="AH12" i="10"/>
  <c r="AJ111" i="10"/>
  <c r="AL111" i="10"/>
  <c r="AN111" i="10"/>
  <c r="AP111" i="10"/>
  <c r="AR12" i="10"/>
  <c r="AT111" i="10"/>
  <c r="AV111" i="10"/>
  <c r="AX111" i="10"/>
  <c r="AZ111" i="10"/>
  <c r="BB12" i="10"/>
  <c r="BD111" i="10"/>
  <c r="BF111" i="10"/>
  <c r="BH111" i="10"/>
  <c r="BH62" i="10"/>
  <c r="BJ111" i="10"/>
  <c r="BJ62" i="10"/>
  <c r="BL12" i="10"/>
  <c r="BN62" i="10"/>
  <c r="BN111" i="10"/>
  <c r="BP111" i="10"/>
  <c r="BP62" i="10"/>
  <c r="BR111" i="10"/>
  <c r="BR62" i="10"/>
  <c r="BT111" i="10"/>
  <c r="BT62" i="10"/>
  <c r="BV12" i="10"/>
  <c r="S112" i="10"/>
  <c r="U112" i="10"/>
  <c r="W112" i="10"/>
  <c r="Y112" i="10"/>
  <c r="AA112" i="10"/>
  <c r="AC13" i="10"/>
  <c r="AE112" i="10"/>
  <c r="AG112" i="10"/>
  <c r="AI112" i="10"/>
  <c r="AK112" i="10"/>
  <c r="AM13" i="10"/>
  <c r="AO112" i="10"/>
  <c r="AQ112" i="10"/>
  <c r="AS112" i="10"/>
  <c r="AU112" i="10"/>
  <c r="AW13" i="10"/>
  <c r="AY112" i="10"/>
  <c r="BA112" i="10"/>
  <c r="BC118" i="10"/>
  <c r="BC112" i="10"/>
  <c r="BE118" i="10"/>
  <c r="BE112" i="10"/>
  <c r="BG13" i="10"/>
  <c r="BI118" i="10"/>
  <c r="BI112" i="10"/>
  <c r="BI57" i="10"/>
  <c r="BK118" i="10"/>
  <c r="BK112" i="10"/>
  <c r="BK57" i="10"/>
  <c r="BM118" i="10"/>
  <c r="BM112" i="10"/>
  <c r="BM57" i="10"/>
  <c r="BO118" i="10"/>
  <c r="BO57" i="10"/>
  <c r="BO112" i="10"/>
  <c r="BQ13" i="10"/>
  <c r="BS118" i="10"/>
  <c r="BS112" i="10"/>
  <c r="BS57" i="10"/>
  <c r="BU118" i="10"/>
  <c r="BU112" i="10"/>
  <c r="BU57" i="10"/>
  <c r="BW118" i="10"/>
  <c r="BW57" i="10"/>
  <c r="BW112" i="10"/>
  <c r="I112" i="10"/>
  <c r="N112" i="10"/>
  <c r="AO14" i="10"/>
  <c r="AS14" i="10"/>
  <c r="AU14" i="10"/>
  <c r="AO16" i="10"/>
  <c r="AS16" i="10"/>
  <c r="AU16" i="10"/>
  <c r="AY15" i="10"/>
  <c r="BC15" i="10"/>
  <c r="BE15" i="10"/>
  <c r="AY17" i="10"/>
  <c r="BC17" i="10"/>
  <c r="BE17" i="10"/>
  <c r="AU18" i="10"/>
  <c r="CA24" i="10"/>
  <c r="W24" i="10"/>
  <c r="AG23" i="10"/>
  <c r="AG26" i="10" s="1"/>
  <c r="S25" i="10"/>
  <c r="S26" i="10" s="1"/>
  <c r="AW25" i="10"/>
  <c r="AW26" i="10" s="1"/>
  <c r="AI26" i="10"/>
  <c r="BY26" i="10"/>
  <c r="N29" i="10"/>
  <c r="E51" i="19" s="1"/>
  <c r="X29" i="10"/>
  <c r="G51" i="19" s="1"/>
  <c r="AH29" i="10"/>
  <c r="I51" i="19" s="1"/>
  <c r="AR29" i="10"/>
  <c r="K51" i="19" s="1"/>
  <c r="BB29" i="10"/>
  <c r="M51" i="19" s="1"/>
  <c r="BL29" i="10"/>
  <c r="O51" i="19" s="1"/>
  <c r="BV29" i="10"/>
  <c r="Q51" i="19" s="1"/>
  <c r="S118" i="10"/>
  <c r="I118" i="10"/>
  <c r="BW39" i="10"/>
  <c r="BS39" i="10"/>
  <c r="BM39" i="10"/>
  <c r="BI39" i="10"/>
  <c r="BC39" i="10"/>
  <c r="AY39" i="10"/>
  <c r="AS39" i="10"/>
  <c r="AO39" i="10"/>
  <c r="AI39" i="10"/>
  <c r="AE39" i="10"/>
  <c r="W39" i="10"/>
  <c r="V39" i="10"/>
  <c r="BR39" i="10"/>
  <c r="BN39" i="10"/>
  <c r="BJ39" i="10"/>
  <c r="BF39" i="10"/>
  <c r="AX39" i="10"/>
  <c r="AT39" i="10"/>
  <c r="AP39" i="10"/>
  <c r="AL39" i="10"/>
  <c r="AD39" i="10"/>
  <c r="BX38" i="10"/>
  <c r="N110" i="10"/>
  <c r="R110" i="10"/>
  <c r="T110" i="10"/>
  <c r="V110" i="10"/>
  <c r="X9" i="10"/>
  <c r="G49" i="19" s="1"/>
  <c r="Z110" i="10"/>
  <c r="AB110" i="10"/>
  <c r="AD110" i="10"/>
  <c r="AF110" i="10"/>
  <c r="AH9" i="10"/>
  <c r="I49" i="19" s="1"/>
  <c r="AJ110" i="10"/>
  <c r="AL110" i="10"/>
  <c r="AN110" i="10"/>
  <c r="AP110" i="10"/>
  <c r="AR9" i="10"/>
  <c r="AT110" i="10"/>
  <c r="AV110" i="10"/>
  <c r="AX110" i="10"/>
  <c r="AZ110" i="10"/>
  <c r="BB9" i="10"/>
  <c r="BD110" i="10"/>
  <c r="BF110" i="10"/>
  <c r="BF95" i="10"/>
  <c r="BH110" i="10"/>
  <c r="BH51" i="10"/>
  <c r="BJ110" i="10"/>
  <c r="BJ51" i="10"/>
  <c r="BL9" i="10"/>
  <c r="O49" i="19" s="1"/>
  <c r="BN110" i="10"/>
  <c r="BN51" i="10"/>
  <c r="BP110" i="10"/>
  <c r="BP51" i="10"/>
  <c r="BR110" i="10"/>
  <c r="BR51" i="10"/>
  <c r="BT110" i="10"/>
  <c r="BT51" i="10"/>
  <c r="BV9" i="10"/>
  <c r="Q49" i="19" s="1"/>
  <c r="O111" i="10"/>
  <c r="Q111" i="10"/>
  <c r="S12" i="10"/>
  <c r="U111" i="10"/>
  <c r="W111" i="10"/>
  <c r="Y111" i="10"/>
  <c r="AA111" i="10"/>
  <c r="AC12" i="10"/>
  <c r="AE111" i="10"/>
  <c r="AG111" i="10"/>
  <c r="AI111" i="10"/>
  <c r="AK111" i="10"/>
  <c r="AM12" i="10"/>
  <c r="AO111" i="10"/>
  <c r="AQ111" i="10"/>
  <c r="AS111" i="10"/>
  <c r="AU111" i="10"/>
  <c r="AW12" i="10"/>
  <c r="AY111" i="10"/>
  <c r="BA111" i="10"/>
  <c r="BC111" i="10"/>
  <c r="BE111" i="10"/>
  <c r="BG12" i="10"/>
  <c r="BI111" i="10"/>
  <c r="BI62" i="10"/>
  <c r="BK111" i="10"/>
  <c r="BK62" i="10"/>
  <c r="BM111" i="10"/>
  <c r="BM62" i="10"/>
  <c r="BO111" i="10"/>
  <c r="BO62" i="10"/>
  <c r="BQ12" i="10"/>
  <c r="BS111" i="10"/>
  <c r="BS62" i="10"/>
  <c r="BU111" i="10"/>
  <c r="BU62" i="10"/>
  <c r="BW111" i="10"/>
  <c r="BW62" i="10"/>
  <c r="T112" i="10"/>
  <c r="V112" i="10"/>
  <c r="X13" i="10"/>
  <c r="Z112" i="10"/>
  <c r="AB112" i="10"/>
  <c r="AD112" i="10"/>
  <c r="AF112" i="10"/>
  <c r="AH13" i="10"/>
  <c r="AJ112" i="10"/>
  <c r="AL112" i="10"/>
  <c r="AN112" i="10"/>
  <c r="AP112" i="10"/>
  <c r="AR13" i="10"/>
  <c r="AT112" i="10"/>
  <c r="AV112" i="10"/>
  <c r="AX112" i="10"/>
  <c r="AZ112" i="10"/>
  <c r="BB13" i="10"/>
  <c r="BD112" i="10"/>
  <c r="BD118" i="10"/>
  <c r="BF118" i="10"/>
  <c r="BF112" i="10"/>
  <c r="BH112" i="10"/>
  <c r="BH57" i="10"/>
  <c r="BH118" i="10"/>
  <c r="BJ118" i="10"/>
  <c r="BJ112" i="10"/>
  <c r="BJ57" i="10"/>
  <c r="BL13" i="10"/>
  <c r="BN118" i="10"/>
  <c r="BN112" i="10"/>
  <c r="BN57" i="10"/>
  <c r="BP112" i="10"/>
  <c r="BP118" i="10"/>
  <c r="BP57" i="10"/>
  <c r="BR118" i="10"/>
  <c r="BR112" i="10"/>
  <c r="BR57" i="10"/>
  <c r="BT112" i="10"/>
  <c r="BT118" i="10"/>
  <c r="BT57" i="10"/>
  <c r="BV13" i="10"/>
  <c r="I111" i="10"/>
  <c r="N111" i="10"/>
  <c r="AN14" i="10"/>
  <c r="AP14" i="10"/>
  <c r="AT14" i="10"/>
  <c r="AX14" i="10"/>
  <c r="AO15" i="10"/>
  <c r="AS15" i="10"/>
  <c r="AU15" i="10"/>
  <c r="AN16" i="10"/>
  <c r="AP16" i="10"/>
  <c r="AT16" i="10"/>
  <c r="AX16" i="10"/>
  <c r="AO17" i="10"/>
  <c r="AS17" i="10"/>
  <c r="AU17" i="10"/>
  <c r="AY14" i="10"/>
  <c r="BC14" i="10"/>
  <c r="BE14" i="10"/>
  <c r="AZ15" i="10"/>
  <c r="BD15" i="10"/>
  <c r="AY16" i="10"/>
  <c r="BC16" i="10"/>
  <c r="BE16" i="10"/>
  <c r="AZ17" i="10"/>
  <c r="BD17" i="10"/>
  <c r="AY18" i="10"/>
  <c r="BC18" i="10"/>
  <c r="BE18" i="10"/>
  <c r="AX19" i="10"/>
  <c r="BA25" i="10"/>
  <c r="BL24" i="10"/>
  <c r="BL26" i="10" s="1"/>
  <c r="AR25" i="10"/>
  <c r="AR26" i="10" s="1"/>
  <c r="S29" i="10"/>
  <c r="F51" i="19" s="1"/>
  <c r="AC29" i="10"/>
  <c r="H51" i="19" s="1"/>
  <c r="AM29" i="10"/>
  <c r="J51" i="19" s="1"/>
  <c r="AW29" i="10"/>
  <c r="L51" i="19" s="1"/>
  <c r="BG29" i="10"/>
  <c r="N51" i="19" s="1"/>
  <c r="BQ29" i="10"/>
  <c r="P51" i="19" s="1"/>
  <c r="N118" i="10"/>
  <c r="BU39" i="10"/>
  <c r="BO39" i="10"/>
  <c r="BK39" i="10"/>
  <c r="BE39" i="10"/>
  <c r="BA39" i="10"/>
  <c r="AU39" i="10"/>
  <c r="AQ39" i="10"/>
  <c r="AK39" i="10"/>
  <c r="AG39" i="10"/>
  <c r="Y39" i="10"/>
  <c r="U39" i="10"/>
  <c r="AA39" i="10"/>
  <c r="BX29" i="10"/>
  <c r="BT39" i="10"/>
  <c r="BP39" i="10"/>
  <c r="BH39" i="10"/>
  <c r="BD39" i="10"/>
  <c r="AZ39" i="10"/>
  <c r="AV39" i="10"/>
  <c r="AN39" i="10"/>
  <c r="AJ39" i="10"/>
  <c r="AF39" i="10"/>
  <c r="AB39" i="10"/>
  <c r="CK56" i="10"/>
  <c r="CV46" i="8" l="1"/>
  <c r="CV152" i="8" s="1"/>
  <c r="M12" i="62"/>
  <c r="M13" i="62" s="1"/>
  <c r="CJ49" i="8" s="1"/>
  <c r="CJ109" i="8" s="1"/>
  <c r="S92" i="20"/>
  <c r="T91" i="20" s="1"/>
  <c r="T119" i="8"/>
  <c r="AH119" i="8"/>
  <c r="AV78" i="8"/>
  <c r="AY119" i="8"/>
  <c r="CS152" i="8"/>
  <c r="CD129" i="8"/>
  <c r="CD149" i="8" s="1"/>
  <c r="CC149" i="8"/>
  <c r="CC128" i="8"/>
  <c r="CB148" i="8"/>
  <c r="W26" i="10"/>
  <c r="BZ9" i="10"/>
  <c r="CA9" i="10" s="1"/>
  <c r="BZ159" i="8" s="1"/>
  <c r="BG39" i="10"/>
  <c r="F50" i="19"/>
  <c r="F144" i="19" s="1"/>
  <c r="E68" i="19"/>
  <c r="E72" i="19"/>
  <c r="CW46" i="8"/>
  <c r="DB46" i="8" s="1"/>
  <c r="DB152" i="8" s="1"/>
  <c r="BP64" i="8"/>
  <c r="BA124" i="8"/>
  <c r="BB119" i="8"/>
  <c r="AQ74" i="8"/>
  <c r="E10" i="17"/>
  <c r="K252" i="15"/>
  <c r="N119" i="8"/>
  <c r="Z119" i="8"/>
  <c r="AN119" i="8"/>
  <c r="M116" i="8"/>
  <c r="AQ114" i="8"/>
  <c r="BA74" i="8"/>
  <c r="M252" i="15"/>
  <c r="G10" i="17"/>
  <c r="K177" i="19"/>
  <c r="J107" i="21"/>
  <c r="G29" i="4"/>
  <c r="G31" i="4" s="1"/>
  <c r="V22" i="19"/>
  <c r="U26" i="20"/>
  <c r="BW146" i="8"/>
  <c r="E54" i="20"/>
  <c r="F53" i="20" s="1"/>
  <c r="F54" i="20" s="1"/>
  <c r="G53" i="20" s="1"/>
  <c r="G54" i="20" s="1"/>
  <c r="H53" i="20" s="1"/>
  <c r="H54" i="20" s="1"/>
  <c r="I53" i="20" s="1"/>
  <c r="I54" i="20" s="1"/>
  <c r="J53" i="20" s="1"/>
  <c r="J54" i="20" s="1"/>
  <c r="K53" i="20" s="1"/>
  <c r="K54" i="20" s="1"/>
  <c r="L53" i="20" s="1"/>
  <c r="L54" i="20" s="1"/>
  <c r="M53" i="20" s="1"/>
  <c r="M54" i="20" s="1"/>
  <c r="N53" i="20" s="1"/>
  <c r="N54" i="20" s="1"/>
  <c r="O53" i="20" s="1"/>
  <c r="O54" i="20" s="1"/>
  <c r="P53" i="20" s="1"/>
  <c r="P54" i="20" s="1"/>
  <c r="Q53" i="20" s="1"/>
  <c r="Q54" i="20" s="1"/>
  <c r="R53" i="20" s="1"/>
  <c r="U38" i="1"/>
  <c r="T39" i="1"/>
  <c r="T36" i="1"/>
  <c r="U37" i="1"/>
  <c r="O11" i="12"/>
  <c r="P11" i="12" s="1"/>
  <c r="Q11" i="12" s="1"/>
  <c r="R11" i="12" s="1"/>
  <c r="S11" i="12" s="1"/>
  <c r="T11" i="12" s="1"/>
  <c r="U11" i="12" s="1"/>
  <c r="V11" i="12" s="1"/>
  <c r="W11" i="12" s="1"/>
  <c r="X11" i="12" s="1"/>
  <c r="Y11" i="12" s="1"/>
  <c r="Z11" i="12" s="1"/>
  <c r="AA11" i="12" s="1"/>
  <c r="AB11" i="12" s="1"/>
  <c r="D68" i="19"/>
  <c r="D72" i="19"/>
  <c r="D70" i="19"/>
  <c r="W149" i="1"/>
  <c r="W152" i="1" s="1"/>
  <c r="X150" i="1"/>
  <c r="L116" i="8"/>
  <c r="L64" i="8"/>
  <c r="L119" i="8" s="1"/>
  <c r="J14" i="12"/>
  <c r="K14" i="12" s="1"/>
  <c r="L14" i="12" s="1"/>
  <c r="M14" i="12" s="1"/>
  <c r="N14" i="12" s="1"/>
  <c r="L252" i="15"/>
  <c r="F10" i="17"/>
  <c r="Z25" i="19"/>
  <c r="Y23" i="20"/>
  <c r="T70" i="20"/>
  <c r="P50" i="19"/>
  <c r="P72" i="19" s="1"/>
  <c r="CZ46" i="8"/>
  <c r="CZ152" i="8" s="1"/>
  <c r="E17" i="13"/>
  <c r="Q13" i="17"/>
  <c r="S137" i="1"/>
  <c r="S138" i="1"/>
  <c r="CE154" i="8"/>
  <c r="DC46" i="8"/>
  <c r="DC152" i="8" s="1"/>
  <c r="S63" i="20"/>
  <c r="S65" i="20" s="1"/>
  <c r="S99" i="20"/>
  <c r="W207" i="1"/>
  <c r="V211" i="15"/>
  <c r="BG24" i="10"/>
  <c r="BG26" i="10" s="1"/>
  <c r="H50" i="19"/>
  <c r="H72" i="19" s="1"/>
  <c r="R99" i="20"/>
  <c r="R63" i="20"/>
  <c r="R65" i="20" s="1"/>
  <c r="I58" i="19"/>
  <c r="I57" i="19"/>
  <c r="I61" i="19"/>
  <c r="Q50" i="19"/>
  <c r="P58" i="19"/>
  <c r="P57" i="19"/>
  <c r="P61" i="19"/>
  <c r="H58" i="19"/>
  <c r="H57" i="19"/>
  <c r="H61" i="19"/>
  <c r="P144" i="19"/>
  <c r="Q58" i="19"/>
  <c r="Q57" i="19"/>
  <c r="Q61" i="19"/>
  <c r="G50" i="19"/>
  <c r="G61" i="19"/>
  <c r="G58" i="19"/>
  <c r="G57" i="19"/>
  <c r="N49" i="19"/>
  <c r="N50" i="19" s="1"/>
  <c r="BF159" i="8"/>
  <c r="BF139" i="8" s="1"/>
  <c r="F58" i="19"/>
  <c r="F61" i="19"/>
  <c r="F57" i="19"/>
  <c r="O50" i="19"/>
  <c r="O58" i="19"/>
  <c r="O61" i="19"/>
  <c r="O57" i="19"/>
  <c r="M49" i="19"/>
  <c r="BA159" i="8"/>
  <c r="I50" i="19"/>
  <c r="L49" i="19"/>
  <c r="L50" i="19" s="1"/>
  <c r="AV159" i="8"/>
  <c r="AQ159" i="8"/>
  <c r="AQ139" i="8" s="1"/>
  <c r="K49" i="19"/>
  <c r="J49" i="19"/>
  <c r="AL159" i="8"/>
  <c r="AL158" i="8" s="1"/>
  <c r="AL138" i="8" s="1"/>
  <c r="L43" i="64"/>
  <c r="L15" i="64"/>
  <c r="L13" i="64"/>
  <c r="L18" i="64" s="1"/>
  <c r="M7" i="64"/>
  <c r="DI46" i="8"/>
  <c r="DI104" i="8" s="1"/>
  <c r="L9" i="64"/>
  <c r="L17" i="64" s="1"/>
  <c r="K44" i="64"/>
  <c r="J16" i="64"/>
  <c r="K11" i="64"/>
  <c r="I32" i="64"/>
  <c r="K3" i="64"/>
  <c r="J42" i="64"/>
  <c r="O10" i="64"/>
  <c r="F15" i="64"/>
  <c r="CE46" i="8"/>
  <c r="G7" i="64"/>
  <c r="F9" i="64"/>
  <c r="F17" i="64" s="1"/>
  <c r="G14" i="64"/>
  <c r="F13" i="64"/>
  <c r="F18" i="64" s="1"/>
  <c r="F14" i="61"/>
  <c r="F15" i="61" s="1"/>
  <c r="I11" i="61"/>
  <c r="K19" i="61"/>
  <c r="K22" i="61"/>
  <c r="G9" i="61"/>
  <c r="G12" i="61" s="1"/>
  <c r="H7" i="61"/>
  <c r="I13" i="61"/>
  <c r="N12" i="63"/>
  <c r="N13" i="63" s="1"/>
  <c r="CO50" i="8" s="1"/>
  <c r="O9" i="63"/>
  <c r="O7" i="63"/>
  <c r="O8" i="63" s="1"/>
  <c r="P5" i="63"/>
  <c r="O4" i="63"/>
  <c r="CJ110" i="8"/>
  <c r="Q7" i="62"/>
  <c r="Q8" i="62" s="1"/>
  <c r="R5" i="62"/>
  <c r="Q4" i="62"/>
  <c r="P12" i="62"/>
  <c r="P13" i="62" s="1"/>
  <c r="CY49" i="8" s="1"/>
  <c r="Q9" i="62"/>
  <c r="CT109" i="8"/>
  <c r="CJ30" i="8"/>
  <c r="CD29" i="8"/>
  <c r="CD28" i="8" s="1"/>
  <c r="CD147" i="8" s="1"/>
  <c r="CB29" i="8"/>
  <c r="CB28" i="8" s="1"/>
  <c r="CB147" i="8" s="1"/>
  <c r="CE28" i="8"/>
  <c r="CE147" i="8" s="1"/>
  <c r="CC29" i="8"/>
  <c r="CC28" i="8" s="1"/>
  <c r="CC147" i="8" s="1"/>
  <c r="CA29" i="8"/>
  <c r="CA28" i="8" s="1"/>
  <c r="CA147" i="8" s="1"/>
  <c r="S26" i="38"/>
  <c r="I9" i="38"/>
  <c r="J7" i="38"/>
  <c r="H19" i="38"/>
  <c r="H27" i="38" s="1"/>
  <c r="H35" i="38" s="1"/>
  <c r="H36" i="38" s="1"/>
  <c r="CJ29" i="8" s="1"/>
  <c r="H18" i="38"/>
  <c r="H17" i="38"/>
  <c r="H16" i="38"/>
  <c r="J25" i="12"/>
  <c r="N68" i="12"/>
  <c r="J20" i="12"/>
  <c r="I23" i="12"/>
  <c r="I26" i="12" s="1"/>
  <c r="I10" i="12" s="1"/>
  <c r="I9" i="12" s="1"/>
  <c r="I12" i="12" s="1"/>
  <c r="I13" i="12" s="1"/>
  <c r="J36" i="12"/>
  <c r="J39" i="12" s="1"/>
  <c r="J42" i="12" s="1"/>
  <c r="K35" i="12"/>
  <c r="J45" i="12"/>
  <c r="J48" i="12" s="1"/>
  <c r="J51" i="12" s="1"/>
  <c r="K44" i="12"/>
  <c r="M50" i="12"/>
  <c r="P55" i="12"/>
  <c r="Q54" i="12"/>
  <c r="L81" i="12"/>
  <c r="M80" i="12"/>
  <c r="R21" i="12"/>
  <c r="L31" i="12"/>
  <c r="M30" i="12"/>
  <c r="M41" i="12"/>
  <c r="L47" i="12"/>
  <c r="Q107" i="12"/>
  <c r="L38" i="12"/>
  <c r="I45" i="12"/>
  <c r="I48" i="12" s="1"/>
  <c r="I51" i="12" s="1"/>
  <c r="L60" i="12"/>
  <c r="K88" i="12"/>
  <c r="K87" i="12"/>
  <c r="K105" i="12" s="1"/>
  <c r="N75" i="12"/>
  <c r="O74" i="12"/>
  <c r="O86" i="12"/>
  <c r="E38" i="13"/>
  <c r="E46" i="13" s="1"/>
  <c r="E40" i="13"/>
  <c r="E48" i="13" s="1"/>
  <c r="J68" i="13"/>
  <c r="K64" i="13"/>
  <c r="J66" i="13"/>
  <c r="K27" i="13"/>
  <c r="H66" i="13"/>
  <c r="H69" i="13" s="1"/>
  <c r="G8" i="13"/>
  <c r="M82" i="13"/>
  <c r="M80" i="13"/>
  <c r="M83" i="13"/>
  <c r="D27" i="13"/>
  <c r="D31" i="13" s="1"/>
  <c r="G6" i="13"/>
  <c r="E18" i="13"/>
  <c r="I69" i="13"/>
  <c r="I28" i="13"/>
  <c r="H31" i="13"/>
  <c r="H33" i="13"/>
  <c r="H35" i="13"/>
  <c r="L77" i="13" s="1"/>
  <c r="M77" i="13" s="1"/>
  <c r="N77" i="13" s="1"/>
  <c r="O77" i="13" s="1"/>
  <c r="P77" i="13" s="1"/>
  <c r="I71" i="13"/>
  <c r="I72" i="13" s="1"/>
  <c r="J63" i="13"/>
  <c r="N88" i="13"/>
  <c r="H32" i="13"/>
  <c r="H34" i="13"/>
  <c r="K62" i="13"/>
  <c r="J61" i="13"/>
  <c r="O92" i="13"/>
  <c r="I13" i="4"/>
  <c r="R13" i="4"/>
  <c r="G58" i="4"/>
  <c r="G60" i="4" s="1"/>
  <c r="L30" i="4"/>
  <c r="K59" i="4"/>
  <c r="K18" i="4"/>
  <c r="Q24" i="4"/>
  <c r="H8" i="4"/>
  <c r="I4" i="4"/>
  <c r="H7" i="4"/>
  <c r="G23" i="4"/>
  <c r="G26" i="4" s="1"/>
  <c r="I36" i="4"/>
  <c r="H38" i="4"/>
  <c r="T18" i="4"/>
  <c r="J37" i="4"/>
  <c r="K35" i="4"/>
  <c r="M54" i="4"/>
  <c r="O138" i="15"/>
  <c r="O12" i="15"/>
  <c r="P110" i="15"/>
  <c r="P109" i="15"/>
  <c r="P108" i="15"/>
  <c r="P106" i="15"/>
  <c r="Q110" i="15"/>
  <c r="Q109" i="15"/>
  <c r="Q108" i="15"/>
  <c r="Q106" i="15"/>
  <c r="G62" i="15"/>
  <c r="G69" i="15" s="1"/>
  <c r="Y73" i="15"/>
  <c r="Y71" i="15"/>
  <c r="Z72" i="15"/>
  <c r="Y74" i="15"/>
  <c r="W155" i="15"/>
  <c r="X154" i="15"/>
  <c r="W153" i="15"/>
  <c r="W156" i="15"/>
  <c r="U182" i="15"/>
  <c r="T185" i="15"/>
  <c r="V221" i="15"/>
  <c r="W197" i="15"/>
  <c r="R11" i="15"/>
  <c r="R110" i="15"/>
  <c r="R109" i="15"/>
  <c r="R108" i="15"/>
  <c r="R106" i="15"/>
  <c r="S110" i="15"/>
  <c r="S109" i="15"/>
  <c r="S108" i="15"/>
  <c r="O110" i="15"/>
  <c r="O109" i="15"/>
  <c r="O108" i="15"/>
  <c r="O106" i="15"/>
  <c r="P65" i="15"/>
  <c r="Q9" i="15"/>
  <c r="I22" i="15"/>
  <c r="J20" i="15"/>
  <c r="Q48" i="15"/>
  <c r="R47" i="15"/>
  <c r="Q46" i="15"/>
  <c r="R48" i="15"/>
  <c r="S48" i="15" s="1"/>
  <c r="T48" i="15" s="1"/>
  <c r="U48" i="15" s="1"/>
  <c r="V48" i="15" s="1"/>
  <c r="W48" i="15" s="1"/>
  <c r="X48" i="15" s="1"/>
  <c r="Y48" i="15" s="1"/>
  <c r="Z48" i="15" s="1"/>
  <c r="AA48" i="15" s="1"/>
  <c r="AB48" i="15" s="1"/>
  <c r="AC48" i="15" s="1"/>
  <c r="AD48" i="15" s="1"/>
  <c r="AE48" i="15" s="1"/>
  <c r="Q49" i="15"/>
  <c r="U91" i="15"/>
  <c r="V90" i="15"/>
  <c r="U92" i="15"/>
  <c r="W124" i="15"/>
  <c r="X123" i="15"/>
  <c r="W125" i="15"/>
  <c r="Z184" i="15"/>
  <c r="N221" i="15"/>
  <c r="O197" i="15"/>
  <c r="J138" i="15"/>
  <c r="I8" i="15"/>
  <c r="J10" i="15"/>
  <c r="L32" i="15"/>
  <c r="K31" i="15"/>
  <c r="T107" i="15"/>
  <c r="T95" i="15"/>
  <c r="T94" i="15"/>
  <c r="T93" i="15"/>
  <c r="H17" i="15"/>
  <c r="H25" i="15" s="1"/>
  <c r="I16" i="15"/>
  <c r="M21" i="15"/>
  <c r="O28" i="15"/>
  <c r="J58" i="15"/>
  <c r="S56" i="15"/>
  <c r="R55" i="15"/>
  <c r="R58" i="15"/>
  <c r="R84" i="15"/>
  <c r="J143" i="15"/>
  <c r="H145" i="15"/>
  <c r="I144" i="15"/>
  <c r="F25" i="15"/>
  <c r="F43" i="15" s="1"/>
  <c r="F53" i="15" s="1"/>
  <c r="F62" i="15"/>
  <c r="F69" i="15" s="1"/>
  <c r="V128" i="15"/>
  <c r="V127" i="15"/>
  <c r="V126" i="15"/>
  <c r="G25" i="15"/>
  <c r="G43" i="15" s="1"/>
  <c r="G53" i="15" s="1"/>
  <c r="V38" i="15"/>
  <c r="V37" i="15"/>
  <c r="U36" i="15"/>
  <c r="U39" i="15"/>
  <c r="P195" i="15"/>
  <c r="Q80" i="15"/>
  <c r="S102" i="15"/>
  <c r="S117" i="15"/>
  <c r="J142" i="15"/>
  <c r="X159" i="15"/>
  <c r="Y158" i="15"/>
  <c r="X157" i="15"/>
  <c r="X160" i="15"/>
  <c r="AA106" i="1"/>
  <c r="AA104" i="1"/>
  <c r="AA105" i="1"/>
  <c r="O106" i="1"/>
  <c r="O104" i="1"/>
  <c r="O105" i="1"/>
  <c r="O102" i="1"/>
  <c r="O66" i="1"/>
  <c r="X106" i="1"/>
  <c r="X105" i="1"/>
  <c r="X104" i="1"/>
  <c r="P106" i="1"/>
  <c r="P105" i="1"/>
  <c r="P104" i="1"/>
  <c r="P102" i="1"/>
  <c r="Q9" i="1"/>
  <c r="K22" i="1"/>
  <c r="L20" i="1"/>
  <c r="R46" i="1"/>
  <c r="R49" i="1"/>
  <c r="H58" i="1"/>
  <c r="I70" i="1"/>
  <c r="Y180" i="1"/>
  <c r="I140" i="1"/>
  <c r="I144" i="1" s="1"/>
  <c r="W154" i="1"/>
  <c r="V153" i="1"/>
  <c r="V155" i="1"/>
  <c r="V156" i="1"/>
  <c r="Y105" i="1"/>
  <c r="Y106" i="1"/>
  <c r="Y104" i="1"/>
  <c r="Q105" i="1"/>
  <c r="Q102" i="1"/>
  <c r="Q106" i="1"/>
  <c r="Q104" i="1"/>
  <c r="Q66" i="1"/>
  <c r="Z106" i="1"/>
  <c r="Z105" i="1"/>
  <c r="Z104" i="1"/>
  <c r="R106" i="1"/>
  <c r="R105" i="1"/>
  <c r="R104" i="1"/>
  <c r="R102" i="1"/>
  <c r="R11" i="1"/>
  <c r="G62" i="1"/>
  <c r="G68" i="1" s="1"/>
  <c r="G43" i="1"/>
  <c r="G53" i="1" s="1"/>
  <c r="R21" i="1"/>
  <c r="V57" i="1"/>
  <c r="V56" i="1"/>
  <c r="V55" i="1"/>
  <c r="U58" i="1"/>
  <c r="S80" i="1"/>
  <c r="U179" i="1"/>
  <c r="T178" i="1"/>
  <c r="T181" i="1" s="1"/>
  <c r="S98" i="1"/>
  <c r="AE106" i="1"/>
  <c r="AE104" i="1"/>
  <c r="AE105" i="1"/>
  <c r="W106" i="1"/>
  <c r="W104" i="1"/>
  <c r="W105" i="1"/>
  <c r="S106" i="1"/>
  <c r="S104" i="1"/>
  <c r="S105" i="1"/>
  <c r="AB106" i="1"/>
  <c r="AB105" i="1"/>
  <c r="AB104" i="1"/>
  <c r="T106" i="1"/>
  <c r="T105" i="1"/>
  <c r="T104" i="1"/>
  <c r="I8" i="1"/>
  <c r="J134" i="1"/>
  <c r="J159" i="1" s="1"/>
  <c r="J10" i="1"/>
  <c r="K161" i="1"/>
  <c r="K160" i="1"/>
  <c r="K162" i="1"/>
  <c r="O13" i="1"/>
  <c r="P8" i="1" s="1"/>
  <c r="P28" i="1"/>
  <c r="P66" i="1"/>
  <c r="T70" i="1"/>
  <c r="R113" i="1"/>
  <c r="W205" i="1"/>
  <c r="W209" i="15" s="1"/>
  <c r="Y6" i="1"/>
  <c r="AC105" i="1"/>
  <c r="AC106" i="1"/>
  <c r="AC104" i="1"/>
  <c r="U105" i="1"/>
  <c r="U106" i="1"/>
  <c r="U104" i="1"/>
  <c r="AD106" i="1"/>
  <c r="AD105" i="1"/>
  <c r="AD104" i="1"/>
  <c r="V106" i="1"/>
  <c r="V105" i="1"/>
  <c r="V104" i="1"/>
  <c r="O159" i="1"/>
  <c r="P191" i="1"/>
  <c r="Q76" i="1"/>
  <c r="H17" i="1"/>
  <c r="I16" i="1"/>
  <c r="J32" i="1"/>
  <c r="I31" i="1"/>
  <c r="S166" i="1"/>
  <c r="R169" i="1"/>
  <c r="W193" i="1"/>
  <c r="J139" i="1"/>
  <c r="V168" i="1"/>
  <c r="N193" i="1"/>
  <c r="M217" i="1"/>
  <c r="R13" i="17"/>
  <c r="I16" i="21"/>
  <c r="I105" i="21" s="1"/>
  <c r="J15" i="21"/>
  <c r="L96" i="21"/>
  <c r="M95" i="21"/>
  <c r="L46" i="21"/>
  <c r="M44" i="21"/>
  <c r="M51" i="21"/>
  <c r="N50" i="21"/>
  <c r="M66" i="21"/>
  <c r="N64" i="21"/>
  <c r="M24" i="21"/>
  <c r="M104" i="21" s="1"/>
  <c r="L26" i="21"/>
  <c r="N84" i="21"/>
  <c r="M86" i="21"/>
  <c r="K71" i="21"/>
  <c r="L70" i="21"/>
  <c r="M35" i="21"/>
  <c r="L36" i="21"/>
  <c r="K61" i="21"/>
  <c r="L60" i="21"/>
  <c r="M81" i="21"/>
  <c r="N79" i="21"/>
  <c r="N91" i="21"/>
  <c r="O89" i="21"/>
  <c r="L11" i="21"/>
  <c r="M9" i="21"/>
  <c r="M31" i="21"/>
  <c r="N29" i="21"/>
  <c r="M4" i="21"/>
  <c r="L6" i="21"/>
  <c r="S31" i="19"/>
  <c r="S43" i="20" s="1"/>
  <c r="AB25" i="20"/>
  <c r="T87" i="20"/>
  <c r="T44" i="20" s="1"/>
  <c r="T85" i="20"/>
  <c r="M97" i="19"/>
  <c r="M98" i="19"/>
  <c r="M96" i="19"/>
  <c r="U69" i="20"/>
  <c r="V64" i="20"/>
  <c r="S47" i="20"/>
  <c r="S102" i="20" s="1"/>
  <c r="E98" i="19"/>
  <c r="E96" i="19"/>
  <c r="Q96" i="19"/>
  <c r="Q98" i="19"/>
  <c r="S39" i="19"/>
  <c r="R102" i="20"/>
  <c r="X77" i="20"/>
  <c r="E91" i="19"/>
  <c r="E45" i="19"/>
  <c r="F91" i="19"/>
  <c r="L91" i="19"/>
  <c r="L45" i="19"/>
  <c r="M91" i="19"/>
  <c r="E44" i="19"/>
  <c r="F97" i="19"/>
  <c r="E97" i="19"/>
  <c r="Q44" i="19"/>
  <c r="Q97" i="19"/>
  <c r="U170" i="19"/>
  <c r="V16" i="19"/>
  <c r="V19" i="19"/>
  <c r="C44" i="19"/>
  <c r="D97" i="19"/>
  <c r="K44" i="19"/>
  <c r="L97" i="19"/>
  <c r="K97" i="19"/>
  <c r="V38" i="19"/>
  <c r="G114" i="19"/>
  <c r="H114" i="19" s="1"/>
  <c r="I114" i="19" s="1"/>
  <c r="J114" i="19" s="1"/>
  <c r="K114" i="19" s="1"/>
  <c r="L114" i="19" s="1"/>
  <c r="M114" i="19" s="1"/>
  <c r="N114" i="19" s="1"/>
  <c r="O114" i="19" s="1"/>
  <c r="P114" i="19" s="1"/>
  <c r="Q114" i="19" s="1"/>
  <c r="R114" i="19" s="1"/>
  <c r="S114" i="19" s="1"/>
  <c r="T114" i="19" s="1"/>
  <c r="U114" i="19" s="1"/>
  <c r="V114" i="19" s="1"/>
  <c r="W114" i="19" s="1"/>
  <c r="X114" i="19" s="1"/>
  <c r="Y114" i="19" s="1"/>
  <c r="Z114" i="19" s="1"/>
  <c r="AA114" i="19" s="1"/>
  <c r="AB114" i="19" s="1"/>
  <c r="AC114" i="19" s="1"/>
  <c r="AD114" i="19" s="1"/>
  <c r="AE114" i="19" s="1"/>
  <c r="F115" i="19"/>
  <c r="G115" i="19" s="1"/>
  <c r="Q153" i="19"/>
  <c r="Q152" i="19" s="1"/>
  <c r="R149" i="19"/>
  <c r="Q148" i="19"/>
  <c r="T154" i="19"/>
  <c r="S15" i="19"/>
  <c r="T175" i="19"/>
  <c r="U32" i="19"/>
  <c r="AB156" i="19"/>
  <c r="AB5" i="20" s="1"/>
  <c r="DT63" i="10"/>
  <c r="N112" i="19"/>
  <c r="BA82" i="8"/>
  <c r="BF82" i="8"/>
  <c r="AA116" i="8"/>
  <c r="AA64" i="8"/>
  <c r="AU139" i="8"/>
  <c r="AU116" i="8"/>
  <c r="AU64" i="8"/>
  <c r="AF116" i="8"/>
  <c r="AF64" i="8"/>
  <c r="AL116" i="8"/>
  <c r="BU122" i="8"/>
  <c r="BY102" i="8"/>
  <c r="CJ118" i="8"/>
  <c r="CO63" i="8"/>
  <c r="CF63" i="8"/>
  <c r="AS119" i="8"/>
  <c r="AY158" i="8"/>
  <c r="Q116" i="8"/>
  <c r="Q64" i="8"/>
  <c r="BU116" i="8"/>
  <c r="BU64" i="8"/>
  <c r="BU119" i="8" s="1"/>
  <c r="AV74" i="8"/>
  <c r="P119" i="8"/>
  <c r="X119" i="8"/>
  <c r="AD119" i="8"/>
  <c r="AJ119" i="8"/>
  <c r="BK118" i="8"/>
  <c r="BP118" i="8"/>
  <c r="BA100" i="8"/>
  <c r="O119" i="8"/>
  <c r="U119" i="8"/>
  <c r="AC119" i="8"/>
  <c r="AI119" i="8"/>
  <c r="AO119" i="8"/>
  <c r="BJ117" i="8"/>
  <c r="BK62" i="8"/>
  <c r="BK64" i="8" s="1"/>
  <c r="BK119" i="8" s="1"/>
  <c r="BO117" i="8"/>
  <c r="CY127" i="8"/>
  <c r="DF132" i="8"/>
  <c r="AO142" i="8"/>
  <c r="AP122" i="8"/>
  <c r="AP142" i="8" s="1"/>
  <c r="BE142" i="8"/>
  <c r="BF142" i="8" s="1"/>
  <c r="BF122" i="8" s="1"/>
  <c r="BG122" i="8"/>
  <c r="BG142" i="8" s="1"/>
  <c r="BM142" i="8"/>
  <c r="BN122" i="8"/>
  <c r="BI144" i="8"/>
  <c r="BJ124" i="8"/>
  <c r="BL145" i="8"/>
  <c r="BM125" i="8"/>
  <c r="BG151" i="8"/>
  <c r="BH131" i="8"/>
  <c r="CT122" i="8"/>
  <c r="DT133" i="8"/>
  <c r="DH134" i="8"/>
  <c r="DM135" i="8"/>
  <c r="DD133" i="8"/>
  <c r="DU133" i="8"/>
  <c r="DE134" i="8"/>
  <c r="DJ135" i="8"/>
  <c r="CY134" i="8"/>
  <c r="AZ119" i="8"/>
  <c r="AZ116" i="8"/>
  <c r="AK116" i="8"/>
  <c r="AK64" i="8"/>
  <c r="BA80" i="8"/>
  <c r="BF80" i="8"/>
  <c r="V116" i="8"/>
  <c r="V64" i="8"/>
  <c r="AP139" i="8"/>
  <c r="AP116" i="8"/>
  <c r="AP64" i="8"/>
  <c r="AV61" i="8"/>
  <c r="BA78" i="8"/>
  <c r="BE82" i="8"/>
  <c r="AZ82" i="8"/>
  <c r="AV15" i="8"/>
  <c r="CE102" i="8"/>
  <c r="CC38" i="8"/>
  <c r="CA38" i="8"/>
  <c r="CJ38" i="8"/>
  <c r="CB38" i="8"/>
  <c r="AV114" i="8"/>
  <c r="BA114" i="8"/>
  <c r="CE158" i="8"/>
  <c r="CE114" i="8"/>
  <c r="CA42" i="8"/>
  <c r="CJ42" i="8"/>
  <c r="DD96" i="8"/>
  <c r="DI32" i="8"/>
  <c r="DD98" i="8"/>
  <c r="DI34" i="8"/>
  <c r="CE100" i="8"/>
  <c r="CD36" i="8"/>
  <c r="CB36" i="8"/>
  <c r="CC36" i="8"/>
  <c r="CA36" i="8"/>
  <c r="S119" i="8"/>
  <c r="Y119" i="8"/>
  <c r="AE119" i="8"/>
  <c r="AM119" i="8"/>
  <c r="CA118" i="8"/>
  <c r="CB63" i="8"/>
  <c r="CO149" i="8"/>
  <c r="CT129" i="8"/>
  <c r="DL132" i="8"/>
  <c r="EA133" i="8"/>
  <c r="AZ143" i="8"/>
  <c r="AZ158" i="8" s="1"/>
  <c r="AZ138" i="8" s="1"/>
  <c r="BB123" i="8"/>
  <c r="BX146" i="8"/>
  <c r="BY126" i="8"/>
  <c r="BJ146" i="8"/>
  <c r="BK146" i="8" s="1"/>
  <c r="BK126" i="8" s="1"/>
  <c r="BL126" i="8"/>
  <c r="CO126" i="8"/>
  <c r="AO150" i="8"/>
  <c r="AP130" i="8"/>
  <c r="AP150" i="8" s="1"/>
  <c r="BG150" i="8"/>
  <c r="BH130" i="8"/>
  <c r="CJ148" i="8"/>
  <c r="CO128" i="8"/>
  <c r="DE132" i="8"/>
  <c r="DF134" i="8"/>
  <c r="DK135" i="8"/>
  <c r="DD135" i="8"/>
  <c r="DH132" i="8"/>
  <c r="DW133" i="8"/>
  <c r="DG134" i="8"/>
  <c r="DL135" i="8"/>
  <c r="CY138" i="8"/>
  <c r="DD152" i="8"/>
  <c r="DI132" i="8"/>
  <c r="W116" i="8"/>
  <c r="AG116" i="8"/>
  <c r="AQ116" i="8"/>
  <c r="AQ64" i="8"/>
  <c r="BA61" i="8"/>
  <c r="BK139" i="8"/>
  <c r="BK116" i="8"/>
  <c r="AR119" i="8"/>
  <c r="AG114" i="8"/>
  <c r="H64" i="8"/>
  <c r="H119" i="8" s="1"/>
  <c r="M64" i="8"/>
  <c r="R64" i="8"/>
  <c r="W64" i="8"/>
  <c r="AB64" i="8"/>
  <c r="AG64" i="8"/>
  <c r="AL64" i="8"/>
  <c r="BJ64" i="8"/>
  <c r="BZ117" i="8"/>
  <c r="CE62" i="8"/>
  <c r="AN158" i="8"/>
  <c r="BF145" i="8"/>
  <c r="BF125" i="8" s="1"/>
  <c r="AQ151" i="8"/>
  <c r="AQ131" i="8" s="1"/>
  <c r="AR131" i="8" s="1"/>
  <c r="AV143" i="8"/>
  <c r="AV123" i="8" s="1"/>
  <c r="BX26" i="10"/>
  <c r="BL112" i="10"/>
  <c r="BL118" i="10"/>
  <c r="AR112" i="10"/>
  <c r="AR18" i="10"/>
  <c r="AQ18" i="10" s="1"/>
  <c r="AR16" i="10"/>
  <c r="AQ16" i="10" s="1"/>
  <c r="AR14" i="10"/>
  <c r="AQ14" i="10" s="1"/>
  <c r="AR118" i="10"/>
  <c r="AR17" i="10"/>
  <c r="AQ17" i="10" s="1"/>
  <c r="AR15" i="10"/>
  <c r="AQ15" i="10" s="1"/>
  <c r="X112" i="10"/>
  <c r="X118" i="10"/>
  <c r="BG111" i="10"/>
  <c r="AM111" i="10"/>
  <c r="AM39" i="10"/>
  <c r="BV110" i="10"/>
  <c r="BB110" i="10"/>
  <c r="CP56" i="10"/>
  <c r="BV112" i="10"/>
  <c r="BV118" i="10"/>
  <c r="BB112" i="10"/>
  <c r="BB17" i="10"/>
  <c r="BA17" i="10" s="1"/>
  <c r="BB15" i="10"/>
  <c r="BA15" i="10" s="1"/>
  <c r="BB118" i="10"/>
  <c r="BB19" i="10"/>
  <c r="BA19" i="10" s="1"/>
  <c r="BB18" i="10"/>
  <c r="BA18" i="10" s="1"/>
  <c r="BB16" i="10"/>
  <c r="BA16" i="10" s="1"/>
  <c r="BB14" i="10"/>
  <c r="BA14" i="10" s="1"/>
  <c r="AH112" i="10"/>
  <c r="AH118" i="10"/>
  <c r="BQ111" i="10"/>
  <c r="BQ39" i="10"/>
  <c r="AW111" i="10"/>
  <c r="AW39" i="10"/>
  <c r="AC111" i="10"/>
  <c r="AC39" i="10"/>
  <c r="AH110" i="10"/>
  <c r="BG112" i="10"/>
  <c r="BG118" i="10"/>
  <c r="AM112" i="10"/>
  <c r="AM118" i="10"/>
  <c r="BV111" i="10"/>
  <c r="BV39" i="10"/>
  <c r="BB111" i="10"/>
  <c r="BB39" i="10"/>
  <c r="AH111" i="10"/>
  <c r="AH39" i="10"/>
  <c r="X111" i="10"/>
  <c r="BG110" i="10"/>
  <c r="AM110" i="10"/>
  <c r="S110" i="10"/>
  <c r="S111" i="10"/>
  <c r="BL110" i="10"/>
  <c r="AR110" i="10"/>
  <c r="X110" i="10"/>
  <c r="BQ112" i="10"/>
  <c r="BQ118" i="10"/>
  <c r="AW112" i="10"/>
  <c r="AW118" i="10"/>
  <c r="AW17" i="10"/>
  <c r="AV17" i="10" s="1"/>
  <c r="AW15" i="10"/>
  <c r="AV15" i="10" s="1"/>
  <c r="AW19" i="10"/>
  <c r="AV19" i="10" s="1"/>
  <c r="AW18" i="10"/>
  <c r="AV18" i="10" s="1"/>
  <c r="AW16" i="10"/>
  <c r="AV16" i="10" s="1"/>
  <c r="AW14" i="10"/>
  <c r="AV14" i="10" s="1"/>
  <c r="AC112" i="10"/>
  <c r="AC118" i="10"/>
  <c r="BL111" i="10"/>
  <c r="BL39" i="10"/>
  <c r="AR111" i="10"/>
  <c r="AR39" i="10"/>
  <c r="BQ110" i="10"/>
  <c r="AW110" i="10"/>
  <c r="AC110" i="10"/>
  <c r="X39" i="10"/>
  <c r="DA46" i="8" l="1"/>
  <c r="DA152" i="8" s="1"/>
  <c r="CV104" i="8"/>
  <c r="G17" i="13"/>
  <c r="CJ48" i="8"/>
  <c r="CJ108" i="8" s="1"/>
  <c r="CO109" i="8"/>
  <c r="Q119" i="8"/>
  <c r="AL119" i="8"/>
  <c r="R119" i="8"/>
  <c r="AF119" i="8"/>
  <c r="CD128" i="8"/>
  <c r="CD148" i="8" s="1"/>
  <c r="CC148" i="8"/>
  <c r="F143" i="19"/>
  <c r="F68" i="19"/>
  <c r="F70" i="19"/>
  <c r="CA102" i="8"/>
  <c r="CC102" i="8"/>
  <c r="CB102" i="8"/>
  <c r="CA100" i="8"/>
  <c r="CC100" i="8"/>
  <c r="CB100" i="8"/>
  <c r="CD100" i="8"/>
  <c r="F72" i="19"/>
  <c r="P70" i="19"/>
  <c r="P68" i="19"/>
  <c r="CZ104" i="8"/>
  <c r="CW152" i="8"/>
  <c r="CW104" i="8"/>
  <c r="AB119" i="8"/>
  <c r="DB104" i="8"/>
  <c r="AQ150" i="8"/>
  <c r="AQ130" i="8" s="1"/>
  <c r="AR130" i="8" s="1"/>
  <c r="V119" i="8"/>
  <c r="AP119" i="8"/>
  <c r="H23" i="4"/>
  <c r="H26" i="4" s="1"/>
  <c r="AA25" i="19"/>
  <c r="Z23" i="20"/>
  <c r="W22" i="19"/>
  <c r="V26" i="20"/>
  <c r="AP158" i="8"/>
  <c r="AP138" i="8" s="1"/>
  <c r="AA119" i="8"/>
  <c r="T74" i="20"/>
  <c r="T82" i="20"/>
  <c r="T76" i="20"/>
  <c r="T71" i="20"/>
  <c r="V37" i="1"/>
  <c r="U39" i="1"/>
  <c r="U36" i="1"/>
  <c r="V38" i="1"/>
  <c r="BA81" i="8"/>
  <c r="I7" i="12"/>
  <c r="AK119" i="8"/>
  <c r="O14" i="12"/>
  <c r="P14" i="12" s="1"/>
  <c r="Q14" i="12" s="1"/>
  <c r="R14" i="12" s="1"/>
  <c r="S14" i="12" s="1"/>
  <c r="T14" i="12" s="1"/>
  <c r="U14" i="12" s="1"/>
  <c r="V14" i="12" s="1"/>
  <c r="W14" i="12" s="1"/>
  <c r="X14" i="12" s="1"/>
  <c r="Y14" i="12" s="1"/>
  <c r="Z14" i="12" s="1"/>
  <c r="AA14" i="12" s="1"/>
  <c r="AB14" i="12" s="1"/>
  <c r="X149" i="1"/>
  <c r="Y150" i="1"/>
  <c r="X152" i="1"/>
  <c r="H68" i="19"/>
  <c r="H143" i="19"/>
  <c r="DE46" i="8"/>
  <c r="DE152" i="8" s="1"/>
  <c r="T39" i="19"/>
  <c r="T138" i="1"/>
  <c r="T137" i="1"/>
  <c r="AL139" i="8"/>
  <c r="DG46" i="8"/>
  <c r="DG104" i="8" s="1"/>
  <c r="DH46" i="8"/>
  <c r="DH152" i="8" s="1"/>
  <c r="DC104" i="8"/>
  <c r="H144" i="19"/>
  <c r="W211" i="15"/>
  <c r="X207" i="1"/>
  <c r="H70" i="19"/>
  <c r="N144" i="19"/>
  <c r="N72" i="19"/>
  <c r="N70" i="19"/>
  <c r="N68" i="19"/>
  <c r="J58" i="19"/>
  <c r="J61" i="19"/>
  <c r="J57" i="19"/>
  <c r="K50" i="19"/>
  <c r="K57" i="19"/>
  <c r="K58" i="19"/>
  <c r="K61" i="19"/>
  <c r="M58" i="19"/>
  <c r="M57" i="19"/>
  <c r="M61" i="19"/>
  <c r="M50" i="19"/>
  <c r="L58" i="19"/>
  <c r="L57" i="19"/>
  <c r="L61" i="19"/>
  <c r="O144" i="19"/>
  <c r="O70" i="19"/>
  <c r="O68" i="19"/>
  <c r="O72" i="19"/>
  <c r="N58" i="19"/>
  <c r="N61" i="19"/>
  <c r="N57" i="19"/>
  <c r="Q144" i="19"/>
  <c r="Q68" i="19"/>
  <c r="Q72" i="19"/>
  <c r="Q70" i="19"/>
  <c r="L144" i="19"/>
  <c r="L68" i="19"/>
  <c r="L143" i="19"/>
  <c r="L72" i="19"/>
  <c r="L70" i="19"/>
  <c r="I144" i="19"/>
  <c r="I72" i="19"/>
  <c r="I143" i="19"/>
  <c r="I70" i="19"/>
  <c r="I68" i="19"/>
  <c r="G144" i="19"/>
  <c r="G72" i="19"/>
  <c r="G70" i="19"/>
  <c r="G68" i="19"/>
  <c r="G143" i="19"/>
  <c r="J50" i="19"/>
  <c r="P10" i="64"/>
  <c r="K16" i="64"/>
  <c r="L11" i="64"/>
  <c r="J32" i="64"/>
  <c r="M43" i="64"/>
  <c r="M15" i="64"/>
  <c r="DN46" i="8"/>
  <c r="DN104" i="8" s="1"/>
  <c r="M13" i="64"/>
  <c r="M18" i="64" s="1"/>
  <c r="N7" i="64"/>
  <c r="M9" i="64"/>
  <c r="M17" i="64" s="1"/>
  <c r="H14" i="64"/>
  <c r="G13" i="64"/>
  <c r="G18" i="64" s="1"/>
  <c r="G15" i="64"/>
  <c r="CJ46" i="8"/>
  <c r="G9" i="64"/>
  <c r="G17" i="64" s="1"/>
  <c r="F19" i="64"/>
  <c r="K42" i="64"/>
  <c r="L3" i="64"/>
  <c r="I34" i="64"/>
  <c r="I33" i="64"/>
  <c r="L44" i="64"/>
  <c r="G14" i="61"/>
  <c r="G15" i="61" s="1"/>
  <c r="J11" i="61"/>
  <c r="J13" i="61"/>
  <c r="H9" i="61"/>
  <c r="H12" i="61" s="1"/>
  <c r="I7" i="61"/>
  <c r="L19" i="61"/>
  <c r="L22" i="61"/>
  <c r="P4" i="63"/>
  <c r="Q5" i="63"/>
  <c r="P7" i="63"/>
  <c r="P8" i="63" s="1"/>
  <c r="P9" i="63"/>
  <c r="O12" i="63"/>
  <c r="O13" i="63" s="1"/>
  <c r="CT50" i="8" s="1"/>
  <c r="CO110" i="8"/>
  <c r="CO48" i="8"/>
  <c r="Q12" i="62"/>
  <c r="Q13" i="62" s="1"/>
  <c r="DD49" i="8" s="1"/>
  <c r="R9" i="62"/>
  <c r="CY109" i="8"/>
  <c r="R7" i="62"/>
  <c r="R8" i="62" s="1"/>
  <c r="S5" i="62"/>
  <c r="R4" i="62"/>
  <c r="I19" i="38"/>
  <c r="I27" i="38" s="1"/>
  <c r="I35" i="38" s="1"/>
  <c r="I36" i="38" s="1"/>
  <c r="CO29" i="8" s="1"/>
  <c r="I18" i="38"/>
  <c r="I17" i="38"/>
  <c r="I16" i="38"/>
  <c r="CI30" i="8"/>
  <c r="CF30" i="8"/>
  <c r="CH30" i="8"/>
  <c r="CG30" i="8"/>
  <c r="K7" i="38"/>
  <c r="J9" i="38"/>
  <c r="CJ93" i="8"/>
  <c r="CF29" i="8"/>
  <c r="CH29" i="8"/>
  <c r="CJ28" i="8"/>
  <c r="CG29" i="8"/>
  <c r="CI29" i="8"/>
  <c r="CO30" i="8"/>
  <c r="P86" i="12"/>
  <c r="O75" i="12"/>
  <c r="P74" i="12"/>
  <c r="I66" i="12"/>
  <c r="L88" i="12"/>
  <c r="L87" i="12"/>
  <c r="L105" i="12" s="1"/>
  <c r="Q55" i="12"/>
  <c r="R54" i="12"/>
  <c r="N50" i="12"/>
  <c r="L44" i="12"/>
  <c r="K36" i="12"/>
  <c r="K39" i="12" s="1"/>
  <c r="K42" i="12" s="1"/>
  <c r="L35" i="12"/>
  <c r="O68" i="12"/>
  <c r="K25" i="12"/>
  <c r="K106" i="12"/>
  <c r="K108" i="12" s="1"/>
  <c r="K16" i="12" s="1"/>
  <c r="M60" i="12"/>
  <c r="I67" i="12"/>
  <c r="I69" i="12" s="1"/>
  <c r="M38" i="12"/>
  <c r="R107" i="12"/>
  <c r="M47" i="12"/>
  <c r="N41" i="12"/>
  <c r="M31" i="12"/>
  <c r="N30" i="12"/>
  <c r="S21" i="12"/>
  <c r="M81" i="12"/>
  <c r="N80" i="12"/>
  <c r="J66" i="12"/>
  <c r="J67" i="12"/>
  <c r="J69" i="12" s="1"/>
  <c r="K20" i="12"/>
  <c r="J23" i="12"/>
  <c r="J26" i="12" s="1"/>
  <c r="J10" i="12" s="1"/>
  <c r="J9" i="12" s="1"/>
  <c r="J12" i="12" s="1"/>
  <c r="J13" i="12" s="1"/>
  <c r="P92" i="13"/>
  <c r="E39" i="13"/>
  <c r="E47" i="13" s="1"/>
  <c r="O88" i="13"/>
  <c r="K63" i="13"/>
  <c r="K61" i="13" s="1"/>
  <c r="J71" i="13"/>
  <c r="J72" i="13" s="1"/>
  <c r="L76" i="13"/>
  <c r="L79" i="13"/>
  <c r="F27" i="13"/>
  <c r="G42" i="13"/>
  <c r="G50" i="13" s="1"/>
  <c r="H42" i="13"/>
  <c r="H50" i="13" s="1"/>
  <c r="H18" i="13"/>
  <c r="J69" i="13"/>
  <c r="L62" i="13"/>
  <c r="F40" i="13"/>
  <c r="F48" i="13" s="1"/>
  <c r="F38" i="13"/>
  <c r="F46" i="13" s="1"/>
  <c r="F17" i="13"/>
  <c r="D34" i="13"/>
  <c r="D35" i="13"/>
  <c r="D32" i="13"/>
  <c r="D33" i="13"/>
  <c r="G40" i="13"/>
  <c r="G48" i="13" s="1"/>
  <c r="H40" i="13"/>
  <c r="H48" i="13" s="1"/>
  <c r="G38" i="13"/>
  <c r="G46" i="13" s="1"/>
  <c r="H38" i="13"/>
  <c r="H46" i="13" s="1"/>
  <c r="N82" i="13"/>
  <c r="N80" i="13"/>
  <c r="N83" i="13"/>
  <c r="H72" i="13"/>
  <c r="K66" i="13"/>
  <c r="L27" i="13"/>
  <c r="K68" i="13"/>
  <c r="L64" i="13"/>
  <c r="E27" i="13"/>
  <c r="E32" i="13" s="1"/>
  <c r="I38" i="4"/>
  <c r="J36" i="4"/>
  <c r="H29" i="4"/>
  <c r="H31" i="4" s="1"/>
  <c r="S13" i="4"/>
  <c r="N54" i="4"/>
  <c r="L35" i="4"/>
  <c r="K37" i="4"/>
  <c r="U18" i="4"/>
  <c r="H53" i="4"/>
  <c r="H55" i="4" s="1"/>
  <c r="H58" i="4"/>
  <c r="H60" i="4" s="1"/>
  <c r="I7" i="4"/>
  <c r="I8" i="4"/>
  <c r="J4" i="4"/>
  <c r="R24" i="4"/>
  <c r="L18" i="4"/>
  <c r="L59" i="4"/>
  <c r="M30" i="4"/>
  <c r="I145" i="15"/>
  <c r="J144" i="15"/>
  <c r="I58" i="15"/>
  <c r="P28" i="15"/>
  <c r="N21" i="15"/>
  <c r="I17" i="15"/>
  <c r="I25" i="15" s="1"/>
  <c r="I34" i="15" s="1"/>
  <c r="I40" i="15" s="1"/>
  <c r="I96" i="15" s="1"/>
  <c r="J16" i="15"/>
  <c r="AA184" i="15"/>
  <c r="X124" i="15"/>
  <c r="Y123" i="15"/>
  <c r="X125" i="15"/>
  <c r="U107" i="15"/>
  <c r="U95" i="15"/>
  <c r="U94" i="15"/>
  <c r="U93" i="15"/>
  <c r="Q65" i="15"/>
  <c r="S11" i="15"/>
  <c r="V182" i="15"/>
  <c r="U185" i="15"/>
  <c r="AA72" i="15"/>
  <c r="Z73" i="15"/>
  <c r="Z71" i="15"/>
  <c r="Z74" i="15"/>
  <c r="Y159" i="15"/>
  <c r="Y157" i="15"/>
  <c r="Z158" i="15"/>
  <c r="Y160" i="15"/>
  <c r="J163" i="15"/>
  <c r="K142" i="15"/>
  <c r="T117" i="15"/>
  <c r="S121" i="15"/>
  <c r="T102" i="15"/>
  <c r="T106" i="15" s="1"/>
  <c r="Q195" i="15"/>
  <c r="R80" i="15"/>
  <c r="W38" i="15"/>
  <c r="W37" i="15"/>
  <c r="V36" i="15"/>
  <c r="V39" i="15"/>
  <c r="J175" i="15"/>
  <c r="K143" i="15"/>
  <c r="S84" i="15"/>
  <c r="R88" i="15"/>
  <c r="T56" i="15"/>
  <c r="S55" i="15"/>
  <c r="S58" i="15"/>
  <c r="H43" i="15"/>
  <c r="H53" i="15" s="1"/>
  <c r="H62" i="15"/>
  <c r="H69" i="15" s="1"/>
  <c r="T110" i="15"/>
  <c r="T109" i="15"/>
  <c r="T108" i="15"/>
  <c r="M32" i="15"/>
  <c r="L31" i="15"/>
  <c r="I138" i="15"/>
  <c r="I10" i="15"/>
  <c r="H8" i="15"/>
  <c r="O221" i="15"/>
  <c r="P197" i="15"/>
  <c r="W128" i="15"/>
  <c r="W127" i="15"/>
  <c r="W126" i="15"/>
  <c r="W90" i="15"/>
  <c r="V91" i="15"/>
  <c r="V92" i="15"/>
  <c r="R46" i="15"/>
  <c r="S47" i="15"/>
  <c r="R49" i="15"/>
  <c r="K20" i="15"/>
  <c r="J22" i="15"/>
  <c r="R9" i="15"/>
  <c r="S106" i="15"/>
  <c r="W221" i="15"/>
  <c r="X197" i="15"/>
  <c r="Y154" i="15"/>
  <c r="X155" i="15"/>
  <c r="X153" i="15"/>
  <c r="X156" i="15"/>
  <c r="O10" i="15"/>
  <c r="O13" i="15"/>
  <c r="P8" i="15" s="1"/>
  <c r="N217" i="1"/>
  <c r="O193" i="1"/>
  <c r="W168" i="1"/>
  <c r="K32" i="1"/>
  <c r="J31" i="1"/>
  <c r="H62" i="1"/>
  <c r="H68" i="1" s="1"/>
  <c r="H25" i="1"/>
  <c r="H34" i="1" s="1"/>
  <c r="O161" i="1"/>
  <c r="O160" i="1"/>
  <c r="O162" i="1"/>
  <c r="Z6" i="1"/>
  <c r="S113" i="1"/>
  <c r="R117" i="1"/>
  <c r="Q28" i="1"/>
  <c r="P134" i="1"/>
  <c r="P159" i="1" s="1"/>
  <c r="P12" i="1"/>
  <c r="I134" i="1"/>
  <c r="I183" i="1" s="1"/>
  <c r="I10" i="1"/>
  <c r="H8" i="1"/>
  <c r="T98" i="1"/>
  <c r="V179" i="1"/>
  <c r="U178" i="1"/>
  <c r="U181" i="1" s="1"/>
  <c r="J140" i="1"/>
  <c r="J144" i="1" s="1"/>
  <c r="Z180" i="1"/>
  <c r="R65" i="1"/>
  <c r="S46" i="1"/>
  <c r="S49" i="1" s="1"/>
  <c r="R9" i="1"/>
  <c r="K139" i="1"/>
  <c r="J171" i="1"/>
  <c r="X193" i="1"/>
  <c r="T166" i="1"/>
  <c r="S169" i="1"/>
  <c r="J16" i="1"/>
  <c r="I17" i="1"/>
  <c r="Q191" i="1"/>
  <c r="R76" i="1"/>
  <c r="X205" i="1"/>
  <c r="X209" i="15" s="1"/>
  <c r="J162" i="1"/>
  <c r="J160" i="1"/>
  <c r="J161" i="1"/>
  <c r="S102" i="1"/>
  <c r="T80" i="1"/>
  <c r="S84" i="1"/>
  <c r="U70" i="1"/>
  <c r="W57" i="1"/>
  <c r="W56" i="1"/>
  <c r="W55" i="1"/>
  <c r="V58" i="1"/>
  <c r="S21" i="1"/>
  <c r="S11" i="1"/>
  <c r="W155" i="1"/>
  <c r="X154" i="1"/>
  <c r="W153" i="1"/>
  <c r="W156" i="1" s="1"/>
  <c r="H70" i="1"/>
  <c r="M20" i="1"/>
  <c r="L22" i="1"/>
  <c r="S13" i="17"/>
  <c r="T31" i="19"/>
  <c r="T43" i="20" s="1"/>
  <c r="M36" i="21"/>
  <c r="N35" i="21"/>
  <c r="L71" i="21"/>
  <c r="M70" i="21"/>
  <c r="M26" i="21"/>
  <c r="N24" i="21"/>
  <c r="N104" i="21" s="1"/>
  <c r="O64" i="21"/>
  <c r="N66" i="21"/>
  <c r="O50" i="21"/>
  <c r="N51" i="21"/>
  <c r="M46" i="21"/>
  <c r="N44" i="21"/>
  <c r="M96" i="21"/>
  <c r="N95" i="21"/>
  <c r="K15" i="21"/>
  <c r="J16" i="21"/>
  <c r="J105" i="21" s="1"/>
  <c r="K107" i="21"/>
  <c r="M6" i="21"/>
  <c r="N4" i="21"/>
  <c r="N31" i="21"/>
  <c r="O29" i="21"/>
  <c r="N9" i="21"/>
  <c r="M11" i="21"/>
  <c r="P89" i="21"/>
  <c r="O91" i="21"/>
  <c r="O79" i="21"/>
  <c r="N81" i="21"/>
  <c r="M60" i="21"/>
  <c r="L61" i="21"/>
  <c r="N86" i="21"/>
  <c r="O84" i="21"/>
  <c r="U85" i="20"/>
  <c r="U87" i="20"/>
  <c r="U44" i="20" s="1"/>
  <c r="AC25" i="20"/>
  <c r="Y77" i="20"/>
  <c r="V69" i="20"/>
  <c r="W64" i="20"/>
  <c r="O112" i="19"/>
  <c r="AC156" i="19"/>
  <c r="AC5" i="20" s="1"/>
  <c r="DY63" i="10"/>
  <c r="U175" i="19"/>
  <c r="V32" i="19"/>
  <c r="U154" i="19"/>
  <c r="T15" i="19"/>
  <c r="R148" i="19"/>
  <c r="H115" i="19"/>
  <c r="I115" i="19" s="1"/>
  <c r="J115" i="19" s="1"/>
  <c r="K115" i="19" s="1"/>
  <c r="L115" i="19" s="1"/>
  <c r="M115" i="19" s="1"/>
  <c r="G116" i="19"/>
  <c r="H116" i="19" s="1"/>
  <c r="W19" i="19"/>
  <c r="V170" i="19"/>
  <c r="W16" i="19"/>
  <c r="W38" i="19"/>
  <c r="AR150" i="8"/>
  <c r="AS130" i="8"/>
  <c r="AR151" i="8"/>
  <c r="AS131" i="8"/>
  <c r="AN138" i="8"/>
  <c r="BW117" i="8"/>
  <c r="CE117" i="8"/>
  <c r="CJ62" i="8"/>
  <c r="CB62" i="8"/>
  <c r="CC62" i="8"/>
  <c r="CA62" i="8"/>
  <c r="CB5" i="10" s="1"/>
  <c r="AQ119" i="8"/>
  <c r="EF133" i="8"/>
  <c r="CT149" i="8"/>
  <c r="CY129" i="8"/>
  <c r="CB118" i="8"/>
  <c r="CC63" i="8"/>
  <c r="CD63" i="8" s="1"/>
  <c r="CJ100" i="8"/>
  <c r="CH36" i="8"/>
  <c r="CH100" i="8" s="1"/>
  <c r="CF36" i="8"/>
  <c r="CF100" i="8" s="1"/>
  <c r="CI36" i="8"/>
  <c r="CI100" i="8" s="1"/>
  <c r="CG36" i="8"/>
  <c r="CG100" i="8" s="1"/>
  <c r="DI98" i="8"/>
  <c r="DN34" i="8"/>
  <c r="DI96" i="8"/>
  <c r="DN32" i="8"/>
  <c r="CJ114" i="8"/>
  <c r="CO42" i="8"/>
  <c r="CF42" i="8"/>
  <c r="CJ158" i="8"/>
  <c r="CJ102" i="8"/>
  <c r="CO38" i="8"/>
  <c r="CG38" i="8"/>
  <c r="CG102" i="8" s="1"/>
  <c r="CH38" i="8"/>
  <c r="CH102" i="8" s="1"/>
  <c r="CF38" i="8"/>
  <c r="CF102" i="8" s="1"/>
  <c r="DD134" i="8"/>
  <c r="DO135" i="8"/>
  <c r="DJ134" i="8"/>
  <c r="DZ133" i="8"/>
  <c r="DI133" i="8"/>
  <c r="DR135" i="8"/>
  <c r="DM134" i="8"/>
  <c r="DY133" i="8"/>
  <c r="CY122" i="8"/>
  <c r="BH151" i="8"/>
  <c r="BI131" i="8"/>
  <c r="BM145" i="8"/>
  <c r="BN125" i="8"/>
  <c r="BJ144" i="8"/>
  <c r="BK144" i="8" s="1"/>
  <c r="BK124" i="8" s="1"/>
  <c r="BL124" i="8"/>
  <c r="BN142" i="8"/>
  <c r="BO122" i="8"/>
  <c r="BO142" i="8" s="1"/>
  <c r="BK142" i="8"/>
  <c r="BK122" i="8" s="1"/>
  <c r="DK132" i="8"/>
  <c r="DD127" i="8"/>
  <c r="BA143" i="8"/>
  <c r="BA123" i="8" s="1"/>
  <c r="CO118" i="8"/>
  <c r="CK63" i="8"/>
  <c r="CT63" i="8"/>
  <c r="BP119" i="8"/>
  <c r="AQ142" i="8"/>
  <c r="AQ122" i="8" s="1"/>
  <c r="AR122" i="8" s="1"/>
  <c r="BX117" i="8"/>
  <c r="BJ119" i="8"/>
  <c r="BO119" i="8"/>
  <c r="AG119" i="8"/>
  <c r="W119" i="8"/>
  <c r="M119" i="8"/>
  <c r="BA139" i="8"/>
  <c r="BA116" i="8"/>
  <c r="BF116" i="8"/>
  <c r="BA64" i="8"/>
  <c r="DI152" i="8"/>
  <c r="DN132" i="8"/>
  <c r="DD138" i="8"/>
  <c r="DQ135" i="8"/>
  <c r="DL134" i="8"/>
  <c r="EB133" i="8"/>
  <c r="DM132" i="8"/>
  <c r="DI135" i="8"/>
  <c r="DP135" i="8"/>
  <c r="DK134" i="8"/>
  <c r="DJ132" i="8"/>
  <c r="CO148" i="8"/>
  <c r="CT128" i="8"/>
  <c r="BH150" i="8"/>
  <c r="BI130" i="8"/>
  <c r="CT126" i="8"/>
  <c r="BL146" i="8"/>
  <c r="BM126" i="8"/>
  <c r="BB143" i="8"/>
  <c r="BC123" i="8"/>
  <c r="CA114" i="8"/>
  <c r="CB42" i="8"/>
  <c r="CD38" i="8"/>
  <c r="AV139" i="8"/>
  <c r="AV116" i="8"/>
  <c r="AV64" i="8"/>
  <c r="AV119" i="8" s="1"/>
  <c r="AO158" i="8"/>
  <c r="AO138" i="8" s="1"/>
  <c r="BK117" i="8"/>
  <c r="BP117" i="8"/>
  <c r="AY138" i="8"/>
  <c r="BA158" i="8"/>
  <c r="BA138" i="8" s="1"/>
  <c r="CF118" i="8"/>
  <c r="CG63" i="8"/>
  <c r="AU119" i="8"/>
  <c r="CU56" i="10"/>
  <c r="CF5" i="10"/>
  <c r="BF6" i="10"/>
  <c r="DF46" i="8" l="1"/>
  <c r="DK46" i="8" s="1"/>
  <c r="DK152" i="8" s="1"/>
  <c r="DA104" i="8"/>
  <c r="CJ154" i="8"/>
  <c r="CI48" i="8"/>
  <c r="CI108" i="8" s="1"/>
  <c r="CF48" i="8"/>
  <c r="CF108" i="8" s="1"/>
  <c r="CG48" i="8"/>
  <c r="CG108" i="8" s="1"/>
  <c r="CH48" i="8"/>
  <c r="CH108" i="8" s="1"/>
  <c r="U70" i="20"/>
  <c r="U71" i="20" s="1"/>
  <c r="U39" i="19"/>
  <c r="DH104" i="8"/>
  <c r="CD102" i="8"/>
  <c r="CC117" i="8"/>
  <c r="CD5" i="10"/>
  <c r="CB117" i="8"/>
  <c r="CC5" i="10"/>
  <c r="DE104" i="8"/>
  <c r="DJ46" i="8"/>
  <c r="DJ152" i="8" s="1"/>
  <c r="U82" i="20"/>
  <c r="I23" i="4"/>
  <c r="I26" i="4" s="1"/>
  <c r="W38" i="1"/>
  <c r="V36" i="1"/>
  <c r="W37" i="1"/>
  <c r="V39" i="1"/>
  <c r="X22" i="19"/>
  <c r="W26" i="20"/>
  <c r="Y149" i="1"/>
  <c r="Y152" i="1" s="1"/>
  <c r="Z150" i="1"/>
  <c r="T80" i="20"/>
  <c r="T47" i="20" s="1"/>
  <c r="T102" i="20" s="1"/>
  <c r="T92" i="20"/>
  <c r="AB25" i="19"/>
  <c r="AA23" i="20"/>
  <c r="F33" i="13"/>
  <c r="F31" i="13"/>
  <c r="U137" i="1"/>
  <c r="U138" i="1"/>
  <c r="DG152" i="8"/>
  <c r="K69" i="13"/>
  <c r="Y207" i="1"/>
  <c r="X211" i="15"/>
  <c r="J144" i="19"/>
  <c r="J72" i="19"/>
  <c r="J70" i="19"/>
  <c r="J143" i="19"/>
  <c r="J68" i="19"/>
  <c r="M144" i="19"/>
  <c r="M70" i="19"/>
  <c r="M68" i="19"/>
  <c r="M72" i="19"/>
  <c r="M143" i="19"/>
  <c r="K144" i="19"/>
  <c r="K70" i="19"/>
  <c r="K143" i="19"/>
  <c r="K68" i="19"/>
  <c r="K72" i="19"/>
  <c r="L42" i="64"/>
  <c r="M3" i="64"/>
  <c r="N43" i="64"/>
  <c r="N15" i="64"/>
  <c r="N13" i="64"/>
  <c r="N18" i="64" s="1"/>
  <c r="O7" i="64"/>
  <c r="DS46" i="8"/>
  <c r="DS104" i="8" s="1"/>
  <c r="N9" i="64"/>
  <c r="N17" i="64" s="1"/>
  <c r="M44" i="64"/>
  <c r="J33" i="64"/>
  <c r="J34" i="64"/>
  <c r="DM46" i="8"/>
  <c r="DM152" i="8" s="1"/>
  <c r="DL46" i="8"/>
  <c r="DL104" i="8" s="1"/>
  <c r="G19" i="64"/>
  <c r="I14" i="64"/>
  <c r="H13" i="64"/>
  <c r="H18" i="64" s="1"/>
  <c r="H19" i="64" s="1"/>
  <c r="L16" i="64"/>
  <c r="L19" i="64" s="1"/>
  <c r="M11" i="64"/>
  <c r="K32" i="64"/>
  <c r="Q10" i="64"/>
  <c r="M19" i="61"/>
  <c r="M22" i="61"/>
  <c r="I9" i="61"/>
  <c r="I12" i="61" s="1"/>
  <c r="J7" i="61"/>
  <c r="K13" i="61"/>
  <c r="H14" i="61"/>
  <c r="H15" i="61" s="1"/>
  <c r="H23" i="61" s="1"/>
  <c r="H30" i="61" s="1"/>
  <c r="K11" i="61"/>
  <c r="CO154" i="8"/>
  <c r="CT110" i="8"/>
  <c r="CT48" i="8"/>
  <c r="P12" i="63"/>
  <c r="P13" i="63" s="1"/>
  <c r="CY50" i="8" s="1"/>
  <c r="Q9" i="63"/>
  <c r="Q7" i="63"/>
  <c r="Q8" i="63" s="1"/>
  <c r="R5" i="63"/>
  <c r="Q4" i="63"/>
  <c r="CO108" i="8"/>
  <c r="S7" i="62"/>
  <c r="S8" i="62" s="1"/>
  <c r="T5" i="62"/>
  <c r="S4" i="62"/>
  <c r="R12" i="62"/>
  <c r="R13" i="62" s="1"/>
  <c r="DI49" i="8" s="1"/>
  <c r="S9" i="62"/>
  <c r="DD109" i="8"/>
  <c r="CM30" i="8"/>
  <c r="CM94" i="8" s="1"/>
  <c r="CL30" i="8"/>
  <c r="CL94" i="8" s="1"/>
  <c r="CO94" i="8"/>
  <c r="CK30" i="8"/>
  <c r="CK94" i="8" s="1"/>
  <c r="CN30" i="8"/>
  <c r="CN94" i="8" s="1"/>
  <c r="CG93" i="8"/>
  <c r="CG28" i="8"/>
  <c r="CG92" i="8" s="1"/>
  <c r="CH93" i="8"/>
  <c r="CH28" i="8"/>
  <c r="CH92" i="8" s="1"/>
  <c r="J19" i="38"/>
  <c r="J27" i="38" s="1"/>
  <c r="J35" i="38" s="1"/>
  <c r="J36" i="38" s="1"/>
  <c r="CT29" i="8" s="1"/>
  <c r="J18" i="38"/>
  <c r="J17" i="38"/>
  <c r="J16" i="38"/>
  <c r="CI28" i="8"/>
  <c r="CI92" i="8" s="1"/>
  <c r="CI93" i="8"/>
  <c r="CJ147" i="8"/>
  <c r="CJ92" i="8"/>
  <c r="CF93" i="8"/>
  <c r="CF28" i="8"/>
  <c r="CF92" i="8" s="1"/>
  <c r="K9" i="38"/>
  <c r="L7" i="38"/>
  <c r="CN29" i="8"/>
  <c r="CL29" i="8"/>
  <c r="CT30" i="8"/>
  <c r="CM29" i="8"/>
  <c r="CK29" i="8"/>
  <c r="CO93" i="8"/>
  <c r="CO28" i="8"/>
  <c r="L20" i="12"/>
  <c r="K23" i="12"/>
  <c r="M88" i="12"/>
  <c r="M87" i="12"/>
  <c r="M105" i="12" s="1"/>
  <c r="T21" i="12"/>
  <c r="S107" i="12"/>
  <c r="N38" i="12"/>
  <c r="N60" i="12"/>
  <c r="K26" i="12"/>
  <c r="K10" i="12" s="1"/>
  <c r="K9" i="12" s="1"/>
  <c r="L25" i="12"/>
  <c r="P68" i="12"/>
  <c r="K45" i="12"/>
  <c r="K48" i="12" s="1"/>
  <c r="K51" i="12" s="1"/>
  <c r="N81" i="12"/>
  <c r="O80" i="12"/>
  <c r="N31" i="12"/>
  <c r="O30" i="12"/>
  <c r="O41" i="12"/>
  <c r="N47" i="12"/>
  <c r="L36" i="12"/>
  <c r="L39" i="12" s="1"/>
  <c r="L42" i="12" s="1"/>
  <c r="M35" i="12"/>
  <c r="M44" i="12"/>
  <c r="O50" i="12"/>
  <c r="R55" i="12"/>
  <c r="S54" i="12"/>
  <c r="L106" i="12"/>
  <c r="L108" i="12" s="1"/>
  <c r="L16" i="12" s="1"/>
  <c r="L15" i="12" s="1"/>
  <c r="P75" i="12"/>
  <c r="Q74" i="12"/>
  <c r="Q86" i="12"/>
  <c r="L68" i="13"/>
  <c r="M64" i="13"/>
  <c r="L66" i="13"/>
  <c r="M27" i="13"/>
  <c r="G41" i="13"/>
  <c r="G49" i="13" s="1"/>
  <c r="H41" i="13"/>
  <c r="H49" i="13" s="1"/>
  <c r="G39" i="13"/>
  <c r="G47" i="13" s="1"/>
  <c r="H39" i="13"/>
  <c r="H47" i="13" s="1"/>
  <c r="F18" i="13"/>
  <c r="G18" i="13"/>
  <c r="M79" i="13"/>
  <c r="P88" i="13"/>
  <c r="E43" i="13"/>
  <c r="E51" i="13" s="1"/>
  <c r="E35" i="13"/>
  <c r="E28" i="13"/>
  <c r="E34" i="13"/>
  <c r="E33" i="13"/>
  <c r="E31" i="13"/>
  <c r="O82" i="13"/>
  <c r="Q81" i="13"/>
  <c r="R81" i="13" s="1"/>
  <c r="S81" i="13" s="1"/>
  <c r="T81" i="13" s="1"/>
  <c r="O80" i="13"/>
  <c r="O83" i="13"/>
  <c r="G27" i="13"/>
  <c r="F43" i="13"/>
  <c r="F51" i="13" s="1"/>
  <c r="F28" i="13"/>
  <c r="F35" i="13"/>
  <c r="J77" i="13" s="1"/>
  <c r="M62" i="13"/>
  <c r="F34" i="13"/>
  <c r="F32" i="13"/>
  <c r="F39" i="13"/>
  <c r="F47" i="13" s="1"/>
  <c r="K71" i="13"/>
  <c r="K72" i="13" s="1"/>
  <c r="L63" i="13"/>
  <c r="Q92" i="13"/>
  <c r="M59" i="4"/>
  <c r="N30" i="4"/>
  <c r="M18" i="4"/>
  <c r="S24" i="4"/>
  <c r="J8" i="4"/>
  <c r="K4" i="4"/>
  <c r="J7" i="4"/>
  <c r="L37" i="4"/>
  <c r="M35" i="4"/>
  <c r="T13" i="4"/>
  <c r="K36" i="4"/>
  <c r="J38" i="4"/>
  <c r="I29" i="4"/>
  <c r="I31" i="4" s="1"/>
  <c r="V18" i="4"/>
  <c r="O54" i="4"/>
  <c r="I53" i="4"/>
  <c r="I55" i="4" s="1"/>
  <c r="I58" i="4"/>
  <c r="I60" i="4" s="1"/>
  <c r="P138" i="15"/>
  <c r="P12" i="15"/>
  <c r="Y155" i="15"/>
  <c r="Y153" i="15"/>
  <c r="Z154" i="15"/>
  <c r="Y156" i="15"/>
  <c r="X221" i="15"/>
  <c r="Y197" i="15"/>
  <c r="R65" i="15"/>
  <c r="P221" i="15"/>
  <c r="H138" i="15"/>
  <c r="G8" i="15"/>
  <c r="H10" i="15"/>
  <c r="I175" i="15"/>
  <c r="I163" i="15"/>
  <c r="N32" i="15"/>
  <c r="M31" i="15"/>
  <c r="T84" i="15"/>
  <c r="S88" i="15"/>
  <c r="K175" i="15"/>
  <c r="L143" i="15"/>
  <c r="X38" i="15"/>
  <c r="X37" i="15"/>
  <c r="W36" i="15"/>
  <c r="W39" i="15"/>
  <c r="U117" i="15"/>
  <c r="T121" i="15"/>
  <c r="K163" i="15"/>
  <c r="L142" i="15"/>
  <c r="T11" i="15"/>
  <c r="Y124" i="15"/>
  <c r="Z123" i="15"/>
  <c r="Y125" i="15"/>
  <c r="AB184" i="15"/>
  <c r="I62" i="15"/>
  <c r="I69" i="15" s="1"/>
  <c r="I43" i="15"/>
  <c r="I53" i="15" s="1"/>
  <c r="I59" i="15" s="1"/>
  <c r="I111" i="15" s="1"/>
  <c r="S9" i="15"/>
  <c r="L20" i="15"/>
  <c r="K22" i="15"/>
  <c r="T47" i="15"/>
  <c r="S46" i="15"/>
  <c r="S49" i="15"/>
  <c r="V107" i="15"/>
  <c r="V95" i="15"/>
  <c r="V94" i="15"/>
  <c r="V93" i="15"/>
  <c r="W91" i="15"/>
  <c r="X90" i="15"/>
  <c r="W92" i="15"/>
  <c r="U56" i="15"/>
  <c r="T55" i="15"/>
  <c r="T58" i="15"/>
  <c r="J178" i="15"/>
  <c r="J177" i="15"/>
  <c r="J176" i="15"/>
  <c r="R195" i="15"/>
  <c r="S80" i="15"/>
  <c r="U102" i="15"/>
  <c r="J165" i="15"/>
  <c r="J166" i="15"/>
  <c r="J164" i="15"/>
  <c r="Z159" i="15"/>
  <c r="AA158" i="15"/>
  <c r="Z157" i="15"/>
  <c r="Z160" i="15"/>
  <c r="AA73" i="15"/>
  <c r="AA71" i="15"/>
  <c r="AB72" i="15"/>
  <c r="AA74" i="15"/>
  <c r="W182" i="15"/>
  <c r="V185" i="15"/>
  <c r="U110" i="15"/>
  <c r="U109" i="15"/>
  <c r="U108" i="15"/>
  <c r="U106" i="15"/>
  <c r="X128" i="15"/>
  <c r="X127" i="15"/>
  <c r="X126" i="15"/>
  <c r="J17" i="15"/>
  <c r="J25" i="15" s="1"/>
  <c r="J34" i="15" s="1"/>
  <c r="K16" i="15"/>
  <c r="O21" i="15"/>
  <c r="Q28" i="15"/>
  <c r="J187" i="15"/>
  <c r="J145" i="15"/>
  <c r="K144" i="15"/>
  <c r="I187" i="15"/>
  <c r="N20" i="1"/>
  <c r="M22" i="1"/>
  <c r="T11" i="1"/>
  <c r="T21" i="1"/>
  <c r="U80" i="1"/>
  <c r="T84" i="1"/>
  <c r="S76" i="1"/>
  <c r="R191" i="1"/>
  <c r="I62" i="1"/>
  <c r="I68" i="1" s="1"/>
  <c r="I25" i="1"/>
  <c r="I34" i="1" s="1"/>
  <c r="U166" i="1"/>
  <c r="T169" i="1"/>
  <c r="J174" i="1"/>
  <c r="J172" i="1"/>
  <c r="J173" i="1"/>
  <c r="S9" i="1"/>
  <c r="T46" i="1"/>
  <c r="T49" i="1" s="1"/>
  <c r="AA180" i="1"/>
  <c r="P10" i="1"/>
  <c r="P13" i="1"/>
  <c r="Q8" i="1" s="1"/>
  <c r="R28" i="1"/>
  <c r="T113" i="1"/>
  <c r="S117" i="1"/>
  <c r="X168" i="1"/>
  <c r="Y154" i="1"/>
  <c r="X153" i="1"/>
  <c r="X156" i="1" s="1"/>
  <c r="X155" i="1"/>
  <c r="V70" i="1"/>
  <c r="X57" i="1"/>
  <c r="X56" i="1"/>
  <c r="X55" i="1"/>
  <c r="W58" i="1"/>
  <c r="Y205" i="1"/>
  <c r="Y209" i="15" s="1"/>
  <c r="J17" i="1"/>
  <c r="K16" i="1"/>
  <c r="Y193" i="1"/>
  <c r="K171" i="1"/>
  <c r="L139" i="1"/>
  <c r="S65" i="1"/>
  <c r="R66" i="1"/>
  <c r="J183" i="1"/>
  <c r="K140" i="1"/>
  <c r="K144" i="1" s="1"/>
  <c r="V178" i="1"/>
  <c r="V181" i="1" s="1"/>
  <c r="W179" i="1"/>
  <c r="U98" i="1"/>
  <c r="T102" i="1"/>
  <c r="H134" i="1"/>
  <c r="G8" i="1"/>
  <c r="H10" i="1"/>
  <c r="I159" i="1"/>
  <c r="I171" i="1"/>
  <c r="P162" i="1"/>
  <c r="P160" i="1"/>
  <c r="P161" i="1"/>
  <c r="AA6" i="1"/>
  <c r="H43" i="1"/>
  <c r="H53" i="1" s="1"/>
  <c r="H59" i="1" s="1"/>
  <c r="L32" i="1"/>
  <c r="K31" i="1"/>
  <c r="O217" i="1"/>
  <c r="T13" i="17"/>
  <c r="M61" i="21"/>
  <c r="N60" i="21"/>
  <c r="O81" i="21"/>
  <c r="P79" i="21"/>
  <c r="P91" i="21"/>
  <c r="Q89" i="21"/>
  <c r="N11" i="21"/>
  <c r="O9" i="21"/>
  <c r="BZ26" i="10"/>
  <c r="CA26" i="10"/>
  <c r="N96" i="21"/>
  <c r="O95" i="21"/>
  <c r="O47" i="21"/>
  <c r="O44" i="21" s="1"/>
  <c r="N46" i="21"/>
  <c r="O24" i="21"/>
  <c r="O104" i="21" s="1"/>
  <c r="N26" i="21"/>
  <c r="M71" i="21"/>
  <c r="N70" i="21"/>
  <c r="O35" i="21"/>
  <c r="N36" i="21"/>
  <c r="P84" i="21"/>
  <c r="O86" i="21"/>
  <c r="O31" i="21"/>
  <c r="P29" i="21"/>
  <c r="O4" i="21"/>
  <c r="N6" i="21"/>
  <c r="U31" i="19"/>
  <c r="U43" i="20" s="1"/>
  <c r="K16" i="21"/>
  <c r="K105" i="21" s="1"/>
  <c r="CF23" i="10" s="1"/>
  <c r="CE23" i="10" s="1"/>
  <c r="L15" i="21"/>
  <c r="O51" i="21"/>
  <c r="P50" i="21"/>
  <c r="O66" i="21"/>
  <c r="P64" i="21"/>
  <c r="L107" i="21"/>
  <c r="V87" i="20"/>
  <c r="V44" i="20" s="1"/>
  <c r="V39" i="19" s="1"/>
  <c r="V85" i="20"/>
  <c r="AD25" i="20"/>
  <c r="W69" i="20"/>
  <c r="X64" i="20"/>
  <c r="Z77" i="20"/>
  <c r="X38" i="19"/>
  <c r="W170" i="19"/>
  <c r="X16" i="19"/>
  <c r="X19" i="19"/>
  <c r="N115" i="19"/>
  <c r="R171" i="19"/>
  <c r="V175" i="19"/>
  <c r="W32" i="19"/>
  <c r="AD156" i="19"/>
  <c r="AD5" i="20" s="1"/>
  <c r="ED63" i="10"/>
  <c r="H117" i="19"/>
  <c r="I117" i="19" s="1"/>
  <c r="I116" i="19"/>
  <c r="J116" i="19" s="1"/>
  <c r="K116" i="19" s="1"/>
  <c r="L116" i="19" s="1"/>
  <c r="M116" i="19" s="1"/>
  <c r="N116" i="19" s="1"/>
  <c r="O116" i="19" s="1"/>
  <c r="P116" i="19" s="1"/>
  <c r="Q116" i="19" s="1"/>
  <c r="R116" i="19" s="1"/>
  <c r="S116" i="19" s="1"/>
  <c r="T116" i="19" s="1"/>
  <c r="U116" i="19" s="1"/>
  <c r="V116" i="19" s="1"/>
  <c r="W116" i="19" s="1"/>
  <c r="X116" i="19" s="1"/>
  <c r="Y116" i="19" s="1"/>
  <c r="Z116" i="19" s="1"/>
  <c r="AA116" i="19" s="1"/>
  <c r="AB116" i="19" s="1"/>
  <c r="AC116" i="19" s="1"/>
  <c r="AD116" i="19" s="1"/>
  <c r="AE116" i="19" s="1"/>
  <c r="S152" i="19"/>
  <c r="T149" i="19"/>
  <c r="S148" i="19"/>
  <c r="V154" i="19"/>
  <c r="U15" i="19"/>
  <c r="P112" i="19"/>
  <c r="CG118" i="8"/>
  <c r="CH63" i="8"/>
  <c r="BB158" i="8"/>
  <c r="BM146" i="8"/>
  <c r="BN126" i="8"/>
  <c r="CY126" i="8"/>
  <c r="BI150" i="8"/>
  <c r="BJ130" i="8"/>
  <c r="CT148" i="8"/>
  <c r="CY128" i="8"/>
  <c r="DP134" i="8"/>
  <c r="DU135" i="8"/>
  <c r="DN135" i="8"/>
  <c r="EG133" i="8"/>
  <c r="DQ134" i="8"/>
  <c r="DV135" i="8"/>
  <c r="DI138" i="8"/>
  <c r="DN152" i="8"/>
  <c r="DS132" i="8"/>
  <c r="AR142" i="8"/>
  <c r="AS122" i="8"/>
  <c r="CT118" i="8"/>
  <c r="CY63" i="8"/>
  <c r="CP63" i="8"/>
  <c r="DI127" i="8"/>
  <c r="BL144" i="8"/>
  <c r="BM124" i="8"/>
  <c r="BN145" i="8"/>
  <c r="BO125" i="8"/>
  <c r="BO145" i="8" s="1"/>
  <c r="BI151" i="8"/>
  <c r="BJ131" i="8"/>
  <c r="DD122" i="8"/>
  <c r="ED133" i="8"/>
  <c r="DR134" i="8"/>
  <c r="DW135" i="8"/>
  <c r="DN133" i="8"/>
  <c r="EE133" i="8"/>
  <c r="DO134" i="8"/>
  <c r="DT135" i="8"/>
  <c r="DI134" i="8"/>
  <c r="CO102" i="8"/>
  <c r="CM38" i="8"/>
  <c r="CM102" i="8" s="1"/>
  <c r="CK38" i="8"/>
  <c r="CK102" i="8" s="1"/>
  <c r="CT38" i="8"/>
  <c r="CL38" i="8"/>
  <c r="CL102" i="8" s="1"/>
  <c r="DN96" i="8"/>
  <c r="DS32" i="8"/>
  <c r="DN98" i="8"/>
  <c r="DS34" i="8"/>
  <c r="CO100" i="8"/>
  <c r="CN36" i="8"/>
  <c r="CN100" i="8" s="1"/>
  <c r="CL36" i="8"/>
  <c r="CL100" i="8" s="1"/>
  <c r="CM36" i="8"/>
  <c r="CM100" i="8" s="1"/>
  <c r="CK36" i="8"/>
  <c r="CK100" i="8" s="1"/>
  <c r="CD118" i="8"/>
  <c r="CC118" i="8"/>
  <c r="CY149" i="8"/>
  <c r="DD129" i="8"/>
  <c r="CA117" i="8"/>
  <c r="CJ117" i="8"/>
  <c r="CH62" i="8"/>
  <c r="CH117" i="8" s="1"/>
  <c r="CF62" i="8"/>
  <c r="CO62" i="8"/>
  <c r="CP5" i="10" s="1"/>
  <c r="CG62" i="8"/>
  <c r="CG117" i="8" s="1"/>
  <c r="CK5" i="10"/>
  <c r="AQ158" i="8"/>
  <c r="AQ138" i="8" s="1"/>
  <c r="AS151" i="8"/>
  <c r="AT131" i="8"/>
  <c r="AS150" i="8"/>
  <c r="AT130" i="8"/>
  <c r="CB114" i="8"/>
  <c r="CC42" i="8"/>
  <c r="CC114" i="8" s="1"/>
  <c r="CD42" i="8"/>
  <c r="CD114" i="8" s="1"/>
  <c r="BC143" i="8"/>
  <c r="BC158" i="8" s="1"/>
  <c r="BC138" i="8" s="1"/>
  <c r="BD123" i="8"/>
  <c r="BA119" i="8"/>
  <c r="BF119" i="8"/>
  <c r="BY117" i="8"/>
  <c r="CK118" i="8"/>
  <c r="CL63" i="8"/>
  <c r="BP142" i="8"/>
  <c r="CI38" i="8"/>
  <c r="CI102" i="8" s="1"/>
  <c r="CF114" i="8"/>
  <c r="CG42" i="8"/>
  <c r="CO114" i="8"/>
  <c r="CK42" i="8"/>
  <c r="CT42" i="8"/>
  <c r="CO158" i="8"/>
  <c r="EK133" i="8"/>
  <c r="CD62" i="8"/>
  <c r="BF10" i="10"/>
  <c r="BF98" i="10"/>
  <c r="BF100" i="10"/>
  <c r="BF119" i="10"/>
  <c r="CZ56" i="10"/>
  <c r="CA5" i="10"/>
  <c r="BZ5" i="10"/>
  <c r="BY5" i="10"/>
  <c r="BX5" i="10"/>
  <c r="BW5" i="10"/>
  <c r="BV5" i="10"/>
  <c r="BU5" i="10"/>
  <c r="BT5" i="10"/>
  <c r="BS5" i="10"/>
  <c r="BR5" i="10"/>
  <c r="BQ5" i="10"/>
  <c r="BP5" i="10"/>
  <c r="BO5" i="10"/>
  <c r="BN5" i="10"/>
  <c r="BM5" i="10"/>
  <c r="BL5" i="10"/>
  <c r="BK5" i="10"/>
  <c r="BJ5" i="10"/>
  <c r="BI5" i="10"/>
  <c r="BH5" i="10"/>
  <c r="BG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H95" i="10" s="1"/>
  <c r="G3" i="10"/>
  <c r="G95" i="10" s="1"/>
  <c r="F3" i="10"/>
  <c r="F95" i="10" s="1"/>
  <c r="E3" i="10"/>
  <c r="E95" i="10" s="1"/>
  <c r="D3" i="10"/>
  <c r="D95" i="10" s="1"/>
  <c r="E31" i="22"/>
  <c r="E32" i="22" s="1"/>
  <c r="E33" i="22" s="1"/>
  <c r="E34" i="22" s="1"/>
  <c r="E35" i="22" s="1"/>
  <c r="E36" i="22" s="1"/>
  <c r="E37" i="22" s="1"/>
  <c r="D31" i="22"/>
  <c r="D32" i="22" s="1"/>
  <c r="D33" i="22" s="1"/>
  <c r="D34" i="22" s="1"/>
  <c r="D35" i="22" s="1"/>
  <c r="D36" i="22" s="1"/>
  <c r="D37" i="22" s="1"/>
  <c r="U13" i="22"/>
  <c r="F6" i="22"/>
  <c r="E6" i="22"/>
  <c r="D6" i="22"/>
  <c r="E5" i="22"/>
  <c r="F5" i="22" s="1"/>
  <c r="DF152" i="8" l="1"/>
  <c r="DF104" i="8"/>
  <c r="CM48" i="8"/>
  <c r="CM154" i="8" s="1"/>
  <c r="CK48" i="8"/>
  <c r="CP48" i="8" s="1"/>
  <c r="CN48" i="8"/>
  <c r="CN108" i="8" s="1"/>
  <c r="CL48" i="8"/>
  <c r="CQ48" i="8" s="1"/>
  <c r="U74" i="20"/>
  <c r="U76" i="20"/>
  <c r="U80" i="20" s="1"/>
  <c r="U47" i="20" s="1"/>
  <c r="U102" i="20" s="1"/>
  <c r="M107" i="21"/>
  <c r="CD117" i="8"/>
  <c r="CE5" i="10"/>
  <c r="DJ104" i="8"/>
  <c r="DK104" i="8"/>
  <c r="S155" i="19"/>
  <c r="S14" i="19" s="1"/>
  <c r="S171" i="19" s="1"/>
  <c r="U91" i="20"/>
  <c r="CK86" i="10"/>
  <c r="CK87" i="10" s="1"/>
  <c r="X37" i="1"/>
  <c r="X38" i="1"/>
  <c r="W36" i="1"/>
  <c r="W39" i="1"/>
  <c r="V70" i="20"/>
  <c r="J23" i="4"/>
  <c r="J26" i="4" s="1"/>
  <c r="L45" i="12"/>
  <c r="L48" i="12" s="1"/>
  <c r="L51" i="12" s="1"/>
  <c r="Y22" i="19"/>
  <c r="X26" i="20"/>
  <c r="K67" i="12"/>
  <c r="K69" i="12" s="1"/>
  <c r="K12" i="12" s="1"/>
  <c r="K13" i="12" s="1"/>
  <c r="AC25" i="19"/>
  <c r="AB23" i="20"/>
  <c r="AA150" i="1"/>
  <c r="Z149" i="1"/>
  <c r="Z152" i="1" s="1"/>
  <c r="V138" i="1"/>
  <c r="V137" i="1"/>
  <c r="DM104" i="8"/>
  <c r="DQ46" i="8"/>
  <c r="DQ152" i="8" s="1"/>
  <c r="Z207" i="1"/>
  <c r="Y211" i="15"/>
  <c r="BF120" i="10"/>
  <c r="K34" i="64"/>
  <c r="K33" i="64"/>
  <c r="J14" i="64"/>
  <c r="I13" i="64"/>
  <c r="I18" i="64" s="1"/>
  <c r="I19" i="64" s="1"/>
  <c r="N44" i="64"/>
  <c r="DP46" i="8"/>
  <c r="DP152" i="8" s="1"/>
  <c r="DO46" i="8"/>
  <c r="DO152" i="8" s="1"/>
  <c r="DL152" i="8"/>
  <c r="DR46" i="8"/>
  <c r="DR152" i="8" s="1"/>
  <c r="R10" i="64"/>
  <c r="M16" i="64"/>
  <c r="M19" i="64" s="1"/>
  <c r="N11" i="64"/>
  <c r="O43" i="64"/>
  <c r="P7" i="64"/>
  <c r="O15" i="64"/>
  <c r="O13" i="64"/>
  <c r="O18" i="64" s="1"/>
  <c r="DX46" i="8"/>
  <c r="DX104" i="8" s="1"/>
  <c r="O9" i="64"/>
  <c r="O17" i="64" s="1"/>
  <c r="M42" i="64"/>
  <c r="N3" i="64"/>
  <c r="L11" i="61"/>
  <c r="L13" i="61"/>
  <c r="J9" i="61"/>
  <c r="J12" i="61" s="1"/>
  <c r="K7" i="61"/>
  <c r="O20" i="61"/>
  <c r="N19" i="61"/>
  <c r="N22" i="61"/>
  <c r="I14" i="61"/>
  <c r="I15" i="61" s="1"/>
  <c r="I23" i="61" s="1"/>
  <c r="I30" i="61" s="1"/>
  <c r="CY110" i="8"/>
  <c r="CY48" i="8"/>
  <c r="R4" i="63"/>
  <c r="R7" i="63"/>
  <c r="R8" i="63" s="1"/>
  <c r="S5" i="63"/>
  <c r="Q12" i="63"/>
  <c r="Q13" i="63" s="1"/>
  <c r="DD50" i="8" s="1"/>
  <c r="R9" i="63"/>
  <c r="CT108" i="8"/>
  <c r="CT154" i="8"/>
  <c r="DI109" i="8"/>
  <c r="T7" i="62"/>
  <c r="T8" i="62" s="1"/>
  <c r="U5" i="62"/>
  <c r="T4" i="62"/>
  <c r="S12" i="62"/>
  <c r="S13" i="62" s="1"/>
  <c r="DN49" i="8" s="1"/>
  <c r="T9" i="62"/>
  <c r="CM93" i="8"/>
  <c r="CM28" i="8"/>
  <c r="CM92" i="8" s="1"/>
  <c r="CL93" i="8"/>
  <c r="CL28" i="8"/>
  <c r="CL92" i="8" s="1"/>
  <c r="M7" i="38"/>
  <c r="L9" i="38"/>
  <c r="CO92" i="8"/>
  <c r="CO147" i="8"/>
  <c r="CK93" i="8"/>
  <c r="CK28" i="8"/>
  <c r="CK92" i="8" s="1"/>
  <c r="CR30" i="8"/>
  <c r="CR94" i="8" s="1"/>
  <c r="CP30" i="8"/>
  <c r="CP94" i="8" s="1"/>
  <c r="CQ30" i="8"/>
  <c r="CQ94" i="8" s="1"/>
  <c r="CS30" i="8"/>
  <c r="CS94" i="8" s="1"/>
  <c r="CN93" i="8"/>
  <c r="CN28" i="8"/>
  <c r="CN92" i="8" s="1"/>
  <c r="K19" i="38"/>
  <c r="K27" i="38" s="1"/>
  <c r="K35" i="38" s="1"/>
  <c r="K36" i="38" s="1"/>
  <c r="CY29" i="8" s="1"/>
  <c r="K18" i="38"/>
  <c r="K17" i="38"/>
  <c r="K16" i="38"/>
  <c r="CT93" i="8"/>
  <c r="CP29" i="8"/>
  <c r="CR29" i="8"/>
  <c r="CT28" i="8"/>
  <c r="CS29" i="8"/>
  <c r="CY30" i="8"/>
  <c r="CQ29" i="8"/>
  <c r="CT94" i="8"/>
  <c r="L66" i="12"/>
  <c r="L67" i="12"/>
  <c r="L69" i="12" s="1"/>
  <c r="L13" i="12" s="1"/>
  <c r="L12" i="12" s="1"/>
  <c r="N87" i="12"/>
  <c r="N105" i="12" s="1"/>
  <c r="N88" i="12"/>
  <c r="N106" i="12" s="1"/>
  <c r="N108" i="12" s="1"/>
  <c r="N16" i="12" s="1"/>
  <c r="N15" i="12" s="1"/>
  <c r="Q68" i="12"/>
  <c r="M25" i="12"/>
  <c r="O38" i="12"/>
  <c r="T107" i="12"/>
  <c r="U21" i="12"/>
  <c r="R86" i="12"/>
  <c r="Q75" i="12"/>
  <c r="R74" i="12"/>
  <c r="S55" i="12"/>
  <c r="T54" i="12"/>
  <c r="P50" i="12"/>
  <c r="N44" i="12"/>
  <c r="M36" i="12"/>
  <c r="M39" i="12" s="1"/>
  <c r="M42" i="12" s="1"/>
  <c r="N35" i="12"/>
  <c r="O47" i="12"/>
  <c r="P41" i="12"/>
  <c r="O31" i="12"/>
  <c r="P30" i="12"/>
  <c r="P80" i="12"/>
  <c r="O81" i="12"/>
  <c r="K66" i="12"/>
  <c r="K15" i="12"/>
  <c r="K17" i="12" s="1"/>
  <c r="O60" i="12"/>
  <c r="M106" i="12"/>
  <c r="M108" i="12" s="1"/>
  <c r="M16" i="12" s="1"/>
  <c r="M15" i="12" s="1"/>
  <c r="M20" i="12"/>
  <c r="L23" i="12"/>
  <c r="L26" i="12" s="1"/>
  <c r="L10" i="12" s="1"/>
  <c r="N62" i="13"/>
  <c r="G43" i="13"/>
  <c r="G51" i="13" s="1"/>
  <c r="G28" i="13"/>
  <c r="H43" i="13"/>
  <c r="H51" i="13" s="1"/>
  <c r="H28" i="13"/>
  <c r="G35" i="13"/>
  <c r="K77" i="13" s="1"/>
  <c r="G33" i="13"/>
  <c r="G31" i="13"/>
  <c r="N79" i="13"/>
  <c r="G34" i="13"/>
  <c r="M66" i="13"/>
  <c r="N27" i="13"/>
  <c r="M68" i="13"/>
  <c r="N64" i="13"/>
  <c r="R92" i="13"/>
  <c r="L71" i="13"/>
  <c r="L72" i="13" s="1"/>
  <c r="M63" i="13"/>
  <c r="L61" i="13"/>
  <c r="J78" i="13"/>
  <c r="K78" i="13" s="1"/>
  <c r="L78" i="13" s="1"/>
  <c r="M78" i="13" s="1"/>
  <c r="N78" i="13" s="1"/>
  <c r="O78" i="13" s="1"/>
  <c r="P78" i="13" s="1"/>
  <c r="Q78" i="13" s="1"/>
  <c r="R78" i="13" s="1"/>
  <c r="S78" i="13" s="1"/>
  <c r="T78" i="13" s="1"/>
  <c r="U78" i="13" s="1"/>
  <c r="V78" i="13" s="1"/>
  <c r="W78" i="13" s="1"/>
  <c r="X78" i="13" s="1"/>
  <c r="Y78" i="13" s="1"/>
  <c r="Z78" i="13" s="1"/>
  <c r="J76" i="13"/>
  <c r="J79" i="13"/>
  <c r="J85" i="13" s="1"/>
  <c r="J90" i="13" s="1"/>
  <c r="J93" i="13" s="1"/>
  <c r="J95" i="13" s="1"/>
  <c r="P82" i="13"/>
  <c r="P80" i="13"/>
  <c r="P83" i="13"/>
  <c r="Q88" i="13"/>
  <c r="G32" i="13"/>
  <c r="L69" i="13"/>
  <c r="L85" i="13" s="1"/>
  <c r="L90" i="13" s="1"/>
  <c r="L93" i="13" s="1"/>
  <c r="L95" i="13" s="1"/>
  <c r="P54" i="4"/>
  <c r="W18" i="4"/>
  <c r="J53" i="4"/>
  <c r="J55" i="4" s="1"/>
  <c r="J58" i="4"/>
  <c r="J60" i="4" s="1"/>
  <c r="U13" i="4"/>
  <c r="N35" i="4"/>
  <c r="M37" i="4"/>
  <c r="J29" i="4"/>
  <c r="J31" i="4" s="1"/>
  <c r="N18" i="4"/>
  <c r="K38" i="4"/>
  <c r="L36" i="4"/>
  <c r="K7" i="4"/>
  <c r="K23" i="4" s="1"/>
  <c r="K26" i="4" s="1"/>
  <c r="K8" i="4"/>
  <c r="L4" i="4"/>
  <c r="T24" i="4"/>
  <c r="N59" i="4"/>
  <c r="O30" i="4"/>
  <c r="J85" i="15"/>
  <c r="J86" i="15" s="1"/>
  <c r="J40" i="15"/>
  <c r="J96" i="15" s="1"/>
  <c r="J97" i="15" s="1"/>
  <c r="J99" i="15" s="1"/>
  <c r="K187" i="15"/>
  <c r="K145" i="15"/>
  <c r="L144" i="15"/>
  <c r="J190" i="15"/>
  <c r="J188" i="15"/>
  <c r="J235" i="15" s="1"/>
  <c r="J189" i="15"/>
  <c r="R28" i="15"/>
  <c r="P21" i="15"/>
  <c r="K17" i="15"/>
  <c r="L16" i="15"/>
  <c r="X182" i="15"/>
  <c r="W185" i="15"/>
  <c r="AC72" i="15"/>
  <c r="AB73" i="15"/>
  <c r="AB71" i="15"/>
  <c r="AB74" i="15"/>
  <c r="V102" i="15"/>
  <c r="S195" i="15"/>
  <c r="T80" i="15"/>
  <c r="W107" i="15"/>
  <c r="W95" i="15"/>
  <c r="W94" i="15"/>
  <c r="W93" i="15"/>
  <c r="S65" i="15"/>
  <c r="U47" i="15"/>
  <c r="T46" i="15"/>
  <c r="T49" i="15"/>
  <c r="M20" i="15"/>
  <c r="L22" i="15"/>
  <c r="AC184" i="15"/>
  <c r="AA123" i="15"/>
  <c r="Z124" i="15"/>
  <c r="Z125" i="15"/>
  <c r="K166" i="15"/>
  <c r="K164" i="15"/>
  <c r="K165" i="15"/>
  <c r="V117" i="15"/>
  <c r="U121" i="15"/>
  <c r="Y38" i="15"/>
  <c r="Y37" i="15"/>
  <c r="X36" i="15"/>
  <c r="X39" i="15"/>
  <c r="K178" i="15"/>
  <c r="K176" i="15"/>
  <c r="K177" i="15"/>
  <c r="U84" i="15"/>
  <c r="T88" i="15"/>
  <c r="I166" i="15"/>
  <c r="I164" i="15"/>
  <c r="I165" i="15"/>
  <c r="H163" i="15"/>
  <c r="H175" i="15"/>
  <c r="H187" i="15"/>
  <c r="AA154" i="15"/>
  <c r="Z155" i="15"/>
  <c r="Z153" i="15"/>
  <c r="Z156" i="15"/>
  <c r="P10" i="15"/>
  <c r="P13" i="15"/>
  <c r="Q8" i="15" s="1"/>
  <c r="J62" i="15"/>
  <c r="J69" i="15" s="1"/>
  <c r="J43" i="15"/>
  <c r="J53" i="15" s="1"/>
  <c r="AA159" i="15"/>
  <c r="AA157" i="15"/>
  <c r="AB158" i="15"/>
  <c r="AA160" i="15"/>
  <c r="V56" i="15"/>
  <c r="U55" i="15"/>
  <c r="U58" i="15"/>
  <c r="Y90" i="15"/>
  <c r="X91" i="15"/>
  <c r="X92" i="15"/>
  <c r="V110" i="15"/>
  <c r="V109" i="15"/>
  <c r="V108" i="15"/>
  <c r="V106" i="15"/>
  <c r="K25" i="15"/>
  <c r="K34" i="15" s="1"/>
  <c r="T9" i="15"/>
  <c r="Y128" i="15"/>
  <c r="Y127" i="15"/>
  <c r="Y126" i="15"/>
  <c r="U11" i="15"/>
  <c r="L163" i="15"/>
  <c r="M142" i="15"/>
  <c r="L175" i="15"/>
  <c r="M143" i="15"/>
  <c r="O32" i="15"/>
  <c r="N31" i="15"/>
  <c r="I189" i="15"/>
  <c r="I178" i="15"/>
  <c r="I190" i="15"/>
  <c r="I176" i="15"/>
  <c r="I188" i="15"/>
  <c r="I177" i="15"/>
  <c r="G138" i="15"/>
  <c r="G10" i="15"/>
  <c r="F8" i="15"/>
  <c r="Y221" i="15"/>
  <c r="Z197" i="15"/>
  <c r="P217" i="1"/>
  <c r="L31" i="1"/>
  <c r="M32" i="1"/>
  <c r="AB6" i="1"/>
  <c r="I161" i="1"/>
  <c r="I162" i="1"/>
  <c r="I160" i="1"/>
  <c r="G134" i="1"/>
  <c r="G10" i="1"/>
  <c r="F8" i="1"/>
  <c r="X179" i="1"/>
  <c r="W178" i="1"/>
  <c r="W181" i="1" s="1"/>
  <c r="K183" i="1"/>
  <c r="L140" i="1"/>
  <c r="L144" i="1" s="1"/>
  <c r="J185" i="1"/>
  <c r="J186" i="1"/>
  <c r="J184" i="1"/>
  <c r="J231" i="1" s="1"/>
  <c r="K173" i="1"/>
  <c r="K174" i="1"/>
  <c r="K172" i="1"/>
  <c r="K17" i="1"/>
  <c r="L16" i="1"/>
  <c r="Z205" i="1"/>
  <c r="Z209" i="15" s="1"/>
  <c r="Y155" i="1"/>
  <c r="Z154" i="1"/>
  <c r="Y153" i="1"/>
  <c r="Y156" i="1" s="1"/>
  <c r="U113" i="1"/>
  <c r="T117" i="1"/>
  <c r="S28" i="1"/>
  <c r="Q134" i="1"/>
  <c r="Q159" i="1" s="1"/>
  <c r="Q12" i="1"/>
  <c r="T65" i="1"/>
  <c r="U46" i="1"/>
  <c r="U49" i="1" s="1"/>
  <c r="T9" i="1"/>
  <c r="I43" i="1"/>
  <c r="I53" i="1" s="1"/>
  <c r="I59" i="1" s="1"/>
  <c r="I107" i="1" s="1"/>
  <c r="S191" i="1"/>
  <c r="T76" i="1"/>
  <c r="J197" i="1"/>
  <c r="V80" i="1"/>
  <c r="U84" i="1"/>
  <c r="U21" i="1"/>
  <c r="U11" i="1"/>
  <c r="I186" i="1"/>
  <c r="I184" i="1"/>
  <c r="I173" i="1"/>
  <c r="I185" i="1"/>
  <c r="I172" i="1"/>
  <c r="I174" i="1"/>
  <c r="H159" i="1"/>
  <c r="H171" i="1"/>
  <c r="H183" i="1"/>
  <c r="V98" i="1"/>
  <c r="U102" i="1"/>
  <c r="S66" i="1"/>
  <c r="L171" i="1"/>
  <c r="M139" i="1"/>
  <c r="Z193" i="1"/>
  <c r="J62" i="1"/>
  <c r="J68" i="1" s="1"/>
  <c r="J25" i="1"/>
  <c r="J34" i="1" s="1"/>
  <c r="W70" i="1"/>
  <c r="Y57" i="1"/>
  <c r="Y56" i="1"/>
  <c r="Y55" i="1"/>
  <c r="X58" i="1"/>
  <c r="Y168" i="1"/>
  <c r="AB180" i="1"/>
  <c r="V166" i="1"/>
  <c r="U169" i="1"/>
  <c r="O20" i="1"/>
  <c r="N22" i="1"/>
  <c r="U7" i="17"/>
  <c r="U13" i="17"/>
  <c r="O6" i="21"/>
  <c r="P4" i="21"/>
  <c r="P31" i="21"/>
  <c r="Q29" i="21"/>
  <c r="N71" i="21"/>
  <c r="O70" i="21"/>
  <c r="P44" i="21"/>
  <c r="O46" i="21"/>
  <c r="P9" i="21"/>
  <c r="O11" i="21"/>
  <c r="R89" i="21"/>
  <c r="Q91" i="21"/>
  <c r="Q79" i="21"/>
  <c r="P81" i="21"/>
  <c r="O60" i="21"/>
  <c r="N61" i="21"/>
  <c r="Q67" i="21"/>
  <c r="Q64" i="21" s="1"/>
  <c r="P66" i="21"/>
  <c r="P51" i="21"/>
  <c r="Q50" i="21"/>
  <c r="M15" i="21"/>
  <c r="L16" i="21"/>
  <c r="L105" i="21" s="1"/>
  <c r="CK23" i="10" s="1"/>
  <c r="V31" i="19"/>
  <c r="V43" i="20" s="1"/>
  <c r="P86" i="21"/>
  <c r="Q84" i="21"/>
  <c r="O36" i="21"/>
  <c r="P35" i="21"/>
  <c r="O26" i="21"/>
  <c r="P24" i="21"/>
  <c r="P104" i="21" s="1"/>
  <c r="O96" i="21"/>
  <c r="P95" i="21"/>
  <c r="AA77" i="20"/>
  <c r="W87" i="20"/>
  <c r="W44" i="20" s="1"/>
  <c r="W85" i="20"/>
  <c r="AE25" i="20"/>
  <c r="E8" i="22"/>
  <c r="X69" i="20"/>
  <c r="Y64" i="20"/>
  <c r="Q112" i="19"/>
  <c r="J117" i="19"/>
  <c r="K117" i="19" s="1"/>
  <c r="L117" i="19" s="1"/>
  <c r="M117" i="19" s="1"/>
  <c r="N117" i="19" s="1"/>
  <c r="O117" i="19" s="1"/>
  <c r="P117" i="19" s="1"/>
  <c r="Q117" i="19" s="1"/>
  <c r="R117" i="19" s="1"/>
  <c r="S117" i="19" s="1"/>
  <c r="T117" i="19" s="1"/>
  <c r="U117" i="19" s="1"/>
  <c r="V117" i="19" s="1"/>
  <c r="W117" i="19" s="1"/>
  <c r="X117" i="19" s="1"/>
  <c r="Y117" i="19" s="1"/>
  <c r="Z117" i="19" s="1"/>
  <c r="AA117" i="19" s="1"/>
  <c r="AB117" i="19" s="1"/>
  <c r="AC117" i="19" s="1"/>
  <c r="AD117" i="19" s="1"/>
  <c r="AE117" i="19" s="1"/>
  <c r="I118" i="19"/>
  <c r="J118" i="19" s="1"/>
  <c r="Y19" i="19"/>
  <c r="X170" i="19"/>
  <c r="Y16" i="19"/>
  <c r="W154" i="19"/>
  <c r="V15" i="19"/>
  <c r="T148" i="19"/>
  <c r="T153" i="19"/>
  <c r="T152" i="19" s="1"/>
  <c r="U149" i="19"/>
  <c r="AE156" i="19"/>
  <c r="AE5" i="20" s="1"/>
  <c r="EI63" i="10"/>
  <c r="W175" i="19"/>
  <c r="X32" i="19"/>
  <c r="O115" i="19"/>
  <c r="Y38" i="19"/>
  <c r="CK114" i="8"/>
  <c r="CL42" i="8"/>
  <c r="CG114" i="8"/>
  <c r="CH42" i="8"/>
  <c r="CH114" i="8" s="1"/>
  <c r="BP122" i="8"/>
  <c r="CL118" i="8"/>
  <c r="CM63" i="8"/>
  <c r="CN63" i="8" s="1"/>
  <c r="CO117" i="8"/>
  <c r="CT62" i="8"/>
  <c r="CL62" i="8"/>
  <c r="CL117" i="8" s="1"/>
  <c r="CM62" i="8"/>
  <c r="CM117" i="8" s="1"/>
  <c r="CK62" i="8"/>
  <c r="CN38" i="8"/>
  <c r="CN102" i="8" s="1"/>
  <c r="DN134" i="8"/>
  <c r="DY135" i="8"/>
  <c r="DT134" i="8"/>
  <c r="EJ133" i="8"/>
  <c r="DS133" i="8"/>
  <c r="EB135" i="8"/>
  <c r="DW134" i="8"/>
  <c r="EI133" i="8"/>
  <c r="DI122" i="8"/>
  <c r="BJ151" i="8"/>
  <c r="BK151" i="8" s="1"/>
  <c r="BK131" i="8" s="1"/>
  <c r="BL131" i="8"/>
  <c r="BM144" i="8"/>
  <c r="BN124" i="8"/>
  <c r="DN127" i="8"/>
  <c r="CP118" i="8"/>
  <c r="CQ63" i="8"/>
  <c r="AR158" i="8"/>
  <c r="DS152" i="8"/>
  <c r="DX132" i="8"/>
  <c r="DN138" i="8"/>
  <c r="EA135" i="8"/>
  <c r="DV134" i="8"/>
  <c r="EL133" i="8"/>
  <c r="DS135" i="8"/>
  <c r="DZ135" i="8"/>
  <c r="DU134" i="8"/>
  <c r="CY148" i="8"/>
  <c r="DD128" i="8"/>
  <c r="BJ150" i="8"/>
  <c r="BK150" i="8" s="1"/>
  <c r="BK130" i="8" s="1"/>
  <c r="BL130" i="8"/>
  <c r="DD126" i="8"/>
  <c r="BN146" i="8"/>
  <c r="BO126" i="8"/>
  <c r="BO146" i="8" s="1"/>
  <c r="BB138" i="8"/>
  <c r="CT114" i="8"/>
  <c r="CY42" i="8"/>
  <c r="CP42" i="8"/>
  <c r="CT158" i="8"/>
  <c r="BD143" i="8"/>
  <c r="BD158" i="8" s="1"/>
  <c r="BD138" i="8" s="1"/>
  <c r="BE123" i="8"/>
  <c r="AT150" i="8"/>
  <c r="AU130" i="8"/>
  <c r="AU150" i="8" s="1"/>
  <c r="AT151" i="8"/>
  <c r="AU131" i="8"/>
  <c r="AU151" i="8" s="1"/>
  <c r="CI62" i="8"/>
  <c r="CI117" i="8" s="1"/>
  <c r="CF117" i="8"/>
  <c r="DD149" i="8"/>
  <c r="DI129" i="8"/>
  <c r="DQ104" i="8"/>
  <c r="CT100" i="8"/>
  <c r="CR36" i="8"/>
  <c r="CR100" i="8" s="1"/>
  <c r="CP36" i="8"/>
  <c r="CP100" i="8" s="1"/>
  <c r="CS36" i="8"/>
  <c r="CS100" i="8" s="1"/>
  <c r="CQ36" i="8"/>
  <c r="CQ100" i="8" s="1"/>
  <c r="DS98" i="8"/>
  <c r="DX34" i="8"/>
  <c r="DS96" i="8"/>
  <c r="DX32" i="8"/>
  <c r="CT102" i="8"/>
  <c r="CY38" i="8"/>
  <c r="CQ38" i="8"/>
  <c r="CQ102" i="8" s="1"/>
  <c r="CR38" i="8"/>
  <c r="CR102" i="8" s="1"/>
  <c r="CP38" i="8"/>
  <c r="CP102" i="8" s="1"/>
  <c r="BP145" i="8"/>
  <c r="BP125" i="8" s="1"/>
  <c r="CY118" i="8"/>
  <c r="DD63" i="8"/>
  <c r="CU63" i="8"/>
  <c r="AS142" i="8"/>
  <c r="AS158" i="8" s="1"/>
  <c r="AS138" i="8" s="1"/>
  <c r="AT122" i="8"/>
  <c r="CH118" i="8"/>
  <c r="CI63" i="8"/>
  <c r="J108" i="10"/>
  <c r="J95" i="10"/>
  <c r="L108" i="10"/>
  <c r="L95" i="10"/>
  <c r="N108" i="10"/>
  <c r="N95" i="10"/>
  <c r="P108" i="10"/>
  <c r="P95" i="10"/>
  <c r="R108" i="10"/>
  <c r="R95" i="10"/>
  <c r="T108" i="10"/>
  <c r="T95" i="10"/>
  <c r="V108" i="10"/>
  <c r="V95" i="10"/>
  <c r="X108" i="10"/>
  <c r="X95" i="10"/>
  <c r="Z108" i="10"/>
  <c r="Z95" i="10"/>
  <c r="AB108" i="10"/>
  <c r="AB95" i="10"/>
  <c r="AD108" i="10"/>
  <c r="AD95" i="10"/>
  <c r="AF108" i="10"/>
  <c r="AF95" i="10"/>
  <c r="AH108" i="10"/>
  <c r="AH95" i="10"/>
  <c r="AJ108" i="10"/>
  <c r="AJ95" i="10"/>
  <c r="AL108" i="10"/>
  <c r="AL95" i="10"/>
  <c r="AN108" i="10"/>
  <c r="AN95" i="10"/>
  <c r="AP108" i="10"/>
  <c r="AP95" i="10"/>
  <c r="AR108" i="10"/>
  <c r="AR95" i="10"/>
  <c r="AT108" i="10"/>
  <c r="AT95" i="10"/>
  <c r="AV108" i="10"/>
  <c r="AV95" i="10"/>
  <c r="AX108" i="10"/>
  <c r="AX95" i="10"/>
  <c r="AZ108" i="10"/>
  <c r="AZ95" i="10"/>
  <c r="BB108" i="10"/>
  <c r="BB95" i="10"/>
  <c r="BD108" i="10"/>
  <c r="BD95" i="10"/>
  <c r="BG108" i="10"/>
  <c r="BG95" i="10"/>
  <c r="BI108" i="10"/>
  <c r="BI95" i="10"/>
  <c r="BK108" i="10"/>
  <c r="BK95" i="10"/>
  <c r="BM108" i="10"/>
  <c r="BM95" i="10"/>
  <c r="BO108" i="10"/>
  <c r="BO95" i="10"/>
  <c r="BQ108" i="10"/>
  <c r="BQ95" i="10"/>
  <c r="BS108" i="10"/>
  <c r="BS95" i="10"/>
  <c r="BU108" i="10"/>
  <c r="BU95" i="10"/>
  <c r="BW108" i="10"/>
  <c r="BW95" i="10"/>
  <c r="D6" i="10"/>
  <c r="C48" i="19" s="1"/>
  <c r="F6" i="10"/>
  <c r="H6" i="10"/>
  <c r="J6" i="10"/>
  <c r="L6" i="10"/>
  <c r="N6" i="10"/>
  <c r="E48" i="19" s="1"/>
  <c r="P6" i="10"/>
  <c r="R6" i="10"/>
  <c r="T6" i="10"/>
  <c r="V6" i="10"/>
  <c r="X6" i="10"/>
  <c r="G48" i="19" s="1"/>
  <c r="Z6" i="10"/>
  <c r="AB6" i="10"/>
  <c r="AD6" i="10"/>
  <c r="AF6" i="10"/>
  <c r="AH6" i="10"/>
  <c r="I48" i="19" s="1"/>
  <c r="AJ6" i="10"/>
  <c r="AL6" i="10"/>
  <c r="AN6" i="10"/>
  <c r="AP6" i="10"/>
  <c r="AR6" i="10"/>
  <c r="K48" i="19" s="1"/>
  <c r="AT6" i="10"/>
  <c r="AV6" i="10"/>
  <c r="AX6" i="10"/>
  <c r="AZ6" i="10"/>
  <c r="BB6" i="10"/>
  <c r="M48" i="19" s="1"/>
  <c r="BD6" i="10"/>
  <c r="BG6" i="10"/>
  <c r="N48" i="19" s="1"/>
  <c r="BI6" i="10"/>
  <c r="BK6" i="10"/>
  <c r="BM6" i="10"/>
  <c r="BO6" i="10"/>
  <c r="BQ6" i="10"/>
  <c r="P48" i="19" s="1"/>
  <c r="BS6" i="10"/>
  <c r="BU6" i="10"/>
  <c r="BW6" i="10"/>
  <c r="DE56" i="10"/>
  <c r="BF97" i="10"/>
  <c r="BF20" i="10"/>
  <c r="I108" i="10"/>
  <c r="I95" i="10"/>
  <c r="K108" i="10"/>
  <c r="K95" i="10"/>
  <c r="M95" i="10"/>
  <c r="M108" i="10"/>
  <c r="O108" i="10"/>
  <c r="O95" i="10"/>
  <c r="Q108" i="10"/>
  <c r="Q95" i="10"/>
  <c r="S108" i="10"/>
  <c r="S95" i="10"/>
  <c r="U108" i="10"/>
  <c r="U95" i="10"/>
  <c r="W108" i="10"/>
  <c r="W95" i="10"/>
  <c r="Y108" i="10"/>
  <c r="Y95" i="10"/>
  <c r="AA108" i="10"/>
  <c r="AA95" i="10"/>
  <c r="AC108" i="10"/>
  <c r="AC95" i="10"/>
  <c r="AE108" i="10"/>
  <c r="AE95" i="10"/>
  <c r="AG108" i="10"/>
  <c r="AG95" i="10"/>
  <c r="AI108" i="10"/>
  <c r="AI95" i="10"/>
  <c r="AK108" i="10"/>
  <c r="AK95" i="10"/>
  <c r="AM108" i="10"/>
  <c r="AM95" i="10"/>
  <c r="AO108" i="10"/>
  <c r="AO95" i="10"/>
  <c r="AQ108" i="10"/>
  <c r="AQ95" i="10"/>
  <c r="AS108" i="10"/>
  <c r="AS95" i="10"/>
  <c r="AU108" i="10"/>
  <c r="AU95" i="10"/>
  <c r="AW108" i="10"/>
  <c r="AW95" i="10"/>
  <c r="AY108" i="10"/>
  <c r="AY95" i="10"/>
  <c r="BF108" i="10"/>
  <c r="BA108" i="10"/>
  <c r="BA95" i="10"/>
  <c r="BC108" i="10"/>
  <c r="BC95" i="10"/>
  <c r="BE108" i="10"/>
  <c r="BE95" i="10"/>
  <c r="BH108" i="10"/>
  <c r="BH95" i="10"/>
  <c r="BJ108" i="10"/>
  <c r="BJ95" i="10"/>
  <c r="BL108" i="10"/>
  <c r="BL95" i="10"/>
  <c r="BN108" i="10"/>
  <c r="BN95" i="10"/>
  <c r="BP108" i="10"/>
  <c r="BP95" i="10"/>
  <c r="BR108" i="10"/>
  <c r="BR95" i="10"/>
  <c r="BT108" i="10"/>
  <c r="BT95" i="10"/>
  <c r="BV108" i="10"/>
  <c r="BV95" i="10"/>
  <c r="E6" i="10"/>
  <c r="G6" i="10"/>
  <c r="I6" i="10"/>
  <c r="D48" i="19" s="1"/>
  <c r="K6" i="10"/>
  <c r="M6" i="10"/>
  <c r="O6" i="10"/>
  <c r="Q6" i="10"/>
  <c r="S6" i="10"/>
  <c r="F48" i="19" s="1"/>
  <c r="U6" i="10"/>
  <c r="W6" i="10"/>
  <c r="Y6" i="10"/>
  <c r="AA6" i="10"/>
  <c r="AC6" i="10"/>
  <c r="H48" i="19" s="1"/>
  <c r="AE6" i="10"/>
  <c r="AG6" i="10"/>
  <c r="AI6" i="10"/>
  <c r="AK6" i="10"/>
  <c r="AM6" i="10"/>
  <c r="J48" i="19" s="1"/>
  <c r="AO6" i="10"/>
  <c r="AQ6" i="10"/>
  <c r="AS6" i="10"/>
  <c r="AU6" i="10"/>
  <c r="AW6" i="10"/>
  <c r="L48" i="19" s="1"/>
  <c r="AY6" i="10"/>
  <c r="BA6" i="10"/>
  <c r="BC6" i="10"/>
  <c r="BE6" i="10"/>
  <c r="BH6" i="10"/>
  <c r="BJ6" i="10"/>
  <c r="BL6" i="10"/>
  <c r="O48" i="19" s="1"/>
  <c r="BN6" i="10"/>
  <c r="BP6" i="10"/>
  <c r="BR6" i="10"/>
  <c r="BT6" i="10"/>
  <c r="BV6" i="10"/>
  <c r="Q48" i="19" s="1"/>
  <c r="F11" i="22"/>
  <c r="F12" i="22"/>
  <c r="G5" i="22"/>
  <c r="F8" i="22"/>
  <c r="E11" i="22"/>
  <c r="E12" i="22"/>
  <c r="CK108" i="8" l="1"/>
  <c r="CR48" i="8"/>
  <c r="CR154" i="8" s="1"/>
  <c r="CM108" i="8"/>
  <c r="CK154" i="8"/>
  <c r="CS48" i="8"/>
  <c r="CX48" i="8" s="1"/>
  <c r="CN154" i="8"/>
  <c r="CL108" i="8"/>
  <c r="CL154" i="8"/>
  <c r="S157" i="19"/>
  <c r="AV150" i="8"/>
  <c r="AV130" i="8" s="1"/>
  <c r="BP146" i="8"/>
  <c r="BP126" i="8" s="1"/>
  <c r="CS38" i="8"/>
  <c r="CS102" i="8" s="1"/>
  <c r="AV151" i="8"/>
  <c r="AV131" i="8" s="1"/>
  <c r="T155" i="19"/>
  <c r="T157" i="19" s="1"/>
  <c r="J201" i="15"/>
  <c r="Z22" i="19"/>
  <c r="Y26" i="20"/>
  <c r="V82" i="20"/>
  <c r="V76" i="20"/>
  <c r="V80" i="20" s="1"/>
  <c r="V47" i="20" s="1"/>
  <c r="V102" i="20" s="1"/>
  <c r="V71" i="20"/>
  <c r="V74" i="20"/>
  <c r="Y37" i="1"/>
  <c r="X39" i="1"/>
  <c r="Y38" i="1"/>
  <c r="X36" i="1"/>
  <c r="J202" i="15"/>
  <c r="AD25" i="19"/>
  <c r="AC23" i="20"/>
  <c r="T99" i="20"/>
  <c r="T63" i="20"/>
  <c r="T65" i="20" s="1"/>
  <c r="AA152" i="1"/>
  <c r="AA149" i="1"/>
  <c r="AB150" i="1"/>
  <c r="U92" i="20"/>
  <c r="V91" i="20" s="1"/>
  <c r="M69" i="13"/>
  <c r="W138" i="1"/>
  <c r="W137" i="1"/>
  <c r="Q89" i="19"/>
  <c r="Q78" i="19"/>
  <c r="Q80" i="19"/>
  <c r="Q160" i="19"/>
  <c r="Q178" i="19" s="1"/>
  <c r="Q65" i="19"/>
  <c r="Q56" i="19"/>
  <c r="Q74" i="19"/>
  <c r="Q109" i="19"/>
  <c r="Q63" i="19"/>
  <c r="Q59" i="19"/>
  <c r="Q76" i="19"/>
  <c r="Q105" i="19"/>
  <c r="Q90" i="19"/>
  <c r="Q60" i="19"/>
  <c r="Q87" i="19"/>
  <c r="L109" i="19"/>
  <c r="L59" i="19"/>
  <c r="L89" i="19"/>
  <c r="L56" i="19"/>
  <c r="L80" i="19"/>
  <c r="L78" i="19"/>
  <c r="L76" i="19"/>
  <c r="L65" i="19"/>
  <c r="L105" i="19"/>
  <c r="L160" i="19"/>
  <c r="L178" i="19" s="1"/>
  <c r="L74" i="19"/>
  <c r="L60" i="19"/>
  <c r="L63" i="19"/>
  <c r="L90" i="19"/>
  <c r="L87" i="19"/>
  <c r="D87" i="19"/>
  <c r="D76" i="19"/>
  <c r="D160" i="19"/>
  <c r="D178" i="19" s="1"/>
  <c r="D74" i="19"/>
  <c r="D60" i="19"/>
  <c r="D80" i="19"/>
  <c r="D90" i="19"/>
  <c r="D59" i="19"/>
  <c r="D65" i="19"/>
  <c r="D105" i="19"/>
  <c r="D78" i="19"/>
  <c r="D89" i="19"/>
  <c r="D56" i="19"/>
  <c r="D63" i="19"/>
  <c r="P78" i="19"/>
  <c r="P109" i="19"/>
  <c r="P74" i="19"/>
  <c r="P65" i="19"/>
  <c r="P90" i="19"/>
  <c r="P60" i="19"/>
  <c r="P63" i="19"/>
  <c r="P89" i="19"/>
  <c r="P59" i="19"/>
  <c r="P105" i="19"/>
  <c r="P160" i="19"/>
  <c r="P178" i="19" s="1"/>
  <c r="P76" i="19"/>
  <c r="P56" i="19"/>
  <c r="P80" i="19"/>
  <c r="P87" i="19"/>
  <c r="K63" i="19"/>
  <c r="K56" i="19"/>
  <c r="K105" i="19"/>
  <c r="K90" i="19"/>
  <c r="K80" i="19"/>
  <c r="K160" i="19"/>
  <c r="K178" i="19" s="1"/>
  <c r="K89" i="19"/>
  <c r="K74" i="19"/>
  <c r="K109" i="19"/>
  <c r="K60" i="19"/>
  <c r="K76" i="19"/>
  <c r="K59" i="19"/>
  <c r="K78" i="19"/>
  <c r="K65" i="19"/>
  <c r="K87" i="19"/>
  <c r="C65" i="19"/>
  <c r="C87" i="19"/>
  <c r="C105" i="19"/>
  <c r="C63" i="19"/>
  <c r="C80" i="19"/>
  <c r="C60" i="19"/>
  <c r="C74" i="19"/>
  <c r="C78" i="19"/>
  <c r="C160" i="19"/>
  <c r="C76" i="19"/>
  <c r="J60" i="19"/>
  <c r="J109" i="19"/>
  <c r="J74" i="19"/>
  <c r="J80" i="19"/>
  <c r="J90" i="19"/>
  <c r="J59" i="19"/>
  <c r="J78" i="19"/>
  <c r="J65" i="19"/>
  <c r="J105" i="19"/>
  <c r="J89" i="19"/>
  <c r="J56" i="19"/>
  <c r="J63" i="19"/>
  <c r="J160" i="19"/>
  <c r="J178" i="19" s="1"/>
  <c r="J76" i="19"/>
  <c r="J87" i="19"/>
  <c r="N90" i="19"/>
  <c r="N60" i="19"/>
  <c r="N63" i="19"/>
  <c r="N89" i="19"/>
  <c r="N59" i="19"/>
  <c r="N105" i="19"/>
  <c r="N160" i="19"/>
  <c r="N178" i="19" s="1"/>
  <c r="N76" i="19"/>
  <c r="N56" i="19"/>
  <c r="N80" i="19"/>
  <c r="N78" i="19"/>
  <c r="N109" i="19"/>
  <c r="N74" i="19"/>
  <c r="N65" i="19"/>
  <c r="N87" i="19"/>
  <c r="I109" i="19"/>
  <c r="I63" i="19"/>
  <c r="I59" i="19"/>
  <c r="I80" i="19"/>
  <c r="I90" i="19"/>
  <c r="I60" i="19"/>
  <c r="I78" i="19"/>
  <c r="I74" i="19"/>
  <c r="I89" i="19"/>
  <c r="I76" i="19"/>
  <c r="I160" i="19"/>
  <c r="I178" i="19" s="1"/>
  <c r="I65" i="19"/>
  <c r="I56" i="19"/>
  <c r="I105" i="19"/>
  <c r="I87" i="19"/>
  <c r="H109" i="19"/>
  <c r="H74" i="19"/>
  <c r="H78" i="19"/>
  <c r="H65" i="19"/>
  <c r="H105" i="19"/>
  <c r="H90" i="19"/>
  <c r="H59" i="19"/>
  <c r="H63" i="19"/>
  <c r="H89" i="19"/>
  <c r="H56" i="19"/>
  <c r="H60" i="19"/>
  <c r="H160" i="19"/>
  <c r="H178" i="19" s="1"/>
  <c r="H76" i="19"/>
  <c r="H80" i="19"/>
  <c r="H87" i="19"/>
  <c r="G160" i="19"/>
  <c r="G178" i="19" s="1"/>
  <c r="G90" i="19"/>
  <c r="G78" i="19"/>
  <c r="G74" i="19"/>
  <c r="G109" i="19"/>
  <c r="G89" i="19"/>
  <c r="G76" i="19"/>
  <c r="G65" i="19"/>
  <c r="G60" i="19"/>
  <c r="G59" i="19"/>
  <c r="G105" i="19"/>
  <c r="G63" i="19"/>
  <c r="G56" i="19"/>
  <c r="G80" i="19"/>
  <c r="G87" i="19"/>
  <c r="O65" i="19"/>
  <c r="O60" i="19"/>
  <c r="O59" i="19"/>
  <c r="O74" i="19"/>
  <c r="O105" i="19"/>
  <c r="O63" i="19"/>
  <c r="O76" i="19"/>
  <c r="O56" i="19"/>
  <c r="O160" i="19"/>
  <c r="O178" i="19" s="1"/>
  <c r="O90" i="19"/>
  <c r="O109" i="19"/>
  <c r="O89" i="19"/>
  <c r="O78" i="19"/>
  <c r="O80" i="19"/>
  <c r="O87" i="19"/>
  <c r="F60" i="19"/>
  <c r="F160" i="19"/>
  <c r="F178" i="19" s="1"/>
  <c r="F74" i="19"/>
  <c r="F63" i="19"/>
  <c r="F109" i="19"/>
  <c r="F59" i="19"/>
  <c r="F89" i="19"/>
  <c r="F56" i="19"/>
  <c r="F80" i="19"/>
  <c r="F76" i="19"/>
  <c r="F78" i="19"/>
  <c r="F65" i="19"/>
  <c r="F105" i="19"/>
  <c r="F90" i="19"/>
  <c r="F87" i="19"/>
  <c r="M160" i="19"/>
  <c r="M178" i="19" s="1"/>
  <c r="M63" i="19"/>
  <c r="M56" i="19"/>
  <c r="M76" i="19"/>
  <c r="M109" i="19"/>
  <c r="M60" i="19"/>
  <c r="M59" i="19"/>
  <c r="M105" i="19"/>
  <c r="M89" i="19"/>
  <c r="M78" i="19"/>
  <c r="M80" i="19"/>
  <c r="M65" i="19"/>
  <c r="M74" i="19"/>
  <c r="M90" i="19"/>
  <c r="M87" i="19"/>
  <c r="E109" i="19"/>
  <c r="E76" i="19"/>
  <c r="E89" i="19"/>
  <c r="E105" i="19"/>
  <c r="E63" i="19"/>
  <c r="E56" i="19"/>
  <c r="E80" i="19"/>
  <c r="E160" i="19"/>
  <c r="E178" i="19" s="1"/>
  <c r="E60" i="19"/>
  <c r="E59" i="19"/>
  <c r="E87" i="19"/>
  <c r="E74" i="19"/>
  <c r="E78" i="19"/>
  <c r="E65" i="19"/>
  <c r="E90" i="19"/>
  <c r="DO104" i="8"/>
  <c r="DV46" i="8"/>
  <c r="DV152" i="8" s="1"/>
  <c r="DP104" i="8"/>
  <c r="DR104" i="8"/>
  <c r="AA207" i="1"/>
  <c r="Z211" i="15"/>
  <c r="O3" i="64"/>
  <c r="N42" i="64"/>
  <c r="O44" i="64"/>
  <c r="DU46" i="8"/>
  <c r="DU104" i="8" s="1"/>
  <c r="DW46" i="8"/>
  <c r="DW104" i="8" s="1"/>
  <c r="DT46" i="8"/>
  <c r="DT152" i="8" s="1"/>
  <c r="P43" i="64"/>
  <c r="P15" i="64"/>
  <c r="P13" i="64"/>
  <c r="P18" i="64" s="1"/>
  <c r="EC46" i="8"/>
  <c r="EC104" i="8" s="1"/>
  <c r="Q7" i="64"/>
  <c r="P9" i="64"/>
  <c r="P17" i="64" s="1"/>
  <c r="N16" i="64"/>
  <c r="N19" i="64" s="1"/>
  <c r="K14" i="64"/>
  <c r="K13" i="64" s="1"/>
  <c r="K18" i="64" s="1"/>
  <c r="K19" i="64" s="1"/>
  <c r="J13" i="64"/>
  <c r="J18" i="64" s="1"/>
  <c r="J19" i="64" s="1"/>
  <c r="P20" i="61"/>
  <c r="O19" i="61"/>
  <c r="O22" i="61"/>
  <c r="K9" i="61"/>
  <c r="K12" i="61" s="1"/>
  <c r="L7" i="61"/>
  <c r="M13" i="61"/>
  <c r="M11" i="61"/>
  <c r="J14" i="61"/>
  <c r="J15" i="61" s="1"/>
  <c r="J23" i="61" s="1"/>
  <c r="J30" i="61" s="1"/>
  <c r="CQ154" i="8"/>
  <c r="CQ108" i="8"/>
  <c r="CP154" i="8"/>
  <c r="CP108" i="8"/>
  <c r="DD110" i="8"/>
  <c r="DD48" i="8"/>
  <c r="CY154" i="8"/>
  <c r="CY108" i="8"/>
  <c r="CV48" i="8"/>
  <c r="CU48" i="8"/>
  <c r="R12" i="63"/>
  <c r="R13" i="63" s="1"/>
  <c r="DI50" i="8" s="1"/>
  <c r="S9" i="63"/>
  <c r="T5" i="63"/>
  <c r="S7" i="63"/>
  <c r="S8" i="63" s="1"/>
  <c r="S4" i="63"/>
  <c r="T12" i="62"/>
  <c r="T13" i="62" s="1"/>
  <c r="DS49" i="8" s="1"/>
  <c r="U9" i="62"/>
  <c r="U7" i="62"/>
  <c r="U8" i="62" s="1"/>
  <c r="V5" i="62"/>
  <c r="U4" i="62"/>
  <c r="DN109" i="8"/>
  <c r="CY94" i="8"/>
  <c r="CU30" i="8"/>
  <c r="CU94" i="8" s="1"/>
  <c r="CX30" i="8"/>
  <c r="CX94" i="8" s="1"/>
  <c r="CW30" i="8"/>
  <c r="CW94" i="8" s="1"/>
  <c r="CV30" i="8"/>
  <c r="CV94" i="8" s="1"/>
  <c r="CT92" i="8"/>
  <c r="CT147" i="8"/>
  <c r="CP93" i="8"/>
  <c r="CP28" i="8"/>
  <c r="CP92" i="8" s="1"/>
  <c r="L19" i="38"/>
  <c r="L27" i="38" s="1"/>
  <c r="L35" i="38" s="1"/>
  <c r="L36" i="38" s="1"/>
  <c r="DD29" i="8" s="1"/>
  <c r="L18" i="38"/>
  <c r="L17" i="38"/>
  <c r="L16" i="38"/>
  <c r="CQ28" i="8"/>
  <c r="CQ92" i="8" s="1"/>
  <c r="CQ93" i="8"/>
  <c r="CS93" i="8"/>
  <c r="CS28" i="8"/>
  <c r="CS92" i="8" s="1"/>
  <c r="CR93" i="8"/>
  <c r="CR28" i="8"/>
  <c r="CR92" i="8" s="1"/>
  <c r="DD30" i="8"/>
  <c r="CX29" i="8"/>
  <c r="CV29" i="8"/>
  <c r="CV93" i="8" s="1"/>
  <c r="CW29" i="8"/>
  <c r="CU29" i="8"/>
  <c r="CY93" i="8"/>
  <c r="CY28" i="8"/>
  <c r="M9" i="38"/>
  <c r="N7" i="38"/>
  <c r="L9" i="12"/>
  <c r="L6" i="12" s="1"/>
  <c r="L7" i="12"/>
  <c r="M23" i="12"/>
  <c r="M26" i="12" s="1"/>
  <c r="M10" i="12" s="1"/>
  <c r="N20" i="12"/>
  <c r="P60" i="12"/>
  <c r="O88" i="12"/>
  <c r="O87" i="12"/>
  <c r="O105" i="12" s="1"/>
  <c r="P31" i="12"/>
  <c r="Q30" i="12"/>
  <c r="Q41" i="12"/>
  <c r="P47" i="12"/>
  <c r="N36" i="12"/>
  <c r="N39" i="12" s="1"/>
  <c r="N42" i="12" s="1"/>
  <c r="O35" i="12"/>
  <c r="N45" i="12"/>
  <c r="N48" i="12" s="1"/>
  <c r="N51" i="12" s="1"/>
  <c r="O44" i="12"/>
  <c r="Q50" i="12"/>
  <c r="T55" i="12"/>
  <c r="U54" i="12"/>
  <c r="V21" i="12"/>
  <c r="P81" i="12"/>
  <c r="Q80" i="12"/>
  <c r="M45" i="12"/>
  <c r="M48" i="12" s="1"/>
  <c r="M51" i="12" s="1"/>
  <c r="R75" i="12"/>
  <c r="S74" i="12"/>
  <c r="S86" i="12"/>
  <c r="U107" i="12"/>
  <c r="P38" i="12"/>
  <c r="N25" i="12"/>
  <c r="R68" i="12"/>
  <c r="R88" i="13"/>
  <c r="M71" i="13"/>
  <c r="M72" i="13" s="1"/>
  <c r="N63" i="13"/>
  <c r="N61" i="13" s="1"/>
  <c r="N68" i="13"/>
  <c r="O64" i="13"/>
  <c r="N66" i="13"/>
  <c r="O27" i="13"/>
  <c r="Q77" i="13"/>
  <c r="R77" i="13" s="1"/>
  <c r="S77" i="13" s="1"/>
  <c r="T77" i="13" s="1"/>
  <c r="O79" i="13"/>
  <c r="M61" i="13"/>
  <c r="Q82" i="13"/>
  <c r="Q80" i="13"/>
  <c r="Q83" i="13"/>
  <c r="S92" i="13"/>
  <c r="K76" i="13"/>
  <c r="M76" i="13" s="1"/>
  <c r="N76" i="13" s="1"/>
  <c r="O76" i="13" s="1"/>
  <c r="P76" i="13" s="1"/>
  <c r="Q76" i="13" s="1"/>
  <c r="R76" i="13" s="1"/>
  <c r="S76" i="13" s="1"/>
  <c r="T76" i="13" s="1"/>
  <c r="U76" i="13" s="1"/>
  <c r="V76" i="13" s="1"/>
  <c r="W76" i="13" s="1"/>
  <c r="X76" i="13" s="1"/>
  <c r="Y76" i="13" s="1"/>
  <c r="Z76" i="13" s="1"/>
  <c r="K79" i="13"/>
  <c r="K85" i="13" s="1"/>
  <c r="K90" i="13" s="1"/>
  <c r="K93" i="13" s="1"/>
  <c r="K95" i="13" s="1"/>
  <c r="O62" i="13"/>
  <c r="U24" i="4"/>
  <c r="L8" i="4"/>
  <c r="M4" i="4"/>
  <c r="L7" i="4"/>
  <c r="K58" i="4"/>
  <c r="K60" i="4" s="1"/>
  <c r="K53" i="4"/>
  <c r="K55" i="4" s="1"/>
  <c r="V13" i="4"/>
  <c r="X18" i="4"/>
  <c r="P30" i="4"/>
  <c r="O59" i="4"/>
  <c r="K29" i="4"/>
  <c r="K31" i="4" s="1"/>
  <c r="M36" i="4"/>
  <c r="L38" i="4"/>
  <c r="N37" i="4"/>
  <c r="O35" i="4"/>
  <c r="J254" i="15"/>
  <c r="J253" i="15" s="1"/>
  <c r="D12" i="17"/>
  <c r="Q54" i="4"/>
  <c r="Z221" i="15"/>
  <c r="AA197" i="15"/>
  <c r="F138" i="15"/>
  <c r="E8" i="15"/>
  <c r="F10" i="15"/>
  <c r="G163" i="15"/>
  <c r="G175" i="15"/>
  <c r="G187" i="15"/>
  <c r="P32" i="15"/>
  <c r="O31" i="15"/>
  <c r="L177" i="15"/>
  <c r="L178" i="15"/>
  <c r="L176" i="15"/>
  <c r="L165" i="15"/>
  <c r="L166" i="15"/>
  <c r="L164" i="15"/>
  <c r="U9" i="15"/>
  <c r="X107" i="15"/>
  <c r="X95" i="15"/>
  <c r="X94" i="15"/>
  <c r="X93" i="15"/>
  <c r="Y91" i="15"/>
  <c r="Z90" i="15"/>
  <c r="Y92" i="15"/>
  <c r="J236" i="15"/>
  <c r="AB159" i="15"/>
  <c r="AC158" i="15"/>
  <c r="AB157" i="15"/>
  <c r="AB160" i="15"/>
  <c r="J103" i="15"/>
  <c r="J104" i="15" s="1"/>
  <c r="J113" i="15"/>
  <c r="J59" i="15"/>
  <c r="J111" i="15" s="1"/>
  <c r="J112" i="15" s="1"/>
  <c r="Q138" i="15"/>
  <c r="Q12" i="15"/>
  <c r="H165" i="15"/>
  <c r="H166" i="15"/>
  <c r="H164" i="15"/>
  <c r="Z38" i="15"/>
  <c r="Z37" i="15"/>
  <c r="Y36" i="15"/>
  <c r="Y39" i="15"/>
  <c r="W117" i="15"/>
  <c r="V121" i="15"/>
  <c r="AD184" i="15"/>
  <c r="T65" i="15"/>
  <c r="V47" i="15"/>
  <c r="U46" i="15"/>
  <c r="U49" i="15"/>
  <c r="W110" i="15"/>
  <c r="W109" i="15"/>
  <c r="W108" i="15"/>
  <c r="T195" i="15"/>
  <c r="U80" i="15"/>
  <c r="W102" i="15"/>
  <c r="L17" i="15"/>
  <c r="M16" i="15"/>
  <c r="Q21" i="15"/>
  <c r="S28" i="15"/>
  <c r="J98" i="15"/>
  <c r="M175" i="15"/>
  <c r="N143" i="15"/>
  <c r="M163" i="15"/>
  <c r="N142" i="15"/>
  <c r="V11" i="15"/>
  <c r="K85" i="15"/>
  <c r="K86" i="15" s="1"/>
  <c r="K40" i="15"/>
  <c r="K96" i="15" s="1"/>
  <c r="K97" i="15" s="1"/>
  <c r="W56" i="15"/>
  <c r="V55" i="15"/>
  <c r="V58" i="15"/>
  <c r="J75" i="15"/>
  <c r="J129" i="15" s="1"/>
  <c r="J130" i="15" s="1"/>
  <c r="J118" i="15"/>
  <c r="J119" i="15" s="1"/>
  <c r="AA155" i="15"/>
  <c r="AA153" i="15"/>
  <c r="AB154" i="15"/>
  <c r="AA156" i="15"/>
  <c r="H190" i="15"/>
  <c r="H188" i="15"/>
  <c r="H189" i="15"/>
  <c r="H177" i="15"/>
  <c r="H178" i="15"/>
  <c r="H176" i="15"/>
  <c r="V84" i="15"/>
  <c r="U88" i="15"/>
  <c r="Z128" i="15"/>
  <c r="Z127" i="15"/>
  <c r="Z126" i="15"/>
  <c r="AA124" i="15"/>
  <c r="AB123" i="15"/>
  <c r="AA125" i="15"/>
  <c r="N20" i="15"/>
  <c r="M22" i="15"/>
  <c r="AC73" i="15"/>
  <c r="AC71" i="15"/>
  <c r="AD72" i="15"/>
  <c r="AC74" i="15"/>
  <c r="Y182" i="15"/>
  <c r="X185" i="15"/>
  <c r="K43" i="15"/>
  <c r="K53" i="15" s="1"/>
  <c r="K62" i="15"/>
  <c r="K69" i="15" s="1"/>
  <c r="L187" i="15"/>
  <c r="L145" i="15"/>
  <c r="M144" i="15"/>
  <c r="K189" i="15"/>
  <c r="K188" i="15"/>
  <c r="K235" i="15" s="1"/>
  <c r="K190" i="15"/>
  <c r="J233" i="15"/>
  <c r="P20" i="1"/>
  <c r="O22" i="1"/>
  <c r="W166" i="1"/>
  <c r="V169" i="1"/>
  <c r="Z168" i="1"/>
  <c r="X70" i="1"/>
  <c r="Z57" i="1"/>
  <c r="Z56" i="1"/>
  <c r="Z55" i="1"/>
  <c r="Y58" i="1"/>
  <c r="J81" i="1"/>
  <c r="J82" i="1" s="1"/>
  <c r="J40" i="1"/>
  <c r="J92" i="1" s="1"/>
  <c r="J93" i="1" s="1"/>
  <c r="J43" i="1"/>
  <c r="J53" i="1" s="1"/>
  <c r="M171" i="1"/>
  <c r="N139" i="1"/>
  <c r="W98" i="1"/>
  <c r="V102" i="1"/>
  <c r="H185" i="1"/>
  <c r="H174" i="1"/>
  <c r="H172" i="1"/>
  <c r="H184" i="1"/>
  <c r="H186" i="1"/>
  <c r="H173" i="1"/>
  <c r="T191" i="1"/>
  <c r="U76" i="1"/>
  <c r="V46" i="1"/>
  <c r="V49" i="1" s="1"/>
  <c r="Q10" i="1"/>
  <c r="Q13" i="1"/>
  <c r="R8" i="1" s="1"/>
  <c r="T28" i="1"/>
  <c r="V113" i="1"/>
  <c r="U117" i="1"/>
  <c r="L17" i="1"/>
  <c r="M16" i="1"/>
  <c r="L183" i="1"/>
  <c r="M140" i="1"/>
  <c r="M144" i="1" s="1"/>
  <c r="K186" i="1"/>
  <c r="K184" i="1"/>
  <c r="K231" i="1" s="1"/>
  <c r="K185" i="1"/>
  <c r="E8" i="1"/>
  <c r="F134" i="1"/>
  <c r="F10" i="1"/>
  <c r="G159" i="1"/>
  <c r="G171" i="1"/>
  <c r="G183" i="1"/>
  <c r="N32" i="1"/>
  <c r="M31" i="1"/>
  <c r="AC180" i="1"/>
  <c r="J114" i="1"/>
  <c r="J115" i="1" s="1"/>
  <c r="J127" i="1"/>
  <c r="J71" i="1"/>
  <c r="J125" i="1" s="1"/>
  <c r="J126" i="1" s="1"/>
  <c r="AA193" i="1"/>
  <c r="L174" i="1"/>
  <c r="L172" i="1"/>
  <c r="L173" i="1"/>
  <c r="H162" i="1"/>
  <c r="H161" i="1"/>
  <c r="H160" i="1"/>
  <c r="V11" i="1"/>
  <c r="V21" i="1"/>
  <c r="W80" i="1"/>
  <c r="V84" i="1"/>
  <c r="U9" i="1"/>
  <c r="U65" i="1"/>
  <c r="T66" i="1"/>
  <c r="Q161" i="1"/>
  <c r="Q162" i="1"/>
  <c r="Q160" i="1"/>
  <c r="AA154" i="1"/>
  <c r="Z153" i="1"/>
  <c r="Z156" i="1" s="1"/>
  <c r="Z155" i="1"/>
  <c r="AA205" i="1"/>
  <c r="AA209" i="15" s="1"/>
  <c r="K62" i="1"/>
  <c r="K68" i="1" s="1"/>
  <c r="K25" i="1"/>
  <c r="K34" i="1" s="1"/>
  <c r="Y179" i="1"/>
  <c r="X178" i="1"/>
  <c r="X181" i="1" s="1"/>
  <c r="AC6" i="1"/>
  <c r="AD6" i="1" s="1"/>
  <c r="AE6" i="1" s="1"/>
  <c r="Q217" i="1"/>
  <c r="J198" i="1"/>
  <c r="V13" i="17"/>
  <c r="V7" i="17"/>
  <c r="Q66" i="21"/>
  <c r="R64" i="21"/>
  <c r="P96" i="21"/>
  <c r="Q95" i="21"/>
  <c r="Q24" i="21"/>
  <c r="Q104" i="21" s="1"/>
  <c r="P26" i="21"/>
  <c r="Q35" i="21"/>
  <c r="P36" i="21"/>
  <c r="R84" i="21"/>
  <c r="Q86" i="21"/>
  <c r="M16" i="21"/>
  <c r="M105" i="21" s="1"/>
  <c r="CP23" i="10" s="1"/>
  <c r="N15" i="21"/>
  <c r="O71" i="21"/>
  <c r="P70" i="21"/>
  <c r="Q31" i="21"/>
  <c r="R29" i="21"/>
  <c r="Q4" i="21"/>
  <c r="P6" i="21"/>
  <c r="W31" i="19"/>
  <c r="W43" i="20" s="1"/>
  <c r="N107" i="21"/>
  <c r="R50" i="21"/>
  <c r="Q51" i="21"/>
  <c r="P60" i="21"/>
  <c r="O61" i="21"/>
  <c r="Q81" i="21"/>
  <c r="R79" i="21"/>
  <c r="R91" i="21"/>
  <c r="S89" i="21"/>
  <c r="P11" i="21"/>
  <c r="Q9" i="21"/>
  <c r="Q44" i="21"/>
  <c r="P46" i="21"/>
  <c r="Y69" i="20"/>
  <c r="Z64" i="20"/>
  <c r="X87" i="20"/>
  <c r="X44" i="20" s="1"/>
  <c r="X85" i="20"/>
  <c r="W39" i="19"/>
  <c r="AB77" i="20"/>
  <c r="Z38" i="19"/>
  <c r="P115" i="19"/>
  <c r="EN63" i="10"/>
  <c r="U153" i="19"/>
  <c r="U152" i="19" s="1"/>
  <c r="V149" i="19"/>
  <c r="U148" i="19"/>
  <c r="X154" i="19"/>
  <c r="W15" i="19"/>
  <c r="K118" i="19"/>
  <c r="L118" i="19" s="1"/>
  <c r="M118" i="19" s="1"/>
  <c r="J119" i="19"/>
  <c r="K119" i="19" s="1"/>
  <c r="X175" i="19"/>
  <c r="Y32" i="19"/>
  <c r="Y170" i="19"/>
  <c r="Z16" i="19"/>
  <c r="Z19" i="19"/>
  <c r="R112" i="19"/>
  <c r="AT142" i="8"/>
  <c r="AT158" i="8" s="1"/>
  <c r="AT138" i="8" s="1"/>
  <c r="AU122" i="8"/>
  <c r="AU142" i="8" s="1"/>
  <c r="AU158" i="8" s="1"/>
  <c r="AU138" i="8" s="1"/>
  <c r="CY102" i="8"/>
  <c r="CW38" i="8"/>
  <c r="CW102" i="8" s="1"/>
  <c r="CU38" i="8"/>
  <c r="CU102" i="8" s="1"/>
  <c r="DD38" i="8"/>
  <c r="CV38" i="8"/>
  <c r="CV102" i="8" s="1"/>
  <c r="DX96" i="8"/>
  <c r="EC32" i="8"/>
  <c r="DX98" i="8"/>
  <c r="EC34" i="8"/>
  <c r="CY100" i="8"/>
  <c r="CX36" i="8"/>
  <c r="CX100" i="8" s="1"/>
  <c r="CV36" i="8"/>
  <c r="CV100" i="8" s="1"/>
  <c r="CW36" i="8"/>
  <c r="CW100" i="8" s="1"/>
  <c r="CU36" i="8"/>
  <c r="CU100" i="8" s="1"/>
  <c r="DI149" i="8"/>
  <c r="DN129" i="8"/>
  <c r="CP114" i="8"/>
  <c r="CQ42" i="8"/>
  <c r="CY114" i="8"/>
  <c r="CU42" i="8"/>
  <c r="DD42" i="8"/>
  <c r="CY158" i="8"/>
  <c r="AV142" i="8"/>
  <c r="AV122" i="8" s="1"/>
  <c r="CQ118" i="8"/>
  <c r="CR63" i="8"/>
  <c r="DS127" i="8"/>
  <c r="BN144" i="8"/>
  <c r="BO124" i="8"/>
  <c r="BO144" i="8" s="1"/>
  <c r="BL151" i="8"/>
  <c r="BM131" i="8"/>
  <c r="DN122" i="8"/>
  <c r="EB134" i="8"/>
  <c r="EG135" i="8"/>
  <c r="DX133" i="8"/>
  <c r="DY134" i="8"/>
  <c r="ED135" i="8"/>
  <c r="DS134" i="8"/>
  <c r="CN62" i="8"/>
  <c r="CN117" i="8" s="1"/>
  <c r="CN118" i="8"/>
  <c r="CM118" i="8"/>
  <c r="CL114" i="8"/>
  <c r="CM42" i="8"/>
  <c r="CM114" i="8" s="1"/>
  <c r="CI118" i="8"/>
  <c r="CU118" i="8"/>
  <c r="CV63" i="8"/>
  <c r="DD118" i="8"/>
  <c r="CZ63" i="8"/>
  <c r="DI63" i="8"/>
  <c r="BU125" i="8"/>
  <c r="BQ125" i="8"/>
  <c r="BE143" i="8"/>
  <c r="BG123" i="8"/>
  <c r="DI126" i="8"/>
  <c r="BL150" i="8"/>
  <c r="BM130" i="8"/>
  <c r="DD148" i="8"/>
  <c r="DI128" i="8"/>
  <c r="DZ134" i="8"/>
  <c r="EE135" i="8"/>
  <c r="DX135" i="8"/>
  <c r="EA134" i="8"/>
  <c r="EF135" i="8"/>
  <c r="DS138" i="8"/>
  <c r="DX152" i="8"/>
  <c r="EC132" i="8"/>
  <c r="AR138" i="8"/>
  <c r="CK117" i="8"/>
  <c r="CT117" i="8"/>
  <c r="CY62" i="8"/>
  <c r="CR62" i="8"/>
  <c r="CR117" i="8" s="1"/>
  <c r="CP62" i="8"/>
  <c r="CQ62" i="8"/>
  <c r="CQ117" i="8" s="1"/>
  <c r="CU5" i="10"/>
  <c r="CI42" i="8"/>
  <c r="CI114" i="8" s="1"/>
  <c r="BV109" i="10"/>
  <c r="BV10" i="10"/>
  <c r="BV98" i="10"/>
  <c r="BV100" i="10"/>
  <c r="BR109" i="10"/>
  <c r="BR10" i="10"/>
  <c r="BR98" i="10"/>
  <c r="BR100" i="10"/>
  <c r="BR119" i="10"/>
  <c r="BN109" i="10"/>
  <c r="BN10" i="10"/>
  <c r="BN98" i="10"/>
  <c r="BN100" i="10"/>
  <c r="BN119" i="10"/>
  <c r="BJ109" i="10"/>
  <c r="BJ10" i="10"/>
  <c r="BJ98" i="10"/>
  <c r="BJ100" i="10"/>
  <c r="BJ119" i="10"/>
  <c r="BE109" i="10"/>
  <c r="BE10" i="10"/>
  <c r="BE100" i="10"/>
  <c r="BE98" i="10"/>
  <c r="BE119" i="10"/>
  <c r="BA109" i="10"/>
  <c r="BA119" i="10"/>
  <c r="BA10" i="10"/>
  <c r="BA100" i="10"/>
  <c r="BA98" i="10"/>
  <c r="BF109" i="10"/>
  <c r="AW109" i="10"/>
  <c r="AW10" i="10"/>
  <c r="AW100" i="10"/>
  <c r="AW98" i="10"/>
  <c r="AW119" i="10"/>
  <c r="AS109" i="10"/>
  <c r="AS119" i="10"/>
  <c r="AS10" i="10"/>
  <c r="AS100" i="10"/>
  <c r="AS98" i="10"/>
  <c r="AO119" i="10"/>
  <c r="AO109" i="10"/>
  <c r="AO10" i="10"/>
  <c r="AO100" i="10"/>
  <c r="AO98" i="10"/>
  <c r="AK109" i="10"/>
  <c r="AK119" i="10"/>
  <c r="AK10" i="10"/>
  <c r="AK100" i="10"/>
  <c r="AK98" i="10"/>
  <c r="AG119" i="10"/>
  <c r="AG109" i="10"/>
  <c r="AG10" i="10"/>
  <c r="AG100" i="10"/>
  <c r="AG98" i="10"/>
  <c r="AC109" i="10"/>
  <c r="AC10" i="10"/>
  <c r="AC98" i="10"/>
  <c r="AC100" i="10"/>
  <c r="AC119" i="10"/>
  <c r="Y119" i="10"/>
  <c r="Y109" i="10"/>
  <c r="Y10" i="10"/>
  <c r="Y98" i="10"/>
  <c r="Y100" i="10"/>
  <c r="U109" i="10"/>
  <c r="U119" i="10"/>
  <c r="U10" i="10"/>
  <c r="U98" i="10"/>
  <c r="U100" i="10"/>
  <c r="Q119" i="10"/>
  <c r="Q109" i="10"/>
  <c r="Q100" i="10"/>
  <c r="Q10" i="10"/>
  <c r="Q98" i="10"/>
  <c r="M109" i="10"/>
  <c r="M119" i="10"/>
  <c r="M100" i="10"/>
  <c r="M98" i="10"/>
  <c r="M10" i="10"/>
  <c r="I109" i="10"/>
  <c r="I10" i="10"/>
  <c r="I100" i="10"/>
  <c r="I98" i="10"/>
  <c r="I119" i="10"/>
  <c r="E100" i="10"/>
  <c r="E98" i="10"/>
  <c r="E119" i="10"/>
  <c r="E10" i="10"/>
  <c r="DJ56" i="10"/>
  <c r="BU109" i="10"/>
  <c r="BU10" i="10"/>
  <c r="BU100" i="10"/>
  <c r="BU120" i="10" s="1"/>
  <c r="BU98" i="10"/>
  <c r="BQ109" i="10"/>
  <c r="BQ10" i="10"/>
  <c r="BQ98" i="10"/>
  <c r="BQ100" i="10"/>
  <c r="BM109" i="10"/>
  <c r="BM10" i="10"/>
  <c r="BM100" i="10"/>
  <c r="BM98" i="10"/>
  <c r="BM119" i="10"/>
  <c r="BI109" i="10"/>
  <c r="BI10" i="10"/>
  <c r="BI100" i="10"/>
  <c r="BI98" i="10"/>
  <c r="BI119" i="10"/>
  <c r="BD109" i="10"/>
  <c r="BD10" i="10"/>
  <c r="BD98" i="10"/>
  <c r="BD100" i="10"/>
  <c r="BD119" i="10"/>
  <c r="AZ119" i="10"/>
  <c r="AZ109" i="10"/>
  <c r="AZ10" i="10"/>
  <c r="AZ98" i="10"/>
  <c r="AZ100" i="10"/>
  <c r="AZ120" i="10" s="1"/>
  <c r="AV119" i="10"/>
  <c r="AV109" i="10"/>
  <c r="AV10" i="10"/>
  <c r="AV98" i="10"/>
  <c r="AV100" i="10"/>
  <c r="AV120" i="10" s="1"/>
  <c r="AR109" i="10"/>
  <c r="AR10" i="10"/>
  <c r="AR98" i="10"/>
  <c r="AR100" i="10"/>
  <c r="AR119" i="10"/>
  <c r="AN119" i="10"/>
  <c r="AN109" i="10"/>
  <c r="AN10" i="10"/>
  <c r="AN98" i="10"/>
  <c r="AN100" i="10"/>
  <c r="AN120" i="10" s="1"/>
  <c r="AJ119" i="10"/>
  <c r="AJ109" i="10"/>
  <c r="AJ10" i="10"/>
  <c r="AJ98" i="10"/>
  <c r="AJ100" i="10"/>
  <c r="AJ120" i="10" s="1"/>
  <c r="AF119" i="10"/>
  <c r="AF109" i="10"/>
  <c r="AF10" i="10"/>
  <c r="AF98" i="10"/>
  <c r="AF100" i="10"/>
  <c r="AF120" i="10" s="1"/>
  <c r="AB119" i="10"/>
  <c r="AB109" i="10"/>
  <c r="AB10" i="10"/>
  <c r="AB98" i="10"/>
  <c r="AB100" i="10"/>
  <c r="AB120" i="10" s="1"/>
  <c r="X109" i="10"/>
  <c r="X10" i="10"/>
  <c r="X98" i="10"/>
  <c r="X100" i="10"/>
  <c r="X119" i="10"/>
  <c r="T119" i="10"/>
  <c r="T109" i="10"/>
  <c r="T10" i="10"/>
  <c r="T98" i="10"/>
  <c r="T100" i="10"/>
  <c r="T120" i="10" s="1"/>
  <c r="P119" i="10"/>
  <c r="P109" i="10"/>
  <c r="P100" i="10"/>
  <c r="P10" i="10"/>
  <c r="P98" i="10"/>
  <c r="L119" i="10"/>
  <c r="L109" i="10"/>
  <c r="L100" i="10"/>
  <c r="L98" i="10"/>
  <c r="L10" i="10"/>
  <c r="H119" i="10"/>
  <c r="H100" i="10"/>
  <c r="H98" i="10"/>
  <c r="H10" i="10"/>
  <c r="D100" i="10"/>
  <c r="D98" i="10"/>
  <c r="D119" i="10"/>
  <c r="D10" i="10"/>
  <c r="BT109" i="10"/>
  <c r="BT10" i="10"/>
  <c r="BT98" i="10"/>
  <c r="BT100" i="10"/>
  <c r="BT119" i="10"/>
  <c r="BP109" i="10"/>
  <c r="BP10" i="10"/>
  <c r="BP98" i="10"/>
  <c r="BP100" i="10"/>
  <c r="BP119" i="10"/>
  <c r="BL109" i="10"/>
  <c r="BL10" i="10"/>
  <c r="BL100" i="10"/>
  <c r="BL98" i="10"/>
  <c r="BL119" i="10"/>
  <c r="BH109" i="10"/>
  <c r="BH10" i="10"/>
  <c r="BH98" i="10"/>
  <c r="BH100" i="10"/>
  <c r="BH119" i="10"/>
  <c r="BC109" i="10"/>
  <c r="BC10" i="10"/>
  <c r="BC100" i="10"/>
  <c r="BC98" i="10"/>
  <c r="BC119" i="10"/>
  <c r="AY119" i="10"/>
  <c r="AY109" i="10"/>
  <c r="AY10" i="10"/>
  <c r="AY100" i="10"/>
  <c r="AY98" i="10"/>
  <c r="AU119" i="10"/>
  <c r="AU109" i="10"/>
  <c r="AU10" i="10"/>
  <c r="AU100" i="10"/>
  <c r="AU98" i="10"/>
  <c r="AQ119" i="10"/>
  <c r="AQ109" i="10"/>
  <c r="AQ10" i="10"/>
  <c r="AQ100" i="10"/>
  <c r="AQ98" i="10"/>
  <c r="AM109" i="10"/>
  <c r="AM10" i="10"/>
  <c r="AM98" i="10"/>
  <c r="AM100" i="10"/>
  <c r="AM119" i="10"/>
  <c r="AI119" i="10"/>
  <c r="AI109" i="10"/>
  <c r="AI10" i="10"/>
  <c r="AI100" i="10"/>
  <c r="AI98" i="10"/>
  <c r="AE119" i="10"/>
  <c r="AE109" i="10"/>
  <c r="AE10" i="10"/>
  <c r="AE100" i="10"/>
  <c r="AE98" i="10"/>
  <c r="AA119" i="10"/>
  <c r="AA109" i="10"/>
  <c r="AA10" i="10"/>
  <c r="AA100" i="10"/>
  <c r="AA98" i="10"/>
  <c r="W119" i="10"/>
  <c r="W109" i="10"/>
  <c r="W10" i="10"/>
  <c r="W100" i="10"/>
  <c r="W98" i="10"/>
  <c r="S109" i="10"/>
  <c r="S10" i="10"/>
  <c r="S100" i="10"/>
  <c r="S119" i="10"/>
  <c r="S98" i="10"/>
  <c r="O119" i="10"/>
  <c r="O109" i="10"/>
  <c r="O100" i="10"/>
  <c r="O10" i="10"/>
  <c r="O98" i="10"/>
  <c r="K119" i="10"/>
  <c r="K109" i="10"/>
  <c r="K100" i="10"/>
  <c r="K98" i="10"/>
  <c r="K10" i="10"/>
  <c r="G119" i="10"/>
  <c r="G100" i="10"/>
  <c r="G98" i="10"/>
  <c r="G10" i="10"/>
  <c r="BF102" i="10"/>
  <c r="BF91" i="10"/>
  <c r="BF104" i="10" s="1"/>
  <c r="BF28" i="10"/>
  <c r="BW109" i="10"/>
  <c r="BW10" i="10"/>
  <c r="BW100" i="10"/>
  <c r="BW98" i="10"/>
  <c r="BW119" i="10"/>
  <c r="BS109" i="10"/>
  <c r="BS10" i="10"/>
  <c r="BS100" i="10"/>
  <c r="BS98" i="10"/>
  <c r="BS119" i="10"/>
  <c r="BO109" i="10"/>
  <c r="BO10" i="10"/>
  <c r="BO100" i="10"/>
  <c r="BO98" i="10"/>
  <c r="BO119" i="10"/>
  <c r="BK109" i="10"/>
  <c r="BK10" i="10"/>
  <c r="BK100" i="10"/>
  <c r="BK98" i="10"/>
  <c r="BK119" i="10"/>
  <c r="BG109" i="10"/>
  <c r="BG10" i="10"/>
  <c r="BG98" i="10"/>
  <c r="BG100" i="10"/>
  <c r="BG119" i="10"/>
  <c r="BB109" i="10"/>
  <c r="BB10" i="10"/>
  <c r="BB100" i="10"/>
  <c r="BB98" i="10"/>
  <c r="BB119" i="10"/>
  <c r="AX119" i="10"/>
  <c r="AX109" i="10"/>
  <c r="AX10" i="10"/>
  <c r="AX98" i="10"/>
  <c r="AX100" i="10"/>
  <c r="AX120" i="10" s="1"/>
  <c r="AT119" i="10"/>
  <c r="AT109" i="10"/>
  <c r="AT10" i="10"/>
  <c r="AT98" i="10"/>
  <c r="AT100" i="10"/>
  <c r="AT120" i="10" s="1"/>
  <c r="AP119" i="10"/>
  <c r="AP109" i="10"/>
  <c r="AP10" i="10"/>
  <c r="AP98" i="10"/>
  <c r="AP100" i="10"/>
  <c r="AL119" i="10"/>
  <c r="AL109" i="10"/>
  <c r="AL10" i="10"/>
  <c r="AL98" i="10"/>
  <c r="AL100" i="10"/>
  <c r="AL120" i="10" s="1"/>
  <c r="AH109" i="10"/>
  <c r="AH10" i="10"/>
  <c r="AH98" i="10"/>
  <c r="AH100" i="10"/>
  <c r="AH119" i="10"/>
  <c r="AD119" i="10"/>
  <c r="AD109" i="10"/>
  <c r="AD10" i="10"/>
  <c r="AD98" i="10"/>
  <c r="AD100" i="10"/>
  <c r="Z119" i="10"/>
  <c r="Z109" i="10"/>
  <c r="Z10" i="10"/>
  <c r="Z98" i="10"/>
  <c r="Z100" i="10"/>
  <c r="V119" i="10"/>
  <c r="V109" i="10"/>
  <c r="V10" i="10"/>
  <c r="V98" i="10"/>
  <c r="V100" i="10"/>
  <c r="R119" i="10"/>
  <c r="R109" i="10"/>
  <c r="R100" i="10"/>
  <c r="R10" i="10"/>
  <c r="R98" i="10"/>
  <c r="N109" i="10"/>
  <c r="N10" i="10"/>
  <c r="N100" i="10"/>
  <c r="N98" i="10"/>
  <c r="N119" i="10"/>
  <c r="J119" i="10"/>
  <c r="J109" i="10"/>
  <c r="J100" i="10"/>
  <c r="J98" i="10"/>
  <c r="J10" i="10"/>
  <c r="F119" i="10"/>
  <c r="F100" i="10"/>
  <c r="F98" i="10"/>
  <c r="F10" i="10"/>
  <c r="H5" i="22"/>
  <c r="G12" i="22"/>
  <c r="CW48" i="8" l="1"/>
  <c r="DB48" i="8" s="1"/>
  <c r="CR108" i="8"/>
  <c r="CS154" i="8"/>
  <c r="CS108" i="8"/>
  <c r="T14" i="19"/>
  <c r="T171" i="19" s="1"/>
  <c r="Y120" i="10"/>
  <c r="DV104" i="8"/>
  <c r="CP86" i="10"/>
  <c r="CP87" i="10" s="1"/>
  <c r="W70" i="20"/>
  <c r="CN42" i="8"/>
  <c r="CX38" i="8"/>
  <c r="CX102" i="8" s="1"/>
  <c r="AD120" i="10"/>
  <c r="AP120" i="10"/>
  <c r="Z120" i="10"/>
  <c r="V120" i="10"/>
  <c r="AS120" i="10"/>
  <c r="BA120" i="10"/>
  <c r="M85" i="13"/>
  <c r="M90" i="13" s="1"/>
  <c r="M93" i="13" s="1"/>
  <c r="M95" i="13" s="1"/>
  <c r="CE26" i="8" s="1"/>
  <c r="W76" i="20"/>
  <c r="W80" i="20" s="1"/>
  <c r="W47" i="20" s="1"/>
  <c r="W102" i="20" s="1"/>
  <c r="W74" i="20"/>
  <c r="W71" i="20"/>
  <c r="W82" i="20"/>
  <c r="R120" i="10"/>
  <c r="O120" i="10"/>
  <c r="AI120" i="10"/>
  <c r="Q120" i="10"/>
  <c r="J128" i="1"/>
  <c r="J132" i="15"/>
  <c r="L23" i="4"/>
  <c r="L26" i="4" s="1"/>
  <c r="V92" i="20"/>
  <c r="W91" i="20" s="1"/>
  <c r="Z38" i="1"/>
  <c r="Y39" i="1"/>
  <c r="Z37" i="1"/>
  <c r="Y36" i="1"/>
  <c r="AB152" i="1"/>
  <c r="AC150" i="1"/>
  <c r="AB149" i="1"/>
  <c r="K198" i="1"/>
  <c r="U155" i="19"/>
  <c r="U157" i="19" s="1"/>
  <c r="AE25" i="19"/>
  <c r="AE23" i="20" s="1"/>
  <c r="AD23" i="20"/>
  <c r="AA22" i="19"/>
  <c r="Z26" i="20"/>
  <c r="X138" i="1"/>
  <c r="X137" i="1"/>
  <c r="K99" i="15"/>
  <c r="AY120" i="10"/>
  <c r="DY46" i="8"/>
  <c r="DY152" i="8" s="1"/>
  <c r="P120" i="10"/>
  <c r="AK120" i="10"/>
  <c r="J120" i="10"/>
  <c r="AA120" i="10"/>
  <c r="AQ120" i="10"/>
  <c r="K120" i="10"/>
  <c r="H120" i="10"/>
  <c r="L120" i="10"/>
  <c r="DW152" i="8"/>
  <c r="DU152" i="8"/>
  <c r="EB46" i="8"/>
  <c r="EB104" i="8" s="1"/>
  <c r="DT104" i="8"/>
  <c r="EA46" i="8"/>
  <c r="EA104" i="8" s="1"/>
  <c r="DZ46" i="8"/>
  <c r="DZ152" i="8" s="1"/>
  <c r="CS62" i="8"/>
  <c r="CS117" i="8" s="1"/>
  <c r="AB207" i="1"/>
  <c r="AA211" i="15"/>
  <c r="BP120" i="10"/>
  <c r="BN120" i="10"/>
  <c r="AV158" i="8"/>
  <c r="AV138" i="8" s="1"/>
  <c r="J114" i="15"/>
  <c r="J134" i="15"/>
  <c r="J257" i="15" s="1"/>
  <c r="J258" i="15" s="1"/>
  <c r="BH120" i="10"/>
  <c r="X120" i="10"/>
  <c r="BD120" i="10"/>
  <c r="AC120" i="10"/>
  <c r="CV28" i="8"/>
  <c r="CV92" i="8" s="1"/>
  <c r="O16" i="64"/>
  <c r="O19" i="64" s="1"/>
  <c r="R7" i="64"/>
  <c r="Q43" i="64"/>
  <c r="Q15" i="64"/>
  <c r="EH46" i="8"/>
  <c r="EH104" i="8" s="1"/>
  <c r="Q13" i="64"/>
  <c r="Q18" i="64" s="1"/>
  <c r="Q9" i="64"/>
  <c r="Q17" i="64" s="1"/>
  <c r="P44" i="64"/>
  <c r="O42" i="64"/>
  <c r="P3" i="64"/>
  <c r="N11" i="61"/>
  <c r="N13" i="61"/>
  <c r="L9" i="61"/>
  <c r="L12" i="61" s="1"/>
  <c r="M7" i="61"/>
  <c r="Q20" i="61"/>
  <c r="P19" i="61"/>
  <c r="P22" i="61"/>
  <c r="K14" i="61"/>
  <c r="K15" i="61" s="1"/>
  <c r="K23" i="61" s="1"/>
  <c r="K30" i="61" s="1"/>
  <c r="T9" i="63"/>
  <c r="S12" i="63"/>
  <c r="S13" i="63" s="1"/>
  <c r="DN50" i="8" s="1"/>
  <c r="CU108" i="8"/>
  <c r="CU154" i="8"/>
  <c r="CV108" i="8"/>
  <c r="CV154" i="8"/>
  <c r="DD154" i="8"/>
  <c r="DA48" i="8"/>
  <c r="CZ48" i="8"/>
  <c r="DD108" i="8"/>
  <c r="DC48" i="8"/>
  <c r="T7" i="63"/>
  <c r="T8" i="63" s="1"/>
  <c r="T4" i="63"/>
  <c r="U5" i="63"/>
  <c r="DI110" i="8"/>
  <c r="DI48" i="8"/>
  <c r="CX154" i="8"/>
  <c r="CX108" i="8"/>
  <c r="W5" i="62"/>
  <c r="V7" i="62"/>
  <c r="V8" i="62" s="1"/>
  <c r="V4" i="62"/>
  <c r="U12" i="62"/>
  <c r="U13" i="62" s="1"/>
  <c r="DX49" i="8" s="1"/>
  <c r="V9" i="62"/>
  <c r="DS109" i="8"/>
  <c r="M19" i="38"/>
  <c r="M27" i="38" s="1"/>
  <c r="M35" i="38" s="1"/>
  <c r="M36" i="38" s="1"/>
  <c r="DI29" i="8" s="1"/>
  <c r="M18" i="38"/>
  <c r="M17" i="38"/>
  <c r="M16" i="38"/>
  <c r="CW93" i="8"/>
  <c r="CW28" i="8"/>
  <c r="CW92" i="8" s="1"/>
  <c r="CX93" i="8"/>
  <c r="CX28" i="8"/>
  <c r="CX92" i="8" s="1"/>
  <c r="DD93" i="8"/>
  <c r="CZ29" i="8"/>
  <c r="DB29" i="8"/>
  <c r="DD28" i="8"/>
  <c r="DA29" i="8"/>
  <c r="DC29" i="8"/>
  <c r="DI30" i="8"/>
  <c r="O7" i="38"/>
  <c r="N9" i="38"/>
  <c r="CY92" i="8"/>
  <c r="CY147" i="8"/>
  <c r="CU93" i="8"/>
  <c r="CU28" i="8"/>
  <c r="CU92" i="8" s="1"/>
  <c r="CZ30" i="8"/>
  <c r="CZ94" i="8" s="1"/>
  <c r="DB30" i="8"/>
  <c r="DB94" i="8" s="1"/>
  <c r="DC30" i="8"/>
  <c r="DC94" i="8" s="1"/>
  <c r="DA30" i="8"/>
  <c r="DA94" i="8" s="1"/>
  <c r="DD94" i="8"/>
  <c r="M9" i="12"/>
  <c r="T86" i="12"/>
  <c r="S75" i="12"/>
  <c r="T74" i="12"/>
  <c r="M66" i="12"/>
  <c r="P87" i="12"/>
  <c r="P105" i="12" s="1"/>
  <c r="P88" i="12"/>
  <c r="P106" i="12" s="1"/>
  <c r="P108" i="12" s="1"/>
  <c r="P16" i="12" s="1"/>
  <c r="P15" i="12" s="1"/>
  <c r="U55" i="12"/>
  <c r="V54" i="12"/>
  <c r="R50" i="12"/>
  <c r="P44" i="12"/>
  <c r="O36" i="12"/>
  <c r="O39" i="12" s="1"/>
  <c r="O42" i="12" s="1"/>
  <c r="P35" i="12"/>
  <c r="Q47" i="12"/>
  <c r="R41" i="12"/>
  <c r="Q31" i="12"/>
  <c r="R30" i="12"/>
  <c r="O20" i="12"/>
  <c r="N23" i="12"/>
  <c r="N26" i="12" s="1"/>
  <c r="N10" i="12" s="1"/>
  <c r="S68" i="12"/>
  <c r="O25" i="12"/>
  <c r="Q38" i="12"/>
  <c r="V107" i="12"/>
  <c r="M67" i="12"/>
  <c r="M69" i="12" s="1"/>
  <c r="M13" i="12" s="1"/>
  <c r="M12" i="12" s="1"/>
  <c r="Q81" i="12"/>
  <c r="R80" i="12"/>
  <c r="W21" i="12"/>
  <c r="N66" i="12"/>
  <c r="N67" i="12"/>
  <c r="N69" i="12" s="1"/>
  <c r="N13" i="12" s="1"/>
  <c r="N12" i="12" s="1"/>
  <c r="O106" i="12"/>
  <c r="O108" i="12" s="1"/>
  <c r="O16" i="12" s="1"/>
  <c r="O15" i="12" s="1"/>
  <c r="Q60" i="12"/>
  <c r="L8" i="12"/>
  <c r="O66" i="13"/>
  <c r="P27" i="13"/>
  <c r="O68" i="13"/>
  <c r="P64" i="13"/>
  <c r="O63" i="13"/>
  <c r="N71" i="13"/>
  <c r="N72" i="13" s="1"/>
  <c r="S88" i="13"/>
  <c r="P62" i="13"/>
  <c r="T92" i="13"/>
  <c r="R82" i="13"/>
  <c r="R80" i="13"/>
  <c r="R83" i="13"/>
  <c r="P79" i="13"/>
  <c r="N69" i="13"/>
  <c r="L58" i="4"/>
  <c r="L60" i="4" s="1"/>
  <c r="L53" i="4"/>
  <c r="L55" i="4" s="1"/>
  <c r="M7" i="4"/>
  <c r="M8" i="4"/>
  <c r="N4" i="4"/>
  <c r="V24" i="4"/>
  <c r="R54" i="4"/>
  <c r="P35" i="4"/>
  <c r="O37" i="4"/>
  <c r="M38" i="4"/>
  <c r="N36" i="4"/>
  <c r="P59" i="4"/>
  <c r="Q30" i="4"/>
  <c r="Y18" i="4"/>
  <c r="W13" i="4"/>
  <c r="E12" i="17"/>
  <c r="K254" i="15"/>
  <c r="K253" i="15" s="1"/>
  <c r="L261" i="1"/>
  <c r="L260" i="1" s="1"/>
  <c r="F6" i="17"/>
  <c r="L29" i="4"/>
  <c r="L31" i="4" s="1"/>
  <c r="M187" i="15"/>
  <c r="M145" i="15"/>
  <c r="N144" i="15"/>
  <c r="L190" i="15"/>
  <c r="L188" i="15"/>
  <c r="L235" i="15" s="1"/>
  <c r="L189" i="15"/>
  <c r="K103" i="15"/>
  <c r="K104" i="15" s="1"/>
  <c r="K59" i="15"/>
  <c r="K111" i="15" s="1"/>
  <c r="K112" i="15" s="1"/>
  <c r="Z182" i="15"/>
  <c r="Y185" i="15"/>
  <c r="AE72" i="15"/>
  <c r="AD73" i="15"/>
  <c r="AD71" i="15"/>
  <c r="AD74" i="15"/>
  <c r="O20" i="15"/>
  <c r="N22" i="15"/>
  <c r="AB124" i="15"/>
  <c r="AC123" i="15"/>
  <c r="AB125" i="15"/>
  <c r="K202" i="15"/>
  <c r="AC154" i="15"/>
  <c r="AB155" i="15"/>
  <c r="AB153" i="15"/>
  <c r="AB156" i="15"/>
  <c r="X56" i="15"/>
  <c r="W55" i="15"/>
  <c r="W58" i="15"/>
  <c r="N163" i="15"/>
  <c r="O140" i="15"/>
  <c r="O139" i="15"/>
  <c r="P139" i="15" s="1"/>
  <c r="Q139" i="15" s="1"/>
  <c r="R139" i="15" s="1"/>
  <c r="S139" i="15" s="1"/>
  <c r="T139" i="15" s="1"/>
  <c r="U139" i="15" s="1"/>
  <c r="V139" i="15" s="1"/>
  <c r="W139" i="15" s="1"/>
  <c r="X139" i="15" s="1"/>
  <c r="Y139" i="15" s="1"/>
  <c r="Z139" i="15" s="1"/>
  <c r="AA139" i="15" s="1"/>
  <c r="AB139" i="15" s="1"/>
  <c r="AC139" i="15" s="1"/>
  <c r="AD139" i="15" s="1"/>
  <c r="AE139" i="15" s="1"/>
  <c r="N175" i="15"/>
  <c r="O143" i="15"/>
  <c r="L62" i="15"/>
  <c r="L69" i="15" s="1"/>
  <c r="X102" i="15"/>
  <c r="U195" i="15"/>
  <c r="V80" i="15"/>
  <c r="W106" i="15"/>
  <c r="L25" i="15"/>
  <c r="L34" i="15" s="1"/>
  <c r="AE184" i="15"/>
  <c r="X117" i="15"/>
  <c r="W121" i="15"/>
  <c r="AA38" i="15"/>
  <c r="AA37" i="15"/>
  <c r="Z36" i="15"/>
  <c r="Z39" i="15"/>
  <c r="Q10" i="15"/>
  <c r="Q13" i="15"/>
  <c r="R8" i="15" s="1"/>
  <c r="AC159" i="15"/>
  <c r="AC157" i="15"/>
  <c r="AD158" i="15"/>
  <c r="AC160" i="15"/>
  <c r="Y107" i="15"/>
  <c r="Y95" i="15"/>
  <c r="Y94" i="15"/>
  <c r="Y93" i="15"/>
  <c r="V9" i="15"/>
  <c r="L201" i="15"/>
  <c r="L202" i="15"/>
  <c r="G166" i="15"/>
  <c r="G164" i="15"/>
  <c r="G165" i="15"/>
  <c r="E138" i="15"/>
  <c r="E10" i="15"/>
  <c r="AA221" i="15"/>
  <c r="AB197" i="15"/>
  <c r="K118" i="15"/>
  <c r="K119" i="15" s="1"/>
  <c r="K75" i="15"/>
  <c r="K129" i="15" s="1"/>
  <c r="K130" i="15" s="1"/>
  <c r="K132" i="15" s="1"/>
  <c r="AA128" i="15"/>
  <c r="AA127" i="15"/>
  <c r="AA126" i="15"/>
  <c r="K201" i="15"/>
  <c r="W84" i="15"/>
  <c r="V88" i="15"/>
  <c r="J131" i="15"/>
  <c r="J135" i="15" s="1"/>
  <c r="K98" i="15"/>
  <c r="K233" i="15"/>
  <c r="W11" i="15"/>
  <c r="M166" i="15"/>
  <c r="M164" i="15"/>
  <c r="M165" i="15"/>
  <c r="M178" i="15"/>
  <c r="M176" i="15"/>
  <c r="M177" i="15"/>
  <c r="T28" i="15"/>
  <c r="R21" i="15"/>
  <c r="M17" i="15"/>
  <c r="N16" i="15"/>
  <c r="U65" i="15"/>
  <c r="V46" i="15"/>
  <c r="W47" i="15"/>
  <c r="V49" i="15"/>
  <c r="AA90" i="15"/>
  <c r="Z91" i="15"/>
  <c r="Z92" i="15"/>
  <c r="X110" i="15"/>
  <c r="X109" i="15"/>
  <c r="X108" i="15"/>
  <c r="X106" i="15"/>
  <c r="Q32" i="15"/>
  <c r="R32" i="15" s="1"/>
  <c r="S32" i="15" s="1"/>
  <c r="T32" i="15" s="1"/>
  <c r="U32" i="15" s="1"/>
  <c r="V32" i="15" s="1"/>
  <c r="W32" i="15" s="1"/>
  <c r="X32" i="15" s="1"/>
  <c r="Y32" i="15" s="1"/>
  <c r="Z32" i="15" s="1"/>
  <c r="AA32" i="15" s="1"/>
  <c r="AB32" i="15" s="1"/>
  <c r="AC32" i="15" s="1"/>
  <c r="AD32" i="15" s="1"/>
  <c r="AE32" i="15" s="1"/>
  <c r="P31" i="15"/>
  <c r="Q31" i="15" s="1"/>
  <c r="R31" i="15" s="1"/>
  <c r="S31" i="15" s="1"/>
  <c r="T31" i="15" s="1"/>
  <c r="U31" i="15" s="1"/>
  <c r="V31" i="15" s="1"/>
  <c r="W31" i="15" s="1"/>
  <c r="X31" i="15" s="1"/>
  <c r="Y31" i="15" s="1"/>
  <c r="Z31" i="15" s="1"/>
  <c r="AA31" i="15" s="1"/>
  <c r="AB31" i="15" s="1"/>
  <c r="AC31" i="15" s="1"/>
  <c r="AD31" i="15" s="1"/>
  <c r="AE31" i="15" s="1"/>
  <c r="G189" i="15"/>
  <c r="G178" i="15"/>
  <c r="G188" i="15"/>
  <c r="G176" i="15"/>
  <c r="G190" i="15"/>
  <c r="G177" i="15"/>
  <c r="F175" i="15"/>
  <c r="F163" i="15"/>
  <c r="F187" i="15"/>
  <c r="K81" i="1"/>
  <c r="K82" i="1" s="1"/>
  <c r="K40" i="1"/>
  <c r="K92" i="1" s="1"/>
  <c r="K93" i="1" s="1"/>
  <c r="K43" i="1"/>
  <c r="K53" i="1" s="1"/>
  <c r="U66" i="1"/>
  <c r="V9" i="1"/>
  <c r="X80" i="1"/>
  <c r="W84" i="1"/>
  <c r="W21" i="1"/>
  <c r="W11" i="1"/>
  <c r="AB193" i="1"/>
  <c r="G161" i="1"/>
  <c r="G160" i="1"/>
  <c r="G162" i="1"/>
  <c r="F159" i="1"/>
  <c r="F171" i="1"/>
  <c r="F183" i="1"/>
  <c r="K232" i="1"/>
  <c r="N16" i="1"/>
  <c r="M17" i="1"/>
  <c r="W113" i="1"/>
  <c r="V117" i="1"/>
  <c r="U28" i="1"/>
  <c r="R134" i="1"/>
  <c r="R159" i="1" s="1"/>
  <c r="R12" i="1"/>
  <c r="V65" i="1"/>
  <c r="W46" i="1"/>
  <c r="X47" i="1"/>
  <c r="W49" i="1"/>
  <c r="X98" i="1"/>
  <c r="W102" i="1"/>
  <c r="O139" i="1"/>
  <c r="N171" i="1"/>
  <c r="J99" i="1"/>
  <c r="J100" i="1" s="1"/>
  <c r="J59" i="1"/>
  <c r="J107" i="1" s="1"/>
  <c r="J108" i="1" s="1"/>
  <c r="J229" i="1"/>
  <c r="Y70" i="1"/>
  <c r="AA57" i="1"/>
  <c r="AA56" i="1"/>
  <c r="AA55" i="1"/>
  <c r="Z58" i="1"/>
  <c r="J232" i="1"/>
  <c r="R217" i="1"/>
  <c r="Z179" i="1"/>
  <c r="Y178" i="1"/>
  <c r="Y181" i="1" s="1"/>
  <c r="K114" i="1"/>
  <c r="K115" i="1" s="1"/>
  <c r="K71" i="1"/>
  <c r="K125" i="1" s="1"/>
  <c r="K126" i="1" s="1"/>
  <c r="AB205" i="1"/>
  <c r="AB209" i="15" s="1"/>
  <c r="AA155" i="1"/>
  <c r="AB154" i="1"/>
  <c r="AA153" i="1"/>
  <c r="AA156" i="1"/>
  <c r="AD180" i="1"/>
  <c r="O32" i="1"/>
  <c r="N31" i="1"/>
  <c r="G186" i="1"/>
  <c r="G184" i="1"/>
  <c r="G173" i="1"/>
  <c r="G174" i="1"/>
  <c r="G172" i="1"/>
  <c r="G185" i="1"/>
  <c r="E134" i="1"/>
  <c r="E10" i="1"/>
  <c r="N140" i="1"/>
  <c r="N142" i="1" s="1"/>
  <c r="M183" i="1"/>
  <c r="L185" i="1"/>
  <c r="L184" i="1"/>
  <c r="L231" i="1" s="1"/>
  <c r="L186" i="1"/>
  <c r="K197" i="1"/>
  <c r="L62" i="1"/>
  <c r="L68" i="1" s="1"/>
  <c r="L25" i="1"/>
  <c r="L34" i="1" s="1"/>
  <c r="U191" i="1"/>
  <c r="V76" i="1"/>
  <c r="M173" i="1"/>
  <c r="M172" i="1"/>
  <c r="M174" i="1"/>
  <c r="J95" i="1"/>
  <c r="J94" i="1"/>
  <c r="AA168" i="1"/>
  <c r="X166" i="1"/>
  <c r="W169" i="1"/>
  <c r="Q20" i="1"/>
  <c r="P22" i="1"/>
  <c r="W7" i="17"/>
  <c r="W13" i="17"/>
  <c r="R9" i="21"/>
  <c r="Q11" i="21"/>
  <c r="T89" i="21"/>
  <c r="S91" i="21"/>
  <c r="S79" i="21"/>
  <c r="R81" i="21"/>
  <c r="O107" i="21"/>
  <c r="Q6" i="21"/>
  <c r="R4" i="21"/>
  <c r="R31" i="21"/>
  <c r="S29" i="21"/>
  <c r="P71" i="21"/>
  <c r="Q70" i="21"/>
  <c r="O15" i="21"/>
  <c r="N16" i="21"/>
  <c r="N105" i="21" s="1"/>
  <c r="CU23" i="10" s="1"/>
  <c r="Q96" i="21"/>
  <c r="R95" i="21"/>
  <c r="R66" i="21"/>
  <c r="S64" i="21"/>
  <c r="Q46" i="21"/>
  <c r="R44" i="21"/>
  <c r="P61" i="21"/>
  <c r="Q60" i="21"/>
  <c r="R51" i="21"/>
  <c r="S50" i="21"/>
  <c r="X31" i="19"/>
  <c r="X43" i="20" s="1"/>
  <c r="R86" i="21"/>
  <c r="S84" i="21"/>
  <c r="Q36" i="21"/>
  <c r="R35" i="21"/>
  <c r="Q26" i="21"/>
  <c r="R24" i="21"/>
  <c r="R104" i="21" s="1"/>
  <c r="AC77" i="20"/>
  <c r="Z69" i="20"/>
  <c r="AA64" i="20"/>
  <c r="X39" i="19"/>
  <c r="Y85" i="20"/>
  <c r="Y87" i="20"/>
  <c r="Y44" i="20" s="1"/>
  <c r="S112" i="19"/>
  <c r="AA19" i="19"/>
  <c r="Z170" i="19"/>
  <c r="AA16" i="19"/>
  <c r="Y175" i="19"/>
  <c r="Z32" i="19"/>
  <c r="N118" i="19"/>
  <c r="Q115" i="19"/>
  <c r="L119" i="19"/>
  <c r="M119" i="19" s="1"/>
  <c r="N119" i="19" s="1"/>
  <c r="O119" i="19" s="1"/>
  <c r="P119" i="19" s="1"/>
  <c r="Q119" i="19" s="1"/>
  <c r="R119" i="19" s="1"/>
  <c r="S119" i="19" s="1"/>
  <c r="T119" i="19" s="1"/>
  <c r="U119" i="19" s="1"/>
  <c r="V119" i="19" s="1"/>
  <c r="W119" i="19" s="1"/>
  <c r="X119" i="19" s="1"/>
  <c r="Y119" i="19" s="1"/>
  <c r="Z119" i="19" s="1"/>
  <c r="AA119" i="19" s="1"/>
  <c r="AB119" i="19" s="1"/>
  <c r="AC119" i="19" s="1"/>
  <c r="AD119" i="19" s="1"/>
  <c r="AE119" i="19" s="1"/>
  <c r="K120" i="19"/>
  <c r="L120" i="19" s="1"/>
  <c r="Y154" i="19"/>
  <c r="X15" i="19"/>
  <c r="V148" i="19"/>
  <c r="V153" i="19"/>
  <c r="V152" i="19" s="1"/>
  <c r="W149" i="19"/>
  <c r="AA38" i="19"/>
  <c r="CP117" i="8"/>
  <c r="CY117" i="8"/>
  <c r="CW62" i="8"/>
  <c r="CW117" i="8" s="1"/>
  <c r="CU62" i="8"/>
  <c r="DD62" i="8"/>
  <c r="CV62" i="8"/>
  <c r="CV117" i="8" s="1"/>
  <c r="CZ5" i="10"/>
  <c r="EC135" i="8"/>
  <c r="EJ135" i="8"/>
  <c r="EE134" i="8"/>
  <c r="DI148" i="8"/>
  <c r="DN128" i="8"/>
  <c r="BM150" i="8"/>
  <c r="BN130" i="8"/>
  <c r="DN126" i="8"/>
  <c r="BE158" i="8"/>
  <c r="BF143" i="8"/>
  <c r="BF123" i="8" s="1"/>
  <c r="BQ145" i="8"/>
  <c r="BR125" i="8"/>
  <c r="CN114" i="8"/>
  <c r="DX134" i="8"/>
  <c r="EI135" i="8"/>
  <c r="ED134" i="8"/>
  <c r="DS122" i="8"/>
  <c r="BM151" i="8"/>
  <c r="BN131" i="8"/>
  <c r="DX127" i="8"/>
  <c r="CR118" i="8"/>
  <c r="CS63" i="8"/>
  <c r="CU114" i="8"/>
  <c r="CV42" i="8"/>
  <c r="CQ114" i="8"/>
  <c r="CR42" i="8"/>
  <c r="DN149" i="8"/>
  <c r="DS129" i="8"/>
  <c r="EA152" i="8"/>
  <c r="AH120" i="10"/>
  <c r="BG120" i="10"/>
  <c r="EC152" i="8"/>
  <c r="EH132" i="8"/>
  <c r="DX138" i="8"/>
  <c r="EK135" i="8"/>
  <c r="EF134" i="8"/>
  <c r="BG143" i="8"/>
  <c r="BH123" i="8"/>
  <c r="BU145" i="8"/>
  <c r="BZ125" i="8"/>
  <c r="DI118" i="8"/>
  <c r="DN63" i="8"/>
  <c r="DE63" i="8"/>
  <c r="CZ118" i="8"/>
  <c r="DA63" i="8"/>
  <c r="CV118" i="8"/>
  <c r="CW63" i="8"/>
  <c r="CX63" i="8" s="1"/>
  <c r="EC133" i="8"/>
  <c r="EL135" i="8"/>
  <c r="EG134" i="8"/>
  <c r="BP144" i="8"/>
  <c r="BP124" i="8" s="1"/>
  <c r="DD114" i="8"/>
  <c r="DI42" i="8"/>
  <c r="CZ42" i="8"/>
  <c r="DD158" i="8"/>
  <c r="DD100" i="8"/>
  <c r="DB36" i="8"/>
  <c r="DB100" i="8" s="1"/>
  <c r="CZ36" i="8"/>
  <c r="CZ100" i="8" s="1"/>
  <c r="DC36" i="8"/>
  <c r="DC100" i="8" s="1"/>
  <c r="DA36" i="8"/>
  <c r="DA100" i="8" s="1"/>
  <c r="EC98" i="8"/>
  <c r="EH34" i="8"/>
  <c r="EC96" i="8"/>
  <c r="EH32" i="8"/>
  <c r="DD102" i="8"/>
  <c r="DI38" i="8"/>
  <c r="DC38" i="8"/>
  <c r="DC102" i="8" s="1"/>
  <c r="DA38" i="8"/>
  <c r="DA102" i="8" s="1"/>
  <c r="DB38" i="8"/>
  <c r="DB102" i="8" s="1"/>
  <c r="CZ38" i="8"/>
  <c r="CZ102" i="8" s="1"/>
  <c r="N120" i="10"/>
  <c r="R97" i="10"/>
  <c r="R20" i="10"/>
  <c r="V97" i="10"/>
  <c r="V20" i="10"/>
  <c r="AD97" i="10"/>
  <c r="AD20" i="10"/>
  <c r="AH97" i="10"/>
  <c r="AH20" i="10"/>
  <c r="I161" i="19" s="1"/>
  <c r="AL97" i="10"/>
  <c r="AL20" i="10"/>
  <c r="AT97" i="10"/>
  <c r="AT20" i="10"/>
  <c r="BB120" i="10"/>
  <c r="BG97" i="10"/>
  <c r="BG20" i="10"/>
  <c r="N161" i="19" s="1"/>
  <c r="BK120" i="10"/>
  <c r="BO97" i="10"/>
  <c r="BO20" i="10"/>
  <c r="BS120" i="10"/>
  <c r="BW97" i="10"/>
  <c r="BW20" i="10"/>
  <c r="BF32" i="10"/>
  <c r="BF30" i="10"/>
  <c r="BF40" i="10" s="1"/>
  <c r="S97" i="10"/>
  <c r="S20" i="10"/>
  <c r="F161" i="19" s="1"/>
  <c r="W97" i="10"/>
  <c r="W20" i="10"/>
  <c r="AE97" i="10"/>
  <c r="AE20" i="10"/>
  <c r="AU97" i="10"/>
  <c r="AU20" i="10"/>
  <c r="BC120" i="10"/>
  <c r="BH97" i="10"/>
  <c r="BH20" i="10"/>
  <c r="BL120" i="10"/>
  <c r="BP97" i="10"/>
  <c r="BP20" i="10"/>
  <c r="D97" i="10"/>
  <c r="D20" i="10"/>
  <c r="C161" i="19" s="1"/>
  <c r="H97" i="10"/>
  <c r="H20" i="10"/>
  <c r="L97" i="10"/>
  <c r="L20" i="10"/>
  <c r="P97" i="10"/>
  <c r="P20" i="10"/>
  <c r="T97" i="10"/>
  <c r="T20" i="10"/>
  <c r="X97" i="10"/>
  <c r="X20" i="10"/>
  <c r="G161" i="19" s="1"/>
  <c r="AB97" i="10"/>
  <c r="AB20" i="10"/>
  <c r="AJ97" i="10"/>
  <c r="AJ20" i="10"/>
  <c r="AZ97" i="10"/>
  <c r="AZ20" i="10"/>
  <c r="BD97" i="10"/>
  <c r="BD20" i="10"/>
  <c r="BI120" i="10"/>
  <c r="BM97" i="10"/>
  <c r="BM20" i="10"/>
  <c r="DO56" i="10"/>
  <c r="E97" i="10"/>
  <c r="E20" i="10"/>
  <c r="I120" i="10"/>
  <c r="Y97" i="10"/>
  <c r="Y20" i="10"/>
  <c r="AC97" i="10"/>
  <c r="AC20" i="10"/>
  <c r="H161" i="19" s="1"/>
  <c r="AG97" i="10"/>
  <c r="AG20" i="10"/>
  <c r="AO97" i="10"/>
  <c r="AO20" i="10"/>
  <c r="AW120" i="10"/>
  <c r="BA97" i="10"/>
  <c r="BA20" i="10"/>
  <c r="BE97" i="10"/>
  <c r="BE20" i="10"/>
  <c r="BN97" i="10"/>
  <c r="BN20" i="10"/>
  <c r="BV119" i="10"/>
  <c r="BV120" i="10" s="1"/>
  <c r="BV97" i="10"/>
  <c r="BV20" i="10"/>
  <c r="Q161" i="19" s="1"/>
  <c r="F97" i="10"/>
  <c r="F20" i="10"/>
  <c r="F120" i="10"/>
  <c r="J97" i="10"/>
  <c r="J20" i="10"/>
  <c r="N97" i="10"/>
  <c r="N20" i="10"/>
  <c r="E161" i="19" s="1"/>
  <c r="Z97" i="10"/>
  <c r="Z20" i="10"/>
  <c r="AP97" i="10"/>
  <c r="AP20" i="10"/>
  <c r="AX97" i="10"/>
  <c r="AX20" i="10"/>
  <c r="BB97" i="10"/>
  <c r="BB20" i="10"/>
  <c r="M161" i="19" s="1"/>
  <c r="BQ119" i="10"/>
  <c r="BQ120" i="10" s="1"/>
  <c r="BK97" i="10"/>
  <c r="BK20" i="10"/>
  <c r="BO120" i="10"/>
  <c r="BS97" i="10"/>
  <c r="BS20" i="10"/>
  <c r="BW120" i="10"/>
  <c r="G97" i="10"/>
  <c r="G20" i="10"/>
  <c r="G120" i="10"/>
  <c r="K97" i="10"/>
  <c r="K20" i="10"/>
  <c r="O97" i="10"/>
  <c r="O20" i="10"/>
  <c r="S120" i="10"/>
  <c r="W120" i="10"/>
  <c r="AA97" i="10"/>
  <c r="AA20" i="10"/>
  <c r="AE120" i="10"/>
  <c r="AI97" i="10"/>
  <c r="AI20" i="10"/>
  <c r="AM120" i="10"/>
  <c r="AM97" i="10"/>
  <c r="AM20" i="10"/>
  <c r="J161" i="19" s="1"/>
  <c r="AQ97" i="10"/>
  <c r="AQ20" i="10"/>
  <c r="AU120" i="10"/>
  <c r="AY97" i="10"/>
  <c r="AY20" i="10"/>
  <c r="BC97" i="10"/>
  <c r="BC20" i="10"/>
  <c r="BL97" i="10"/>
  <c r="BL20" i="10"/>
  <c r="O161" i="19" s="1"/>
  <c r="BT120" i="10"/>
  <c r="BT97" i="10"/>
  <c r="BT20" i="10"/>
  <c r="D120" i="10"/>
  <c r="AF97" i="10"/>
  <c r="AF20" i="10"/>
  <c r="AN97" i="10"/>
  <c r="AN20" i="10"/>
  <c r="AR120" i="10"/>
  <c r="AR97" i="10"/>
  <c r="AR20" i="10"/>
  <c r="K161" i="19" s="1"/>
  <c r="AV97" i="10"/>
  <c r="AV20" i="10"/>
  <c r="BI97" i="10"/>
  <c r="BI20" i="10"/>
  <c r="BM120" i="10"/>
  <c r="BQ97" i="10"/>
  <c r="BQ20" i="10"/>
  <c r="P161" i="19" s="1"/>
  <c r="BU97" i="10"/>
  <c r="BU20" i="10"/>
  <c r="E120" i="10"/>
  <c r="I97" i="10"/>
  <c r="I20" i="10"/>
  <c r="D161" i="19" s="1"/>
  <c r="M97" i="10"/>
  <c r="M20" i="10"/>
  <c r="M120" i="10"/>
  <c r="Q97" i="10"/>
  <c r="Q20" i="10"/>
  <c r="U120" i="10"/>
  <c r="U97" i="10"/>
  <c r="U20" i="10"/>
  <c r="AG120" i="10"/>
  <c r="AK97" i="10"/>
  <c r="AK20" i="10"/>
  <c r="AO120" i="10"/>
  <c r="AS97" i="10"/>
  <c r="AS20" i="10"/>
  <c r="AW97" i="10"/>
  <c r="AW20" i="10"/>
  <c r="L161" i="19" s="1"/>
  <c r="BE120" i="10"/>
  <c r="BJ120" i="10"/>
  <c r="BJ97" i="10"/>
  <c r="BJ20" i="10"/>
  <c r="BR120" i="10"/>
  <c r="BR97" i="10"/>
  <c r="BR20" i="10"/>
  <c r="H12" i="22"/>
  <c r="I5" i="22"/>
  <c r="CW108" i="8" l="1"/>
  <c r="CW154" i="8"/>
  <c r="L197" i="1"/>
  <c r="K95" i="1"/>
  <c r="N143" i="1"/>
  <c r="N141" i="1"/>
  <c r="N144" i="1" s="1"/>
  <c r="O143" i="1" s="1"/>
  <c r="O142" i="1"/>
  <c r="U63" i="20"/>
  <c r="U65" i="20" s="1"/>
  <c r="U99" i="20"/>
  <c r="CU86" i="10"/>
  <c r="CU87" i="10" s="1"/>
  <c r="V155" i="19"/>
  <c r="U14" i="19"/>
  <c r="U171" i="19" s="1"/>
  <c r="CX62" i="8"/>
  <c r="CX117" i="8" s="1"/>
  <c r="DY104" i="8"/>
  <c r="EB152" i="8"/>
  <c r="BZ89" i="8"/>
  <c r="P107" i="21"/>
  <c r="AA38" i="1"/>
  <c r="Z36" i="1"/>
  <c r="Z39" i="1" s="1"/>
  <c r="AA37" i="1"/>
  <c r="W92" i="20"/>
  <c r="X91" i="20" s="1"/>
  <c r="X70" i="20"/>
  <c r="AC149" i="1"/>
  <c r="AC152" i="1" s="1"/>
  <c r="AD150" i="1"/>
  <c r="M23" i="4"/>
  <c r="M26" i="4" s="1"/>
  <c r="AB22" i="19"/>
  <c r="AA26" i="20"/>
  <c r="Y138" i="1"/>
  <c r="Y137" i="1"/>
  <c r="J231" i="15"/>
  <c r="D11" i="17" s="1"/>
  <c r="D14" i="17" s="1"/>
  <c r="EE46" i="8"/>
  <c r="EE152" i="8" s="1"/>
  <c r="DZ104" i="8"/>
  <c r="N85" i="13"/>
  <c r="N90" i="13" s="1"/>
  <c r="N93" i="13" s="1"/>
  <c r="N95" i="13" s="1"/>
  <c r="CE25" i="8" s="1"/>
  <c r="CD25" i="8" s="1"/>
  <c r="O69" i="13"/>
  <c r="AC207" i="1"/>
  <c r="AB211" i="15"/>
  <c r="Q44" i="64"/>
  <c r="EG46" i="8"/>
  <c r="EG152" i="8" s="1"/>
  <c r="EF46" i="8"/>
  <c r="EF104" i="8" s="1"/>
  <c r="ED46" i="8"/>
  <c r="ED152" i="8" s="1"/>
  <c r="P42" i="64"/>
  <c r="Q3" i="64"/>
  <c r="R43" i="64"/>
  <c r="R15" i="64"/>
  <c r="R13" i="64"/>
  <c r="R18" i="64" s="1"/>
  <c r="EM46" i="8"/>
  <c r="EM104" i="8" s="1"/>
  <c r="R9" i="64"/>
  <c r="R17" i="64" s="1"/>
  <c r="P16" i="64"/>
  <c r="P19" i="64" s="1"/>
  <c r="R20" i="61"/>
  <c r="Q19" i="61"/>
  <c r="Q22" i="61"/>
  <c r="M9" i="61"/>
  <c r="M12" i="61" s="1"/>
  <c r="N7" i="61"/>
  <c r="O13" i="61"/>
  <c r="L14" i="61"/>
  <c r="L15" i="61" s="1"/>
  <c r="L23" i="61" s="1"/>
  <c r="L30" i="61" s="1"/>
  <c r="O11" i="61"/>
  <c r="DC108" i="8"/>
  <c r="DC154" i="8"/>
  <c r="DA154" i="8"/>
  <c r="DA108" i="8"/>
  <c r="DN110" i="8"/>
  <c r="DN48" i="8"/>
  <c r="DI108" i="8"/>
  <c r="DI154" i="8"/>
  <c r="DF48" i="8"/>
  <c r="DG48" i="8"/>
  <c r="DE48" i="8"/>
  <c r="DH48" i="8"/>
  <c r="V5" i="63"/>
  <c r="U4" i="63"/>
  <c r="U7" i="63"/>
  <c r="U8" i="63" s="1"/>
  <c r="DB108" i="8"/>
  <c r="DB154" i="8"/>
  <c r="CZ108" i="8"/>
  <c r="CZ154" i="8"/>
  <c r="T12" i="63"/>
  <c r="T13" i="63" s="1"/>
  <c r="DS50" i="8" s="1"/>
  <c r="U9" i="63"/>
  <c r="DX109" i="8"/>
  <c r="V12" i="62"/>
  <c r="V13" i="62" s="1"/>
  <c r="EC49" i="8" s="1"/>
  <c r="W9" i="62"/>
  <c r="W7" i="62"/>
  <c r="W8" i="62" s="1"/>
  <c r="W4" i="62"/>
  <c r="X5" i="62"/>
  <c r="O9" i="38"/>
  <c r="P7" i="38"/>
  <c r="DC28" i="8"/>
  <c r="DC92" i="8" s="1"/>
  <c r="DC93" i="8"/>
  <c r="DD92" i="8"/>
  <c r="DD147" i="8"/>
  <c r="CZ93" i="8"/>
  <c r="CZ28" i="8"/>
  <c r="CZ92" i="8" s="1"/>
  <c r="N19" i="38"/>
  <c r="N27" i="38" s="1"/>
  <c r="N35" i="38" s="1"/>
  <c r="N36" i="38" s="1"/>
  <c r="DN29" i="8" s="1"/>
  <c r="N18" i="38"/>
  <c r="N17" i="38"/>
  <c r="N16" i="38"/>
  <c r="DG30" i="8"/>
  <c r="DG94" i="8" s="1"/>
  <c r="DF30" i="8"/>
  <c r="DF94" i="8" s="1"/>
  <c r="DI94" i="8"/>
  <c r="DE30" i="8"/>
  <c r="DE94" i="8" s="1"/>
  <c r="DH30" i="8"/>
  <c r="DH94" i="8" s="1"/>
  <c r="DA93" i="8"/>
  <c r="DA28" i="8"/>
  <c r="DA92" i="8" s="1"/>
  <c r="DB93" i="8"/>
  <c r="DB28" i="8"/>
  <c r="DB92" i="8" s="1"/>
  <c r="DH29" i="8"/>
  <c r="DF29" i="8"/>
  <c r="DG29" i="8"/>
  <c r="DN30" i="8"/>
  <c r="DE29" i="8"/>
  <c r="DI93" i="8"/>
  <c r="DI28" i="8"/>
  <c r="R81" i="12"/>
  <c r="S80" i="12"/>
  <c r="W107" i="12"/>
  <c r="R38" i="12"/>
  <c r="P25" i="12"/>
  <c r="T68" i="12"/>
  <c r="P20" i="12"/>
  <c r="O23" i="12"/>
  <c r="O26" i="12" s="1"/>
  <c r="O10" i="12" s="1"/>
  <c r="O45" i="12"/>
  <c r="O48" i="12" s="1"/>
  <c r="O51" i="12" s="1"/>
  <c r="M7" i="12"/>
  <c r="R60" i="12"/>
  <c r="X21" i="12"/>
  <c r="Q88" i="12"/>
  <c r="Q87" i="12"/>
  <c r="Q105" i="12" s="1"/>
  <c r="N9" i="12"/>
  <c r="N6" i="12" s="1"/>
  <c r="N7" i="12"/>
  <c r="R31" i="12"/>
  <c r="S30" i="12"/>
  <c r="S41" i="12"/>
  <c r="R47" i="12"/>
  <c r="P36" i="12"/>
  <c r="P39" i="12" s="1"/>
  <c r="P42" i="12" s="1"/>
  <c r="Q35" i="12"/>
  <c r="Q44" i="12"/>
  <c r="S50" i="12"/>
  <c r="V55" i="12"/>
  <c r="W54" i="12"/>
  <c r="T75" i="12"/>
  <c r="U74" i="12"/>
  <c r="U86" i="12"/>
  <c r="M6" i="12"/>
  <c r="Q79" i="13"/>
  <c r="S82" i="13"/>
  <c r="S80" i="13"/>
  <c r="S83" i="13"/>
  <c r="U92" i="13"/>
  <c r="Q62" i="13"/>
  <c r="O71" i="13"/>
  <c r="O72" i="13" s="1"/>
  <c r="P63" i="13"/>
  <c r="O61" i="13"/>
  <c r="T88" i="13"/>
  <c r="P68" i="13"/>
  <c r="Q64" i="13"/>
  <c r="P66" i="13"/>
  <c r="Q27" i="13"/>
  <c r="O36" i="4"/>
  <c r="N38" i="4"/>
  <c r="S54" i="4"/>
  <c r="N8" i="4"/>
  <c r="O4" i="4"/>
  <c r="N7" i="4"/>
  <c r="L254" i="15"/>
  <c r="L253" i="15" s="1"/>
  <c r="F12" i="17"/>
  <c r="X13" i="4"/>
  <c r="Z18" i="4"/>
  <c r="Q59" i="4"/>
  <c r="M53" i="4"/>
  <c r="M55" i="4" s="1"/>
  <c r="M58" i="4"/>
  <c r="M60" i="4" s="1"/>
  <c r="P37" i="4"/>
  <c r="Q35" i="4"/>
  <c r="W24" i="4"/>
  <c r="M29" i="4"/>
  <c r="M31" i="4" s="1"/>
  <c r="J234" i="15"/>
  <c r="J232" i="15"/>
  <c r="F190" i="15"/>
  <c r="F188" i="15"/>
  <c r="F178" i="15"/>
  <c r="F177" i="15"/>
  <c r="F189" i="15"/>
  <c r="F176" i="15"/>
  <c r="X47" i="15"/>
  <c r="W46" i="15"/>
  <c r="W49" i="15"/>
  <c r="N17" i="15"/>
  <c r="O16" i="15"/>
  <c r="S21" i="15"/>
  <c r="U28" i="15"/>
  <c r="X11" i="15"/>
  <c r="X84" i="15"/>
  <c r="W88" i="15"/>
  <c r="W9" i="15"/>
  <c r="Y110" i="15"/>
  <c r="Y109" i="15"/>
  <c r="Y108" i="15"/>
  <c r="R138" i="15"/>
  <c r="R12" i="15"/>
  <c r="AB38" i="15"/>
  <c r="AB37" i="15"/>
  <c r="AA36" i="15"/>
  <c r="AA39" i="15"/>
  <c r="Y117" i="15"/>
  <c r="X121" i="15"/>
  <c r="L85" i="15"/>
  <c r="L86" i="15" s="1"/>
  <c r="L40" i="15"/>
  <c r="L96" i="15" s="1"/>
  <c r="L97" i="15" s="1"/>
  <c r="V195" i="15"/>
  <c r="W80" i="15"/>
  <c r="Y102" i="15"/>
  <c r="L43" i="15"/>
  <c r="L53" i="15" s="1"/>
  <c r="N178" i="15"/>
  <c r="N177" i="15"/>
  <c r="N176" i="15"/>
  <c r="O141" i="15"/>
  <c r="P140" i="15"/>
  <c r="O142" i="15"/>
  <c r="Y56" i="15"/>
  <c r="X55" i="15"/>
  <c r="X58" i="15"/>
  <c r="AC155" i="15"/>
  <c r="AC153" i="15"/>
  <c r="AD154" i="15"/>
  <c r="AC156" i="15"/>
  <c r="AB128" i="15"/>
  <c r="AB127" i="15"/>
  <c r="AB126" i="15"/>
  <c r="P20" i="15"/>
  <c r="O22" i="15"/>
  <c r="AE73" i="15"/>
  <c r="AE71" i="15"/>
  <c r="AE74" i="15"/>
  <c r="AA182" i="15"/>
  <c r="Z185" i="15"/>
  <c r="F165" i="15"/>
  <c r="F166" i="15"/>
  <c r="F164" i="15"/>
  <c r="Z107" i="15"/>
  <c r="Z95" i="15"/>
  <c r="Z94" i="15"/>
  <c r="Z93" i="15"/>
  <c r="AA91" i="15"/>
  <c r="AB90" i="15"/>
  <c r="AA92" i="15"/>
  <c r="V65" i="15"/>
  <c r="M62" i="15"/>
  <c r="M69" i="15" s="1"/>
  <c r="M25" i="15"/>
  <c r="M34" i="15" s="1"/>
  <c r="K131" i="15"/>
  <c r="AB221" i="15"/>
  <c r="AC197" i="15"/>
  <c r="E187" i="15"/>
  <c r="E175" i="15"/>
  <c r="E163" i="15"/>
  <c r="L236" i="15"/>
  <c r="AD159" i="15"/>
  <c r="AE158" i="15"/>
  <c r="AD157" i="15"/>
  <c r="AD160" i="15"/>
  <c r="L118" i="15"/>
  <c r="L119" i="15" s="1"/>
  <c r="L75" i="15"/>
  <c r="L129" i="15" s="1"/>
  <c r="L130" i="15" s="1"/>
  <c r="O175" i="15"/>
  <c r="P143" i="15"/>
  <c r="N165" i="15"/>
  <c r="N166" i="15"/>
  <c r="N164" i="15"/>
  <c r="K236" i="15"/>
  <c r="AC124" i="15"/>
  <c r="AD123" i="15"/>
  <c r="AC125" i="15"/>
  <c r="N25" i="15"/>
  <c r="N34" i="15" s="1"/>
  <c r="K114" i="15"/>
  <c r="K134" i="15" s="1"/>
  <c r="K113" i="15"/>
  <c r="K135" i="15" s="1"/>
  <c r="N187" i="15"/>
  <c r="N145" i="15"/>
  <c r="O145" i="15" s="1"/>
  <c r="P145" i="15" s="1"/>
  <c r="Q145" i="15" s="1"/>
  <c r="R145" i="15" s="1"/>
  <c r="S145" i="15" s="1"/>
  <c r="T145" i="15" s="1"/>
  <c r="U145" i="15" s="1"/>
  <c r="V145" i="15" s="1"/>
  <c r="W145" i="15" s="1"/>
  <c r="X145" i="15" s="1"/>
  <c r="Y145" i="15" s="1"/>
  <c r="Z145" i="15" s="1"/>
  <c r="AA145" i="15" s="1"/>
  <c r="AB145" i="15" s="1"/>
  <c r="AC145" i="15" s="1"/>
  <c r="AD145" i="15" s="1"/>
  <c r="AE145" i="15" s="1"/>
  <c r="M189" i="15"/>
  <c r="M225" i="15" s="1"/>
  <c r="M190" i="15"/>
  <c r="M188" i="15"/>
  <c r="M235" i="15" s="1"/>
  <c r="R20" i="1"/>
  <c r="Q22" i="1"/>
  <c r="Y166" i="1"/>
  <c r="X169" i="1"/>
  <c r="L81" i="1"/>
  <c r="L82" i="1" s="1"/>
  <c r="L40" i="1"/>
  <c r="L92" i="1" s="1"/>
  <c r="L93" i="1" s="1"/>
  <c r="L43" i="1"/>
  <c r="L53" i="1" s="1"/>
  <c r="M186" i="1"/>
  <c r="M184" i="1"/>
  <c r="M231" i="1" s="1"/>
  <c r="M185" i="1"/>
  <c r="M222" i="1" s="1"/>
  <c r="AE180" i="1"/>
  <c r="AC154" i="1"/>
  <c r="AB153" i="1"/>
  <c r="AB156" i="1" s="1"/>
  <c r="AB155" i="1"/>
  <c r="AC205" i="1"/>
  <c r="AC209" i="15" s="1"/>
  <c r="AA179" i="1"/>
  <c r="Z178" i="1"/>
  <c r="Z181" i="1" s="1"/>
  <c r="S217" i="1"/>
  <c r="Z70" i="1"/>
  <c r="AB57" i="1"/>
  <c r="AB56" i="1"/>
  <c r="AB55" i="1"/>
  <c r="AA58" i="1"/>
  <c r="N174" i="1"/>
  <c r="N172" i="1"/>
  <c r="N173" i="1"/>
  <c r="Y98" i="1"/>
  <c r="X102" i="1"/>
  <c r="Y47" i="1"/>
  <c r="X46" i="1"/>
  <c r="X49" i="1"/>
  <c r="R10" i="1"/>
  <c r="R13" i="1"/>
  <c r="S8" i="1" s="1"/>
  <c r="R162" i="1"/>
  <c r="R160" i="1"/>
  <c r="R161" i="1"/>
  <c r="V28" i="1"/>
  <c r="X113" i="1"/>
  <c r="W117" i="1"/>
  <c r="M62" i="1"/>
  <c r="M68" i="1" s="1"/>
  <c r="M25" i="1"/>
  <c r="M34" i="1" s="1"/>
  <c r="F162" i="1"/>
  <c r="F161" i="1"/>
  <c r="F160" i="1"/>
  <c r="K94" i="1"/>
  <c r="AB168" i="1"/>
  <c r="M197" i="1"/>
  <c r="V191" i="1"/>
  <c r="W76" i="1"/>
  <c r="L114" i="1"/>
  <c r="L115" i="1" s="1"/>
  <c r="L71" i="1"/>
  <c r="L125" i="1" s="1"/>
  <c r="L126" i="1" s="1"/>
  <c r="L128" i="1" s="1"/>
  <c r="N183" i="1"/>
  <c r="E171" i="1"/>
  <c r="E159" i="1"/>
  <c r="E183" i="1"/>
  <c r="P32" i="1"/>
  <c r="O31" i="1"/>
  <c r="K128" i="1"/>
  <c r="K127" i="1"/>
  <c r="J110" i="1"/>
  <c r="J130" i="1" s="1"/>
  <c r="J109" i="1"/>
  <c r="J131" i="1" s="1"/>
  <c r="O171" i="1"/>
  <c r="P139" i="1"/>
  <c r="W65" i="1"/>
  <c r="V66" i="1"/>
  <c r="N17" i="1"/>
  <c r="O16" i="1"/>
  <c r="F185" i="1"/>
  <c r="F174" i="1"/>
  <c r="F172" i="1"/>
  <c r="F186" i="1"/>
  <c r="F173" i="1"/>
  <c r="F184" i="1"/>
  <c r="AC193" i="1"/>
  <c r="L198" i="1"/>
  <c r="X11" i="1"/>
  <c r="X21" i="1"/>
  <c r="Y80" i="1"/>
  <c r="X84" i="1"/>
  <c r="W9" i="1"/>
  <c r="K99" i="1"/>
  <c r="K100" i="1" s="1"/>
  <c r="K59" i="1"/>
  <c r="K107" i="1" s="1"/>
  <c r="K108" i="1" s="1"/>
  <c r="K229" i="1"/>
  <c r="X13" i="17"/>
  <c r="X7" i="17"/>
  <c r="T50" i="21"/>
  <c r="S51" i="21"/>
  <c r="Q61" i="21"/>
  <c r="R60" i="21"/>
  <c r="S44" i="21"/>
  <c r="R46" i="21"/>
  <c r="S66" i="21"/>
  <c r="T64" i="21"/>
  <c r="R96" i="21"/>
  <c r="S95" i="21"/>
  <c r="R70" i="21"/>
  <c r="Q71" i="21"/>
  <c r="S31" i="21"/>
  <c r="T29" i="21"/>
  <c r="S4" i="21"/>
  <c r="R6" i="21"/>
  <c r="Y31" i="19"/>
  <c r="Y43" i="20" s="1"/>
  <c r="S24" i="21"/>
  <c r="S104" i="21" s="1"/>
  <c r="R26" i="21"/>
  <c r="S35" i="21"/>
  <c r="R36" i="21"/>
  <c r="T84" i="21"/>
  <c r="S86" i="21"/>
  <c r="O16" i="21"/>
  <c r="O105" i="21" s="1"/>
  <c r="CZ23" i="10" s="1"/>
  <c r="P15" i="21"/>
  <c r="S81" i="21"/>
  <c r="T79" i="21"/>
  <c r="T91" i="21"/>
  <c r="U89" i="21"/>
  <c r="R11" i="21"/>
  <c r="S9" i="21"/>
  <c r="Y39" i="19"/>
  <c r="Z87" i="20"/>
  <c r="Z44" i="20" s="1"/>
  <c r="Z85" i="20"/>
  <c r="AD77" i="20"/>
  <c r="AA69" i="20"/>
  <c r="AB64" i="20"/>
  <c r="V157" i="19"/>
  <c r="V14" i="19"/>
  <c r="V171" i="19" s="1"/>
  <c r="W153" i="19"/>
  <c r="W152" i="19" s="1"/>
  <c r="X149" i="19"/>
  <c r="W148" i="19"/>
  <c r="Z154" i="19"/>
  <c r="Y15" i="19"/>
  <c r="O118" i="19"/>
  <c r="Z175" i="19"/>
  <c r="AA32" i="19"/>
  <c r="AA170" i="19"/>
  <c r="AB16" i="19"/>
  <c r="AB19" i="19"/>
  <c r="AB38" i="19"/>
  <c r="M120" i="19"/>
  <c r="N120" i="19" s="1"/>
  <c r="O120" i="19" s="1"/>
  <c r="P120" i="19" s="1"/>
  <c r="Q120" i="19" s="1"/>
  <c r="R120" i="19" s="1"/>
  <c r="S120" i="19" s="1"/>
  <c r="T120" i="19" s="1"/>
  <c r="U120" i="19" s="1"/>
  <c r="V120" i="19" s="1"/>
  <c r="W120" i="19" s="1"/>
  <c r="X120" i="19" s="1"/>
  <c r="Y120" i="19" s="1"/>
  <c r="Z120" i="19" s="1"/>
  <c r="AA120" i="19" s="1"/>
  <c r="AB120" i="19" s="1"/>
  <c r="AC120" i="19" s="1"/>
  <c r="AD120" i="19" s="1"/>
  <c r="AE120" i="19" s="1"/>
  <c r="L121" i="19"/>
  <c r="M121" i="19" s="1"/>
  <c r="N121" i="19" s="1"/>
  <c r="O121" i="19" s="1"/>
  <c r="P121" i="19" s="1"/>
  <c r="Q121" i="19" s="1"/>
  <c r="R121" i="19" s="1"/>
  <c r="S121" i="19" s="1"/>
  <c r="T121" i="19" s="1"/>
  <c r="U121" i="19" s="1"/>
  <c r="V121" i="19" s="1"/>
  <c r="W121" i="19" s="1"/>
  <c r="X121" i="19" s="1"/>
  <c r="Y121" i="19" s="1"/>
  <c r="Z121" i="19" s="1"/>
  <c r="AA121" i="19" s="1"/>
  <c r="AB121" i="19" s="1"/>
  <c r="AC121" i="19" s="1"/>
  <c r="AD121" i="19" s="1"/>
  <c r="AE121" i="19" s="1"/>
  <c r="R115" i="19"/>
  <c r="T112" i="19"/>
  <c r="CX118" i="8"/>
  <c r="DI102" i="8"/>
  <c r="DG38" i="8"/>
  <c r="DG102" i="8" s="1"/>
  <c r="DE38" i="8"/>
  <c r="DE102" i="8" s="1"/>
  <c r="DN38" i="8"/>
  <c r="DH38" i="8"/>
  <c r="DH102" i="8" s="1"/>
  <c r="DF38" i="8"/>
  <c r="DF102" i="8" s="1"/>
  <c r="EH96" i="8"/>
  <c r="EM32" i="8"/>
  <c r="EM96" i="8" s="1"/>
  <c r="EH98" i="8"/>
  <c r="EM34" i="8"/>
  <c r="EM98" i="8" s="1"/>
  <c r="DI100" i="8"/>
  <c r="DH36" i="8"/>
  <c r="DH100" i="8" s="1"/>
  <c r="DF36" i="8"/>
  <c r="DF100" i="8" s="1"/>
  <c r="DG36" i="8"/>
  <c r="DG100" i="8" s="1"/>
  <c r="DE36" i="8"/>
  <c r="DE100" i="8" s="1"/>
  <c r="BU124" i="8"/>
  <c r="BQ124" i="8"/>
  <c r="EL134" i="8"/>
  <c r="EH133" i="8"/>
  <c r="DA118" i="8"/>
  <c r="DB63" i="8"/>
  <c r="BV125" i="8"/>
  <c r="CE125" i="8"/>
  <c r="CA125" i="8" s="1"/>
  <c r="CB125" i="8" s="1"/>
  <c r="CC125" i="8" s="1"/>
  <c r="CD125" i="8" s="1"/>
  <c r="BG158" i="8"/>
  <c r="EC127" i="8"/>
  <c r="BN151" i="8"/>
  <c r="BO131" i="8"/>
  <c r="BO151" i="8" s="1"/>
  <c r="DX122" i="8"/>
  <c r="EI134" i="8"/>
  <c r="EC134" i="8"/>
  <c r="DS126" i="8"/>
  <c r="BN150" i="8"/>
  <c r="BO130" i="8"/>
  <c r="BO150" i="8" s="1"/>
  <c r="DN148" i="8"/>
  <c r="DS128" i="8"/>
  <c r="EJ134" i="8"/>
  <c r="EH135" i="8"/>
  <c r="DD117" i="8"/>
  <c r="DI62" i="8"/>
  <c r="DC62" i="8"/>
  <c r="DC117" i="8" s="1"/>
  <c r="DA62" i="8"/>
  <c r="DA117" i="8" s="1"/>
  <c r="DB62" i="8"/>
  <c r="DB117" i="8" s="1"/>
  <c r="CZ62" i="8"/>
  <c r="DE5" i="10"/>
  <c r="CZ114" i="8"/>
  <c r="DA42" i="8"/>
  <c r="DI114" i="8"/>
  <c r="DE42" i="8"/>
  <c r="DN42" i="8"/>
  <c r="DI158" i="8"/>
  <c r="CW118" i="8"/>
  <c r="DE118" i="8"/>
  <c r="DF63" i="8"/>
  <c r="DN118" i="8"/>
  <c r="DJ63" i="8"/>
  <c r="DS63" i="8"/>
  <c r="BH143" i="8"/>
  <c r="BH158" i="8" s="1"/>
  <c r="BH138" i="8" s="1"/>
  <c r="BI123" i="8"/>
  <c r="EK134" i="8"/>
  <c r="EC138" i="8"/>
  <c r="EH152" i="8"/>
  <c r="EM132" i="8"/>
  <c r="DS149" i="8"/>
  <c r="DX129" i="8"/>
  <c r="CR114" i="8"/>
  <c r="CS42" i="8"/>
  <c r="CS114" i="8" s="1"/>
  <c r="CV114" i="8"/>
  <c r="CW42" i="8"/>
  <c r="CW114" i="8" s="1"/>
  <c r="CS118" i="8"/>
  <c r="BR145" i="8"/>
  <c r="BS125" i="8"/>
  <c r="BE138" i="8"/>
  <c r="BF158" i="8"/>
  <c r="BF138" i="8" s="1"/>
  <c r="CU117" i="8"/>
  <c r="BR102" i="10"/>
  <c r="BR91" i="10"/>
  <c r="BR104" i="10" s="1"/>
  <c r="BR28" i="10"/>
  <c r="AK102" i="10"/>
  <c r="AK91" i="10"/>
  <c r="AK104" i="10" s="1"/>
  <c r="AK28" i="10"/>
  <c r="Q102" i="10"/>
  <c r="Q91" i="10"/>
  <c r="Q104" i="10" s="1"/>
  <c r="Q28" i="10"/>
  <c r="BU102" i="10"/>
  <c r="BU91" i="10"/>
  <c r="BU104" i="10" s="1"/>
  <c r="BU28" i="10"/>
  <c r="BQ102" i="10"/>
  <c r="BQ91" i="10"/>
  <c r="BQ28" i="10"/>
  <c r="BI102" i="10"/>
  <c r="BI91" i="10"/>
  <c r="BI104" i="10" s="1"/>
  <c r="BI28" i="10"/>
  <c r="AV102" i="10"/>
  <c r="AV91" i="10"/>
  <c r="AV104" i="10" s="1"/>
  <c r="AV28" i="10"/>
  <c r="AR102" i="10"/>
  <c r="AR91" i="10"/>
  <c r="AR28" i="10"/>
  <c r="BT102" i="10"/>
  <c r="BT91" i="10"/>
  <c r="BT104" i="10" s="1"/>
  <c r="BT28" i="10"/>
  <c r="AQ102" i="10"/>
  <c r="AQ91" i="10"/>
  <c r="AQ104" i="10" s="1"/>
  <c r="AQ28" i="10"/>
  <c r="AM102" i="10"/>
  <c r="AM91" i="10"/>
  <c r="AM28" i="10"/>
  <c r="AA102" i="10"/>
  <c r="AA91" i="10"/>
  <c r="AA104" i="10" s="1"/>
  <c r="AA28" i="10"/>
  <c r="O102" i="10"/>
  <c r="O91" i="10"/>
  <c r="O104" i="10" s="1"/>
  <c r="O28" i="10"/>
  <c r="K102" i="10"/>
  <c r="K91" i="10"/>
  <c r="K104" i="10" s="1"/>
  <c r="K28" i="10"/>
  <c r="BK102" i="10"/>
  <c r="BK113" i="10" s="1"/>
  <c r="BK91" i="10"/>
  <c r="BK104" i="10" s="1"/>
  <c r="BK114" i="10" s="1"/>
  <c r="BK28" i="10"/>
  <c r="F102" i="10"/>
  <c r="F91" i="10"/>
  <c r="F104" i="10" s="1"/>
  <c r="F28" i="10"/>
  <c r="BV102" i="10"/>
  <c r="BV91" i="10"/>
  <c r="BV28" i="10"/>
  <c r="BN102" i="10"/>
  <c r="BN113" i="10" s="1"/>
  <c r="BN91" i="10"/>
  <c r="BN104" i="10" s="1"/>
  <c r="BN114" i="10" s="1"/>
  <c r="BN28" i="10"/>
  <c r="BE102" i="10"/>
  <c r="BE91" i="10"/>
  <c r="BE104" i="10" s="1"/>
  <c r="BE28" i="10"/>
  <c r="BA102" i="10"/>
  <c r="BA91" i="10"/>
  <c r="BA104" i="10" s="1"/>
  <c r="BA28" i="10"/>
  <c r="E102" i="10"/>
  <c r="E91" i="10"/>
  <c r="E104" i="10" s="1"/>
  <c r="E28" i="10"/>
  <c r="BM102" i="10"/>
  <c r="BM91" i="10"/>
  <c r="BM104" i="10" s="1"/>
  <c r="BM28" i="10"/>
  <c r="BH102" i="10"/>
  <c r="BH91" i="10"/>
  <c r="BH104" i="10" s="1"/>
  <c r="BH28" i="10"/>
  <c r="BW102" i="10"/>
  <c r="BW28" i="10"/>
  <c r="BG102" i="10"/>
  <c r="BG91" i="10"/>
  <c r="BG28" i="10"/>
  <c r="BJ102" i="10"/>
  <c r="BJ113" i="10" s="1"/>
  <c r="BJ91" i="10"/>
  <c r="BJ104" i="10" s="1"/>
  <c r="BJ114" i="10" s="1"/>
  <c r="BJ28" i="10"/>
  <c r="AW102" i="10"/>
  <c r="AW113" i="10" s="1"/>
  <c r="AW91" i="10"/>
  <c r="AW28" i="10"/>
  <c r="AS102" i="10"/>
  <c r="AS91" i="10"/>
  <c r="AS104" i="10" s="1"/>
  <c r="AS28" i="10"/>
  <c r="U102" i="10"/>
  <c r="U91" i="10"/>
  <c r="U104" i="10" s="1"/>
  <c r="U28" i="10"/>
  <c r="M102" i="10"/>
  <c r="M91" i="10"/>
  <c r="M104" i="10" s="1"/>
  <c r="M28" i="10"/>
  <c r="I102" i="10"/>
  <c r="I91" i="10"/>
  <c r="I28" i="10"/>
  <c r="AN102" i="10"/>
  <c r="AN91" i="10"/>
  <c r="AN104" i="10" s="1"/>
  <c r="AN28" i="10"/>
  <c r="AF102" i="10"/>
  <c r="AF91" i="10"/>
  <c r="AF104" i="10" s="1"/>
  <c r="AF28" i="10"/>
  <c r="BL102" i="10"/>
  <c r="BL91" i="10"/>
  <c r="BL28" i="10"/>
  <c r="BC102" i="10"/>
  <c r="BC91" i="10"/>
  <c r="BC104" i="10" s="1"/>
  <c r="BC28" i="10"/>
  <c r="AY102" i="10"/>
  <c r="AY91" i="10"/>
  <c r="AY104" i="10" s="1"/>
  <c r="AY28" i="10"/>
  <c r="AI102" i="10"/>
  <c r="AI91" i="10"/>
  <c r="AI104" i="10" s="1"/>
  <c r="AI28" i="10"/>
  <c r="G102" i="10"/>
  <c r="G91" i="10"/>
  <c r="G104" i="10" s="1"/>
  <c r="G28" i="10"/>
  <c r="BS102" i="10"/>
  <c r="BS91" i="10"/>
  <c r="BS104" i="10" s="1"/>
  <c r="BS28" i="10"/>
  <c r="BB102" i="10"/>
  <c r="BB91" i="10"/>
  <c r="BB28" i="10"/>
  <c r="AX102" i="10"/>
  <c r="AX91" i="10"/>
  <c r="AX104" i="10" s="1"/>
  <c r="AX28" i="10"/>
  <c r="AP102" i="10"/>
  <c r="AP91" i="10"/>
  <c r="AP104" i="10" s="1"/>
  <c r="AP28" i="10"/>
  <c r="Z102" i="10"/>
  <c r="Z91" i="10"/>
  <c r="Z104" i="10" s="1"/>
  <c r="Z28" i="10"/>
  <c r="N102" i="10"/>
  <c r="N91" i="10"/>
  <c r="N28" i="10"/>
  <c r="J102" i="10"/>
  <c r="J91" i="10"/>
  <c r="J104" i="10" s="1"/>
  <c r="J28" i="10"/>
  <c r="AO102" i="10"/>
  <c r="AO91" i="10"/>
  <c r="AO104" i="10" s="1"/>
  <c r="AO28" i="10"/>
  <c r="AG102" i="10"/>
  <c r="AG91" i="10"/>
  <c r="AG104" i="10" s="1"/>
  <c r="AG28" i="10"/>
  <c r="AC102" i="10"/>
  <c r="AC91" i="10"/>
  <c r="AC28" i="10"/>
  <c r="Y102" i="10"/>
  <c r="Y91" i="10"/>
  <c r="Y104" i="10" s="1"/>
  <c r="Y28" i="10"/>
  <c r="DT56" i="10"/>
  <c r="BD102" i="10"/>
  <c r="BD91" i="10"/>
  <c r="BD104" i="10" s="1"/>
  <c r="BD28" i="10"/>
  <c r="AZ102" i="10"/>
  <c r="AZ91" i="10"/>
  <c r="AZ104" i="10" s="1"/>
  <c r="AZ28" i="10"/>
  <c r="AJ102" i="10"/>
  <c r="AJ91" i="10"/>
  <c r="AJ104" i="10" s="1"/>
  <c r="AJ28" i="10"/>
  <c r="AB102" i="10"/>
  <c r="AB91" i="10"/>
  <c r="AB104" i="10" s="1"/>
  <c r="AB28" i="10"/>
  <c r="X102" i="10"/>
  <c r="X91" i="10"/>
  <c r="X28" i="10"/>
  <c r="T102" i="10"/>
  <c r="T91" i="10"/>
  <c r="T104" i="10" s="1"/>
  <c r="T28" i="10"/>
  <c r="P102" i="10"/>
  <c r="P91" i="10"/>
  <c r="P104" i="10" s="1"/>
  <c r="P28" i="10"/>
  <c r="L102" i="10"/>
  <c r="L91" i="10"/>
  <c r="L104" i="10" s="1"/>
  <c r="L28" i="10"/>
  <c r="H102" i="10"/>
  <c r="H91" i="10"/>
  <c r="H104" i="10" s="1"/>
  <c r="H28" i="10"/>
  <c r="D102" i="10"/>
  <c r="D91" i="10"/>
  <c r="D28" i="10"/>
  <c r="BP102" i="10"/>
  <c r="BP91" i="10"/>
  <c r="BP104" i="10" s="1"/>
  <c r="BP28" i="10"/>
  <c r="AU102" i="10"/>
  <c r="AU91" i="10"/>
  <c r="AU104" i="10" s="1"/>
  <c r="AU28" i="10"/>
  <c r="AE102" i="10"/>
  <c r="AE91" i="10"/>
  <c r="AE104" i="10" s="1"/>
  <c r="AE28" i="10"/>
  <c r="W102" i="10"/>
  <c r="W91" i="10"/>
  <c r="W104" i="10" s="1"/>
  <c r="W28" i="10"/>
  <c r="S102" i="10"/>
  <c r="S91" i="10"/>
  <c r="S28" i="10"/>
  <c r="BF105" i="10"/>
  <c r="BF46" i="10"/>
  <c r="BF82" i="10" s="1"/>
  <c r="BF41" i="10"/>
  <c r="BF42" i="10" s="1"/>
  <c r="BF34" i="10"/>
  <c r="BO102" i="10"/>
  <c r="BO91" i="10"/>
  <c r="BO104" i="10" s="1"/>
  <c r="BO28" i="10"/>
  <c r="AT102" i="10"/>
  <c r="AT113" i="10" s="1"/>
  <c r="AT91" i="10"/>
  <c r="AT104" i="10" s="1"/>
  <c r="AT28" i="10"/>
  <c r="AL102" i="10"/>
  <c r="AL91" i="10"/>
  <c r="AL104" i="10" s="1"/>
  <c r="AL114" i="10" s="1"/>
  <c r="AL28" i="10"/>
  <c r="AH102" i="10"/>
  <c r="AH91" i="10"/>
  <c r="AH28" i="10"/>
  <c r="AD102" i="10"/>
  <c r="AD91" i="10"/>
  <c r="AD104" i="10" s="1"/>
  <c r="AD28" i="10"/>
  <c r="V102" i="10"/>
  <c r="V91" i="10"/>
  <c r="V104" i="10" s="1"/>
  <c r="V28" i="10"/>
  <c r="R102" i="10"/>
  <c r="R113" i="10" s="1"/>
  <c r="R91" i="10"/>
  <c r="R104" i="10" s="1"/>
  <c r="R114" i="10" s="1"/>
  <c r="R28" i="10"/>
  <c r="J5" i="22"/>
  <c r="I12" i="22"/>
  <c r="K109" i="1" l="1"/>
  <c r="M221" i="1"/>
  <c r="O141" i="1"/>
  <c r="O144" i="1" s="1"/>
  <c r="O140" i="1" s="1"/>
  <c r="O183" i="1" s="1"/>
  <c r="P142" i="1"/>
  <c r="AD114" i="10"/>
  <c r="AH113" i="10"/>
  <c r="S113" i="10"/>
  <c r="J113" i="10"/>
  <c r="AP114" i="10"/>
  <c r="AX113" i="10"/>
  <c r="AL113" i="10"/>
  <c r="V63" i="20"/>
  <c r="V65" i="20" s="1"/>
  <c r="V99" i="20"/>
  <c r="CZ86" i="10"/>
  <c r="CZ87" i="10" s="1"/>
  <c r="W63" i="20" s="1"/>
  <c r="W65" i="20" s="1"/>
  <c r="AP113" i="10"/>
  <c r="AD113" i="10"/>
  <c r="AT114" i="10"/>
  <c r="J114" i="10"/>
  <c r="N113" i="10"/>
  <c r="AX114" i="10"/>
  <c r="BB113" i="10"/>
  <c r="CJ26" i="8"/>
  <c r="CF26" i="8" s="1"/>
  <c r="CB89" i="8"/>
  <c r="CC89" i="8"/>
  <c r="BP150" i="8"/>
  <c r="BP130" i="8" s="1"/>
  <c r="EF152" i="8"/>
  <c r="BY89" i="8"/>
  <c r="EE104" i="8"/>
  <c r="O85" i="13"/>
  <c r="O90" i="13" s="1"/>
  <c r="O93" i="13" s="1"/>
  <c r="O95" i="13" s="1"/>
  <c r="CJ25" i="8" s="1"/>
  <c r="CI25" i="8" s="1"/>
  <c r="W99" i="20"/>
  <c r="P114" i="10"/>
  <c r="W155" i="19"/>
  <c r="K110" i="1"/>
  <c r="M43" i="1"/>
  <c r="M53" i="1" s="1"/>
  <c r="N23" i="4"/>
  <c r="N26" i="4" s="1"/>
  <c r="P45" i="12"/>
  <c r="P48" i="12" s="1"/>
  <c r="P51" i="12" s="1"/>
  <c r="AC22" i="19"/>
  <c r="AB26" i="20"/>
  <c r="X82" i="20"/>
  <c r="X76" i="20"/>
  <c r="X80" i="20" s="1"/>
  <c r="X47" i="20" s="1"/>
  <c r="X102" i="20" s="1"/>
  <c r="X71" i="20"/>
  <c r="X74" i="20"/>
  <c r="Y70" i="20" s="1"/>
  <c r="AB37" i="1"/>
  <c r="AB38" i="1"/>
  <c r="AA36" i="1"/>
  <c r="AA39" i="1"/>
  <c r="L99" i="15"/>
  <c r="AE150" i="1"/>
  <c r="AD149" i="1"/>
  <c r="AD152" i="1"/>
  <c r="BP151" i="8"/>
  <c r="BP131" i="8" s="1"/>
  <c r="M122" i="19"/>
  <c r="N122" i="19" s="1"/>
  <c r="O122" i="19" s="1"/>
  <c r="P122" i="19" s="1"/>
  <c r="Q122" i="19" s="1"/>
  <c r="R122" i="19" s="1"/>
  <c r="S122" i="19" s="1"/>
  <c r="T122" i="19" s="1"/>
  <c r="U122" i="19" s="1"/>
  <c r="V122" i="19" s="1"/>
  <c r="W122" i="19" s="1"/>
  <c r="X122" i="19" s="1"/>
  <c r="Y122" i="19" s="1"/>
  <c r="Z122" i="19" s="1"/>
  <c r="AA122" i="19" s="1"/>
  <c r="AB122" i="19" s="1"/>
  <c r="AC122" i="19" s="1"/>
  <c r="AD122" i="19" s="1"/>
  <c r="AE122" i="19" s="1"/>
  <c r="Q107" i="21"/>
  <c r="L127" i="1"/>
  <c r="O67" i="12"/>
  <c r="O69" i="12" s="1"/>
  <c r="O13" i="12" s="1"/>
  <c r="O12" i="12" s="1"/>
  <c r="BP113" i="10"/>
  <c r="V113" i="10"/>
  <c r="BO113" i="10"/>
  <c r="EJ46" i="8"/>
  <c r="EJ152" i="8" s="1"/>
  <c r="Z39" i="19"/>
  <c r="Z137" i="1"/>
  <c r="Z138" i="1"/>
  <c r="AA136" i="1"/>
  <c r="BP114" i="10"/>
  <c r="L114" i="10"/>
  <c r="BO114" i="10"/>
  <c r="P113" i="10"/>
  <c r="V114" i="10"/>
  <c r="BD114" i="10"/>
  <c r="EG104" i="8"/>
  <c r="D104" i="10"/>
  <c r="C93" i="19"/>
  <c r="N104" i="10"/>
  <c r="E93" i="19"/>
  <c r="I104" i="10"/>
  <c r="I114" i="10" s="1"/>
  <c r="D93" i="19"/>
  <c r="L113" i="10"/>
  <c r="AF114" i="10"/>
  <c r="EM152" i="8"/>
  <c r="ED104" i="8"/>
  <c r="CE23" i="8"/>
  <c r="CE146" i="8" s="1"/>
  <c r="CE89" i="8"/>
  <c r="AU114" i="10"/>
  <c r="BW113" i="10"/>
  <c r="T113" i="10"/>
  <c r="AD207" i="1"/>
  <c r="AC211" i="15"/>
  <c r="AE114" i="10"/>
  <c r="AU113" i="10"/>
  <c r="Z113" i="10"/>
  <c r="BS113" i="10"/>
  <c r="AN113" i="10"/>
  <c r="AE113" i="10"/>
  <c r="T114" i="10"/>
  <c r="BD113" i="10"/>
  <c r="Z114" i="10"/>
  <c r="AF113" i="10"/>
  <c r="AM104" i="10"/>
  <c r="J93" i="19"/>
  <c r="S104" i="10"/>
  <c r="F93" i="19"/>
  <c r="AC104" i="10"/>
  <c r="H93" i="19"/>
  <c r="AR104" i="10"/>
  <c r="K93" i="19"/>
  <c r="AH104" i="10"/>
  <c r="AH114" i="10" s="1"/>
  <c r="I93" i="19"/>
  <c r="X104" i="10"/>
  <c r="X114" i="10" s="1"/>
  <c r="G93" i="19"/>
  <c r="M8" i="12"/>
  <c r="Q42" i="64"/>
  <c r="R3" i="64"/>
  <c r="R42" i="64" s="1"/>
  <c r="EI46" i="8"/>
  <c r="EI104" i="8" s="1"/>
  <c r="EK46" i="8"/>
  <c r="EK152" i="8" s="1"/>
  <c r="EL46" i="8"/>
  <c r="EL104" i="8" s="1"/>
  <c r="R16" i="64"/>
  <c r="R19" i="64" s="1"/>
  <c r="Q16" i="64"/>
  <c r="Q19" i="64" s="1"/>
  <c r="R44" i="64"/>
  <c r="P11" i="61"/>
  <c r="P13" i="61"/>
  <c r="N9" i="61"/>
  <c r="N12" i="61" s="1"/>
  <c r="O7" i="61"/>
  <c r="S20" i="61"/>
  <c r="R19" i="61"/>
  <c r="R22" i="61"/>
  <c r="M14" i="61"/>
  <c r="M15" i="61" s="1"/>
  <c r="M23" i="61" s="1"/>
  <c r="M30" i="61" s="1"/>
  <c r="DS110" i="8"/>
  <c r="DS48" i="8"/>
  <c r="DH108" i="8"/>
  <c r="DH154" i="8"/>
  <c r="DG108" i="8"/>
  <c r="DG154" i="8"/>
  <c r="DN154" i="8"/>
  <c r="DN108" i="8"/>
  <c r="DL48" i="8"/>
  <c r="DK48" i="8"/>
  <c r="DM48" i="8"/>
  <c r="DJ48" i="8"/>
  <c r="V9" i="63"/>
  <c r="U12" i="63"/>
  <c r="U13" i="63" s="1"/>
  <c r="DX50" i="8" s="1"/>
  <c r="V7" i="63"/>
  <c r="V8" i="63" s="1"/>
  <c r="V4" i="63"/>
  <c r="W5" i="63"/>
  <c r="DE108" i="8"/>
  <c r="DE154" i="8"/>
  <c r="DF154" i="8"/>
  <c r="DF108" i="8"/>
  <c r="W12" i="62"/>
  <c r="W13" i="62" s="1"/>
  <c r="EH49" i="8" s="1"/>
  <c r="X9" i="62"/>
  <c r="X4" i="62"/>
  <c r="X7" i="62"/>
  <c r="X8" i="62" s="1"/>
  <c r="EC109" i="8"/>
  <c r="DL30" i="8"/>
  <c r="DL94" i="8" s="1"/>
  <c r="DJ30" i="8"/>
  <c r="DJ94" i="8" s="1"/>
  <c r="DK30" i="8"/>
  <c r="DK94" i="8" s="1"/>
  <c r="DM30" i="8"/>
  <c r="DM94" i="8" s="1"/>
  <c r="DF93" i="8"/>
  <c r="DF28" i="8"/>
  <c r="DF92" i="8" s="1"/>
  <c r="Q7" i="38"/>
  <c r="P9" i="38"/>
  <c r="DI92" i="8"/>
  <c r="DI147" i="8"/>
  <c r="DE93" i="8"/>
  <c r="DE28" i="8"/>
  <c r="DE92" i="8" s="1"/>
  <c r="DG93" i="8"/>
  <c r="DG28" i="8"/>
  <c r="DG92" i="8" s="1"/>
  <c r="DH93" i="8"/>
  <c r="DH28" i="8"/>
  <c r="DH92" i="8" s="1"/>
  <c r="DN94" i="8"/>
  <c r="DN93" i="8"/>
  <c r="DJ29" i="8"/>
  <c r="DL29" i="8"/>
  <c r="DN28" i="8"/>
  <c r="DM29" i="8"/>
  <c r="DS30" i="8"/>
  <c r="DK29" i="8"/>
  <c r="O19" i="38"/>
  <c r="O27" i="38" s="1"/>
  <c r="O35" i="38" s="1"/>
  <c r="O36" i="38" s="1"/>
  <c r="DS29" i="8" s="1"/>
  <c r="O18" i="38"/>
  <c r="O17" i="38"/>
  <c r="O16" i="38"/>
  <c r="O9" i="12"/>
  <c r="O7" i="12"/>
  <c r="W55" i="12"/>
  <c r="X54" i="12"/>
  <c r="T50" i="12"/>
  <c r="R44" i="12"/>
  <c r="Q36" i="12"/>
  <c r="Q39" i="12" s="1"/>
  <c r="Q42" i="12" s="1"/>
  <c r="R35" i="12"/>
  <c r="S47" i="12"/>
  <c r="T41" i="12"/>
  <c r="S31" i="12"/>
  <c r="T30" i="12"/>
  <c r="Y21" i="12"/>
  <c r="U68" i="12"/>
  <c r="Q25" i="12"/>
  <c r="S38" i="12"/>
  <c r="X107" i="12"/>
  <c r="T80" i="12"/>
  <c r="S81" i="12"/>
  <c r="V86" i="12"/>
  <c r="U75" i="12"/>
  <c r="V74" i="12"/>
  <c r="P66" i="12"/>
  <c r="P67" i="12"/>
  <c r="P69" i="12" s="1"/>
  <c r="P13" i="12" s="1"/>
  <c r="P12" i="12" s="1"/>
  <c r="N8" i="12"/>
  <c r="Q106" i="12"/>
  <c r="Q108" i="12" s="1"/>
  <c r="Q16" i="12" s="1"/>
  <c r="Q15" i="12" s="1"/>
  <c r="S60" i="12"/>
  <c r="O66" i="12"/>
  <c r="Q20" i="12"/>
  <c r="P23" i="12"/>
  <c r="P26" i="12" s="1"/>
  <c r="P10" i="12" s="1"/>
  <c r="R87" i="12"/>
  <c r="R105" i="12" s="1"/>
  <c r="R88" i="12"/>
  <c r="P69" i="13"/>
  <c r="R62" i="13"/>
  <c r="R79" i="13"/>
  <c r="Q66" i="13"/>
  <c r="R27" i="13"/>
  <c r="Q68" i="13"/>
  <c r="R64" i="13"/>
  <c r="U88" i="13"/>
  <c r="P71" i="13"/>
  <c r="P72" i="13" s="1"/>
  <c r="Q63" i="13"/>
  <c r="P61" i="13"/>
  <c r="V92" i="13"/>
  <c r="U81" i="13"/>
  <c r="T82" i="13"/>
  <c r="T80" i="13"/>
  <c r="T83" i="13"/>
  <c r="G12" i="17"/>
  <c r="M254" i="15"/>
  <c r="M253" i="15" s="1"/>
  <c r="R59" i="4"/>
  <c r="O7" i="4"/>
  <c r="O8" i="4"/>
  <c r="O29" i="4" s="1"/>
  <c r="O31" i="4" s="1"/>
  <c r="P4" i="4"/>
  <c r="T54" i="4"/>
  <c r="N53" i="4"/>
  <c r="N55" i="4" s="1"/>
  <c r="H12" i="17" s="1"/>
  <c r="N58" i="4"/>
  <c r="N60" i="4" s="1"/>
  <c r="S30" i="4"/>
  <c r="X24" i="4"/>
  <c r="R35" i="4"/>
  <c r="Q37" i="4"/>
  <c r="AA18" i="4"/>
  <c r="Y13" i="4"/>
  <c r="N29" i="4"/>
  <c r="N31" i="4" s="1"/>
  <c r="O38" i="4"/>
  <c r="P36" i="4"/>
  <c r="K231" i="15"/>
  <c r="E11" i="17" s="1"/>
  <c r="E14" i="17" s="1"/>
  <c r="K257" i="15"/>
  <c r="K258" i="15" s="1"/>
  <c r="K234" i="15"/>
  <c r="K232" i="15"/>
  <c r="N190" i="15"/>
  <c r="N188" i="15"/>
  <c r="N235" i="15" s="1"/>
  <c r="N189" i="15"/>
  <c r="N85" i="15"/>
  <c r="N86" i="15" s="1"/>
  <c r="N40" i="15"/>
  <c r="N96" i="15" s="1"/>
  <c r="AD124" i="15"/>
  <c r="AE123" i="15"/>
  <c r="AD125" i="15"/>
  <c r="N202" i="15"/>
  <c r="N201" i="15"/>
  <c r="N225" i="15"/>
  <c r="O178" i="15"/>
  <c r="O176" i="15"/>
  <c r="O177" i="15"/>
  <c r="AE159" i="15"/>
  <c r="AE157" i="15"/>
  <c r="AE160" i="15"/>
  <c r="E166" i="15"/>
  <c r="E164" i="15"/>
  <c r="E165" i="15"/>
  <c r="M118" i="15"/>
  <c r="M119" i="15" s="1"/>
  <c r="M75" i="15"/>
  <c r="M129" i="15" s="1"/>
  <c r="M130" i="15" s="1"/>
  <c r="AC90" i="15"/>
  <c r="AB91" i="15"/>
  <c r="AB92" i="15"/>
  <c r="Z110" i="15"/>
  <c r="Z109" i="15"/>
  <c r="Z108" i="15"/>
  <c r="Q20" i="15"/>
  <c r="P22" i="15"/>
  <c r="AE154" i="15"/>
  <c r="AD155" i="15"/>
  <c r="AD153" i="15"/>
  <c r="AD156" i="15"/>
  <c r="P141" i="15"/>
  <c r="Q140" i="15"/>
  <c r="P142" i="15"/>
  <c r="Z102" i="15"/>
  <c r="W195" i="15"/>
  <c r="X80" i="15"/>
  <c r="L98" i="15"/>
  <c r="Z117" i="15"/>
  <c r="Y121" i="15"/>
  <c r="AC38" i="15"/>
  <c r="AC37" i="15"/>
  <c r="AB36" i="15"/>
  <c r="AB39" i="15"/>
  <c r="R10" i="15"/>
  <c r="R13" i="15"/>
  <c r="S8" i="15" s="1"/>
  <c r="Y106" i="15"/>
  <c r="X9" i="15"/>
  <c r="Y11" i="15"/>
  <c r="M201" i="15"/>
  <c r="N43" i="15"/>
  <c r="N53" i="15" s="1"/>
  <c r="N62" i="15"/>
  <c r="N69" i="15" s="1"/>
  <c r="AC128" i="15"/>
  <c r="AC127" i="15"/>
  <c r="AC126" i="15"/>
  <c r="N214" i="15"/>
  <c r="N213" i="15"/>
  <c r="P175" i="15"/>
  <c r="Q143" i="15"/>
  <c r="L132" i="15"/>
  <c r="L131" i="15"/>
  <c r="E189" i="15"/>
  <c r="E178" i="15"/>
  <c r="E190" i="15"/>
  <c r="E176" i="15"/>
  <c r="E188" i="15"/>
  <c r="E177" i="15"/>
  <c r="AC221" i="15"/>
  <c r="AD197" i="15"/>
  <c r="M85" i="15"/>
  <c r="M86" i="15" s="1"/>
  <c r="M40" i="15"/>
  <c r="M96" i="15" s="1"/>
  <c r="M97" i="15" s="1"/>
  <c r="M43" i="15"/>
  <c r="M53" i="15" s="1"/>
  <c r="AA107" i="15"/>
  <c r="AA95" i="15"/>
  <c r="AA94" i="15"/>
  <c r="AA93" i="15"/>
  <c r="AB182" i="15"/>
  <c r="AA185" i="15"/>
  <c r="Z56" i="15"/>
  <c r="Y55" i="15"/>
  <c r="Y58" i="15"/>
  <c r="O163" i="15"/>
  <c r="O144" i="15"/>
  <c r="L103" i="15"/>
  <c r="L104" i="15" s="1"/>
  <c r="L59" i="15"/>
  <c r="L111" i="15" s="1"/>
  <c r="L112" i="15" s="1"/>
  <c r="L233" i="15"/>
  <c r="Y84" i="15"/>
  <c r="X88" i="15"/>
  <c r="M202" i="15"/>
  <c r="V28" i="15"/>
  <c r="T21" i="15"/>
  <c r="O17" i="15"/>
  <c r="O25" i="15" s="1"/>
  <c r="O34" i="15" s="1"/>
  <c r="P16" i="15"/>
  <c r="W65" i="15"/>
  <c r="Y47" i="15"/>
  <c r="X46" i="15"/>
  <c r="X49" i="15"/>
  <c r="J230" i="1"/>
  <c r="J228" i="1"/>
  <c r="AD193" i="1"/>
  <c r="N62" i="1"/>
  <c r="N68" i="1" s="1"/>
  <c r="N25" i="1"/>
  <c r="N34" i="1" s="1"/>
  <c r="P171" i="1"/>
  <c r="Q139" i="1"/>
  <c r="E186" i="1"/>
  <c r="E184" i="1"/>
  <c r="E173" i="1"/>
  <c r="E185" i="1"/>
  <c r="E172" i="1"/>
  <c r="E174" i="1"/>
  <c r="N185" i="1"/>
  <c r="N221" i="1" s="1"/>
  <c r="N186" i="1"/>
  <c r="N209" i="1" s="1"/>
  <c r="N184" i="1"/>
  <c r="N231" i="1" s="1"/>
  <c r="AC168" i="1"/>
  <c r="M99" i="1"/>
  <c r="M100" i="1" s="1"/>
  <c r="M59" i="1"/>
  <c r="M107" i="1" s="1"/>
  <c r="S134" i="1"/>
  <c r="S159" i="1" s="1"/>
  <c r="S12" i="1"/>
  <c r="X65" i="1"/>
  <c r="Y46" i="1"/>
  <c r="Y49" i="1" s="1"/>
  <c r="Z47" i="1"/>
  <c r="Z98" i="1"/>
  <c r="Y102" i="1"/>
  <c r="AA70" i="1"/>
  <c r="AC57" i="1"/>
  <c r="AC56" i="1"/>
  <c r="AC55" i="1"/>
  <c r="AB58" i="1"/>
  <c r="AD205" i="1"/>
  <c r="AD209" i="15" s="1"/>
  <c r="AC155" i="1"/>
  <c r="AD154" i="1"/>
  <c r="AC153" i="1"/>
  <c r="AC156" i="1"/>
  <c r="L99" i="1"/>
  <c r="L100" i="1" s="1"/>
  <c r="L59" i="1"/>
  <c r="L107" i="1" s="1"/>
  <c r="L108" i="1" s="1"/>
  <c r="L229" i="1"/>
  <c r="X9" i="1"/>
  <c r="Z80" i="1"/>
  <c r="Y84" i="1"/>
  <c r="Y21" i="1"/>
  <c r="Y11" i="1"/>
  <c r="L232" i="1"/>
  <c r="O17" i="1"/>
  <c r="P16" i="1"/>
  <c r="W66" i="1"/>
  <c r="O173" i="1"/>
  <c r="O174" i="1"/>
  <c r="O172" i="1"/>
  <c r="J227" i="1"/>
  <c r="D5" i="17" s="1"/>
  <c r="J264" i="1"/>
  <c r="K130" i="1"/>
  <c r="P31" i="1"/>
  <c r="Q31" i="1" s="1"/>
  <c r="R31" i="1" s="1"/>
  <c r="S31" i="1" s="1"/>
  <c r="T31" i="1" s="1"/>
  <c r="U31" i="1" s="1"/>
  <c r="V31" i="1" s="1"/>
  <c r="W31" i="1" s="1"/>
  <c r="X31" i="1" s="1"/>
  <c r="Y31" i="1" s="1"/>
  <c r="Z31" i="1" s="1"/>
  <c r="AA31" i="1" s="1"/>
  <c r="AB31" i="1" s="1"/>
  <c r="AC31" i="1" s="1"/>
  <c r="AD31" i="1" s="1"/>
  <c r="AE31" i="1" s="1"/>
  <c r="Q32" i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E161" i="1"/>
  <c r="E162" i="1"/>
  <c r="E160" i="1"/>
  <c r="W191" i="1"/>
  <c r="X76" i="1"/>
  <c r="M198" i="1"/>
  <c r="K131" i="1"/>
  <c r="M229" i="1"/>
  <c r="M81" i="1"/>
  <c r="M82" i="1" s="1"/>
  <c r="M40" i="1"/>
  <c r="M92" i="1" s="1"/>
  <c r="M93" i="1" s="1"/>
  <c r="M95" i="1" s="1"/>
  <c r="M114" i="1"/>
  <c r="M115" i="1" s="1"/>
  <c r="M71" i="1"/>
  <c r="M125" i="1" s="1"/>
  <c r="M126" i="1" s="1"/>
  <c r="Y113" i="1"/>
  <c r="X117" i="1"/>
  <c r="W28" i="1"/>
  <c r="N197" i="1"/>
  <c r="N198" i="1"/>
  <c r="T217" i="1"/>
  <c r="AB179" i="1"/>
  <c r="AA178" i="1"/>
  <c r="AA181" i="1" s="1"/>
  <c r="L95" i="1"/>
  <c r="L94" i="1"/>
  <c r="Z166" i="1"/>
  <c r="Y169" i="1"/>
  <c r="S20" i="1"/>
  <c r="R22" i="1"/>
  <c r="Y7" i="17"/>
  <c r="Y13" i="17"/>
  <c r="T9" i="21"/>
  <c r="S11" i="21"/>
  <c r="V89" i="21"/>
  <c r="U91" i="21"/>
  <c r="U79" i="21"/>
  <c r="T81" i="21"/>
  <c r="T86" i="21"/>
  <c r="U84" i="21"/>
  <c r="S36" i="21"/>
  <c r="T35" i="21"/>
  <c r="S26" i="21"/>
  <c r="T24" i="21"/>
  <c r="T104" i="21" s="1"/>
  <c r="S6" i="21"/>
  <c r="T4" i="21"/>
  <c r="T31" i="21"/>
  <c r="U29" i="21"/>
  <c r="S96" i="21"/>
  <c r="T95" i="21"/>
  <c r="T66" i="21"/>
  <c r="U64" i="21"/>
  <c r="R61" i="21"/>
  <c r="S60" i="21"/>
  <c r="Q15" i="21"/>
  <c r="P16" i="21"/>
  <c r="P105" i="21" s="1"/>
  <c r="DE23" i="10" s="1"/>
  <c r="Z31" i="19"/>
  <c r="Z43" i="20" s="1"/>
  <c r="R71" i="21"/>
  <c r="S70" i="21"/>
  <c r="S46" i="21"/>
  <c r="T44" i="21"/>
  <c r="T51" i="21"/>
  <c r="U50" i="21"/>
  <c r="BB104" i="10"/>
  <c r="M94" i="19"/>
  <c r="M93" i="19"/>
  <c r="AW104" i="10"/>
  <c r="L94" i="19"/>
  <c r="L93" i="19"/>
  <c r="BG104" i="10"/>
  <c r="N94" i="19"/>
  <c r="N93" i="19"/>
  <c r="AA87" i="20"/>
  <c r="AA44" i="20" s="1"/>
  <c r="AA39" i="19" s="1"/>
  <c r="AA85" i="20"/>
  <c r="BS114" i="10"/>
  <c r="BL104" i="10"/>
  <c r="O93" i="19"/>
  <c r="O94" i="19"/>
  <c r="BV104" i="10"/>
  <c r="Q94" i="19"/>
  <c r="Q93" i="19"/>
  <c r="BQ104" i="10"/>
  <c r="P94" i="19"/>
  <c r="P93" i="19"/>
  <c r="AB69" i="20"/>
  <c r="AC64" i="20"/>
  <c r="AE77" i="20"/>
  <c r="W157" i="19"/>
  <c r="W14" i="19"/>
  <c r="W171" i="19" s="1"/>
  <c r="AA175" i="19"/>
  <c r="AB32" i="19"/>
  <c r="N141" i="19"/>
  <c r="U112" i="19"/>
  <c r="S115" i="19"/>
  <c r="AC38" i="19"/>
  <c r="AC19" i="19"/>
  <c r="AB170" i="19"/>
  <c r="AC16" i="19"/>
  <c r="P118" i="19"/>
  <c r="O141" i="19"/>
  <c r="AA154" i="19"/>
  <c r="Z15" i="19"/>
  <c r="X148" i="19"/>
  <c r="X153" i="19"/>
  <c r="X152" i="19" s="1"/>
  <c r="Y149" i="19"/>
  <c r="DX149" i="8"/>
  <c r="EC129" i="8"/>
  <c r="BI143" i="8"/>
  <c r="BI158" i="8" s="1"/>
  <c r="BI138" i="8" s="1"/>
  <c r="BJ123" i="8"/>
  <c r="DN114" i="8"/>
  <c r="DS42" i="8"/>
  <c r="DJ42" i="8"/>
  <c r="DN158" i="8"/>
  <c r="CZ117" i="8"/>
  <c r="DI117" i="8"/>
  <c r="DG62" i="8"/>
  <c r="DG117" i="8" s="1"/>
  <c r="DE62" i="8"/>
  <c r="DN62" i="8"/>
  <c r="DH62" i="8"/>
  <c r="DH117" i="8" s="1"/>
  <c r="DF62" i="8"/>
  <c r="DF117" i="8" s="1"/>
  <c r="DJ5" i="10"/>
  <c r="EM135" i="8"/>
  <c r="BU130" i="8"/>
  <c r="BQ130" i="8"/>
  <c r="EH134" i="8"/>
  <c r="BU131" i="8"/>
  <c r="BQ131" i="8"/>
  <c r="CJ125" i="8"/>
  <c r="DB118" i="8"/>
  <c r="BQ144" i="8"/>
  <c r="BR124" i="8"/>
  <c r="DN100" i="8"/>
  <c r="DL36" i="8"/>
  <c r="DL100" i="8" s="1"/>
  <c r="DJ36" i="8"/>
  <c r="DJ100" i="8" s="1"/>
  <c r="DM36" i="8"/>
  <c r="DM100" i="8" s="1"/>
  <c r="DK36" i="8"/>
  <c r="DK100" i="8" s="1"/>
  <c r="DN102" i="8"/>
  <c r="DS38" i="8"/>
  <c r="DM38" i="8"/>
  <c r="DM102" i="8" s="1"/>
  <c r="DK38" i="8"/>
  <c r="DK102" i="8" s="1"/>
  <c r="DL38" i="8"/>
  <c r="DL102" i="8" s="1"/>
  <c r="DJ38" i="8"/>
  <c r="DJ102" i="8" s="1"/>
  <c r="BM113" i="10"/>
  <c r="AR113" i="10"/>
  <c r="AV114" i="10"/>
  <c r="BS145" i="8"/>
  <c r="BT125" i="8"/>
  <c r="BT145" i="8" s="1"/>
  <c r="CX42" i="8"/>
  <c r="CX114" i="8" s="1"/>
  <c r="EH138" i="8"/>
  <c r="DS118" i="8"/>
  <c r="DX63" i="8"/>
  <c r="DO63" i="8"/>
  <c r="DJ118" i="8"/>
  <c r="DK63" i="8"/>
  <c r="DF118" i="8"/>
  <c r="DG63" i="8"/>
  <c r="DH63" i="8" s="1"/>
  <c r="DE114" i="8"/>
  <c r="DF42" i="8"/>
  <c r="DA114" i="8"/>
  <c r="DB42" i="8"/>
  <c r="DB114" i="8" s="1"/>
  <c r="DS148" i="8"/>
  <c r="DX128" i="8"/>
  <c r="DX126" i="8"/>
  <c r="EC122" i="8"/>
  <c r="EH127" i="8"/>
  <c r="BG138" i="8"/>
  <c r="BV145" i="8"/>
  <c r="BW125" i="8"/>
  <c r="DC63" i="8"/>
  <c r="EM133" i="8"/>
  <c r="BU144" i="8"/>
  <c r="BZ124" i="8"/>
  <c r="V32" i="10"/>
  <c r="V30" i="10"/>
  <c r="V40" i="10" s="1"/>
  <c r="AH32" i="10"/>
  <c r="I52" i="19" s="1"/>
  <c r="AH30" i="10"/>
  <c r="AT32" i="10"/>
  <c r="AT30" i="10"/>
  <c r="AT40" i="10" s="1"/>
  <c r="BF84" i="10"/>
  <c r="BF88" i="10"/>
  <c r="S32" i="10"/>
  <c r="F52" i="19" s="1"/>
  <c r="S30" i="10"/>
  <c r="W114" i="10"/>
  <c r="AE32" i="10"/>
  <c r="AE30" i="10"/>
  <c r="AE40" i="10" s="1"/>
  <c r="BP32" i="10"/>
  <c r="BP30" i="10"/>
  <c r="BP40" i="10" s="1"/>
  <c r="H32" i="10"/>
  <c r="H30" i="10"/>
  <c r="P32" i="10"/>
  <c r="P30" i="10"/>
  <c r="X32" i="10"/>
  <c r="G52" i="19" s="1"/>
  <c r="X30" i="10"/>
  <c r="X113" i="10"/>
  <c r="AB114" i="10"/>
  <c r="AJ32" i="10"/>
  <c r="AJ30" i="10"/>
  <c r="AJ40" i="10" s="1"/>
  <c r="AJ113" i="10"/>
  <c r="AZ114" i="10"/>
  <c r="BD32" i="10"/>
  <c r="BD30" i="10"/>
  <c r="BD40" i="10" s="1"/>
  <c r="Y114" i="10"/>
  <c r="AC32" i="10"/>
  <c r="H52" i="19" s="1"/>
  <c r="AC30" i="10"/>
  <c r="AC113" i="10"/>
  <c r="AG114" i="10"/>
  <c r="AO32" i="10"/>
  <c r="AO30" i="10"/>
  <c r="AO40" i="10" s="1"/>
  <c r="AO113" i="10"/>
  <c r="N32" i="10"/>
  <c r="E52" i="19" s="1"/>
  <c r="N30" i="10"/>
  <c r="AP32" i="10"/>
  <c r="AP30" i="10"/>
  <c r="AP40" i="10" s="1"/>
  <c r="BB32" i="10"/>
  <c r="M52" i="19" s="1"/>
  <c r="BB30" i="10"/>
  <c r="G30" i="10"/>
  <c r="G32" i="10"/>
  <c r="AI114" i="10"/>
  <c r="AY32" i="10"/>
  <c r="AY30" i="10"/>
  <c r="AY40" i="10" s="1"/>
  <c r="AY113" i="10"/>
  <c r="BC114" i="10"/>
  <c r="BL32" i="10"/>
  <c r="O52" i="19" s="1"/>
  <c r="BL30" i="10"/>
  <c r="BL113" i="10"/>
  <c r="AN32" i="10"/>
  <c r="AN30" i="10"/>
  <c r="AN40" i="10" s="1"/>
  <c r="M32" i="10"/>
  <c r="M30" i="10"/>
  <c r="M113" i="10"/>
  <c r="U114" i="10"/>
  <c r="AS32" i="10"/>
  <c r="AS30" i="10"/>
  <c r="AS40" i="10" s="1"/>
  <c r="AS113" i="10"/>
  <c r="BJ32" i="10"/>
  <c r="BJ30" i="10"/>
  <c r="BJ40" i="10" s="1"/>
  <c r="BW32" i="10"/>
  <c r="BW30" i="10"/>
  <c r="BH114" i="10"/>
  <c r="BM32" i="10"/>
  <c r="BM30" i="10"/>
  <c r="BM40" i="10" s="1"/>
  <c r="BA32" i="10"/>
  <c r="BA30" i="10"/>
  <c r="BA40" i="10" s="1"/>
  <c r="BA113" i="10"/>
  <c r="BF113" i="10"/>
  <c r="BE114" i="10"/>
  <c r="BN32" i="10"/>
  <c r="BN30" i="10"/>
  <c r="BN40" i="10" s="1"/>
  <c r="F32" i="10"/>
  <c r="F30" i="10"/>
  <c r="K32" i="10"/>
  <c r="K30" i="10"/>
  <c r="K113" i="10"/>
  <c r="O114" i="10"/>
  <c r="AA32" i="10"/>
  <c r="AA30" i="10"/>
  <c r="AA40" i="10" s="1"/>
  <c r="AA113" i="10"/>
  <c r="AQ32" i="10"/>
  <c r="AQ30" i="10"/>
  <c r="AQ40" i="10" s="1"/>
  <c r="AQ113" i="10"/>
  <c r="BT114" i="10"/>
  <c r="AR32" i="10"/>
  <c r="K52" i="19" s="1"/>
  <c r="AR30" i="10"/>
  <c r="BI32" i="10"/>
  <c r="BI30" i="10"/>
  <c r="BI40" i="10" s="1"/>
  <c r="BI113" i="10"/>
  <c r="BU32" i="10"/>
  <c r="BU30" i="10"/>
  <c r="BU40" i="10" s="1"/>
  <c r="BU113" i="10"/>
  <c r="Q114" i="10"/>
  <c r="AK32" i="10"/>
  <c r="AK30" i="10"/>
  <c r="AK40" i="10" s="1"/>
  <c r="AK113" i="10"/>
  <c r="BR114" i="10"/>
  <c r="R32" i="10"/>
  <c r="R30" i="10"/>
  <c r="AD32" i="10"/>
  <c r="AD30" i="10"/>
  <c r="AD40" i="10" s="1"/>
  <c r="AL32" i="10"/>
  <c r="AL30" i="10"/>
  <c r="AL40" i="10" s="1"/>
  <c r="BO32" i="10"/>
  <c r="BO30" i="10"/>
  <c r="BO40" i="10" s="1"/>
  <c r="W32" i="10"/>
  <c r="W30" i="10"/>
  <c r="W40" i="10" s="1"/>
  <c r="W113" i="10"/>
  <c r="AU32" i="10"/>
  <c r="AU30" i="10"/>
  <c r="AU40" i="10" s="1"/>
  <c r="D32" i="10"/>
  <c r="C52" i="19" s="1"/>
  <c r="C88" i="19" s="1"/>
  <c r="D30" i="10"/>
  <c r="L32" i="10"/>
  <c r="L30" i="10"/>
  <c r="T32" i="10"/>
  <c r="T30" i="10"/>
  <c r="T40" i="10" s="1"/>
  <c r="AB32" i="10"/>
  <c r="AB30" i="10"/>
  <c r="AB40" i="10" s="1"/>
  <c r="AB113" i="10"/>
  <c r="AJ114" i="10"/>
  <c r="AZ32" i="10"/>
  <c r="AZ30" i="10"/>
  <c r="AZ40" i="10" s="1"/>
  <c r="AZ113" i="10"/>
  <c r="DY56" i="10"/>
  <c r="Y32" i="10"/>
  <c r="Y30" i="10"/>
  <c r="Y40" i="10" s="1"/>
  <c r="Y113" i="10"/>
  <c r="AG32" i="10"/>
  <c r="AG30" i="10"/>
  <c r="AG40" i="10" s="1"/>
  <c r="AG113" i="10"/>
  <c r="AO114" i="10"/>
  <c r="J32" i="10"/>
  <c r="J30" i="10"/>
  <c r="Z32" i="10"/>
  <c r="Z30" i="10"/>
  <c r="Z40" i="10" s="1"/>
  <c r="AX32" i="10"/>
  <c r="AX30" i="10"/>
  <c r="AX40" i="10" s="1"/>
  <c r="BS32" i="10"/>
  <c r="BS30" i="10"/>
  <c r="BS40" i="10" s="1"/>
  <c r="AI32" i="10"/>
  <c r="AI30" i="10"/>
  <c r="AI40" i="10" s="1"/>
  <c r="AI113" i="10"/>
  <c r="AY114" i="10"/>
  <c r="BC32" i="10"/>
  <c r="BC30" i="10"/>
  <c r="BC40" i="10" s="1"/>
  <c r="BC113" i="10"/>
  <c r="AF32" i="10"/>
  <c r="AF30" i="10"/>
  <c r="AF40" i="10" s="1"/>
  <c r="AN114" i="10"/>
  <c r="I32" i="10"/>
  <c r="D52" i="19" s="1"/>
  <c r="I30" i="10"/>
  <c r="I113" i="10"/>
  <c r="M114" i="10"/>
  <c r="U32" i="10"/>
  <c r="U30" i="10"/>
  <c r="U40" i="10" s="1"/>
  <c r="U113" i="10"/>
  <c r="AS114" i="10"/>
  <c r="AW32" i="10"/>
  <c r="L52" i="19" s="1"/>
  <c r="AW30" i="10"/>
  <c r="BG32" i="10"/>
  <c r="N52" i="19" s="1"/>
  <c r="BG30" i="10"/>
  <c r="BG113" i="10"/>
  <c r="BH32" i="10"/>
  <c r="BH30" i="10"/>
  <c r="BH40" i="10" s="1"/>
  <c r="BH113" i="10"/>
  <c r="BM114" i="10"/>
  <c r="E30" i="10"/>
  <c r="E32" i="10"/>
  <c r="BA114" i="10"/>
  <c r="BF114" i="10"/>
  <c r="BE32" i="10"/>
  <c r="BE30" i="10"/>
  <c r="BE40" i="10" s="1"/>
  <c r="BE113" i="10"/>
  <c r="BV32" i="10"/>
  <c r="Q52" i="19" s="1"/>
  <c r="BV30" i="10"/>
  <c r="BV113" i="10"/>
  <c r="BK32" i="10"/>
  <c r="BK30" i="10"/>
  <c r="BK40" i="10" s="1"/>
  <c r="K114" i="10"/>
  <c r="O32" i="10"/>
  <c r="O30" i="10"/>
  <c r="O113" i="10"/>
  <c r="AA114" i="10"/>
  <c r="AM32" i="10"/>
  <c r="J52" i="19" s="1"/>
  <c r="AM30" i="10"/>
  <c r="AM113" i="10"/>
  <c r="AQ114" i="10"/>
  <c r="BT32" i="10"/>
  <c r="BT30" i="10"/>
  <c r="BT40" i="10" s="1"/>
  <c r="BT113" i="10"/>
  <c r="AV32" i="10"/>
  <c r="AV30" i="10"/>
  <c r="AV40" i="10" s="1"/>
  <c r="AV113" i="10"/>
  <c r="BI114" i="10"/>
  <c r="BQ32" i="10"/>
  <c r="P52" i="19" s="1"/>
  <c r="BQ30" i="10"/>
  <c r="BQ113" i="10"/>
  <c r="BU114" i="10"/>
  <c r="Q32" i="10"/>
  <c r="Q30" i="10"/>
  <c r="Q113" i="10"/>
  <c r="AK114" i="10"/>
  <c r="BR32" i="10"/>
  <c r="BR30" i="10"/>
  <c r="BR40" i="10" s="1"/>
  <c r="BR113" i="10"/>
  <c r="J12" i="22"/>
  <c r="K5" i="22"/>
  <c r="Q69" i="13" l="1"/>
  <c r="N222" i="1"/>
  <c r="Q142" i="1"/>
  <c r="P141" i="1"/>
  <c r="P144" i="1" s="1"/>
  <c r="P140" i="1" s="1"/>
  <c r="P183" i="1" s="1"/>
  <c r="P143" i="1"/>
  <c r="N210" i="1"/>
  <c r="O184" i="1"/>
  <c r="O197" i="1" s="1"/>
  <c r="O185" i="1"/>
  <c r="O222" i="1" s="1"/>
  <c r="O186" i="1"/>
  <c r="O209" i="1" s="1"/>
  <c r="O187" i="15"/>
  <c r="O188" i="15" s="1"/>
  <c r="C14" i="89"/>
  <c r="C24" i="89" s="1"/>
  <c r="X92" i="20"/>
  <c r="Y91" i="20" s="1"/>
  <c r="CG26" i="8"/>
  <c r="AW114" i="10"/>
  <c r="CH26" i="8"/>
  <c r="CI26" i="8"/>
  <c r="CI23" i="8" s="1"/>
  <c r="CJ90" i="8"/>
  <c r="CF25" i="8"/>
  <c r="CF89" i="8" s="1"/>
  <c r="BG114" i="10"/>
  <c r="CH25" i="8"/>
  <c r="O6" i="12"/>
  <c r="O8" i="12" s="1"/>
  <c r="AC114" i="10"/>
  <c r="AR114" i="10"/>
  <c r="AM114" i="10"/>
  <c r="EK104" i="8"/>
  <c r="CO26" i="8"/>
  <c r="CO90" i="8" s="1"/>
  <c r="CJ89" i="8"/>
  <c r="EJ104" i="8"/>
  <c r="EL152" i="8"/>
  <c r="CG25" i="8"/>
  <c r="CJ23" i="8"/>
  <c r="CJ88" i="8" s="1"/>
  <c r="Y82" i="20"/>
  <c r="Y71" i="20"/>
  <c r="Y76" i="20"/>
  <c r="Y80" i="20" s="1"/>
  <c r="Y47" i="20" s="1"/>
  <c r="Y102" i="20" s="1"/>
  <c r="Y74" i="20"/>
  <c r="M108" i="1"/>
  <c r="M110" i="1" s="1"/>
  <c r="M98" i="15"/>
  <c r="N233" i="15"/>
  <c r="M132" i="15"/>
  <c r="X155" i="19"/>
  <c r="X157" i="19" s="1"/>
  <c r="R107" i="21"/>
  <c r="DE86" i="10"/>
  <c r="DE87" i="10" s="1"/>
  <c r="AE149" i="1"/>
  <c r="AE152" i="1"/>
  <c r="AD22" i="19"/>
  <c r="AC26" i="20"/>
  <c r="M99" i="15"/>
  <c r="AB39" i="1"/>
  <c r="AC38" i="1"/>
  <c r="AB36" i="1"/>
  <c r="AC37" i="1"/>
  <c r="AA137" i="1"/>
  <c r="AA138" i="1"/>
  <c r="AB136" i="1"/>
  <c r="N114" i="10"/>
  <c r="BL114" i="10"/>
  <c r="S114" i="10"/>
  <c r="EI152" i="8"/>
  <c r="CD89" i="8"/>
  <c r="CI89" i="8"/>
  <c r="CA89" i="8"/>
  <c r="AE207" i="1"/>
  <c r="AE211" i="15" s="1"/>
  <c r="AD211" i="15"/>
  <c r="BQ114" i="10"/>
  <c r="BB114" i="10"/>
  <c r="P86" i="19"/>
  <c r="P85" i="19"/>
  <c r="P88" i="19"/>
  <c r="C162" i="19"/>
  <c r="C163" i="19" s="1"/>
  <c r="C164" i="19" s="1"/>
  <c r="C165" i="19" s="1"/>
  <c r="C79" i="20"/>
  <c r="K86" i="19"/>
  <c r="K85" i="19"/>
  <c r="K88" i="19"/>
  <c r="M88" i="19"/>
  <c r="M85" i="19"/>
  <c r="M86" i="19"/>
  <c r="E85" i="19"/>
  <c r="E88" i="19"/>
  <c r="E86" i="19"/>
  <c r="G88" i="19"/>
  <c r="G86" i="19"/>
  <c r="G85" i="19"/>
  <c r="AH40" i="10"/>
  <c r="I162" i="19"/>
  <c r="I163" i="19" s="1"/>
  <c r="I164" i="19" s="1"/>
  <c r="I165" i="19" s="1"/>
  <c r="I159" i="19" s="1"/>
  <c r="I79" i="20"/>
  <c r="BV40" i="10"/>
  <c r="BV41" i="10" s="1"/>
  <c r="BV42" i="10" s="1"/>
  <c r="Q162" i="19"/>
  <c r="Q163" i="19" s="1"/>
  <c r="Q164" i="19" s="1"/>
  <c r="Q165" i="19" s="1"/>
  <c r="Q159" i="19" s="1"/>
  <c r="Q79" i="20"/>
  <c r="AW40" i="10"/>
  <c r="AW41" i="10" s="1"/>
  <c r="AW42" i="10" s="1"/>
  <c r="L79" i="20"/>
  <c r="L162" i="19"/>
  <c r="L163" i="19" s="1"/>
  <c r="L164" i="19" s="1"/>
  <c r="L165" i="19" s="1"/>
  <c r="L159" i="19" s="1"/>
  <c r="D79" i="20"/>
  <c r="D162" i="19"/>
  <c r="D163" i="19" s="1"/>
  <c r="D164" i="19" s="1"/>
  <c r="D165" i="19" s="1"/>
  <c r="D159" i="19" s="1"/>
  <c r="I88" i="19"/>
  <c r="I86" i="19"/>
  <c r="I85" i="19"/>
  <c r="BQ40" i="10"/>
  <c r="BQ41" i="10" s="1"/>
  <c r="BQ42" i="10" s="1"/>
  <c r="P79" i="20"/>
  <c r="P162" i="19"/>
  <c r="P163" i="19" s="1"/>
  <c r="P164" i="19" s="1"/>
  <c r="P165" i="19" s="1"/>
  <c r="P159" i="19" s="1"/>
  <c r="AM40" i="10"/>
  <c r="AM41" i="10" s="1"/>
  <c r="AM42" i="10" s="1"/>
  <c r="J162" i="19"/>
  <c r="J163" i="19" s="1"/>
  <c r="J164" i="19" s="1"/>
  <c r="J165" i="19" s="1"/>
  <c r="J159" i="19" s="1"/>
  <c r="J79" i="20"/>
  <c r="Q86" i="19"/>
  <c r="Q85" i="19"/>
  <c r="Q88" i="19"/>
  <c r="L88" i="19"/>
  <c r="L85" i="19"/>
  <c r="L86" i="19"/>
  <c r="D86" i="19"/>
  <c r="D88" i="19"/>
  <c r="D85" i="19"/>
  <c r="BL40" i="10"/>
  <c r="BL41" i="10" s="1"/>
  <c r="BL42" i="10" s="1"/>
  <c r="O79" i="20"/>
  <c r="O162" i="19"/>
  <c r="O163" i="19" s="1"/>
  <c r="O164" i="19" s="1"/>
  <c r="O165" i="19" s="1"/>
  <c r="O159" i="19" s="1"/>
  <c r="AC40" i="10"/>
  <c r="H162" i="19"/>
  <c r="H163" i="19" s="1"/>
  <c r="H164" i="19" s="1"/>
  <c r="H165" i="19" s="1"/>
  <c r="H159" i="19" s="1"/>
  <c r="H79" i="20"/>
  <c r="F79" i="20"/>
  <c r="F162" i="19"/>
  <c r="F163" i="19" s="1"/>
  <c r="F164" i="19" s="1"/>
  <c r="F165" i="19" s="1"/>
  <c r="F159" i="19" s="1"/>
  <c r="J88" i="19"/>
  <c r="J86" i="19"/>
  <c r="J85" i="19"/>
  <c r="AR40" i="10"/>
  <c r="AR41" i="10" s="1"/>
  <c r="AR42" i="10" s="1"/>
  <c r="K162" i="19"/>
  <c r="K163" i="19" s="1"/>
  <c r="K164" i="19" s="1"/>
  <c r="K165" i="19" s="1"/>
  <c r="K159" i="19" s="1"/>
  <c r="K79" i="20"/>
  <c r="O88" i="19"/>
  <c r="O86" i="19"/>
  <c r="O85" i="19"/>
  <c r="BB40" i="10"/>
  <c r="BB41" i="10" s="1"/>
  <c r="BB42" i="10" s="1"/>
  <c r="M162" i="19"/>
  <c r="M163" i="19" s="1"/>
  <c r="M164" i="19" s="1"/>
  <c r="M165" i="19" s="1"/>
  <c r="M159" i="19" s="1"/>
  <c r="M79" i="20"/>
  <c r="E162" i="19"/>
  <c r="E163" i="19" s="1"/>
  <c r="E164" i="19" s="1"/>
  <c r="E165" i="19" s="1"/>
  <c r="E159" i="19" s="1"/>
  <c r="E79" i="20"/>
  <c r="H85" i="19"/>
  <c r="H88" i="19"/>
  <c r="H86" i="19"/>
  <c r="X40" i="10"/>
  <c r="X41" i="10" s="1"/>
  <c r="X42" i="10" s="1"/>
  <c r="G79" i="20"/>
  <c r="G162" i="19"/>
  <c r="G163" i="19" s="1"/>
  <c r="G164" i="19" s="1"/>
  <c r="G165" i="19" s="1"/>
  <c r="G159" i="19" s="1"/>
  <c r="F85" i="19"/>
  <c r="F88" i="19"/>
  <c r="F86" i="19"/>
  <c r="X12" i="62"/>
  <c r="X13" i="62" s="1"/>
  <c r="EM49" i="8" s="1"/>
  <c r="EM109" i="8" s="1"/>
  <c r="S19" i="61"/>
  <c r="S22" i="61"/>
  <c r="O9" i="61"/>
  <c r="O12" i="61" s="1"/>
  <c r="P7" i="61"/>
  <c r="Q13" i="61"/>
  <c r="Q11" i="61"/>
  <c r="N15" i="61"/>
  <c r="N23" i="61" s="1"/>
  <c r="N30" i="61" s="1"/>
  <c r="N14" i="61"/>
  <c r="DX110" i="8"/>
  <c r="DX48" i="8"/>
  <c r="DJ108" i="8"/>
  <c r="DJ154" i="8"/>
  <c r="DK154" i="8"/>
  <c r="DK108" i="8"/>
  <c r="DS154" i="8"/>
  <c r="DP48" i="8"/>
  <c r="DQ48" i="8"/>
  <c r="DS108" i="8"/>
  <c r="DO48" i="8"/>
  <c r="DR48" i="8"/>
  <c r="X5" i="63"/>
  <c r="W7" i="63"/>
  <c r="W8" i="63" s="1"/>
  <c r="W4" i="63"/>
  <c r="V12" i="63"/>
  <c r="V13" i="63" s="1"/>
  <c r="EC50" i="8" s="1"/>
  <c r="W9" i="63"/>
  <c r="DM108" i="8"/>
  <c r="DM154" i="8"/>
  <c r="DL108" i="8"/>
  <c r="DL154" i="8"/>
  <c r="EH109" i="8"/>
  <c r="DK28" i="8"/>
  <c r="DK92" i="8" s="1"/>
  <c r="DK93" i="8"/>
  <c r="DM93" i="8"/>
  <c r="DM28" i="8"/>
  <c r="DM92" i="8" s="1"/>
  <c r="DL93" i="8"/>
  <c r="DL28" i="8"/>
  <c r="DL92" i="8" s="1"/>
  <c r="P19" i="38"/>
  <c r="P27" i="38" s="1"/>
  <c r="P35" i="38" s="1"/>
  <c r="P36" i="38" s="1"/>
  <c r="DX29" i="8" s="1"/>
  <c r="P18" i="38"/>
  <c r="P17" i="38"/>
  <c r="P16" i="38"/>
  <c r="DX30" i="8"/>
  <c r="DR29" i="8"/>
  <c r="DP29" i="8"/>
  <c r="DQ29" i="8"/>
  <c r="DO29" i="8"/>
  <c r="DS93" i="8"/>
  <c r="DS28" i="8"/>
  <c r="DQ30" i="8"/>
  <c r="DQ94" i="8" s="1"/>
  <c r="DP30" i="8"/>
  <c r="DP94" i="8" s="1"/>
  <c r="DS94" i="8"/>
  <c r="DO30" i="8"/>
  <c r="DO94" i="8" s="1"/>
  <c r="DR30" i="8"/>
  <c r="DR94" i="8" s="1"/>
  <c r="DN92" i="8"/>
  <c r="DN147" i="8"/>
  <c r="DJ93" i="8"/>
  <c r="DJ28" i="8"/>
  <c r="DJ92" i="8" s="1"/>
  <c r="Q9" i="38"/>
  <c r="R7" i="38"/>
  <c r="P9" i="12"/>
  <c r="P6" i="12" s="1"/>
  <c r="P7" i="12"/>
  <c r="CE15" i="8" s="1"/>
  <c r="R20" i="12"/>
  <c r="Q23" i="12"/>
  <c r="Q26" i="12" s="1"/>
  <c r="Q10" i="12" s="1"/>
  <c r="T60" i="12"/>
  <c r="V75" i="12"/>
  <c r="W74" i="12"/>
  <c r="W86" i="12"/>
  <c r="T81" i="12"/>
  <c r="U80" i="12"/>
  <c r="Y107" i="12"/>
  <c r="T38" i="12"/>
  <c r="R25" i="12"/>
  <c r="V68" i="12"/>
  <c r="Q45" i="12"/>
  <c r="Q48" i="12" s="1"/>
  <c r="Q51" i="12" s="1"/>
  <c r="BZ81" i="8"/>
  <c r="R106" i="12"/>
  <c r="R108" i="12" s="1"/>
  <c r="R16" i="12" s="1"/>
  <c r="R15" i="12" s="1"/>
  <c r="S88" i="12"/>
  <c r="S106" i="12" s="1"/>
  <c r="S108" i="12" s="1"/>
  <c r="S16" i="12" s="1"/>
  <c r="S15" i="12" s="1"/>
  <c r="S87" i="12"/>
  <c r="S105" i="12" s="1"/>
  <c r="Z21" i="12"/>
  <c r="T31" i="12"/>
  <c r="U30" i="12"/>
  <c r="U41" i="12"/>
  <c r="T47" i="12"/>
  <c r="R36" i="12"/>
  <c r="R39" i="12" s="1"/>
  <c r="R42" i="12" s="1"/>
  <c r="S35" i="12"/>
  <c r="S44" i="12"/>
  <c r="U50" i="12"/>
  <c r="X55" i="12"/>
  <c r="Y54" i="12"/>
  <c r="U82" i="13"/>
  <c r="V81" i="13"/>
  <c r="U80" i="13"/>
  <c r="U83" i="13"/>
  <c r="W92" i="13"/>
  <c r="Q71" i="13"/>
  <c r="Q72" i="13" s="1"/>
  <c r="Q85" i="13" s="1"/>
  <c r="Q90" i="13" s="1"/>
  <c r="Q93" i="13" s="1"/>
  <c r="Q95" i="13" s="1"/>
  <c r="CT25" i="8" s="1"/>
  <c r="R63" i="13"/>
  <c r="V88" i="13"/>
  <c r="R68" i="13"/>
  <c r="S64" i="13"/>
  <c r="R66" i="13"/>
  <c r="S27" i="13"/>
  <c r="Q61" i="13"/>
  <c r="P85" i="13"/>
  <c r="P90" i="13" s="1"/>
  <c r="P93" i="13" s="1"/>
  <c r="P95" i="13" s="1"/>
  <c r="CO25" i="8" s="1"/>
  <c r="S79" i="13"/>
  <c r="S62" i="13"/>
  <c r="R61" i="13"/>
  <c r="Q36" i="4"/>
  <c r="P38" i="4"/>
  <c r="R37" i="4"/>
  <c r="S35" i="4"/>
  <c r="Y24" i="4"/>
  <c r="U54" i="4"/>
  <c r="S59" i="4"/>
  <c r="O58" i="4"/>
  <c r="O60" i="4" s="1"/>
  <c r="O53" i="4"/>
  <c r="O55" i="4" s="1"/>
  <c r="I12" i="17" s="1"/>
  <c r="Z13" i="4"/>
  <c r="AB18" i="4"/>
  <c r="T30" i="4"/>
  <c r="P8" i="4"/>
  <c r="Q4" i="4"/>
  <c r="P7" i="4"/>
  <c r="P23" i="4" s="1"/>
  <c r="P26" i="4" s="1"/>
  <c r="O23" i="4"/>
  <c r="O26" i="4" s="1"/>
  <c r="X65" i="15"/>
  <c r="Z47" i="15"/>
  <c r="Y46" i="15"/>
  <c r="Y49" i="15"/>
  <c r="O43" i="15"/>
  <c r="O53" i="15" s="1"/>
  <c r="O62" i="15"/>
  <c r="O69" i="15" s="1"/>
  <c r="L114" i="15"/>
  <c r="L134" i="15" s="1"/>
  <c r="L113" i="15"/>
  <c r="L135" i="15" s="1"/>
  <c r="O166" i="15"/>
  <c r="O164" i="15"/>
  <c r="O165" i="15"/>
  <c r="Q175" i="15"/>
  <c r="R143" i="15"/>
  <c r="N75" i="15"/>
  <c r="N129" i="15" s="1"/>
  <c r="N130" i="15" s="1"/>
  <c r="N118" i="15"/>
  <c r="N119" i="15" s="1"/>
  <c r="Y9" i="15"/>
  <c r="S138" i="15"/>
  <c r="S12" i="15"/>
  <c r="AD38" i="15"/>
  <c r="AD37" i="15"/>
  <c r="AC36" i="15"/>
  <c r="AC39" i="15"/>
  <c r="AA117" i="15"/>
  <c r="Z121" i="15"/>
  <c r="Q141" i="15"/>
  <c r="R140" i="15"/>
  <c r="Q142" i="15"/>
  <c r="AD128" i="15"/>
  <c r="AD127" i="15"/>
  <c r="AD126" i="15"/>
  <c r="P17" i="15"/>
  <c r="Q16" i="15"/>
  <c r="U21" i="15"/>
  <c r="W28" i="15"/>
  <c r="M236" i="15"/>
  <c r="Z84" i="15"/>
  <c r="Y88" i="15"/>
  <c r="O189" i="15"/>
  <c r="AA56" i="15"/>
  <c r="Z55" i="15"/>
  <c r="Z58" i="15"/>
  <c r="O85" i="15"/>
  <c r="O86" i="15" s="1"/>
  <c r="O40" i="15"/>
  <c r="O96" i="15" s="1"/>
  <c r="O97" i="15" s="1"/>
  <c r="AC182" i="15"/>
  <c r="AB185" i="15"/>
  <c r="AA110" i="15"/>
  <c r="AA109" i="15"/>
  <c r="AA108" i="15"/>
  <c r="M103" i="15"/>
  <c r="M104" i="15" s="1"/>
  <c r="M59" i="15"/>
  <c r="M111" i="15" s="1"/>
  <c r="M112" i="15" s="1"/>
  <c r="M233" i="15"/>
  <c r="AD221" i="15"/>
  <c r="AE197" i="15"/>
  <c r="P177" i="15"/>
  <c r="P178" i="15"/>
  <c r="P176" i="15"/>
  <c r="N103" i="15"/>
  <c r="N104" i="15" s="1"/>
  <c r="N113" i="15"/>
  <c r="N59" i="15"/>
  <c r="N111" i="15" s="1"/>
  <c r="Z11" i="15"/>
  <c r="X195" i="15"/>
  <c r="Y80" i="15"/>
  <c r="AA102" i="15"/>
  <c r="P163" i="15"/>
  <c r="P144" i="15"/>
  <c r="AE155" i="15"/>
  <c r="AE153" i="15"/>
  <c r="AE156" i="15"/>
  <c r="R20" i="15"/>
  <c r="Q22" i="15"/>
  <c r="Z106" i="15"/>
  <c r="AB107" i="15"/>
  <c r="AB95" i="15"/>
  <c r="AB94" i="15"/>
  <c r="AB93" i="15"/>
  <c r="AC91" i="15"/>
  <c r="AD90" i="15"/>
  <c r="AC92" i="15"/>
  <c r="M131" i="15"/>
  <c r="N236" i="15"/>
  <c r="AE124" i="15"/>
  <c r="AE125" i="15"/>
  <c r="N97" i="15"/>
  <c r="N99" i="15" s="1"/>
  <c r="N98" i="15"/>
  <c r="N232" i="1"/>
  <c r="X28" i="1"/>
  <c r="Z113" i="1"/>
  <c r="Y117" i="1"/>
  <c r="K230" i="1"/>
  <c r="K228" i="1"/>
  <c r="P17" i="1"/>
  <c r="Q16" i="1"/>
  <c r="AE154" i="1"/>
  <c r="AD153" i="1"/>
  <c r="AD156" i="1" s="1"/>
  <c r="AD155" i="1"/>
  <c r="AE205" i="1"/>
  <c r="AE209" i="15" s="1"/>
  <c r="Y65" i="1"/>
  <c r="X66" i="1"/>
  <c r="S10" i="1"/>
  <c r="S13" i="1"/>
  <c r="T8" i="1" s="1"/>
  <c r="M109" i="1"/>
  <c r="P174" i="1"/>
  <c r="P172" i="1"/>
  <c r="P173" i="1"/>
  <c r="N114" i="1"/>
  <c r="N115" i="1" s="1"/>
  <c r="N71" i="1"/>
  <c r="N125" i="1" s="1"/>
  <c r="N126" i="1" s="1"/>
  <c r="AE193" i="1"/>
  <c r="T20" i="1"/>
  <c r="S22" i="1"/>
  <c r="AA166" i="1"/>
  <c r="Z169" i="1"/>
  <c r="AC179" i="1"/>
  <c r="AB178" i="1"/>
  <c r="AB181" i="1" s="1"/>
  <c r="U217" i="1"/>
  <c r="M128" i="1"/>
  <c r="M130" i="1" s="1"/>
  <c r="M127" i="1"/>
  <c r="M94" i="1"/>
  <c r="M131" i="1" s="1"/>
  <c r="M230" i="1" s="1"/>
  <c r="M232" i="1"/>
  <c r="X191" i="1"/>
  <c r="Y76" i="1"/>
  <c r="K227" i="1"/>
  <c r="E5" i="17" s="1"/>
  <c r="K264" i="1"/>
  <c r="O62" i="1"/>
  <c r="O25" i="1"/>
  <c r="O34" i="1" s="1"/>
  <c r="Z11" i="1"/>
  <c r="Z21" i="1"/>
  <c r="AA80" i="1"/>
  <c r="Z84" i="1"/>
  <c r="Y9" i="1"/>
  <c r="L110" i="1"/>
  <c r="L130" i="1" s="1"/>
  <c r="L109" i="1"/>
  <c r="L131" i="1" s="1"/>
  <c r="AB70" i="1"/>
  <c r="AD57" i="1"/>
  <c r="AD56" i="1"/>
  <c r="AD55" i="1"/>
  <c r="AC58" i="1"/>
  <c r="AA98" i="1"/>
  <c r="Z102" i="1"/>
  <c r="AA47" i="1"/>
  <c r="Z46" i="1"/>
  <c r="Z49" i="1"/>
  <c r="S161" i="1"/>
  <c r="S160" i="1"/>
  <c r="S162" i="1"/>
  <c r="AD168" i="1"/>
  <c r="Q171" i="1"/>
  <c r="R139" i="1"/>
  <c r="N81" i="1"/>
  <c r="N82" i="1" s="1"/>
  <c r="N40" i="1"/>
  <c r="N92" i="1" s="1"/>
  <c r="N93" i="1" s="1"/>
  <c r="N43" i="1"/>
  <c r="N53" i="1" s="1"/>
  <c r="BG40" i="10"/>
  <c r="BG41" i="10" s="1"/>
  <c r="BG42" i="10" s="1"/>
  <c r="N79" i="20"/>
  <c r="N162" i="19"/>
  <c r="N163" i="19" s="1"/>
  <c r="N164" i="19" s="1"/>
  <c r="N165" i="19" s="1"/>
  <c r="N159" i="19" s="1"/>
  <c r="S61" i="21"/>
  <c r="T60" i="21"/>
  <c r="U66" i="21"/>
  <c r="V64" i="21"/>
  <c r="T96" i="21"/>
  <c r="U95" i="21"/>
  <c r="U31" i="21"/>
  <c r="V29" i="21"/>
  <c r="U4" i="21"/>
  <c r="T6" i="21"/>
  <c r="AA31" i="19"/>
  <c r="AA43" i="20" s="1"/>
  <c r="U81" i="21"/>
  <c r="V79" i="21"/>
  <c r="V91" i="21"/>
  <c r="W89" i="21"/>
  <c r="W91" i="21" s="1"/>
  <c r="T11" i="21"/>
  <c r="U9" i="21"/>
  <c r="N86" i="19"/>
  <c r="N88" i="19"/>
  <c r="N85" i="19"/>
  <c r="V50" i="21"/>
  <c r="U51" i="21"/>
  <c r="U44" i="21"/>
  <c r="T46" i="21"/>
  <c r="S71" i="21"/>
  <c r="T70" i="21"/>
  <c r="Q16" i="21"/>
  <c r="Q105" i="21" s="1"/>
  <c r="DJ23" i="10" s="1"/>
  <c r="R15" i="21"/>
  <c r="U24" i="21"/>
  <c r="U104" i="21" s="1"/>
  <c r="T26" i="21"/>
  <c r="U35" i="21"/>
  <c r="T36" i="21"/>
  <c r="V84" i="21"/>
  <c r="U86" i="21"/>
  <c r="AB87" i="20"/>
  <c r="AB44" i="20" s="1"/>
  <c r="AB39" i="19" s="1"/>
  <c r="AB85" i="20"/>
  <c r="AC69" i="20"/>
  <c r="AD64" i="20"/>
  <c r="BV114" i="10"/>
  <c r="O143" i="19"/>
  <c r="O142" i="19"/>
  <c r="O106" i="19"/>
  <c r="O107" i="19" s="1"/>
  <c r="AC170" i="19"/>
  <c r="AD16" i="19"/>
  <c r="AD19" i="19"/>
  <c r="T115" i="19"/>
  <c r="N143" i="19"/>
  <c r="N142" i="19"/>
  <c r="N106" i="19"/>
  <c r="N107" i="19" s="1"/>
  <c r="AB175" i="19"/>
  <c r="AC32" i="19"/>
  <c r="Y153" i="19"/>
  <c r="Y152" i="19" s="1"/>
  <c r="Z149" i="19"/>
  <c r="Y148" i="19"/>
  <c r="AB154" i="19"/>
  <c r="AA15" i="19"/>
  <c r="Q118" i="19"/>
  <c r="P141" i="19"/>
  <c r="AD38" i="19"/>
  <c r="V112" i="19"/>
  <c r="CE124" i="8"/>
  <c r="CA124" i="8" s="1"/>
  <c r="CB124" i="8" s="1"/>
  <c r="CC124" i="8" s="1"/>
  <c r="CD124" i="8" s="1"/>
  <c r="BV124" i="8"/>
  <c r="BX125" i="8"/>
  <c r="EC126" i="8"/>
  <c r="DX148" i="8"/>
  <c r="EC128" i="8"/>
  <c r="DC42" i="8"/>
  <c r="DC114" i="8" s="1"/>
  <c r="DK118" i="8"/>
  <c r="DL63" i="8"/>
  <c r="EM138" i="8"/>
  <c r="BQ151" i="8"/>
  <c r="BR131" i="8"/>
  <c r="EM134" i="8"/>
  <c r="BQ150" i="8"/>
  <c r="BR130" i="8"/>
  <c r="DN117" i="8"/>
  <c r="DS62" i="8"/>
  <c r="DM62" i="8"/>
  <c r="DM117" i="8" s="1"/>
  <c r="DK62" i="8"/>
  <c r="DK117" i="8" s="1"/>
  <c r="DL62" i="8"/>
  <c r="DL117" i="8" s="1"/>
  <c r="DJ62" i="8"/>
  <c r="DO5" i="10"/>
  <c r="DJ114" i="8"/>
  <c r="DK42" i="8"/>
  <c r="DS114" i="8"/>
  <c r="DO42" i="8"/>
  <c r="DX42" i="8"/>
  <c r="DS158" i="8"/>
  <c r="BJ143" i="8"/>
  <c r="BL123" i="8"/>
  <c r="DH118" i="8"/>
  <c r="DC118" i="8"/>
  <c r="EM127" i="8"/>
  <c r="EH122" i="8"/>
  <c r="DF114" i="8"/>
  <c r="DG42" i="8"/>
  <c r="DG114" i="8" s="1"/>
  <c r="DG118" i="8"/>
  <c r="DO118" i="8"/>
  <c r="DP63" i="8"/>
  <c r="DX118" i="8"/>
  <c r="DT63" i="8"/>
  <c r="EC63" i="8"/>
  <c r="DS102" i="8"/>
  <c r="DQ38" i="8"/>
  <c r="DQ102" i="8" s="1"/>
  <c r="DO38" i="8"/>
  <c r="DO102" i="8" s="1"/>
  <c r="DX38" i="8"/>
  <c r="DR38" i="8"/>
  <c r="DR102" i="8" s="1"/>
  <c r="DP38" i="8"/>
  <c r="DP102" i="8" s="1"/>
  <c r="DS100" i="8"/>
  <c r="DR36" i="8"/>
  <c r="DR100" i="8" s="1"/>
  <c r="DP36" i="8"/>
  <c r="DP100" i="8" s="1"/>
  <c r="DQ36" i="8"/>
  <c r="DQ100" i="8" s="1"/>
  <c r="DO36" i="8"/>
  <c r="DO100" i="8" s="1"/>
  <c r="BR144" i="8"/>
  <c r="BS124" i="8"/>
  <c r="CO125" i="8"/>
  <c r="BU151" i="8"/>
  <c r="BZ131" i="8"/>
  <c r="BU150" i="8"/>
  <c r="BZ130" i="8"/>
  <c r="DE117" i="8"/>
  <c r="EC149" i="8"/>
  <c r="EH129" i="8"/>
  <c r="BR46" i="10"/>
  <c r="BR82" i="10" s="1"/>
  <c r="BR105" i="10"/>
  <c r="BR41" i="10"/>
  <c r="BR42" i="10" s="1"/>
  <c r="BR34" i="10"/>
  <c r="Q105" i="10"/>
  <c r="Q46" i="10"/>
  <c r="Q82" i="10" s="1"/>
  <c r="Q34" i="10"/>
  <c r="BT105" i="10"/>
  <c r="BT46" i="10"/>
  <c r="BT82" i="10" s="1"/>
  <c r="BT41" i="10"/>
  <c r="BT42" i="10" s="1"/>
  <c r="BT34" i="10"/>
  <c r="AM105" i="10"/>
  <c r="AM46" i="10"/>
  <c r="AM82" i="10" s="1"/>
  <c r="J104" i="20" s="1"/>
  <c r="AM34" i="10"/>
  <c r="J95" i="20" s="1"/>
  <c r="J97" i="20" s="1"/>
  <c r="J98" i="20" s="1"/>
  <c r="O105" i="10"/>
  <c r="O46" i="10"/>
  <c r="O82" i="10" s="1"/>
  <c r="O34" i="10"/>
  <c r="BE105" i="10"/>
  <c r="BE41" i="10"/>
  <c r="BE42" i="10" s="1"/>
  <c r="BE46" i="10"/>
  <c r="BE82" i="10" s="1"/>
  <c r="BE34" i="10"/>
  <c r="BH105" i="10"/>
  <c r="BH46" i="10"/>
  <c r="BH82" i="10" s="1"/>
  <c r="BH41" i="10"/>
  <c r="BH42" i="10" s="1"/>
  <c r="BH34" i="10"/>
  <c r="AF105" i="10"/>
  <c r="AF46" i="10"/>
  <c r="AF82" i="10" s="1"/>
  <c r="AF41" i="10"/>
  <c r="AF42" i="10" s="1"/>
  <c r="AF34" i="10"/>
  <c r="AZ105" i="10"/>
  <c r="AZ46" i="10"/>
  <c r="AZ82" i="10" s="1"/>
  <c r="AZ41" i="10"/>
  <c r="AZ42" i="10" s="1"/>
  <c r="AZ34" i="10"/>
  <c r="AB105" i="10"/>
  <c r="AB46" i="10"/>
  <c r="AB82" i="10" s="1"/>
  <c r="AB41" i="10"/>
  <c r="AB42" i="10" s="1"/>
  <c r="AB34" i="10"/>
  <c r="W105" i="10"/>
  <c r="W41" i="10"/>
  <c r="W42" i="10" s="1"/>
  <c r="W46" i="10"/>
  <c r="W82" i="10" s="1"/>
  <c r="W34" i="10"/>
  <c r="BO105" i="10"/>
  <c r="BO41" i="10"/>
  <c r="BO42" i="10" s="1"/>
  <c r="BO46" i="10"/>
  <c r="BO82" i="10" s="1"/>
  <c r="BO34" i="10"/>
  <c r="AL46" i="10"/>
  <c r="AL82" i="10" s="1"/>
  <c r="AL105" i="10"/>
  <c r="AL41" i="10"/>
  <c r="AL42" i="10" s="1"/>
  <c r="AL34" i="10"/>
  <c r="AD46" i="10"/>
  <c r="AD82" i="10" s="1"/>
  <c r="AD105" i="10"/>
  <c r="AD41" i="10"/>
  <c r="AD42" i="10" s="1"/>
  <c r="AD34" i="10"/>
  <c r="R105" i="10"/>
  <c r="R46" i="10"/>
  <c r="R82" i="10" s="1"/>
  <c r="R34" i="10"/>
  <c r="AK105" i="10"/>
  <c r="AK41" i="10"/>
  <c r="AK42" i="10" s="1"/>
  <c r="AK46" i="10"/>
  <c r="AK82" i="10" s="1"/>
  <c r="AK34" i="10"/>
  <c r="BU105" i="10"/>
  <c r="BU41" i="10"/>
  <c r="BU42" i="10" s="1"/>
  <c r="BU46" i="10"/>
  <c r="BU82" i="10" s="1"/>
  <c r="BU34" i="10"/>
  <c r="BI105" i="10"/>
  <c r="BI41" i="10"/>
  <c r="BI42" i="10" s="1"/>
  <c r="BI46" i="10"/>
  <c r="BI82" i="10" s="1"/>
  <c r="BI34" i="10"/>
  <c r="AR105" i="10"/>
  <c r="AR46" i="10"/>
  <c r="AR82" i="10" s="1"/>
  <c r="K104" i="20" s="1"/>
  <c r="AR34" i="10"/>
  <c r="K95" i="20" s="1"/>
  <c r="K97" i="20" s="1"/>
  <c r="K98" i="20" s="1"/>
  <c r="AQ105" i="10"/>
  <c r="AQ41" i="10"/>
  <c r="AQ42" i="10" s="1"/>
  <c r="AQ46" i="10"/>
  <c r="AQ82" i="10" s="1"/>
  <c r="AQ34" i="10"/>
  <c r="AA105" i="10"/>
  <c r="AA41" i="10"/>
  <c r="AA42" i="10" s="1"/>
  <c r="AA46" i="10"/>
  <c r="AA82" i="10" s="1"/>
  <c r="AA34" i="10"/>
  <c r="K105" i="10"/>
  <c r="K46" i="10"/>
  <c r="K82" i="10" s="1"/>
  <c r="K34" i="10"/>
  <c r="F46" i="10"/>
  <c r="F82" i="10" s="1"/>
  <c r="F105" i="10"/>
  <c r="F34" i="10"/>
  <c r="BN105" i="10"/>
  <c r="BN46" i="10"/>
  <c r="BN82" i="10" s="1"/>
  <c r="BN41" i="10"/>
  <c r="BN42" i="10" s="1"/>
  <c r="BN34" i="10"/>
  <c r="BW105" i="10"/>
  <c r="BW46" i="10"/>
  <c r="BW82" i="10" s="1"/>
  <c r="BW34" i="10"/>
  <c r="AS105" i="10"/>
  <c r="AS41" i="10"/>
  <c r="AS42" i="10" s="1"/>
  <c r="AS46" i="10"/>
  <c r="AS82" i="10" s="1"/>
  <c r="AS34" i="10"/>
  <c r="M105" i="10"/>
  <c r="M46" i="10"/>
  <c r="M82" i="10" s="1"/>
  <c r="M34" i="10"/>
  <c r="BB46" i="10"/>
  <c r="BB82" i="10" s="1"/>
  <c r="M104" i="20" s="1"/>
  <c r="BB105" i="10"/>
  <c r="BB34" i="10"/>
  <c r="M95" i="20" s="1"/>
  <c r="M97" i="20" s="1"/>
  <c r="M98" i="20" s="1"/>
  <c r="AP105" i="10"/>
  <c r="AP46" i="10"/>
  <c r="AP82" i="10" s="1"/>
  <c r="AP41" i="10"/>
  <c r="AP42" i="10" s="1"/>
  <c r="AP34" i="10"/>
  <c r="N46" i="10"/>
  <c r="N82" i="10" s="1"/>
  <c r="E104" i="20" s="1"/>
  <c r="N105" i="10"/>
  <c r="N34" i="10"/>
  <c r="E95" i="20" s="1"/>
  <c r="E97" i="20" s="1"/>
  <c r="E98" i="20" s="1"/>
  <c r="BD105" i="10"/>
  <c r="BD46" i="10"/>
  <c r="BD82" i="10" s="1"/>
  <c r="BD41" i="10"/>
  <c r="BD42" i="10" s="1"/>
  <c r="BD34" i="10"/>
  <c r="AJ105" i="10"/>
  <c r="AJ46" i="10"/>
  <c r="AJ82" i="10" s="1"/>
  <c r="AJ41" i="10"/>
  <c r="AJ42" i="10" s="1"/>
  <c r="AJ34" i="10"/>
  <c r="X105" i="10"/>
  <c r="X46" i="10"/>
  <c r="X82" i="10" s="1"/>
  <c r="G104" i="20" s="1"/>
  <c r="X34" i="10"/>
  <c r="G95" i="20" s="1"/>
  <c r="G97" i="20" s="1"/>
  <c r="G98" i="20" s="1"/>
  <c r="P105" i="10"/>
  <c r="P46" i="10"/>
  <c r="P82" i="10" s="1"/>
  <c r="P34" i="10"/>
  <c r="H105" i="10"/>
  <c r="H46" i="10"/>
  <c r="H82" i="10" s="1"/>
  <c r="H34" i="10"/>
  <c r="BP105" i="10"/>
  <c r="BP46" i="10"/>
  <c r="BP82" i="10" s="1"/>
  <c r="BP41" i="10"/>
  <c r="BP42" i="10" s="1"/>
  <c r="BP34" i="10"/>
  <c r="AE105" i="10"/>
  <c r="AE41" i="10"/>
  <c r="AE42" i="10" s="1"/>
  <c r="AE46" i="10"/>
  <c r="AE82" i="10" s="1"/>
  <c r="AE34" i="10"/>
  <c r="BQ105" i="10"/>
  <c r="BQ46" i="10"/>
  <c r="BQ82" i="10" s="1"/>
  <c r="P104" i="20" s="1"/>
  <c r="BQ34" i="10"/>
  <c r="P95" i="20" s="1"/>
  <c r="P97" i="20" s="1"/>
  <c r="P98" i="20" s="1"/>
  <c r="AV105" i="10"/>
  <c r="AV46" i="10"/>
  <c r="AV82" i="10" s="1"/>
  <c r="AV41" i="10"/>
  <c r="AV42" i="10" s="1"/>
  <c r="AV34" i="10"/>
  <c r="BK105" i="10"/>
  <c r="BK41" i="10"/>
  <c r="BK42" i="10" s="1"/>
  <c r="BK46" i="10"/>
  <c r="BK82" i="10" s="1"/>
  <c r="BK34" i="10"/>
  <c r="BV105" i="10"/>
  <c r="BV46" i="10"/>
  <c r="BV82" i="10" s="1"/>
  <c r="Q104" i="20" s="1"/>
  <c r="BV34" i="10"/>
  <c r="Q95" i="20" s="1"/>
  <c r="Q97" i="20" s="1"/>
  <c r="Q98" i="20" s="1"/>
  <c r="E105" i="10"/>
  <c r="E46" i="10"/>
  <c r="E82" i="10" s="1"/>
  <c r="E34" i="10"/>
  <c r="BG105" i="10"/>
  <c r="BG46" i="10"/>
  <c r="BG82" i="10" s="1"/>
  <c r="N104" i="20" s="1"/>
  <c r="BG34" i="10"/>
  <c r="N95" i="20" s="1"/>
  <c r="N97" i="20" s="1"/>
  <c r="N98" i="20" s="1"/>
  <c r="AW105" i="10"/>
  <c r="AW46" i="10"/>
  <c r="AW82" i="10" s="1"/>
  <c r="L104" i="20" s="1"/>
  <c r="AW34" i="10"/>
  <c r="L95" i="20" s="1"/>
  <c r="L97" i="20" s="1"/>
  <c r="L98" i="20" s="1"/>
  <c r="U105" i="10"/>
  <c r="U41" i="10"/>
  <c r="U42" i="10" s="1"/>
  <c r="U46" i="10"/>
  <c r="U82" i="10" s="1"/>
  <c r="U34" i="10"/>
  <c r="I105" i="10"/>
  <c r="I46" i="10"/>
  <c r="I82" i="10" s="1"/>
  <c r="D104" i="20" s="1"/>
  <c r="I34" i="10"/>
  <c r="D95" i="20" s="1"/>
  <c r="D97" i="20" s="1"/>
  <c r="D98" i="20" s="1"/>
  <c r="BC105" i="10"/>
  <c r="BC41" i="10"/>
  <c r="BC42" i="10" s="1"/>
  <c r="BC46" i="10"/>
  <c r="BC82" i="10" s="1"/>
  <c r="BC34" i="10"/>
  <c r="AI105" i="10"/>
  <c r="AI41" i="10"/>
  <c r="AI42" i="10" s="1"/>
  <c r="AI46" i="10"/>
  <c r="AI82" i="10" s="1"/>
  <c r="AI34" i="10"/>
  <c r="BS105" i="10"/>
  <c r="BS41" i="10"/>
  <c r="BS42" i="10" s="1"/>
  <c r="BS46" i="10"/>
  <c r="BS82" i="10" s="1"/>
  <c r="BS34" i="10"/>
  <c r="AX105" i="10"/>
  <c r="AX46" i="10"/>
  <c r="AX82" i="10" s="1"/>
  <c r="AX41" i="10"/>
  <c r="AX42" i="10" s="1"/>
  <c r="AX34" i="10"/>
  <c r="Z105" i="10"/>
  <c r="Z46" i="10"/>
  <c r="Z82" i="10" s="1"/>
  <c r="Z41" i="10"/>
  <c r="Z42" i="10" s="1"/>
  <c r="Z34" i="10"/>
  <c r="J105" i="10"/>
  <c r="J46" i="10"/>
  <c r="J82" i="10" s="1"/>
  <c r="J34" i="10"/>
  <c r="AG105" i="10"/>
  <c r="AG41" i="10"/>
  <c r="AG42" i="10" s="1"/>
  <c r="AG46" i="10"/>
  <c r="AG82" i="10" s="1"/>
  <c r="AG34" i="10"/>
  <c r="Y105" i="10"/>
  <c r="Y41" i="10"/>
  <c r="Y42" i="10" s="1"/>
  <c r="Y46" i="10"/>
  <c r="Y82" i="10" s="1"/>
  <c r="Y34" i="10"/>
  <c r="ED56" i="10"/>
  <c r="T105" i="10"/>
  <c r="T46" i="10"/>
  <c r="T82" i="10" s="1"/>
  <c r="T41" i="10"/>
  <c r="T42" i="10" s="1"/>
  <c r="T34" i="10"/>
  <c r="L105" i="10"/>
  <c r="L46" i="10"/>
  <c r="L82" i="10" s="1"/>
  <c r="L34" i="10"/>
  <c r="D105" i="10"/>
  <c r="D46" i="10"/>
  <c r="D82" i="10" s="1"/>
  <c r="D34" i="10"/>
  <c r="C95" i="20" s="1"/>
  <c r="C97" i="20" s="1"/>
  <c r="C98" i="20" s="1"/>
  <c r="AU105" i="10"/>
  <c r="AU41" i="10"/>
  <c r="AU42" i="10" s="1"/>
  <c r="AU46" i="10"/>
  <c r="AU82" i="10" s="1"/>
  <c r="AU34" i="10"/>
  <c r="BA105" i="10"/>
  <c r="BA41" i="10"/>
  <c r="BA42" i="10" s="1"/>
  <c r="BA46" i="10"/>
  <c r="BA82" i="10" s="1"/>
  <c r="BA34" i="10"/>
  <c r="BM105" i="10"/>
  <c r="BM41" i="10"/>
  <c r="BM42" i="10" s="1"/>
  <c r="BM46" i="10"/>
  <c r="BM82" i="10" s="1"/>
  <c r="BM34" i="10"/>
  <c r="BW40" i="10"/>
  <c r="BW41" i="10" s="1"/>
  <c r="BW42" i="10" s="1"/>
  <c r="BJ46" i="10"/>
  <c r="BJ82" i="10" s="1"/>
  <c r="BJ105" i="10"/>
  <c r="BJ41" i="10"/>
  <c r="BJ42" i="10" s="1"/>
  <c r="BJ34" i="10"/>
  <c r="AN105" i="10"/>
  <c r="AN46" i="10"/>
  <c r="AN82" i="10" s="1"/>
  <c r="AN41" i="10"/>
  <c r="AN42" i="10" s="1"/>
  <c r="AN34" i="10"/>
  <c r="BL105" i="10"/>
  <c r="BL46" i="10"/>
  <c r="BL82" i="10" s="1"/>
  <c r="O104" i="20" s="1"/>
  <c r="BL34" i="10"/>
  <c r="AY105" i="10"/>
  <c r="AY41" i="10"/>
  <c r="AY42" i="10" s="1"/>
  <c r="AY46" i="10"/>
  <c r="AY82" i="10" s="1"/>
  <c r="AY34" i="10"/>
  <c r="G105" i="10"/>
  <c r="G46" i="10"/>
  <c r="G82" i="10" s="1"/>
  <c r="G34" i="10"/>
  <c r="AO105" i="10"/>
  <c r="AO41" i="10"/>
  <c r="AO42" i="10" s="1"/>
  <c r="AO46" i="10"/>
  <c r="AO82" i="10" s="1"/>
  <c r="AO34" i="10"/>
  <c r="AC105" i="10"/>
  <c r="AC41" i="10"/>
  <c r="AC42" i="10" s="1"/>
  <c r="AC46" i="10"/>
  <c r="AC82" i="10" s="1"/>
  <c r="H104" i="20" s="1"/>
  <c r="AC34" i="10"/>
  <c r="H95" i="20" s="1"/>
  <c r="H97" i="20" s="1"/>
  <c r="H98" i="20" s="1"/>
  <c r="S105" i="10"/>
  <c r="S46" i="10"/>
  <c r="S82" i="10" s="1"/>
  <c r="F104" i="20" s="1"/>
  <c r="S34" i="10"/>
  <c r="F95" i="20" s="1"/>
  <c r="F97" i="20" s="1"/>
  <c r="F98" i="20" s="1"/>
  <c r="AT46" i="10"/>
  <c r="AT82" i="10" s="1"/>
  <c r="AT105" i="10"/>
  <c r="AT41" i="10"/>
  <c r="AT42" i="10" s="1"/>
  <c r="AT34" i="10"/>
  <c r="AH105" i="10"/>
  <c r="AH46" i="10"/>
  <c r="AH82" i="10" s="1"/>
  <c r="I104" i="20" s="1"/>
  <c r="AH41" i="10"/>
  <c r="AH42" i="10" s="1"/>
  <c r="AH34" i="10"/>
  <c r="I95" i="20" s="1"/>
  <c r="I97" i="20" s="1"/>
  <c r="I98" i="20" s="1"/>
  <c r="V46" i="10"/>
  <c r="V82" i="10" s="1"/>
  <c r="V105" i="10"/>
  <c r="V41" i="10"/>
  <c r="V42" i="10" s="1"/>
  <c r="V34" i="10"/>
  <c r="L5" i="22"/>
  <c r="K12" i="22"/>
  <c r="O190" i="15" l="1"/>
  <c r="O213" i="15" s="1"/>
  <c r="O221" i="1"/>
  <c r="O198" i="1"/>
  <c r="O232" i="1" s="1"/>
  <c r="O231" i="1"/>
  <c r="O210" i="1"/>
  <c r="P186" i="1"/>
  <c r="P210" i="1" s="1"/>
  <c r="N128" i="1"/>
  <c r="R142" i="1"/>
  <c r="Q141" i="1"/>
  <c r="Q144" i="1" s="1"/>
  <c r="Q140" i="1" s="1"/>
  <c r="Q183" i="1" s="1"/>
  <c r="Q143" i="1"/>
  <c r="O68" i="1"/>
  <c r="O71" i="1" s="1"/>
  <c r="O125" i="1" s="1"/>
  <c r="O126" i="1" s="1"/>
  <c r="D14" i="89"/>
  <c r="D24" i="89" s="1"/>
  <c r="P185" i="1"/>
  <c r="P222" i="1" s="1"/>
  <c r="P184" i="1"/>
  <c r="P231" i="1" s="1"/>
  <c r="P187" i="15"/>
  <c r="P188" i="15" s="1"/>
  <c r="X14" i="19"/>
  <c r="X171" i="19" s="1"/>
  <c r="Y92" i="20"/>
  <c r="Z91" i="20" s="1"/>
  <c r="CG23" i="8"/>
  <c r="CF23" i="8"/>
  <c r="CH23" i="8"/>
  <c r="BY81" i="8"/>
  <c r="CJ146" i="8"/>
  <c r="CH89" i="8"/>
  <c r="CK26" i="8"/>
  <c r="CK90" i="8" s="1"/>
  <c r="CL26" i="8"/>
  <c r="CL90" i="8" s="1"/>
  <c r="CN26" i="8"/>
  <c r="CN90" i="8" s="1"/>
  <c r="CG89" i="8"/>
  <c r="CM26" i="8"/>
  <c r="CM90" i="8" s="1"/>
  <c r="N112" i="15"/>
  <c r="N114" i="15" s="1"/>
  <c r="O99" i="15"/>
  <c r="Z70" i="20"/>
  <c r="Y155" i="19"/>
  <c r="Y14" i="19" s="1"/>
  <c r="Y171" i="19" s="1"/>
  <c r="M228" i="1"/>
  <c r="R45" i="12"/>
  <c r="R48" i="12" s="1"/>
  <c r="R51" i="12" s="1"/>
  <c r="AD37" i="1"/>
  <c r="AC36" i="1"/>
  <c r="AD38" i="1"/>
  <c r="AC39" i="1"/>
  <c r="DJ86" i="10"/>
  <c r="DJ87" i="10" s="1"/>
  <c r="X99" i="20"/>
  <c r="X63" i="20"/>
  <c r="X65" i="20" s="1"/>
  <c r="AE22" i="19"/>
  <c r="AE26" i="20" s="1"/>
  <c r="AD26" i="20"/>
  <c r="N127" i="1"/>
  <c r="AC136" i="1"/>
  <c r="AB137" i="1"/>
  <c r="AB138" i="1"/>
  <c r="N132" i="15"/>
  <c r="M114" i="15"/>
  <c r="M134" i="15" s="1"/>
  <c r="M231" i="15" s="1"/>
  <c r="G11" i="17" s="1"/>
  <c r="G14" i="17" s="1"/>
  <c r="O95" i="20"/>
  <c r="O97" i="20" s="1"/>
  <c r="O98" i="20" s="1"/>
  <c r="O233" i="15"/>
  <c r="O235" i="15"/>
  <c r="O98" i="15"/>
  <c r="O14" i="61"/>
  <c r="O15" i="61" s="1"/>
  <c r="O23" i="61" s="1"/>
  <c r="O30" i="61" s="1"/>
  <c r="R11" i="61"/>
  <c r="R13" i="61"/>
  <c r="P9" i="61"/>
  <c r="P12" i="61" s="1"/>
  <c r="Q7" i="61"/>
  <c r="EC110" i="8"/>
  <c r="EC48" i="8"/>
  <c r="DR108" i="8"/>
  <c r="DR154" i="8"/>
  <c r="DP154" i="8"/>
  <c r="DP108" i="8"/>
  <c r="DX154" i="8"/>
  <c r="DU48" i="8"/>
  <c r="DX108" i="8"/>
  <c r="DV48" i="8"/>
  <c r="DW48" i="8"/>
  <c r="DT48" i="8"/>
  <c r="X9" i="63"/>
  <c r="W12" i="63"/>
  <c r="W13" i="63" s="1"/>
  <c r="EH50" i="8" s="1"/>
  <c r="X7" i="63"/>
  <c r="X8" i="63" s="1"/>
  <c r="X4" i="63"/>
  <c r="DO108" i="8"/>
  <c r="DO154" i="8"/>
  <c r="DQ108" i="8"/>
  <c r="DQ154" i="8"/>
  <c r="Q19" i="38"/>
  <c r="Q27" i="38" s="1"/>
  <c r="Q35" i="38" s="1"/>
  <c r="Q36" i="38" s="1"/>
  <c r="EC29" i="8" s="1"/>
  <c r="Q18" i="38"/>
  <c r="Q17" i="38"/>
  <c r="Q16" i="38"/>
  <c r="DS92" i="8"/>
  <c r="DS147" i="8"/>
  <c r="DO93" i="8"/>
  <c r="DO28" i="8"/>
  <c r="DO92" i="8" s="1"/>
  <c r="DP28" i="8"/>
  <c r="DP92" i="8" s="1"/>
  <c r="DT30" i="8"/>
  <c r="DT94" i="8" s="1"/>
  <c r="DV30" i="8"/>
  <c r="DV94" i="8" s="1"/>
  <c r="DW30" i="8"/>
  <c r="DW94" i="8" s="1"/>
  <c r="DU30" i="8"/>
  <c r="DU94" i="8" s="1"/>
  <c r="DX94" i="8"/>
  <c r="DX93" i="8"/>
  <c r="DT29" i="8"/>
  <c r="DV29" i="8"/>
  <c r="DX28" i="8"/>
  <c r="DU29" i="8"/>
  <c r="DW29" i="8"/>
  <c r="EC30" i="8"/>
  <c r="R9" i="38"/>
  <c r="S7" i="38"/>
  <c r="S9" i="38" s="1"/>
  <c r="DQ93" i="8"/>
  <c r="DQ28" i="8"/>
  <c r="DQ92" i="8" s="1"/>
  <c r="DR93" i="8"/>
  <c r="DR28" i="8"/>
  <c r="DR92" i="8" s="1"/>
  <c r="DP93" i="8"/>
  <c r="R67" i="12"/>
  <c r="R69" i="12" s="1"/>
  <c r="R13" i="12" s="1"/>
  <c r="R12" i="12" s="1"/>
  <c r="Q66" i="12"/>
  <c r="Q9" i="12"/>
  <c r="T87" i="12"/>
  <c r="T105" i="12" s="1"/>
  <c r="T88" i="12"/>
  <c r="X86" i="12"/>
  <c r="W75" i="12"/>
  <c r="X74" i="12"/>
  <c r="CE81" i="8"/>
  <c r="CC15" i="8"/>
  <c r="CC81" i="8" s="1"/>
  <c r="CA15" i="8"/>
  <c r="CA81" i="8" s="1"/>
  <c r="CD15" i="8"/>
  <c r="CD81" i="8" s="1"/>
  <c r="CB15" i="8"/>
  <c r="CB81" i="8" s="1"/>
  <c r="Y55" i="12"/>
  <c r="Z54" i="12"/>
  <c r="V50" i="12"/>
  <c r="T44" i="12"/>
  <c r="S36" i="12"/>
  <c r="S39" i="12" s="1"/>
  <c r="S42" i="12" s="1"/>
  <c r="T35" i="12"/>
  <c r="U47" i="12"/>
  <c r="V41" i="12"/>
  <c r="U31" i="12"/>
  <c r="V30" i="12"/>
  <c r="AA21" i="12"/>
  <c r="Q67" i="12"/>
  <c r="Q69" i="12" s="1"/>
  <c r="Q13" i="12" s="1"/>
  <c r="Q12" i="12" s="1"/>
  <c r="W68" i="12"/>
  <c r="S25" i="12"/>
  <c r="U38" i="12"/>
  <c r="Z107" i="12"/>
  <c r="U81" i="12"/>
  <c r="V80" i="12"/>
  <c r="U60" i="12"/>
  <c r="S20" i="12"/>
  <c r="R23" i="12"/>
  <c r="R26" i="12" s="1"/>
  <c r="R10" i="12" s="1"/>
  <c r="P8" i="12"/>
  <c r="S66" i="13"/>
  <c r="T27" i="13"/>
  <c r="S68" i="13"/>
  <c r="T64" i="13"/>
  <c r="W88" i="13"/>
  <c r="S63" i="13"/>
  <c r="R71" i="13"/>
  <c r="R72" i="13" s="1"/>
  <c r="X92" i="13"/>
  <c r="W81" i="13"/>
  <c r="V82" i="13"/>
  <c r="V80" i="13"/>
  <c r="V83" i="13"/>
  <c r="T62" i="13"/>
  <c r="U77" i="13"/>
  <c r="T79" i="13"/>
  <c r="CO89" i="8"/>
  <c r="CM25" i="8"/>
  <c r="CK25" i="8"/>
  <c r="CN25" i="8"/>
  <c r="CT26" i="8"/>
  <c r="CT23" i="8" s="1"/>
  <c r="CL25" i="8"/>
  <c r="CO23" i="8"/>
  <c r="R69" i="13"/>
  <c r="R85" i="13" s="1"/>
  <c r="R90" i="13" s="1"/>
  <c r="R93" i="13" s="1"/>
  <c r="R95" i="13" s="1"/>
  <c r="CY25" i="8" s="1"/>
  <c r="CR25" i="8"/>
  <c r="CP25" i="8"/>
  <c r="CS25" i="8"/>
  <c r="CQ25" i="8"/>
  <c r="CT89" i="8"/>
  <c r="CY26" i="8"/>
  <c r="Q7" i="4"/>
  <c r="Q23" i="4" s="1"/>
  <c r="Q26" i="4" s="1"/>
  <c r="Q8" i="4"/>
  <c r="R4" i="4"/>
  <c r="U30" i="4"/>
  <c r="AC18" i="4"/>
  <c r="AA13" i="4"/>
  <c r="T59" i="4"/>
  <c r="V54" i="4"/>
  <c r="Z24" i="4"/>
  <c r="T35" i="4"/>
  <c r="S37" i="4"/>
  <c r="P53" i="4"/>
  <c r="P55" i="4" s="1"/>
  <c r="J12" i="17" s="1"/>
  <c r="P58" i="4"/>
  <c r="P60" i="4" s="1"/>
  <c r="P29" i="4"/>
  <c r="P31" i="4" s="1"/>
  <c r="Q38" i="4"/>
  <c r="R36" i="4"/>
  <c r="AE90" i="15"/>
  <c r="AD91" i="15"/>
  <c r="AD92" i="15"/>
  <c r="AB110" i="15"/>
  <c r="AB109" i="15"/>
  <c r="AB108" i="15"/>
  <c r="P165" i="15"/>
  <c r="P166" i="15"/>
  <c r="P164" i="15"/>
  <c r="AA11" i="15"/>
  <c r="AE221" i="15"/>
  <c r="M113" i="15"/>
  <c r="M135" i="15" s="1"/>
  <c r="AD182" i="15"/>
  <c r="AC185" i="15"/>
  <c r="P62" i="15"/>
  <c r="P69" i="15" s="1"/>
  <c r="P25" i="15"/>
  <c r="P34" i="15" s="1"/>
  <c r="R141" i="15"/>
  <c r="S140" i="15"/>
  <c r="R142" i="15"/>
  <c r="L234" i="15"/>
  <c r="L232" i="15"/>
  <c r="AB117" i="15"/>
  <c r="AA121" i="15"/>
  <c r="AE38" i="15"/>
  <c r="AE37" i="15"/>
  <c r="AD36" i="15"/>
  <c r="AD39" i="15"/>
  <c r="Z9" i="15"/>
  <c r="M257" i="15"/>
  <c r="M258" i="15" s="1"/>
  <c r="N131" i="15"/>
  <c r="N135" i="15" s="1"/>
  <c r="Q178" i="15"/>
  <c r="Q176" i="15"/>
  <c r="Q177" i="15"/>
  <c r="O201" i="15"/>
  <c r="O202" i="15"/>
  <c r="O118" i="15"/>
  <c r="O119" i="15" s="1"/>
  <c r="O75" i="15"/>
  <c r="O129" i="15" s="1"/>
  <c r="O130" i="15" s="1"/>
  <c r="AE128" i="15"/>
  <c r="AE127" i="15"/>
  <c r="AE126" i="15"/>
  <c r="AC107" i="15"/>
  <c r="AC95" i="15"/>
  <c r="AC94" i="15"/>
  <c r="AC93" i="15"/>
  <c r="S20" i="15"/>
  <c r="R22" i="15"/>
  <c r="AB102" i="15"/>
  <c r="Y195" i="15"/>
  <c r="Z80" i="15"/>
  <c r="L257" i="15"/>
  <c r="L258" i="15" s="1"/>
  <c r="L231" i="15"/>
  <c r="F11" i="17" s="1"/>
  <c r="F14" i="17" s="1"/>
  <c r="AA106" i="15"/>
  <c r="AB56" i="15"/>
  <c r="AA55" i="15"/>
  <c r="AA58" i="15"/>
  <c r="AA84" i="15"/>
  <c r="Z88" i="15"/>
  <c r="X28" i="15"/>
  <c r="V21" i="15"/>
  <c r="Q17" i="15"/>
  <c r="R16" i="15"/>
  <c r="Q163" i="15"/>
  <c r="Q144" i="15"/>
  <c r="S10" i="15"/>
  <c r="S13" i="15"/>
  <c r="T8" i="15" s="1"/>
  <c r="N134" i="15"/>
  <c r="N231" i="15" s="1"/>
  <c r="H11" i="17" s="1"/>
  <c r="H14" i="17" s="1"/>
  <c r="I14" i="17" s="1"/>
  <c r="J14" i="17" s="1"/>
  <c r="K14" i="17" s="1"/>
  <c r="L14" i="17" s="1"/>
  <c r="M14" i="17" s="1"/>
  <c r="N14" i="17" s="1"/>
  <c r="O14" i="17" s="1"/>
  <c r="P14" i="17" s="1"/>
  <c r="Q14" i="17" s="1"/>
  <c r="R14" i="17" s="1"/>
  <c r="S14" i="17" s="1"/>
  <c r="T14" i="17" s="1"/>
  <c r="U14" i="17" s="1"/>
  <c r="R175" i="15"/>
  <c r="S143" i="15"/>
  <c r="O225" i="15"/>
  <c r="O103" i="15"/>
  <c r="O104" i="15" s="1"/>
  <c r="O59" i="15"/>
  <c r="O111" i="15" s="1"/>
  <c r="O112" i="15" s="1"/>
  <c r="Y65" i="15"/>
  <c r="Z46" i="15"/>
  <c r="AA47" i="15"/>
  <c r="Z49" i="15"/>
  <c r="N99" i="1"/>
  <c r="N100" i="1" s="1"/>
  <c r="N59" i="1"/>
  <c r="N107" i="1" s="1"/>
  <c r="N108" i="1" s="1"/>
  <c r="N229" i="1"/>
  <c r="S139" i="1"/>
  <c r="R171" i="1"/>
  <c r="AC70" i="1"/>
  <c r="AE57" i="1"/>
  <c r="AE56" i="1"/>
  <c r="AE58" i="1" s="1"/>
  <c r="AE55" i="1"/>
  <c r="AD58" i="1"/>
  <c r="L264" i="1"/>
  <c r="L265" i="1" s="1"/>
  <c r="L227" i="1"/>
  <c r="F5" i="17" s="1"/>
  <c r="F8" i="17" s="1"/>
  <c r="Y191" i="1"/>
  <c r="Z76" i="1"/>
  <c r="M227" i="1"/>
  <c r="G5" i="17" s="1"/>
  <c r="M264" i="1"/>
  <c r="Y66" i="1"/>
  <c r="R16" i="1"/>
  <c r="Q17" i="1"/>
  <c r="AA113" i="1"/>
  <c r="Z117" i="1"/>
  <c r="Y28" i="1"/>
  <c r="L230" i="1"/>
  <c r="L228" i="1"/>
  <c r="N95" i="1"/>
  <c r="N94" i="1"/>
  <c r="Q173" i="1"/>
  <c r="Q172" i="1"/>
  <c r="Q174" i="1"/>
  <c r="AE168" i="1"/>
  <c r="Z65" i="1"/>
  <c r="AA46" i="1"/>
  <c r="AA49" i="1" s="1"/>
  <c r="AB47" i="1"/>
  <c r="AB98" i="1"/>
  <c r="AA102" i="1"/>
  <c r="Z9" i="1"/>
  <c r="AB80" i="1"/>
  <c r="AA84" i="1"/>
  <c r="AA21" i="1"/>
  <c r="AA11" i="1"/>
  <c r="O81" i="1"/>
  <c r="O82" i="1" s="1"/>
  <c r="O40" i="1"/>
  <c r="O92" i="1" s="1"/>
  <c r="O93" i="1" s="1"/>
  <c r="O95" i="1" s="1"/>
  <c r="O43" i="1"/>
  <c r="O53" i="1" s="1"/>
  <c r="V217" i="1"/>
  <c r="AD179" i="1"/>
  <c r="AC178" i="1"/>
  <c r="AC181" i="1" s="1"/>
  <c r="AB166" i="1"/>
  <c r="AA169" i="1"/>
  <c r="U20" i="1"/>
  <c r="T22" i="1"/>
  <c r="T134" i="1"/>
  <c r="T159" i="1" s="1"/>
  <c r="T12" i="1"/>
  <c r="AE155" i="1"/>
  <c r="AE153" i="1"/>
  <c r="AE156" i="1"/>
  <c r="P62" i="1"/>
  <c r="P25" i="1"/>
  <c r="P34" i="1" s="1"/>
  <c r="U46" i="21"/>
  <c r="V44" i="21"/>
  <c r="V51" i="21"/>
  <c r="W50" i="21"/>
  <c r="W51" i="21" s="1"/>
  <c r="V9" i="21"/>
  <c r="U11" i="21"/>
  <c r="W79" i="21"/>
  <c r="W81" i="21" s="1"/>
  <c r="V81" i="21"/>
  <c r="AB31" i="19"/>
  <c r="AB43" i="20" s="1"/>
  <c r="V86" i="21"/>
  <c r="W84" i="21"/>
  <c r="W86" i="21" s="1"/>
  <c r="U36" i="21"/>
  <c r="V35" i="21"/>
  <c r="U26" i="21"/>
  <c r="V24" i="21"/>
  <c r="V104" i="21" s="1"/>
  <c r="S15" i="21"/>
  <c r="R16" i="21"/>
  <c r="R105" i="21" s="1"/>
  <c r="DO23" i="10" s="1"/>
  <c r="T71" i="21"/>
  <c r="U70" i="21"/>
  <c r="S107" i="21"/>
  <c r="U6" i="21"/>
  <c r="V4" i="21"/>
  <c r="V31" i="21"/>
  <c r="W29" i="21"/>
  <c r="W31" i="21" s="1"/>
  <c r="U96" i="21"/>
  <c r="V95" i="21"/>
  <c r="V66" i="21"/>
  <c r="W64" i="21"/>
  <c r="W66" i="21" s="1"/>
  <c r="T61" i="21"/>
  <c r="U60" i="21"/>
  <c r="AD69" i="20"/>
  <c r="AE64" i="20"/>
  <c r="AE69" i="20" s="1"/>
  <c r="AC85" i="20"/>
  <c r="AC87" i="20"/>
  <c r="AC44" i="20" s="1"/>
  <c r="AE38" i="19"/>
  <c r="P143" i="19"/>
  <c r="P142" i="19"/>
  <c r="P106" i="19"/>
  <c r="P107" i="19" s="1"/>
  <c r="AC175" i="19"/>
  <c r="AD32" i="19"/>
  <c r="U115" i="19"/>
  <c r="W112" i="19"/>
  <c r="R118" i="19"/>
  <c r="Q141" i="19"/>
  <c r="AC154" i="19"/>
  <c r="AB15" i="19"/>
  <c r="Z148" i="19"/>
  <c r="Z153" i="19"/>
  <c r="Z152" i="19" s="1"/>
  <c r="AA149" i="19"/>
  <c r="AE19" i="19"/>
  <c r="AD170" i="19"/>
  <c r="AE16" i="19"/>
  <c r="AE170" i="19" s="1"/>
  <c r="EH149" i="8"/>
  <c r="EM129" i="8"/>
  <c r="EM149" i="8" s="1"/>
  <c r="CT125" i="8"/>
  <c r="EC118" i="8"/>
  <c r="EH63" i="8"/>
  <c r="DY63" i="8"/>
  <c r="DT118" i="8"/>
  <c r="DU63" i="8"/>
  <c r="DP118" i="8"/>
  <c r="DQ63" i="8"/>
  <c r="DR63" i="8" s="1"/>
  <c r="EM122" i="8"/>
  <c r="BL143" i="8"/>
  <c r="BM123" i="8"/>
  <c r="DX114" i="8"/>
  <c r="EC42" i="8"/>
  <c r="DT42" i="8"/>
  <c r="DX158" i="8"/>
  <c r="DL118" i="8"/>
  <c r="BY125" i="8"/>
  <c r="BV144" i="8"/>
  <c r="BW124" i="8"/>
  <c r="BZ150" i="8"/>
  <c r="CE130" i="8"/>
  <c r="CA130" i="8" s="1"/>
  <c r="BV130" i="8"/>
  <c r="BZ151" i="8"/>
  <c r="CE131" i="8"/>
  <c r="CA131" i="8" s="1"/>
  <c r="BV131" i="8"/>
  <c r="BS144" i="8"/>
  <c r="BT124" i="8"/>
  <c r="BT144" i="8" s="1"/>
  <c r="DX100" i="8"/>
  <c r="DV36" i="8"/>
  <c r="DV100" i="8" s="1"/>
  <c r="DT36" i="8"/>
  <c r="DT100" i="8" s="1"/>
  <c r="DW36" i="8"/>
  <c r="DW100" i="8" s="1"/>
  <c r="DU36" i="8"/>
  <c r="DU100" i="8" s="1"/>
  <c r="DX102" i="8"/>
  <c r="EC38" i="8"/>
  <c r="DW38" i="8"/>
  <c r="DW102" i="8" s="1"/>
  <c r="DU38" i="8"/>
  <c r="DU102" i="8" s="1"/>
  <c r="DV38" i="8"/>
  <c r="DV102" i="8" s="1"/>
  <c r="DT38" i="8"/>
  <c r="DT102" i="8" s="1"/>
  <c r="DH42" i="8"/>
  <c r="DH114" i="8" s="1"/>
  <c r="BJ158" i="8"/>
  <c r="BK143" i="8"/>
  <c r="BK123" i="8" s="1"/>
  <c r="DO114" i="8"/>
  <c r="DP42" i="8"/>
  <c r="DK114" i="8"/>
  <c r="DL42" i="8"/>
  <c r="DJ117" i="8"/>
  <c r="DS117" i="8"/>
  <c r="DQ62" i="8"/>
  <c r="DQ117" i="8" s="1"/>
  <c r="DO62" i="8"/>
  <c r="DX62" i="8"/>
  <c r="DR62" i="8"/>
  <c r="DR117" i="8" s="1"/>
  <c r="DP62" i="8"/>
  <c r="DP117" i="8" s="1"/>
  <c r="DT5" i="10"/>
  <c r="BR150" i="8"/>
  <c r="BS130" i="8"/>
  <c r="BR151" i="8"/>
  <c r="BS131" i="8"/>
  <c r="DM63" i="8"/>
  <c r="EC148" i="8"/>
  <c r="EH128" i="8"/>
  <c r="EH126" i="8"/>
  <c r="CJ124" i="8"/>
  <c r="AT84" i="10"/>
  <c r="AT88" i="10"/>
  <c r="AY88" i="10"/>
  <c r="AY84" i="10"/>
  <c r="BM88" i="10"/>
  <c r="BM84" i="10"/>
  <c r="AU88" i="10"/>
  <c r="AU84" i="10"/>
  <c r="AH84" i="10"/>
  <c r="AH88" i="10"/>
  <c r="AC88" i="10"/>
  <c r="AC84" i="10"/>
  <c r="AC83" i="10"/>
  <c r="AO88" i="10"/>
  <c r="AO84" i="10"/>
  <c r="G88" i="10"/>
  <c r="G84" i="10"/>
  <c r="BL88" i="10"/>
  <c r="BL84" i="10"/>
  <c r="BL83" i="10"/>
  <c r="AN84" i="10"/>
  <c r="AN88" i="10"/>
  <c r="L84" i="10"/>
  <c r="L88" i="10"/>
  <c r="T84" i="10"/>
  <c r="T88" i="10"/>
  <c r="EI56" i="10"/>
  <c r="BS88" i="10"/>
  <c r="BS84" i="10"/>
  <c r="AI88" i="10"/>
  <c r="AI84" i="10"/>
  <c r="BC88" i="10"/>
  <c r="BC84" i="10"/>
  <c r="I88" i="10"/>
  <c r="I84" i="10"/>
  <c r="BK88" i="10"/>
  <c r="BK84" i="10"/>
  <c r="BQ88" i="10"/>
  <c r="BQ84" i="10"/>
  <c r="BQ83" i="10"/>
  <c r="AE88" i="10"/>
  <c r="AE84" i="10"/>
  <c r="H84" i="10"/>
  <c r="H88" i="10"/>
  <c r="AP84" i="10"/>
  <c r="AP88" i="10"/>
  <c r="AS88" i="10"/>
  <c r="AS84" i="10"/>
  <c r="BW88" i="10"/>
  <c r="BW84" i="10"/>
  <c r="AA88" i="10"/>
  <c r="AA84" i="10"/>
  <c r="AQ88" i="10"/>
  <c r="AQ84" i="10"/>
  <c r="BI88" i="10"/>
  <c r="BI84" i="10"/>
  <c r="BU88" i="10"/>
  <c r="BU84" i="10"/>
  <c r="AK88" i="10"/>
  <c r="AK84" i="10"/>
  <c r="R84" i="10"/>
  <c r="R88" i="10"/>
  <c r="AB84" i="10"/>
  <c r="AB88" i="10"/>
  <c r="AZ84" i="10"/>
  <c r="AZ88" i="10"/>
  <c r="AF84" i="10"/>
  <c r="AF88" i="10"/>
  <c r="BH84" i="10"/>
  <c r="BH88" i="10"/>
  <c r="AM88" i="10"/>
  <c r="AM84" i="10"/>
  <c r="AM83" i="10"/>
  <c r="Q88" i="10"/>
  <c r="Q84" i="10"/>
  <c r="V84" i="10"/>
  <c r="V88" i="10"/>
  <c r="S88" i="10"/>
  <c r="S84" i="10"/>
  <c r="S83" i="10"/>
  <c r="BJ84" i="10"/>
  <c r="BJ88" i="10"/>
  <c r="BA88" i="10"/>
  <c r="BA84" i="10"/>
  <c r="D84" i="10"/>
  <c r="D88" i="10"/>
  <c r="Y88" i="10"/>
  <c r="Y84" i="10"/>
  <c r="AG88" i="10"/>
  <c r="AG84" i="10"/>
  <c r="J84" i="10"/>
  <c r="J88" i="10"/>
  <c r="Z84" i="10"/>
  <c r="Z88" i="10"/>
  <c r="AX84" i="10"/>
  <c r="AX88" i="10"/>
  <c r="U88" i="10"/>
  <c r="U84" i="10"/>
  <c r="AW88" i="10"/>
  <c r="AW84" i="10"/>
  <c r="AW83" i="10"/>
  <c r="BG88" i="10"/>
  <c r="BG84" i="10"/>
  <c r="BG83" i="10"/>
  <c r="E88" i="10"/>
  <c r="E84" i="10"/>
  <c r="BV84" i="10"/>
  <c r="BV88" i="10"/>
  <c r="AV84" i="10"/>
  <c r="AV88" i="10"/>
  <c r="BP88" i="10"/>
  <c r="BP84" i="10"/>
  <c r="P84" i="10"/>
  <c r="P88" i="10"/>
  <c r="X84" i="10"/>
  <c r="X88" i="10"/>
  <c r="X83" i="10"/>
  <c r="AJ84" i="10"/>
  <c r="AJ88" i="10"/>
  <c r="BD84" i="10"/>
  <c r="BD88" i="10"/>
  <c r="N84" i="10"/>
  <c r="N88" i="10"/>
  <c r="BB84" i="10"/>
  <c r="BB88" i="10"/>
  <c r="BB83" i="10"/>
  <c r="M88" i="10"/>
  <c r="M84" i="10"/>
  <c r="BN88" i="10"/>
  <c r="BN84" i="10"/>
  <c r="F84" i="10"/>
  <c r="F88" i="10"/>
  <c r="K88" i="10"/>
  <c r="K84" i="10"/>
  <c r="AR84" i="10"/>
  <c r="AR88" i="10"/>
  <c r="AR83" i="10"/>
  <c r="AD84" i="10"/>
  <c r="AD88" i="10"/>
  <c r="AL84" i="10"/>
  <c r="AL88" i="10"/>
  <c r="BO88" i="10"/>
  <c r="BO84" i="10"/>
  <c r="W88" i="10"/>
  <c r="W84" i="10"/>
  <c r="BE88" i="10"/>
  <c r="BE84" i="10"/>
  <c r="O88" i="10"/>
  <c r="O84" i="10"/>
  <c r="BT84" i="10"/>
  <c r="BT88" i="10"/>
  <c r="BR84" i="10"/>
  <c r="BR88" i="10"/>
  <c r="L12" i="22"/>
  <c r="M5" i="22"/>
  <c r="O214" i="15" l="1"/>
  <c r="O114" i="1"/>
  <c r="O115" i="1" s="1"/>
  <c r="O128" i="1" s="1"/>
  <c r="P189" i="15"/>
  <c r="P225" i="15" s="1"/>
  <c r="P209" i="1"/>
  <c r="P190" i="15"/>
  <c r="P213" i="15" s="1"/>
  <c r="S142" i="1"/>
  <c r="R141" i="1"/>
  <c r="R144" i="1" s="1"/>
  <c r="R140" i="1" s="1"/>
  <c r="R183" i="1" s="1"/>
  <c r="R143" i="1"/>
  <c r="Q185" i="1"/>
  <c r="Q221" i="1" s="1"/>
  <c r="Q184" i="1"/>
  <c r="Q231" i="1" s="1"/>
  <c r="Q186" i="1"/>
  <c r="Q210" i="1" s="1"/>
  <c r="P221" i="1"/>
  <c r="P68" i="1"/>
  <c r="P71" i="1" s="1"/>
  <c r="P125" i="1" s="1"/>
  <c r="P126" i="1" s="1"/>
  <c r="P197" i="1"/>
  <c r="P198" i="1"/>
  <c r="P232" i="1" s="1"/>
  <c r="Q187" i="15"/>
  <c r="Q189" i="15" s="1"/>
  <c r="E14" i="89"/>
  <c r="E24" i="89" s="1"/>
  <c r="T107" i="21"/>
  <c r="Y157" i="19"/>
  <c r="Z155" i="19"/>
  <c r="CB130" i="8"/>
  <c r="CA150" i="8"/>
  <c r="CB131" i="8"/>
  <c r="CA151" i="8"/>
  <c r="P235" i="15"/>
  <c r="P43" i="15"/>
  <c r="P53" i="15" s="1"/>
  <c r="P103" i="15" s="1"/>
  <c r="P104" i="15" s="1"/>
  <c r="R66" i="12"/>
  <c r="Y99" i="20"/>
  <c r="Y63" i="20"/>
  <c r="Y65" i="20" s="1"/>
  <c r="AD36" i="1"/>
  <c r="AE37" i="1"/>
  <c r="AD39" i="1"/>
  <c r="AE38" i="1"/>
  <c r="Z76" i="20"/>
  <c r="Z71" i="20"/>
  <c r="Z74" i="20"/>
  <c r="Z82" i="20"/>
  <c r="AC137" i="1"/>
  <c r="AD136" i="1"/>
  <c r="AC138" i="1"/>
  <c r="S69" i="13"/>
  <c r="O114" i="15"/>
  <c r="O127" i="1"/>
  <c r="O132" i="15"/>
  <c r="Q9" i="61"/>
  <c r="Q12" i="61" s="1"/>
  <c r="R7" i="61"/>
  <c r="S13" i="61"/>
  <c r="P14" i="61"/>
  <c r="P15" i="61" s="1"/>
  <c r="P23" i="61" s="1"/>
  <c r="P30" i="61" s="1"/>
  <c r="S11" i="61"/>
  <c r="EH110" i="8"/>
  <c r="EH48" i="8"/>
  <c r="DT108" i="8"/>
  <c r="DT154" i="8"/>
  <c r="DV108" i="8"/>
  <c r="DV154" i="8"/>
  <c r="DU154" i="8"/>
  <c r="DU108" i="8"/>
  <c r="DZ48" i="8"/>
  <c r="EB48" i="8"/>
  <c r="EC154" i="8"/>
  <c r="EC108" i="8"/>
  <c r="DY48" i="8"/>
  <c r="EA48" i="8"/>
  <c r="X12" i="63"/>
  <c r="X13" i="63" s="1"/>
  <c r="EM50" i="8" s="1"/>
  <c r="DW108" i="8"/>
  <c r="DW154" i="8"/>
  <c r="S19" i="38"/>
  <c r="S27" i="38" s="1"/>
  <c r="S35" i="38" s="1"/>
  <c r="S36" i="38" s="1"/>
  <c r="EM29" i="8" s="1"/>
  <c r="S18" i="38"/>
  <c r="S17" i="38"/>
  <c r="S16" i="38"/>
  <c r="EA30" i="8"/>
  <c r="EA94" i="8" s="1"/>
  <c r="DZ30" i="8"/>
  <c r="DZ94" i="8" s="1"/>
  <c r="EC94" i="8"/>
  <c r="DY30" i="8"/>
  <c r="DY94" i="8" s="1"/>
  <c r="EB30" i="8"/>
  <c r="EB94" i="8" s="1"/>
  <c r="DU93" i="8"/>
  <c r="DU28" i="8"/>
  <c r="DU92" i="8" s="1"/>
  <c r="DV93" i="8"/>
  <c r="DV28" i="8"/>
  <c r="DV92" i="8" s="1"/>
  <c r="EB29" i="8"/>
  <c r="DZ29" i="8"/>
  <c r="EH30" i="8"/>
  <c r="EA29" i="8"/>
  <c r="DY29" i="8"/>
  <c r="EC93" i="8"/>
  <c r="EC28" i="8"/>
  <c r="R19" i="38"/>
  <c r="R27" i="38" s="1"/>
  <c r="R35" i="38" s="1"/>
  <c r="R36" i="38" s="1"/>
  <c r="EH29" i="8" s="1"/>
  <c r="R18" i="38"/>
  <c r="R17" i="38"/>
  <c r="R16" i="38"/>
  <c r="DW28" i="8"/>
  <c r="DW92" i="8" s="1"/>
  <c r="DW93" i="8"/>
  <c r="DX92" i="8"/>
  <c r="DX147" i="8"/>
  <c r="DT93" i="8"/>
  <c r="DT28" i="8"/>
  <c r="DT92" i="8" s="1"/>
  <c r="R9" i="12"/>
  <c r="R6" i="12" s="1"/>
  <c r="R7" i="12"/>
  <c r="CO15" i="8" s="1"/>
  <c r="T20" i="12"/>
  <c r="S23" i="12"/>
  <c r="S26" i="12" s="1"/>
  <c r="S10" i="12" s="1"/>
  <c r="U87" i="12"/>
  <c r="U105" i="12" s="1"/>
  <c r="U88" i="12"/>
  <c r="U106" i="12" s="1"/>
  <c r="U108" i="12" s="1"/>
  <c r="U16" i="12" s="1"/>
  <c r="U15" i="12" s="1"/>
  <c r="AA107" i="12"/>
  <c r="V38" i="12"/>
  <c r="T25" i="12"/>
  <c r="X68" i="12"/>
  <c r="V31" i="12"/>
  <c r="W30" i="12"/>
  <c r="W41" i="12"/>
  <c r="V47" i="12"/>
  <c r="T36" i="12"/>
  <c r="T39" i="12" s="1"/>
  <c r="T42" i="12" s="1"/>
  <c r="U35" i="12"/>
  <c r="U44" i="12"/>
  <c r="W50" i="12"/>
  <c r="Z55" i="12"/>
  <c r="AA54" i="12"/>
  <c r="X75" i="12"/>
  <c r="Y74" i="12"/>
  <c r="Y86" i="12"/>
  <c r="Q6" i="12"/>
  <c r="V60" i="12"/>
  <c r="V81" i="12"/>
  <c r="W80" i="12"/>
  <c r="AB21" i="12"/>
  <c r="S45" i="12"/>
  <c r="S48" i="12" s="1"/>
  <c r="S51" i="12" s="1"/>
  <c r="T106" i="12"/>
  <c r="T108" i="12" s="1"/>
  <c r="T16" i="12" s="1"/>
  <c r="T15" i="12" s="1"/>
  <c r="Q7" i="12"/>
  <c r="CJ15" i="8" s="1"/>
  <c r="CT88" i="8"/>
  <c r="CT146" i="8"/>
  <c r="CS89" i="8"/>
  <c r="CR89" i="8"/>
  <c r="CO88" i="8"/>
  <c r="CO146" i="8"/>
  <c r="CS26" i="8"/>
  <c r="CS90" i="8" s="1"/>
  <c r="CP26" i="8"/>
  <c r="CP90" i="8" s="1"/>
  <c r="CT90" i="8"/>
  <c r="CQ26" i="8"/>
  <c r="CQ90" i="8" s="1"/>
  <c r="CR26" i="8"/>
  <c r="CR90" i="8" s="1"/>
  <c r="CK89" i="8"/>
  <c r="CK23" i="8"/>
  <c r="CK88" i="8" s="1"/>
  <c r="V77" i="13"/>
  <c r="U79" i="13"/>
  <c r="U62" i="13"/>
  <c r="W82" i="13"/>
  <c r="W80" i="13"/>
  <c r="X81" i="13"/>
  <c r="W83" i="13"/>
  <c r="Y92" i="13"/>
  <c r="S71" i="13"/>
  <c r="S72" i="13" s="1"/>
  <c r="S85" i="13" s="1"/>
  <c r="S90" i="13" s="1"/>
  <c r="S93" i="13" s="1"/>
  <c r="S95" i="13" s="1"/>
  <c r="DD25" i="8" s="1"/>
  <c r="T63" i="13"/>
  <c r="CY90" i="8"/>
  <c r="CU26" i="8"/>
  <c r="CV26" i="8"/>
  <c r="CW26" i="8"/>
  <c r="CX26" i="8"/>
  <c r="CQ89" i="8"/>
  <c r="CP89" i="8"/>
  <c r="CY89" i="8"/>
  <c r="CW25" i="8"/>
  <c r="CU25" i="8"/>
  <c r="DD26" i="8"/>
  <c r="CV25" i="8"/>
  <c r="CX25" i="8"/>
  <c r="CY23" i="8"/>
  <c r="CL23" i="8"/>
  <c r="CL88" i="8" s="1"/>
  <c r="CL89" i="8"/>
  <c r="CN89" i="8"/>
  <c r="CN23" i="8"/>
  <c r="CN88" i="8" s="1"/>
  <c r="CM89" i="8"/>
  <c r="CM23" i="8"/>
  <c r="CM88" i="8" s="1"/>
  <c r="S61" i="13"/>
  <c r="X88" i="13"/>
  <c r="T68" i="13"/>
  <c r="U64" i="13"/>
  <c r="T66" i="13"/>
  <c r="U27" i="13"/>
  <c r="S36" i="4"/>
  <c r="R38" i="4"/>
  <c r="T37" i="4"/>
  <c r="U35" i="4"/>
  <c r="V30" i="4"/>
  <c r="Q29" i="4"/>
  <c r="Q31" i="4" s="1"/>
  <c r="Q58" i="4"/>
  <c r="Q60" i="4" s="1"/>
  <c r="Q53" i="4"/>
  <c r="Q55" i="4" s="1"/>
  <c r="K12" i="17" s="1"/>
  <c r="AA24" i="4"/>
  <c r="W54" i="4"/>
  <c r="U59" i="4"/>
  <c r="AB13" i="4"/>
  <c r="AD18" i="4"/>
  <c r="R8" i="4"/>
  <c r="S4" i="4"/>
  <c r="R7" i="4"/>
  <c r="N234" i="15"/>
  <c r="N232" i="15"/>
  <c r="AB47" i="15"/>
  <c r="AA46" i="15"/>
  <c r="AA49" i="15"/>
  <c r="S175" i="15"/>
  <c r="T143" i="15"/>
  <c r="Q166" i="15"/>
  <c r="Q164" i="15"/>
  <c r="Q165" i="15"/>
  <c r="Q62" i="15"/>
  <c r="Q69" i="15" s="1"/>
  <c r="AB84" i="15"/>
  <c r="AA88" i="15"/>
  <c r="AC56" i="15"/>
  <c r="AB55" i="15"/>
  <c r="AB58" i="15"/>
  <c r="AE36" i="15"/>
  <c r="AE39" i="15"/>
  <c r="AC117" i="15"/>
  <c r="AB121" i="15"/>
  <c r="R163" i="15"/>
  <c r="R144" i="15"/>
  <c r="AE182" i="15"/>
  <c r="AE185" i="15" s="1"/>
  <c r="AD185" i="15"/>
  <c r="Q25" i="15"/>
  <c r="Q34" i="15" s="1"/>
  <c r="Z65" i="15"/>
  <c r="O113" i="15"/>
  <c r="R178" i="15"/>
  <c r="R177" i="15"/>
  <c r="R176" i="15"/>
  <c r="T138" i="15"/>
  <c r="T12" i="15"/>
  <c r="R17" i="15"/>
  <c r="S16" i="15"/>
  <c r="W21" i="15"/>
  <c r="Y28" i="15"/>
  <c r="Z195" i="15"/>
  <c r="AA80" i="15"/>
  <c r="AC102" i="15"/>
  <c r="AC106" i="15" s="1"/>
  <c r="T20" i="15"/>
  <c r="S22" i="15"/>
  <c r="AC110" i="15"/>
  <c r="AC109" i="15"/>
  <c r="AC108" i="15"/>
  <c r="O131" i="15"/>
  <c r="O236" i="15"/>
  <c r="AA9" i="15"/>
  <c r="S141" i="15"/>
  <c r="T140" i="15"/>
  <c r="S142" i="15"/>
  <c r="P85" i="15"/>
  <c r="P86" i="15" s="1"/>
  <c r="P40" i="15"/>
  <c r="P96" i="15" s="1"/>
  <c r="P97" i="15" s="1"/>
  <c r="P99" i="15" s="1"/>
  <c r="P118" i="15"/>
  <c r="P119" i="15" s="1"/>
  <c r="P75" i="15"/>
  <c r="P129" i="15" s="1"/>
  <c r="P130" i="15" s="1"/>
  <c r="M234" i="15"/>
  <c r="M232" i="15"/>
  <c r="AB11" i="15"/>
  <c r="P201" i="15"/>
  <c r="P202" i="15"/>
  <c r="AB106" i="15"/>
  <c r="AD107" i="15"/>
  <c r="AD95" i="15"/>
  <c r="AD94" i="15"/>
  <c r="AD93" i="15"/>
  <c r="AE91" i="15"/>
  <c r="AE92" i="15"/>
  <c r="T162" i="1"/>
  <c r="T160" i="1"/>
  <c r="T161" i="1"/>
  <c r="V20" i="1"/>
  <c r="U22" i="1"/>
  <c r="AC166" i="1"/>
  <c r="AB169" i="1"/>
  <c r="W217" i="1"/>
  <c r="AC98" i="1"/>
  <c r="AB102" i="1"/>
  <c r="AC47" i="1"/>
  <c r="AB46" i="1"/>
  <c r="AB49" i="1" s="1"/>
  <c r="Q222" i="1"/>
  <c r="R17" i="1"/>
  <c r="S16" i="1"/>
  <c r="R174" i="1"/>
  <c r="R172" i="1"/>
  <c r="R173" i="1"/>
  <c r="P81" i="1"/>
  <c r="P82" i="1" s="1"/>
  <c r="P40" i="1"/>
  <c r="P92" i="1" s="1"/>
  <c r="P93" i="1" s="1"/>
  <c r="P95" i="1" s="1"/>
  <c r="P43" i="1"/>
  <c r="P53" i="1" s="1"/>
  <c r="T10" i="1"/>
  <c r="T13" i="1"/>
  <c r="U8" i="1" s="1"/>
  <c r="AD178" i="1"/>
  <c r="AD181" i="1" s="1"/>
  <c r="AE179" i="1"/>
  <c r="O99" i="1"/>
  <c r="O100" i="1" s="1"/>
  <c r="O59" i="1"/>
  <c r="O107" i="1" s="1"/>
  <c r="O108" i="1" s="1"/>
  <c r="O94" i="1"/>
  <c r="O229" i="1"/>
  <c r="AB11" i="1"/>
  <c r="AB21" i="1"/>
  <c r="AC80" i="1"/>
  <c r="AB84" i="1"/>
  <c r="AA9" i="1"/>
  <c r="AA65" i="1"/>
  <c r="Z66" i="1"/>
  <c r="Z28" i="1"/>
  <c r="AB113" i="1"/>
  <c r="AA117" i="1"/>
  <c r="Q62" i="1"/>
  <c r="Q25" i="1"/>
  <c r="Q34" i="1" s="1"/>
  <c r="AA76" i="1"/>
  <c r="Z191" i="1"/>
  <c r="AD70" i="1"/>
  <c r="AE70" i="1"/>
  <c r="S171" i="1"/>
  <c r="T139" i="1"/>
  <c r="N110" i="1"/>
  <c r="N130" i="1" s="1"/>
  <c r="N227" i="1" s="1"/>
  <c r="H5" i="17" s="1"/>
  <c r="N109" i="1"/>
  <c r="N131" i="1" s="1"/>
  <c r="V14" i="17"/>
  <c r="S16" i="21"/>
  <c r="S105" i="21" s="1"/>
  <c r="DT23" i="10" s="1"/>
  <c r="T15" i="21"/>
  <c r="W44" i="21"/>
  <c r="W46" i="21" s="1"/>
  <c r="V46" i="21"/>
  <c r="U61" i="21"/>
  <c r="V60" i="21"/>
  <c r="V96" i="21"/>
  <c r="W95" i="21"/>
  <c r="W96" i="21" s="1"/>
  <c r="W4" i="21"/>
  <c r="V6" i="21"/>
  <c r="AC31" i="19"/>
  <c r="AC43" i="20" s="1"/>
  <c r="U71" i="21"/>
  <c r="V70" i="21"/>
  <c r="W24" i="21"/>
  <c r="V26" i="21"/>
  <c r="W35" i="21"/>
  <c r="W36" i="21" s="1"/>
  <c r="V36" i="21"/>
  <c r="V11" i="21"/>
  <c r="W9" i="21"/>
  <c r="W11" i="21" s="1"/>
  <c r="AD87" i="20"/>
  <c r="AD44" i="20" s="1"/>
  <c r="AD85" i="20"/>
  <c r="AE87" i="20"/>
  <c r="AE44" i="20" s="1"/>
  <c r="AE85" i="20"/>
  <c r="AC39" i="19"/>
  <c r="Z157" i="19"/>
  <c r="Z14" i="19"/>
  <c r="Z171" i="19" s="1"/>
  <c r="Q143" i="19"/>
  <c r="Q142" i="19"/>
  <c r="Q106" i="19"/>
  <c r="Q107" i="19" s="1"/>
  <c r="X112" i="19"/>
  <c r="AA153" i="19"/>
  <c r="AA152" i="19" s="1"/>
  <c r="AB149" i="19"/>
  <c r="AA148" i="19"/>
  <c r="AD154" i="19"/>
  <c r="AC15" i="19"/>
  <c r="S118" i="19"/>
  <c r="V115" i="19"/>
  <c r="AD175" i="19"/>
  <c r="AE32" i="19"/>
  <c r="DR118" i="8"/>
  <c r="EM126" i="8"/>
  <c r="EH148" i="8"/>
  <c r="EM128" i="8"/>
  <c r="EM148" i="8" s="1"/>
  <c r="DO117" i="8"/>
  <c r="BJ138" i="8"/>
  <c r="BK158" i="8"/>
  <c r="BK138" i="8" s="1"/>
  <c r="BV151" i="8"/>
  <c r="BW131" i="8"/>
  <c r="CE150" i="8"/>
  <c r="CJ130" i="8"/>
  <c r="DT114" i="8"/>
  <c r="DU42" i="8"/>
  <c r="EC114" i="8"/>
  <c r="DY42" i="8"/>
  <c r="EH42" i="8"/>
  <c r="EC158" i="8"/>
  <c r="BM143" i="8"/>
  <c r="BM158" i="8" s="1"/>
  <c r="BM138" i="8" s="1"/>
  <c r="BN123" i="8"/>
  <c r="DQ118" i="8"/>
  <c r="DY118" i="8"/>
  <c r="DZ63" i="8"/>
  <c r="EH118" i="8"/>
  <c r="ED63" i="8"/>
  <c r="EM63" i="8"/>
  <c r="CO124" i="8"/>
  <c r="DM118" i="8"/>
  <c r="BS151" i="8"/>
  <c r="BT131" i="8"/>
  <c r="BT151" i="8" s="1"/>
  <c r="BS150" i="8"/>
  <c r="BT130" i="8"/>
  <c r="BT150" i="8" s="1"/>
  <c r="DX117" i="8"/>
  <c r="EC62" i="8"/>
  <c r="DW62" i="8"/>
  <c r="DW117" i="8" s="1"/>
  <c r="DU62" i="8"/>
  <c r="DU117" i="8" s="1"/>
  <c r="DV62" i="8"/>
  <c r="DV117" i="8" s="1"/>
  <c r="DT62" i="8"/>
  <c r="DY5" i="10"/>
  <c r="DL114" i="8"/>
  <c r="DM42" i="8"/>
  <c r="DM114" i="8" s="1"/>
  <c r="DP114" i="8"/>
  <c r="DQ42" i="8"/>
  <c r="DQ114" i="8" s="1"/>
  <c r="EC102" i="8"/>
  <c r="EA38" i="8"/>
  <c r="EA102" i="8" s="1"/>
  <c r="DY38" i="8"/>
  <c r="DY102" i="8" s="1"/>
  <c r="EH38" i="8"/>
  <c r="EB38" i="8"/>
  <c r="EB102" i="8" s="1"/>
  <c r="DZ38" i="8"/>
  <c r="DZ102" i="8" s="1"/>
  <c r="EC100" i="8"/>
  <c r="EB36" i="8"/>
  <c r="EB100" i="8" s="1"/>
  <c r="DZ36" i="8"/>
  <c r="DZ100" i="8" s="1"/>
  <c r="EA36" i="8"/>
  <c r="EA100" i="8" s="1"/>
  <c r="DY36" i="8"/>
  <c r="DY100" i="8" s="1"/>
  <c r="CE151" i="8"/>
  <c r="CJ131" i="8"/>
  <c r="BV150" i="8"/>
  <c r="BW130" i="8"/>
  <c r="BW144" i="8"/>
  <c r="BX124" i="8"/>
  <c r="BL158" i="8"/>
  <c r="DU118" i="8"/>
  <c r="DV63" i="8"/>
  <c r="CY125" i="8"/>
  <c r="EN56" i="10"/>
  <c r="N5" i="22"/>
  <c r="M12" i="22"/>
  <c r="Q197" i="1" l="1"/>
  <c r="P226" i="15"/>
  <c r="P114" i="1"/>
  <c r="P115" i="1" s="1"/>
  <c r="P128" i="1" s="1"/>
  <c r="P214" i="15"/>
  <c r="Q209" i="1"/>
  <c r="Q198" i="1"/>
  <c r="Q232" i="1" s="1"/>
  <c r="CP23" i="8"/>
  <c r="CP88" i="8" s="1"/>
  <c r="CV90" i="8"/>
  <c r="CQ23" i="8"/>
  <c r="CQ88" i="8" s="1"/>
  <c r="Q188" i="15"/>
  <c r="Q235" i="15" s="1"/>
  <c r="R184" i="1"/>
  <c r="R231" i="1" s="1"/>
  <c r="Q190" i="15"/>
  <c r="Q214" i="15" s="1"/>
  <c r="S143" i="1"/>
  <c r="T142" i="1"/>
  <c r="S141" i="1"/>
  <c r="S144" i="1" s="1"/>
  <c r="S140" i="1" s="1"/>
  <c r="S183" i="1" s="1"/>
  <c r="R186" i="1"/>
  <c r="R209" i="1" s="1"/>
  <c r="F14" i="89"/>
  <c r="F24" i="89" s="1"/>
  <c r="R185" i="1"/>
  <c r="R222" i="1" s="1"/>
  <c r="C10" i="73"/>
  <c r="C27" i="73" s="1"/>
  <c r="Q68" i="1"/>
  <c r="Q71" i="1" s="1"/>
  <c r="Q125" i="1" s="1"/>
  <c r="Q126" i="1" s="1"/>
  <c r="R187" i="15"/>
  <c r="R188" i="15" s="1"/>
  <c r="AA70" i="20"/>
  <c r="AA71" i="20" s="1"/>
  <c r="W26" i="21"/>
  <c r="W104" i="21"/>
  <c r="CC131" i="8"/>
  <c r="CB151" i="8"/>
  <c r="CC130" i="8"/>
  <c r="CB150" i="8"/>
  <c r="P233" i="15"/>
  <c r="P59" i="15"/>
  <c r="P111" i="15" s="1"/>
  <c r="P112" i="15" s="1"/>
  <c r="P114" i="15" s="1"/>
  <c r="AA74" i="20"/>
  <c r="AA155" i="19"/>
  <c r="AA157" i="19" s="1"/>
  <c r="Q43" i="1"/>
  <c r="Q53" i="1" s="1"/>
  <c r="Q59" i="1" s="1"/>
  <c r="Q107" i="1" s="1"/>
  <c r="U107" i="21"/>
  <c r="AE36" i="1"/>
  <c r="AE39" i="1" s="1"/>
  <c r="R23" i="4"/>
  <c r="R26" i="4" s="1"/>
  <c r="T45" i="12"/>
  <c r="T48" i="12" s="1"/>
  <c r="T51" i="12" s="1"/>
  <c r="Z80" i="20"/>
  <c r="Z47" i="20" s="1"/>
  <c r="Z102" i="20" s="1"/>
  <c r="Z92" i="20"/>
  <c r="AD39" i="19"/>
  <c r="AE136" i="1"/>
  <c r="AD137" i="1"/>
  <c r="AD138" i="1"/>
  <c r="CW90" i="8"/>
  <c r="O134" i="15"/>
  <c r="O231" i="15" s="1"/>
  <c r="I11" i="17" s="1"/>
  <c r="I10" i="17" s="1"/>
  <c r="P132" i="15"/>
  <c r="CX90" i="8"/>
  <c r="CU90" i="8"/>
  <c r="O110" i="1"/>
  <c r="O130" i="1" s="1"/>
  <c r="O227" i="1" s="1"/>
  <c r="I5" i="17" s="1"/>
  <c r="P98" i="15"/>
  <c r="R9" i="61"/>
  <c r="R12" i="61" s="1"/>
  <c r="S7" i="61"/>
  <c r="S9" i="61" s="1"/>
  <c r="S12" i="61" s="1"/>
  <c r="Q14" i="61"/>
  <c r="Q15" i="61" s="1"/>
  <c r="Q23" i="61" s="1"/>
  <c r="Q30" i="61" s="1"/>
  <c r="EA108" i="8"/>
  <c r="EA154" i="8"/>
  <c r="EB108" i="8"/>
  <c r="EB154" i="8"/>
  <c r="EH154" i="8"/>
  <c r="EH108" i="8"/>
  <c r="EG48" i="8"/>
  <c r="ED48" i="8"/>
  <c r="EE48" i="8"/>
  <c r="EF48" i="8"/>
  <c r="EM110" i="8"/>
  <c r="EM48" i="8"/>
  <c r="DY108" i="8"/>
  <c r="DY154" i="8"/>
  <c r="DZ108" i="8"/>
  <c r="DZ154" i="8"/>
  <c r="EH93" i="8"/>
  <c r="ED29" i="8"/>
  <c r="EF29" i="8"/>
  <c r="EH28" i="8"/>
  <c r="EG29" i="8"/>
  <c r="EM30" i="8"/>
  <c r="EM28" i="8" s="1"/>
  <c r="EE29" i="8"/>
  <c r="EA93" i="8"/>
  <c r="EA28" i="8"/>
  <c r="EA92" i="8" s="1"/>
  <c r="DZ93" i="8"/>
  <c r="DZ28" i="8"/>
  <c r="DZ92" i="8" s="1"/>
  <c r="EC92" i="8"/>
  <c r="EC147" i="8"/>
  <c r="DY93" i="8"/>
  <c r="DY28" i="8"/>
  <c r="DY92" i="8" s="1"/>
  <c r="EF30" i="8"/>
  <c r="EF94" i="8" s="1"/>
  <c r="ED30" i="8"/>
  <c r="ED94" i="8" s="1"/>
  <c r="EE30" i="8"/>
  <c r="EE94" i="8" s="1"/>
  <c r="EG30" i="8"/>
  <c r="EG94" i="8" s="1"/>
  <c r="EB93" i="8"/>
  <c r="EB28" i="8"/>
  <c r="EB92" i="8" s="1"/>
  <c r="EH94" i="8"/>
  <c r="EL29" i="8"/>
  <c r="EJ29" i="8"/>
  <c r="EK29" i="8"/>
  <c r="EI29" i="8"/>
  <c r="EM93" i="8"/>
  <c r="S9" i="12"/>
  <c r="CH15" i="8"/>
  <c r="CH81" i="8" s="1"/>
  <c r="CF15" i="8"/>
  <c r="CF81" i="8" s="1"/>
  <c r="CJ81" i="8"/>
  <c r="CI15" i="8"/>
  <c r="CI81" i="8" s="1"/>
  <c r="CG15" i="8"/>
  <c r="CG81" i="8" s="1"/>
  <c r="S66" i="12"/>
  <c r="V87" i="12"/>
  <c r="V105" i="12" s="1"/>
  <c r="V88" i="12"/>
  <c r="V106" i="12" s="1"/>
  <c r="V108" i="12" s="1"/>
  <c r="V16" i="12" s="1"/>
  <c r="V15" i="12" s="1"/>
  <c r="W60" i="12"/>
  <c r="AA55" i="12"/>
  <c r="AB54" i="12"/>
  <c r="X50" i="12"/>
  <c r="V44" i="12"/>
  <c r="U36" i="12"/>
  <c r="U39" i="12" s="1"/>
  <c r="U42" i="12" s="1"/>
  <c r="V35" i="12"/>
  <c r="W47" i="12"/>
  <c r="X41" i="12"/>
  <c r="W31" i="12"/>
  <c r="X30" i="12"/>
  <c r="Y68" i="12"/>
  <c r="U25" i="12"/>
  <c r="W38" i="12"/>
  <c r="AB107" i="12"/>
  <c r="CO81" i="8"/>
  <c r="S67" i="12"/>
  <c r="S69" i="12" s="1"/>
  <c r="S13" i="12" s="1"/>
  <c r="S12" i="12" s="1"/>
  <c r="X80" i="12"/>
  <c r="W81" i="12"/>
  <c r="Q8" i="12"/>
  <c r="Z86" i="12"/>
  <c r="Y75" i="12"/>
  <c r="Z74" i="12"/>
  <c r="T66" i="12"/>
  <c r="T67" i="12"/>
  <c r="T69" i="12" s="1"/>
  <c r="T13" i="12" s="1"/>
  <c r="T12" i="12" s="1"/>
  <c r="U20" i="12"/>
  <c r="T23" i="12"/>
  <c r="T26" i="12" s="1"/>
  <c r="T10" i="12" s="1"/>
  <c r="R8" i="12"/>
  <c r="DB25" i="8"/>
  <c r="CZ25" i="8"/>
  <c r="DC25" i="8"/>
  <c r="DC89" i="8" s="1"/>
  <c r="DA25" i="8"/>
  <c r="DD89" i="8"/>
  <c r="DI26" i="8"/>
  <c r="DD23" i="8"/>
  <c r="U66" i="13"/>
  <c r="V27" i="13"/>
  <c r="U68" i="13"/>
  <c r="V64" i="13"/>
  <c r="Y88" i="13"/>
  <c r="CY88" i="8"/>
  <c r="CY146" i="8"/>
  <c r="CV89" i="8"/>
  <c r="CV23" i="8"/>
  <c r="CU89" i="8"/>
  <c r="CU23" i="8"/>
  <c r="T71" i="13"/>
  <c r="T72" i="13" s="1"/>
  <c r="U63" i="13"/>
  <c r="U61" i="13" s="1"/>
  <c r="Z92" i="13"/>
  <c r="T61" i="13"/>
  <c r="T69" i="13"/>
  <c r="CX23" i="8"/>
  <c r="CX89" i="8"/>
  <c r="DC26" i="8"/>
  <c r="DC90" i="8" s="1"/>
  <c r="CZ26" i="8"/>
  <c r="CZ90" i="8" s="1"/>
  <c r="DD90" i="8"/>
  <c r="DA26" i="8"/>
  <c r="DA90" i="8" s="1"/>
  <c r="DB26" i="8"/>
  <c r="DB90" i="8" s="1"/>
  <c r="CW89" i="8"/>
  <c r="CW23" i="8"/>
  <c r="Y81" i="13"/>
  <c r="X82" i="13"/>
  <c r="X80" i="13"/>
  <c r="X83" i="13"/>
  <c r="V62" i="13"/>
  <c r="W77" i="13"/>
  <c r="V79" i="13"/>
  <c r="CR23" i="8"/>
  <c r="CR88" i="8" s="1"/>
  <c r="CS23" i="8"/>
  <c r="CS88" i="8" s="1"/>
  <c r="R29" i="4"/>
  <c r="R31" i="4" s="1"/>
  <c r="V59" i="4"/>
  <c r="W30" i="4"/>
  <c r="V35" i="4"/>
  <c r="U37" i="4"/>
  <c r="R53" i="4"/>
  <c r="R55" i="4" s="1"/>
  <c r="L12" i="17" s="1"/>
  <c r="R58" i="4"/>
  <c r="R60" i="4" s="1"/>
  <c r="S7" i="4"/>
  <c r="S8" i="4"/>
  <c r="T4" i="4"/>
  <c r="AE18" i="4"/>
  <c r="AC13" i="4"/>
  <c r="X54" i="4"/>
  <c r="AB24" i="4"/>
  <c r="S38" i="4"/>
  <c r="T36" i="4"/>
  <c r="AE107" i="15"/>
  <c r="AE95" i="15"/>
  <c r="AE94" i="15"/>
  <c r="AE93" i="15"/>
  <c r="AD110" i="15"/>
  <c r="AD109" i="15"/>
  <c r="AD108" i="15"/>
  <c r="P236" i="15"/>
  <c r="T141" i="15"/>
  <c r="U140" i="15"/>
  <c r="T142" i="15"/>
  <c r="AB9" i="15"/>
  <c r="U20" i="15"/>
  <c r="T22" i="15"/>
  <c r="R62" i="15"/>
  <c r="R69" i="15" s="1"/>
  <c r="O135" i="15"/>
  <c r="Q85" i="15"/>
  <c r="Q86" i="15" s="1"/>
  <c r="Q40" i="15"/>
  <c r="Q96" i="15" s="1"/>
  <c r="Q97" i="15" s="1"/>
  <c r="R25" i="15"/>
  <c r="R34" i="15" s="1"/>
  <c r="AC84" i="15"/>
  <c r="AB88" i="15"/>
  <c r="Q43" i="15"/>
  <c r="Q53" i="15" s="1"/>
  <c r="Q226" i="15"/>
  <c r="Q225" i="15"/>
  <c r="S178" i="15"/>
  <c r="S176" i="15"/>
  <c r="S177" i="15"/>
  <c r="AC11" i="15"/>
  <c r="P131" i="15"/>
  <c r="S163" i="15"/>
  <c r="S144" i="15"/>
  <c r="S25" i="15"/>
  <c r="S34" i="15" s="1"/>
  <c r="AD102" i="15"/>
  <c r="AA195" i="15"/>
  <c r="AB80" i="15"/>
  <c r="Z28" i="15"/>
  <c r="X21" i="15"/>
  <c r="S17" i="15"/>
  <c r="T16" i="15"/>
  <c r="T10" i="15"/>
  <c r="T13" i="15"/>
  <c r="U8" i="15" s="1"/>
  <c r="R165" i="15"/>
  <c r="R166" i="15"/>
  <c r="R164" i="15"/>
  <c r="AD117" i="15"/>
  <c r="AC121" i="15"/>
  <c r="AD56" i="15"/>
  <c r="AC55" i="15"/>
  <c r="AC58" i="15"/>
  <c r="Q118" i="15"/>
  <c r="Q119" i="15" s="1"/>
  <c r="Q75" i="15"/>
  <c r="Q129" i="15" s="1"/>
  <c r="Q130" i="15" s="1"/>
  <c r="T175" i="15"/>
  <c r="U143" i="15"/>
  <c r="AA65" i="15"/>
  <c r="AC47" i="15"/>
  <c r="AB46" i="15"/>
  <c r="AB49" i="15"/>
  <c r="N230" i="1"/>
  <c r="N228" i="1"/>
  <c r="S173" i="1"/>
  <c r="S174" i="1"/>
  <c r="S172" i="1"/>
  <c r="AA191" i="1"/>
  <c r="AB76" i="1"/>
  <c r="AB9" i="1"/>
  <c r="AD80" i="1"/>
  <c r="AC84" i="1"/>
  <c r="AC21" i="1"/>
  <c r="AC11" i="1"/>
  <c r="AE178" i="1"/>
  <c r="AE181" i="1" s="1"/>
  <c r="S17" i="1"/>
  <c r="T16" i="1"/>
  <c r="AB65" i="1"/>
  <c r="AC46" i="1"/>
  <c r="AD47" i="1"/>
  <c r="AC49" i="1"/>
  <c r="AD98" i="1"/>
  <c r="AC102" i="1"/>
  <c r="AD166" i="1"/>
  <c r="AC169" i="1"/>
  <c r="W20" i="1"/>
  <c r="V22" i="1"/>
  <c r="T171" i="1"/>
  <c r="U139" i="1"/>
  <c r="Q81" i="1"/>
  <c r="Q82" i="1" s="1"/>
  <c r="Q40" i="1"/>
  <c r="Q92" i="1" s="1"/>
  <c r="Q93" i="1" s="1"/>
  <c r="AC113" i="1"/>
  <c r="AB117" i="1"/>
  <c r="AA28" i="1"/>
  <c r="AA66" i="1"/>
  <c r="O109" i="1"/>
  <c r="O131" i="1" s="1"/>
  <c r="U134" i="1"/>
  <c r="U159" i="1" s="1"/>
  <c r="U12" i="1"/>
  <c r="P99" i="1"/>
  <c r="P100" i="1" s="1"/>
  <c r="P59" i="1"/>
  <c r="P107" i="1" s="1"/>
  <c r="P108" i="1" s="1"/>
  <c r="P94" i="1"/>
  <c r="P229" i="1"/>
  <c r="R62" i="1"/>
  <c r="R25" i="1"/>
  <c r="R34" i="1" s="1"/>
  <c r="X217" i="1"/>
  <c r="P127" i="1"/>
  <c r="W14" i="17"/>
  <c r="W6" i="21"/>
  <c r="V61" i="21"/>
  <c r="W60" i="21"/>
  <c r="W61" i="21" s="1"/>
  <c r="V71" i="21"/>
  <c r="W70" i="21"/>
  <c r="W71" i="21" s="1"/>
  <c r="AD31" i="19"/>
  <c r="AD43" i="20" s="1"/>
  <c r="U15" i="21"/>
  <c r="T16" i="21"/>
  <c r="T105" i="21" s="1"/>
  <c r="DY23" i="10" s="1"/>
  <c r="AE39" i="19"/>
  <c r="AA14" i="19"/>
  <c r="AA171" i="19" s="1"/>
  <c r="W115" i="19"/>
  <c r="T118" i="19"/>
  <c r="AE154" i="19"/>
  <c r="AE15" i="19" s="1"/>
  <c r="AD15" i="19"/>
  <c r="AB153" i="19"/>
  <c r="AB152" i="19" s="1"/>
  <c r="AB148" i="19"/>
  <c r="AC149" i="19"/>
  <c r="Y112" i="19"/>
  <c r="AE175" i="19"/>
  <c r="DD125" i="8"/>
  <c r="DV118" i="8"/>
  <c r="DW63" i="8"/>
  <c r="BL138" i="8"/>
  <c r="DT117" i="8"/>
  <c r="EC117" i="8"/>
  <c r="EA62" i="8"/>
  <c r="EA117" i="8" s="1"/>
  <c r="DY62" i="8"/>
  <c r="EH62" i="8"/>
  <c r="EB62" i="8"/>
  <c r="EB117" i="8" s="1"/>
  <c r="DZ62" i="8"/>
  <c r="DZ117" i="8" s="1"/>
  <c r="ED5" i="10"/>
  <c r="CT124" i="8"/>
  <c r="BN143" i="8"/>
  <c r="BO123" i="8"/>
  <c r="BO143" i="8" s="1"/>
  <c r="EH114" i="8"/>
  <c r="EM42" i="8"/>
  <c r="ED42" i="8"/>
  <c r="EH158" i="8"/>
  <c r="CJ150" i="8"/>
  <c r="CO130" i="8"/>
  <c r="BW151" i="8"/>
  <c r="BX131" i="8"/>
  <c r="BX144" i="8"/>
  <c r="BY124" i="8"/>
  <c r="BW150" i="8"/>
  <c r="BX130" i="8"/>
  <c r="CJ151" i="8"/>
  <c r="CO131" i="8"/>
  <c r="EH100" i="8"/>
  <c r="EF36" i="8"/>
  <c r="EF100" i="8" s="1"/>
  <c r="ED36" i="8"/>
  <c r="ED100" i="8" s="1"/>
  <c r="EG36" i="8"/>
  <c r="EG100" i="8" s="1"/>
  <c r="EE36" i="8"/>
  <c r="EE100" i="8" s="1"/>
  <c r="EH102" i="8"/>
  <c r="EM38" i="8"/>
  <c r="EG38" i="8"/>
  <c r="EG102" i="8" s="1"/>
  <c r="EE38" i="8"/>
  <c r="EE102" i="8" s="1"/>
  <c r="EF38" i="8"/>
  <c r="EF102" i="8" s="1"/>
  <c r="ED38" i="8"/>
  <c r="ED102" i="8" s="1"/>
  <c r="DR42" i="8"/>
  <c r="DR114" i="8" s="1"/>
  <c r="EM118" i="8"/>
  <c r="EI63" i="8"/>
  <c r="ED118" i="8"/>
  <c r="EE63" i="8"/>
  <c r="DZ118" i="8"/>
  <c r="EA63" i="8"/>
  <c r="DY114" i="8"/>
  <c r="DZ42" i="8"/>
  <c r="DU114" i="8"/>
  <c r="DV42" i="8"/>
  <c r="N12" i="22"/>
  <c r="O5" i="22"/>
  <c r="Q114" i="1" l="1"/>
  <c r="Q115" i="1" s="1"/>
  <c r="Q128" i="1" s="1"/>
  <c r="R210" i="1"/>
  <c r="Q213" i="15"/>
  <c r="R197" i="1"/>
  <c r="R198" i="1"/>
  <c r="R232" i="1" s="1"/>
  <c r="CU88" i="8"/>
  <c r="Q202" i="15"/>
  <c r="Q236" i="15" s="1"/>
  <c r="Q201" i="15"/>
  <c r="CV88" i="8"/>
  <c r="R190" i="15"/>
  <c r="R214" i="15" s="1"/>
  <c r="S186" i="1"/>
  <c r="S209" i="1" s="1"/>
  <c r="CE20" i="8" s="1"/>
  <c r="R189" i="15"/>
  <c r="R225" i="15" s="1"/>
  <c r="R43" i="1"/>
  <c r="R53" i="1" s="1"/>
  <c r="R59" i="1" s="1"/>
  <c r="R107" i="1" s="1"/>
  <c r="R108" i="1" s="1"/>
  <c r="U142" i="1"/>
  <c r="T141" i="1"/>
  <c r="T144" i="1" s="1"/>
  <c r="T140" i="1" s="1"/>
  <c r="T183" i="1" s="1"/>
  <c r="T143" i="1"/>
  <c r="S184" i="1"/>
  <c r="S198" i="1" s="1"/>
  <c r="R221" i="1"/>
  <c r="C16" i="73"/>
  <c r="C19" i="73" s="1"/>
  <c r="C20" i="73" s="1"/>
  <c r="C21" i="73" s="1"/>
  <c r="C23" i="73" s="1"/>
  <c r="BZ56" i="8" s="1"/>
  <c r="C12" i="73"/>
  <c r="BZ57" i="8"/>
  <c r="BZ156" i="8" s="1"/>
  <c r="S185" i="1"/>
  <c r="S222" i="1" s="1"/>
  <c r="R68" i="1"/>
  <c r="R114" i="1" s="1"/>
  <c r="R115" i="1" s="1"/>
  <c r="Q95" i="1"/>
  <c r="D16" i="73"/>
  <c r="D19" i="73" s="1"/>
  <c r="D20" i="73" s="1"/>
  <c r="D21" i="73" s="1"/>
  <c r="D23" i="73" s="1"/>
  <c r="CE56" i="8" s="1"/>
  <c r="S187" i="15"/>
  <c r="S190" i="15" s="1"/>
  <c r="G14" i="89"/>
  <c r="G24" i="89" s="1"/>
  <c r="AA76" i="20"/>
  <c r="AA80" i="20" s="1"/>
  <c r="AA47" i="20" s="1"/>
  <c r="AA102" i="20" s="1"/>
  <c r="AA82" i="20"/>
  <c r="AB70" i="20"/>
  <c r="AB76" i="20" s="1"/>
  <c r="AB80" i="20" s="1"/>
  <c r="AB47" i="20" s="1"/>
  <c r="AB102" i="20" s="1"/>
  <c r="CD130" i="8"/>
  <c r="CD150" i="8" s="1"/>
  <c r="CC150" i="8"/>
  <c r="CD131" i="8"/>
  <c r="CD151" i="8" s="1"/>
  <c r="CC151" i="8"/>
  <c r="Q99" i="1"/>
  <c r="Q100" i="1" s="1"/>
  <c r="Q229" i="1"/>
  <c r="P113" i="15"/>
  <c r="P135" i="15" s="1"/>
  <c r="P234" i="15" s="1"/>
  <c r="AB155" i="19"/>
  <c r="V107" i="21"/>
  <c r="S23" i="4"/>
  <c r="S26" i="4" s="1"/>
  <c r="U69" i="13"/>
  <c r="AA91" i="20"/>
  <c r="DO86" i="10"/>
  <c r="DO87" i="10" s="1"/>
  <c r="AE138" i="1"/>
  <c r="AE137" i="1"/>
  <c r="CM15" i="8"/>
  <c r="CM81" i="8" s="1"/>
  <c r="P134" i="15"/>
  <c r="P231" i="15" s="1"/>
  <c r="J11" i="17" s="1"/>
  <c r="J10" i="17" s="1"/>
  <c r="P110" i="1"/>
  <c r="P130" i="1" s="1"/>
  <c r="P227" i="1" s="1"/>
  <c r="J5" i="17" s="1"/>
  <c r="CL15" i="8"/>
  <c r="CL81" i="8" s="1"/>
  <c r="Q131" i="15"/>
  <c r="CK15" i="8"/>
  <c r="CK81" i="8" s="1"/>
  <c r="Q132" i="15"/>
  <c r="Q98" i="15"/>
  <c r="CN15" i="8"/>
  <c r="CN81" i="8" s="1"/>
  <c r="S14" i="61"/>
  <c r="S15" i="61" s="1"/>
  <c r="S23" i="61" s="1"/>
  <c r="S30" i="61" s="1"/>
  <c r="R14" i="61"/>
  <c r="R15" i="61" s="1"/>
  <c r="R23" i="61" s="1"/>
  <c r="R30" i="61" s="1"/>
  <c r="EM108" i="8"/>
  <c r="EM154" i="8"/>
  <c r="EJ48" i="8"/>
  <c r="EI48" i="8"/>
  <c r="EK48" i="8"/>
  <c r="EL48" i="8"/>
  <c r="EF108" i="8"/>
  <c r="EF154" i="8"/>
  <c r="ED108" i="8"/>
  <c r="ED154" i="8"/>
  <c r="EE154" i="8"/>
  <c r="EE108" i="8"/>
  <c r="EG108" i="8"/>
  <c r="EG154" i="8"/>
  <c r="EM92" i="8"/>
  <c r="EM147" i="8"/>
  <c r="EI93" i="8"/>
  <c r="EM94" i="8"/>
  <c r="EI30" i="8"/>
  <c r="EI94" i="8" s="1"/>
  <c r="EL30" i="8"/>
  <c r="EL94" i="8" s="1"/>
  <c r="EK30" i="8"/>
  <c r="EK94" i="8" s="1"/>
  <c r="EJ30" i="8"/>
  <c r="EJ94" i="8" s="1"/>
  <c r="EH92" i="8"/>
  <c r="EH147" i="8"/>
  <c r="ED93" i="8"/>
  <c r="ED28" i="8"/>
  <c r="ED92" i="8" s="1"/>
  <c r="EK93" i="8"/>
  <c r="EL93" i="8"/>
  <c r="EJ93" i="8"/>
  <c r="EE28" i="8"/>
  <c r="EE92" i="8" s="1"/>
  <c r="EE93" i="8"/>
  <c r="EG93" i="8"/>
  <c r="EG28" i="8"/>
  <c r="EG92" i="8" s="1"/>
  <c r="EF93" i="8"/>
  <c r="EF28" i="8"/>
  <c r="EF92" i="8" s="1"/>
  <c r="T9" i="12"/>
  <c r="T6" i="12" s="1"/>
  <c r="T7" i="12"/>
  <c r="CY15" i="8" s="1"/>
  <c r="Z75" i="12"/>
  <c r="AA74" i="12"/>
  <c r="AA86" i="12"/>
  <c r="W87" i="12"/>
  <c r="W105" i="12" s="1"/>
  <c r="W88" i="12"/>
  <c r="X38" i="12"/>
  <c r="V25" i="12"/>
  <c r="Z68" i="12"/>
  <c r="U67" i="12"/>
  <c r="U69" i="12" s="1"/>
  <c r="U13" i="12" s="1"/>
  <c r="U12" i="12" s="1"/>
  <c r="U45" i="12"/>
  <c r="U48" i="12" s="1"/>
  <c r="U51" i="12" s="1"/>
  <c r="X60" i="12"/>
  <c r="S7" i="12"/>
  <c r="CT15" i="8" s="1"/>
  <c r="V20" i="12"/>
  <c r="U23" i="12"/>
  <c r="U26" i="12" s="1"/>
  <c r="U10" i="12" s="1"/>
  <c r="X81" i="12"/>
  <c r="Y80" i="12"/>
  <c r="X31" i="12"/>
  <c r="Y30" i="12"/>
  <c r="Y41" i="12"/>
  <c r="X47" i="12"/>
  <c r="V36" i="12"/>
  <c r="V39" i="12" s="1"/>
  <c r="V42" i="12" s="1"/>
  <c r="W35" i="12"/>
  <c r="W44" i="12"/>
  <c r="Y50" i="12"/>
  <c r="AB55" i="12"/>
  <c r="S6" i="12"/>
  <c r="DI90" i="8"/>
  <c r="DE26" i="8"/>
  <c r="DE90" i="8" s="1"/>
  <c r="DH26" i="8"/>
  <c r="DH90" i="8" s="1"/>
  <c r="DG26" i="8"/>
  <c r="DG90" i="8" s="1"/>
  <c r="DN26" i="8"/>
  <c r="DF26" i="8"/>
  <c r="DF90" i="8" s="1"/>
  <c r="DA89" i="8"/>
  <c r="DA23" i="8"/>
  <c r="DA88" i="8" s="1"/>
  <c r="CZ89" i="8"/>
  <c r="CZ23" i="8"/>
  <c r="CZ88" i="8" s="1"/>
  <c r="X77" i="13"/>
  <c r="W79" i="13"/>
  <c r="W62" i="13"/>
  <c r="V61" i="13"/>
  <c r="Y82" i="13"/>
  <c r="Y80" i="13"/>
  <c r="Z81" i="13"/>
  <c r="Y83" i="13"/>
  <c r="CW88" i="8"/>
  <c r="CX88" i="8"/>
  <c r="T85" i="13"/>
  <c r="T90" i="13" s="1"/>
  <c r="T93" i="13" s="1"/>
  <c r="T95" i="13" s="1"/>
  <c r="DI25" i="8" s="1"/>
  <c r="U71" i="13"/>
  <c r="U72" i="13" s="1"/>
  <c r="U85" i="13" s="1"/>
  <c r="U90" i="13" s="1"/>
  <c r="U93" i="13" s="1"/>
  <c r="U95" i="13" s="1"/>
  <c r="DN25" i="8" s="1"/>
  <c r="V63" i="13"/>
  <c r="Z88" i="13"/>
  <c r="V68" i="13"/>
  <c r="W64" i="13"/>
  <c r="V66" i="13"/>
  <c r="W27" i="13"/>
  <c r="DD88" i="8"/>
  <c r="DD146" i="8"/>
  <c r="DC23" i="8"/>
  <c r="DC88" i="8" s="1"/>
  <c r="DB89" i="8"/>
  <c r="DB23" i="8"/>
  <c r="DB88" i="8" s="1"/>
  <c r="U36" i="4"/>
  <c r="T38" i="4"/>
  <c r="AD13" i="4"/>
  <c r="T8" i="4"/>
  <c r="U4" i="4"/>
  <c r="T7" i="4"/>
  <c r="V37" i="4"/>
  <c r="W35" i="4"/>
  <c r="S53" i="4"/>
  <c r="S55" i="4" s="1"/>
  <c r="M12" i="17" s="1"/>
  <c r="S58" i="4"/>
  <c r="S60" i="4" s="1"/>
  <c r="CE11" i="8" s="1"/>
  <c r="AC24" i="4"/>
  <c r="Y54" i="4"/>
  <c r="S29" i="4"/>
  <c r="S31" i="4" s="1"/>
  <c r="CE10" i="8" s="1"/>
  <c r="BZ78" i="8"/>
  <c r="X30" i="4"/>
  <c r="W59" i="4"/>
  <c r="BZ77" i="8"/>
  <c r="AB65" i="15"/>
  <c r="AD47" i="15"/>
  <c r="AC46" i="15"/>
  <c r="AC49" i="15"/>
  <c r="T177" i="15"/>
  <c r="T178" i="15"/>
  <c r="T176" i="15"/>
  <c r="AE56" i="15"/>
  <c r="AD55" i="15"/>
  <c r="AD58" i="15"/>
  <c r="AE117" i="15"/>
  <c r="AD121" i="15"/>
  <c r="R201" i="15"/>
  <c r="R202" i="15"/>
  <c r="U138" i="15"/>
  <c r="U12" i="15"/>
  <c r="T17" i="15"/>
  <c r="U16" i="15"/>
  <c r="Y21" i="15"/>
  <c r="AA28" i="15"/>
  <c r="AB195" i="15"/>
  <c r="AC80" i="15"/>
  <c r="AE102" i="15"/>
  <c r="AE106" i="15" s="1"/>
  <c r="S85" i="15"/>
  <c r="S86" i="15" s="1"/>
  <c r="S40" i="15"/>
  <c r="S96" i="15" s="1"/>
  <c r="S166" i="15"/>
  <c r="S164" i="15"/>
  <c r="S165" i="15"/>
  <c r="AD11" i="15"/>
  <c r="Q103" i="15"/>
  <c r="Q104" i="15" s="1"/>
  <c r="Q59" i="15"/>
  <c r="Q111" i="15" s="1"/>
  <c r="Q112" i="15" s="1"/>
  <c r="AD84" i="15"/>
  <c r="AC88" i="15"/>
  <c r="R85" i="15"/>
  <c r="R86" i="15" s="1"/>
  <c r="R40" i="15"/>
  <c r="R96" i="15" s="1"/>
  <c r="R97" i="15" s="1"/>
  <c r="R235" i="15"/>
  <c r="O234" i="15"/>
  <c r="O232" i="15"/>
  <c r="R118" i="15"/>
  <c r="R119" i="15" s="1"/>
  <c r="R75" i="15"/>
  <c r="R129" i="15" s="1"/>
  <c r="R130" i="15" s="1"/>
  <c r="V20" i="15"/>
  <c r="U22" i="15"/>
  <c r="AC9" i="15"/>
  <c r="U141" i="15"/>
  <c r="V140" i="15"/>
  <c r="U142" i="15"/>
  <c r="AE110" i="15"/>
  <c r="AE109" i="15"/>
  <c r="AE108" i="15"/>
  <c r="U175" i="15"/>
  <c r="V143" i="15"/>
  <c r="S43" i="15"/>
  <c r="S53" i="15" s="1"/>
  <c r="S62" i="15"/>
  <c r="S69" i="15" s="1"/>
  <c r="Q99" i="15"/>
  <c r="Q233" i="15"/>
  <c r="R43" i="15"/>
  <c r="R53" i="15" s="1"/>
  <c r="T25" i="15"/>
  <c r="T34" i="15" s="1"/>
  <c r="T163" i="15"/>
  <c r="T144" i="15"/>
  <c r="AD106" i="15"/>
  <c r="O230" i="1"/>
  <c r="O228" i="1"/>
  <c r="U10" i="1"/>
  <c r="U13" i="1"/>
  <c r="V8" i="1" s="1"/>
  <c r="AB28" i="1"/>
  <c r="AD113" i="1"/>
  <c r="AC117" i="1"/>
  <c r="U171" i="1"/>
  <c r="V139" i="1"/>
  <c r="AE98" i="1"/>
  <c r="AD102" i="1"/>
  <c r="AE47" i="1"/>
  <c r="AD46" i="1"/>
  <c r="AD49" i="1" s="1"/>
  <c r="T17" i="1"/>
  <c r="U16" i="1"/>
  <c r="Q108" i="1"/>
  <c r="AB191" i="1"/>
  <c r="AC76" i="1"/>
  <c r="Y217" i="1"/>
  <c r="R81" i="1"/>
  <c r="R82" i="1" s="1"/>
  <c r="R40" i="1"/>
  <c r="R92" i="1" s="1"/>
  <c r="R93" i="1" s="1"/>
  <c r="P109" i="1"/>
  <c r="P131" i="1" s="1"/>
  <c r="U161" i="1"/>
  <c r="U162" i="1"/>
  <c r="U160" i="1"/>
  <c r="Q127" i="1"/>
  <c r="Q94" i="1"/>
  <c r="T174" i="1"/>
  <c r="T172" i="1"/>
  <c r="T173" i="1"/>
  <c r="X20" i="1"/>
  <c r="W22" i="1"/>
  <c r="AE166" i="1"/>
  <c r="AE169" i="1" s="1"/>
  <c r="AD169" i="1"/>
  <c r="AC65" i="1"/>
  <c r="AB66" i="1"/>
  <c r="S62" i="1"/>
  <c r="S25" i="1"/>
  <c r="S34" i="1" s="1"/>
  <c r="BZ85" i="8"/>
  <c r="AD11" i="1"/>
  <c r="AD21" i="1"/>
  <c r="AE80" i="1"/>
  <c r="AD84" i="1"/>
  <c r="AC9" i="1"/>
  <c r="Q109" i="1"/>
  <c r="X14" i="17"/>
  <c r="U16" i="21"/>
  <c r="U105" i="21" s="1"/>
  <c r="ED23" i="10" s="1"/>
  <c r="V15" i="21"/>
  <c r="AE31" i="19"/>
  <c r="AE43" i="20" s="1"/>
  <c r="AB157" i="19"/>
  <c r="AB14" i="19"/>
  <c r="AB171" i="19" s="1"/>
  <c r="Z112" i="19"/>
  <c r="AC153" i="19"/>
  <c r="AC152" i="19" s="1"/>
  <c r="AD149" i="19"/>
  <c r="AC148" i="19"/>
  <c r="U118" i="19"/>
  <c r="X115" i="19"/>
  <c r="EE118" i="8"/>
  <c r="EF63" i="8"/>
  <c r="EM102" i="8"/>
  <c r="EK38" i="8"/>
  <c r="EK102" i="8" s="1"/>
  <c r="EI38" i="8"/>
  <c r="EI102" i="8" s="1"/>
  <c r="EL38" i="8"/>
  <c r="EL102" i="8" s="1"/>
  <c r="EJ38" i="8"/>
  <c r="EJ102" i="8" s="1"/>
  <c r="EM100" i="8"/>
  <c r="EL36" i="8"/>
  <c r="EL100" i="8" s="1"/>
  <c r="EJ36" i="8"/>
  <c r="EJ100" i="8" s="1"/>
  <c r="EK36" i="8"/>
  <c r="EK100" i="8" s="1"/>
  <c r="EI36" i="8"/>
  <c r="EI100" i="8" s="1"/>
  <c r="CO151" i="8"/>
  <c r="CT131" i="8"/>
  <c r="BX150" i="8"/>
  <c r="BY130" i="8"/>
  <c r="BY150" i="8" s="1"/>
  <c r="ED114" i="8"/>
  <c r="EE42" i="8"/>
  <c r="EM114" i="8"/>
  <c r="EI42" i="8"/>
  <c r="EM158" i="8"/>
  <c r="CY124" i="8"/>
  <c r="EH117" i="8"/>
  <c r="EM62" i="8"/>
  <c r="EG62" i="8"/>
  <c r="EG117" i="8" s="1"/>
  <c r="EE62" i="8"/>
  <c r="EE117" i="8" s="1"/>
  <c r="EF62" i="8"/>
  <c r="EF117" i="8" s="1"/>
  <c r="ED62" i="8"/>
  <c r="EI5" i="10"/>
  <c r="DI125" i="8"/>
  <c r="DV114" i="8"/>
  <c r="DW42" i="8"/>
  <c r="DW114" i="8" s="1"/>
  <c r="DZ114" i="8"/>
  <c r="EA42" i="8"/>
  <c r="EA114" i="8" s="1"/>
  <c r="EB42" i="8"/>
  <c r="EA118" i="8"/>
  <c r="EB63" i="8"/>
  <c r="EI118" i="8"/>
  <c r="EJ63" i="8"/>
  <c r="BX151" i="8"/>
  <c r="BY131" i="8"/>
  <c r="BY151" i="8" s="1"/>
  <c r="CO150" i="8"/>
  <c r="CT130" i="8"/>
  <c r="BN158" i="8"/>
  <c r="BP143" i="8"/>
  <c r="DY117" i="8"/>
  <c r="DW118" i="8"/>
  <c r="P5" i="22"/>
  <c r="O12" i="22"/>
  <c r="S188" i="15" l="1"/>
  <c r="S235" i="15" s="1"/>
  <c r="R213" i="15"/>
  <c r="R226" i="15"/>
  <c r="S231" i="1"/>
  <c r="R99" i="1"/>
  <c r="R100" i="1" s="1"/>
  <c r="R110" i="1" s="1"/>
  <c r="S189" i="15"/>
  <c r="S225" i="15" s="1"/>
  <c r="S197" i="1"/>
  <c r="S210" i="1"/>
  <c r="R229" i="1"/>
  <c r="R71" i="1"/>
  <c r="R125" i="1" s="1"/>
  <c r="R126" i="1" s="1"/>
  <c r="R128" i="1" s="1"/>
  <c r="V142" i="1"/>
  <c r="U141" i="1"/>
  <c r="U144" i="1" s="1"/>
  <c r="U140" i="1" s="1"/>
  <c r="U183" i="1" s="1"/>
  <c r="U143" i="1"/>
  <c r="BZ54" i="8"/>
  <c r="S221" i="1"/>
  <c r="T185" i="1"/>
  <c r="T221" i="1" s="1"/>
  <c r="H14" i="89"/>
  <c r="H24" i="89" s="1"/>
  <c r="T186" i="1"/>
  <c r="T210" i="1" s="1"/>
  <c r="E10" i="73"/>
  <c r="E12" i="73" s="1"/>
  <c r="T184" i="1"/>
  <c r="T231" i="1" s="1"/>
  <c r="D10" i="73"/>
  <c r="D27" i="73" s="1"/>
  <c r="S68" i="1"/>
  <c r="S114" i="1" s="1"/>
  <c r="S115" i="1" s="1"/>
  <c r="T187" i="15"/>
  <c r="T190" i="15" s="1"/>
  <c r="AC155" i="19"/>
  <c r="AC157" i="19" s="1"/>
  <c r="AB74" i="20"/>
  <c r="AB82" i="20"/>
  <c r="AC70" i="20" s="1"/>
  <c r="AB71" i="20"/>
  <c r="W107" i="21"/>
  <c r="Q110" i="1"/>
  <c r="Q130" i="1" s="1"/>
  <c r="Q227" i="1" s="1"/>
  <c r="K5" i="17" s="1"/>
  <c r="CB20" i="8"/>
  <c r="CA20" i="8"/>
  <c r="CC20" i="8"/>
  <c r="EB114" i="8"/>
  <c r="V45" i="12"/>
  <c r="V48" i="12" s="1"/>
  <c r="V51" i="12" s="1"/>
  <c r="T23" i="4"/>
  <c r="T26" i="4" s="1"/>
  <c r="Z63" i="20"/>
  <c r="Z65" i="20" s="1"/>
  <c r="Z99" i="20"/>
  <c r="AA92" i="20"/>
  <c r="AB91" i="20" s="1"/>
  <c r="R99" i="15"/>
  <c r="P232" i="15"/>
  <c r="R94" i="1"/>
  <c r="R98" i="15"/>
  <c r="R132" i="15"/>
  <c r="EL28" i="8"/>
  <c r="EL92" i="8" s="1"/>
  <c r="Q113" i="15"/>
  <c r="Q135" i="15" s="1"/>
  <c r="Q234" i="15" s="1"/>
  <c r="Q114" i="15"/>
  <c r="Q134" i="15" s="1"/>
  <c r="Q231" i="15" s="1"/>
  <c r="K11" i="17" s="1"/>
  <c r="K10" i="17" s="1"/>
  <c r="R109" i="1"/>
  <c r="S233" i="15"/>
  <c r="EI28" i="8"/>
  <c r="EI92" i="8" s="1"/>
  <c r="EK28" i="8"/>
  <c r="EK92" i="8" s="1"/>
  <c r="EL154" i="8"/>
  <c r="EL108" i="8"/>
  <c r="EI108" i="8"/>
  <c r="EI154" i="8"/>
  <c r="EK108" i="8"/>
  <c r="EK154" i="8"/>
  <c r="EJ108" i="8"/>
  <c r="EJ154" i="8"/>
  <c r="EJ28" i="8"/>
  <c r="EJ92" i="8" s="1"/>
  <c r="U9" i="12"/>
  <c r="U6" i="12" s="1"/>
  <c r="U7" i="12"/>
  <c r="DD15" i="8" s="1"/>
  <c r="Z50" i="12"/>
  <c r="X44" i="12"/>
  <c r="W36" i="12"/>
  <c r="W39" i="12" s="1"/>
  <c r="W42" i="12" s="1"/>
  <c r="X35" i="12"/>
  <c r="Y47" i="12"/>
  <c r="Z41" i="12"/>
  <c r="Y31" i="12"/>
  <c r="Z30" i="12"/>
  <c r="Y81" i="12"/>
  <c r="Z80" i="12"/>
  <c r="CT81" i="8"/>
  <c r="CR15" i="8"/>
  <c r="CR81" i="8" s="1"/>
  <c r="CP15" i="8"/>
  <c r="CP81" i="8" s="1"/>
  <c r="CQ15" i="8"/>
  <c r="CQ81" i="8" s="1"/>
  <c r="CS15" i="8"/>
  <c r="CS81" i="8" s="1"/>
  <c r="Y60" i="12"/>
  <c r="AA68" i="12"/>
  <c r="W25" i="12"/>
  <c r="Y38" i="12"/>
  <c r="AB86" i="12"/>
  <c r="AA75" i="12"/>
  <c r="AB74" i="12"/>
  <c r="AB75" i="12" s="1"/>
  <c r="CY81" i="8"/>
  <c r="S8" i="12"/>
  <c r="V66" i="12"/>
  <c r="V67" i="12"/>
  <c r="V69" i="12" s="1"/>
  <c r="V13" i="12" s="1"/>
  <c r="V12" i="12" s="1"/>
  <c r="X87" i="12"/>
  <c r="X105" i="12" s="1"/>
  <c r="X88" i="12"/>
  <c r="X106" i="12" s="1"/>
  <c r="X108" i="12" s="1"/>
  <c r="X16" i="12" s="1"/>
  <c r="X15" i="12" s="1"/>
  <c r="W20" i="12"/>
  <c r="V23" i="12"/>
  <c r="V26" i="12" s="1"/>
  <c r="V10" i="12" s="1"/>
  <c r="U66" i="12"/>
  <c r="W106" i="12"/>
  <c r="W108" i="12" s="1"/>
  <c r="W16" i="12" s="1"/>
  <c r="W15" i="12" s="1"/>
  <c r="T8" i="12"/>
  <c r="V69" i="13"/>
  <c r="DL25" i="8"/>
  <c r="DJ25" i="8"/>
  <c r="DM25" i="8"/>
  <c r="DK25" i="8"/>
  <c r="DN89" i="8"/>
  <c r="DN23" i="8"/>
  <c r="W66" i="13"/>
  <c r="X27" i="13"/>
  <c r="W68" i="13"/>
  <c r="X64" i="13"/>
  <c r="W63" i="13"/>
  <c r="V71" i="13"/>
  <c r="V72" i="13" s="1"/>
  <c r="DI89" i="8"/>
  <c r="DG25" i="8"/>
  <c r="DE25" i="8"/>
  <c r="DH25" i="8"/>
  <c r="DF25" i="8"/>
  <c r="DI23" i="8"/>
  <c r="Z82" i="13"/>
  <c r="Z80" i="13"/>
  <c r="Z83" i="13"/>
  <c r="X62" i="13"/>
  <c r="W61" i="13"/>
  <c r="Y77" i="13"/>
  <c r="X79" i="13"/>
  <c r="DS26" i="8"/>
  <c r="DK26" i="8"/>
  <c r="DK90" i="8" s="1"/>
  <c r="DL26" i="8"/>
  <c r="DL90" i="8" s="1"/>
  <c r="DN90" i="8"/>
  <c r="DM26" i="8"/>
  <c r="DM90" i="8" s="1"/>
  <c r="DJ26" i="8"/>
  <c r="DJ90" i="8" s="1"/>
  <c r="BY77" i="8"/>
  <c r="BW78" i="8"/>
  <c r="BW9" i="8"/>
  <c r="Z54" i="4"/>
  <c r="AD24" i="4"/>
  <c r="CE78" i="8"/>
  <c r="CA11" i="8"/>
  <c r="CA78" i="8" s="1"/>
  <c r="CB11" i="8"/>
  <c r="CB78" i="8" s="1"/>
  <c r="CC11" i="8"/>
  <c r="CC78" i="8" s="1"/>
  <c r="X35" i="4"/>
  <c r="W37" i="4"/>
  <c r="T29" i="4"/>
  <c r="T31" i="4" s="1"/>
  <c r="CJ10" i="8" s="1"/>
  <c r="AE13" i="4"/>
  <c r="T53" i="4"/>
  <c r="T55" i="4" s="1"/>
  <c r="N12" i="17" s="1"/>
  <c r="T58" i="4"/>
  <c r="T60" i="4" s="1"/>
  <c r="CJ11" i="8" s="1"/>
  <c r="X59" i="4"/>
  <c r="Y30" i="4"/>
  <c r="BY78" i="8"/>
  <c r="BX78" i="8"/>
  <c r="BX9" i="8"/>
  <c r="BX76" i="8" s="1"/>
  <c r="CE77" i="8"/>
  <c r="CC10" i="8"/>
  <c r="CA10" i="8"/>
  <c r="CD10" i="8"/>
  <c r="CB10" i="8"/>
  <c r="U7" i="4"/>
  <c r="U8" i="4"/>
  <c r="U29" i="4" s="1"/>
  <c r="U31" i="4" s="1"/>
  <c r="CO10" i="8" s="1"/>
  <c r="V4" i="4"/>
  <c r="U38" i="4"/>
  <c r="V36" i="4"/>
  <c r="T165" i="15"/>
  <c r="T166" i="15"/>
  <c r="T164" i="15"/>
  <c r="R103" i="15"/>
  <c r="R104" i="15" s="1"/>
  <c r="R59" i="15"/>
  <c r="R111" i="15" s="1"/>
  <c r="R112" i="15" s="1"/>
  <c r="S118" i="15"/>
  <c r="S119" i="15" s="1"/>
  <c r="S75" i="15"/>
  <c r="S129" i="15" s="1"/>
  <c r="S130" i="15" s="1"/>
  <c r="W143" i="15"/>
  <c r="U163" i="15"/>
  <c r="U144" i="15"/>
  <c r="W20" i="15"/>
  <c r="V22" i="15"/>
  <c r="S214" i="15"/>
  <c r="S213" i="15"/>
  <c r="S97" i="15"/>
  <c r="S99" i="15" s="1"/>
  <c r="T43" i="15"/>
  <c r="T53" i="15" s="1"/>
  <c r="T62" i="15"/>
  <c r="T69" i="15" s="1"/>
  <c r="R236" i="15"/>
  <c r="T85" i="15"/>
  <c r="T86" i="15" s="1"/>
  <c r="T40" i="15"/>
  <c r="T96" i="15" s="1"/>
  <c r="T97" i="15" s="1"/>
  <c r="T99" i="15" s="1"/>
  <c r="S103" i="15"/>
  <c r="S104" i="15" s="1"/>
  <c r="S59" i="15"/>
  <c r="S111" i="15" s="1"/>
  <c r="U178" i="15"/>
  <c r="U177" i="15"/>
  <c r="U176" i="15"/>
  <c r="V141" i="15"/>
  <c r="W140" i="15"/>
  <c r="V142" i="15"/>
  <c r="AD9" i="15"/>
  <c r="R131" i="15"/>
  <c r="R233" i="15"/>
  <c r="AE84" i="15"/>
  <c r="AD88" i="15"/>
  <c r="AE11" i="15"/>
  <c r="S98" i="15"/>
  <c r="AC195" i="15"/>
  <c r="AD80" i="15"/>
  <c r="AB28" i="15"/>
  <c r="Z21" i="15"/>
  <c r="U17" i="15"/>
  <c r="V16" i="15"/>
  <c r="U10" i="15"/>
  <c r="U13" i="15"/>
  <c r="V8" i="15" s="1"/>
  <c r="AE121" i="15"/>
  <c r="AE55" i="15"/>
  <c r="AE58" i="15"/>
  <c r="AC65" i="15"/>
  <c r="AD46" i="15"/>
  <c r="AE47" i="15"/>
  <c r="AD49" i="15"/>
  <c r="AD9" i="1"/>
  <c r="AE84" i="1"/>
  <c r="AE21" i="1"/>
  <c r="AE11" i="1"/>
  <c r="BW85" i="8"/>
  <c r="Q131" i="1"/>
  <c r="P230" i="1"/>
  <c r="P228" i="1"/>
  <c r="CE85" i="8"/>
  <c r="AC191" i="1"/>
  <c r="AD76" i="1"/>
  <c r="T62" i="1"/>
  <c r="T25" i="1"/>
  <c r="T34" i="1" s="1"/>
  <c r="U173" i="1"/>
  <c r="U172" i="1"/>
  <c r="U174" i="1"/>
  <c r="S232" i="1"/>
  <c r="BX85" i="8"/>
  <c r="S81" i="1"/>
  <c r="S82" i="1" s="1"/>
  <c r="S40" i="1"/>
  <c r="S92" i="1" s="1"/>
  <c r="S93" i="1" s="1"/>
  <c r="S43" i="1"/>
  <c r="S53" i="1" s="1"/>
  <c r="AC66" i="1"/>
  <c r="Y20" i="1"/>
  <c r="X22" i="1"/>
  <c r="R95" i="1"/>
  <c r="Z217" i="1"/>
  <c r="V16" i="1"/>
  <c r="U17" i="1"/>
  <c r="AD65" i="1"/>
  <c r="AE46" i="1"/>
  <c r="AE49" i="1" s="1"/>
  <c r="AE102" i="1"/>
  <c r="W139" i="1"/>
  <c r="AE113" i="1"/>
  <c r="AD117" i="1"/>
  <c r="AC28" i="1"/>
  <c r="V134" i="1"/>
  <c r="V159" i="1" s="1"/>
  <c r="V12" i="1"/>
  <c r="Y14" i="17"/>
  <c r="W15" i="21"/>
  <c r="W16" i="21" s="1"/>
  <c r="W105" i="21" s="1"/>
  <c r="EN23" i="10" s="1"/>
  <c r="V16" i="21"/>
  <c r="V105" i="21" s="1"/>
  <c r="EI23" i="10" s="1"/>
  <c r="AD153" i="19"/>
  <c r="AD152" i="19" s="1"/>
  <c r="AD148" i="19"/>
  <c r="AE149" i="19"/>
  <c r="AA112" i="19"/>
  <c r="Y115" i="19"/>
  <c r="V118" i="19"/>
  <c r="BN138" i="8"/>
  <c r="BO138" i="8" s="1"/>
  <c r="BO158" i="8" s="1"/>
  <c r="BO159" i="8" s="1"/>
  <c r="BO139" i="8" s="1"/>
  <c r="CT150" i="8"/>
  <c r="CY130" i="8"/>
  <c r="EJ118" i="8"/>
  <c r="EK63" i="8"/>
  <c r="EI114" i="8"/>
  <c r="EJ42" i="8"/>
  <c r="EE114" i="8"/>
  <c r="EF42" i="8"/>
  <c r="EF118" i="8"/>
  <c r="BP123" i="8"/>
  <c r="EB118" i="8"/>
  <c r="DN125" i="8"/>
  <c r="ED117" i="8"/>
  <c r="EM117" i="8"/>
  <c r="EK62" i="8"/>
  <c r="EK117" i="8" s="1"/>
  <c r="EI62" i="8"/>
  <c r="EL62" i="8"/>
  <c r="EL117" i="8" s="1"/>
  <c r="EJ62" i="8"/>
  <c r="EJ117" i="8" s="1"/>
  <c r="EN5" i="10"/>
  <c r="DD124" i="8"/>
  <c r="CT151" i="8"/>
  <c r="CY131" i="8"/>
  <c r="EG63" i="8"/>
  <c r="P12" i="22"/>
  <c r="Q5" i="22"/>
  <c r="S202" i="15" l="1"/>
  <c r="S236" i="15" s="1"/>
  <c r="S201" i="15"/>
  <c r="S226" i="15"/>
  <c r="W69" i="13"/>
  <c r="T189" i="15"/>
  <c r="T226" i="15" s="1"/>
  <c r="R127" i="1"/>
  <c r="R131" i="1" s="1"/>
  <c r="R230" i="1" s="1"/>
  <c r="S71" i="1"/>
  <c r="S125" i="1" s="1"/>
  <c r="S126" i="1" s="1"/>
  <c r="U184" i="1"/>
  <c r="U231" i="1" s="1"/>
  <c r="U186" i="1"/>
  <c r="U210" i="1" s="1"/>
  <c r="U185" i="1"/>
  <c r="U221" i="1" s="1"/>
  <c r="T188" i="15"/>
  <c r="T235" i="15" s="1"/>
  <c r="E27" i="73"/>
  <c r="CJ57" i="8"/>
  <c r="CJ156" i="8" s="1"/>
  <c r="W142" i="1"/>
  <c r="V141" i="1"/>
  <c r="V144" i="1" s="1"/>
  <c r="V140" i="1" s="1"/>
  <c r="V183" i="1" s="1"/>
  <c r="V143" i="1"/>
  <c r="T197" i="1"/>
  <c r="T222" i="1"/>
  <c r="T198" i="1"/>
  <c r="T232" i="1" s="1"/>
  <c r="T209" i="1"/>
  <c r="CJ20" i="8" s="1"/>
  <c r="CI20" i="8" s="1"/>
  <c r="E16" i="73"/>
  <c r="E19" i="73" s="1"/>
  <c r="E20" i="73" s="1"/>
  <c r="E21" i="73" s="1"/>
  <c r="E23" i="73" s="1"/>
  <c r="CJ56" i="8" s="1"/>
  <c r="D12" i="73"/>
  <c r="CE57" i="8"/>
  <c r="T68" i="1"/>
  <c r="T114" i="1" s="1"/>
  <c r="T115" i="1" s="1"/>
  <c r="U187" i="15"/>
  <c r="U190" i="15" s="1"/>
  <c r="I14" i="89"/>
  <c r="I24" i="89" s="1"/>
  <c r="I33" i="89" s="1"/>
  <c r="F26" i="80" s="1"/>
  <c r="F25" i="80" s="1"/>
  <c r="F18" i="73"/>
  <c r="AC14" i="19"/>
  <c r="AC171" i="19" s="1"/>
  <c r="AC74" i="20"/>
  <c r="AC71" i="20"/>
  <c r="AC76" i="20"/>
  <c r="AC80" i="20" s="1"/>
  <c r="AC47" i="20" s="1"/>
  <c r="AC102" i="20" s="1"/>
  <c r="AC82" i="20"/>
  <c r="DT86" i="10"/>
  <c r="DT87" i="10" s="1"/>
  <c r="AA63" i="20" s="1"/>
  <c r="AA65" i="20" s="1"/>
  <c r="BY85" i="8"/>
  <c r="CD20" i="8"/>
  <c r="CD85" i="8" s="1"/>
  <c r="AA99" i="20"/>
  <c r="AD155" i="19"/>
  <c r="AD157" i="19" s="1"/>
  <c r="V171" i="1"/>
  <c r="V174" i="1" s="1"/>
  <c r="AB92" i="20"/>
  <c r="AC91" i="20" s="1"/>
  <c r="R130" i="1"/>
  <c r="R227" i="1" s="1"/>
  <c r="L5" i="17" s="1"/>
  <c r="CX15" i="8"/>
  <c r="CX81" i="8" s="1"/>
  <c r="Q232" i="15"/>
  <c r="S128" i="1"/>
  <c r="S112" i="15"/>
  <c r="S114" i="15" s="1"/>
  <c r="S132" i="15"/>
  <c r="R114" i="15"/>
  <c r="R134" i="15" s="1"/>
  <c r="R231" i="15" s="1"/>
  <c r="L11" i="17" s="1"/>
  <c r="L10" i="17" s="1"/>
  <c r="T233" i="15"/>
  <c r="CU15" i="8"/>
  <c r="CU81" i="8" s="1"/>
  <c r="CW15" i="8"/>
  <c r="CW81" i="8" s="1"/>
  <c r="S94" i="1"/>
  <c r="CV15" i="8"/>
  <c r="CV81" i="8" s="1"/>
  <c r="CJ153" i="8"/>
  <c r="V9" i="12"/>
  <c r="V6" i="12" s="1"/>
  <c r="V7" i="12"/>
  <c r="DI15" i="8" s="1"/>
  <c r="Z38" i="12"/>
  <c r="X25" i="12"/>
  <c r="AB68" i="12"/>
  <c r="Z81" i="12"/>
  <c r="AA80" i="12"/>
  <c r="Z31" i="12"/>
  <c r="AA30" i="12"/>
  <c r="AA41" i="12"/>
  <c r="Z47" i="12"/>
  <c r="X36" i="12"/>
  <c r="X39" i="12" s="1"/>
  <c r="X42" i="12" s="1"/>
  <c r="Y35" i="12"/>
  <c r="Y44" i="12"/>
  <c r="AA50" i="12"/>
  <c r="DD81" i="8"/>
  <c r="X20" i="12"/>
  <c r="W23" i="12"/>
  <c r="W26" i="12" s="1"/>
  <c r="W10" i="12" s="1"/>
  <c r="Z60" i="12"/>
  <c r="Y87" i="12"/>
  <c r="Y105" i="12" s="1"/>
  <c r="Y88" i="12"/>
  <c r="W45" i="12"/>
  <c r="W48" i="12" s="1"/>
  <c r="W51" i="12" s="1"/>
  <c r="U8" i="12"/>
  <c r="DF23" i="8"/>
  <c r="DF88" i="8" s="1"/>
  <c r="DF89" i="8"/>
  <c r="DE89" i="8"/>
  <c r="DE23" i="8"/>
  <c r="DE88" i="8" s="1"/>
  <c r="W71" i="13"/>
  <c r="W72" i="13" s="1"/>
  <c r="W85" i="13" s="1"/>
  <c r="W90" i="13" s="1"/>
  <c r="W93" i="13" s="1"/>
  <c r="W95" i="13" s="1"/>
  <c r="DX25" i="8" s="1"/>
  <c r="X63" i="13"/>
  <c r="X68" i="13"/>
  <c r="Y64" i="13"/>
  <c r="X66" i="13"/>
  <c r="Y27" i="13"/>
  <c r="DM89" i="8"/>
  <c r="DM23" i="8"/>
  <c r="DL89" i="8"/>
  <c r="DL23" i="8"/>
  <c r="DS90" i="8"/>
  <c r="DO26" i="8"/>
  <c r="DO90" i="8" s="1"/>
  <c r="DR26" i="8"/>
  <c r="DR90" i="8" s="1"/>
  <c r="DQ26" i="8"/>
  <c r="DQ90" i="8" s="1"/>
  <c r="DX26" i="8"/>
  <c r="DP26" i="8"/>
  <c r="DP90" i="8" s="1"/>
  <c r="Z77" i="13"/>
  <c r="Z79" i="13" s="1"/>
  <c r="Y79" i="13"/>
  <c r="Y62" i="13"/>
  <c r="X61" i="13"/>
  <c r="DI88" i="8"/>
  <c r="DI146" i="8"/>
  <c r="DH89" i="8"/>
  <c r="DH23" i="8"/>
  <c r="DH88" i="8" s="1"/>
  <c r="DG89" i="8"/>
  <c r="DG23" i="8"/>
  <c r="DG88" i="8" s="1"/>
  <c r="DN88" i="8"/>
  <c r="DN146" i="8"/>
  <c r="DK89" i="8"/>
  <c r="DK23" i="8"/>
  <c r="DJ89" i="8"/>
  <c r="DJ23" i="8"/>
  <c r="V85" i="13"/>
  <c r="V90" i="13" s="1"/>
  <c r="V93" i="13" s="1"/>
  <c r="V95" i="13" s="1"/>
  <c r="DS25" i="8" s="1"/>
  <c r="U53" i="4"/>
  <c r="U55" i="4" s="1"/>
  <c r="O12" i="17" s="1"/>
  <c r="U58" i="4"/>
  <c r="U60" i="4" s="1"/>
  <c r="CO11" i="8" s="1"/>
  <c r="CO77" i="8"/>
  <c r="CB9" i="8"/>
  <c r="CB77" i="8"/>
  <c r="CA77" i="8"/>
  <c r="CA9" i="8"/>
  <c r="Y59" i="4"/>
  <c r="CJ78" i="8"/>
  <c r="CF11" i="8"/>
  <c r="CF78" i="8" s="1"/>
  <c r="CG11" i="8"/>
  <c r="CG78" i="8" s="1"/>
  <c r="CH11" i="8"/>
  <c r="CH78" i="8" s="1"/>
  <c r="CH10" i="8"/>
  <c r="CF10" i="8"/>
  <c r="CJ77" i="8"/>
  <c r="CI10" i="8"/>
  <c r="CN10" i="8" s="1"/>
  <c r="CG10" i="8"/>
  <c r="X37" i="4"/>
  <c r="Y35" i="4"/>
  <c r="AE24" i="4"/>
  <c r="AA54" i="4"/>
  <c r="BW76" i="8"/>
  <c r="BY9" i="8"/>
  <c r="BY76" i="8" s="1"/>
  <c r="W36" i="4"/>
  <c r="V38" i="4"/>
  <c r="V8" i="4"/>
  <c r="W4" i="4"/>
  <c r="V7" i="4"/>
  <c r="U23" i="4"/>
  <c r="U26" i="4" s="1"/>
  <c r="CD77" i="8"/>
  <c r="CC77" i="8"/>
  <c r="CC9" i="8"/>
  <c r="Z30" i="4"/>
  <c r="CD11" i="8"/>
  <c r="CD78" i="8" s="1"/>
  <c r="AD65" i="15"/>
  <c r="V138" i="15"/>
  <c r="V175" i="15" s="1"/>
  <c r="V12" i="15"/>
  <c r="V17" i="15"/>
  <c r="W16" i="15"/>
  <c r="AA21" i="15"/>
  <c r="AC28" i="15"/>
  <c r="AD195" i="15"/>
  <c r="AE80" i="15"/>
  <c r="AE195" i="15" s="1"/>
  <c r="V144" i="15"/>
  <c r="T118" i="15"/>
  <c r="T119" i="15" s="1"/>
  <c r="T75" i="15"/>
  <c r="T129" i="15" s="1"/>
  <c r="T130" i="15" s="1"/>
  <c r="X20" i="15"/>
  <c r="W22" i="15"/>
  <c r="U166" i="15"/>
  <c r="U164" i="15"/>
  <c r="U165" i="15"/>
  <c r="T214" i="15"/>
  <c r="T213" i="15"/>
  <c r="AE46" i="15"/>
  <c r="AE49" i="15"/>
  <c r="U62" i="15"/>
  <c r="U69" i="15" s="1"/>
  <c r="AE88" i="15"/>
  <c r="U25" i="15"/>
  <c r="U34" i="15" s="1"/>
  <c r="AE9" i="15"/>
  <c r="W141" i="15"/>
  <c r="X140" i="15"/>
  <c r="W142" i="15"/>
  <c r="S113" i="15"/>
  <c r="T98" i="15"/>
  <c r="T103" i="15"/>
  <c r="T104" i="15" s="1"/>
  <c r="T59" i="15"/>
  <c r="T111" i="15" s="1"/>
  <c r="T112" i="15" s="1"/>
  <c r="V25" i="15"/>
  <c r="V34" i="15" s="1"/>
  <c r="X143" i="15"/>
  <c r="S131" i="15"/>
  <c r="R113" i="15"/>
  <c r="R135" i="15" s="1"/>
  <c r="V172" i="1"/>
  <c r="AE65" i="1"/>
  <c r="U62" i="1"/>
  <c r="U25" i="1"/>
  <c r="U34" i="1" s="1"/>
  <c r="AA217" i="1"/>
  <c r="Z20" i="1"/>
  <c r="Y22" i="1"/>
  <c r="T81" i="1"/>
  <c r="T82" i="1" s="1"/>
  <c r="T40" i="1"/>
  <c r="T92" i="1" s="1"/>
  <c r="T93" i="1" s="1"/>
  <c r="T43" i="1"/>
  <c r="T53" i="1" s="1"/>
  <c r="CB85" i="8"/>
  <c r="CA85" i="8"/>
  <c r="AE9" i="1"/>
  <c r="V10" i="1"/>
  <c r="V13" i="1"/>
  <c r="W8" i="1" s="1"/>
  <c r="V162" i="1"/>
  <c r="V160" i="1"/>
  <c r="V161" i="1"/>
  <c r="AD28" i="1"/>
  <c r="AE117" i="1"/>
  <c r="X139" i="1"/>
  <c r="AD66" i="1"/>
  <c r="V17" i="1"/>
  <c r="W16" i="1"/>
  <c r="S99" i="1"/>
  <c r="S100" i="1" s="1"/>
  <c r="S59" i="1"/>
  <c r="S107" i="1" s="1"/>
  <c r="S108" i="1" s="1"/>
  <c r="S95" i="1"/>
  <c r="S229" i="1"/>
  <c r="AD191" i="1"/>
  <c r="AE76" i="1"/>
  <c r="AE191" i="1" s="1"/>
  <c r="CC85" i="8"/>
  <c r="Q230" i="1"/>
  <c r="Q228" i="1"/>
  <c r="W118" i="19"/>
  <c r="AB112" i="19"/>
  <c r="Z115" i="19"/>
  <c r="AE153" i="19"/>
  <c r="AE152" i="19" s="1"/>
  <c r="AE148" i="19"/>
  <c r="CY151" i="8"/>
  <c r="DD131" i="8"/>
  <c r="DS125" i="8"/>
  <c r="EF114" i="8"/>
  <c r="EG42" i="8"/>
  <c r="EG114" i="8" s="1"/>
  <c r="EJ114" i="8"/>
  <c r="EK42" i="8"/>
  <c r="EK118" i="8"/>
  <c r="EG118" i="8"/>
  <c r="DI124" i="8"/>
  <c r="EI117" i="8"/>
  <c r="BU123" i="8"/>
  <c r="BQ123" i="8"/>
  <c r="EL63" i="8"/>
  <c r="CY150" i="8"/>
  <c r="DD130" i="8"/>
  <c r="BP158" i="8"/>
  <c r="R5" i="22"/>
  <c r="Q12" i="22"/>
  <c r="T225" i="15" l="1"/>
  <c r="U189" i="15"/>
  <c r="U226" i="15" s="1"/>
  <c r="CJ54" i="8"/>
  <c r="U209" i="1"/>
  <c r="CO20" i="8" s="1"/>
  <c r="CK20" i="8" s="1"/>
  <c r="S127" i="1"/>
  <c r="T202" i="15"/>
  <c r="T236" i="15" s="1"/>
  <c r="T201" i="15"/>
  <c r="U198" i="1"/>
  <c r="U232" i="1" s="1"/>
  <c r="CF20" i="8"/>
  <c r="U197" i="1"/>
  <c r="U222" i="1"/>
  <c r="F31" i="80"/>
  <c r="U188" i="15"/>
  <c r="U202" i="15" s="1"/>
  <c r="T95" i="1"/>
  <c r="V173" i="1"/>
  <c r="X142" i="1"/>
  <c r="W141" i="1"/>
  <c r="W144" i="1" s="1"/>
  <c r="W140" i="1" s="1"/>
  <c r="W143" i="1"/>
  <c r="T71" i="1"/>
  <c r="T125" i="1" s="1"/>
  <c r="T126" i="1" s="1"/>
  <c r="T128" i="1" s="1"/>
  <c r="CJ85" i="8"/>
  <c r="CH20" i="8"/>
  <c r="CH85" i="8" s="1"/>
  <c r="CG20" i="8"/>
  <c r="CG85" i="8" s="1"/>
  <c r="CE156" i="8"/>
  <c r="CE54" i="8"/>
  <c r="U68" i="1"/>
  <c r="U71" i="1" s="1"/>
  <c r="U125" i="1" s="1"/>
  <c r="F10" i="73"/>
  <c r="CO57" i="8" s="1"/>
  <c r="CO156" i="8" s="1"/>
  <c r="F16" i="73"/>
  <c r="F19" i="73" s="1"/>
  <c r="F20" i="73" s="1"/>
  <c r="F21" i="73" s="1"/>
  <c r="F23" i="73" s="1"/>
  <c r="CO56" i="8" s="1"/>
  <c r="V187" i="15"/>
  <c r="V189" i="15" s="1"/>
  <c r="AE155" i="19"/>
  <c r="AD14" i="19"/>
  <c r="AD171" i="19" s="1"/>
  <c r="DY86" i="10"/>
  <c r="DY87" i="10" s="1"/>
  <c r="AB99" i="20" s="1"/>
  <c r="AD70" i="20"/>
  <c r="J14" i="89"/>
  <c r="J24" i="89" s="1"/>
  <c r="J33" i="89" s="1"/>
  <c r="G26" i="80" s="1"/>
  <c r="CC76" i="8"/>
  <c r="CB76" i="8"/>
  <c r="R228" i="1"/>
  <c r="U43" i="15"/>
  <c r="U53" i="15" s="1"/>
  <c r="U103" i="15" s="1"/>
  <c r="U104" i="15" s="1"/>
  <c r="V23" i="4"/>
  <c r="V26" i="4" s="1"/>
  <c r="AC92" i="20"/>
  <c r="AD91" i="20" s="1"/>
  <c r="X45" i="12"/>
  <c r="X48" i="12" s="1"/>
  <c r="X51" i="12" s="1"/>
  <c r="BZ9" i="8"/>
  <c r="DJ88" i="8"/>
  <c r="DC15" i="8"/>
  <c r="DC81" i="8" s="1"/>
  <c r="S134" i="15"/>
  <c r="S231" i="15" s="1"/>
  <c r="M11" i="17" s="1"/>
  <c r="M10" i="17" s="1"/>
  <c r="DK88" i="8"/>
  <c r="CZ15" i="8"/>
  <c r="CZ81" i="8" s="1"/>
  <c r="DB15" i="8"/>
  <c r="DB81" i="8" s="1"/>
  <c r="S135" i="15"/>
  <c r="S232" i="15" s="1"/>
  <c r="S109" i="1"/>
  <c r="T113" i="15"/>
  <c r="DA15" i="8"/>
  <c r="DA81" i="8" s="1"/>
  <c r="T114" i="15"/>
  <c r="T132" i="15"/>
  <c r="CN106" i="8"/>
  <c r="CK106" i="8"/>
  <c r="CL106" i="8"/>
  <c r="CM106" i="8"/>
  <c r="W9" i="12"/>
  <c r="W66" i="12"/>
  <c r="AA60" i="12"/>
  <c r="Y20" i="12"/>
  <c r="X23" i="12"/>
  <c r="AB50" i="12"/>
  <c r="Z44" i="12"/>
  <c r="Y36" i="12"/>
  <c r="Y39" i="12" s="1"/>
  <c r="Y42" i="12" s="1"/>
  <c r="Z35" i="12"/>
  <c r="AA47" i="12"/>
  <c r="AB41" i="12"/>
  <c r="AA31" i="12"/>
  <c r="AB30" i="12"/>
  <c r="AB31" i="12" s="1"/>
  <c r="AB80" i="12"/>
  <c r="AB81" i="12" s="1"/>
  <c r="AA81" i="12"/>
  <c r="Y25" i="12"/>
  <c r="X26" i="12"/>
  <c r="X10" i="12" s="1"/>
  <c r="AA38" i="12"/>
  <c r="DI81" i="8"/>
  <c r="W67" i="12"/>
  <c r="W69" i="12" s="1"/>
  <c r="W13" i="12" s="1"/>
  <c r="W12" i="12" s="1"/>
  <c r="Y106" i="12"/>
  <c r="Y108" i="12" s="1"/>
  <c r="Y16" i="12" s="1"/>
  <c r="Y15" i="12" s="1"/>
  <c r="X66" i="12"/>
  <c r="X67" i="12"/>
  <c r="X69" i="12" s="1"/>
  <c r="X13" i="12" s="1"/>
  <c r="X12" i="12" s="1"/>
  <c r="Z87" i="12"/>
  <c r="Z105" i="12" s="1"/>
  <c r="Z88" i="12"/>
  <c r="V8" i="12"/>
  <c r="DS89" i="8"/>
  <c r="DQ25" i="8"/>
  <c r="DO25" i="8"/>
  <c r="DP25" i="8"/>
  <c r="DR25" i="8"/>
  <c r="DS23" i="8"/>
  <c r="Z62" i="13"/>
  <c r="DX90" i="8"/>
  <c r="DW26" i="8"/>
  <c r="DW90" i="8" s="1"/>
  <c r="DT26" i="8"/>
  <c r="DT90" i="8" s="1"/>
  <c r="EC26" i="8"/>
  <c r="DU26" i="8"/>
  <c r="DU90" i="8" s="1"/>
  <c r="DV26" i="8"/>
  <c r="DV90" i="8" s="1"/>
  <c r="X69" i="13"/>
  <c r="DV25" i="8"/>
  <c r="DT25" i="8"/>
  <c r="DW25" i="8"/>
  <c r="DU25" i="8"/>
  <c r="DX89" i="8"/>
  <c r="DX23" i="8"/>
  <c r="DL88" i="8"/>
  <c r="DM88" i="8"/>
  <c r="Y66" i="13"/>
  <c r="Z27" i="13"/>
  <c r="Y68" i="13"/>
  <c r="Z64" i="13"/>
  <c r="Z68" i="13" s="1"/>
  <c r="X71" i="13"/>
  <c r="X72" i="13" s="1"/>
  <c r="Y63" i="13"/>
  <c r="Y61" i="13" s="1"/>
  <c r="CN77" i="8"/>
  <c r="V29" i="4"/>
  <c r="V31" i="4" s="1"/>
  <c r="CT10" i="8" s="1"/>
  <c r="W38" i="4"/>
  <c r="X36" i="4"/>
  <c r="AB54" i="4"/>
  <c r="Z35" i="4"/>
  <c r="Y37" i="4"/>
  <c r="CG77" i="8"/>
  <c r="CG9" i="8"/>
  <c r="CG76" i="8" s="1"/>
  <c r="CH77" i="8"/>
  <c r="CH9" i="8"/>
  <c r="CH76" i="8" s="1"/>
  <c r="CI11" i="8"/>
  <c r="CI78" i="8" s="1"/>
  <c r="Z59" i="4"/>
  <c r="CM10" i="8"/>
  <c r="CO78" i="8"/>
  <c r="CK11" i="8"/>
  <c r="CK78" i="8" s="1"/>
  <c r="CL11" i="8"/>
  <c r="CL78" i="8" s="1"/>
  <c r="CM11" i="8"/>
  <c r="CM78" i="8" s="1"/>
  <c r="AA30" i="4"/>
  <c r="CD9" i="8"/>
  <c r="W7" i="4"/>
  <c r="W23" i="4" s="1"/>
  <c r="W26" i="4" s="1"/>
  <c r="W8" i="4"/>
  <c r="X4" i="4"/>
  <c r="V53" i="4"/>
  <c r="V55" i="4" s="1"/>
  <c r="P12" i="17" s="1"/>
  <c r="V58" i="4"/>
  <c r="V60" i="4" s="1"/>
  <c r="CT11" i="8" s="1"/>
  <c r="CI77" i="8"/>
  <c r="CF77" i="8"/>
  <c r="CF9" i="8"/>
  <c r="CA76" i="8"/>
  <c r="CL10" i="8"/>
  <c r="CK10" i="8"/>
  <c r="V85" i="15"/>
  <c r="V86" i="15" s="1"/>
  <c r="V40" i="15"/>
  <c r="V96" i="15" s="1"/>
  <c r="W144" i="15"/>
  <c r="U214" i="15"/>
  <c r="U213" i="15"/>
  <c r="Y20" i="15"/>
  <c r="X22" i="15"/>
  <c r="AD28" i="15"/>
  <c r="AB21" i="15"/>
  <c r="W17" i="15"/>
  <c r="X16" i="15"/>
  <c r="V177" i="15"/>
  <c r="V178" i="15"/>
  <c r="V176" i="15"/>
  <c r="R234" i="15"/>
  <c r="R232" i="15"/>
  <c r="Y143" i="15"/>
  <c r="X141" i="15"/>
  <c r="Y140" i="15"/>
  <c r="X142" i="15"/>
  <c r="U85" i="15"/>
  <c r="U86" i="15" s="1"/>
  <c r="U40" i="15"/>
  <c r="U96" i="15" s="1"/>
  <c r="U97" i="15" s="1"/>
  <c r="U118" i="15"/>
  <c r="U119" i="15" s="1"/>
  <c r="U75" i="15"/>
  <c r="U129" i="15" s="1"/>
  <c r="U130" i="15" s="1"/>
  <c r="AE65" i="15"/>
  <c r="W25" i="15"/>
  <c r="W34" i="15" s="1"/>
  <c r="T131" i="15"/>
  <c r="V163" i="15"/>
  <c r="V43" i="15"/>
  <c r="V53" i="15" s="1"/>
  <c r="V62" i="15"/>
  <c r="V69" i="15" s="1"/>
  <c r="V10" i="15"/>
  <c r="V13" i="15"/>
  <c r="W8" i="15" s="1"/>
  <c r="W17" i="1"/>
  <c r="X16" i="1"/>
  <c r="AE28" i="1"/>
  <c r="T99" i="1"/>
  <c r="T100" i="1" s="1"/>
  <c r="T59" i="1"/>
  <c r="T107" i="1" s="1"/>
  <c r="T108" i="1" s="1"/>
  <c r="T229" i="1"/>
  <c r="AB217" i="1"/>
  <c r="U81" i="1"/>
  <c r="U82" i="1" s="1"/>
  <c r="U40" i="1"/>
  <c r="U92" i="1" s="1"/>
  <c r="U93" i="1" s="1"/>
  <c r="U43" i="1"/>
  <c r="U53" i="1" s="1"/>
  <c r="S110" i="1"/>
  <c r="S130" i="1" s="1"/>
  <c r="S227" i="1" s="1"/>
  <c r="M5" i="17" s="1"/>
  <c r="V62" i="1"/>
  <c r="V25" i="1"/>
  <c r="V34" i="1" s="1"/>
  <c r="Y139" i="1"/>
  <c r="V185" i="1"/>
  <c r="V222" i="1" s="1"/>
  <c r="V186" i="1"/>
  <c r="V209" i="1" s="1"/>
  <c r="CT20" i="8" s="1"/>
  <c r="V184" i="1"/>
  <c r="V231" i="1" s="1"/>
  <c r="W134" i="1"/>
  <c r="W12" i="1"/>
  <c r="CI85" i="8"/>
  <c r="T94" i="1"/>
  <c r="AA20" i="1"/>
  <c r="Z22" i="1"/>
  <c r="AE66" i="1"/>
  <c r="AE157" i="19"/>
  <c r="AE14" i="19"/>
  <c r="AE171" i="19" s="1"/>
  <c r="X118" i="19"/>
  <c r="AA115" i="19"/>
  <c r="AC112" i="19"/>
  <c r="BP138" i="8"/>
  <c r="BP159" i="8"/>
  <c r="BP139" i="8" s="1"/>
  <c r="EL118" i="8"/>
  <c r="BU143" i="8"/>
  <c r="BZ123" i="8"/>
  <c r="DD151" i="8"/>
  <c r="DI131" i="8"/>
  <c r="DD150" i="8"/>
  <c r="DI130" i="8"/>
  <c r="BQ143" i="8"/>
  <c r="BQ158" i="8" s="1"/>
  <c r="BR123" i="8"/>
  <c r="DN124" i="8"/>
  <c r="EK114" i="8"/>
  <c r="EL42" i="8"/>
  <c r="EL114" i="8" s="1"/>
  <c r="DX125" i="8"/>
  <c r="R12" i="22"/>
  <c r="S5" i="22"/>
  <c r="U225" i="15" l="1"/>
  <c r="CM20" i="8"/>
  <c r="CM85" i="8" s="1"/>
  <c r="S131" i="1"/>
  <c r="S230" i="1" s="1"/>
  <c r="U235" i="15"/>
  <c r="AB63" i="20"/>
  <c r="AB65" i="20" s="1"/>
  <c r="V188" i="15"/>
  <c r="CO85" i="8"/>
  <c r="CK85" i="8"/>
  <c r="CL20" i="8"/>
  <c r="CL85" i="8" s="1"/>
  <c r="CN20" i="8"/>
  <c r="CN85" i="8" s="1"/>
  <c r="CO44" i="8"/>
  <c r="U201" i="15"/>
  <c r="CF85" i="8"/>
  <c r="T127" i="1"/>
  <c r="U114" i="1"/>
  <c r="U115" i="1" s="1"/>
  <c r="U126" i="1"/>
  <c r="W183" i="1"/>
  <c r="W186" i="1" s="1"/>
  <c r="F12" i="73"/>
  <c r="V190" i="15"/>
  <c r="Y142" i="1"/>
  <c r="X143" i="1"/>
  <c r="X141" i="1"/>
  <c r="X144" i="1" s="1"/>
  <c r="X140" i="1" s="1"/>
  <c r="V68" i="1"/>
  <c r="V114" i="1" s="1"/>
  <c r="V115" i="1" s="1"/>
  <c r="U95" i="1"/>
  <c r="CO54" i="8"/>
  <c r="F27" i="73"/>
  <c r="G18" i="73"/>
  <c r="AD71" i="20"/>
  <c r="AD76" i="20"/>
  <c r="AD80" i="20" s="1"/>
  <c r="AD47" i="20" s="1"/>
  <c r="AD102" i="20" s="1"/>
  <c r="AD74" i="20"/>
  <c r="AE70" i="20" s="1"/>
  <c r="AD82" i="20"/>
  <c r="ED86" i="10"/>
  <c r="ED87" i="10" s="1"/>
  <c r="AC99" i="20" s="1"/>
  <c r="H16" i="73"/>
  <c r="G16" i="73"/>
  <c r="H27" i="80"/>
  <c r="G25" i="80"/>
  <c r="CD76" i="8"/>
  <c r="CT57" i="8"/>
  <c r="CT156" i="8" s="1"/>
  <c r="G27" i="73"/>
  <c r="G12" i="73"/>
  <c r="BZ76" i="8"/>
  <c r="U233" i="15"/>
  <c r="U59" i="15"/>
  <c r="U111" i="15" s="1"/>
  <c r="U112" i="15" s="1"/>
  <c r="U114" i="15" s="1"/>
  <c r="V43" i="1"/>
  <c r="V53" i="1" s="1"/>
  <c r="V59" i="1" s="1"/>
  <c r="V107" i="1" s="1"/>
  <c r="CI9" i="8"/>
  <c r="CI76" i="8" s="1"/>
  <c r="U99" i="15"/>
  <c r="Y69" i="13"/>
  <c r="CN11" i="8"/>
  <c r="CN78" i="8" s="1"/>
  <c r="DW23" i="8"/>
  <c r="CE9" i="8"/>
  <c r="CE76" i="8" s="1"/>
  <c r="DH15" i="8"/>
  <c r="DH81" i="8" s="1"/>
  <c r="S234" i="15"/>
  <c r="T135" i="15"/>
  <c r="T232" i="15" s="1"/>
  <c r="DF15" i="8"/>
  <c r="DF81" i="8" s="1"/>
  <c r="DG15" i="8"/>
  <c r="DG81" i="8" s="1"/>
  <c r="T134" i="15"/>
  <c r="T231" i="15" s="1"/>
  <c r="N11" i="17" s="1"/>
  <c r="N10" i="17" s="1"/>
  <c r="DE15" i="8"/>
  <c r="DE81" i="8" s="1"/>
  <c r="T109" i="1"/>
  <c r="V197" i="1"/>
  <c r="V221" i="1"/>
  <c r="V198" i="1"/>
  <c r="V232" i="1" s="1"/>
  <c r="U131" i="15"/>
  <c r="CS106" i="8"/>
  <c r="CS153" i="8"/>
  <c r="CQ106" i="8"/>
  <c r="CQ153" i="8"/>
  <c r="CR153" i="8"/>
  <c r="CR106" i="8"/>
  <c r="CP106" i="8"/>
  <c r="CP153" i="8"/>
  <c r="X9" i="12"/>
  <c r="X6" i="12" s="1"/>
  <c r="X7" i="12"/>
  <c r="DS15" i="8" s="1"/>
  <c r="AB87" i="12"/>
  <c r="AB105" i="12" s="1"/>
  <c r="AB88" i="12"/>
  <c r="Y67" i="12"/>
  <c r="Y69" i="12" s="1"/>
  <c r="Y13" i="12" s="1"/>
  <c r="Y12" i="12" s="1"/>
  <c r="Y45" i="12"/>
  <c r="Y48" i="12" s="1"/>
  <c r="Y51" i="12" s="1"/>
  <c r="Z20" i="12"/>
  <c r="Y23" i="12"/>
  <c r="W7" i="12"/>
  <c r="DN15" i="8" s="1"/>
  <c r="Z106" i="12"/>
  <c r="Z108" i="12" s="1"/>
  <c r="Z16" i="12" s="1"/>
  <c r="Z15" i="12" s="1"/>
  <c r="AB38" i="12"/>
  <c r="Y26" i="12"/>
  <c r="Y10" i="12" s="1"/>
  <c r="Z25" i="12"/>
  <c r="AA87" i="12"/>
  <c r="AA105" i="12" s="1"/>
  <c r="AA88" i="12"/>
  <c r="AB47" i="12"/>
  <c r="Z36" i="12"/>
  <c r="Z39" i="12" s="1"/>
  <c r="Z42" i="12" s="1"/>
  <c r="AA35" i="12"/>
  <c r="AA44" i="12"/>
  <c r="AB60" i="12"/>
  <c r="W6" i="12"/>
  <c r="DX88" i="8"/>
  <c r="DX146" i="8"/>
  <c r="DU89" i="8"/>
  <c r="DU23" i="8"/>
  <c r="DT89" i="8"/>
  <c r="DT23" i="8"/>
  <c r="X85" i="13"/>
  <c r="X90" i="13" s="1"/>
  <c r="X93" i="13" s="1"/>
  <c r="X95" i="13" s="1"/>
  <c r="EC25" i="8" s="1"/>
  <c r="DS88" i="8"/>
  <c r="DS146" i="8"/>
  <c r="DP89" i="8"/>
  <c r="DP23" i="8"/>
  <c r="DP88" i="8" s="1"/>
  <c r="DQ89" i="8"/>
  <c r="DQ23" i="8"/>
  <c r="DQ88" i="8" s="1"/>
  <c r="Y71" i="13"/>
  <c r="Y72" i="13" s="1"/>
  <c r="Z63" i="13"/>
  <c r="Z71" i="13" s="1"/>
  <c r="Z66" i="13"/>
  <c r="Z69" i="13" s="1"/>
  <c r="DV89" i="8"/>
  <c r="DV23" i="8"/>
  <c r="EC90" i="8"/>
  <c r="DY26" i="8"/>
  <c r="DY90" i="8" s="1"/>
  <c r="EB26" i="8"/>
  <c r="EB90" i="8" s="1"/>
  <c r="EA26" i="8"/>
  <c r="EA90" i="8" s="1"/>
  <c r="EH26" i="8"/>
  <c r="DZ26" i="8"/>
  <c r="DZ90" i="8" s="1"/>
  <c r="DW89" i="8"/>
  <c r="DR89" i="8"/>
  <c r="DR23" i="8"/>
  <c r="DR88" i="8" s="1"/>
  <c r="DO89" i="8"/>
  <c r="DO23" i="8"/>
  <c r="DO88" i="8" s="1"/>
  <c r="CK77" i="8"/>
  <c r="CK9" i="8"/>
  <c r="CF76" i="8"/>
  <c r="CT78" i="8"/>
  <c r="CP11" i="8"/>
  <c r="CP78" i="8" s="1"/>
  <c r="CQ11" i="8"/>
  <c r="CQ78" i="8" s="1"/>
  <c r="CR11" i="8"/>
  <c r="CR78" i="8" s="1"/>
  <c r="X8" i="4"/>
  <c r="Y4" i="4"/>
  <c r="X7" i="4"/>
  <c r="AB30" i="4"/>
  <c r="AA59" i="4"/>
  <c r="Z37" i="4"/>
  <c r="AA35" i="4"/>
  <c r="W53" i="4"/>
  <c r="W55" i="4" s="1"/>
  <c r="Q12" i="17" s="1"/>
  <c r="W58" i="4"/>
  <c r="W60" i="4" s="1"/>
  <c r="CY11" i="8" s="1"/>
  <c r="CN9" i="8"/>
  <c r="CL77" i="8"/>
  <c r="CL9" i="8"/>
  <c r="CL76" i="8" s="1"/>
  <c r="W29" i="4"/>
  <c r="W31" i="4" s="1"/>
  <c r="CY10" i="8" s="1"/>
  <c r="CM77" i="8"/>
  <c r="CM9" i="8"/>
  <c r="CM76" i="8" s="1"/>
  <c r="AC54" i="4"/>
  <c r="Y36" i="4"/>
  <c r="X38" i="4"/>
  <c r="CT77" i="8"/>
  <c r="CP10" i="8"/>
  <c r="CR10" i="8"/>
  <c r="CS10" i="8"/>
  <c r="CQ10" i="8"/>
  <c r="V103" i="15"/>
  <c r="V104" i="15" s="1"/>
  <c r="V59" i="15"/>
  <c r="V111" i="15" s="1"/>
  <c r="X144" i="15"/>
  <c r="W43" i="15"/>
  <c r="W53" i="15" s="1"/>
  <c r="W62" i="15"/>
  <c r="W69" i="15" s="1"/>
  <c r="Z20" i="15"/>
  <c r="Y22" i="15"/>
  <c r="V97" i="15"/>
  <c r="V99" i="15" s="1"/>
  <c r="V233" i="15"/>
  <c r="W138" i="15"/>
  <c r="W187" i="15" s="1"/>
  <c r="W12" i="15"/>
  <c r="V118" i="15"/>
  <c r="V119" i="15" s="1"/>
  <c r="V75" i="15"/>
  <c r="V129" i="15" s="1"/>
  <c r="V130" i="15" s="1"/>
  <c r="V165" i="15"/>
  <c r="V166" i="15"/>
  <c r="V164" i="15"/>
  <c r="W85" i="15"/>
  <c r="W86" i="15" s="1"/>
  <c r="W40" i="15"/>
  <c r="W96" i="15" s="1"/>
  <c r="W97" i="15" s="1"/>
  <c r="U236" i="15"/>
  <c r="U132" i="15"/>
  <c r="U98" i="15"/>
  <c r="Y141" i="15"/>
  <c r="Z140" i="15"/>
  <c r="Y142" i="15"/>
  <c r="Z143" i="15"/>
  <c r="X17" i="15"/>
  <c r="Y16" i="15"/>
  <c r="AC21" i="15"/>
  <c r="AE28" i="15"/>
  <c r="X25" i="15"/>
  <c r="X34" i="15" s="1"/>
  <c r="V98" i="15"/>
  <c r="CS20" i="8"/>
  <c r="CQ20" i="8"/>
  <c r="CP20" i="8"/>
  <c r="CR20" i="8"/>
  <c r="CT85" i="8"/>
  <c r="J261" i="1"/>
  <c r="J260" i="1" s="1"/>
  <c r="J265" i="1" s="1"/>
  <c r="D6" i="17"/>
  <c r="D8" i="17" s="1"/>
  <c r="W10" i="1"/>
  <c r="W13" i="1"/>
  <c r="X8" i="1" s="1"/>
  <c r="U99" i="1"/>
  <c r="U100" i="1" s="1"/>
  <c r="U59" i="1"/>
  <c r="U107" i="1" s="1"/>
  <c r="U108" i="1" s="1"/>
  <c r="U229" i="1"/>
  <c r="AC217" i="1"/>
  <c r="V210" i="1"/>
  <c r="W62" i="1"/>
  <c r="W25" i="1"/>
  <c r="W34" i="1" s="1"/>
  <c r="U127" i="1"/>
  <c r="AB20" i="1"/>
  <c r="AA22" i="1"/>
  <c r="W159" i="1"/>
  <c r="W171" i="1"/>
  <c r="Z139" i="1"/>
  <c r="V81" i="1"/>
  <c r="V82" i="1" s="1"/>
  <c r="V40" i="1"/>
  <c r="V92" i="1" s="1"/>
  <c r="V93" i="1" s="1"/>
  <c r="U94" i="1"/>
  <c r="T110" i="1"/>
  <c r="T130" i="1" s="1"/>
  <c r="T227" i="1" s="1"/>
  <c r="N5" i="17" s="1"/>
  <c r="X17" i="1"/>
  <c r="Y16" i="1"/>
  <c r="AD112" i="19"/>
  <c r="AB115" i="19"/>
  <c r="Y118" i="19"/>
  <c r="EC125" i="8"/>
  <c r="DS124" i="8"/>
  <c r="BR143" i="8"/>
  <c r="BR158" i="8" s="1"/>
  <c r="BR138" i="8" s="1"/>
  <c r="BS123" i="8"/>
  <c r="DI150" i="8"/>
  <c r="DN130" i="8"/>
  <c r="DI151" i="8"/>
  <c r="DN131" i="8"/>
  <c r="BZ143" i="8"/>
  <c r="BV123" i="8"/>
  <c r="CE123" i="8"/>
  <c r="CA123" i="8" s="1"/>
  <c r="BQ138" i="8"/>
  <c r="T5" i="22"/>
  <c r="S12" i="22"/>
  <c r="CJ52" i="8"/>
  <c r="S228" i="1" l="1"/>
  <c r="T131" i="1"/>
  <c r="T230" i="1" s="1"/>
  <c r="CO153" i="8"/>
  <c r="CO106" i="8"/>
  <c r="W185" i="1"/>
  <c r="V71" i="1"/>
  <c r="V125" i="1" s="1"/>
  <c r="V126" i="1" s="1"/>
  <c r="V128" i="1" s="1"/>
  <c r="W184" i="1"/>
  <c r="U128" i="1"/>
  <c r="K14" i="89"/>
  <c r="K24" i="89" s="1"/>
  <c r="K33" i="89" s="1"/>
  <c r="H26" i="80" s="1"/>
  <c r="I27" i="80" s="1"/>
  <c r="Z142" i="1"/>
  <c r="Y141" i="1"/>
  <c r="Y144" i="1" s="1"/>
  <c r="Y140" i="1" s="1"/>
  <c r="Y143" i="1"/>
  <c r="W68" i="1"/>
  <c r="W114" i="1" s="1"/>
  <c r="W115" i="1" s="1"/>
  <c r="G19" i="73"/>
  <c r="G20" i="73" s="1"/>
  <c r="G21" i="73" s="1"/>
  <c r="G23" i="73" s="1"/>
  <c r="CT56" i="8" s="1"/>
  <c r="CT54" i="8" s="1"/>
  <c r="AE74" i="20"/>
  <c r="AE71" i="20"/>
  <c r="AE76" i="20"/>
  <c r="AE80" i="20" s="1"/>
  <c r="AE47" i="20" s="1"/>
  <c r="AE102" i="20" s="1"/>
  <c r="AE82" i="20"/>
  <c r="AC63" i="20"/>
  <c r="AC65" i="20" s="1"/>
  <c r="AD92" i="20"/>
  <c r="AE91" i="20" s="1"/>
  <c r="H27" i="73"/>
  <c r="H18" i="73"/>
  <c r="H19" i="73" s="1"/>
  <c r="H20" i="73" s="1"/>
  <c r="H21" i="73" s="1"/>
  <c r="H23" i="73" s="1"/>
  <c r="CY56" i="8" s="1"/>
  <c r="CS11" i="8"/>
  <c r="CS78" i="8" s="1"/>
  <c r="CB123" i="8"/>
  <c r="CA143" i="8"/>
  <c r="CJ9" i="8"/>
  <c r="CJ76" i="8" s="1"/>
  <c r="CN76" i="8"/>
  <c r="V99" i="1"/>
  <c r="V100" i="1" s="1"/>
  <c r="V112" i="15"/>
  <c r="V114" i="15" s="1"/>
  <c r="V229" i="1"/>
  <c r="U113" i="15"/>
  <c r="U135" i="15" s="1"/>
  <c r="U234" i="15" s="1"/>
  <c r="Y85" i="13"/>
  <c r="Y90" i="13" s="1"/>
  <c r="Y93" i="13" s="1"/>
  <c r="Y95" i="13" s="1"/>
  <c r="EH25" i="8" s="1"/>
  <c r="EG25" i="8" s="1"/>
  <c r="X23" i="4"/>
  <c r="X26" i="4" s="1"/>
  <c r="AB106" i="12"/>
  <c r="AB108" i="12" s="1"/>
  <c r="AB16" i="12" s="1"/>
  <c r="AB15" i="12" s="1"/>
  <c r="Z61" i="13"/>
  <c r="Z45" i="12"/>
  <c r="Z48" i="12" s="1"/>
  <c r="Z51" i="12" s="1"/>
  <c r="U134" i="15"/>
  <c r="U231" i="15" s="1"/>
  <c r="O11" i="17" s="1"/>
  <c r="O10" i="17" s="1"/>
  <c r="W99" i="15"/>
  <c r="T234" i="15"/>
  <c r="V109" i="1"/>
  <c r="V94" i="1"/>
  <c r="W233" i="15"/>
  <c r="V131" i="15"/>
  <c r="W8" i="12"/>
  <c r="V113" i="15"/>
  <c r="U109" i="1"/>
  <c r="U131" i="1" s="1"/>
  <c r="CX106" i="8"/>
  <c r="CX153" i="8"/>
  <c r="CW153" i="8"/>
  <c r="CW106" i="8"/>
  <c r="CV106" i="8"/>
  <c r="CV153" i="8"/>
  <c r="CU153" i="8"/>
  <c r="CU106" i="8"/>
  <c r="CJ155" i="8"/>
  <c r="CH52" i="8"/>
  <c r="CF52" i="8"/>
  <c r="CI52" i="8"/>
  <c r="CG52" i="8"/>
  <c r="AB44" i="12"/>
  <c r="AA36" i="12"/>
  <c r="AA39" i="12" s="1"/>
  <c r="AA42" i="12" s="1"/>
  <c r="AB35" i="12"/>
  <c r="AB36" i="12" s="1"/>
  <c r="Y9" i="12"/>
  <c r="Y6" i="12" s="1"/>
  <c r="Y7" i="12"/>
  <c r="DX15" i="8" s="1"/>
  <c r="DN81" i="8"/>
  <c r="DL15" i="8"/>
  <c r="DL81" i="8" s="1"/>
  <c r="DJ15" i="8"/>
  <c r="DJ81" i="8" s="1"/>
  <c r="DK15" i="8"/>
  <c r="DK81" i="8" s="1"/>
  <c r="DM15" i="8"/>
  <c r="DM81" i="8" s="1"/>
  <c r="AA20" i="12"/>
  <c r="Z23" i="12"/>
  <c r="DS81" i="8"/>
  <c r="Z67" i="12"/>
  <c r="Z69" i="12" s="1"/>
  <c r="Z13" i="12" s="1"/>
  <c r="Z12" i="12" s="1"/>
  <c r="AA106" i="12"/>
  <c r="AA108" i="12" s="1"/>
  <c r="AA16" i="12" s="1"/>
  <c r="AA15" i="12" s="1"/>
  <c r="AA25" i="12"/>
  <c r="Z26" i="12"/>
  <c r="Z10" i="12" s="1"/>
  <c r="AB39" i="12"/>
  <c r="AB42" i="12" s="1"/>
  <c r="Y66" i="12"/>
  <c r="X8" i="12"/>
  <c r="EM26" i="8"/>
  <c r="EE26" i="8"/>
  <c r="EE90" i="8" s="1"/>
  <c r="EF26" i="8"/>
  <c r="EF90" i="8" s="1"/>
  <c r="EH90" i="8"/>
  <c r="EG26" i="8"/>
  <c r="EG90" i="8" s="1"/>
  <c r="ED26" i="8"/>
  <c r="ED90" i="8" s="1"/>
  <c r="Z72" i="13"/>
  <c r="Z85" i="13" s="1"/>
  <c r="Z90" i="13" s="1"/>
  <c r="Z93" i="13" s="1"/>
  <c r="Z95" i="13" s="1"/>
  <c r="EM25" i="8" s="1"/>
  <c r="EC89" i="8"/>
  <c r="EA25" i="8"/>
  <c r="DY25" i="8"/>
  <c r="EB25" i="8"/>
  <c r="DZ25" i="8"/>
  <c r="EC23" i="8"/>
  <c r="DV88" i="8"/>
  <c r="DW88" i="8"/>
  <c r="DT88" i="8"/>
  <c r="DU88" i="8"/>
  <c r="CS77" i="8"/>
  <c r="CS9" i="8"/>
  <c r="CS76" i="8" s="1"/>
  <c r="CP77" i="8"/>
  <c r="CP9" i="8"/>
  <c r="X53" i="4"/>
  <c r="X55" i="4" s="1"/>
  <c r="R12" i="17" s="1"/>
  <c r="X58" i="4"/>
  <c r="X60" i="4" s="1"/>
  <c r="DD11" i="8" s="1"/>
  <c r="AD54" i="4"/>
  <c r="CY77" i="8"/>
  <c r="CW10" i="8"/>
  <c r="CU10" i="8"/>
  <c r="CX10" i="8"/>
  <c r="CV10" i="8"/>
  <c r="CY78" i="8"/>
  <c r="CU11" i="8"/>
  <c r="CU78" i="8" s="1"/>
  <c r="CV11" i="8"/>
  <c r="CV78" i="8" s="1"/>
  <c r="CW11" i="8"/>
  <c r="CW78" i="8" s="1"/>
  <c r="CX11" i="8"/>
  <c r="CX78" i="8" s="1"/>
  <c r="AB35" i="4"/>
  <c r="AA37" i="4"/>
  <c r="AB59" i="4"/>
  <c r="AC30" i="4"/>
  <c r="X29" i="4"/>
  <c r="X31" i="4" s="1"/>
  <c r="DD10" i="8" s="1"/>
  <c r="CK76" i="8"/>
  <c r="CO9" i="8"/>
  <c r="CQ9" i="8"/>
  <c r="CQ76" i="8" s="1"/>
  <c r="CQ77" i="8"/>
  <c r="CR77" i="8"/>
  <c r="CR9" i="8"/>
  <c r="CR76" i="8" s="1"/>
  <c r="Y38" i="4"/>
  <c r="Z36" i="4"/>
  <c r="Y7" i="4"/>
  <c r="Y23" i="4" s="1"/>
  <c r="Y26" i="4" s="1"/>
  <c r="Y8" i="4"/>
  <c r="Z4" i="4"/>
  <c r="X85" i="15"/>
  <c r="X86" i="15" s="1"/>
  <c r="X40" i="15"/>
  <c r="X96" i="15" s="1"/>
  <c r="X97" i="15" s="1"/>
  <c r="X99" i="15" s="1"/>
  <c r="X43" i="15"/>
  <c r="X53" i="15" s="1"/>
  <c r="X62" i="15"/>
  <c r="X69" i="15" s="1"/>
  <c r="Z141" i="15"/>
  <c r="AA140" i="15"/>
  <c r="Z142" i="15"/>
  <c r="V214" i="15"/>
  <c r="V213" i="15"/>
  <c r="W189" i="15"/>
  <c r="W188" i="15"/>
  <c r="W190" i="15"/>
  <c r="AA20" i="15"/>
  <c r="Z22" i="15"/>
  <c r="W118" i="15"/>
  <c r="W119" i="15" s="1"/>
  <c r="W75" i="15"/>
  <c r="W129" i="15" s="1"/>
  <c r="W130" i="15" s="1"/>
  <c r="AD21" i="15"/>
  <c r="Y17" i="15"/>
  <c r="Z16" i="15"/>
  <c r="AA143" i="15"/>
  <c r="Y144" i="15"/>
  <c r="W98" i="15"/>
  <c r="V201" i="15"/>
  <c r="V202" i="15"/>
  <c r="V226" i="15"/>
  <c r="V225" i="15"/>
  <c r="V132" i="15"/>
  <c r="W10" i="15"/>
  <c r="W13" i="15"/>
  <c r="X8" i="15" s="1"/>
  <c r="W175" i="15"/>
  <c r="W163" i="15"/>
  <c r="Y25" i="15"/>
  <c r="Y34" i="15" s="1"/>
  <c r="V235" i="15"/>
  <c r="W103" i="15"/>
  <c r="W104" i="15" s="1"/>
  <c r="W59" i="15"/>
  <c r="W111" i="15" s="1"/>
  <c r="W112" i="15" s="1"/>
  <c r="X62" i="1"/>
  <c r="X25" i="1"/>
  <c r="X34" i="1" s="1"/>
  <c r="W161" i="1"/>
  <c r="W160" i="1"/>
  <c r="W162" i="1"/>
  <c r="AC20" i="1"/>
  <c r="AB22" i="1"/>
  <c r="W81" i="1"/>
  <c r="W82" i="1" s="1"/>
  <c r="W40" i="1"/>
  <c r="W92" i="1" s="1"/>
  <c r="W93" i="1" s="1"/>
  <c r="W95" i="1" s="1"/>
  <c r="W43" i="1"/>
  <c r="W53" i="1" s="1"/>
  <c r="X134" i="1"/>
  <c r="X12" i="1"/>
  <c r="CQ85" i="8"/>
  <c r="Z16" i="1"/>
  <c r="Y17" i="1"/>
  <c r="V95" i="1"/>
  <c r="AA139" i="1"/>
  <c r="W173" i="1"/>
  <c r="W174" i="1"/>
  <c r="W172" i="1"/>
  <c r="AD217" i="1"/>
  <c r="U110" i="1"/>
  <c r="V108" i="1"/>
  <c r="CR85" i="8"/>
  <c r="CP85" i="8"/>
  <c r="CS85" i="8"/>
  <c r="Z118" i="19"/>
  <c r="AC115" i="19"/>
  <c r="AE112" i="19"/>
  <c r="BV143" i="8"/>
  <c r="BV158" i="8" s="1"/>
  <c r="BW123" i="8"/>
  <c r="DN151" i="8"/>
  <c r="DS131" i="8"/>
  <c r="DN150" i="8"/>
  <c r="DS130" i="8"/>
  <c r="BS143" i="8"/>
  <c r="BS158" i="8" s="1"/>
  <c r="BT123" i="8"/>
  <c r="BT143" i="8" s="1"/>
  <c r="BT158" i="8" s="1"/>
  <c r="BT138" i="8" s="1"/>
  <c r="DX124" i="8"/>
  <c r="EH125" i="8"/>
  <c r="CE143" i="8"/>
  <c r="CJ123" i="8"/>
  <c r="T12" i="22"/>
  <c r="U5" i="22"/>
  <c r="CO52" i="8"/>
  <c r="T228" i="1" l="1"/>
  <c r="V127" i="1"/>
  <c r="V131" i="1" s="1"/>
  <c r="V228" i="1" s="1"/>
  <c r="U130" i="1"/>
  <c r="U227" i="1" s="1"/>
  <c r="O5" i="17" s="1"/>
  <c r="W71" i="1"/>
  <c r="W125" i="1" s="1"/>
  <c r="W126" i="1" s="1"/>
  <c r="W128" i="1" s="1"/>
  <c r="H25" i="80"/>
  <c r="AA142" i="1"/>
  <c r="Z141" i="1"/>
  <c r="Z144" i="1" s="1"/>
  <c r="Z140" i="1" s="1"/>
  <c r="Z143" i="1"/>
  <c r="X68" i="1"/>
  <c r="X114" i="1" s="1"/>
  <c r="X115" i="1" s="1"/>
  <c r="H12" i="73"/>
  <c r="AE92" i="20"/>
  <c r="EN86" i="10" s="1"/>
  <c r="EI86" i="10"/>
  <c r="EI87" i="10" s="1"/>
  <c r="EN87" i="10" s="1"/>
  <c r="CY57" i="8"/>
  <c r="CY156" i="8" s="1"/>
  <c r="CC123" i="8"/>
  <c r="CB143" i="8"/>
  <c r="V110" i="1"/>
  <c r="V130" i="1" s="1"/>
  <c r="EH23" i="8"/>
  <c r="EH88" i="8" s="1"/>
  <c r="ED25" i="8"/>
  <c r="ED89" i="8" s="1"/>
  <c r="EH89" i="8"/>
  <c r="EF25" i="8"/>
  <c r="EF23" i="8" s="1"/>
  <c r="EE25" i="8"/>
  <c r="EE89" i="8" s="1"/>
  <c r="Z66" i="12"/>
  <c r="AD99" i="20"/>
  <c r="V134" i="15"/>
  <c r="V231" i="15" s="1"/>
  <c r="P11" i="17" s="1"/>
  <c r="P10" i="17" s="1"/>
  <c r="U232" i="15"/>
  <c r="DR15" i="8"/>
  <c r="DR81" i="8" s="1"/>
  <c r="V135" i="15"/>
  <c r="V234" i="15" s="1"/>
  <c r="DQ15" i="8"/>
  <c r="DQ81" i="8" s="1"/>
  <c r="U230" i="1"/>
  <c r="U228" i="1"/>
  <c r="X98" i="15"/>
  <c r="W231" i="1"/>
  <c r="W114" i="15"/>
  <c r="DO15" i="8"/>
  <c r="DO81" i="8" s="1"/>
  <c r="W113" i="15"/>
  <c r="W132" i="15"/>
  <c r="DA153" i="8"/>
  <c r="DA106" i="8"/>
  <c r="CZ153" i="8"/>
  <c r="CZ106" i="8"/>
  <c r="DC153" i="8"/>
  <c r="DC106" i="8"/>
  <c r="DB153" i="8"/>
  <c r="DB106" i="8"/>
  <c r="CO112" i="8"/>
  <c r="CM52" i="8"/>
  <c r="CM112" i="8" s="1"/>
  <c r="CK52" i="8"/>
  <c r="CK112" i="8" s="1"/>
  <c r="CN52" i="8"/>
  <c r="CN112" i="8" s="1"/>
  <c r="CL52" i="8"/>
  <c r="CL112" i="8" s="1"/>
  <c r="CO155" i="8"/>
  <c r="AA26" i="12"/>
  <c r="AA10" i="12" s="1"/>
  <c r="AB25" i="12"/>
  <c r="AB20" i="12"/>
  <c r="AB23" i="12" s="1"/>
  <c r="AA23" i="12"/>
  <c r="DX81" i="8"/>
  <c r="AA45" i="12"/>
  <c r="AA48" i="12" s="1"/>
  <c r="AA51" i="12" s="1"/>
  <c r="Z9" i="12"/>
  <c r="Z6" i="12" s="1"/>
  <c r="Z7" i="12"/>
  <c r="EC15" i="8" s="1"/>
  <c r="DP15" i="8"/>
  <c r="DP81" i="8" s="1"/>
  <c r="Y8" i="12"/>
  <c r="AB45" i="12"/>
  <c r="AB48" i="12" s="1"/>
  <c r="AB51" i="12" s="1"/>
  <c r="EM89" i="8"/>
  <c r="EI25" i="8"/>
  <c r="EK25" i="8"/>
  <c r="EJ25" i="8"/>
  <c r="EL25" i="8"/>
  <c r="EM23" i="8"/>
  <c r="EC88" i="8"/>
  <c r="EC146" i="8"/>
  <c r="EB89" i="8"/>
  <c r="EB23" i="8"/>
  <c r="EB88" i="8" s="1"/>
  <c r="EA89" i="8"/>
  <c r="EA23" i="8"/>
  <c r="EA88" i="8" s="1"/>
  <c r="EM90" i="8"/>
  <c r="EI26" i="8"/>
  <c r="EI90" i="8" s="1"/>
  <c r="EJ26" i="8"/>
  <c r="EJ90" i="8" s="1"/>
  <c r="EK26" i="8"/>
  <c r="EK90" i="8" s="1"/>
  <c r="EL26" i="8"/>
  <c r="EL90" i="8" s="1"/>
  <c r="DZ89" i="8"/>
  <c r="DZ23" i="8"/>
  <c r="DZ88" i="8" s="1"/>
  <c r="DY89" i="8"/>
  <c r="DY23" i="8"/>
  <c r="DY88" i="8" s="1"/>
  <c r="EG89" i="8"/>
  <c r="EG23" i="8"/>
  <c r="Z8" i="4"/>
  <c r="AA4" i="4"/>
  <c r="Z7" i="4"/>
  <c r="Z23" i="4" s="1"/>
  <c r="Z26" i="4" s="1"/>
  <c r="Y58" i="4"/>
  <c r="Y60" i="4" s="1"/>
  <c r="DI11" i="8" s="1"/>
  <c r="Y53" i="4"/>
  <c r="Y55" i="4" s="1"/>
  <c r="S12" i="17" s="1"/>
  <c r="AC59" i="4"/>
  <c r="CX77" i="8"/>
  <c r="CX9" i="8"/>
  <c r="CX76" i="8" s="1"/>
  <c r="CW77" i="8"/>
  <c r="CW9" i="8"/>
  <c r="CW76" i="8" s="1"/>
  <c r="AE54" i="4"/>
  <c r="DD78" i="8"/>
  <c r="CZ11" i="8"/>
  <c r="CZ78" i="8" s="1"/>
  <c r="DA11" i="8"/>
  <c r="DA78" i="8" s="1"/>
  <c r="DB11" i="8"/>
  <c r="DB78" i="8" s="1"/>
  <c r="DC11" i="8"/>
  <c r="DC78" i="8" s="1"/>
  <c r="CP76" i="8"/>
  <c r="CT9" i="8"/>
  <c r="CT76" i="8" s="1"/>
  <c r="Y29" i="4"/>
  <c r="Y31" i="4" s="1"/>
  <c r="DI10" i="8" s="1"/>
  <c r="AA36" i="4"/>
  <c r="Z38" i="4"/>
  <c r="CO76" i="8"/>
  <c r="DD77" i="8"/>
  <c r="DB10" i="8"/>
  <c r="CZ10" i="8"/>
  <c r="DC10" i="8"/>
  <c r="DA10" i="8"/>
  <c r="AD30" i="4"/>
  <c r="AB37" i="4"/>
  <c r="AC35" i="4"/>
  <c r="CV9" i="8"/>
  <c r="CV76" i="8" s="1"/>
  <c r="CV77" i="8"/>
  <c r="CU9" i="8"/>
  <c r="CU77" i="8"/>
  <c r="W166" i="15"/>
  <c r="W164" i="15"/>
  <c r="W165" i="15"/>
  <c r="X138" i="15"/>
  <c r="X12" i="15"/>
  <c r="Y43" i="15"/>
  <c r="Y53" i="15" s="1"/>
  <c r="Y62" i="15"/>
  <c r="Y69" i="15" s="1"/>
  <c r="AA141" i="15"/>
  <c r="AB140" i="15"/>
  <c r="AA142" i="15"/>
  <c r="X118" i="15"/>
  <c r="X119" i="15" s="1"/>
  <c r="X75" i="15"/>
  <c r="X129" i="15" s="1"/>
  <c r="X130" i="15" s="1"/>
  <c r="Y85" i="15"/>
  <c r="Y86" i="15" s="1"/>
  <c r="Y40" i="15"/>
  <c r="Y96" i="15" s="1"/>
  <c r="Y97" i="15" s="1"/>
  <c r="W178" i="15"/>
  <c r="W176" i="15"/>
  <c r="W177" i="15"/>
  <c r="V236" i="15"/>
  <c r="AB143" i="15"/>
  <c r="Z17" i="15"/>
  <c r="AA16" i="15"/>
  <c r="AE21" i="15"/>
  <c r="W131" i="15"/>
  <c r="AB20" i="15"/>
  <c r="AA22" i="15"/>
  <c r="Z144" i="15"/>
  <c r="X103" i="15"/>
  <c r="X104" i="15" s="1"/>
  <c r="X59" i="15"/>
  <c r="X111" i="15" s="1"/>
  <c r="X112" i="15" s="1"/>
  <c r="X233" i="15"/>
  <c r="AE217" i="1"/>
  <c r="AB139" i="1"/>
  <c r="Y62" i="1"/>
  <c r="Y25" i="1"/>
  <c r="Y34" i="1" s="1"/>
  <c r="X10" i="1"/>
  <c r="X13" i="1"/>
  <c r="Y8" i="1" s="1"/>
  <c r="W99" i="1"/>
  <c r="W100" i="1" s="1"/>
  <c r="W59" i="1"/>
  <c r="W107" i="1" s="1"/>
  <c r="W108" i="1" s="1"/>
  <c r="W229" i="1"/>
  <c r="AD20" i="1"/>
  <c r="AC22" i="1"/>
  <c r="W198" i="1"/>
  <c r="W197" i="1"/>
  <c r="K261" i="1"/>
  <c r="K260" i="1" s="1"/>
  <c r="K265" i="1" s="1"/>
  <c r="E6" i="17"/>
  <c r="E8" i="17" s="1"/>
  <c r="Z17" i="1"/>
  <c r="AA16" i="1"/>
  <c r="X159" i="1"/>
  <c r="X171" i="1"/>
  <c r="X183" i="1"/>
  <c r="W94" i="1"/>
  <c r="W210" i="1"/>
  <c r="W209" i="1"/>
  <c r="CY20" i="8" s="1"/>
  <c r="W221" i="1"/>
  <c r="W222" i="1"/>
  <c r="X81" i="1"/>
  <c r="X82" i="1" s="1"/>
  <c r="X40" i="1"/>
  <c r="X92" i="1" s="1"/>
  <c r="X93" i="1" s="1"/>
  <c r="X43" i="1"/>
  <c r="X53" i="1" s="1"/>
  <c r="AD115" i="19"/>
  <c r="AA118" i="19"/>
  <c r="EM125" i="8"/>
  <c r="EC124" i="8"/>
  <c r="DS150" i="8"/>
  <c r="DX130" i="8"/>
  <c r="DS151" i="8"/>
  <c r="DX131" i="8"/>
  <c r="BW143" i="8"/>
  <c r="BX123" i="8"/>
  <c r="CJ143" i="8"/>
  <c r="CO123" i="8"/>
  <c r="BS138" i="8"/>
  <c r="BU158" i="8"/>
  <c r="BV138" i="8"/>
  <c r="U12" i="22"/>
  <c r="CT52" i="8"/>
  <c r="W127" i="1" l="1"/>
  <c r="AB142" i="1"/>
  <c r="AA141" i="1"/>
  <c r="AA144" i="1" s="1"/>
  <c r="AA140" i="1" s="1"/>
  <c r="AA143" i="1"/>
  <c r="X71" i="1"/>
  <c r="X125" i="1" s="1"/>
  <c r="X126" i="1" s="1"/>
  <c r="X128" i="1" s="1"/>
  <c r="Y43" i="1"/>
  <c r="Y53" i="1" s="1"/>
  <c r="Y99" i="1" s="1"/>
  <c r="Y100" i="1" s="1"/>
  <c r="Y68" i="1"/>
  <c r="Y114" i="1" s="1"/>
  <c r="Y115" i="1" s="1"/>
  <c r="CY54" i="8"/>
  <c r="AD63" i="20"/>
  <c r="AD65" i="20" s="1"/>
  <c r="I16" i="73"/>
  <c r="L14" i="89"/>
  <c r="L24" i="89" s="1"/>
  <c r="L33" i="89" s="1"/>
  <c r="I26" i="80" s="1"/>
  <c r="CD123" i="8"/>
  <c r="CD143" i="8" s="1"/>
  <c r="CC143" i="8"/>
  <c r="ED23" i="8"/>
  <c r="ED88" i="8" s="1"/>
  <c r="EF89" i="8"/>
  <c r="EE23" i="8"/>
  <c r="EE88" i="8" s="1"/>
  <c r="EH146" i="8"/>
  <c r="V230" i="1"/>
  <c r="AA67" i="12"/>
  <c r="AA69" i="12" s="1"/>
  <c r="AA13" i="12" s="1"/>
  <c r="AA12" i="12" s="1"/>
  <c r="AE99" i="20"/>
  <c r="AE63" i="20"/>
  <c r="AE65" i="20" s="1"/>
  <c r="W235" i="15"/>
  <c r="Y99" i="15"/>
  <c r="V232" i="15"/>
  <c r="DW15" i="8"/>
  <c r="DW81" i="8" s="1"/>
  <c r="W134" i="15"/>
  <c r="DV15" i="8"/>
  <c r="DV81" i="8" s="1"/>
  <c r="V227" i="1"/>
  <c r="P5" i="17" s="1"/>
  <c r="W135" i="15"/>
  <c r="W234" i="15" s="1"/>
  <c r="X132" i="15"/>
  <c r="EG88" i="8"/>
  <c r="Y233" i="15"/>
  <c r="X94" i="1"/>
  <c r="W109" i="1"/>
  <c r="Z8" i="12"/>
  <c r="X114" i="15"/>
  <c r="EF88" i="8"/>
  <c r="DT15" i="8"/>
  <c r="DT81" i="8" s="1"/>
  <c r="X113" i="15"/>
  <c r="Y98" i="15"/>
  <c r="X131" i="15"/>
  <c r="DF106" i="8"/>
  <c r="DF153" i="8"/>
  <c r="DG153" i="8"/>
  <c r="DG106" i="8"/>
  <c r="DH106" i="8"/>
  <c r="DH153" i="8"/>
  <c r="DE106" i="8"/>
  <c r="DE153" i="8"/>
  <c r="CR52" i="8"/>
  <c r="CP52" i="8"/>
  <c r="CT112" i="8"/>
  <c r="CQ52" i="8"/>
  <c r="CT155" i="8"/>
  <c r="CS52" i="8"/>
  <c r="DU15" i="8"/>
  <c r="DU81" i="8" s="1"/>
  <c r="AA9" i="12"/>
  <c r="AA7" i="12"/>
  <c r="EH15" i="8" s="1"/>
  <c r="AB67" i="12"/>
  <c r="AB69" i="12" s="1"/>
  <c r="AB13" i="12" s="1"/>
  <c r="AB12" i="12" s="1"/>
  <c r="EC81" i="8"/>
  <c r="AA66" i="12"/>
  <c r="AB26" i="12"/>
  <c r="AB10" i="12" s="1"/>
  <c r="AB66" i="12"/>
  <c r="EM88" i="8"/>
  <c r="EM146" i="8"/>
  <c r="EJ89" i="8"/>
  <c r="EJ23" i="8"/>
  <c r="EI89" i="8"/>
  <c r="EI23" i="8"/>
  <c r="EL89" i="8"/>
  <c r="EL23" i="8"/>
  <c r="EL88" i="8" s="1"/>
  <c r="EK89" i="8"/>
  <c r="EK23" i="8"/>
  <c r="EK88" i="8" s="1"/>
  <c r="CU76" i="8"/>
  <c r="CY9" i="8"/>
  <c r="CY76" i="8" s="1"/>
  <c r="DC77" i="8"/>
  <c r="DC9" i="8"/>
  <c r="DC76" i="8" s="1"/>
  <c r="DB77" i="8"/>
  <c r="DB9" i="8"/>
  <c r="DB76" i="8" s="1"/>
  <c r="AA38" i="4"/>
  <c r="AB36" i="4"/>
  <c r="AD59" i="4"/>
  <c r="DI78" i="8"/>
  <c r="DE11" i="8"/>
  <c r="DE78" i="8" s="1"/>
  <c r="DF11" i="8"/>
  <c r="DF78" i="8" s="1"/>
  <c r="DG11" i="8"/>
  <c r="DG78" i="8" s="1"/>
  <c r="DH11" i="8"/>
  <c r="DH78" i="8" s="1"/>
  <c r="AA7" i="4"/>
  <c r="AA23" i="4" s="1"/>
  <c r="AA26" i="4" s="1"/>
  <c r="AA8" i="4"/>
  <c r="AB4" i="4"/>
  <c r="AD35" i="4"/>
  <c r="AC37" i="4"/>
  <c r="AE30" i="4"/>
  <c r="DA77" i="8"/>
  <c r="DA9" i="8"/>
  <c r="DA76" i="8" s="1"/>
  <c r="CZ77" i="8"/>
  <c r="CZ9" i="8"/>
  <c r="Z58" i="4"/>
  <c r="Z60" i="4" s="1"/>
  <c r="DN11" i="8" s="1"/>
  <c r="Z53" i="4"/>
  <c r="Z55" i="4" s="1"/>
  <c r="T12" i="17" s="1"/>
  <c r="DI77" i="8"/>
  <c r="DE10" i="8"/>
  <c r="DG10" i="8"/>
  <c r="DF10" i="8"/>
  <c r="DH10" i="8"/>
  <c r="Z29" i="4"/>
  <c r="Z31" i="4" s="1"/>
  <c r="DN10" i="8" s="1"/>
  <c r="Z62" i="15"/>
  <c r="Z69" i="15" s="1"/>
  <c r="AA144" i="15"/>
  <c r="Y103" i="15"/>
  <c r="Y104" i="15" s="1"/>
  <c r="Y59" i="15"/>
  <c r="Y111" i="15" s="1"/>
  <c r="Y112" i="15" s="1"/>
  <c r="X175" i="15"/>
  <c r="X163" i="15"/>
  <c r="X187" i="15"/>
  <c r="W202" i="15"/>
  <c r="W201" i="15"/>
  <c r="AC20" i="15"/>
  <c r="AB22" i="15"/>
  <c r="AA17" i="15"/>
  <c r="AB16" i="15"/>
  <c r="AC143" i="15"/>
  <c r="AB141" i="15"/>
  <c r="AC140" i="15"/>
  <c r="AB142" i="15"/>
  <c r="Z25" i="15"/>
  <c r="Z34" i="15" s="1"/>
  <c r="Y118" i="15"/>
  <c r="Y119" i="15" s="1"/>
  <c r="Y75" i="15"/>
  <c r="Y129" i="15" s="1"/>
  <c r="Y130" i="15" s="1"/>
  <c r="X10" i="15"/>
  <c r="X13" i="15"/>
  <c r="Y8" i="15" s="1"/>
  <c r="W225" i="15"/>
  <c r="W226" i="15"/>
  <c r="W214" i="15"/>
  <c r="W213" i="15"/>
  <c r="CU20" i="8"/>
  <c r="CX20" i="8"/>
  <c r="CY85" i="8"/>
  <c r="CV20" i="8"/>
  <c r="CW20" i="8"/>
  <c r="X185" i="1"/>
  <c r="X184" i="1"/>
  <c r="X186" i="1"/>
  <c r="X162" i="1"/>
  <c r="X160" i="1"/>
  <c r="X161" i="1"/>
  <c r="Z62" i="1"/>
  <c r="Z25" i="1"/>
  <c r="Z34" i="1" s="1"/>
  <c r="W232" i="1"/>
  <c r="AE20" i="1"/>
  <c r="AD22" i="1"/>
  <c r="X99" i="1"/>
  <c r="X100" i="1" s="1"/>
  <c r="X59" i="1"/>
  <c r="X107" i="1" s="1"/>
  <c r="X108" i="1" s="1"/>
  <c r="X95" i="1"/>
  <c r="X229" i="1"/>
  <c r="X174" i="1"/>
  <c r="X172" i="1"/>
  <c r="X173" i="1"/>
  <c r="AA17" i="1"/>
  <c r="AB16" i="1"/>
  <c r="W110" i="1"/>
  <c r="W130" i="1" s="1"/>
  <c r="Y134" i="1"/>
  <c r="Y12" i="1"/>
  <c r="Y81" i="1"/>
  <c r="Y82" i="1" s="1"/>
  <c r="Y40" i="1"/>
  <c r="Y92" i="1" s="1"/>
  <c r="Y93" i="1" s="1"/>
  <c r="AC139" i="1"/>
  <c r="AB118" i="19"/>
  <c r="AE115" i="19"/>
  <c r="BU138" i="8"/>
  <c r="BU159" i="8"/>
  <c r="BU139" i="8" s="1"/>
  <c r="CO143" i="8"/>
  <c r="CT123" i="8"/>
  <c r="BX143" i="8"/>
  <c r="BY123" i="8"/>
  <c r="BY143" i="8" s="1"/>
  <c r="DX151" i="8"/>
  <c r="EC131" i="8"/>
  <c r="DX150" i="8"/>
  <c r="EC130" i="8"/>
  <c r="EH124" i="8"/>
  <c r="CY52" i="8"/>
  <c r="H6" i="17"/>
  <c r="H8" i="17" s="1"/>
  <c r="W131" i="1" l="1"/>
  <c r="W230" i="1" s="1"/>
  <c r="X127" i="1"/>
  <c r="AC142" i="1"/>
  <c r="AB141" i="1"/>
  <c r="AB144" i="1" s="1"/>
  <c r="AB140" i="1" s="1"/>
  <c r="AB143" i="1"/>
  <c r="Y71" i="1"/>
  <c r="Y125" i="1" s="1"/>
  <c r="Y126" i="1" s="1"/>
  <c r="Y128" i="1" s="1"/>
  <c r="Y229" i="1"/>
  <c r="Y59" i="1"/>
  <c r="Y107" i="1" s="1"/>
  <c r="Y108" i="1" s="1"/>
  <c r="Y110" i="1" s="1"/>
  <c r="Z68" i="1"/>
  <c r="Z71" i="1" s="1"/>
  <c r="Z125" i="1" s="1"/>
  <c r="I12" i="73"/>
  <c r="I18" i="73"/>
  <c r="I19" i="73" s="1"/>
  <c r="J27" i="80"/>
  <c r="I25" i="80"/>
  <c r="EI88" i="8"/>
  <c r="EJ88" i="8"/>
  <c r="AA6" i="12"/>
  <c r="AA8" i="12" s="1"/>
  <c r="W231" i="15"/>
  <c r="Q11" i="17" s="1"/>
  <c r="Q10" i="17" s="1"/>
  <c r="EB15" i="8"/>
  <c r="EB81" i="8" s="1"/>
  <c r="EA15" i="8"/>
  <c r="EA81" i="8" s="1"/>
  <c r="Y114" i="15"/>
  <c r="Y94" i="1"/>
  <c r="X134" i="15"/>
  <c r="X135" i="15"/>
  <c r="X234" i="15" s="1"/>
  <c r="X109" i="1"/>
  <c r="Y131" i="15"/>
  <c r="DY15" i="8"/>
  <c r="DY81" i="8" s="1"/>
  <c r="W227" i="1"/>
  <c r="Q5" i="17" s="1"/>
  <c r="DZ15" i="8"/>
  <c r="DZ81" i="8" s="1"/>
  <c r="DK106" i="8"/>
  <c r="DK153" i="8"/>
  <c r="DM106" i="8"/>
  <c r="DM153" i="8"/>
  <c r="DJ106" i="8"/>
  <c r="DJ153" i="8"/>
  <c r="DL106" i="8"/>
  <c r="DL153" i="8"/>
  <c r="CY112" i="8"/>
  <c r="CW52" i="8"/>
  <c r="CU52" i="8"/>
  <c r="CX52" i="8"/>
  <c r="CV52" i="8"/>
  <c r="CY155" i="8"/>
  <c r="CS155" i="8"/>
  <c r="CS112" i="8"/>
  <c r="CQ155" i="8"/>
  <c r="CQ112" i="8"/>
  <c r="CP112" i="8"/>
  <c r="CP155" i="8"/>
  <c r="CR155" i="8"/>
  <c r="CR112" i="8"/>
  <c r="AB9" i="12"/>
  <c r="AB6" i="12" s="1"/>
  <c r="AB7" i="12"/>
  <c r="EM15" i="8" s="1"/>
  <c r="EH81" i="8"/>
  <c r="DF9" i="8"/>
  <c r="DF76" i="8" s="1"/>
  <c r="DF77" i="8"/>
  <c r="DE9" i="8"/>
  <c r="DE77" i="8"/>
  <c r="CZ76" i="8"/>
  <c r="DD9" i="8"/>
  <c r="DD76" i="8" s="1"/>
  <c r="AB8" i="4"/>
  <c r="AC4" i="4"/>
  <c r="AB7" i="4"/>
  <c r="AB23" i="4" s="1"/>
  <c r="AB26" i="4" s="1"/>
  <c r="AE59" i="4"/>
  <c r="AC36" i="4"/>
  <c r="AB38" i="4"/>
  <c r="DN77" i="8"/>
  <c r="DL10" i="8"/>
  <c r="DJ10" i="8"/>
  <c r="DM10" i="8"/>
  <c r="DK10" i="8"/>
  <c r="DH77" i="8"/>
  <c r="DH9" i="8"/>
  <c r="DH76" i="8" s="1"/>
  <c r="DG77" i="8"/>
  <c r="DG9" i="8"/>
  <c r="DG76" i="8" s="1"/>
  <c r="DN78" i="8"/>
  <c r="DJ11" i="8"/>
  <c r="DJ78" i="8" s="1"/>
  <c r="DK11" i="8"/>
  <c r="DK78" i="8" s="1"/>
  <c r="DL11" i="8"/>
  <c r="DL78" i="8" s="1"/>
  <c r="DM11" i="8"/>
  <c r="DM78" i="8" s="1"/>
  <c r="AD37" i="4"/>
  <c r="AE35" i="4"/>
  <c r="AE37" i="4" s="1"/>
  <c r="AA29" i="4"/>
  <c r="AA31" i="4" s="1"/>
  <c r="DS10" i="8" s="1"/>
  <c r="AA53" i="4"/>
  <c r="AA55" i="4" s="1"/>
  <c r="U12" i="17" s="1"/>
  <c r="AA58" i="4"/>
  <c r="AA60" i="4" s="1"/>
  <c r="DS11" i="8" s="1"/>
  <c r="Y138" i="15"/>
  <c r="Y12" i="15"/>
  <c r="AB144" i="15"/>
  <c r="AA62" i="15"/>
  <c r="AA69" i="15" s="1"/>
  <c r="W236" i="15"/>
  <c r="W232" i="15"/>
  <c r="X165" i="15"/>
  <c r="X166" i="15"/>
  <c r="X164" i="15"/>
  <c r="Z118" i="15"/>
  <c r="Z119" i="15" s="1"/>
  <c r="Z75" i="15"/>
  <c r="Z129" i="15" s="1"/>
  <c r="Z130" i="15" s="1"/>
  <c r="Y132" i="15"/>
  <c r="Z85" i="15"/>
  <c r="Z86" i="15" s="1"/>
  <c r="Z40" i="15"/>
  <c r="Z96" i="15" s="1"/>
  <c r="Z97" i="15" s="1"/>
  <c r="Z99" i="15" s="1"/>
  <c r="AC141" i="15"/>
  <c r="AD140" i="15"/>
  <c r="AC142" i="15"/>
  <c r="AD143" i="15"/>
  <c r="AB17" i="15"/>
  <c r="AB25" i="15" s="1"/>
  <c r="AB34" i="15" s="1"/>
  <c r="AC16" i="15"/>
  <c r="AD20" i="15"/>
  <c r="AC22" i="15"/>
  <c r="X190" i="15"/>
  <c r="X188" i="15"/>
  <c r="X189" i="15"/>
  <c r="X177" i="15"/>
  <c r="X178" i="15"/>
  <c r="X176" i="15"/>
  <c r="Y113" i="15"/>
  <c r="Z43" i="15"/>
  <c r="Z53" i="15" s="1"/>
  <c r="Z233" i="15" s="1"/>
  <c r="AA25" i="15"/>
  <c r="AA34" i="15" s="1"/>
  <c r="Y159" i="1"/>
  <c r="Y171" i="1"/>
  <c r="Y183" i="1"/>
  <c r="AB17" i="1"/>
  <c r="AC16" i="1"/>
  <c r="AE22" i="1"/>
  <c r="Z81" i="1"/>
  <c r="Z82" i="1" s="1"/>
  <c r="Z40" i="1"/>
  <c r="Z92" i="1" s="1"/>
  <c r="Z93" i="1" s="1"/>
  <c r="X197" i="1"/>
  <c r="X198" i="1"/>
  <c r="CV85" i="8"/>
  <c r="CU85" i="8"/>
  <c r="M261" i="1"/>
  <c r="M260" i="1" s="1"/>
  <c r="M265" i="1" s="1"/>
  <c r="G6" i="17"/>
  <c r="G8" i="17" s="1"/>
  <c r="AD139" i="1"/>
  <c r="Y95" i="1"/>
  <c r="Y10" i="1"/>
  <c r="Y13" i="1"/>
  <c r="Z8" i="1" s="1"/>
  <c r="AA62" i="1"/>
  <c r="AA25" i="1"/>
  <c r="AA34" i="1" s="1"/>
  <c r="X110" i="1"/>
  <c r="X130" i="1" s="1"/>
  <c r="W228" i="1"/>
  <c r="Z43" i="1"/>
  <c r="Z53" i="1" s="1"/>
  <c r="X222" i="1"/>
  <c r="X221" i="1"/>
  <c r="X209" i="1"/>
  <c r="DD20" i="8" s="1"/>
  <c r="X210" i="1"/>
  <c r="X231" i="1"/>
  <c r="CW85" i="8"/>
  <c r="CX85" i="8"/>
  <c r="AC118" i="19"/>
  <c r="EM124" i="8"/>
  <c r="EC150" i="8"/>
  <c r="EH130" i="8"/>
  <c r="EC151" i="8"/>
  <c r="EH131" i="8"/>
  <c r="CT143" i="8"/>
  <c r="CY123" i="8"/>
  <c r="DD52" i="8"/>
  <c r="X131" i="1" l="1"/>
  <c r="X230" i="1" s="1"/>
  <c r="Y109" i="1"/>
  <c r="Z114" i="1"/>
  <c r="Z115" i="1" s="1"/>
  <c r="Y127" i="1"/>
  <c r="Y131" i="1" s="1"/>
  <c r="Y230" i="1" s="1"/>
  <c r="Z126" i="1"/>
  <c r="AA43" i="1"/>
  <c r="AA53" i="1" s="1"/>
  <c r="AA59" i="1" s="1"/>
  <c r="AA107" i="1" s="1"/>
  <c r="AD142" i="1"/>
  <c r="AC141" i="1"/>
  <c r="AC144" i="1" s="1"/>
  <c r="AC140" i="1" s="1"/>
  <c r="AC143" i="1"/>
  <c r="AA68" i="1"/>
  <c r="AA114" i="1" s="1"/>
  <c r="AA115" i="1" s="1"/>
  <c r="I27" i="73"/>
  <c r="DD57" i="8"/>
  <c r="DD156" i="8" s="1"/>
  <c r="J16" i="73"/>
  <c r="M14" i="89"/>
  <c r="M24" i="89" s="1"/>
  <c r="M33" i="89" s="1"/>
  <c r="J26" i="80" s="1"/>
  <c r="I20" i="73"/>
  <c r="I21" i="73" s="1"/>
  <c r="I23" i="73" s="1"/>
  <c r="DD56" i="8" s="1"/>
  <c r="Z95" i="1"/>
  <c r="EG15" i="8"/>
  <c r="EG81" i="8" s="1"/>
  <c r="Y134" i="15"/>
  <c r="EF15" i="8"/>
  <c r="EF81" i="8" s="1"/>
  <c r="Y135" i="15"/>
  <c r="Y234" i="15" s="1"/>
  <c r="EE15" i="8"/>
  <c r="EE81" i="8" s="1"/>
  <c r="ED15" i="8"/>
  <c r="ED81" i="8" s="1"/>
  <c r="Z127" i="1"/>
  <c r="Y130" i="1"/>
  <c r="Z131" i="15"/>
  <c r="DP106" i="8"/>
  <c r="DP153" i="8"/>
  <c r="DR106" i="8"/>
  <c r="DR153" i="8"/>
  <c r="DQ106" i="8"/>
  <c r="DQ153" i="8"/>
  <c r="DO106" i="8"/>
  <c r="DO153" i="8"/>
  <c r="DD112" i="8"/>
  <c r="CZ52" i="8"/>
  <c r="DB52" i="8"/>
  <c r="DA52" i="8"/>
  <c r="DD155" i="8"/>
  <c r="DC52" i="8"/>
  <c r="CX112" i="8"/>
  <c r="CX155" i="8"/>
  <c r="CW112" i="8"/>
  <c r="CW155" i="8"/>
  <c r="CV112" i="8"/>
  <c r="CV155" i="8"/>
  <c r="CU112" i="8"/>
  <c r="CU155" i="8"/>
  <c r="EM81" i="8"/>
  <c r="AB8" i="12"/>
  <c r="DM77" i="8"/>
  <c r="DM9" i="8"/>
  <c r="DM76" i="8" s="1"/>
  <c r="DL77" i="8"/>
  <c r="DL9" i="8"/>
  <c r="DL76" i="8" s="1"/>
  <c r="AB53" i="4"/>
  <c r="AB55" i="4" s="1"/>
  <c r="V12" i="17" s="1"/>
  <c r="AB58" i="4"/>
  <c r="AB60" i="4" s="1"/>
  <c r="DX11" i="8" s="1"/>
  <c r="AB29" i="4"/>
  <c r="AB31" i="4" s="1"/>
  <c r="DX10" i="8" s="1"/>
  <c r="DS78" i="8"/>
  <c r="DO11" i="8"/>
  <c r="DO78" i="8" s="1"/>
  <c r="DP11" i="8"/>
  <c r="DP78" i="8" s="1"/>
  <c r="DQ11" i="8"/>
  <c r="DQ78" i="8" s="1"/>
  <c r="DR11" i="8"/>
  <c r="DR78" i="8" s="1"/>
  <c r="DS77" i="8"/>
  <c r="DO10" i="8"/>
  <c r="DQ10" i="8"/>
  <c r="DR10" i="8"/>
  <c r="DP10" i="8"/>
  <c r="DK9" i="8"/>
  <c r="DK76" i="8" s="1"/>
  <c r="DK77" i="8"/>
  <c r="DJ77" i="8"/>
  <c r="DJ9" i="8"/>
  <c r="AC38" i="4"/>
  <c r="AD36" i="4"/>
  <c r="AC7" i="4"/>
  <c r="AC8" i="4"/>
  <c r="AC29" i="4" s="1"/>
  <c r="AC31" i="4" s="1"/>
  <c r="EC10" i="8" s="1"/>
  <c r="AD4" i="4"/>
  <c r="DE76" i="8"/>
  <c r="DI9" i="8"/>
  <c r="DI76" i="8" s="1"/>
  <c r="AB85" i="15"/>
  <c r="AB86" i="15" s="1"/>
  <c r="AB40" i="15"/>
  <c r="AB96" i="15" s="1"/>
  <c r="AA85" i="15"/>
  <c r="AA86" i="15" s="1"/>
  <c r="AA40" i="15"/>
  <c r="AA96" i="15" s="1"/>
  <c r="AA97" i="15" s="1"/>
  <c r="X235" i="15"/>
  <c r="AC25" i="15"/>
  <c r="AC34" i="15" s="1"/>
  <c r="AC17" i="15"/>
  <c r="AD16" i="15"/>
  <c r="AE143" i="15"/>
  <c r="AC144" i="15"/>
  <c r="X214" i="15"/>
  <c r="X213" i="15"/>
  <c r="AA118" i="15"/>
  <c r="AA119" i="15" s="1"/>
  <c r="AA75" i="15"/>
  <c r="AA129" i="15" s="1"/>
  <c r="AA130" i="15" s="1"/>
  <c r="Z103" i="15"/>
  <c r="Z104" i="15" s="1"/>
  <c r="Z59" i="15"/>
  <c r="Z111" i="15" s="1"/>
  <c r="Z112" i="15" s="1"/>
  <c r="AE20" i="15"/>
  <c r="AD22" i="15"/>
  <c r="AB62" i="15"/>
  <c r="AB69" i="15" s="1"/>
  <c r="AB43" i="15"/>
  <c r="AB53" i="15" s="1"/>
  <c r="AD141" i="15"/>
  <c r="AE140" i="15"/>
  <c r="AD142" i="15"/>
  <c r="Z98" i="15"/>
  <c r="Z132" i="15"/>
  <c r="X202" i="15"/>
  <c r="X201" i="15"/>
  <c r="X231" i="15" s="1"/>
  <c r="R11" i="17" s="1"/>
  <c r="R10" i="17" s="1"/>
  <c r="X226" i="15"/>
  <c r="X225" i="15"/>
  <c r="AA43" i="15"/>
  <c r="AA53" i="15" s="1"/>
  <c r="Y10" i="15"/>
  <c r="Y13" i="15"/>
  <c r="Z8" i="15" s="1"/>
  <c r="Y175" i="15"/>
  <c r="Y163" i="15"/>
  <c r="Y187" i="15"/>
  <c r="Z99" i="1"/>
  <c r="Z100" i="1" s="1"/>
  <c r="Z59" i="1"/>
  <c r="Z107" i="1" s="1"/>
  <c r="Z108" i="1" s="1"/>
  <c r="Z134" i="1"/>
  <c r="Z12" i="1"/>
  <c r="X232" i="1"/>
  <c r="Z229" i="1"/>
  <c r="AD16" i="1"/>
  <c r="AC17" i="1"/>
  <c r="Y173" i="1"/>
  <c r="Y172" i="1"/>
  <c r="Y174" i="1"/>
  <c r="DB20" i="8"/>
  <c r="CZ20" i="8"/>
  <c r="DA20" i="8"/>
  <c r="DC20" i="8"/>
  <c r="DD85" i="8"/>
  <c r="AA81" i="1"/>
  <c r="AA82" i="1" s="1"/>
  <c r="AA40" i="1"/>
  <c r="AA92" i="1" s="1"/>
  <c r="AA93" i="1" s="1"/>
  <c r="AE139" i="1"/>
  <c r="X227" i="1"/>
  <c r="R5" i="17" s="1"/>
  <c r="Z94" i="1"/>
  <c r="AB62" i="1"/>
  <c r="AB25" i="1"/>
  <c r="AB34" i="1" s="1"/>
  <c r="Y186" i="1"/>
  <c r="Y184" i="1"/>
  <c r="Y185" i="1"/>
  <c r="Y161" i="1"/>
  <c r="Y162" i="1"/>
  <c r="Y160" i="1"/>
  <c r="AD118" i="19"/>
  <c r="CY143" i="8"/>
  <c r="DD123" i="8"/>
  <c r="EH151" i="8"/>
  <c r="EM131" i="8"/>
  <c r="EM151" i="8" s="1"/>
  <c r="EH150" i="8"/>
  <c r="EM130" i="8"/>
  <c r="EM150" i="8" s="1"/>
  <c r="DI52" i="8"/>
  <c r="J6" i="17"/>
  <c r="I6" i="17"/>
  <c r="I8" i="17" s="1"/>
  <c r="J8" i="17" s="1"/>
  <c r="K8" i="17" s="1"/>
  <c r="L8" i="17" s="1"/>
  <c r="M8" i="17" s="1"/>
  <c r="N8" i="17" s="1"/>
  <c r="O8" i="17" s="1"/>
  <c r="P8" i="17" s="1"/>
  <c r="Q8" i="17" s="1"/>
  <c r="R8" i="17" s="1"/>
  <c r="S8" i="17" s="1"/>
  <c r="T8" i="17" s="1"/>
  <c r="U8" i="17" s="1"/>
  <c r="V8" i="17" s="1"/>
  <c r="W8" i="17" s="1"/>
  <c r="X8" i="17" s="1"/>
  <c r="Y8" i="17" s="1"/>
  <c r="X228" i="1" l="1"/>
  <c r="Z128" i="1"/>
  <c r="AA99" i="1"/>
  <c r="AA100" i="1" s="1"/>
  <c r="AA71" i="1"/>
  <c r="AA125" i="1" s="1"/>
  <c r="AA126" i="1" s="1"/>
  <c r="AA128" i="1" s="1"/>
  <c r="AA229" i="1"/>
  <c r="AE142" i="1"/>
  <c r="AE141" i="1" s="1"/>
  <c r="AD141" i="1"/>
  <c r="AD144" i="1" s="1"/>
  <c r="AD140" i="1" s="1"/>
  <c r="AD143" i="1"/>
  <c r="AB68" i="1"/>
  <c r="AB114" i="1" s="1"/>
  <c r="AB115" i="1" s="1"/>
  <c r="DD54" i="8"/>
  <c r="J27" i="73"/>
  <c r="J18" i="73"/>
  <c r="J19" i="73" s="1"/>
  <c r="J20" i="73" s="1"/>
  <c r="J21" i="73" s="1"/>
  <c r="J23" i="73" s="1"/>
  <c r="DI56" i="8" s="1"/>
  <c r="K27" i="80"/>
  <c r="J25" i="80"/>
  <c r="EL15" i="8"/>
  <c r="EL81" i="8" s="1"/>
  <c r="EK15" i="8"/>
  <c r="EK81" i="8" s="1"/>
  <c r="EJ15" i="8"/>
  <c r="EJ81" i="8" s="1"/>
  <c r="AA109" i="1"/>
  <c r="Z114" i="15"/>
  <c r="Z134" i="15" s="1"/>
  <c r="AA98" i="15"/>
  <c r="EI15" i="8"/>
  <c r="EI81" i="8" s="1"/>
  <c r="AA132" i="15"/>
  <c r="J4" i="17"/>
  <c r="AA94" i="1"/>
  <c r="Z110" i="1"/>
  <c r="AB98" i="15"/>
  <c r="DU106" i="8"/>
  <c r="DU153" i="8"/>
  <c r="DT106" i="8"/>
  <c r="DT153" i="8"/>
  <c r="DW106" i="8"/>
  <c r="DW153" i="8"/>
  <c r="DV106" i="8"/>
  <c r="DV153" i="8"/>
  <c r="DI112" i="8"/>
  <c r="DG52" i="8"/>
  <c r="DE52" i="8"/>
  <c r="DH52" i="8"/>
  <c r="DI155" i="8"/>
  <c r="DF52" i="8"/>
  <c r="DC112" i="8"/>
  <c r="DC155" i="8"/>
  <c r="DA112" i="8"/>
  <c r="DA155" i="8"/>
  <c r="CZ112" i="8"/>
  <c r="CZ155" i="8"/>
  <c r="DB112" i="8"/>
  <c r="DB155" i="8"/>
  <c r="EC77" i="8"/>
  <c r="AE36" i="4"/>
  <c r="AE38" i="4" s="1"/>
  <c r="AD38" i="4"/>
  <c r="DJ76" i="8"/>
  <c r="DN9" i="8"/>
  <c r="DN76" i="8" s="1"/>
  <c r="DP77" i="8"/>
  <c r="DP9" i="8"/>
  <c r="DP76" i="8" s="1"/>
  <c r="DQ77" i="8"/>
  <c r="DQ9" i="8"/>
  <c r="DQ76" i="8" s="1"/>
  <c r="DX77" i="8"/>
  <c r="DV10" i="8"/>
  <c r="DT10" i="8"/>
  <c r="DU10" i="8"/>
  <c r="DZ10" i="8" s="1"/>
  <c r="DW10" i="8"/>
  <c r="DX78" i="8"/>
  <c r="DT11" i="8"/>
  <c r="DT78" i="8" s="1"/>
  <c r="DU11" i="8"/>
  <c r="DU78" i="8" s="1"/>
  <c r="DV11" i="8"/>
  <c r="DV78" i="8" s="1"/>
  <c r="DW11" i="8"/>
  <c r="DW78" i="8" s="1"/>
  <c r="AD8" i="4"/>
  <c r="AE4" i="4"/>
  <c r="AD7" i="4"/>
  <c r="AC23" i="4"/>
  <c r="AC26" i="4" s="1"/>
  <c r="AC53" i="4"/>
  <c r="AC55" i="4" s="1"/>
  <c r="W12" i="17" s="1"/>
  <c r="AC58" i="4"/>
  <c r="AC60" i="4" s="1"/>
  <c r="EC11" i="8" s="1"/>
  <c r="DR77" i="8"/>
  <c r="DR9" i="8"/>
  <c r="DR76" i="8" s="1"/>
  <c r="DO9" i="8"/>
  <c r="DO77" i="8"/>
  <c r="Y189" i="15"/>
  <c r="Y190" i="15"/>
  <c r="Y188" i="15"/>
  <c r="Y178" i="15"/>
  <c r="Y177" i="15"/>
  <c r="Y176" i="15"/>
  <c r="AA103" i="15"/>
  <c r="AA104" i="15" s="1"/>
  <c r="AA59" i="15"/>
  <c r="AA111" i="15" s="1"/>
  <c r="AA112" i="15" s="1"/>
  <c r="X236" i="15"/>
  <c r="X232" i="15"/>
  <c r="AE141" i="15"/>
  <c r="AE142" i="15"/>
  <c r="AB103" i="15"/>
  <c r="AB104" i="15" s="1"/>
  <c r="AB59" i="15"/>
  <c r="AB111" i="15" s="1"/>
  <c r="AD17" i="15"/>
  <c r="AE16" i="15"/>
  <c r="AE17" i="15" s="1"/>
  <c r="AC85" i="15"/>
  <c r="AC86" i="15" s="1"/>
  <c r="AC40" i="15"/>
  <c r="AC96" i="15" s="1"/>
  <c r="AC97" i="15" s="1"/>
  <c r="Y166" i="15"/>
  <c r="Y164" i="15"/>
  <c r="Y165" i="15"/>
  <c r="Z138" i="15"/>
  <c r="Z12" i="15"/>
  <c r="AD144" i="15"/>
  <c r="AB118" i="15"/>
  <c r="AB119" i="15" s="1"/>
  <c r="AB75" i="15"/>
  <c r="AB129" i="15" s="1"/>
  <c r="AB130" i="15" s="1"/>
  <c r="AE62" i="15"/>
  <c r="AE69" i="15" s="1"/>
  <c r="AE22" i="15"/>
  <c r="AE25" i="15" s="1"/>
  <c r="AE34" i="15" s="1"/>
  <c r="Z113" i="15"/>
  <c r="Z135" i="15" s="1"/>
  <c r="Z234" i="15" s="1"/>
  <c r="AA131" i="15"/>
  <c r="AC62" i="15"/>
  <c r="AC69" i="15" s="1"/>
  <c r="AC43" i="15"/>
  <c r="AC53" i="15" s="1"/>
  <c r="AA99" i="15"/>
  <c r="AA233" i="15"/>
  <c r="AB97" i="15"/>
  <c r="AB99" i="15" s="1"/>
  <c r="AB233" i="15"/>
  <c r="Y198" i="1"/>
  <c r="Y197" i="1"/>
  <c r="Y222" i="1"/>
  <c r="Y221" i="1"/>
  <c r="Y231" i="1"/>
  <c r="AB81" i="1"/>
  <c r="AB82" i="1" s="1"/>
  <c r="AB40" i="1"/>
  <c r="AB92" i="1" s="1"/>
  <c r="AB93" i="1" s="1"/>
  <c r="AB43" i="1"/>
  <c r="AB53" i="1" s="1"/>
  <c r="DC85" i="8"/>
  <c r="CZ85" i="8"/>
  <c r="AD17" i="1"/>
  <c r="AE16" i="1"/>
  <c r="AE17" i="1" s="1"/>
  <c r="Y210" i="1"/>
  <c r="Y209" i="1"/>
  <c r="DI20" i="8" s="1"/>
  <c r="AA95" i="1"/>
  <c r="DA85" i="8"/>
  <c r="DB85" i="8"/>
  <c r="AC62" i="1"/>
  <c r="AC25" i="1"/>
  <c r="AC34" i="1" s="1"/>
  <c r="Z10" i="1"/>
  <c r="Z13" i="1"/>
  <c r="AA8" i="1" s="1"/>
  <c r="Z159" i="1"/>
  <c r="Z171" i="1"/>
  <c r="Z183" i="1"/>
  <c r="AA108" i="1"/>
  <c r="Z109" i="1"/>
  <c r="Z131" i="1" s="1"/>
  <c r="Z230" i="1" s="1"/>
  <c r="AE118" i="19"/>
  <c r="DD143" i="8"/>
  <c r="DI123" i="8"/>
  <c r="DN52" i="8"/>
  <c r="AA110" i="1" l="1"/>
  <c r="AA130" i="1" s="1"/>
  <c r="AA127" i="1"/>
  <c r="AA131" i="1" s="1"/>
  <c r="AA230" i="1" s="1"/>
  <c r="Z130" i="1"/>
  <c r="AC68" i="1"/>
  <c r="AC71" i="1" s="1"/>
  <c r="AC125" i="1" s="1"/>
  <c r="AB71" i="1"/>
  <c r="AB125" i="1" s="1"/>
  <c r="AB126" i="1" s="1"/>
  <c r="AB128" i="1" s="1"/>
  <c r="DI57" i="8"/>
  <c r="DI156" i="8" s="1"/>
  <c r="J12" i="73"/>
  <c r="N14" i="89"/>
  <c r="N24" i="89" s="1"/>
  <c r="N33" i="89" s="1"/>
  <c r="K26" i="80" s="1"/>
  <c r="AD23" i="4"/>
  <c r="AD26" i="4" s="1"/>
  <c r="AB112" i="15"/>
  <c r="AB114" i="15" s="1"/>
  <c r="AB131" i="15"/>
  <c r="AC98" i="15"/>
  <c r="AA113" i="15"/>
  <c r="AA135" i="15" s="1"/>
  <c r="AA234" i="15" s="1"/>
  <c r="AB94" i="1"/>
  <c r="AA114" i="15"/>
  <c r="AA134" i="15" s="1"/>
  <c r="EB106" i="8"/>
  <c r="EB153" i="8"/>
  <c r="DZ106" i="8"/>
  <c r="DZ153" i="8"/>
  <c r="EA106" i="8"/>
  <c r="EA153" i="8"/>
  <c r="DY106" i="8"/>
  <c r="DY153" i="8"/>
  <c r="DF112" i="8"/>
  <c r="DF155" i="8"/>
  <c r="DH112" i="8"/>
  <c r="DH155" i="8"/>
  <c r="DG112" i="8"/>
  <c r="DG155" i="8"/>
  <c r="DN112" i="8"/>
  <c r="DJ52" i="8"/>
  <c r="DL52" i="8"/>
  <c r="DK52" i="8"/>
  <c r="DN155" i="8"/>
  <c r="DM52" i="8"/>
  <c r="DE112" i="8"/>
  <c r="DE155" i="8"/>
  <c r="DZ77" i="8"/>
  <c r="DO76" i="8"/>
  <c r="DS9" i="8"/>
  <c r="DS76" i="8" s="1"/>
  <c r="AD29" i="4"/>
  <c r="AD31" i="4" s="1"/>
  <c r="EH10" i="8" s="1"/>
  <c r="DW77" i="8"/>
  <c r="DW9" i="8"/>
  <c r="DW76" i="8" s="1"/>
  <c r="DT77" i="8"/>
  <c r="DT9" i="8"/>
  <c r="AE58" i="4"/>
  <c r="AE60" i="4" s="1"/>
  <c r="EM11" i="8" s="1"/>
  <c r="AE53" i="4"/>
  <c r="AE55" i="4" s="1"/>
  <c r="Y12" i="17" s="1"/>
  <c r="DY10" i="8"/>
  <c r="EC78" i="8"/>
  <c r="DY11" i="8"/>
  <c r="DY78" i="8" s="1"/>
  <c r="DZ11" i="8"/>
  <c r="DZ78" i="8" s="1"/>
  <c r="EA11" i="8"/>
  <c r="EA78" i="8" s="1"/>
  <c r="EB11" i="8"/>
  <c r="EB78" i="8" s="1"/>
  <c r="AE7" i="4"/>
  <c r="AE8" i="4"/>
  <c r="DU77" i="8"/>
  <c r="DU9" i="8"/>
  <c r="DU76" i="8" s="1"/>
  <c r="DV77" i="8"/>
  <c r="DV9" i="8"/>
  <c r="DV76" i="8" s="1"/>
  <c r="AD53" i="4"/>
  <c r="AD55" i="4" s="1"/>
  <c r="X12" i="17" s="1"/>
  <c r="AD58" i="4"/>
  <c r="AD60" i="4" s="1"/>
  <c r="EH11" i="8" s="1"/>
  <c r="EB10" i="8"/>
  <c r="EA10" i="8"/>
  <c r="AC103" i="15"/>
  <c r="AC104" i="15" s="1"/>
  <c r="AC59" i="15"/>
  <c r="AC111" i="15" s="1"/>
  <c r="AC112" i="15" s="1"/>
  <c r="AE85" i="15"/>
  <c r="AE86" i="15" s="1"/>
  <c r="AE40" i="15"/>
  <c r="AE96" i="15" s="1"/>
  <c r="AE118" i="15"/>
  <c r="AE119" i="15" s="1"/>
  <c r="AE75" i="15"/>
  <c r="AE129" i="15" s="1"/>
  <c r="AB132" i="15"/>
  <c r="Z10" i="15"/>
  <c r="Z13" i="15"/>
  <c r="AA8" i="15" s="1"/>
  <c r="Y226" i="15"/>
  <c r="Y225" i="15"/>
  <c r="Y214" i="15"/>
  <c r="Y213" i="15"/>
  <c r="AC99" i="15"/>
  <c r="AC233" i="15"/>
  <c r="AD62" i="15"/>
  <c r="AD69" i="15" s="1"/>
  <c r="AD43" i="15"/>
  <c r="AD53" i="15" s="1"/>
  <c r="AD25" i="15"/>
  <c r="AD34" i="15" s="1"/>
  <c r="AB113" i="15"/>
  <c r="AE144" i="15"/>
  <c r="AC118" i="15"/>
  <c r="AC119" i="15" s="1"/>
  <c r="AC75" i="15"/>
  <c r="AC129" i="15" s="1"/>
  <c r="AC130" i="15" s="1"/>
  <c r="AE43" i="15"/>
  <c r="AE53" i="15" s="1"/>
  <c r="Z175" i="15"/>
  <c r="Z163" i="15"/>
  <c r="Z187" i="15"/>
  <c r="Y202" i="15"/>
  <c r="Y201" i="15"/>
  <c r="Y231" i="15" s="1"/>
  <c r="S11" i="17" s="1"/>
  <c r="S10" i="17" s="1"/>
  <c r="Y235" i="15"/>
  <c r="Z174" i="1"/>
  <c r="Z172" i="1"/>
  <c r="Z173" i="1"/>
  <c r="AA134" i="1"/>
  <c r="AA12" i="1"/>
  <c r="AC81" i="1"/>
  <c r="AC82" i="1" s="1"/>
  <c r="AC40" i="1"/>
  <c r="AC92" i="1" s="1"/>
  <c r="AC93" i="1" s="1"/>
  <c r="AC43" i="1"/>
  <c r="AC53" i="1" s="1"/>
  <c r="DE20" i="8"/>
  <c r="DH20" i="8"/>
  <c r="DG20" i="8"/>
  <c r="DI85" i="8"/>
  <c r="DF20" i="8"/>
  <c r="AD62" i="1"/>
  <c r="AD25" i="1"/>
  <c r="AD34" i="1" s="1"/>
  <c r="Y227" i="1"/>
  <c r="S5" i="17" s="1"/>
  <c r="Z185" i="1"/>
  <c r="Z186" i="1"/>
  <c r="Z184" i="1"/>
  <c r="Z162" i="1"/>
  <c r="Z160" i="1"/>
  <c r="Z161" i="1"/>
  <c r="AE62" i="1"/>
  <c r="AE25" i="1"/>
  <c r="AE34" i="1" s="1"/>
  <c r="AB99" i="1"/>
  <c r="AB100" i="1" s="1"/>
  <c r="AB59" i="1"/>
  <c r="AB107" i="1" s="1"/>
  <c r="AB108" i="1" s="1"/>
  <c r="AB95" i="1"/>
  <c r="AB229" i="1"/>
  <c r="Y232" i="1"/>
  <c r="Y228" i="1"/>
  <c r="DI143" i="8"/>
  <c r="DN123" i="8"/>
  <c r="DS52" i="8"/>
  <c r="CE16" i="8"/>
  <c r="L6" i="17"/>
  <c r="L4" i="17" s="1"/>
  <c r="K6" i="17"/>
  <c r="K4" i="17" s="1"/>
  <c r="AB127" i="1" l="1"/>
  <c r="AC114" i="1"/>
  <c r="AC115" i="1" s="1"/>
  <c r="AE43" i="1"/>
  <c r="AE53" i="1" s="1"/>
  <c r="AE59" i="1" s="1"/>
  <c r="AE107" i="1" s="1"/>
  <c r="AC126" i="1"/>
  <c r="AD68" i="1"/>
  <c r="AD114" i="1" s="1"/>
  <c r="AD115" i="1" s="1"/>
  <c r="AE68" i="1"/>
  <c r="AE114" i="1" s="1"/>
  <c r="AE115" i="1" s="1"/>
  <c r="DI54" i="8"/>
  <c r="K18" i="73"/>
  <c r="K16" i="73"/>
  <c r="L27" i="80"/>
  <c r="K25" i="80"/>
  <c r="DN57" i="8"/>
  <c r="DN156" i="8" s="1"/>
  <c r="K27" i="73"/>
  <c r="K12" i="73"/>
  <c r="AE29" i="4"/>
  <c r="AE31" i="4" s="1"/>
  <c r="EM10" i="8" s="1"/>
  <c r="EM77" i="8" s="1"/>
  <c r="AB134" i="15"/>
  <c r="AB110" i="1"/>
  <c r="AB130" i="1" s="1"/>
  <c r="AC113" i="15"/>
  <c r="AB135" i="15"/>
  <c r="AB234" i="15" s="1"/>
  <c r="AC132" i="15"/>
  <c r="AC94" i="1"/>
  <c r="AC114" i="15"/>
  <c r="AE131" i="15"/>
  <c r="EE106" i="8"/>
  <c r="EE153" i="8"/>
  <c r="EF106" i="8"/>
  <c r="EF153" i="8"/>
  <c r="EG106" i="8"/>
  <c r="EG153" i="8"/>
  <c r="ED106" i="8"/>
  <c r="ED153" i="8"/>
  <c r="DS112" i="8"/>
  <c r="DO52" i="8"/>
  <c r="DQ52" i="8"/>
  <c r="DS155" i="8"/>
  <c r="DP52" i="8"/>
  <c r="DR52" i="8"/>
  <c r="DM112" i="8"/>
  <c r="DM155" i="8"/>
  <c r="DK112" i="8"/>
  <c r="DK155" i="8"/>
  <c r="DJ112" i="8"/>
  <c r="DJ155" i="8"/>
  <c r="DL112" i="8"/>
  <c r="DL155" i="8"/>
  <c r="EB77" i="8"/>
  <c r="EB9" i="8"/>
  <c r="EB76" i="8" s="1"/>
  <c r="AE23" i="4"/>
  <c r="AE26" i="4" s="1"/>
  <c r="DY77" i="8"/>
  <c r="DY9" i="8"/>
  <c r="EM78" i="8"/>
  <c r="DZ9" i="8"/>
  <c r="DZ76" i="8" s="1"/>
  <c r="EA77" i="8"/>
  <c r="EA9" i="8"/>
  <c r="EA76" i="8" s="1"/>
  <c r="EH78" i="8"/>
  <c r="ED11" i="8"/>
  <c r="ED78" i="8" s="1"/>
  <c r="EE11" i="8"/>
  <c r="EE78" i="8" s="1"/>
  <c r="EF11" i="8"/>
  <c r="EF78" i="8" s="1"/>
  <c r="EG11" i="8"/>
  <c r="EG78" i="8" s="1"/>
  <c r="DT76" i="8"/>
  <c r="DX9" i="8"/>
  <c r="DX76" i="8" s="1"/>
  <c r="EH77" i="8"/>
  <c r="EF10" i="8"/>
  <c r="ED10" i="8"/>
  <c r="EE10" i="8"/>
  <c r="EG10" i="8"/>
  <c r="Y236" i="15"/>
  <c r="Y232" i="15"/>
  <c r="Z165" i="15"/>
  <c r="Z166" i="15"/>
  <c r="Z164" i="15"/>
  <c r="AE103" i="15"/>
  <c r="AE104" i="15" s="1"/>
  <c r="AE59" i="15"/>
  <c r="AE111" i="15" s="1"/>
  <c r="AD103" i="15"/>
  <c r="AD104" i="15" s="1"/>
  <c r="AD59" i="15"/>
  <c r="AD111" i="15" s="1"/>
  <c r="AD112" i="15" s="1"/>
  <c r="AA138" i="15"/>
  <c r="AA12" i="15"/>
  <c r="AE233" i="15"/>
  <c r="Z190" i="15"/>
  <c r="Z188" i="15"/>
  <c r="Z189" i="15"/>
  <c r="Z177" i="15"/>
  <c r="Z178" i="15"/>
  <c r="Z176" i="15"/>
  <c r="AC131" i="15"/>
  <c r="AD233" i="15"/>
  <c r="AD85" i="15"/>
  <c r="AD86" i="15" s="1"/>
  <c r="AD40" i="15"/>
  <c r="AD96" i="15" s="1"/>
  <c r="AD97" i="15" s="1"/>
  <c r="AD118" i="15"/>
  <c r="AD119" i="15" s="1"/>
  <c r="AD75" i="15"/>
  <c r="AD129" i="15" s="1"/>
  <c r="AD130" i="15" s="1"/>
  <c r="AE98" i="15"/>
  <c r="Z222" i="1"/>
  <c r="Z221" i="1"/>
  <c r="Z209" i="1"/>
  <c r="DN20" i="8" s="1"/>
  <c r="Z210" i="1"/>
  <c r="DF85" i="8"/>
  <c r="DG85" i="8"/>
  <c r="DH85" i="8"/>
  <c r="AA159" i="1"/>
  <c r="AA171" i="1"/>
  <c r="AA183" i="1"/>
  <c r="AB109" i="1"/>
  <c r="AE81" i="1"/>
  <c r="AE82" i="1" s="1"/>
  <c r="AE40" i="1"/>
  <c r="AE92" i="1" s="1"/>
  <c r="AC127" i="1"/>
  <c r="Z197" i="1"/>
  <c r="Z198" i="1"/>
  <c r="Z231" i="1"/>
  <c r="AD81" i="1"/>
  <c r="AD82" i="1" s="1"/>
  <c r="AD40" i="1"/>
  <c r="AD92" i="1" s="1"/>
  <c r="AD93" i="1" s="1"/>
  <c r="AD43" i="1"/>
  <c r="AD53" i="1" s="1"/>
  <c r="DE85" i="8"/>
  <c r="AC99" i="1"/>
  <c r="AC100" i="1" s="1"/>
  <c r="AC59" i="1"/>
  <c r="AC107" i="1" s="1"/>
  <c r="AC108" i="1" s="1"/>
  <c r="AC95" i="1"/>
  <c r="AC229" i="1"/>
  <c r="AA10" i="1"/>
  <c r="AA13" i="1"/>
  <c r="AB8" i="1" s="1"/>
  <c r="DN143" i="8"/>
  <c r="DS123" i="8"/>
  <c r="DX52" i="8"/>
  <c r="CJ16" i="8"/>
  <c r="M6" i="17"/>
  <c r="M4" i="17" s="1"/>
  <c r="AB131" i="1" l="1"/>
  <c r="AB230" i="1" s="1"/>
  <c r="AC128" i="1"/>
  <c r="AE99" i="1"/>
  <c r="AE100" i="1" s="1"/>
  <c r="AE71" i="1"/>
  <c r="AE125" i="1" s="1"/>
  <c r="AE229" i="1"/>
  <c r="AD71" i="1"/>
  <c r="AD125" i="1" s="1"/>
  <c r="AD126" i="1" s="1"/>
  <c r="AD128" i="1" s="1"/>
  <c r="AD95" i="1"/>
  <c r="K19" i="73"/>
  <c r="K20" i="73" s="1"/>
  <c r="K21" i="73" s="1"/>
  <c r="K23" i="73" s="1"/>
  <c r="DN56" i="8" s="1"/>
  <c r="DN54" i="8" s="1"/>
  <c r="L16" i="73"/>
  <c r="O14" i="89"/>
  <c r="O24" i="89" s="1"/>
  <c r="O33" i="89" s="1"/>
  <c r="L26" i="80" s="1"/>
  <c r="EJ10" i="8"/>
  <c r="EJ77" i="8" s="1"/>
  <c r="EK10" i="8"/>
  <c r="EK77" i="8" s="1"/>
  <c r="AC135" i="15"/>
  <c r="AC234" i="15" s="1"/>
  <c r="AD98" i="15"/>
  <c r="AC134" i="15"/>
  <c r="AE130" i="15"/>
  <c r="AE132" i="15" s="1"/>
  <c r="AE97" i="15"/>
  <c r="AE99" i="15" s="1"/>
  <c r="AE94" i="1"/>
  <c r="AD114" i="15"/>
  <c r="AC110" i="1"/>
  <c r="AD132" i="15"/>
  <c r="EJ153" i="8"/>
  <c r="EJ106" i="8"/>
  <c r="EK106" i="8"/>
  <c r="EK153" i="8"/>
  <c r="EL153" i="8"/>
  <c r="EL106" i="8"/>
  <c r="EI106" i="8"/>
  <c r="EI153" i="8"/>
  <c r="DX112" i="8"/>
  <c r="DV52" i="8"/>
  <c r="DT52" i="8"/>
  <c r="DX155" i="8"/>
  <c r="DU52" i="8"/>
  <c r="DW52" i="8"/>
  <c r="DR112" i="8"/>
  <c r="DR155" i="8"/>
  <c r="DO112" i="8"/>
  <c r="DO155" i="8"/>
  <c r="DP112" i="8"/>
  <c r="DP155" i="8"/>
  <c r="DQ112" i="8"/>
  <c r="DQ155" i="8"/>
  <c r="EG77" i="8"/>
  <c r="EG9" i="8"/>
  <c r="EG76" i="8" s="1"/>
  <c r="ED77" i="8"/>
  <c r="ED9" i="8"/>
  <c r="EL11" i="8"/>
  <c r="EL78" i="8" s="1"/>
  <c r="EJ11" i="8"/>
  <c r="EJ78" i="8" s="1"/>
  <c r="EE77" i="8"/>
  <c r="EE9" i="8"/>
  <c r="EE76" i="8" s="1"/>
  <c r="EF77" i="8"/>
  <c r="EF9" i="8"/>
  <c r="EF76" i="8" s="1"/>
  <c r="EL10" i="8"/>
  <c r="EI10" i="8"/>
  <c r="EK11" i="8"/>
  <c r="EK78" i="8" s="1"/>
  <c r="EI11" i="8"/>
  <c r="EI78" i="8" s="1"/>
  <c r="DY76" i="8"/>
  <c r="EC9" i="8"/>
  <c r="EC76" i="8" s="1"/>
  <c r="AE112" i="15"/>
  <c r="AE114" i="15" s="1"/>
  <c r="Z214" i="15"/>
  <c r="Z213" i="15"/>
  <c r="AD131" i="15"/>
  <c r="AD99" i="15"/>
  <c r="Z235" i="15"/>
  <c r="AA10" i="15"/>
  <c r="AA13" i="15"/>
  <c r="AB8" i="15" s="1"/>
  <c r="AA175" i="15"/>
  <c r="AA163" i="15"/>
  <c r="AA187" i="15"/>
  <c r="AD113" i="15"/>
  <c r="AE113" i="15"/>
  <c r="AE135" i="15" s="1"/>
  <c r="AE234" i="15" s="1"/>
  <c r="Z202" i="15"/>
  <c r="Z201" i="15"/>
  <c r="Z231" i="15" s="1"/>
  <c r="T11" i="17" s="1"/>
  <c r="T10" i="17" s="1"/>
  <c r="Z226" i="15"/>
  <c r="Z225" i="15"/>
  <c r="AD99" i="1"/>
  <c r="AD100" i="1" s="1"/>
  <c r="AD59" i="1"/>
  <c r="AD107" i="1" s="1"/>
  <c r="AD108" i="1" s="1"/>
  <c r="AD229" i="1"/>
  <c r="Z232" i="1"/>
  <c r="Z228" i="1"/>
  <c r="AA173" i="1"/>
  <c r="AA174" i="1"/>
  <c r="AA172" i="1"/>
  <c r="AB134" i="1"/>
  <c r="AB12" i="1"/>
  <c r="AC109" i="1"/>
  <c r="AC131" i="1" s="1"/>
  <c r="AC230" i="1" s="1"/>
  <c r="AD94" i="1"/>
  <c r="Z227" i="1"/>
  <c r="T5" i="17" s="1"/>
  <c r="AE93" i="1"/>
  <c r="AE95" i="1" s="1"/>
  <c r="AA186" i="1"/>
  <c r="AA184" i="1"/>
  <c r="AA185" i="1"/>
  <c r="AA161" i="1"/>
  <c r="AA160" i="1"/>
  <c r="AA162" i="1"/>
  <c r="DM20" i="8"/>
  <c r="DK20" i="8"/>
  <c r="DL20" i="8"/>
  <c r="DJ20" i="8"/>
  <c r="DN85" i="8"/>
  <c r="AE109" i="1"/>
  <c r="CJ82" i="8"/>
  <c r="DS143" i="8"/>
  <c r="DX123" i="8"/>
  <c r="EC52" i="8"/>
  <c r="N6" i="17"/>
  <c r="N4" i="17" s="1"/>
  <c r="AC130" i="1" l="1"/>
  <c r="AE127" i="1"/>
  <c r="AE131" i="1" s="1"/>
  <c r="AE230" i="1" s="1"/>
  <c r="AD127" i="1"/>
  <c r="AE126" i="1"/>
  <c r="AE128" i="1" s="1"/>
  <c r="L18" i="73"/>
  <c r="L19" i="73" s="1"/>
  <c r="L20" i="73" s="1"/>
  <c r="L21" i="73" s="1"/>
  <c r="L23" i="73" s="1"/>
  <c r="DS56" i="8" s="1"/>
  <c r="L27" i="73"/>
  <c r="M27" i="80"/>
  <c r="L25" i="80"/>
  <c r="EK9" i="8"/>
  <c r="EK76" i="8" s="1"/>
  <c r="AD135" i="15"/>
  <c r="AD234" i="15" s="1"/>
  <c r="AD134" i="15"/>
  <c r="AE134" i="15"/>
  <c r="AD110" i="1"/>
  <c r="AD130" i="1" s="1"/>
  <c r="AA231" i="1"/>
  <c r="DW112" i="8"/>
  <c r="DW155" i="8"/>
  <c r="DV112" i="8"/>
  <c r="DV155" i="8"/>
  <c r="EC112" i="8"/>
  <c r="DY52" i="8"/>
  <c r="EA52" i="8"/>
  <c r="DZ52" i="8"/>
  <c r="EC155" i="8"/>
  <c r="EB52" i="8"/>
  <c r="DU112" i="8"/>
  <c r="DU155" i="8"/>
  <c r="DT112" i="8"/>
  <c r="DT155" i="8"/>
  <c r="EI9" i="8"/>
  <c r="EI77" i="8"/>
  <c r="ED76" i="8"/>
  <c r="EH9" i="8"/>
  <c r="EH76" i="8" s="1"/>
  <c r="EL77" i="8"/>
  <c r="EL9" i="8"/>
  <c r="EL76" i="8" s="1"/>
  <c r="EJ9" i="8"/>
  <c r="EJ76" i="8" s="1"/>
  <c r="Z236" i="15"/>
  <c r="Z232" i="15"/>
  <c r="AA166" i="15"/>
  <c r="AA164" i="15"/>
  <c r="AA165" i="15"/>
  <c r="AB138" i="15"/>
  <c r="AB12" i="15"/>
  <c r="AA189" i="15"/>
  <c r="AA188" i="15"/>
  <c r="AA190" i="15"/>
  <c r="AA178" i="15"/>
  <c r="AA176" i="15"/>
  <c r="AA177" i="15"/>
  <c r="DJ85" i="8"/>
  <c r="DK85" i="8"/>
  <c r="AA209" i="1"/>
  <c r="DS20" i="8" s="1"/>
  <c r="AA210" i="1"/>
  <c r="AA221" i="1"/>
  <c r="AA222" i="1"/>
  <c r="AB10" i="1"/>
  <c r="AB13" i="1"/>
  <c r="AC8" i="1" s="1"/>
  <c r="DL85" i="8"/>
  <c r="DM85" i="8"/>
  <c r="AA198" i="1"/>
  <c r="AA197" i="1"/>
  <c r="AB159" i="1"/>
  <c r="AB171" i="1"/>
  <c r="AB183" i="1"/>
  <c r="AE108" i="1"/>
  <c r="AE110" i="1" s="1"/>
  <c r="AD109" i="1"/>
  <c r="DX143" i="8"/>
  <c r="EC123" i="8"/>
  <c r="EM52" i="8"/>
  <c r="EH52" i="8"/>
  <c r="CO16" i="8"/>
  <c r="AD131" i="1" l="1"/>
  <c r="AD230" i="1" s="1"/>
  <c r="AE130" i="1"/>
  <c r="L12" i="73"/>
  <c r="DS57" i="8"/>
  <c r="DS156" i="8" s="1"/>
  <c r="P14" i="89"/>
  <c r="P24" i="89" s="1"/>
  <c r="P33" i="89" s="1"/>
  <c r="M26" i="80" s="1"/>
  <c r="N27" i="80" s="1"/>
  <c r="AA235" i="15"/>
  <c r="EH112" i="8"/>
  <c r="ED52" i="8"/>
  <c r="EI52" i="8" s="1"/>
  <c r="EF52" i="8"/>
  <c r="EK52" i="8" s="1"/>
  <c r="EG52" i="8"/>
  <c r="EL52" i="8" s="1"/>
  <c r="EH155" i="8"/>
  <c r="EE52" i="8"/>
  <c r="EM112" i="8"/>
  <c r="EM155" i="8"/>
  <c r="EB112" i="8"/>
  <c r="EB155" i="8"/>
  <c r="DZ112" i="8"/>
  <c r="DZ155" i="8"/>
  <c r="DY112" i="8"/>
  <c r="DY155" i="8"/>
  <c r="EA112" i="8"/>
  <c r="EA155" i="8"/>
  <c r="EI76" i="8"/>
  <c r="EM9" i="8"/>
  <c r="EM76" i="8" s="1"/>
  <c r="AB175" i="15"/>
  <c r="AB163" i="15"/>
  <c r="AB187" i="15"/>
  <c r="AA202" i="15"/>
  <c r="AA201" i="15"/>
  <c r="AA231" i="15" s="1"/>
  <c r="U11" i="17" s="1"/>
  <c r="U10" i="17" s="1"/>
  <c r="AB10" i="15"/>
  <c r="AB13" i="15"/>
  <c r="AC8" i="15" s="1"/>
  <c r="AA225" i="15"/>
  <c r="AA226" i="15"/>
  <c r="AA214" i="15"/>
  <c r="AA213" i="15"/>
  <c r="AB185" i="1"/>
  <c r="AB184" i="1"/>
  <c r="AB186" i="1"/>
  <c r="AB162" i="1"/>
  <c r="AB160" i="1"/>
  <c r="AB161" i="1"/>
  <c r="AA232" i="1"/>
  <c r="AA228" i="1"/>
  <c r="AB174" i="1"/>
  <c r="AB172" i="1"/>
  <c r="AB173" i="1"/>
  <c r="AA227" i="1"/>
  <c r="U5" i="17" s="1"/>
  <c r="AC134" i="1"/>
  <c r="AC12" i="1"/>
  <c r="DO20" i="8"/>
  <c r="DR20" i="8"/>
  <c r="DS85" i="8"/>
  <c r="DP20" i="8"/>
  <c r="DQ20" i="8"/>
  <c r="CO82" i="8"/>
  <c r="EC143" i="8"/>
  <c r="EH123" i="8"/>
  <c r="CY16" i="8"/>
  <c r="CT16" i="8"/>
  <c r="O6" i="17"/>
  <c r="O4" i="17" s="1"/>
  <c r="CE21" i="8"/>
  <c r="DS54" i="8" l="1"/>
  <c r="M18" i="73"/>
  <c r="M16" i="73"/>
  <c r="M25" i="80"/>
  <c r="DX57" i="8"/>
  <c r="DX156" i="8" s="1"/>
  <c r="M12" i="73"/>
  <c r="M27" i="73"/>
  <c r="EL112" i="8"/>
  <c r="EL155" i="8"/>
  <c r="EI155" i="8"/>
  <c r="EI112" i="8"/>
  <c r="EE112" i="8"/>
  <c r="EE155" i="8"/>
  <c r="EG112" i="8"/>
  <c r="EG155" i="8"/>
  <c r="ED112" i="8"/>
  <c r="ED155" i="8"/>
  <c r="EJ52" i="8"/>
  <c r="EK112" i="8"/>
  <c r="EK155" i="8"/>
  <c r="EF112" i="8"/>
  <c r="EF155" i="8"/>
  <c r="AA236" i="15"/>
  <c r="AA232" i="15"/>
  <c r="AB165" i="15"/>
  <c r="AB166" i="15"/>
  <c r="AB164" i="15"/>
  <c r="AC138" i="15"/>
  <c r="AC12" i="15"/>
  <c r="AB190" i="15"/>
  <c r="AB188" i="15"/>
  <c r="AB189" i="15"/>
  <c r="AB177" i="15"/>
  <c r="AB178" i="15"/>
  <c r="AB176" i="15"/>
  <c r="DQ85" i="8"/>
  <c r="DR85" i="8"/>
  <c r="AC159" i="1"/>
  <c r="AC171" i="1"/>
  <c r="AC183" i="1"/>
  <c r="AB198" i="1"/>
  <c r="AB197" i="1"/>
  <c r="BX86" i="8"/>
  <c r="BX18" i="8"/>
  <c r="CE18" i="8"/>
  <c r="P6" i="17"/>
  <c r="P4" i="17" s="1"/>
  <c r="DP85" i="8"/>
  <c r="DO85" i="8"/>
  <c r="AC10" i="1"/>
  <c r="AC13" i="1"/>
  <c r="AD8" i="1" s="1"/>
  <c r="AB222" i="1"/>
  <c r="AB221" i="1"/>
  <c r="AB209" i="1"/>
  <c r="DX20" i="8" s="1"/>
  <c r="AB210" i="1"/>
  <c r="AB231" i="1"/>
  <c r="BW86" i="8"/>
  <c r="BW18" i="8"/>
  <c r="CT82" i="8"/>
  <c r="BX74" i="8"/>
  <c r="BW74" i="8"/>
  <c r="CY82" i="8"/>
  <c r="EH143" i="8"/>
  <c r="EM123" i="8"/>
  <c r="EM143" i="8" s="1"/>
  <c r="DD16" i="8"/>
  <c r="CE7" i="8"/>
  <c r="CJ21" i="8"/>
  <c r="CJ7" i="8"/>
  <c r="M19" i="73" l="1"/>
  <c r="M20" i="73" s="1"/>
  <c r="M21" i="73" s="1"/>
  <c r="M23" i="73" s="1"/>
  <c r="DX56" i="8" s="1"/>
  <c r="DX54" i="8" s="1"/>
  <c r="Q14" i="89"/>
  <c r="Q24" i="89" s="1"/>
  <c r="Q33" i="89" s="1"/>
  <c r="N26" i="80" s="1"/>
  <c r="EJ112" i="8"/>
  <c r="EJ155" i="8"/>
  <c r="AB235" i="15"/>
  <c r="AC10" i="15"/>
  <c r="AC13" i="15"/>
  <c r="AD8" i="15" s="1"/>
  <c r="AC175" i="15"/>
  <c r="AC163" i="15"/>
  <c r="AC187" i="15"/>
  <c r="AB214" i="15"/>
  <c r="AB213" i="15"/>
  <c r="AB202" i="15"/>
  <c r="AB201" i="15"/>
  <c r="AB231" i="15" s="1"/>
  <c r="V11" i="17" s="1"/>
  <c r="V10" i="17" s="1"/>
  <c r="AB226" i="15"/>
  <c r="AB225" i="15"/>
  <c r="CF21" i="8"/>
  <c r="CI21" i="8"/>
  <c r="CJ86" i="8"/>
  <c r="CG21" i="8"/>
  <c r="CH21" i="8"/>
  <c r="CJ18" i="8"/>
  <c r="AD134" i="1"/>
  <c r="AD12" i="1"/>
  <c r="CE145" i="8"/>
  <c r="BX84" i="8"/>
  <c r="BX145" i="8"/>
  <c r="AB232" i="1"/>
  <c r="AB228" i="1"/>
  <c r="AC186" i="1"/>
  <c r="AC184" i="1"/>
  <c r="AC185" i="1"/>
  <c r="AC161" i="1"/>
  <c r="AC162" i="1"/>
  <c r="AC160" i="1"/>
  <c r="BW84" i="8"/>
  <c r="BW145" i="8"/>
  <c r="DV20" i="8"/>
  <c r="DT20" i="8"/>
  <c r="DW20" i="8"/>
  <c r="DU20" i="8"/>
  <c r="DX85" i="8"/>
  <c r="AB227" i="1"/>
  <c r="V5" i="17" s="1"/>
  <c r="AC173" i="1"/>
  <c r="AC172" i="1"/>
  <c r="AC174" i="1"/>
  <c r="DD82" i="8"/>
  <c r="CJ74" i="8"/>
  <c r="DI16" i="8"/>
  <c r="CO21" i="8"/>
  <c r="N16" i="73" l="1"/>
  <c r="N18" i="73"/>
  <c r="O27" i="80"/>
  <c r="N25" i="80"/>
  <c r="EC57" i="8"/>
  <c r="EC156" i="8" s="1"/>
  <c r="N27" i="73"/>
  <c r="N12" i="73"/>
  <c r="AC189" i="15"/>
  <c r="AC190" i="15"/>
  <c r="AC188" i="15"/>
  <c r="AC178" i="15"/>
  <c r="AC177" i="15"/>
  <c r="AC176" i="15"/>
  <c r="AB236" i="15"/>
  <c r="AB232" i="15"/>
  <c r="AC166" i="15"/>
  <c r="AC164" i="15"/>
  <c r="AC165" i="15"/>
  <c r="AD138" i="15"/>
  <c r="AD12" i="15"/>
  <c r="CM21" i="8"/>
  <c r="CK21" i="8"/>
  <c r="CL21" i="8"/>
  <c r="CN21" i="8"/>
  <c r="CO86" i="8"/>
  <c r="CO18" i="8"/>
  <c r="Q6" i="17"/>
  <c r="Q4" i="17" s="1"/>
  <c r="DW85" i="8"/>
  <c r="DV85" i="8"/>
  <c r="AC209" i="1"/>
  <c r="EC20" i="8" s="1"/>
  <c r="AC210" i="1"/>
  <c r="CJ84" i="8"/>
  <c r="CJ145" i="8"/>
  <c r="CG18" i="8"/>
  <c r="CI18" i="8"/>
  <c r="R6" i="17"/>
  <c r="R4" i="17" s="1"/>
  <c r="DU85" i="8"/>
  <c r="DT85" i="8"/>
  <c r="AC197" i="1"/>
  <c r="AC227" i="1" s="1"/>
  <c r="W5" i="17" s="1"/>
  <c r="AC198" i="1"/>
  <c r="AC222" i="1"/>
  <c r="AC221" i="1"/>
  <c r="AC231" i="1"/>
  <c r="AD10" i="1"/>
  <c r="AD13" i="1"/>
  <c r="AE8" i="1" s="1"/>
  <c r="AD159" i="1"/>
  <c r="AD171" i="1"/>
  <c r="AD183" i="1"/>
  <c r="CH18" i="8"/>
  <c r="CF18" i="8"/>
  <c r="DI82" i="8"/>
  <c r="DN16" i="8"/>
  <c r="CT21" i="8"/>
  <c r="CO7" i="8"/>
  <c r="N19" i="73" l="1"/>
  <c r="N20" i="73" s="1"/>
  <c r="N21" i="73" s="1"/>
  <c r="N23" i="73" s="1"/>
  <c r="EC56" i="8" s="1"/>
  <c r="EC54" i="8" s="1"/>
  <c r="O18" i="73"/>
  <c r="R14" i="89"/>
  <c r="R24" i="89" s="1"/>
  <c r="R33" i="89" s="1"/>
  <c r="O26" i="80" s="1"/>
  <c r="AD175" i="15"/>
  <c r="AD163" i="15"/>
  <c r="AD187" i="15"/>
  <c r="AC202" i="15"/>
  <c r="AC201" i="15"/>
  <c r="AC231" i="15" s="1"/>
  <c r="W11" i="17" s="1"/>
  <c r="W10" i="17" s="1"/>
  <c r="AD10" i="15"/>
  <c r="AD13" i="15"/>
  <c r="AE8" i="15" s="1"/>
  <c r="AC226" i="15"/>
  <c r="AC225" i="15"/>
  <c r="AC214" i="15"/>
  <c r="AC213" i="15"/>
  <c r="AC235" i="15"/>
  <c r="CP21" i="8"/>
  <c r="CS21" i="8"/>
  <c r="CR21" i="8"/>
  <c r="CT86" i="8"/>
  <c r="CQ21" i="8"/>
  <c r="CT18" i="8"/>
  <c r="AD185" i="1"/>
  <c r="AD186" i="1"/>
  <c r="AD184" i="1"/>
  <c r="AD162" i="1"/>
  <c r="AD160" i="1"/>
  <c r="AD161" i="1"/>
  <c r="AC232" i="1"/>
  <c r="AC228" i="1"/>
  <c r="DY20" i="8"/>
  <c r="EB20" i="8"/>
  <c r="EA20" i="8"/>
  <c r="EC85" i="8"/>
  <c r="DZ20" i="8"/>
  <c r="CO84" i="8"/>
  <c r="CO145" i="8"/>
  <c r="CN86" i="8"/>
  <c r="CN18" i="8"/>
  <c r="CN84" i="8" s="1"/>
  <c r="CK86" i="8"/>
  <c r="CK18" i="8"/>
  <c r="CK84" i="8" s="1"/>
  <c r="S6" i="17"/>
  <c r="S4" i="17" s="1"/>
  <c r="AD174" i="1"/>
  <c r="AD172" i="1"/>
  <c r="AD173" i="1"/>
  <c r="AE134" i="1"/>
  <c r="AE12" i="1"/>
  <c r="CL86" i="8"/>
  <c r="CL18" i="8"/>
  <c r="CL84" i="8" s="1"/>
  <c r="CM86" i="8"/>
  <c r="CM18" i="8"/>
  <c r="CM84" i="8" s="1"/>
  <c r="DN82" i="8"/>
  <c r="CO74" i="8"/>
  <c r="CT7" i="8"/>
  <c r="O16" i="73" l="1"/>
  <c r="O19" i="73" s="1"/>
  <c r="O20" i="73" s="1"/>
  <c r="O21" i="73" s="1"/>
  <c r="O23" i="73" s="1"/>
  <c r="EH56" i="8" s="1"/>
  <c r="EH57" i="8"/>
  <c r="EH156" i="8" s="1"/>
  <c r="P27" i="80"/>
  <c r="O25" i="80"/>
  <c r="AC236" i="15"/>
  <c r="AC232" i="15"/>
  <c r="AD165" i="15"/>
  <c r="AD166" i="15"/>
  <c r="AD164" i="15"/>
  <c r="AE138" i="15"/>
  <c r="AE12" i="15"/>
  <c r="AD190" i="15"/>
  <c r="AD188" i="15"/>
  <c r="AD189" i="15"/>
  <c r="AD177" i="15"/>
  <c r="AD178" i="15"/>
  <c r="AD176" i="15"/>
  <c r="T6" i="17"/>
  <c r="T4" i="17" s="1"/>
  <c r="AE159" i="1"/>
  <c r="AE171" i="1"/>
  <c r="DY85" i="8"/>
  <c r="AD222" i="1"/>
  <c r="AD221" i="1"/>
  <c r="AD209" i="1"/>
  <c r="EH20" i="8" s="1"/>
  <c r="AD210" i="1"/>
  <c r="CT84" i="8"/>
  <c r="CT145" i="8"/>
  <c r="CS86" i="8"/>
  <c r="CS18" i="8"/>
  <c r="CS84" i="8" s="1"/>
  <c r="AE10" i="1"/>
  <c r="AE13" i="1"/>
  <c r="DZ85" i="8"/>
  <c r="EA85" i="8"/>
  <c r="EB85" i="8"/>
  <c r="AD197" i="1"/>
  <c r="AD227" i="1" s="1"/>
  <c r="X5" i="17" s="1"/>
  <c r="AD198" i="1"/>
  <c r="AD231" i="1"/>
  <c r="CQ86" i="8"/>
  <c r="CQ18" i="8"/>
  <c r="CQ84" i="8" s="1"/>
  <c r="CR86" i="8"/>
  <c r="CR18" i="8"/>
  <c r="CR84" i="8" s="1"/>
  <c r="CP86" i="8"/>
  <c r="CP18" i="8"/>
  <c r="CP84" i="8" s="1"/>
  <c r="CT74" i="8"/>
  <c r="DS16" i="8"/>
  <c r="O27" i="73" l="1"/>
  <c r="O12" i="73"/>
  <c r="EH54" i="8"/>
  <c r="AE175" i="15"/>
  <c r="AE163" i="15"/>
  <c r="AE187" i="15"/>
  <c r="AD214" i="15"/>
  <c r="AD213" i="15"/>
  <c r="AD235" i="15"/>
  <c r="AE10" i="15"/>
  <c r="AE13" i="15"/>
  <c r="AD202" i="15"/>
  <c r="AD201" i="15"/>
  <c r="AD231" i="15" s="1"/>
  <c r="X11" i="17" s="1"/>
  <c r="X10" i="17" s="1"/>
  <c r="AD225" i="15"/>
  <c r="AD226" i="15"/>
  <c r="AD232" i="1"/>
  <c r="AD228" i="1"/>
  <c r="AE161" i="1"/>
  <c r="AE160" i="1"/>
  <c r="AE162" i="1"/>
  <c r="U6" i="17"/>
  <c r="U4" i="17" s="1"/>
  <c r="EG20" i="8"/>
  <c r="EE20" i="8"/>
  <c r="ED20" i="8"/>
  <c r="EF20" i="8"/>
  <c r="EH85" i="8"/>
  <c r="AE173" i="1"/>
  <c r="AE174" i="1"/>
  <c r="AE172" i="1"/>
  <c r="DS82" i="8"/>
  <c r="DX16" i="8"/>
  <c r="CY7" i="8"/>
  <c r="CY21" i="8"/>
  <c r="AE166" i="15" l="1"/>
  <c r="AE164" i="15"/>
  <c r="AE165" i="15"/>
  <c r="AD236" i="15"/>
  <c r="AD232" i="15"/>
  <c r="AE189" i="15"/>
  <c r="AE188" i="15"/>
  <c r="AE190" i="15"/>
  <c r="AE178" i="15"/>
  <c r="AE176" i="15"/>
  <c r="AE177" i="15"/>
  <c r="V6" i="17"/>
  <c r="V4" i="17" s="1"/>
  <c r="EF85" i="8"/>
  <c r="ED85" i="8"/>
  <c r="EG85" i="8"/>
  <c r="CX21" i="8"/>
  <c r="CV21" i="8"/>
  <c r="CW21" i="8"/>
  <c r="CU21" i="8"/>
  <c r="CY86" i="8"/>
  <c r="CY18" i="8"/>
  <c r="EE85" i="8"/>
  <c r="CY74" i="8"/>
  <c r="DX82" i="8"/>
  <c r="EC16" i="8"/>
  <c r="EH16" i="8"/>
  <c r="AE202" i="15" l="1"/>
  <c r="AE201" i="15"/>
  <c r="AE231" i="15" s="1"/>
  <c r="Y11" i="17" s="1"/>
  <c r="Y10" i="17" s="1"/>
  <c r="AE235" i="15"/>
  <c r="AE225" i="15"/>
  <c r="AE226" i="15"/>
  <c r="AE214" i="15"/>
  <c r="AE213" i="15"/>
  <c r="CY84" i="8"/>
  <c r="CY145" i="8"/>
  <c r="CU86" i="8"/>
  <c r="CU18" i="8"/>
  <c r="CU84" i="8" s="1"/>
  <c r="CV86" i="8"/>
  <c r="CV18" i="8"/>
  <c r="CV84" i="8" s="1"/>
  <c r="CW86" i="8"/>
  <c r="CW18" i="8"/>
  <c r="CW84" i="8" s="1"/>
  <c r="CX86" i="8"/>
  <c r="CX18" i="8"/>
  <c r="CX84" i="8" s="1"/>
  <c r="EH82" i="8"/>
  <c r="EC82" i="8"/>
  <c r="EM16" i="8"/>
  <c r="X6" i="17"/>
  <c r="X4" i="17" s="1"/>
  <c r="W6" i="17"/>
  <c r="W4" i="17" s="1"/>
  <c r="DD7" i="8"/>
  <c r="DD21" i="8"/>
  <c r="AE236" i="15" l="1"/>
  <c r="AE232" i="15"/>
  <c r="CZ21" i="8"/>
  <c r="DC21" i="8"/>
  <c r="DD86" i="8"/>
  <c r="DA21" i="8"/>
  <c r="DB21" i="8"/>
  <c r="DD18" i="8"/>
  <c r="DD74" i="8"/>
  <c r="EM82" i="8"/>
  <c r="Y6" i="17"/>
  <c r="DB86" i="8" l="1"/>
  <c r="DB18" i="8"/>
  <c r="DB84" i="8" s="1"/>
  <c r="CZ86" i="8"/>
  <c r="CZ18" i="8"/>
  <c r="CZ84" i="8" s="1"/>
  <c r="DD84" i="8"/>
  <c r="DD145" i="8"/>
  <c r="DA86" i="8"/>
  <c r="DA18" i="8"/>
  <c r="DA84" i="8" s="1"/>
  <c r="DC86" i="8"/>
  <c r="DC18" i="8"/>
  <c r="DC84" i="8" s="1"/>
  <c r="DI7" i="8"/>
  <c r="DI21" i="8"/>
  <c r="DG21" i="8" l="1"/>
  <c r="DE21" i="8"/>
  <c r="DH21" i="8"/>
  <c r="DF21" i="8"/>
  <c r="DI86" i="8"/>
  <c r="DI18" i="8"/>
  <c r="DI74" i="8"/>
  <c r="DI84" i="8" l="1"/>
  <c r="DI145" i="8"/>
  <c r="DF86" i="8"/>
  <c r="DF18" i="8"/>
  <c r="DF84" i="8" s="1"/>
  <c r="DE86" i="8"/>
  <c r="DE18" i="8"/>
  <c r="DE84" i="8" s="1"/>
  <c r="DH86" i="8"/>
  <c r="DH18" i="8"/>
  <c r="DH84" i="8" s="1"/>
  <c r="DG86" i="8"/>
  <c r="DG18" i="8"/>
  <c r="DG84" i="8" s="1"/>
  <c r="DN21" i="8"/>
  <c r="DN7" i="8"/>
  <c r="CE6" i="8"/>
  <c r="DJ21" i="8" l="1"/>
  <c r="DM21" i="8"/>
  <c r="DL21" i="8"/>
  <c r="DN86" i="8"/>
  <c r="DK21" i="8"/>
  <c r="DN18" i="8"/>
  <c r="CE73" i="8"/>
  <c r="CA6" i="8"/>
  <c r="DN74" i="8"/>
  <c r="BZ73" i="8"/>
  <c r="CJ6" i="8"/>
  <c r="DN84" i="8" l="1"/>
  <c r="DN145" i="8"/>
  <c r="DM86" i="8"/>
  <c r="DM18" i="8"/>
  <c r="DM84" i="8" s="1"/>
  <c r="DK86" i="8"/>
  <c r="DK18" i="8"/>
  <c r="DK84" i="8" s="1"/>
  <c r="DL86" i="8"/>
  <c r="DL18" i="8"/>
  <c r="DL84" i="8" s="1"/>
  <c r="DJ86" i="8"/>
  <c r="DJ18" i="8"/>
  <c r="DJ84" i="8" s="1"/>
  <c r="BX73" i="8"/>
  <c r="BX4" i="8"/>
  <c r="CC6" i="8"/>
  <c r="CH6" i="8" s="1"/>
  <c r="CJ73" i="8"/>
  <c r="CF6" i="8"/>
  <c r="BW73" i="8"/>
  <c r="BW4" i="8"/>
  <c r="CB6" i="8"/>
  <c r="CA73" i="8"/>
  <c r="DS7" i="8"/>
  <c r="DS21" i="8"/>
  <c r="CO6" i="8"/>
  <c r="DR21" i="8" l="1"/>
  <c r="DP21" i="8"/>
  <c r="DO21" i="8"/>
  <c r="DQ21" i="8"/>
  <c r="DS86" i="8"/>
  <c r="DS18" i="8"/>
  <c r="CB73" i="8"/>
  <c r="CH73" i="8"/>
  <c r="CC73" i="8"/>
  <c r="BX72" i="8"/>
  <c r="BX61" i="8"/>
  <c r="BX142" i="8"/>
  <c r="BX158" i="8" s="1"/>
  <c r="CO73" i="8"/>
  <c r="CM6" i="8"/>
  <c r="CK6" i="8"/>
  <c r="DS74" i="8"/>
  <c r="BW61" i="8"/>
  <c r="BW72" i="8"/>
  <c r="BW142" i="8"/>
  <c r="BW158" i="8" s="1"/>
  <c r="CF73" i="8"/>
  <c r="CG6" i="8"/>
  <c r="CL6" i="8" s="1"/>
  <c r="BY73" i="8"/>
  <c r="CD6" i="8"/>
  <c r="DS84" i="8" l="1"/>
  <c r="DS145" i="8"/>
  <c r="DQ86" i="8"/>
  <c r="DQ18" i="8"/>
  <c r="DQ84" i="8" s="1"/>
  <c r="DP86" i="8"/>
  <c r="DP18" i="8"/>
  <c r="DP84" i="8" s="1"/>
  <c r="DO86" i="8"/>
  <c r="DO18" i="8"/>
  <c r="DO84" i="8" s="1"/>
  <c r="DR86" i="8"/>
  <c r="DR18" i="8"/>
  <c r="DR84" i="8" s="1"/>
  <c r="CL73" i="8"/>
  <c r="CD73" i="8"/>
  <c r="CI6" i="8"/>
  <c r="CM73" i="8"/>
  <c r="CG73" i="8"/>
  <c r="BW116" i="8"/>
  <c r="BW64" i="8"/>
  <c r="BW119" i="8" s="1"/>
  <c r="BX3" i="10"/>
  <c r="CK73" i="8"/>
  <c r="BX116" i="8"/>
  <c r="BX64" i="8"/>
  <c r="BX119" i="8" s="1"/>
  <c r="BY3" i="10"/>
  <c r="DX21" i="8"/>
  <c r="DX7" i="8"/>
  <c r="CT6" i="8"/>
  <c r="DT21" i="8" l="1"/>
  <c r="DW21" i="8"/>
  <c r="DX86" i="8"/>
  <c r="DU21" i="8"/>
  <c r="DV21" i="8"/>
  <c r="DX18" i="8"/>
  <c r="DX74" i="8"/>
  <c r="BY108" i="10"/>
  <c r="BY6" i="10"/>
  <c r="CT73" i="8"/>
  <c r="CQ6" i="8"/>
  <c r="CR6" i="8"/>
  <c r="CP6" i="8"/>
  <c r="BX6" i="10"/>
  <c r="BX108" i="10"/>
  <c r="CI73" i="8"/>
  <c r="CN6" i="8"/>
  <c r="CY6" i="8"/>
  <c r="BY98" i="10" l="1"/>
  <c r="BY100" i="10"/>
  <c r="BX98" i="10"/>
  <c r="BX100" i="10"/>
  <c r="DX84" i="8"/>
  <c r="DX145" i="8"/>
  <c r="DU86" i="8"/>
  <c r="DU18" i="8"/>
  <c r="DU84" i="8" s="1"/>
  <c r="DW86" i="8"/>
  <c r="DW18" i="8"/>
  <c r="DW84" i="8" s="1"/>
  <c r="DV86" i="8"/>
  <c r="DV18" i="8"/>
  <c r="DV84" i="8" s="1"/>
  <c r="DT86" i="8"/>
  <c r="DT18" i="8"/>
  <c r="DT84" i="8" s="1"/>
  <c r="BX109" i="10"/>
  <c r="CP73" i="8"/>
  <c r="CQ73" i="8"/>
  <c r="BY109" i="10"/>
  <c r="CY73" i="8"/>
  <c r="CW6" i="8"/>
  <c r="CU6" i="8"/>
  <c r="CV6" i="8"/>
  <c r="CN73" i="8"/>
  <c r="CR73" i="8"/>
  <c r="CS6" i="8"/>
  <c r="EC21" i="8"/>
  <c r="EC7" i="8"/>
  <c r="DD6" i="8"/>
  <c r="EA21" i="8" l="1"/>
  <c r="DY21" i="8"/>
  <c r="DZ21" i="8"/>
  <c r="EB21" i="8"/>
  <c r="EC86" i="8"/>
  <c r="EC18" i="8"/>
  <c r="CS73" i="8"/>
  <c r="CX6" i="8"/>
  <c r="DC6" i="8" s="1"/>
  <c r="CU73" i="8"/>
  <c r="BY111" i="10"/>
  <c r="BY39" i="10"/>
  <c r="BY62" i="10"/>
  <c r="BX118" i="10"/>
  <c r="BX119" i="10" s="1"/>
  <c r="BX120" i="10" s="1"/>
  <c r="BX112" i="10"/>
  <c r="BX57" i="10"/>
  <c r="DD73" i="8"/>
  <c r="DA6" i="8"/>
  <c r="DB6" i="8"/>
  <c r="CZ6" i="8"/>
  <c r="EC74" i="8"/>
  <c r="CV73" i="8"/>
  <c r="CW73" i="8"/>
  <c r="BY112" i="10"/>
  <c r="BY118" i="10"/>
  <c r="BY119" i="10" s="1"/>
  <c r="BY120" i="10" s="1"/>
  <c r="BY57" i="10"/>
  <c r="BX62" i="10"/>
  <c r="BX39" i="10"/>
  <c r="BX111" i="10"/>
  <c r="DI6" i="8"/>
  <c r="EC84" i="8" l="1"/>
  <c r="EC145" i="8"/>
  <c r="EB86" i="8"/>
  <c r="EB18" i="8"/>
  <c r="EB84" i="8" s="1"/>
  <c r="DY86" i="8"/>
  <c r="DY18" i="8"/>
  <c r="DY84" i="8" s="1"/>
  <c r="DZ86" i="8"/>
  <c r="DZ18" i="8"/>
  <c r="DZ84" i="8" s="1"/>
  <c r="EA86" i="8"/>
  <c r="EA18" i="8"/>
  <c r="EA84" i="8" s="1"/>
  <c r="DB73" i="8"/>
  <c r="DC73" i="8"/>
  <c r="DI73" i="8"/>
  <c r="DG6" i="8"/>
  <c r="DE6" i="8"/>
  <c r="DH6" i="8"/>
  <c r="DF6" i="8"/>
  <c r="CZ73" i="8"/>
  <c r="DA73" i="8"/>
  <c r="CX73" i="8"/>
  <c r="EH7" i="8"/>
  <c r="EH21" i="8"/>
  <c r="DN6" i="8"/>
  <c r="ED21" i="8" l="1"/>
  <c r="EG21" i="8"/>
  <c r="EF21" i="8"/>
  <c r="EH86" i="8"/>
  <c r="EE21" i="8"/>
  <c r="EH18" i="8"/>
  <c r="DH73" i="8"/>
  <c r="DG73" i="8"/>
  <c r="DN73" i="8"/>
  <c r="DM6" i="8"/>
  <c r="DK6" i="8"/>
  <c r="DL6" i="8"/>
  <c r="DJ6" i="8"/>
  <c r="EH74" i="8"/>
  <c r="DF73" i="8"/>
  <c r="DE73" i="8"/>
  <c r="DS6" i="8"/>
  <c r="EH84" i="8" l="1"/>
  <c r="EH145" i="8"/>
  <c r="EG86" i="8"/>
  <c r="EG18" i="8"/>
  <c r="EG84" i="8" s="1"/>
  <c r="EE86" i="8"/>
  <c r="EE18" i="8"/>
  <c r="EE84" i="8" s="1"/>
  <c r="EF86" i="8"/>
  <c r="EF18" i="8"/>
  <c r="EF84" i="8" s="1"/>
  <c r="ED86" i="8"/>
  <c r="ED18" i="8"/>
  <c r="ED84" i="8" s="1"/>
  <c r="DS73" i="8"/>
  <c r="DQ6" i="8"/>
  <c r="DO6" i="8"/>
  <c r="DP6" i="8"/>
  <c r="DR6" i="8"/>
  <c r="DL73" i="8"/>
  <c r="DM73" i="8"/>
  <c r="DJ73" i="8"/>
  <c r="DK73" i="8"/>
  <c r="EM7" i="8"/>
  <c r="EM21" i="8"/>
  <c r="DX6" i="8"/>
  <c r="EC6" i="8"/>
  <c r="EL21" i="8" l="1"/>
  <c r="EJ21" i="8"/>
  <c r="EK21" i="8"/>
  <c r="EI21" i="8"/>
  <c r="EM86" i="8"/>
  <c r="DP73" i="8"/>
  <c r="DQ73" i="8"/>
  <c r="DX73" i="8"/>
  <c r="DW6" i="8"/>
  <c r="EB6" i="8" s="1"/>
  <c r="DU6" i="8"/>
  <c r="DZ6" i="8" s="1"/>
  <c r="DV6" i="8"/>
  <c r="EA6" i="8" s="1"/>
  <c r="DT6" i="8"/>
  <c r="DY6" i="8" s="1"/>
  <c r="EC73" i="8"/>
  <c r="EM74" i="8"/>
  <c r="DR73" i="8"/>
  <c r="DO73" i="8"/>
  <c r="EI86" i="8" l="1"/>
  <c r="EJ86" i="8"/>
  <c r="EK86" i="8"/>
  <c r="EL86" i="8"/>
  <c r="DZ73" i="8"/>
  <c r="EA73" i="8"/>
  <c r="DV73" i="8"/>
  <c r="DW73" i="8"/>
  <c r="EB73" i="8"/>
  <c r="DY73" i="8"/>
  <c r="DT73" i="8"/>
  <c r="DU73" i="8"/>
  <c r="EH6" i="8"/>
  <c r="EH73" i="8" l="1"/>
  <c r="EG6" i="8"/>
  <c r="EE6" i="8"/>
  <c r="EF6" i="8"/>
  <c r="ED6" i="8"/>
  <c r="EF73" i="8" l="1"/>
  <c r="EG73" i="8"/>
  <c r="ED73" i="8"/>
  <c r="EE73" i="8"/>
  <c r="BX110" i="10" l="1"/>
  <c r="BX95" i="10"/>
  <c r="BX51" i="10"/>
  <c r="BX10" i="10"/>
  <c r="BX97" i="10" l="1"/>
  <c r="BX20" i="10"/>
  <c r="BX102" i="10" l="1"/>
  <c r="BX28" i="10"/>
  <c r="BX30" i="10" s="1"/>
  <c r="BX113" i="10" l="1"/>
  <c r="BX40" i="10"/>
  <c r="BX32" i="10" l="1"/>
  <c r="BX105" i="10" l="1"/>
  <c r="BX46" i="10"/>
  <c r="BX82" i="10" s="1"/>
  <c r="BX41" i="10"/>
  <c r="BX42" i="10" s="1"/>
  <c r="BX34" i="10"/>
  <c r="BX84" i="10" l="1"/>
  <c r="BX88" i="10"/>
  <c r="BW139" i="8" l="1"/>
  <c r="BW138" i="8"/>
  <c r="BY51" i="10" l="1"/>
  <c r="BY95" i="10"/>
  <c r="BY110" i="10"/>
  <c r="BY10" i="10"/>
  <c r="BY97" i="10" l="1"/>
  <c r="BY20" i="10"/>
  <c r="BY102" i="10" s="1"/>
  <c r="BY113" i="10" l="1"/>
  <c r="BY28" i="10"/>
  <c r="BY30" i="10" s="1"/>
  <c r="BY40" i="10" l="1"/>
  <c r="BY32" i="10" l="1"/>
  <c r="BY105" i="10" l="1"/>
  <c r="BY34" i="10"/>
  <c r="BY46" i="10"/>
  <c r="BY82" i="10" s="1"/>
  <c r="BY41" i="10"/>
  <c r="BY42" i="10" s="1"/>
  <c r="BY84" i="10" l="1"/>
  <c r="BY88" i="10"/>
  <c r="BX139" i="8" l="1"/>
  <c r="BX138" i="8"/>
  <c r="CB30" i="10" l="1"/>
  <c r="CC30" i="10" l="1"/>
  <c r="CB40" i="10"/>
  <c r="S162" i="19"/>
  <c r="S79" i="20"/>
  <c r="S81" i="20" s="1"/>
  <c r="CD30" i="10" l="1"/>
  <c r="CC40" i="10"/>
  <c r="T162" i="19"/>
  <c r="T79" i="20"/>
  <c r="T81" i="20" s="1"/>
  <c r="CP30" i="10"/>
  <c r="S48" i="20"/>
  <c r="CE30" i="10" l="1"/>
  <c r="CD40" i="10"/>
  <c r="U79" i="20"/>
  <c r="U81" i="20" s="1"/>
  <c r="U162" i="19"/>
  <c r="CU30" i="10"/>
  <c r="T48" i="20"/>
  <c r="S49" i="20"/>
  <c r="S61" i="20"/>
  <c r="U48" i="20" l="1"/>
  <c r="T49" i="20"/>
  <c r="T61" i="20"/>
  <c r="V162" i="19"/>
  <c r="V79" i="20"/>
  <c r="V81" i="20" s="1"/>
  <c r="CZ30" i="10"/>
  <c r="W162" i="19" l="1"/>
  <c r="W79" i="20"/>
  <c r="W81" i="20" s="1"/>
  <c r="DE30" i="10"/>
  <c r="U49" i="20"/>
  <c r="U61" i="20"/>
  <c r="V48" i="20"/>
  <c r="V49" i="20" l="1"/>
  <c r="V61" i="20"/>
  <c r="W48" i="20"/>
  <c r="X162" i="19"/>
  <c r="X79" i="20"/>
  <c r="X81" i="20" s="1"/>
  <c r="DJ30" i="10"/>
  <c r="Y79" i="20" l="1"/>
  <c r="Y81" i="20" s="1"/>
  <c r="Y162" i="19"/>
  <c r="DO30" i="10"/>
  <c r="X48" i="20"/>
  <c r="W49" i="20"/>
  <c r="W61" i="20"/>
  <c r="X49" i="20" l="1"/>
  <c r="X61" i="20"/>
  <c r="Z162" i="19"/>
  <c r="Z79" i="20"/>
  <c r="Z81" i="20" s="1"/>
  <c r="DT30" i="10"/>
  <c r="Y48" i="20"/>
  <c r="Z48" i="20" l="1"/>
  <c r="Y49" i="20"/>
  <c r="Y61" i="20"/>
  <c r="AA162" i="19"/>
  <c r="AA79" i="20"/>
  <c r="AA81" i="20" s="1"/>
  <c r="DY30" i="10"/>
  <c r="AB162" i="19" l="1"/>
  <c r="AB79" i="20"/>
  <c r="AB81" i="20" s="1"/>
  <c r="ED30" i="10"/>
  <c r="Z49" i="20"/>
  <c r="Z61" i="20"/>
  <c r="AA48" i="20"/>
  <c r="AB48" i="20" l="1"/>
  <c r="AA49" i="20"/>
  <c r="AA61" i="20"/>
  <c r="AC79" i="20"/>
  <c r="AC81" i="20" s="1"/>
  <c r="AC162" i="19"/>
  <c r="EI30" i="10"/>
  <c r="AD162" i="19" l="1"/>
  <c r="AD79" i="20"/>
  <c r="AD81" i="20" s="1"/>
  <c r="EN30" i="10"/>
  <c r="AC48" i="20"/>
  <c r="AB49" i="20"/>
  <c r="AB61" i="20"/>
  <c r="AD48" i="20" l="1"/>
  <c r="AE162" i="19"/>
  <c r="AE79" i="20"/>
  <c r="AE81" i="20" s="1"/>
  <c r="AC49" i="20"/>
  <c r="AC61" i="20"/>
  <c r="AD49" i="20" l="1"/>
  <c r="AD61" i="20"/>
  <c r="AE48" i="20"/>
  <c r="AE49" i="20" l="1"/>
  <c r="AE61" i="20"/>
  <c r="CB26" i="10" l="1"/>
  <c r="CD26" i="10"/>
  <c r="CC26" i="10" l="1"/>
  <c r="CF24" i="10" l="1"/>
  <c r="BY4" i="8" l="1"/>
  <c r="BZ4" i="8" s="1"/>
  <c r="CB7" i="8"/>
  <c r="CD7" i="8"/>
  <c r="CD4" i="8" s="1"/>
  <c r="BY72" i="8"/>
  <c r="BY74" i="8"/>
  <c r="BZ74" i="8"/>
  <c r="CE74" i="8"/>
  <c r="BZ72" i="8" l="1"/>
  <c r="BZ142" i="8"/>
  <c r="BY142" i="8"/>
  <c r="CD74" i="8"/>
  <c r="CI7" i="8"/>
  <c r="CG7" i="8"/>
  <c r="CB74" i="8"/>
  <c r="CB4" i="8"/>
  <c r="CD142" i="8"/>
  <c r="CD72" i="8"/>
  <c r="CA7" i="8"/>
  <c r="CC7" i="8"/>
  <c r="CI4" i="8" l="1"/>
  <c r="CI72" i="8" s="1"/>
  <c r="CI74" i="8"/>
  <c r="CN7" i="8"/>
  <c r="CA4" i="8"/>
  <c r="CF7" i="8"/>
  <c r="CA74" i="8"/>
  <c r="CB142" i="8"/>
  <c r="CB72" i="8"/>
  <c r="CH7" i="8"/>
  <c r="CC74" i="8"/>
  <c r="CC4" i="8"/>
  <c r="CL7" i="8"/>
  <c r="CG74" i="8"/>
  <c r="CG4" i="8"/>
  <c r="CN4" i="8" l="1"/>
  <c r="CN72" i="8" s="1"/>
  <c r="CN74" i="8"/>
  <c r="CS7" i="8"/>
  <c r="CL4" i="8"/>
  <c r="CQ7" i="8"/>
  <c r="CL74" i="8"/>
  <c r="CH4" i="8"/>
  <c r="CM7" i="8"/>
  <c r="CH74" i="8"/>
  <c r="CF74" i="8"/>
  <c r="CF4" i="8"/>
  <c r="CK7" i="8"/>
  <c r="CG72" i="8"/>
  <c r="CA72" i="8"/>
  <c r="CE4" i="8"/>
  <c r="CA142" i="8"/>
  <c r="CC142" i="8"/>
  <c r="CC72" i="8"/>
  <c r="CS4" i="8" l="1"/>
  <c r="CS72" i="8" s="1"/>
  <c r="CX7" i="8"/>
  <c r="CS74" i="8"/>
  <c r="CE72" i="8"/>
  <c r="CE142" i="8"/>
  <c r="CK74" i="8"/>
  <c r="CK4" i="8"/>
  <c r="CP7" i="8"/>
  <c r="CH72" i="8"/>
  <c r="CF72" i="8"/>
  <c r="CJ4" i="8"/>
  <c r="CV7" i="8"/>
  <c r="CQ4" i="8"/>
  <c r="CQ74" i="8"/>
  <c r="CM4" i="8"/>
  <c r="CR7" i="8"/>
  <c r="CM74" i="8"/>
  <c r="CL72" i="8"/>
  <c r="CX4" i="8" l="1"/>
  <c r="CX72" i="8" s="1"/>
  <c r="DC7" i="8"/>
  <c r="CX74" i="8"/>
  <c r="CM72" i="8"/>
  <c r="DA7" i="8"/>
  <c r="CV74" i="8"/>
  <c r="CV4" i="8"/>
  <c r="CP4" i="8"/>
  <c r="CP74" i="8"/>
  <c r="CU7" i="8"/>
  <c r="CJ142" i="8"/>
  <c r="CJ72" i="8"/>
  <c r="CK72" i="8"/>
  <c r="CO4" i="8"/>
  <c r="CW7" i="8"/>
  <c r="CR4" i="8"/>
  <c r="CR74" i="8"/>
  <c r="CQ72" i="8"/>
  <c r="DC4" i="8" l="1"/>
  <c r="DC72" i="8" s="1"/>
  <c r="DC74" i="8"/>
  <c r="DH7" i="8"/>
  <c r="DB7" i="8"/>
  <c r="CW74" i="8"/>
  <c r="CW4" i="8"/>
  <c r="CT4" i="8"/>
  <c r="CP72" i="8"/>
  <c r="CV72" i="8"/>
  <c r="CO142" i="8"/>
  <c r="CO72" i="8"/>
  <c r="CU74" i="8"/>
  <c r="CU4" i="8"/>
  <c r="CZ7" i="8"/>
  <c r="CR72" i="8"/>
  <c r="DF7" i="8"/>
  <c r="DA74" i="8"/>
  <c r="DA4" i="8"/>
  <c r="DH4" i="8" l="1"/>
  <c r="DH72" i="8" s="1"/>
  <c r="DH74" i="8"/>
  <c r="DM7" i="8"/>
  <c r="DB4" i="8"/>
  <c r="DG7" i="8"/>
  <c r="DB74" i="8"/>
  <c r="CZ74" i="8"/>
  <c r="CZ4" i="8"/>
  <c r="DE7" i="8"/>
  <c r="CT142" i="8"/>
  <c r="CT72" i="8"/>
  <c r="CW72" i="8"/>
  <c r="DF4" i="8"/>
  <c r="DK7" i="8"/>
  <c r="DF74" i="8"/>
  <c r="DA72" i="8"/>
  <c r="CU72" i="8"/>
  <c r="CY4" i="8"/>
  <c r="DM4" i="8" l="1"/>
  <c r="DM72" i="8" s="1"/>
  <c r="DR7" i="8"/>
  <c r="DM74" i="8"/>
  <c r="DE74" i="8"/>
  <c r="DE4" i="8"/>
  <c r="DJ7" i="8"/>
  <c r="DF72" i="8"/>
  <c r="CY72" i="8"/>
  <c r="CY142" i="8"/>
  <c r="CZ72" i="8"/>
  <c r="DD4" i="8"/>
  <c r="DG4" i="8"/>
  <c r="DL7" i="8"/>
  <c r="DG74" i="8"/>
  <c r="DP7" i="8"/>
  <c r="DK4" i="8"/>
  <c r="DK74" i="8"/>
  <c r="DB72" i="8"/>
  <c r="DR4" i="8" l="1"/>
  <c r="DR72" i="8" s="1"/>
  <c r="DW7" i="8"/>
  <c r="DR74" i="8"/>
  <c r="DJ4" i="8"/>
  <c r="DJ74" i="8"/>
  <c r="DO7" i="8"/>
  <c r="DK72" i="8"/>
  <c r="DE72" i="8"/>
  <c r="DI4" i="8"/>
  <c r="DU7" i="8"/>
  <c r="DP74" i="8"/>
  <c r="DP4" i="8"/>
  <c r="DQ7" i="8"/>
  <c r="DL4" i="8"/>
  <c r="DL74" i="8"/>
  <c r="DD142" i="8"/>
  <c r="DD72" i="8"/>
  <c r="DG72" i="8"/>
  <c r="DW4" i="8" l="1"/>
  <c r="DW72" i="8" s="1"/>
  <c r="EB7" i="8"/>
  <c r="DW74" i="8"/>
  <c r="DP72" i="8"/>
  <c r="DO74" i="8"/>
  <c r="DO4" i="8"/>
  <c r="DT7" i="8"/>
  <c r="DI142" i="8"/>
  <c r="DI72" i="8"/>
  <c r="DL72" i="8"/>
  <c r="DZ7" i="8"/>
  <c r="DU74" i="8"/>
  <c r="DU4" i="8"/>
  <c r="DN4" i="8"/>
  <c r="DJ72" i="8"/>
  <c r="DV7" i="8"/>
  <c r="DQ74" i="8"/>
  <c r="DQ4" i="8"/>
  <c r="EB4" i="8" l="1"/>
  <c r="EB72" i="8" s="1"/>
  <c r="EB74" i="8"/>
  <c r="EG7" i="8"/>
  <c r="DZ4" i="8"/>
  <c r="EE7" i="8"/>
  <c r="DZ74" i="8"/>
  <c r="DT74" i="8"/>
  <c r="DT4" i="8"/>
  <c r="DY7" i="8"/>
  <c r="DV4" i="8"/>
  <c r="EA7" i="8"/>
  <c r="DV74" i="8"/>
  <c r="DN142" i="8"/>
  <c r="DN72" i="8"/>
  <c r="DO72" i="8"/>
  <c r="DS4" i="8"/>
  <c r="DU72" i="8"/>
  <c r="DQ72" i="8"/>
  <c r="EG4" i="8" l="1"/>
  <c r="EG72" i="8" s="1"/>
  <c r="EL7" i="8"/>
  <c r="EG74" i="8"/>
  <c r="DS72" i="8"/>
  <c r="DS142" i="8"/>
  <c r="EA4" i="8"/>
  <c r="EF7" i="8"/>
  <c r="EA74" i="8"/>
  <c r="DY74" i="8"/>
  <c r="DY4" i="8"/>
  <c r="ED7" i="8"/>
  <c r="DV72" i="8"/>
  <c r="DT72" i="8"/>
  <c r="DX4" i="8"/>
  <c r="EJ7" i="8"/>
  <c r="EE4" i="8"/>
  <c r="EE74" i="8"/>
  <c r="DZ72" i="8"/>
  <c r="EL74" i="8" l="1"/>
  <c r="EE72" i="8"/>
  <c r="EA72" i="8"/>
  <c r="EJ74" i="8"/>
  <c r="ED4" i="8"/>
  <c r="ED74" i="8"/>
  <c r="EI7" i="8"/>
  <c r="DX142" i="8"/>
  <c r="DX72" i="8"/>
  <c r="DY72" i="8"/>
  <c r="EC4" i="8"/>
  <c r="EK7" i="8"/>
  <c r="EF4" i="8"/>
  <c r="EF74" i="8"/>
  <c r="EI74" i="8" l="1"/>
  <c r="EC142" i="8"/>
  <c r="EC72" i="8"/>
  <c r="EF72" i="8"/>
  <c r="EH4" i="8"/>
  <c r="ED72" i="8"/>
  <c r="EK74" i="8"/>
  <c r="EH142" i="8" l="1"/>
  <c r="EH72" i="8"/>
  <c r="BY13" i="8" l="1"/>
  <c r="BZ13" i="8" s="1"/>
  <c r="BZ80" i="8" s="1"/>
  <c r="CC16" i="8"/>
  <c r="BY82" i="8"/>
  <c r="BZ82" i="8"/>
  <c r="BZ144" i="8" l="1"/>
  <c r="BY144" i="8"/>
  <c r="BY80" i="8"/>
  <c r="CC13" i="8"/>
  <c r="CH16" i="8"/>
  <c r="CC82" i="8"/>
  <c r="CB16" i="8"/>
  <c r="CE82" i="8"/>
  <c r="CA16" i="8"/>
  <c r="CD16" i="8"/>
  <c r="CD13" i="8" l="1"/>
  <c r="CD82" i="8"/>
  <c r="CI16" i="8"/>
  <c r="CF16" i="8"/>
  <c r="CA82" i="8"/>
  <c r="CA13" i="8"/>
  <c r="CB13" i="8"/>
  <c r="CG16" i="8"/>
  <c r="CB82" i="8"/>
  <c r="CH13" i="8"/>
  <c r="CM16" i="8"/>
  <c r="CH82" i="8"/>
  <c r="CC144" i="8"/>
  <c r="CC80" i="8"/>
  <c r="CG13" i="8" l="1"/>
  <c r="CG82" i="8"/>
  <c r="CL16" i="8"/>
  <c r="CF13" i="8"/>
  <c r="CK16" i="8"/>
  <c r="CF82" i="8"/>
  <c r="CM13" i="8"/>
  <c r="CR16" i="8"/>
  <c r="CM82" i="8"/>
  <c r="CB80" i="8"/>
  <c r="CB144" i="8"/>
  <c r="CN16" i="8"/>
  <c r="CI82" i="8"/>
  <c r="CI13" i="8"/>
  <c r="CD144" i="8"/>
  <c r="CD80" i="8"/>
  <c r="CH80" i="8"/>
  <c r="CH61" i="8"/>
  <c r="CE13" i="8"/>
  <c r="CE61" i="8" s="1"/>
  <c r="CA144" i="8"/>
  <c r="CA80" i="8"/>
  <c r="CH64" i="8" l="1"/>
  <c r="CL82" i="8"/>
  <c r="CL13" i="8"/>
  <c r="CQ16" i="8"/>
  <c r="CN13" i="8"/>
  <c r="CN82" i="8"/>
  <c r="CS16" i="8"/>
  <c r="CW16" i="8"/>
  <c r="CR13" i="8"/>
  <c r="CR82" i="8"/>
  <c r="CK13" i="8"/>
  <c r="CP16" i="8"/>
  <c r="CK82" i="8"/>
  <c r="CG61" i="8"/>
  <c r="CG80" i="8"/>
  <c r="CE144" i="8"/>
  <c r="CE159" i="8" s="1"/>
  <c r="CE80" i="8"/>
  <c r="CI61" i="8"/>
  <c r="CI80" i="8"/>
  <c r="CM61" i="8"/>
  <c r="CM80" i="8"/>
  <c r="CJ13" i="8"/>
  <c r="CJ61" i="8" s="1"/>
  <c r="CF80" i="8"/>
  <c r="CF61" i="8"/>
  <c r="CI64" i="8" l="1"/>
  <c r="CF3" i="10"/>
  <c r="CE64" i="8"/>
  <c r="CG64" i="8"/>
  <c r="DB16" i="8"/>
  <c r="CW82" i="8"/>
  <c r="CW13" i="8"/>
  <c r="CX16" i="8"/>
  <c r="CS13" i="8"/>
  <c r="CS82" i="8"/>
  <c r="CL80" i="8"/>
  <c r="CL61" i="8"/>
  <c r="CM116" i="8"/>
  <c r="CM64" i="8"/>
  <c r="CM119" i="8" s="1"/>
  <c r="CJ80" i="8"/>
  <c r="CJ144" i="8"/>
  <c r="CJ159" i="8" s="1"/>
  <c r="CU16" i="8"/>
  <c r="CP13" i="8"/>
  <c r="CP82" i="8"/>
  <c r="CN80" i="8"/>
  <c r="CN61" i="8"/>
  <c r="CF64" i="8"/>
  <c r="CF9" i="10"/>
  <c r="CE139" i="8"/>
  <c r="CK80" i="8"/>
  <c r="CO13" i="8"/>
  <c r="CO61" i="8" s="1"/>
  <c r="CK61" i="8"/>
  <c r="CR80" i="8"/>
  <c r="CR61" i="8"/>
  <c r="CQ13" i="8"/>
  <c r="CQ82" i="8"/>
  <c r="CV16" i="8"/>
  <c r="CR64" i="8" l="1"/>
  <c r="CR119" i="8" s="1"/>
  <c r="CR116" i="8"/>
  <c r="S49" i="19"/>
  <c r="CF95" i="10"/>
  <c r="CN64" i="8"/>
  <c r="CN119" i="8" s="1"/>
  <c r="CN116" i="8"/>
  <c r="CW61" i="8"/>
  <c r="CW80" i="8"/>
  <c r="CO144" i="8"/>
  <c r="CO159" i="8" s="1"/>
  <c r="CO80" i="8"/>
  <c r="CX82" i="8"/>
  <c r="DC16" i="8"/>
  <c r="CX13" i="8"/>
  <c r="CQ61" i="8"/>
  <c r="CQ80" i="8"/>
  <c r="CK9" i="10"/>
  <c r="CJ139" i="8"/>
  <c r="CL116" i="8"/>
  <c r="CL64" i="8"/>
  <c r="CL119" i="8" s="1"/>
  <c r="CU13" i="8"/>
  <c r="CZ16" i="8"/>
  <c r="CU82" i="8"/>
  <c r="CF6" i="10"/>
  <c r="CV82" i="8"/>
  <c r="CV13" i="8"/>
  <c r="DA16" i="8"/>
  <c r="CK64" i="8"/>
  <c r="CK119" i="8" s="1"/>
  <c r="CK116" i="8"/>
  <c r="CP80" i="8"/>
  <c r="CT13" i="8"/>
  <c r="CP61" i="8"/>
  <c r="CK3" i="10"/>
  <c r="CJ64" i="8"/>
  <c r="CJ119" i="8" s="1"/>
  <c r="CJ116" i="8"/>
  <c r="CS61" i="8"/>
  <c r="CS80" i="8"/>
  <c r="DG16" i="8"/>
  <c r="DB13" i="8"/>
  <c r="DB82" i="8"/>
  <c r="CQ64" i="8" l="1"/>
  <c r="CQ119" i="8" s="1"/>
  <c r="CQ116" i="8"/>
  <c r="CP9" i="10"/>
  <c r="CO139" i="8"/>
  <c r="CS116" i="8"/>
  <c r="CS64" i="8"/>
  <c r="CS119" i="8" s="1"/>
  <c r="S48" i="19"/>
  <c r="CF10" i="10"/>
  <c r="DG13" i="8"/>
  <c r="DL16" i="8"/>
  <c r="DG82" i="8"/>
  <c r="CP116" i="8"/>
  <c r="CP64" i="8"/>
  <c r="CP119" i="8" s="1"/>
  <c r="CV80" i="8"/>
  <c r="CV61" i="8"/>
  <c r="CX80" i="8"/>
  <c r="CX61" i="8"/>
  <c r="CW64" i="8"/>
  <c r="CW119" i="8" s="1"/>
  <c r="CW116" i="8"/>
  <c r="CZ13" i="8"/>
  <c r="DE16" i="8"/>
  <c r="CZ82" i="8"/>
  <c r="DB80" i="8"/>
  <c r="DB61" i="8"/>
  <c r="CK6" i="10"/>
  <c r="CK108" i="10"/>
  <c r="DA82" i="8"/>
  <c r="DA13" i="8"/>
  <c r="DF16" i="8"/>
  <c r="CY13" i="8"/>
  <c r="CU61" i="8"/>
  <c r="CU80" i="8"/>
  <c r="CT80" i="8"/>
  <c r="CT144" i="8"/>
  <c r="T49" i="19"/>
  <c r="CK110" i="10"/>
  <c r="CK95" i="10"/>
  <c r="DC13" i="8"/>
  <c r="DC82" i="8"/>
  <c r="DH16" i="8"/>
  <c r="CP3" i="10"/>
  <c r="CO64" i="8"/>
  <c r="CO116" i="8"/>
  <c r="DM16" i="8" l="1"/>
  <c r="DH82" i="8"/>
  <c r="DH13" i="8"/>
  <c r="CU116" i="8"/>
  <c r="CU64" i="8"/>
  <c r="CU119" i="8" s="1"/>
  <c r="DB116" i="8"/>
  <c r="DB64" i="8"/>
  <c r="DB119" i="8" s="1"/>
  <c r="S160" i="19"/>
  <c r="T48" i="19"/>
  <c r="T87" i="19" s="1"/>
  <c r="CK109" i="10"/>
  <c r="CK10" i="10"/>
  <c r="CO119" i="8"/>
  <c r="CY144" i="8"/>
  <c r="CY80" i="8"/>
  <c r="DE13" i="8"/>
  <c r="DJ16" i="8"/>
  <c r="DE82" i="8"/>
  <c r="CX116" i="8"/>
  <c r="CX64" i="8"/>
  <c r="CX119" i="8" s="1"/>
  <c r="CV64" i="8"/>
  <c r="CV119" i="8" s="1"/>
  <c r="CV116" i="8"/>
  <c r="DC61" i="8"/>
  <c r="DC80" i="8"/>
  <c r="DF82" i="8"/>
  <c r="DF13" i="8"/>
  <c r="DK16" i="8"/>
  <c r="CZ80" i="8"/>
  <c r="DD13" i="8"/>
  <c r="CZ61" i="8"/>
  <c r="DQ16" i="8"/>
  <c r="DL13" i="8"/>
  <c r="DL82" i="8"/>
  <c r="CF97" i="10"/>
  <c r="U49" i="19"/>
  <c r="CP95" i="10"/>
  <c r="CP110" i="10"/>
  <c r="CP6" i="10"/>
  <c r="CP108" i="10"/>
  <c r="DA80" i="8"/>
  <c r="DA61" i="8"/>
  <c r="DG61" i="8"/>
  <c r="DG80" i="8"/>
  <c r="S87" i="19"/>
  <c r="DC116" i="8" l="1"/>
  <c r="DC64" i="8"/>
  <c r="DC119" i="8" s="1"/>
  <c r="DD80" i="8"/>
  <c r="DD144" i="8"/>
  <c r="DO16" i="8"/>
  <c r="DJ13" i="8"/>
  <c r="DJ82" i="8"/>
  <c r="DV16" i="8"/>
  <c r="DQ82" i="8"/>
  <c r="DQ13" i="8"/>
  <c r="U48" i="19"/>
  <c r="U87" i="19" s="1"/>
  <c r="CP10" i="10"/>
  <c r="CP109" i="10"/>
  <c r="DL80" i="8"/>
  <c r="DL61" i="8"/>
  <c r="DI13" i="8"/>
  <c r="DE61" i="8"/>
  <c r="DE80" i="8"/>
  <c r="T160" i="19"/>
  <c r="DM13" i="8"/>
  <c r="DM82" i="8"/>
  <c r="DR16" i="8"/>
  <c r="DA64" i="8"/>
  <c r="DA119" i="8" s="1"/>
  <c r="DA116" i="8"/>
  <c r="DK13" i="8"/>
  <c r="DK82" i="8"/>
  <c r="DP16" i="8"/>
  <c r="DG64" i="8"/>
  <c r="DG119" i="8" s="1"/>
  <c r="DG116" i="8"/>
  <c r="CZ64" i="8"/>
  <c r="CZ119" i="8" s="1"/>
  <c r="CZ116" i="8"/>
  <c r="DF80" i="8"/>
  <c r="DF61" i="8"/>
  <c r="CK97" i="10"/>
  <c r="DH80" i="8"/>
  <c r="DH61" i="8"/>
  <c r="DM80" i="8" l="1"/>
  <c r="DM61" i="8"/>
  <c r="DI144" i="8"/>
  <c r="DI80" i="8"/>
  <c r="DJ80" i="8"/>
  <c r="DN13" i="8"/>
  <c r="DJ61" i="8"/>
  <c r="DL64" i="8"/>
  <c r="DL119" i="8" s="1"/>
  <c r="DL116" i="8"/>
  <c r="U104" i="19"/>
  <c r="U160" i="19"/>
  <c r="DH64" i="8"/>
  <c r="DH119" i="8" s="1"/>
  <c r="DH116" i="8"/>
  <c r="DK61" i="8"/>
  <c r="DK80" i="8"/>
  <c r="EA16" i="8"/>
  <c r="DV13" i="8"/>
  <c r="DV82" i="8"/>
  <c r="DO13" i="8"/>
  <c r="DT16" i="8"/>
  <c r="DO82" i="8"/>
  <c r="DW16" i="8"/>
  <c r="DR82" i="8"/>
  <c r="DR13" i="8"/>
  <c r="DF116" i="8"/>
  <c r="DF64" i="8"/>
  <c r="DF119" i="8" s="1"/>
  <c r="DP82" i="8"/>
  <c r="DP13" i="8"/>
  <c r="DU16" i="8"/>
  <c r="DE116" i="8"/>
  <c r="DE64" i="8"/>
  <c r="DE119" i="8" s="1"/>
  <c r="CP97" i="10"/>
  <c r="DQ61" i="8"/>
  <c r="DQ80" i="8"/>
  <c r="DR80" i="8" l="1"/>
  <c r="DR61" i="8"/>
  <c r="U130" i="19"/>
  <c r="V130" i="19" s="1"/>
  <c r="W130" i="19" s="1"/>
  <c r="X130" i="19" s="1"/>
  <c r="Y130" i="19" s="1"/>
  <c r="Z130" i="19" s="1"/>
  <c r="AA130" i="19" s="1"/>
  <c r="AB130" i="19" s="1"/>
  <c r="AC130" i="19" s="1"/>
  <c r="AD130" i="19" s="1"/>
  <c r="AE130" i="19" s="1"/>
  <c r="U34" i="20"/>
  <c r="DW13" i="8"/>
  <c r="DW82" i="8"/>
  <c r="EB16" i="8"/>
  <c r="DK116" i="8"/>
  <c r="DK64" i="8"/>
  <c r="DK119" i="8" s="1"/>
  <c r="DJ116" i="8"/>
  <c r="DJ64" i="8"/>
  <c r="DJ119" i="8" s="1"/>
  <c r="DU82" i="8"/>
  <c r="DU13" i="8"/>
  <c r="DZ16" i="8"/>
  <c r="DP80" i="8"/>
  <c r="DP61" i="8"/>
  <c r="DY16" i="8"/>
  <c r="DT13" i="8"/>
  <c r="DT82" i="8"/>
  <c r="DV80" i="8"/>
  <c r="DV61" i="8"/>
  <c r="DQ116" i="8"/>
  <c r="DQ64" i="8"/>
  <c r="DQ119" i="8" s="1"/>
  <c r="DS13" i="8"/>
  <c r="DO61" i="8"/>
  <c r="DO80" i="8"/>
  <c r="EA13" i="8"/>
  <c r="EF16" i="8"/>
  <c r="EA82" i="8"/>
  <c r="DN144" i="8"/>
  <c r="DN80" i="8"/>
  <c r="DM64" i="8"/>
  <c r="DM119" i="8" s="1"/>
  <c r="DM116" i="8"/>
  <c r="DO64" i="8" l="1"/>
  <c r="DO119" i="8" s="1"/>
  <c r="DO116" i="8"/>
  <c r="DV116" i="8"/>
  <c r="DV64" i="8"/>
  <c r="DV119" i="8" s="1"/>
  <c r="DY13" i="8"/>
  <c r="ED16" i="8"/>
  <c r="DY82" i="8"/>
  <c r="DU61" i="8"/>
  <c r="DU80" i="8"/>
  <c r="DW61" i="8"/>
  <c r="DW80" i="8"/>
  <c r="U54" i="19"/>
  <c r="U40" i="20"/>
  <c r="U60" i="20"/>
  <c r="DR116" i="8"/>
  <c r="DR64" i="8"/>
  <c r="DR119" i="8" s="1"/>
  <c r="EK16" i="8"/>
  <c r="EF13" i="8"/>
  <c r="EF82" i="8"/>
  <c r="DS144" i="8"/>
  <c r="DS80" i="8"/>
  <c r="DP64" i="8"/>
  <c r="DP119" i="8" s="1"/>
  <c r="DP116" i="8"/>
  <c r="EA61" i="8"/>
  <c r="EA80" i="8"/>
  <c r="EB13" i="8"/>
  <c r="EB82" i="8"/>
  <c r="EG16" i="8"/>
  <c r="DT80" i="8"/>
  <c r="DX13" i="8"/>
  <c r="DT61" i="8"/>
  <c r="DZ82" i="8"/>
  <c r="DZ13" i="8"/>
  <c r="EE16" i="8"/>
  <c r="EI16" i="8" l="1"/>
  <c r="ED13" i="8"/>
  <c r="ED82" i="8"/>
  <c r="EK82" i="8"/>
  <c r="EK13" i="8"/>
  <c r="DY80" i="8"/>
  <c r="EC13" i="8"/>
  <c r="DY61" i="8"/>
  <c r="DT64" i="8"/>
  <c r="DT119" i="8" s="1"/>
  <c r="DT116" i="8"/>
  <c r="EL16" i="8"/>
  <c r="EG13" i="8"/>
  <c r="EG82" i="8"/>
  <c r="DU64" i="8"/>
  <c r="DU119" i="8" s="1"/>
  <c r="DU116" i="8"/>
  <c r="DZ80" i="8"/>
  <c r="DZ61" i="8"/>
  <c r="EB80" i="8"/>
  <c r="EB61" i="8"/>
  <c r="EF80" i="8"/>
  <c r="EF61" i="8"/>
  <c r="EE13" i="8"/>
  <c r="EE82" i="8"/>
  <c r="EJ16" i="8"/>
  <c r="DX80" i="8"/>
  <c r="DX144" i="8"/>
  <c r="EA116" i="8"/>
  <c r="EA64" i="8"/>
  <c r="EA119" i="8" s="1"/>
  <c r="DW64" i="8"/>
  <c r="DW119" i="8" s="1"/>
  <c r="DW116" i="8"/>
  <c r="EF64" i="8" l="1"/>
  <c r="EF119" i="8" s="1"/>
  <c r="EF116" i="8"/>
  <c r="EI13" i="8"/>
  <c r="EI82" i="8"/>
  <c r="EJ82" i="8"/>
  <c r="EJ13" i="8"/>
  <c r="EG80" i="8"/>
  <c r="EG61" i="8"/>
  <c r="EL82" i="8"/>
  <c r="EL13" i="8"/>
  <c r="DY64" i="8"/>
  <c r="DY119" i="8" s="1"/>
  <c r="DY116" i="8"/>
  <c r="EE61" i="8"/>
  <c r="EE80" i="8"/>
  <c r="EB64" i="8"/>
  <c r="EB119" i="8" s="1"/>
  <c r="EB116" i="8"/>
  <c r="DZ116" i="8"/>
  <c r="DZ64" i="8"/>
  <c r="DZ119" i="8" s="1"/>
  <c r="EC144" i="8"/>
  <c r="EC80" i="8"/>
  <c r="EK80" i="8"/>
  <c r="ED80" i="8"/>
  <c r="EH13" i="8"/>
  <c r="ED61" i="8"/>
  <c r="ED116" i="8" l="1"/>
  <c r="ED64" i="8"/>
  <c r="ED119" i="8" s="1"/>
  <c r="EE64" i="8"/>
  <c r="EE119" i="8" s="1"/>
  <c r="EE116" i="8"/>
  <c r="EL80" i="8"/>
  <c r="EH80" i="8"/>
  <c r="EH144" i="8"/>
  <c r="EG64" i="8"/>
  <c r="EG119" i="8" s="1"/>
  <c r="EG116" i="8"/>
  <c r="EM13" i="8"/>
  <c r="EI80" i="8"/>
  <c r="EJ80" i="8"/>
  <c r="EM144" i="8" l="1"/>
  <c r="EM80" i="8"/>
  <c r="BY18" i="8" l="1"/>
  <c r="BZ18" i="8" s="1"/>
  <c r="CE84" i="8" s="1"/>
  <c r="CA21" i="8"/>
  <c r="CC21" i="8"/>
  <c r="CC86" i="8" s="1"/>
  <c r="CD21" i="8"/>
  <c r="CD18" i="8" s="1"/>
  <c r="BY86" i="8"/>
  <c r="BZ86" i="8"/>
  <c r="CE86" i="8"/>
  <c r="BY145" i="8"/>
  <c r="BY84" i="8" l="1"/>
  <c r="CD86" i="8"/>
  <c r="CI86" i="8"/>
  <c r="CD145" i="8"/>
  <c r="CI84" i="8"/>
  <c r="CA18" i="8"/>
  <c r="CF86" i="8"/>
  <c r="CA86" i="8"/>
  <c r="CD84" i="8"/>
  <c r="BZ84" i="8"/>
  <c r="CB21" i="8"/>
  <c r="CC18" i="8"/>
  <c r="CH86" i="8"/>
  <c r="BZ145" i="8"/>
  <c r="CF84" i="8" l="1"/>
  <c r="CA84" i="8"/>
  <c r="CA145" i="8"/>
  <c r="CC145" i="8"/>
  <c r="CC84" i="8"/>
  <c r="CH84" i="8"/>
  <c r="CG86" i="8"/>
  <c r="CB86" i="8"/>
  <c r="CB18" i="8"/>
  <c r="CB84" i="8" l="1"/>
  <c r="CG84" i="8"/>
  <c r="CB145" i="8"/>
  <c r="BY23" i="8"/>
  <c r="BZ23" i="8" s="1"/>
  <c r="CB26" i="8"/>
  <c r="CA26" i="8"/>
  <c r="CF90" i="8" s="1"/>
  <c r="CC26" i="8"/>
  <c r="CC23" i="8" s="1"/>
  <c r="CD26" i="8"/>
  <c r="CD23" i="8" s="1"/>
  <c r="BY90" i="8"/>
  <c r="BZ90" i="8"/>
  <c r="CE90" i="8"/>
  <c r="BY146" i="8" l="1"/>
  <c r="CH90" i="8"/>
  <c r="BY88" i="8"/>
  <c r="BZ88" i="8"/>
  <c r="CE88" i="8"/>
  <c r="BZ146" i="8"/>
  <c r="BZ61" i="8"/>
  <c r="CA3" i="10" s="1"/>
  <c r="CF108" i="10" s="1"/>
  <c r="CC90" i="8"/>
  <c r="BY61" i="8"/>
  <c r="BZ3" i="10" s="1"/>
  <c r="BZ6" i="10" s="1"/>
  <c r="BZ109" i="10" s="1"/>
  <c r="CA90" i="8"/>
  <c r="CD90" i="8"/>
  <c r="CI90" i="8"/>
  <c r="CB23" i="8"/>
  <c r="CB90" i="8"/>
  <c r="CG90" i="8"/>
  <c r="CC61" i="8"/>
  <c r="CC88" i="8"/>
  <c r="CH88" i="8"/>
  <c r="CC146" i="8"/>
  <c r="CC159" i="8" s="1"/>
  <c r="CD61" i="8"/>
  <c r="CD88" i="8"/>
  <c r="CI88" i="8"/>
  <c r="CD146" i="8"/>
  <c r="CD159" i="8" s="1"/>
  <c r="CA23" i="8"/>
  <c r="BZ108" i="10"/>
  <c r="BY116" i="8"/>
  <c r="BY64" i="8"/>
  <c r="BY119" i="8" s="1"/>
  <c r="CA6" i="10" l="1"/>
  <c r="CA109" i="10" s="1"/>
  <c r="BZ64" i="8"/>
  <c r="CE116" i="8"/>
  <c r="CA108" i="10"/>
  <c r="BZ116" i="8"/>
  <c r="BZ100" i="10"/>
  <c r="CE3" i="10"/>
  <c r="CD64" i="8"/>
  <c r="CD116" i="8"/>
  <c r="CI116" i="8"/>
  <c r="CD3" i="10"/>
  <c r="CC64" i="8"/>
  <c r="CC116" i="8"/>
  <c r="CH116" i="8"/>
  <c r="CD9" i="10"/>
  <c r="CC139" i="8"/>
  <c r="CE9" i="10"/>
  <c r="CD139" i="8"/>
  <c r="CA13" i="10"/>
  <c r="BZ57" i="10"/>
  <c r="BZ112" i="10"/>
  <c r="BZ118" i="10"/>
  <c r="BZ119" i="10" s="1"/>
  <c r="CA61" i="8"/>
  <c r="CA88" i="8"/>
  <c r="CA146" i="8"/>
  <c r="CA159" i="8" s="1"/>
  <c r="CF88" i="8"/>
  <c r="CG88" i="8"/>
  <c r="CB146" i="8"/>
  <c r="CB159" i="8" s="1"/>
  <c r="CB61" i="8"/>
  <c r="CB88" i="8"/>
  <c r="BZ119" i="8" l="1"/>
  <c r="CE119" i="8"/>
  <c r="CF109" i="10"/>
  <c r="R48" i="19"/>
  <c r="R78" i="19" s="1"/>
  <c r="S78" i="19" s="1"/>
  <c r="BZ120" i="10"/>
  <c r="CA100" i="10"/>
  <c r="CA112" i="10"/>
  <c r="CA118" i="10"/>
  <c r="CA119" i="10" s="1"/>
  <c r="CD6" i="10"/>
  <c r="CD108" i="10"/>
  <c r="CE6" i="10"/>
  <c r="CE108" i="10"/>
  <c r="CC3" i="10"/>
  <c r="CB64" i="8"/>
  <c r="CB116" i="8"/>
  <c r="CG116" i="8"/>
  <c r="CB9" i="10"/>
  <c r="CA139" i="8"/>
  <c r="CE51" i="10"/>
  <c r="CE95" i="10"/>
  <c r="CD51" i="10"/>
  <c r="CD95" i="10"/>
  <c r="CD110" i="10"/>
  <c r="CB3" i="10"/>
  <c r="CA64" i="8"/>
  <c r="CF116" i="8"/>
  <c r="CA116" i="8"/>
  <c r="CC9" i="10"/>
  <c r="CB139" i="8"/>
  <c r="CC119" i="8"/>
  <c r="CH119" i="8"/>
  <c r="CD119" i="8"/>
  <c r="CI119" i="8"/>
  <c r="R109" i="19" l="1"/>
  <c r="R65" i="19"/>
  <c r="S65" i="19" s="1"/>
  <c r="T65" i="19" s="1"/>
  <c r="R160" i="19"/>
  <c r="R178" i="19" s="1"/>
  <c r="R74" i="19"/>
  <c r="S74" i="19" s="1"/>
  <c r="T74" i="19" s="1"/>
  <c r="R105" i="19"/>
  <c r="S105" i="19" s="1"/>
  <c r="T105" i="19" s="1"/>
  <c r="T104" i="19" s="1"/>
  <c r="R76" i="19"/>
  <c r="S76" i="19" s="1"/>
  <c r="T76" i="19" s="1"/>
  <c r="T78" i="19"/>
  <c r="S77" i="19"/>
  <c r="S8" i="19" s="1"/>
  <c r="S22" i="20" s="1"/>
  <c r="R127" i="19"/>
  <c r="R168" i="19"/>
  <c r="CF119" i="8"/>
  <c r="CA119" i="8"/>
  <c r="CG119" i="8"/>
  <c r="CB119" i="8"/>
  <c r="CD10" i="10"/>
  <c r="CD109" i="10"/>
  <c r="CC51" i="10"/>
  <c r="CC95" i="10"/>
  <c r="CC110" i="10"/>
  <c r="CB6" i="10"/>
  <c r="CB108" i="10"/>
  <c r="CB51" i="10"/>
  <c r="CB95" i="10"/>
  <c r="CB110" i="10"/>
  <c r="CC6" i="10"/>
  <c r="CC108" i="10"/>
  <c r="CE10" i="10"/>
  <c r="CE109" i="10"/>
  <c r="CA120" i="10"/>
  <c r="S64" i="19" l="1"/>
  <c r="S168" i="19" s="1"/>
  <c r="S73" i="19"/>
  <c r="S23" i="19" s="1"/>
  <c r="S75" i="19"/>
  <c r="S28" i="19" s="1"/>
  <c r="S104" i="19"/>
  <c r="S128" i="19" s="1"/>
  <c r="T128" i="19" s="1"/>
  <c r="U128" i="19" s="1"/>
  <c r="V128" i="19" s="1"/>
  <c r="W128" i="19" s="1"/>
  <c r="X128" i="19" s="1"/>
  <c r="Y128" i="19" s="1"/>
  <c r="Z128" i="19" s="1"/>
  <c r="AA128" i="19" s="1"/>
  <c r="AB128" i="19" s="1"/>
  <c r="AC128" i="19" s="1"/>
  <c r="AD128" i="19" s="1"/>
  <c r="AE128" i="19" s="1"/>
  <c r="U74" i="19"/>
  <c r="T73" i="19"/>
  <c r="T23" i="19" s="1"/>
  <c r="U78" i="19"/>
  <c r="T77" i="19"/>
  <c r="T8" i="19" s="1"/>
  <c r="T129" i="19"/>
  <c r="U129" i="19" s="1"/>
  <c r="V129" i="19" s="1"/>
  <c r="W129" i="19" s="1"/>
  <c r="X129" i="19" s="1"/>
  <c r="Y129" i="19" s="1"/>
  <c r="Z129" i="19" s="1"/>
  <c r="AA129" i="19" s="1"/>
  <c r="AB129" i="19" s="1"/>
  <c r="AC129" i="19" s="1"/>
  <c r="AD129" i="19" s="1"/>
  <c r="AE129" i="19" s="1"/>
  <c r="T34" i="20"/>
  <c r="U65" i="19"/>
  <c r="T64" i="19"/>
  <c r="T168" i="19" s="1"/>
  <c r="U76" i="19"/>
  <c r="T75" i="19"/>
  <c r="T28" i="19" s="1"/>
  <c r="CC10" i="10"/>
  <c r="CC109" i="10"/>
  <c r="CB10" i="10"/>
  <c r="CB109" i="10"/>
  <c r="CD97" i="10"/>
  <c r="CF13" i="10"/>
  <c r="CB100" i="10"/>
  <c r="CK100" i="10"/>
  <c r="S127" i="19"/>
  <c r="R141" i="19"/>
  <c r="CE97" i="10"/>
  <c r="R54" i="19"/>
  <c r="R40" i="20"/>
  <c r="R60" i="20"/>
  <c r="S27" i="20" l="1"/>
  <c r="S34" i="20"/>
  <c r="S54" i="19" s="1"/>
  <c r="T40" i="20"/>
  <c r="T54" i="19"/>
  <c r="T60" i="20"/>
  <c r="T27" i="20"/>
  <c r="T22" i="20"/>
  <c r="V76" i="19"/>
  <c r="U75" i="19"/>
  <c r="U28" i="19" s="1"/>
  <c r="V78" i="19"/>
  <c r="U77" i="19"/>
  <c r="U8" i="19" s="1"/>
  <c r="U22" i="20" s="1"/>
  <c r="V65" i="19"/>
  <c r="U64" i="19"/>
  <c r="U168" i="19" s="1"/>
  <c r="V74" i="19"/>
  <c r="U73" i="19"/>
  <c r="U23" i="19" s="1"/>
  <c r="CK13" i="10"/>
  <c r="CP100" i="10"/>
  <c r="CB97" i="10"/>
  <c r="CB13" i="10"/>
  <c r="CB112" i="10" s="1"/>
  <c r="CC100" i="10"/>
  <c r="T127" i="19"/>
  <c r="S141" i="19"/>
  <c r="R142" i="19"/>
  <c r="R106" i="19"/>
  <c r="R6" i="20"/>
  <c r="CA90" i="10" s="1"/>
  <c r="CF112" i="10"/>
  <c r="CC97" i="10"/>
  <c r="S60" i="20" l="1"/>
  <c r="S40" i="20"/>
  <c r="W78" i="19"/>
  <c r="W65" i="19"/>
  <c r="W76" i="19"/>
  <c r="W74" i="19"/>
  <c r="U27" i="20"/>
  <c r="S142" i="19"/>
  <c r="S106" i="19"/>
  <c r="S4" i="20"/>
  <c r="S6" i="20" s="1"/>
  <c r="CF90" i="10" s="1"/>
  <c r="BX90" i="10"/>
  <c r="BX91" i="10" s="1"/>
  <c r="BX104" i="10" s="1"/>
  <c r="BX114" i="10" s="1"/>
  <c r="BY90" i="10"/>
  <c r="BY91" i="10" s="1"/>
  <c r="BY104" i="10" s="1"/>
  <c r="BY114" i="10" s="1"/>
  <c r="BW90" i="10"/>
  <c r="BW91" i="10" s="1"/>
  <c r="BW104" i="10" s="1"/>
  <c r="BW114" i="10" s="1"/>
  <c r="T141" i="19"/>
  <c r="U127" i="19"/>
  <c r="CC13" i="10"/>
  <c r="CD100" i="10"/>
  <c r="CK112" i="10"/>
  <c r="S103" i="19"/>
  <c r="CP13" i="10"/>
  <c r="H46" i="64"/>
  <c r="H45" i="64" s="1"/>
  <c r="H47" i="64" s="1"/>
  <c r="X74" i="19" l="1"/>
  <c r="X65" i="19"/>
  <c r="X76" i="19"/>
  <c r="X78" i="19"/>
  <c r="I46" i="64"/>
  <c r="I45" i="64" s="1"/>
  <c r="I47" i="64" s="1"/>
  <c r="T106" i="19"/>
  <c r="T142" i="19"/>
  <c r="T4" i="20"/>
  <c r="T6" i="20" s="1"/>
  <c r="CK90" i="10" s="1"/>
  <c r="CB90" i="10"/>
  <c r="CC90" i="10"/>
  <c r="CD90" i="10"/>
  <c r="S108" i="19"/>
  <c r="S109" i="19"/>
  <c r="CE100" i="10"/>
  <c r="CE13" i="10" s="1"/>
  <c r="CE112" i="10" s="1"/>
  <c r="CD13" i="10"/>
  <c r="CD112" i="10" s="1"/>
  <c r="BZ90" i="10"/>
  <c r="V127" i="19"/>
  <c r="U141" i="19"/>
  <c r="CP112" i="10"/>
  <c r="R169" i="19"/>
  <c r="R89" i="19"/>
  <c r="CC112" i="10"/>
  <c r="Y78" i="19" l="1"/>
  <c r="Y65" i="19"/>
  <c r="Y76" i="19"/>
  <c r="Y74" i="19"/>
  <c r="CE90" i="10"/>
  <c r="W127" i="19"/>
  <c r="U106" i="19"/>
  <c r="U142" i="19"/>
  <c r="U4" i="20"/>
  <c r="U6" i="20" s="1"/>
  <c r="CP90" i="10" s="1"/>
  <c r="J46" i="64"/>
  <c r="J45" i="64" s="1"/>
  <c r="J47" i="64" s="1"/>
  <c r="S12" i="19"/>
  <c r="T103" i="19"/>
  <c r="Z74" i="19" l="1"/>
  <c r="Z65" i="19"/>
  <c r="Z76" i="19"/>
  <c r="Z78" i="19"/>
  <c r="S89" i="19"/>
  <c r="S169" i="19"/>
  <c r="X127" i="19"/>
  <c r="T109" i="19"/>
  <c r="T108" i="19"/>
  <c r="K46" i="64"/>
  <c r="K45" i="64" s="1"/>
  <c r="K47" i="64" s="1"/>
  <c r="AA78" i="19" l="1"/>
  <c r="AA65" i="19"/>
  <c r="AA76" i="19"/>
  <c r="AA74" i="19"/>
  <c r="L46" i="64"/>
  <c r="L45" i="64" s="1"/>
  <c r="L47" i="64" s="1"/>
  <c r="T12" i="19"/>
  <c r="U103" i="19"/>
  <c r="Y127" i="19"/>
  <c r="AB74" i="19" l="1"/>
  <c r="AB65" i="19"/>
  <c r="AB76" i="19"/>
  <c r="AB78" i="19"/>
  <c r="T89" i="19"/>
  <c r="T169" i="19"/>
  <c r="Z127" i="19"/>
  <c r="M46" i="64"/>
  <c r="M45" i="64" s="1"/>
  <c r="M47" i="64" s="1"/>
  <c r="U109" i="19"/>
  <c r="U108" i="19"/>
  <c r="AC65" i="19" l="1"/>
  <c r="AC78" i="19"/>
  <c r="AC76" i="19"/>
  <c r="AC74" i="19"/>
  <c r="U12" i="19"/>
  <c r="V103" i="19"/>
  <c r="AA127" i="19"/>
  <c r="N46" i="64"/>
  <c r="N45" i="64" s="1"/>
  <c r="N47" i="64" s="1"/>
  <c r="AD76" i="19" l="1"/>
  <c r="AD74" i="19"/>
  <c r="AD78" i="19"/>
  <c r="AD65" i="19"/>
  <c r="U89" i="19"/>
  <c r="U169" i="19"/>
  <c r="O46" i="64"/>
  <c r="O45" i="64" s="1"/>
  <c r="O47" i="64" s="1"/>
  <c r="AB127" i="19"/>
  <c r="AE74" i="19" l="1"/>
  <c r="AE65" i="19"/>
  <c r="AE78" i="19"/>
  <c r="AE76" i="19"/>
  <c r="AC127" i="19"/>
  <c r="P46" i="64"/>
  <c r="P45" i="64" s="1"/>
  <c r="P47" i="64" s="1"/>
  <c r="Q46" i="64" l="1"/>
  <c r="Q45" i="64" s="1"/>
  <c r="Q47" i="64" s="1"/>
  <c r="AD127" i="19"/>
  <c r="R46" i="64" l="1"/>
  <c r="R45" i="64" s="1"/>
  <c r="R47" i="64" s="1"/>
  <c r="AE127" i="19"/>
  <c r="BZ10" i="10" l="1"/>
  <c r="BZ51" i="10"/>
  <c r="BZ95" i="10"/>
  <c r="BZ110" i="10"/>
  <c r="CE110" i="10"/>
  <c r="BY159" i="8"/>
  <c r="BY158" i="8" s="1"/>
  <c r="BZ97" i="10" l="1"/>
  <c r="BY138" i="8"/>
  <c r="BZ138" i="8" s="1"/>
  <c r="BZ158" i="8"/>
  <c r="BY139" i="8"/>
  <c r="BZ139" i="8" l="1"/>
  <c r="R49" i="19" l="1"/>
  <c r="CA10" i="10"/>
  <c r="CA95" i="10"/>
  <c r="CA110" i="10"/>
  <c r="CF110" i="10"/>
  <c r="CA97" i="10" l="1"/>
  <c r="R87" i="19"/>
  <c r="BZ12" i="10" l="1"/>
  <c r="BZ111" i="10" s="1"/>
  <c r="BZ38" i="10"/>
  <c r="BZ39" i="10" s="1"/>
  <c r="CA61" i="10"/>
  <c r="CA38" i="10" s="1"/>
  <c r="CA12" i="10" l="1"/>
  <c r="CA39" i="10" s="1"/>
  <c r="BZ98" i="10"/>
  <c r="BZ20" i="10"/>
  <c r="BZ62" i="10"/>
  <c r="R96" i="20"/>
  <c r="CF61" i="10"/>
  <c r="CA20" i="10" l="1"/>
  <c r="CA91" i="10" s="1"/>
  <c r="R50" i="19"/>
  <c r="CA111" i="10"/>
  <c r="CA98" i="10"/>
  <c r="BZ28" i="10"/>
  <c r="BZ91" i="10"/>
  <c r="BZ104" i="10" s="1"/>
  <c r="BZ114" i="10" s="1"/>
  <c r="BZ102" i="10"/>
  <c r="BZ113" i="10" s="1"/>
  <c r="CE61" i="10"/>
  <c r="CF38" i="10"/>
  <c r="CK61" i="10"/>
  <c r="R143" i="19" l="1"/>
  <c r="R72" i="19"/>
  <c r="S72" i="19" s="1"/>
  <c r="T72" i="19" s="1"/>
  <c r="U72" i="19" s="1"/>
  <c r="V72" i="19" s="1"/>
  <c r="W72" i="19" s="1"/>
  <c r="X72" i="19" s="1"/>
  <c r="Y72" i="19" s="1"/>
  <c r="Z72" i="19" s="1"/>
  <c r="AA72" i="19" s="1"/>
  <c r="AB72" i="19" s="1"/>
  <c r="AC72" i="19" s="1"/>
  <c r="AD72" i="19" s="1"/>
  <c r="AE72" i="19" s="1"/>
  <c r="R68" i="19"/>
  <c r="R70" i="19"/>
  <c r="S70" i="19" s="1"/>
  <c r="T70" i="19" s="1"/>
  <c r="U70" i="19" s="1"/>
  <c r="V70" i="19" s="1"/>
  <c r="W70" i="19" s="1"/>
  <c r="X70" i="19" s="1"/>
  <c r="Y70" i="19" s="1"/>
  <c r="Z70" i="19" s="1"/>
  <c r="AA70" i="19" s="1"/>
  <c r="AB70" i="19" s="1"/>
  <c r="AC70" i="19" s="1"/>
  <c r="AD70" i="19" s="1"/>
  <c r="AE70" i="19" s="1"/>
  <c r="R161" i="19"/>
  <c r="CA28" i="10"/>
  <c r="R144" i="19"/>
  <c r="CA102" i="10"/>
  <c r="CB98" i="10"/>
  <c r="CF12" i="10"/>
  <c r="CF39" i="10" s="1"/>
  <c r="CK98" i="10"/>
  <c r="R174" i="19"/>
  <c r="S96" i="20"/>
  <c r="CF40" i="10"/>
  <c r="S89" i="20" s="1"/>
  <c r="R94" i="19"/>
  <c r="CA104" i="10"/>
  <c r="CA114" i="10" s="1"/>
  <c r="CE38" i="10"/>
  <c r="R26" i="19"/>
  <c r="R33" i="19" s="1"/>
  <c r="CK38" i="10"/>
  <c r="CP61" i="10"/>
  <c r="CA113" i="10" l="1"/>
  <c r="CK12" i="10"/>
  <c r="CK39" i="10" s="1"/>
  <c r="CP98" i="10"/>
  <c r="S50" i="19"/>
  <c r="CF20" i="10"/>
  <c r="CF111" i="10"/>
  <c r="CC98" i="10"/>
  <c r="CB12" i="10"/>
  <c r="S14" i="20"/>
  <c r="S90" i="20"/>
  <c r="T96" i="20"/>
  <c r="CK40" i="10"/>
  <c r="T89" i="20" s="1"/>
  <c r="R93" i="19"/>
  <c r="R28" i="20"/>
  <c r="CE40" i="10"/>
  <c r="CP38" i="10"/>
  <c r="CU61" i="10"/>
  <c r="CC12" i="10" l="1"/>
  <c r="CD98" i="10"/>
  <c r="S161" i="19"/>
  <c r="S163" i="19" s="1"/>
  <c r="S164" i="19" s="1"/>
  <c r="S165" i="19" s="1"/>
  <c r="CF91" i="10"/>
  <c r="CF104" i="10" s="1"/>
  <c r="CF114" i="10" s="1"/>
  <c r="CF102" i="10"/>
  <c r="CF113" i="10" s="1"/>
  <c r="S71" i="19"/>
  <c r="S69" i="19"/>
  <c r="S21" i="19" s="1"/>
  <c r="S144" i="19"/>
  <c r="S143" i="19"/>
  <c r="H49" i="64"/>
  <c r="H48" i="64" s="1"/>
  <c r="H50" i="64" s="1"/>
  <c r="H51" i="64" s="1"/>
  <c r="CU98" i="10"/>
  <c r="CP12" i="10"/>
  <c r="CP39" i="10" s="1"/>
  <c r="CB39" i="10"/>
  <c r="CB111" i="10"/>
  <c r="CB20" i="10"/>
  <c r="T50" i="19"/>
  <c r="CK20" i="10"/>
  <c r="CK111" i="10"/>
  <c r="U96" i="20"/>
  <c r="CP40" i="10"/>
  <c r="U89" i="20" s="1"/>
  <c r="T14" i="20"/>
  <c r="T90" i="20"/>
  <c r="CU38" i="10"/>
  <c r="CZ61" i="10"/>
  <c r="T71" i="19" l="1"/>
  <c r="T144" i="19"/>
  <c r="T69" i="19"/>
  <c r="T21" i="19" s="1"/>
  <c r="T143" i="19"/>
  <c r="CB91" i="10"/>
  <c r="CB104" i="10" s="1"/>
  <c r="CB114" i="10" s="1"/>
  <c r="CB28" i="10"/>
  <c r="CB29" i="10" s="1"/>
  <c r="CB32" i="10" s="1"/>
  <c r="CB41" i="10" s="1"/>
  <c r="CB42" i="10" s="1"/>
  <c r="CB102" i="10"/>
  <c r="CB113" i="10" s="1"/>
  <c r="I49" i="64"/>
  <c r="I48" i="64" s="1"/>
  <c r="I50" i="64" s="1"/>
  <c r="I51" i="64" s="1"/>
  <c r="CZ98" i="10"/>
  <c r="T161" i="19"/>
  <c r="T163" i="19" s="1"/>
  <c r="T164" i="19" s="1"/>
  <c r="T165" i="19" s="1"/>
  <c r="CK91" i="10"/>
  <c r="CK104" i="10" s="1"/>
  <c r="CK114" i="10" s="1"/>
  <c r="CK102" i="10"/>
  <c r="CK113" i="10" s="1"/>
  <c r="S24" i="19"/>
  <c r="S174" i="19"/>
  <c r="CE98" i="10"/>
  <c r="CE12" i="10" s="1"/>
  <c r="CD12" i="10"/>
  <c r="CP111" i="10"/>
  <c r="CP20" i="10"/>
  <c r="U50" i="19"/>
  <c r="CC20" i="10"/>
  <c r="CC39" i="10"/>
  <c r="CC111" i="10"/>
  <c r="U14" i="20"/>
  <c r="U90" i="20"/>
  <c r="CZ38" i="10"/>
  <c r="DE61" i="10"/>
  <c r="V96" i="20"/>
  <c r="CU40" i="10"/>
  <c r="V89" i="20" s="1"/>
  <c r="CB105" i="10" l="1"/>
  <c r="CB46" i="10"/>
  <c r="CB34" i="10"/>
  <c r="U143" i="19"/>
  <c r="U69" i="19"/>
  <c r="U21" i="19" s="1"/>
  <c r="U144" i="19"/>
  <c r="U71" i="19"/>
  <c r="CE39" i="10"/>
  <c r="CE20" i="10"/>
  <c r="CE111" i="10"/>
  <c r="CP91" i="10"/>
  <c r="CP104" i="10" s="1"/>
  <c r="CP114" i="10" s="1"/>
  <c r="CP102" i="10"/>
  <c r="U161" i="19"/>
  <c r="U163" i="19" s="1"/>
  <c r="U164" i="19" s="1"/>
  <c r="U165" i="19" s="1"/>
  <c r="S93" i="19"/>
  <c r="S19" i="20"/>
  <c r="DE98" i="10"/>
  <c r="J49" i="64"/>
  <c r="J48" i="64" s="1"/>
  <c r="J50" i="64" s="1"/>
  <c r="J51" i="64" s="1"/>
  <c r="CC91" i="10"/>
  <c r="CC104" i="10" s="1"/>
  <c r="CC114" i="10" s="1"/>
  <c r="CC102" i="10"/>
  <c r="CC113" i="10" s="1"/>
  <c r="CC28" i="10"/>
  <c r="CC29" i="10" s="1"/>
  <c r="CC32" i="10" s="1"/>
  <c r="CC105" i="10" s="1"/>
  <c r="CD111" i="10"/>
  <c r="CD20" i="10"/>
  <c r="CD39" i="10"/>
  <c r="T24" i="19"/>
  <c r="T174" i="19"/>
  <c r="V14" i="20"/>
  <c r="V90" i="20"/>
  <c r="W96" i="20"/>
  <c r="CZ40" i="10"/>
  <c r="W89" i="20" s="1"/>
  <c r="DE38" i="10"/>
  <c r="DJ61" i="10"/>
  <c r="CC46" i="10" l="1"/>
  <c r="CC34" i="10"/>
  <c r="CC41" i="10"/>
  <c r="CC42" i="10" s="1"/>
  <c r="T93" i="19"/>
  <c r="T19" i="20"/>
  <c r="CD102" i="10"/>
  <c r="CD113" i="10" s="1"/>
  <c r="CD28" i="10"/>
  <c r="CD29" i="10" s="1"/>
  <c r="CD32" i="10" s="1"/>
  <c r="CD105" i="10" s="1"/>
  <c r="CD91" i="10"/>
  <c r="CD104" i="10" s="1"/>
  <c r="CD114" i="10" s="1"/>
  <c r="CP113" i="10"/>
  <c r="CE102" i="10"/>
  <c r="CE113" i="10" s="1"/>
  <c r="CE91" i="10"/>
  <c r="CE104" i="10" s="1"/>
  <c r="CE114" i="10" s="1"/>
  <c r="K49" i="64"/>
  <c r="K48" i="64" s="1"/>
  <c r="K50" i="64" s="1"/>
  <c r="K51" i="64" s="1"/>
  <c r="DJ98" i="10"/>
  <c r="U174" i="19"/>
  <c r="U24" i="19"/>
  <c r="W14" i="20"/>
  <c r="W90" i="20"/>
  <c r="X96" i="20"/>
  <c r="DE40" i="10"/>
  <c r="X89" i="20" s="1"/>
  <c r="DJ38" i="10"/>
  <c r="DO61" i="10"/>
  <c r="CD46" i="10" l="1"/>
  <c r="CD41" i="10"/>
  <c r="CD42" i="10" s="1"/>
  <c r="CD34" i="10"/>
  <c r="U19" i="20"/>
  <c r="U93" i="19"/>
  <c r="DO98" i="10"/>
  <c r="L49" i="64"/>
  <c r="L48" i="64" s="1"/>
  <c r="L50" i="64" s="1"/>
  <c r="L51" i="64" s="1"/>
  <c r="X14" i="20"/>
  <c r="X90" i="20"/>
  <c r="DO38" i="10"/>
  <c r="DT61" i="10"/>
  <c r="Y96" i="20"/>
  <c r="DJ40" i="10"/>
  <c r="Y89" i="20" s="1"/>
  <c r="M49" i="64" l="1"/>
  <c r="M48" i="64" s="1"/>
  <c r="M50" i="64" s="1"/>
  <c r="M51" i="64" s="1"/>
  <c r="DT98" i="10"/>
  <c r="Z96" i="20"/>
  <c r="DO40" i="10"/>
  <c r="Z89" i="20" s="1"/>
  <c r="Y14" i="20"/>
  <c r="Y90" i="20"/>
  <c r="DT38" i="10"/>
  <c r="DY61" i="10"/>
  <c r="DY98" i="10" l="1"/>
  <c r="N49" i="64"/>
  <c r="N48" i="64" s="1"/>
  <c r="N50" i="64" s="1"/>
  <c r="N51" i="64" s="1"/>
  <c r="Z14" i="20"/>
  <c r="Z90" i="20"/>
  <c r="DY38" i="10"/>
  <c r="ED61" i="10"/>
  <c r="AA96" i="20"/>
  <c r="DT40" i="10"/>
  <c r="AA89" i="20" s="1"/>
  <c r="O49" i="64" l="1"/>
  <c r="O48" i="64" s="1"/>
  <c r="O50" i="64" s="1"/>
  <c r="O51" i="64" s="1"/>
  <c r="ED98" i="10"/>
  <c r="AB96" i="20"/>
  <c r="DY40" i="10"/>
  <c r="AB89" i="20" s="1"/>
  <c r="AA14" i="20"/>
  <c r="AA90" i="20"/>
  <c r="ED38" i="10"/>
  <c r="EI61" i="10"/>
  <c r="P49" i="64" l="1"/>
  <c r="P48" i="64" s="1"/>
  <c r="P50" i="64" s="1"/>
  <c r="P51" i="64" s="1"/>
  <c r="EI98" i="10"/>
  <c r="AB14" i="20"/>
  <c r="AB90" i="20"/>
  <c r="AC96" i="20"/>
  <c r="ED40" i="10"/>
  <c r="AC89" i="20" s="1"/>
  <c r="EI38" i="10"/>
  <c r="EN61" i="10"/>
  <c r="Q49" i="64" l="1"/>
  <c r="Q48" i="64" s="1"/>
  <c r="Q50" i="64" s="1"/>
  <c r="Q51" i="64" s="1"/>
  <c r="EN98" i="10"/>
  <c r="AC14" i="20"/>
  <c r="AC90" i="20"/>
  <c r="EN38" i="10"/>
  <c r="AD96" i="20"/>
  <c r="EI40" i="10"/>
  <c r="AD89" i="20" s="1"/>
  <c r="R49" i="64" l="1"/>
  <c r="R48" i="64" s="1"/>
  <c r="R50" i="64" s="1"/>
  <c r="R51" i="64" s="1"/>
  <c r="AE96" i="20"/>
  <c r="EN40" i="10"/>
  <c r="AE89" i="20" s="1"/>
  <c r="AD14" i="20"/>
  <c r="AD90" i="20"/>
  <c r="AE14" i="20" l="1"/>
  <c r="AE90" i="20"/>
  <c r="CA63" i="10" l="1"/>
  <c r="CA80" i="10"/>
  <c r="CA81" i="10" s="1"/>
  <c r="CF81" i="10" s="1"/>
  <c r="CF80" i="10" s="1"/>
  <c r="CB81" i="10" l="1"/>
  <c r="CK81" i="10"/>
  <c r="BZ29" i="10"/>
  <c r="CA29" i="10" l="1"/>
  <c r="BZ32" i="10"/>
  <c r="BZ30" i="10"/>
  <c r="BZ40" i="10" s="1"/>
  <c r="CK80" i="10"/>
  <c r="CP81" i="10"/>
  <c r="CC81" i="10"/>
  <c r="CB80" i="10"/>
  <c r="CB82" i="10" s="1"/>
  <c r="BZ34" i="10" l="1"/>
  <c r="BZ41" i="10"/>
  <c r="BZ42" i="10" s="1"/>
  <c r="BZ46" i="10"/>
  <c r="BZ82" i="10" s="1"/>
  <c r="BZ84" i="10" s="1"/>
  <c r="BZ105" i="10"/>
  <c r="CB88" i="10"/>
  <c r="CB84" i="10"/>
  <c r="CC80" i="10"/>
  <c r="CC82" i="10" s="1"/>
  <c r="CD81" i="10"/>
  <c r="CP80" i="10"/>
  <c r="CU81" i="10"/>
  <c r="R51" i="19"/>
  <c r="CA30" i="10"/>
  <c r="CA32" i="10"/>
  <c r="R162" i="19" l="1"/>
  <c r="R163" i="19" s="1"/>
  <c r="R164" i="19" s="1"/>
  <c r="R165" i="19" s="1"/>
  <c r="R159" i="19" s="1"/>
  <c r="R79" i="20"/>
  <c r="R81" i="20" s="1"/>
  <c r="R90" i="20" s="1"/>
  <c r="CA40" i="10"/>
  <c r="CD80" i="10"/>
  <c r="CD82" i="10" s="1"/>
  <c r="CE81" i="10"/>
  <c r="CE80" i="10" s="1"/>
  <c r="CC84" i="10"/>
  <c r="CC88" i="10"/>
  <c r="CZ81" i="10"/>
  <c r="CU80" i="10"/>
  <c r="BZ88" i="10"/>
  <c r="R52" i="19"/>
  <c r="CA46" i="10"/>
  <c r="CA82" i="10" s="1"/>
  <c r="CA105" i="10"/>
  <c r="CA34" i="10"/>
  <c r="R88" i="19" l="1"/>
  <c r="DE81" i="10"/>
  <c r="CZ80" i="10"/>
  <c r="CD84" i="10"/>
  <c r="CD88" i="10"/>
  <c r="CA88" i="10"/>
  <c r="CA84" i="10"/>
  <c r="R95" i="20"/>
  <c r="R97" i="20" s="1"/>
  <c r="R98" i="20" s="1"/>
  <c r="CA41" i="10"/>
  <c r="CA42" i="10" s="1"/>
  <c r="R29" i="20" l="1"/>
  <c r="DE80" i="10"/>
  <c r="DJ81" i="10"/>
  <c r="R49" i="20"/>
  <c r="R61" i="20"/>
  <c r="DJ80" i="10" l="1"/>
  <c r="DO81" i="10"/>
  <c r="R53" i="19"/>
  <c r="R59" i="20"/>
  <c r="R62" i="20" s="1"/>
  <c r="R52" i="20"/>
  <c r="R43" i="19"/>
  <c r="S40" i="19"/>
  <c r="R66" i="20" l="1"/>
  <c r="G6" i="22"/>
  <c r="T40" i="19"/>
  <c r="R44" i="19"/>
  <c r="R104" i="20"/>
  <c r="R95" i="19"/>
  <c r="R85" i="19"/>
  <c r="DT81" i="10"/>
  <c r="DO80" i="10"/>
  <c r="R96" i="19"/>
  <c r="R98" i="19"/>
  <c r="R97" i="19"/>
  <c r="R54" i="20"/>
  <c r="S53" i="20" s="1"/>
  <c r="U40" i="19" l="1"/>
  <c r="G11" i="22"/>
  <c r="G8" i="22"/>
  <c r="R10" i="19"/>
  <c r="R83" i="19"/>
  <c r="R55" i="20"/>
  <c r="R56" i="20" s="1"/>
  <c r="R99" i="19"/>
  <c r="CF22" i="10"/>
  <c r="DY81" i="10"/>
  <c r="DT80" i="10"/>
  <c r="DY80" i="10" l="1"/>
  <c r="ED81" i="10"/>
  <c r="S94" i="19"/>
  <c r="CF26" i="10"/>
  <c r="CE22" i="10"/>
  <c r="CE26" i="10" s="1"/>
  <c r="CE28" i="10" s="1"/>
  <c r="V40" i="19"/>
  <c r="R17" i="19"/>
  <c r="R82" i="19"/>
  <c r="CF28" i="10" l="1"/>
  <c r="W40" i="19"/>
  <c r="ED80" i="10"/>
  <c r="EI81" i="10"/>
  <c r="R45" i="19"/>
  <c r="R90" i="19"/>
  <c r="R91" i="19"/>
  <c r="R86" i="19"/>
  <c r="CE29" i="10"/>
  <c r="CE32" i="10" s="1"/>
  <c r="X40" i="19" l="1"/>
  <c r="CE105" i="10"/>
  <c r="CE41" i="10"/>
  <c r="CE42" i="10" s="1"/>
  <c r="CE46" i="10"/>
  <c r="CE82" i="10" s="1"/>
  <c r="CE34" i="10"/>
  <c r="EN81" i="10"/>
  <c r="EN80" i="10" s="1"/>
  <c r="EI80" i="10"/>
  <c r="CF29" i="10"/>
  <c r="S51" i="19" l="1"/>
  <c r="Y40" i="19"/>
  <c r="CF32" i="10"/>
  <c r="CE88" i="10"/>
  <c r="CE84" i="10"/>
  <c r="S52" i="19" l="1"/>
  <c r="CF34" i="10"/>
  <c r="CF105" i="10"/>
  <c r="CF41" i="10"/>
  <c r="CF42" i="10" s="1"/>
  <c r="CF46" i="10"/>
  <c r="CF82" i="10" s="1"/>
  <c r="Z40" i="19"/>
  <c r="S3" i="20" l="1"/>
  <c r="CF88" i="10"/>
  <c r="CF84" i="10"/>
  <c r="S88" i="19"/>
  <c r="AA40" i="19"/>
  <c r="S95" i="20"/>
  <c r="S97" i="20" s="1"/>
  <c r="S98" i="20" s="1"/>
  <c r="AB40" i="19" l="1"/>
  <c r="S41" i="19"/>
  <c r="S43" i="19" l="1"/>
  <c r="AC40" i="19"/>
  <c r="AD40" i="19" l="1"/>
  <c r="S95" i="19"/>
  <c r="S104" i="20"/>
  <c r="S85" i="19"/>
  <c r="AE40" i="19" l="1"/>
  <c r="R56" i="19" l="1"/>
  <c r="S56" i="19" s="1"/>
  <c r="R59" i="19"/>
  <c r="R63" i="19"/>
  <c r="R166" i="19"/>
  <c r="S62" i="19" l="1"/>
  <c r="T56" i="19"/>
  <c r="U56" i="19" l="1"/>
  <c r="T62" i="19"/>
  <c r="S59" i="19"/>
  <c r="S5" i="19"/>
  <c r="S20" i="20" s="1"/>
  <c r="S63" i="19"/>
  <c r="S166" i="19"/>
  <c r="T5" i="19" l="1"/>
  <c r="T20" i="20" s="1"/>
  <c r="T63" i="19"/>
  <c r="T59" i="19"/>
  <c r="T166" i="19"/>
  <c r="V56" i="19"/>
  <c r="U62" i="19"/>
  <c r="W56" i="19" l="1"/>
  <c r="U5" i="19"/>
  <c r="U20" i="20" s="1"/>
  <c r="U63" i="19"/>
  <c r="U59" i="19"/>
  <c r="U166" i="19"/>
  <c r="X56" i="19" l="1"/>
  <c r="Y56" i="19" l="1"/>
  <c r="Z56" i="19" l="1"/>
  <c r="AA56" i="19" l="1"/>
  <c r="AB56" i="19" l="1"/>
  <c r="AC56" i="19" l="1"/>
  <c r="AD56" i="19" l="1"/>
  <c r="AE56" i="19" l="1"/>
  <c r="R58" i="19" l="1"/>
  <c r="S58" i="19" s="1"/>
  <c r="R61" i="19"/>
  <c r="R173" i="19"/>
  <c r="R176" i="19"/>
  <c r="S67" i="19" l="1"/>
  <c r="T58" i="19"/>
  <c r="U58" i="19" l="1"/>
  <c r="T67" i="19"/>
  <c r="S20" i="19"/>
  <c r="S61" i="19"/>
  <c r="S68" i="19"/>
  <c r="S173" i="19"/>
  <c r="S176" i="19" s="1"/>
  <c r="S26" i="19" l="1"/>
  <c r="S33" i="19" s="1"/>
  <c r="S44" i="19" s="1"/>
  <c r="S24" i="20"/>
  <c r="T20" i="19"/>
  <c r="T61" i="19"/>
  <c r="T68" i="19"/>
  <c r="T173" i="19"/>
  <c r="T176" i="19" s="1"/>
  <c r="V58" i="19"/>
  <c r="U67" i="19"/>
  <c r="U61" i="19" l="1"/>
  <c r="U68" i="19"/>
  <c r="U20" i="19"/>
  <c r="U173" i="19"/>
  <c r="U176" i="19" s="1"/>
  <c r="T26" i="19"/>
  <c r="T33" i="19" s="1"/>
  <c r="T24" i="20"/>
  <c r="W58" i="19"/>
  <c r="U26" i="19" l="1"/>
  <c r="U33" i="19" s="1"/>
  <c r="U24" i="20"/>
  <c r="X58" i="19"/>
  <c r="Y58" i="19" l="1"/>
  <c r="Z58" i="19" l="1"/>
  <c r="AA58" i="19" l="1"/>
  <c r="AB58" i="19" l="1"/>
  <c r="AC58" i="19" l="1"/>
  <c r="AD58" i="19" l="1"/>
  <c r="AE58" i="19" l="1"/>
  <c r="R57" i="19" l="1"/>
  <c r="S57" i="19"/>
  <c r="R60" i="19"/>
  <c r="R80" i="19"/>
  <c r="R167" i="19"/>
  <c r="R172" i="19"/>
  <c r="R177" i="19" s="1"/>
  <c r="S178" i="19" s="1"/>
  <c r="S159" i="19" s="1"/>
  <c r="T57" i="19" l="1"/>
  <c r="S79" i="19"/>
  <c r="T79" i="19" l="1"/>
  <c r="U57" i="19"/>
  <c r="S6" i="19"/>
  <c r="S21" i="20" s="1"/>
  <c r="S60" i="19"/>
  <c r="S80" i="19"/>
  <c r="S167" i="19"/>
  <c r="S172" i="19" s="1"/>
  <c r="S177" i="19" s="1"/>
  <c r="T178" i="19" s="1"/>
  <c r="T159" i="19" s="1"/>
  <c r="S28" i="20" l="1"/>
  <c r="S29" i="20"/>
  <c r="U79" i="19"/>
  <c r="V57" i="19"/>
  <c r="T6" i="19"/>
  <c r="T21" i="20" s="1"/>
  <c r="T60" i="19"/>
  <c r="T80" i="19"/>
  <c r="T167" i="19"/>
  <c r="T172" i="19" s="1"/>
  <c r="T177" i="19" s="1"/>
  <c r="U178" i="19" s="1"/>
  <c r="U159" i="19" s="1"/>
  <c r="S53" i="19" l="1"/>
  <c r="S52" i="20"/>
  <c r="S59" i="20"/>
  <c r="S62" i="20" s="1"/>
  <c r="W57" i="19"/>
  <c r="U60" i="19"/>
  <c r="U167" i="19"/>
  <c r="U172" i="19" s="1"/>
  <c r="U177" i="19" s="1"/>
  <c r="U6" i="19"/>
  <c r="U21" i="20" s="1"/>
  <c r="U80" i="19"/>
  <c r="T28" i="20"/>
  <c r="U28" i="20" l="1"/>
  <c r="S66" i="20"/>
  <c r="H6" i="22"/>
  <c r="S3" i="19"/>
  <c r="S54" i="20"/>
  <c r="T53" i="20" s="1"/>
  <c r="X57" i="19"/>
  <c r="S97" i="19"/>
  <c r="S96" i="19"/>
  <c r="S98" i="19"/>
  <c r="S10" i="19" l="1"/>
  <c r="S83" i="19"/>
  <c r="S55" i="20"/>
  <c r="S56" i="20" s="1"/>
  <c r="C14" i="22"/>
  <c r="S99" i="19"/>
  <c r="CK22" i="10"/>
  <c r="H8" i="22"/>
  <c r="H11" i="22"/>
  <c r="Y57" i="19"/>
  <c r="Z57" i="19" l="1"/>
  <c r="T94" i="19"/>
  <c r="CK26" i="10"/>
  <c r="S66" i="19"/>
  <c r="S82" i="19"/>
  <c r="S17" i="19"/>
  <c r="CK28" i="10" l="1"/>
  <c r="S45" i="19"/>
  <c r="S86" i="19"/>
  <c r="S90" i="19"/>
  <c r="S91" i="19"/>
  <c r="AA57" i="19"/>
  <c r="AB57" i="19" l="1"/>
  <c r="CK29" i="10"/>
  <c r="CK32" i="10" s="1"/>
  <c r="T51" i="19" l="1"/>
  <c r="T52" i="19"/>
  <c r="CK41" i="10"/>
  <c r="CK42" i="10" s="1"/>
  <c r="CK34" i="10"/>
  <c r="CK46" i="10"/>
  <c r="CK82" i="10" s="1"/>
  <c r="CK105" i="10"/>
  <c r="AC57" i="19"/>
  <c r="T3" i="20" l="1"/>
  <c r="CK84" i="10"/>
  <c r="CK88" i="10"/>
  <c r="T88" i="19"/>
  <c r="T95" i="20"/>
  <c r="T97" i="20" s="1"/>
  <c r="T98" i="20" s="1"/>
  <c r="AD57" i="19"/>
  <c r="AE57" i="19" l="1"/>
  <c r="T41" i="19"/>
  <c r="T29" i="20"/>
  <c r="T43" i="19" l="1"/>
  <c r="T53" i="19"/>
  <c r="T52" i="20"/>
  <c r="T59" i="20"/>
  <c r="T62" i="20" s="1"/>
  <c r="T54" i="20" l="1"/>
  <c r="U53" i="20" s="1"/>
  <c r="T3" i="19"/>
  <c r="T96" i="19"/>
  <c r="T97" i="19"/>
  <c r="T98" i="19"/>
  <c r="T66" i="20"/>
  <c r="I6" i="22"/>
  <c r="T44" i="19"/>
  <c r="T95" i="19"/>
  <c r="T104" i="20"/>
  <c r="T85" i="19"/>
  <c r="I8" i="22" l="1"/>
  <c r="I11" i="22"/>
  <c r="T83" i="19"/>
  <c r="T99" i="19"/>
  <c r="T10" i="19"/>
  <c r="T55" i="20"/>
  <c r="T56" i="20" s="1"/>
  <c r="CP22" i="10"/>
  <c r="T17" i="19" l="1"/>
  <c r="T82" i="19"/>
  <c r="T66" i="19"/>
  <c r="U94" i="19"/>
  <c r="CP26" i="10"/>
  <c r="CP28" i="10" l="1"/>
  <c r="T45" i="19"/>
  <c r="T90" i="19"/>
  <c r="T91" i="19"/>
  <c r="T86" i="19"/>
  <c r="CP29" i="10" l="1"/>
  <c r="CP32" i="10" s="1"/>
  <c r="U52" i="19" l="1"/>
  <c r="CP34" i="10"/>
  <c r="CP41" i="10"/>
  <c r="CP42" i="10" s="1"/>
  <c r="CP46" i="10"/>
  <c r="CP82" i="10" s="1"/>
  <c r="CP105" i="10"/>
  <c r="U51" i="19"/>
  <c r="U88" i="19" l="1"/>
  <c r="U3" i="20"/>
  <c r="CP84" i="10"/>
  <c r="CP88" i="10"/>
  <c r="U95" i="20"/>
  <c r="U97" i="20" s="1"/>
  <c r="U98" i="20" s="1"/>
  <c r="U29" i="20" l="1"/>
  <c r="U41" i="19"/>
  <c r="U43" i="19" l="1"/>
  <c r="U52" i="20"/>
  <c r="U59" i="20"/>
  <c r="U62" i="20" s="1"/>
  <c r="U53" i="19"/>
  <c r="U95" i="19" l="1"/>
  <c r="U44" i="19"/>
  <c r="U104" i="20"/>
  <c r="U85" i="19"/>
  <c r="U66" i="20"/>
  <c r="J6" i="22"/>
  <c r="U96" i="19"/>
  <c r="U97" i="19"/>
  <c r="U98" i="19"/>
  <c r="U54" i="20"/>
  <c r="V53" i="20" s="1"/>
  <c r="U3" i="19"/>
  <c r="J8" i="22" l="1"/>
  <c r="J11" i="22"/>
  <c r="U10" i="19"/>
  <c r="U83" i="19"/>
  <c r="U99" i="19"/>
  <c r="CU22" i="10"/>
  <c r="U55" i="20"/>
  <c r="U56" i="20" s="1"/>
  <c r="CU26" i="10" l="1"/>
  <c r="U66" i="19"/>
  <c r="U82" i="19"/>
  <c r="U17" i="19"/>
  <c r="U91" i="19" l="1"/>
  <c r="U45" i="19"/>
  <c r="U90" i="19"/>
  <c r="U86" i="19"/>
  <c r="Q87" i="93" l="1"/>
  <c r="Q90" i="93" s="1"/>
  <c r="Q97" i="93" l="1"/>
  <c r="G23" i="80"/>
  <c r="H29" i="80" s="1"/>
  <c r="Q189" i="93"/>
  <c r="R87" i="93"/>
  <c r="G21" i="80" l="1"/>
  <c r="R90" i="93"/>
  <c r="S87" i="93"/>
  <c r="G31" i="80" l="1"/>
  <c r="CT44" i="8" s="1"/>
  <c r="H23" i="80"/>
  <c r="I29" i="80" s="1"/>
  <c r="R97" i="93"/>
  <c r="S90" i="93"/>
  <c r="R189" i="93"/>
  <c r="T87" i="93"/>
  <c r="T90" i="93" s="1"/>
  <c r="CT153" i="8" l="1"/>
  <c r="CT159" i="8" s="1"/>
  <c r="CU9" i="10" s="1"/>
  <c r="CT61" i="8"/>
  <c r="CT64" i="8" s="1"/>
  <c r="CT106" i="8"/>
  <c r="I23" i="80"/>
  <c r="J29" i="80" s="1"/>
  <c r="S97" i="93"/>
  <c r="J23" i="80"/>
  <c r="K29" i="80" s="1"/>
  <c r="T97" i="93"/>
  <c r="H21" i="80"/>
  <c r="S197" i="93"/>
  <c r="S189" i="93"/>
  <c r="U87" i="93"/>
  <c r="U90" i="93" s="1"/>
  <c r="T189" i="93"/>
  <c r="T197" i="93"/>
  <c r="CU3" i="10" l="1"/>
  <c r="CT116" i="8"/>
  <c r="CT139" i="8"/>
  <c r="H31" i="80"/>
  <c r="CY44" i="8" s="1"/>
  <c r="V87" i="93"/>
  <c r="V90" i="93" s="1"/>
  <c r="V97" i="93" s="1"/>
  <c r="J21" i="80"/>
  <c r="U97" i="93"/>
  <c r="K23" i="80"/>
  <c r="L29" i="80" s="1"/>
  <c r="CT119" i="8"/>
  <c r="V49" i="19"/>
  <c r="CU110" i="10"/>
  <c r="I21" i="80"/>
  <c r="W87" i="93"/>
  <c r="W90" i="93" s="1"/>
  <c r="CU95" i="10" l="1"/>
  <c r="CU6" i="10"/>
  <c r="CU108" i="10"/>
  <c r="CY61" i="8"/>
  <c r="CY64" i="8" s="1"/>
  <c r="CY119" i="8" s="1"/>
  <c r="CY153" i="8"/>
  <c r="CY159" i="8" s="1"/>
  <c r="CZ9" i="10" s="1"/>
  <c r="CY106" i="8"/>
  <c r="I31" i="80"/>
  <c r="DD44" i="8" s="1"/>
  <c r="J31" i="80"/>
  <c r="DI44" i="8" s="1"/>
  <c r="L23" i="80"/>
  <c r="U197" i="93"/>
  <c r="V67" i="19"/>
  <c r="V61" i="19" s="1"/>
  <c r="V79" i="19"/>
  <c r="M23" i="80"/>
  <c r="N29" i="80" s="1"/>
  <c r="W97" i="93"/>
  <c r="K21" i="80"/>
  <c r="U189" i="93"/>
  <c r="V189" i="93"/>
  <c r="V197" i="93"/>
  <c r="X87" i="93"/>
  <c r="X90" i="93" s="1"/>
  <c r="L21" i="80" l="1"/>
  <c r="M29" i="80"/>
  <c r="V48" i="19"/>
  <c r="V160" i="19" s="1"/>
  <c r="V178" i="19" s="1"/>
  <c r="CU10" i="10"/>
  <c r="CU97" i="10" s="1"/>
  <c r="CU13" i="10"/>
  <c r="CU109" i="10"/>
  <c r="CU12" i="10"/>
  <c r="CY139" i="8"/>
  <c r="CZ3" i="10"/>
  <c r="CZ6" i="10" s="1"/>
  <c r="CY116" i="8"/>
  <c r="DD61" i="8"/>
  <c r="DD116" i="8" s="1"/>
  <c r="DD106" i="8"/>
  <c r="DD153" i="8"/>
  <c r="DD159" i="8" s="1"/>
  <c r="DE9" i="10" s="1"/>
  <c r="V80" i="19"/>
  <c r="V167" i="19"/>
  <c r="V6" i="19"/>
  <c r="V21" i="20" s="1"/>
  <c r="DI153" i="8"/>
  <c r="DI159" i="8" s="1"/>
  <c r="DI106" i="8"/>
  <c r="DI61" i="8"/>
  <c r="M21" i="80"/>
  <c r="W49" i="19"/>
  <c r="CZ110" i="10"/>
  <c r="X97" i="93"/>
  <c r="N23" i="80"/>
  <c r="O29" i="80" s="1"/>
  <c r="V20" i="19"/>
  <c r="V173" i="19"/>
  <c r="Y87" i="93"/>
  <c r="Y90" i="93" s="1"/>
  <c r="W189" i="93"/>
  <c r="W197" i="93"/>
  <c r="V60" i="19" l="1"/>
  <c r="V77" i="19"/>
  <c r="V8" i="19" s="1"/>
  <c r="V22" i="20" s="1"/>
  <c r="V104" i="19"/>
  <c r="V131" i="19" s="1"/>
  <c r="V75" i="19"/>
  <c r="V28" i="19" s="1"/>
  <c r="V73" i="19"/>
  <c r="V23" i="19" s="1"/>
  <c r="V87" i="19"/>
  <c r="V62" i="19"/>
  <c r="V59" i="19" s="1"/>
  <c r="V109" i="19"/>
  <c r="V64" i="19"/>
  <c r="V168" i="19" s="1"/>
  <c r="CU112" i="10"/>
  <c r="V50" i="19"/>
  <c r="V71" i="19" s="1"/>
  <c r="CU111" i="10"/>
  <c r="CU39" i="10"/>
  <c r="CU20" i="10"/>
  <c r="CU28" i="10" s="1"/>
  <c r="CZ95" i="10"/>
  <c r="CZ108" i="10"/>
  <c r="DD139" i="8"/>
  <c r="DD64" i="8"/>
  <c r="DD119" i="8" s="1"/>
  <c r="DE3" i="10"/>
  <c r="DE95" i="10" s="1"/>
  <c r="DE110" i="10"/>
  <c r="X49" i="19"/>
  <c r="N21" i="80"/>
  <c r="Y97" i="93"/>
  <c r="O23" i="80"/>
  <c r="P29" i="80" s="1"/>
  <c r="CZ109" i="10"/>
  <c r="W48" i="19"/>
  <c r="W87" i="19" s="1"/>
  <c r="CZ10" i="10"/>
  <c r="CZ13" i="10"/>
  <c r="CZ12" i="10"/>
  <c r="DJ3" i="10"/>
  <c r="DI116" i="8"/>
  <c r="DI64" i="8"/>
  <c r="V166" i="19"/>
  <c r="DI139" i="8"/>
  <c r="DJ9" i="10"/>
  <c r="W67" i="19"/>
  <c r="W61" i="19" s="1"/>
  <c r="W79" i="19"/>
  <c r="Z87" i="93"/>
  <c r="Z90" i="93" s="1"/>
  <c r="X189" i="93"/>
  <c r="X197" i="93"/>
  <c r="V34" i="20" l="1"/>
  <c r="V40" i="20" s="1"/>
  <c r="V27" i="20"/>
  <c r="V63" i="19"/>
  <c r="V5" i="19"/>
  <c r="V20" i="20" s="1"/>
  <c r="V161" i="19"/>
  <c r="V163" i="19" s="1"/>
  <c r="V164" i="19" s="1"/>
  <c r="V165" i="19" s="1"/>
  <c r="V159" i="19" s="1"/>
  <c r="V68" i="19"/>
  <c r="V69" i="19"/>
  <c r="V21" i="19" s="1"/>
  <c r="V24" i="20" s="1"/>
  <c r="CU102" i="10"/>
  <c r="CU113" i="10" s="1"/>
  <c r="V144" i="19"/>
  <c r="DE6" i="10"/>
  <c r="DE10" i="10" s="1"/>
  <c r="DI119" i="8"/>
  <c r="DE108" i="10"/>
  <c r="V174" i="19"/>
  <c r="V176" i="19" s="1"/>
  <c r="V24" i="19"/>
  <c r="CZ39" i="10"/>
  <c r="CZ111" i="10"/>
  <c r="W50" i="19"/>
  <c r="W68" i="19" s="1"/>
  <c r="W104" i="19"/>
  <c r="W160" i="19"/>
  <c r="W64" i="19"/>
  <c r="W77" i="19"/>
  <c r="W8" i="19" s="1"/>
  <c r="W22" i="20" s="1"/>
  <c r="W73" i="19"/>
  <c r="W23" i="19" s="1"/>
  <c r="W75" i="19"/>
  <c r="W28" i="19" s="1"/>
  <c r="W62" i="19"/>
  <c r="W60" i="19"/>
  <c r="O21" i="80"/>
  <c r="CZ112" i="10"/>
  <c r="W80" i="19"/>
  <c r="W167" i="19"/>
  <c r="W6" i="19"/>
  <c r="W21" i="20" s="1"/>
  <c r="P23" i="80"/>
  <c r="P21" i="80" s="1"/>
  <c r="Z97" i="93"/>
  <c r="W20" i="19"/>
  <c r="W173" i="19"/>
  <c r="Y49" i="19"/>
  <c r="DJ110" i="10"/>
  <c r="DJ95" i="10"/>
  <c r="CZ97" i="10"/>
  <c r="CZ20" i="10"/>
  <c r="CU29" i="10"/>
  <c r="X67" i="19"/>
  <c r="X61" i="19" s="1"/>
  <c r="X79" i="19"/>
  <c r="W131" i="19"/>
  <c r="V141" i="19"/>
  <c r="DJ6" i="10"/>
  <c r="DJ108" i="10"/>
  <c r="Y189" i="93"/>
  <c r="Y197" i="93"/>
  <c r="V28" i="20" l="1"/>
  <c r="V60" i="20"/>
  <c r="V54" i="19"/>
  <c r="DE13" i="10"/>
  <c r="X48" i="19"/>
  <c r="X87" i="19" s="1"/>
  <c r="DE109" i="10"/>
  <c r="DE12" i="10"/>
  <c r="DE111" i="10" s="1"/>
  <c r="W27" i="20"/>
  <c r="V4" i="20"/>
  <c r="V6" i="20" s="1"/>
  <c r="CU90" i="10" s="1"/>
  <c r="CU91" i="10" s="1"/>
  <c r="V93" i="19" s="1"/>
  <c r="V142" i="19"/>
  <c r="V106" i="19"/>
  <c r="V108" i="19" s="1"/>
  <c r="V143" i="19"/>
  <c r="W63" i="19"/>
  <c r="W166" i="19"/>
  <c r="W5" i="19"/>
  <c r="W20" i="20" s="1"/>
  <c r="W132" i="19"/>
  <c r="X132" i="19" s="1"/>
  <c r="Y132" i="19" s="1"/>
  <c r="Z132" i="19" s="1"/>
  <c r="AA132" i="19" s="1"/>
  <c r="AB132" i="19" s="1"/>
  <c r="AC132" i="19" s="1"/>
  <c r="AD132" i="19" s="1"/>
  <c r="AE132" i="19" s="1"/>
  <c r="W34" i="20"/>
  <c r="X131" i="19"/>
  <c r="X6" i="19"/>
  <c r="X21" i="20" s="1"/>
  <c r="X167" i="19"/>
  <c r="W161" i="19"/>
  <c r="W163" i="19" s="1"/>
  <c r="W164" i="19" s="1"/>
  <c r="W165" i="19" s="1"/>
  <c r="CZ102" i="10"/>
  <c r="CZ113" i="10" s="1"/>
  <c r="W71" i="19"/>
  <c r="W144" i="19"/>
  <c r="W69" i="19"/>
  <c r="W21" i="19" s="1"/>
  <c r="W24" i="20" s="1"/>
  <c r="V51" i="19"/>
  <c r="V19" i="20"/>
  <c r="V26" i="19"/>
  <c r="V33" i="19" s="1"/>
  <c r="Y67" i="19"/>
  <c r="Y61" i="19" s="1"/>
  <c r="Y79" i="19"/>
  <c r="W168" i="19"/>
  <c r="DE97" i="10"/>
  <c r="DJ109" i="10"/>
  <c r="Y48" i="19"/>
  <c r="Y87" i="19" s="1"/>
  <c r="DJ10" i="10"/>
  <c r="DJ13" i="10"/>
  <c r="DJ12" i="10"/>
  <c r="X20" i="19"/>
  <c r="X173" i="19"/>
  <c r="CU32" i="10"/>
  <c r="W59" i="19"/>
  <c r="Z189" i="93"/>
  <c r="Z197" i="93"/>
  <c r="X64" i="19" l="1"/>
  <c r="X168" i="19" s="1"/>
  <c r="X62" i="19"/>
  <c r="X5" i="19" s="1"/>
  <c r="X20" i="20" s="1"/>
  <c r="X50" i="19"/>
  <c r="X69" i="19" s="1"/>
  <c r="X21" i="19" s="1"/>
  <c r="X24" i="20" s="1"/>
  <c r="DE20" i="10"/>
  <c r="DE102" i="10" s="1"/>
  <c r="DE113" i="10" s="1"/>
  <c r="DE39" i="10"/>
  <c r="DE112" i="10"/>
  <c r="X75" i="19"/>
  <c r="X28" i="19" s="1"/>
  <c r="X160" i="19"/>
  <c r="X77" i="19"/>
  <c r="X8" i="19" s="1"/>
  <c r="X22" i="20" s="1"/>
  <c r="X104" i="19"/>
  <c r="X133" i="19" s="1"/>
  <c r="Y133" i="19" s="1"/>
  <c r="Z133" i="19" s="1"/>
  <c r="AA133" i="19" s="1"/>
  <c r="AB133" i="19" s="1"/>
  <c r="AC133" i="19" s="1"/>
  <c r="AD133" i="19" s="1"/>
  <c r="AE133" i="19" s="1"/>
  <c r="X80" i="19"/>
  <c r="X60" i="19"/>
  <c r="X73" i="19"/>
  <c r="X23" i="19" s="1"/>
  <c r="W141" i="19"/>
  <c r="W143" i="19" s="1"/>
  <c r="DJ39" i="10"/>
  <c r="Y50" i="19"/>
  <c r="Y68" i="19" s="1"/>
  <c r="DJ111" i="10"/>
  <c r="Y131" i="19"/>
  <c r="W28" i="20"/>
  <c r="Y20" i="19"/>
  <c r="Y173" i="19"/>
  <c r="W174" i="19"/>
  <c r="W176" i="19" s="1"/>
  <c r="W24" i="19"/>
  <c r="DJ97" i="10"/>
  <c r="DJ20" i="10"/>
  <c r="W40" i="20"/>
  <c r="W60" i="20"/>
  <c r="W54" i="19"/>
  <c r="DJ112" i="10"/>
  <c r="Y6" i="19"/>
  <c r="Y21" i="20" s="1"/>
  <c r="Y80" i="19"/>
  <c r="Y167" i="19"/>
  <c r="W103" i="19"/>
  <c r="V12" i="19"/>
  <c r="CU41" i="10"/>
  <c r="CU42" i="10" s="1"/>
  <c r="CU46" i="10"/>
  <c r="CU82" i="10" s="1"/>
  <c r="V52" i="19"/>
  <c r="CU105" i="10"/>
  <c r="CU34" i="10"/>
  <c r="Y104" i="19"/>
  <c r="Y160" i="19"/>
  <c r="Y64" i="19"/>
  <c r="Y77" i="19"/>
  <c r="Y8" i="19" s="1"/>
  <c r="Y73" i="19"/>
  <c r="Y23" i="19" s="1"/>
  <c r="Y75" i="19"/>
  <c r="Y28" i="19" s="1"/>
  <c r="Y62" i="19"/>
  <c r="Y60" i="19"/>
  <c r="CU104" i="10"/>
  <c r="CU114" i="10" s="1"/>
  <c r="V94" i="19"/>
  <c r="X166" i="19" l="1"/>
  <c r="X63" i="19"/>
  <c r="X59" i="19"/>
  <c r="X34" i="20"/>
  <c r="X60" i="20" s="1"/>
  <c r="X144" i="19"/>
  <c r="X68" i="19"/>
  <c r="X71" i="19"/>
  <c r="X174" i="19" s="1"/>
  <c r="X176" i="19" s="1"/>
  <c r="Y22" i="20"/>
  <c r="X161" i="19"/>
  <c r="X163" i="19" s="1"/>
  <c r="X164" i="19" s="1"/>
  <c r="X165" i="19" s="1"/>
  <c r="X27" i="20"/>
  <c r="X28" i="20" s="1"/>
  <c r="W106" i="19"/>
  <c r="W108" i="19" s="1"/>
  <c r="W4" i="20"/>
  <c r="W6" i="20" s="1"/>
  <c r="CZ90" i="10" s="1"/>
  <c r="CZ91" i="10" s="1"/>
  <c r="CZ104" i="10" s="1"/>
  <c r="CZ114" i="10" s="1"/>
  <c r="W142" i="19"/>
  <c r="Y27" i="20"/>
  <c r="V95" i="20"/>
  <c r="V97" i="20" s="1"/>
  <c r="V98" i="20" s="1"/>
  <c r="W19" i="20"/>
  <c r="X141" i="19"/>
  <c r="Y144" i="19"/>
  <c r="Y69" i="19"/>
  <c r="Y21" i="19" s="1"/>
  <c r="Y24" i="20" s="1"/>
  <c r="Y71" i="19"/>
  <c r="CU88" i="10"/>
  <c r="V3" i="20"/>
  <c r="CU84" i="10"/>
  <c r="Y168" i="19"/>
  <c r="V169" i="19"/>
  <c r="V172" i="19" s="1"/>
  <c r="V177" i="19" s="1"/>
  <c r="W178" i="19" s="1"/>
  <c r="W159" i="19" s="1"/>
  <c r="V89" i="19"/>
  <c r="Z131" i="19"/>
  <c r="Y166" i="19"/>
  <c r="Y5" i="19"/>
  <c r="Y20" i="20" s="1"/>
  <c r="Y63" i="19"/>
  <c r="Y134" i="19"/>
  <c r="Z134" i="19" s="1"/>
  <c r="AA134" i="19" s="1"/>
  <c r="AB134" i="19" s="1"/>
  <c r="AC134" i="19" s="1"/>
  <c r="AD134" i="19" s="1"/>
  <c r="AE134" i="19" s="1"/>
  <c r="Y34" i="20"/>
  <c r="Y59" i="19"/>
  <c r="V88" i="19"/>
  <c r="W109" i="19"/>
  <c r="Y161" i="19"/>
  <c r="Y163" i="19" s="1"/>
  <c r="Y164" i="19" s="1"/>
  <c r="Y165" i="19" s="1"/>
  <c r="DJ102" i="10"/>
  <c r="DJ113" i="10" s="1"/>
  <c r="W26" i="19"/>
  <c r="W33" i="19" s="1"/>
  <c r="X54" i="19" l="1"/>
  <c r="X40" i="20"/>
  <c r="X24" i="19"/>
  <c r="X19" i="20" s="1"/>
  <c r="W93" i="19"/>
  <c r="Y141" i="19"/>
  <c r="Y143" i="19" s="1"/>
  <c r="W12" i="19"/>
  <c r="X103" i="19"/>
  <c r="Y54" i="19"/>
  <c r="Y40" i="20"/>
  <c r="Y60" i="20"/>
  <c r="Y24" i="19"/>
  <c r="Y174" i="19"/>
  <c r="Y176" i="19" s="1"/>
  <c r="V41" i="19"/>
  <c r="V29" i="20"/>
  <c r="X106" i="19"/>
  <c r="X142" i="19"/>
  <c r="X4" i="20"/>
  <c r="X6" i="20" s="1"/>
  <c r="DE90" i="10" s="1"/>
  <c r="DE91" i="10" s="1"/>
  <c r="DE104" i="10" s="1"/>
  <c r="DE114" i="10" s="1"/>
  <c r="X143" i="19"/>
  <c r="Y28" i="20"/>
  <c r="AA131" i="19"/>
  <c r="X26" i="19" l="1"/>
  <c r="X33" i="19" s="1"/>
  <c r="Y106" i="19"/>
  <c r="Y142" i="19"/>
  <c r="Y4" i="20"/>
  <c r="Y6" i="20" s="1"/>
  <c r="DJ90" i="10" s="1"/>
  <c r="DJ91" i="10" s="1"/>
  <c r="DJ104" i="10" s="1"/>
  <c r="DJ114" i="10" s="1"/>
  <c r="X93" i="19"/>
  <c r="V53" i="19"/>
  <c r="V52" i="20"/>
  <c r="V59" i="20"/>
  <c r="V62" i="20" s="1"/>
  <c r="Y19" i="20"/>
  <c r="Y26" i="19"/>
  <c r="Y33" i="19" s="1"/>
  <c r="V43" i="19"/>
  <c r="X108" i="19"/>
  <c r="X109" i="19"/>
  <c r="AB131" i="19"/>
  <c r="W169" i="19"/>
  <c r="W172" i="19" s="1"/>
  <c r="W177" i="19" s="1"/>
  <c r="X178" i="19" s="1"/>
  <c r="X159" i="19" s="1"/>
  <c r="W89" i="19"/>
  <c r="Y93" i="19" l="1"/>
  <c r="X12" i="19"/>
  <c r="Y103" i="19"/>
  <c r="V54" i="20"/>
  <c r="W53" i="20" s="1"/>
  <c r="V3" i="19"/>
  <c r="V104" i="20"/>
  <c r="V95" i="19"/>
  <c r="V44" i="19"/>
  <c r="V85" i="19"/>
  <c r="V97" i="19"/>
  <c r="V96" i="19"/>
  <c r="V98" i="19"/>
  <c r="AC131" i="19"/>
  <c r="V66" i="20"/>
  <c r="K6" i="22"/>
  <c r="Y108" i="19" l="1"/>
  <c r="Y109" i="19"/>
  <c r="K11" i="22"/>
  <c r="K8" i="22"/>
  <c r="X169" i="19"/>
  <c r="X172" i="19" s="1"/>
  <c r="X177" i="19" s="1"/>
  <c r="Y178" i="19" s="1"/>
  <c r="Y159" i="19" s="1"/>
  <c r="X89" i="19"/>
  <c r="AD131" i="19"/>
  <c r="V55" i="20"/>
  <c r="V56" i="20" s="1"/>
  <c r="V10" i="19"/>
  <c r="CZ22" i="10"/>
  <c r="V83" i="19"/>
  <c r="V99" i="19"/>
  <c r="CZ26" i="10" l="1"/>
  <c r="CZ28" i="10" s="1"/>
  <c r="W94" i="19"/>
  <c r="AE131" i="19"/>
  <c r="Y12" i="19"/>
  <c r="Z103" i="19"/>
  <c r="V82" i="19"/>
  <c r="V17" i="19"/>
  <c r="V66" i="19"/>
  <c r="Y169" i="19" l="1"/>
  <c r="Y172" i="19" s="1"/>
  <c r="Y177" i="19" s="1"/>
  <c r="Y89" i="19"/>
  <c r="CZ29" i="10"/>
  <c r="W51" i="19" s="1"/>
  <c r="V91" i="19"/>
  <c r="V45" i="19"/>
  <c r="V90" i="19"/>
  <c r="V86" i="19"/>
  <c r="CZ32" i="10" l="1"/>
  <c r="W52" i="19" l="1"/>
  <c r="CZ105" i="10"/>
  <c r="CZ34" i="10"/>
  <c r="CZ41" i="10"/>
  <c r="CZ42" i="10" s="1"/>
  <c r="CZ46" i="10"/>
  <c r="CZ82" i="10" s="1"/>
  <c r="W95" i="20" l="1"/>
  <c r="W97" i="20" s="1"/>
  <c r="W98" i="20" s="1"/>
  <c r="W3" i="20"/>
  <c r="CZ84" i="10"/>
  <c r="CZ88" i="10"/>
  <c r="W88" i="19"/>
  <c r="W29" i="20" l="1"/>
  <c r="W41" i="19"/>
  <c r="W43" i="19" l="1"/>
  <c r="W53" i="19"/>
  <c r="W52" i="20"/>
  <c r="W59" i="20"/>
  <c r="W62" i="20" s="1"/>
  <c r="W54" i="20" l="1"/>
  <c r="X53" i="20" s="1"/>
  <c r="W3" i="19"/>
  <c r="W96" i="19"/>
  <c r="W97" i="19"/>
  <c r="W98" i="19"/>
  <c r="W66" i="20"/>
  <c r="L6" i="22"/>
  <c r="W104" i="20"/>
  <c r="W95" i="19"/>
  <c r="W44" i="19"/>
  <c r="W85" i="19"/>
  <c r="L8" i="22" l="1"/>
  <c r="L11" i="22"/>
  <c r="W10" i="19"/>
  <c r="DE22" i="10"/>
  <c r="W55" i="20"/>
  <c r="W56" i="20" s="1"/>
  <c r="W83" i="19"/>
  <c r="W99" i="19"/>
  <c r="X94" i="19" l="1"/>
  <c r="DE26" i="10"/>
  <c r="DE28" i="10" s="1"/>
  <c r="W17" i="19"/>
  <c r="W82" i="19"/>
  <c r="W66" i="19"/>
  <c r="W45" i="19" l="1"/>
  <c r="W91" i="19"/>
  <c r="W90" i="19"/>
  <c r="W86" i="19"/>
  <c r="DE29" i="10"/>
  <c r="X51" i="19" s="1"/>
  <c r="DE32" i="10" l="1"/>
  <c r="X52" i="19" s="1"/>
  <c r="DE41" i="10" l="1"/>
  <c r="DE42" i="10" s="1"/>
  <c r="DE46" i="10"/>
  <c r="DE82" i="10" s="1"/>
  <c r="X3" i="20" s="1"/>
  <c r="DE105" i="10"/>
  <c r="DE34" i="10"/>
  <c r="X88" i="19"/>
  <c r="X95" i="20" l="1"/>
  <c r="X97" i="20" s="1"/>
  <c r="X98" i="20" s="1"/>
  <c r="DE84" i="10"/>
  <c r="DE88" i="10"/>
  <c r="X29" i="20"/>
  <c r="X41" i="19"/>
  <c r="X43" i="19" l="1"/>
  <c r="X53" i="19"/>
  <c r="X52" i="20"/>
  <c r="X59" i="20"/>
  <c r="X62" i="20" s="1"/>
  <c r="X54" i="20" l="1"/>
  <c r="Y53" i="20" s="1"/>
  <c r="X3" i="19"/>
  <c r="X96" i="19"/>
  <c r="X97" i="19"/>
  <c r="X98" i="19"/>
  <c r="M6" i="22"/>
  <c r="X66" i="20"/>
  <c r="X95" i="19"/>
  <c r="X104" i="20"/>
  <c r="X44" i="19"/>
  <c r="X85" i="19"/>
  <c r="M8" i="22" l="1"/>
  <c r="M11" i="22"/>
  <c r="X55" i="20"/>
  <c r="X56" i="20" s="1"/>
  <c r="DJ22" i="10"/>
  <c r="X83" i="19"/>
  <c r="X10" i="19"/>
  <c r="X99" i="19"/>
  <c r="DJ26" i="10" l="1"/>
  <c r="DJ28" i="10" s="1"/>
  <c r="Y94" i="19"/>
  <c r="X17" i="19"/>
  <c r="X82" i="19"/>
  <c r="X66" i="19"/>
  <c r="X45" i="19" l="1"/>
  <c r="X91" i="19"/>
  <c r="X90" i="19"/>
  <c r="X86" i="19"/>
  <c r="DJ29" i="10"/>
  <c r="Y51" i="19" s="1"/>
  <c r="DJ32" i="10" l="1"/>
  <c r="Y52" i="19" s="1"/>
  <c r="DJ41" i="10" l="1"/>
  <c r="DJ42" i="10" s="1"/>
  <c r="DJ34" i="10"/>
  <c r="DJ105" i="10"/>
  <c r="DJ46" i="10"/>
  <c r="DJ82" i="10" s="1"/>
  <c r="Y3" i="20" s="1"/>
  <c r="Y88" i="19"/>
  <c r="Y95" i="20" l="1"/>
  <c r="Y97" i="20" s="1"/>
  <c r="Y98" i="20" s="1"/>
  <c r="DJ88" i="10"/>
  <c r="DJ84" i="10"/>
  <c r="Y29" i="20"/>
  <c r="Y41" i="19"/>
  <c r="Y43" i="19" l="1"/>
  <c r="Y53" i="19"/>
  <c r="Y52" i="20"/>
  <c r="Y59" i="20"/>
  <c r="Y62" i="20" s="1"/>
  <c r="Y54" i="20" l="1"/>
  <c r="Z53" i="20" s="1"/>
  <c r="Y3" i="19"/>
  <c r="Y96" i="19"/>
  <c r="Y97" i="19"/>
  <c r="Y98" i="19"/>
  <c r="N6" i="22"/>
  <c r="Y66" i="20"/>
  <c r="Y95" i="19"/>
  <c r="Y104" i="20"/>
  <c r="Y44" i="19"/>
  <c r="Y85" i="19"/>
  <c r="N8" i="22" l="1"/>
  <c r="C19" i="22" s="1"/>
  <c r="N11" i="22"/>
  <c r="Y55" i="20"/>
  <c r="Y56" i="20" s="1"/>
  <c r="Y10" i="19"/>
  <c r="DO22" i="10"/>
  <c r="Y83" i="19"/>
  <c r="Y99" i="19"/>
  <c r="Y82" i="19" l="1"/>
  <c r="Y17" i="19"/>
  <c r="Y66" i="19"/>
  <c r="DO26" i="10"/>
  <c r="Y91" i="19" l="1"/>
  <c r="Y45" i="19"/>
  <c r="Y90" i="19"/>
  <c r="Y86" i="19"/>
  <c r="U244" i="93" l="1"/>
  <c r="U247" i="93" s="1"/>
  <c r="K6" i="80" l="1"/>
  <c r="K5" i="80" s="1"/>
  <c r="K3" i="80" s="1"/>
  <c r="V244" i="93"/>
  <c r="K31" i="80" l="1"/>
  <c r="DN44" i="8" s="1"/>
  <c r="W244" i="93"/>
  <c r="V247" i="93"/>
  <c r="DN106" i="8" l="1"/>
  <c r="DN153" i="8"/>
  <c r="DN159" i="8" s="1"/>
  <c r="DO9" i="10" s="1"/>
  <c r="DN61" i="8"/>
  <c r="DN64" i="8" s="1"/>
  <c r="DN119" i="8" s="1"/>
  <c r="L6" i="80"/>
  <c r="L5" i="80" s="1"/>
  <c r="L3" i="80" s="1"/>
  <c r="W247" i="93"/>
  <c r="X244" i="93"/>
  <c r="DN139" i="8" l="1"/>
  <c r="DO3" i="10"/>
  <c r="DO6" i="10" s="1"/>
  <c r="DN116" i="8"/>
  <c r="L31" i="80"/>
  <c r="DS44" i="8" s="1"/>
  <c r="M6" i="80"/>
  <c r="M5" i="80" s="1"/>
  <c r="M3" i="80" s="1"/>
  <c r="Z49" i="19"/>
  <c r="DO110" i="10"/>
  <c r="X247" i="93"/>
  <c r="Y244" i="93"/>
  <c r="DO95" i="10" l="1"/>
  <c r="DO108" i="10"/>
  <c r="DS61" i="8"/>
  <c r="DT3" i="10" s="1"/>
  <c r="DS106" i="8"/>
  <c r="DS153" i="8"/>
  <c r="DS159" i="8" s="1"/>
  <c r="DT9" i="10" s="1"/>
  <c r="M31" i="80"/>
  <c r="DX44" i="8" s="1"/>
  <c r="DO10" i="10"/>
  <c r="Z48" i="19"/>
  <c r="Z87" i="19" s="1"/>
  <c r="DO13" i="10"/>
  <c r="DO12" i="10"/>
  <c r="DO109" i="10"/>
  <c r="N6" i="80"/>
  <c r="N5" i="80" s="1"/>
  <c r="N3" i="80" s="1"/>
  <c r="Z67" i="19"/>
  <c r="Z79" i="19"/>
  <c r="Y247" i="93"/>
  <c r="Z244" i="93"/>
  <c r="Z247" i="93" s="1"/>
  <c r="DS116" i="8" l="1"/>
  <c r="DX106" i="8"/>
  <c r="DX61" i="8"/>
  <c r="DY3" i="10" s="1"/>
  <c r="DX153" i="8"/>
  <c r="DX159" i="8" s="1"/>
  <c r="DS139" i="8"/>
  <c r="DS64" i="8"/>
  <c r="DS119" i="8" s="1"/>
  <c r="N31" i="80"/>
  <c r="EC44" i="8" s="1"/>
  <c r="AA49" i="19"/>
  <c r="DT95" i="10"/>
  <c r="DT110" i="10"/>
  <c r="P6" i="80"/>
  <c r="P5" i="80" s="1"/>
  <c r="P3" i="80" s="1"/>
  <c r="Z61" i="19"/>
  <c r="Z173" i="19"/>
  <c r="Z20" i="19"/>
  <c r="Z104" i="19"/>
  <c r="Z75" i="19"/>
  <c r="Z28" i="19" s="1"/>
  <c r="Z60" i="19"/>
  <c r="Z160" i="19"/>
  <c r="Z178" i="19" s="1"/>
  <c r="Z77" i="19"/>
  <c r="Z8" i="19" s="1"/>
  <c r="Z22" i="20" s="1"/>
  <c r="Z64" i="19"/>
  <c r="Z62" i="19"/>
  <c r="Z73" i="19"/>
  <c r="Z23" i="19" s="1"/>
  <c r="Z109" i="19"/>
  <c r="O6" i="80"/>
  <c r="O5" i="80" s="1"/>
  <c r="O3" i="80" s="1"/>
  <c r="DO111" i="10"/>
  <c r="DO39" i="10"/>
  <c r="Z50" i="19"/>
  <c r="DO20" i="10"/>
  <c r="DO97" i="10"/>
  <c r="Z6" i="19"/>
  <c r="Z21" i="20" s="1"/>
  <c r="Z167" i="19"/>
  <c r="Z80" i="19"/>
  <c r="DT108" i="10"/>
  <c r="DT6" i="10"/>
  <c r="DO112" i="10"/>
  <c r="DX116" i="8" l="1"/>
  <c r="DX139" i="8"/>
  <c r="DY9" i="10"/>
  <c r="AB49" i="19" s="1"/>
  <c r="DX64" i="8"/>
  <c r="DX119" i="8" s="1"/>
  <c r="EC106" i="8"/>
  <c r="EC61" i="8"/>
  <c r="ED3" i="10" s="1"/>
  <c r="EC153" i="8"/>
  <c r="EC159" i="8" s="1"/>
  <c r="ED9" i="10" s="1"/>
  <c r="O31" i="80"/>
  <c r="EH44" i="8" s="1"/>
  <c r="Z27" i="20"/>
  <c r="DY6" i="10"/>
  <c r="DY108" i="10"/>
  <c r="Z34" i="20"/>
  <c r="Z135" i="19"/>
  <c r="DT10" i="10"/>
  <c r="DT13" i="10"/>
  <c r="DT109" i="10"/>
  <c r="DT12" i="10"/>
  <c r="AA48" i="19"/>
  <c r="Z161" i="19"/>
  <c r="Z163" i="19" s="1"/>
  <c r="Z164" i="19" s="1"/>
  <c r="Z165" i="19" s="1"/>
  <c r="Z159" i="19" s="1"/>
  <c r="DO102" i="10"/>
  <c r="DO113" i="10" s="1"/>
  <c r="DO28" i="10"/>
  <c r="Z5" i="19"/>
  <c r="Z20" i="20" s="1"/>
  <c r="Z63" i="19"/>
  <c r="Z166" i="19"/>
  <c r="Z168" i="19"/>
  <c r="Z68" i="19"/>
  <c r="Z144" i="19"/>
  <c r="Z69" i="19"/>
  <c r="Z21" i="19" s="1"/>
  <c r="Z24" i="20" s="1"/>
  <c r="Z71" i="19"/>
  <c r="Z59" i="19"/>
  <c r="AA79" i="19"/>
  <c r="AA67" i="19"/>
  <c r="DY95" i="10" l="1"/>
  <c r="DY110" i="10"/>
  <c r="EC64" i="8"/>
  <c r="EC119" i="8" s="1"/>
  <c r="EC116" i="8"/>
  <c r="EC139" i="8"/>
  <c r="EH106" i="8"/>
  <c r="EH153" i="8"/>
  <c r="EH159" i="8" s="1"/>
  <c r="EI9" i="10" s="1"/>
  <c r="EH61" i="8"/>
  <c r="EH116" i="8" s="1"/>
  <c r="AA80" i="19"/>
  <c r="AA167" i="19"/>
  <c r="AA6" i="19"/>
  <c r="AA21" i="20" s="1"/>
  <c r="Z24" i="19"/>
  <c r="Z26" i="19" s="1"/>
  <c r="Z33" i="19" s="1"/>
  <c r="Z174" i="19"/>
  <c r="Z176" i="19" s="1"/>
  <c r="AA61" i="19"/>
  <c r="AA20" i="19"/>
  <c r="AA173" i="19"/>
  <c r="AB67" i="19"/>
  <c r="AB79" i="19"/>
  <c r="DT39" i="10"/>
  <c r="DT111" i="10"/>
  <c r="AA50" i="19"/>
  <c r="AA68" i="19" s="1"/>
  <c r="AA135" i="19"/>
  <c r="Z141" i="19"/>
  <c r="ED6" i="10"/>
  <c r="ED108" i="10"/>
  <c r="Z40" i="20"/>
  <c r="Z54" i="19"/>
  <c r="Z60" i="20"/>
  <c r="Z28" i="20"/>
  <c r="AA77" i="19"/>
  <c r="AA8" i="19" s="1"/>
  <c r="AA62" i="19"/>
  <c r="AA73" i="19"/>
  <c r="AA23" i="19" s="1"/>
  <c r="AA60" i="19"/>
  <c r="AA104" i="19"/>
  <c r="AA75" i="19"/>
  <c r="AA28" i="19" s="1"/>
  <c r="AA160" i="19"/>
  <c r="AA64" i="19"/>
  <c r="DT112" i="10"/>
  <c r="DY13" i="10"/>
  <c r="DY109" i="10"/>
  <c r="DY10" i="10"/>
  <c r="DY12" i="10"/>
  <c r="AB48" i="19"/>
  <c r="AA87" i="19"/>
  <c r="ED110" i="10"/>
  <c r="ED95" i="10"/>
  <c r="AC49" i="19"/>
  <c r="DO29" i="10"/>
  <c r="Z51" i="19" s="1"/>
  <c r="DT97" i="10"/>
  <c r="DT20" i="10"/>
  <c r="EH139" i="8" l="1"/>
  <c r="EH64" i="8"/>
  <c r="EH119" i="8" s="1"/>
  <c r="EI3" i="10"/>
  <c r="EI108" i="10" s="1"/>
  <c r="AB80" i="19"/>
  <c r="AB167" i="19"/>
  <c r="AB6" i="19"/>
  <c r="AB21" i="20" s="1"/>
  <c r="DO32" i="10"/>
  <c r="AB87" i="19"/>
  <c r="AB73" i="19"/>
  <c r="AB23" i="19" s="1"/>
  <c r="AB60" i="19"/>
  <c r="AB104" i="19"/>
  <c r="AB64" i="19"/>
  <c r="AB160" i="19"/>
  <c r="AB75" i="19"/>
  <c r="AB28" i="19" s="1"/>
  <c r="AB77" i="19"/>
  <c r="AB8" i="19" s="1"/>
  <c r="AB22" i="20" s="1"/>
  <c r="AB62" i="19"/>
  <c r="DY112" i="10"/>
  <c r="AA27" i="20"/>
  <c r="ED10" i="10"/>
  <c r="ED109" i="10"/>
  <c r="ED13" i="10"/>
  <c r="AC48" i="19"/>
  <c r="ED12" i="10"/>
  <c r="AB61" i="19"/>
  <c r="AB20" i="19"/>
  <c r="AB173" i="19"/>
  <c r="AA168" i="19"/>
  <c r="AB135" i="19"/>
  <c r="AA59" i="19"/>
  <c r="AA5" i="19"/>
  <c r="AA20" i="20" s="1"/>
  <c r="AA63" i="19"/>
  <c r="AA166" i="19"/>
  <c r="AA71" i="19"/>
  <c r="AA69" i="19"/>
  <c r="AA21" i="19" s="1"/>
  <c r="AA24" i="20" s="1"/>
  <c r="AA144" i="19"/>
  <c r="Z19" i="20"/>
  <c r="DY39" i="10"/>
  <c r="DY111" i="10"/>
  <c r="AB50" i="19"/>
  <c r="AA161" i="19"/>
  <c r="AA163" i="19" s="1"/>
  <c r="AA164" i="19" s="1"/>
  <c r="AA165" i="19" s="1"/>
  <c r="DT102" i="10"/>
  <c r="DT113" i="10" s="1"/>
  <c r="AC67" i="19"/>
  <c r="AC79" i="19"/>
  <c r="DY97" i="10"/>
  <c r="DY20" i="10"/>
  <c r="AA34" i="20"/>
  <c r="AA136" i="19"/>
  <c r="AB136" i="19" s="1"/>
  <c r="AC136" i="19" s="1"/>
  <c r="AD136" i="19" s="1"/>
  <c r="AE136" i="19" s="1"/>
  <c r="AA22" i="20"/>
  <c r="Z142" i="19"/>
  <c r="Z4" i="20"/>
  <c r="Z6" i="20" s="1"/>
  <c r="DO90" i="10" s="1"/>
  <c r="DO91" i="10" s="1"/>
  <c r="Z93" i="19" s="1"/>
  <c r="Z143" i="19"/>
  <c r="Z106" i="19"/>
  <c r="Z108" i="19" s="1"/>
  <c r="EI110" i="10"/>
  <c r="AD49" i="19"/>
  <c r="EI6" i="10" l="1"/>
  <c r="EI95" i="10"/>
  <c r="AB27" i="20"/>
  <c r="AA141" i="19"/>
  <c r="AA142" i="19" s="1"/>
  <c r="Z12" i="19"/>
  <c r="AA103" i="19"/>
  <c r="Z52" i="19"/>
  <c r="DO41" i="10"/>
  <c r="DO42" i="10" s="1"/>
  <c r="DO46" i="10"/>
  <c r="DO82" i="10" s="1"/>
  <c r="DO105" i="10"/>
  <c r="DO34" i="10"/>
  <c r="AD48" i="19"/>
  <c r="AC135" i="19"/>
  <c r="ED112" i="10"/>
  <c r="DO104" i="10"/>
  <c r="DO114" i="10" s="1"/>
  <c r="Z94" i="19"/>
  <c r="AD67" i="19"/>
  <c r="AD79" i="19"/>
  <c r="AC61" i="19"/>
  <c r="AC173" i="19"/>
  <c r="AC20" i="19"/>
  <c r="AA24" i="19"/>
  <c r="AA174" i="19"/>
  <c r="AA176" i="19" s="1"/>
  <c r="AC104" i="19"/>
  <c r="AC77" i="19"/>
  <c r="AC8" i="19" s="1"/>
  <c r="AC160" i="19"/>
  <c r="AC73" i="19"/>
  <c r="AC23" i="19" s="1"/>
  <c r="AC60" i="19"/>
  <c r="AC64" i="19"/>
  <c r="AC62" i="19"/>
  <c r="AC75" i="19"/>
  <c r="AC28" i="19" s="1"/>
  <c r="AC87" i="19"/>
  <c r="AA40" i="20"/>
  <c r="AA54" i="19"/>
  <c r="AA60" i="20"/>
  <c r="AC6" i="19"/>
  <c r="AC21" i="20" s="1"/>
  <c r="AC80" i="19"/>
  <c r="AC167" i="19"/>
  <c r="AB68" i="19"/>
  <c r="AB69" i="19"/>
  <c r="AB21" i="19" s="1"/>
  <c r="AB24" i="20" s="1"/>
  <c r="AB144" i="19"/>
  <c r="AB71" i="19"/>
  <c r="AA28" i="20"/>
  <c r="ED111" i="10"/>
  <c r="AC50" i="19"/>
  <c r="ED39" i="10"/>
  <c r="ED97" i="10"/>
  <c r="ED20" i="10"/>
  <c r="AB59" i="19"/>
  <c r="AB5" i="19"/>
  <c r="AB20" i="20" s="1"/>
  <c r="AB63" i="19"/>
  <c r="AB166" i="19"/>
  <c r="AB168" i="19"/>
  <c r="DY102" i="10"/>
  <c r="DY113" i="10" s="1"/>
  <c r="AB161" i="19"/>
  <c r="AB163" i="19" s="1"/>
  <c r="AB164" i="19" s="1"/>
  <c r="AB165" i="19" s="1"/>
  <c r="AB34" i="20"/>
  <c r="AB137" i="19"/>
  <c r="AC137" i="19" s="1"/>
  <c r="AD137" i="19" s="1"/>
  <c r="AE137" i="19" s="1"/>
  <c r="EI12" i="10" l="1"/>
  <c r="EI111" i="10" s="1"/>
  <c r="EI10" i="10"/>
  <c r="EI13" i="10"/>
  <c r="EI112" i="10" s="1"/>
  <c r="EI109" i="10"/>
  <c r="AA143" i="19"/>
  <c r="AA4" i="20"/>
  <c r="AA6" i="20" s="1"/>
  <c r="DT90" i="10" s="1"/>
  <c r="DT91" i="10" s="1"/>
  <c r="DT104" i="10" s="1"/>
  <c r="DT114" i="10" s="1"/>
  <c r="AA106" i="19"/>
  <c r="AA108" i="19" s="1"/>
  <c r="AB24" i="19"/>
  <c r="AB174" i="19"/>
  <c r="AB176" i="19" s="1"/>
  <c r="AC27" i="20"/>
  <c r="AD87" i="19"/>
  <c r="AD75" i="19"/>
  <c r="AD28" i="19" s="1"/>
  <c r="AD60" i="19"/>
  <c r="AD64" i="19"/>
  <c r="AD160" i="19"/>
  <c r="AD73" i="19"/>
  <c r="AD23" i="19" s="1"/>
  <c r="AD104" i="19"/>
  <c r="AD77" i="19"/>
  <c r="AD8" i="19" s="1"/>
  <c r="AD22" i="20" s="1"/>
  <c r="AD62" i="19"/>
  <c r="AC138" i="19"/>
  <c r="AD138" i="19" s="1"/>
  <c r="AE138" i="19" s="1"/>
  <c r="AC34" i="20"/>
  <c r="AB28" i="20"/>
  <c r="AC59" i="19"/>
  <c r="AC166" i="19"/>
  <c r="AC5" i="19"/>
  <c r="AC20" i="20" s="1"/>
  <c r="AC63" i="19"/>
  <c r="AA26" i="19"/>
  <c r="AA33" i="19" s="1"/>
  <c r="AA19" i="20"/>
  <c r="AD167" i="19"/>
  <c r="AD6" i="19"/>
  <c r="AD21" i="20" s="1"/>
  <c r="AD80" i="19"/>
  <c r="AB141" i="19"/>
  <c r="Z95" i="20"/>
  <c r="Z97" i="20" s="1"/>
  <c r="Z98" i="20" s="1"/>
  <c r="Z88" i="19"/>
  <c r="AB54" i="19"/>
  <c r="AB40" i="20"/>
  <c r="AB60" i="20"/>
  <c r="ED102" i="10"/>
  <c r="ED113" i="10" s="1"/>
  <c r="AC161" i="19"/>
  <c r="AC163" i="19" s="1"/>
  <c r="AC164" i="19" s="1"/>
  <c r="AC165" i="19" s="1"/>
  <c r="AC68" i="19"/>
  <c r="AC144" i="19"/>
  <c r="AC71" i="19"/>
  <c r="AC69" i="19"/>
  <c r="AC21" i="19" s="1"/>
  <c r="AC24" i="20" s="1"/>
  <c r="AC168" i="19"/>
  <c r="AC22" i="20"/>
  <c r="AD61" i="19"/>
  <c r="AD173" i="19"/>
  <c r="AD20" i="19"/>
  <c r="AD135" i="19"/>
  <c r="AA109" i="19"/>
  <c r="DO84" i="10"/>
  <c r="Z3" i="20"/>
  <c r="DO88" i="10"/>
  <c r="Z169" i="19"/>
  <c r="Z172" i="19" s="1"/>
  <c r="Z177" i="19" s="1"/>
  <c r="AA178" i="19" s="1"/>
  <c r="AA159" i="19" s="1"/>
  <c r="Z89" i="19"/>
  <c r="EI39" i="10" l="1"/>
  <c r="AD50" i="19"/>
  <c r="AD68" i="19" s="1"/>
  <c r="EI20" i="10"/>
  <c r="EI102" i="10" s="1"/>
  <c r="EI113" i="10" s="1"/>
  <c r="EI97" i="10"/>
  <c r="AD27" i="20"/>
  <c r="AC141" i="19"/>
  <c r="AC143" i="19" s="1"/>
  <c r="AA93" i="19"/>
  <c r="AD168" i="19"/>
  <c r="AE135" i="19"/>
  <c r="AB4" i="20"/>
  <c r="AB6" i="20" s="1"/>
  <c r="DY90" i="10" s="1"/>
  <c r="DY91" i="10" s="1"/>
  <c r="DY104" i="10" s="1"/>
  <c r="DY114" i="10" s="1"/>
  <c r="AB106" i="19"/>
  <c r="AB143" i="19"/>
  <c r="AB142" i="19"/>
  <c r="AC60" i="20"/>
  <c r="AC40" i="20"/>
  <c r="AC54" i="19"/>
  <c r="AD139" i="19"/>
  <c r="AE139" i="19" s="1"/>
  <c r="AD34" i="20"/>
  <c r="AA12" i="19"/>
  <c r="AB103" i="19"/>
  <c r="Z29" i="20"/>
  <c r="Z41" i="19"/>
  <c r="Z43" i="19" s="1"/>
  <c r="AC174" i="19"/>
  <c r="AC176" i="19" s="1"/>
  <c r="AC24" i="19"/>
  <c r="AC28" i="20"/>
  <c r="AD144" i="19"/>
  <c r="AB19" i="20"/>
  <c r="AB26" i="19"/>
  <c r="AB33" i="19" s="1"/>
  <c r="AD59" i="19"/>
  <c r="AD166" i="19"/>
  <c r="AD5" i="19"/>
  <c r="AD20" i="20" s="1"/>
  <c r="AD63" i="19"/>
  <c r="AD71" i="19" l="1"/>
  <c r="AD24" i="19" s="1"/>
  <c r="AD69" i="19"/>
  <c r="AD21" i="19" s="1"/>
  <c r="AD24" i="20" s="1"/>
  <c r="AD28" i="20" s="1"/>
  <c r="AE161" i="19"/>
  <c r="AE163" i="19" s="1"/>
  <c r="AE164" i="19" s="1"/>
  <c r="AD161" i="19"/>
  <c r="AD163" i="19" s="1"/>
  <c r="AD164" i="19" s="1"/>
  <c r="AD165" i="19" s="1"/>
  <c r="AC106" i="19"/>
  <c r="AC4" i="20"/>
  <c r="AC6" i="20" s="1"/>
  <c r="ED90" i="10" s="1"/>
  <c r="ED91" i="10" s="1"/>
  <c r="ED104" i="10" s="1"/>
  <c r="ED114" i="10" s="1"/>
  <c r="AC142" i="19"/>
  <c r="AB93" i="19"/>
  <c r="AC19" i="20"/>
  <c r="Z53" i="19"/>
  <c r="Z52" i="20"/>
  <c r="Z59" i="20"/>
  <c r="Z62" i="20" s="1"/>
  <c r="AD141" i="19"/>
  <c r="Z104" i="20"/>
  <c r="Z95" i="19"/>
  <c r="Z44" i="19"/>
  <c r="Z85" i="19"/>
  <c r="AB108" i="19"/>
  <c r="AB109" i="19"/>
  <c r="AC26" i="19"/>
  <c r="AC33" i="19" s="1"/>
  <c r="AA169" i="19"/>
  <c r="AA172" i="19" s="1"/>
  <c r="AA177" i="19" s="1"/>
  <c r="AB178" i="19" s="1"/>
  <c r="AB159" i="19" s="1"/>
  <c r="AA89" i="19"/>
  <c r="AD40" i="20"/>
  <c r="AD54" i="19"/>
  <c r="AD60" i="20"/>
  <c r="AD174" i="19" l="1"/>
  <c r="AD176" i="19" s="1"/>
  <c r="AC93" i="19"/>
  <c r="AD26" i="19"/>
  <c r="AD33" i="19" s="1"/>
  <c r="AD19" i="20"/>
  <c r="AD4" i="20"/>
  <c r="AD6" i="20" s="1"/>
  <c r="EI90" i="10" s="1"/>
  <c r="EI91" i="10" s="1"/>
  <c r="EI104" i="10" s="1"/>
  <c r="AD106" i="19"/>
  <c r="AD142" i="19"/>
  <c r="AD143" i="19"/>
  <c r="Z98" i="19"/>
  <c r="Z97" i="19"/>
  <c r="Z96" i="19"/>
  <c r="AC103" i="19"/>
  <c r="AB12" i="19"/>
  <c r="O6" i="22"/>
  <c r="Z66" i="20"/>
  <c r="Z54" i="20"/>
  <c r="AA53" i="20" s="1"/>
  <c r="Z3" i="19"/>
  <c r="AD93" i="19" l="1"/>
  <c r="O8" i="22"/>
  <c r="O11" i="22"/>
  <c r="DT22" i="10"/>
  <c r="Z83" i="19"/>
  <c r="Z10" i="19"/>
  <c r="Z55" i="20"/>
  <c r="Z56" i="20" s="1"/>
  <c r="Z99" i="19"/>
  <c r="AB169" i="19"/>
  <c r="AB172" i="19" s="1"/>
  <c r="AB177" i="19" s="1"/>
  <c r="AC178" i="19" s="1"/>
  <c r="AC159" i="19" s="1"/>
  <c r="AB89" i="19"/>
  <c r="AC108" i="19"/>
  <c r="AC109" i="19"/>
  <c r="EI114" i="10"/>
  <c r="Z17" i="19" l="1"/>
  <c r="Z82" i="19"/>
  <c r="Z66" i="19"/>
  <c r="AC12" i="19"/>
  <c r="AD103" i="19"/>
  <c r="DT26" i="10"/>
  <c r="DT28" i="10" s="1"/>
  <c r="AA94" i="19"/>
  <c r="AD108" i="19" l="1"/>
  <c r="AD109" i="19"/>
  <c r="AC169" i="19"/>
  <c r="AC172" i="19" s="1"/>
  <c r="AC177" i="19" s="1"/>
  <c r="AD178" i="19" s="1"/>
  <c r="AD159" i="19" s="1"/>
  <c r="AC89" i="19"/>
  <c r="Z45" i="19"/>
  <c r="Z91" i="19"/>
  <c r="Z90" i="19"/>
  <c r="Z86" i="19"/>
  <c r="DT29" i="10"/>
  <c r="AA51" i="19" s="1"/>
  <c r="AD12" i="19" l="1"/>
  <c r="AE103" i="19"/>
  <c r="DT32" i="10"/>
  <c r="AD169" i="19" l="1"/>
  <c r="AD172" i="19" s="1"/>
  <c r="AD177" i="19" s="1"/>
  <c r="AD89" i="19"/>
  <c r="AA52" i="19"/>
  <c r="DT41" i="10"/>
  <c r="DT42" i="10" s="1"/>
  <c r="DT46" i="10"/>
  <c r="DT82" i="10" s="1"/>
  <c r="DT105" i="10"/>
  <c r="DT34" i="10"/>
  <c r="DT88" i="10" l="1"/>
  <c r="AA3" i="20"/>
  <c r="DT84" i="10"/>
  <c r="AA95" i="20"/>
  <c r="AA97" i="20" s="1"/>
  <c r="AA98" i="20" s="1"/>
  <c r="AA88" i="19"/>
  <c r="AA41" i="19" l="1"/>
  <c r="AA29" i="20"/>
  <c r="AA43" i="19" l="1"/>
  <c r="AA59" i="20"/>
  <c r="AA62" i="20" s="1"/>
  <c r="AA53" i="19"/>
  <c r="AA52" i="20"/>
  <c r="AA104" i="20" l="1"/>
  <c r="AA95" i="19"/>
  <c r="AA44" i="19"/>
  <c r="AA85" i="19"/>
  <c r="AA54" i="20"/>
  <c r="AB53" i="20" s="1"/>
  <c r="AA3" i="19"/>
  <c r="AA98" i="19"/>
  <c r="AA96" i="19"/>
  <c r="AA97" i="19"/>
  <c r="AA66" i="20"/>
  <c r="P6" i="22"/>
  <c r="P11" i="22" l="1"/>
  <c r="P8" i="22"/>
  <c r="AA10" i="19"/>
  <c r="AA83" i="19"/>
  <c r="AA55" i="20"/>
  <c r="AA56" i="20" s="1"/>
  <c r="DY22" i="10"/>
  <c r="AA99" i="19"/>
  <c r="AA82" i="19" l="1"/>
  <c r="AA17" i="19"/>
  <c r="AA66" i="19"/>
  <c r="AB94" i="19"/>
  <c r="DY26" i="10"/>
  <c r="DY28" i="10" s="1"/>
  <c r="AA91" i="19" l="1"/>
  <c r="AA45" i="19"/>
  <c r="AA90" i="19"/>
  <c r="AA86" i="19"/>
  <c r="DY29" i="10"/>
  <c r="AB51" i="19" s="1"/>
  <c r="DY32" i="10" l="1"/>
  <c r="AB52" i="19" l="1"/>
  <c r="DY46" i="10"/>
  <c r="DY82" i="10" s="1"/>
  <c r="DY105" i="10"/>
  <c r="DY41" i="10"/>
  <c r="DY42" i="10" s="1"/>
  <c r="DY34" i="10"/>
  <c r="DY88" i="10" l="1"/>
  <c r="DY84" i="10"/>
  <c r="AB3" i="20"/>
  <c r="AB95" i="20"/>
  <c r="AB97" i="20" s="1"/>
  <c r="AB98" i="20" s="1"/>
  <c r="AB88" i="19"/>
  <c r="AB29" i="20" l="1"/>
  <c r="AB41" i="19"/>
  <c r="AB43" i="19" l="1"/>
  <c r="AB53" i="19"/>
  <c r="AB52" i="20"/>
  <c r="AB59" i="20"/>
  <c r="AB62" i="20" s="1"/>
  <c r="AB96" i="19" l="1"/>
  <c r="AB98" i="19"/>
  <c r="AB97" i="19"/>
  <c r="AB54" i="20"/>
  <c r="AC53" i="20" s="1"/>
  <c r="AB3" i="19"/>
  <c r="AB66" i="20"/>
  <c r="Q6" i="22"/>
  <c r="AB95" i="19"/>
  <c r="AB104" i="20"/>
  <c r="AB44" i="19"/>
  <c r="AB85" i="19"/>
  <c r="AB10" i="19" l="1"/>
  <c r="AB55" i="20"/>
  <c r="AB56" i="20" s="1"/>
  <c r="AB83" i="19"/>
  <c r="ED22" i="10"/>
  <c r="AB99" i="19"/>
  <c r="Q11" i="22"/>
  <c r="Q8" i="22"/>
  <c r="AB17" i="19" l="1"/>
  <c r="AB82" i="19"/>
  <c r="AB66" i="19"/>
  <c r="ED26" i="10"/>
  <c r="ED28" i="10" s="1"/>
  <c r="AC94" i="19"/>
  <c r="ED29" i="10" l="1"/>
  <c r="AC51" i="19" s="1"/>
  <c r="AB45" i="19"/>
  <c r="AB91" i="19"/>
  <c r="AB90" i="19"/>
  <c r="AB86" i="19"/>
  <c r="ED32" i="10" l="1"/>
  <c r="ED34" i="10" l="1"/>
  <c r="ED105" i="10"/>
  <c r="AC52" i="19"/>
  <c r="ED41" i="10"/>
  <c r="ED42" i="10" s="1"/>
  <c r="ED46" i="10"/>
  <c r="ED82" i="10" s="1"/>
  <c r="ED84" i="10" l="1"/>
  <c r="ED88" i="10"/>
  <c r="AC3" i="20"/>
  <c r="AC95" i="20"/>
  <c r="AC97" i="20" s="1"/>
  <c r="AC98" i="20" s="1"/>
  <c r="AC88" i="19"/>
  <c r="AC29" i="20" l="1"/>
  <c r="AC41" i="19"/>
  <c r="AC43" i="19" s="1"/>
  <c r="AC53" i="19" l="1"/>
  <c r="AC59" i="20"/>
  <c r="AC62" i="20" s="1"/>
  <c r="AC52" i="20"/>
  <c r="AC95" i="19"/>
  <c r="AC104" i="20"/>
  <c r="AC44" i="19"/>
  <c r="AC85" i="19"/>
  <c r="AC96" i="19" l="1"/>
  <c r="AC98" i="19"/>
  <c r="AC97" i="19"/>
  <c r="AC54" i="20"/>
  <c r="AD53" i="20" s="1"/>
  <c r="AC3" i="19"/>
  <c r="AC66" i="20"/>
  <c r="R6" i="22"/>
  <c r="AC10" i="19" l="1"/>
  <c r="AC83" i="19"/>
  <c r="EI22" i="10"/>
  <c r="AC55" i="20"/>
  <c r="AC56" i="20" s="1"/>
  <c r="AC99" i="19"/>
  <c r="R8" i="22"/>
  <c r="R11" i="22"/>
  <c r="AC17" i="19" l="1"/>
  <c r="AC82" i="19"/>
  <c r="AC66" i="19"/>
  <c r="AD94" i="19"/>
  <c r="EI26" i="10"/>
  <c r="EI28" i="10" s="1"/>
  <c r="EI29" i="10" l="1"/>
  <c r="AD51" i="19" s="1"/>
  <c r="AC45" i="19"/>
  <c r="AC91" i="19"/>
  <c r="AC90" i="19"/>
  <c r="AC86" i="19"/>
  <c r="EI32" i="10" l="1"/>
  <c r="AD52" i="19" l="1"/>
  <c r="EI34" i="10"/>
  <c r="EI46" i="10"/>
  <c r="EI82" i="10" s="1"/>
  <c r="EI105" i="10"/>
  <c r="EI41" i="10"/>
  <c r="EI42" i="10" s="1"/>
  <c r="AD88" i="19" l="1"/>
  <c r="EI84" i="10"/>
  <c r="AD3" i="20"/>
  <c r="EI88" i="10"/>
  <c r="AD95" i="20"/>
  <c r="AD97" i="20" s="1"/>
  <c r="AD98" i="20" s="1"/>
  <c r="AD41" i="19" l="1"/>
  <c r="AD29" i="20"/>
  <c r="AD43" i="19" l="1"/>
  <c r="AD53" i="19"/>
  <c r="AD52" i="20"/>
  <c r="AD59" i="20"/>
  <c r="AD62" i="20" s="1"/>
  <c r="AD3" i="19" l="1"/>
  <c r="AD54" i="20"/>
  <c r="AE53" i="20" s="1"/>
  <c r="AD66" i="20"/>
  <c r="S6" i="22"/>
  <c r="AD104" i="20"/>
  <c r="AD95" i="19"/>
  <c r="AD44" i="19"/>
  <c r="AD85" i="19"/>
  <c r="AD97" i="19"/>
  <c r="AD98" i="19"/>
  <c r="AD96" i="19"/>
  <c r="S11" i="22" l="1"/>
  <c r="U6" i="22"/>
  <c r="U11" i="22" s="1"/>
  <c r="S8" i="22"/>
  <c r="AD55" i="20"/>
  <c r="AD56" i="20" s="1"/>
  <c r="AD83" i="19"/>
  <c r="AD10" i="19"/>
  <c r="EN22" i="10"/>
  <c r="AD99" i="19"/>
  <c r="EN26" i="10" l="1"/>
  <c r="AD82" i="19"/>
  <c r="AD17" i="19"/>
  <c r="AD66" i="19"/>
  <c r="AD91" i="19" l="1"/>
  <c r="AD45" i="19"/>
  <c r="AD90" i="19"/>
  <c r="AD86" i="19"/>
  <c r="S325" i="93" l="1"/>
  <c r="T325" i="93" l="1"/>
  <c r="T342" i="93" s="1"/>
  <c r="U325" i="93" l="1"/>
  <c r="U342" i="93" s="1"/>
  <c r="S342" i="93"/>
  <c r="V325" i="93" l="1"/>
  <c r="V342" i="93" s="1"/>
  <c r="W325" i="93" l="1"/>
  <c r="W342" i="93" s="1"/>
  <c r="X325" i="93" l="1"/>
  <c r="X342" i="93" s="1"/>
  <c r="Y325" i="93" l="1"/>
  <c r="Y342" i="93" s="1"/>
  <c r="Z325" i="93" l="1"/>
  <c r="Z342" i="93" s="1"/>
  <c r="AE144" i="1" l="1"/>
  <c r="AE140" i="1" s="1"/>
  <c r="AE183" i="1" s="1"/>
  <c r="AE143" i="1"/>
  <c r="AE186" i="1" l="1"/>
  <c r="AE184" i="1"/>
  <c r="S14" i="89"/>
  <c r="S24" i="89" s="1"/>
  <c r="S33" i="89" s="1"/>
  <c r="P26" i="80" s="1"/>
  <c r="P25" i="80" s="1"/>
  <c r="AE185" i="1"/>
  <c r="P31" i="80" l="1"/>
  <c r="EM44" i="8" s="1"/>
  <c r="P16" i="73"/>
  <c r="P18" i="73"/>
  <c r="AE222" i="1"/>
  <c r="AE221" i="1"/>
  <c r="AE231" i="1"/>
  <c r="AE198" i="1"/>
  <c r="AE197" i="1"/>
  <c r="AE227" i="1" s="1"/>
  <c r="Y5" i="17" s="1"/>
  <c r="Y4" i="17" s="1"/>
  <c r="EM6" i="8" s="1"/>
  <c r="AE210" i="1"/>
  <c r="AE209" i="1"/>
  <c r="EM20" i="8" s="1"/>
  <c r="EM106" i="8" l="1"/>
  <c r="EM153" i="8"/>
  <c r="P19" i="73"/>
  <c r="P20" i="73" s="1"/>
  <c r="P21" i="73" s="1"/>
  <c r="P23" i="73" s="1"/>
  <c r="EM56" i="8" s="1"/>
  <c r="EM18" i="8"/>
  <c r="EM85" i="8"/>
  <c r="EL20" i="8"/>
  <c r="EI20" i="8"/>
  <c r="EK20" i="8"/>
  <c r="EJ20" i="8"/>
  <c r="P27" i="73"/>
  <c r="P12" i="73"/>
  <c r="EM57" i="8"/>
  <c r="EM156" i="8" s="1"/>
  <c r="EM73" i="8"/>
  <c r="EK6" i="8"/>
  <c r="EJ6" i="8"/>
  <c r="EI6" i="8"/>
  <c r="EL6" i="8"/>
  <c r="AE228" i="1"/>
  <c r="AE232" i="1"/>
  <c r="EL73" i="8" l="1"/>
  <c r="EL4" i="8"/>
  <c r="EJ85" i="8"/>
  <c r="EJ18" i="8"/>
  <c r="EJ84" i="8" s="1"/>
  <c r="EK73" i="8"/>
  <c r="EK4" i="8"/>
  <c r="EL18" i="8"/>
  <c r="EL84" i="8" s="1"/>
  <c r="EL85" i="8"/>
  <c r="EI73" i="8"/>
  <c r="EI4" i="8"/>
  <c r="EK85" i="8"/>
  <c r="EK18" i="8"/>
  <c r="EK84" i="8" s="1"/>
  <c r="EM145" i="8"/>
  <c r="EM84" i="8"/>
  <c r="EJ73" i="8"/>
  <c r="EJ4" i="8"/>
  <c r="EI85" i="8"/>
  <c r="EI18" i="8"/>
  <c r="EI84" i="8" s="1"/>
  <c r="EM54" i="8"/>
  <c r="EI61" i="8" l="1"/>
  <c r="EM4" i="8"/>
  <c r="EI72" i="8"/>
  <c r="EK61" i="8"/>
  <c r="EK72" i="8"/>
  <c r="EJ72" i="8"/>
  <c r="EJ61" i="8"/>
  <c r="EL72" i="8"/>
  <c r="EL61" i="8"/>
  <c r="EK64" i="8" l="1"/>
  <c r="EK119" i="8" s="1"/>
  <c r="EK116" i="8"/>
  <c r="EJ116" i="8"/>
  <c r="EJ64" i="8"/>
  <c r="EJ119" i="8" s="1"/>
  <c r="EM72" i="8"/>
  <c r="EM61" i="8"/>
  <c r="EM142" i="8"/>
  <c r="EM159" i="8" s="1"/>
  <c r="EL64" i="8"/>
  <c r="EL119" i="8" s="1"/>
  <c r="EL116" i="8"/>
  <c r="EI116" i="8"/>
  <c r="EI64" i="8"/>
  <c r="EI119" i="8" s="1"/>
  <c r="EM139" i="8" l="1"/>
  <c r="EN9" i="10"/>
  <c r="EN3" i="10"/>
  <c r="EM116" i="8"/>
  <c r="EM64" i="8"/>
  <c r="EM119" i="8" s="1"/>
  <c r="EN108" i="10" l="1"/>
  <c r="EN6" i="10"/>
  <c r="AE49" i="19"/>
  <c r="EN95" i="10"/>
  <c r="EN110" i="10"/>
  <c r="AE79" i="19" l="1"/>
  <c r="AE67" i="19"/>
  <c r="AE48" i="19"/>
  <c r="AE87" i="19" s="1"/>
  <c r="EN13" i="10"/>
  <c r="EN109" i="10"/>
  <c r="EN12" i="10"/>
  <c r="EN10" i="10"/>
  <c r="EN20" i="10" l="1"/>
  <c r="EN97" i="10"/>
  <c r="EN39" i="10"/>
  <c r="AE50" i="19"/>
  <c r="EN111" i="10"/>
  <c r="AE20" i="19"/>
  <c r="AE61" i="19"/>
  <c r="AE173" i="19"/>
  <c r="AE73" i="19"/>
  <c r="AE23" i="19" s="1"/>
  <c r="AE109" i="19"/>
  <c r="AE62" i="19"/>
  <c r="AE160" i="19"/>
  <c r="AE77" i="19"/>
  <c r="AE8" i="19" s="1"/>
  <c r="AE22" i="20" s="1"/>
  <c r="AE75" i="19"/>
  <c r="AE28" i="19" s="1"/>
  <c r="AE60" i="19"/>
  <c r="AE64" i="19"/>
  <c r="AE168" i="19" s="1"/>
  <c r="AE104" i="19"/>
  <c r="EN112" i="10"/>
  <c r="AE80" i="19"/>
  <c r="AE167" i="19"/>
  <c r="AE6" i="19"/>
  <c r="AE21" i="20" s="1"/>
  <c r="AE63" i="19" l="1"/>
  <c r="AE166" i="19"/>
  <c r="AE59" i="19"/>
  <c r="AE5" i="19"/>
  <c r="AE20" i="20" s="1"/>
  <c r="AE68" i="19"/>
  <c r="AE71" i="19"/>
  <c r="AE69" i="19"/>
  <c r="AE21" i="19" s="1"/>
  <c r="AE24" i="20" s="1"/>
  <c r="AE144" i="19"/>
  <c r="AE27" i="20"/>
  <c r="AE140" i="19"/>
  <c r="AE141" i="19" s="1"/>
  <c r="AE34" i="20"/>
  <c r="AE165" i="19"/>
  <c r="AE178" i="19"/>
  <c r="EN102" i="10"/>
  <c r="EN113" i="10" s="1"/>
  <c r="EN91" i="10"/>
  <c r="EN28" i="10"/>
  <c r="EN29" i="10" s="1"/>
  <c r="AE51" i="19" s="1"/>
  <c r="EN104" i="10" l="1"/>
  <c r="EN114" i="10" s="1"/>
  <c r="AE94" i="19"/>
  <c r="EN32" i="10"/>
  <c r="AE52" i="19" s="1"/>
  <c r="AE54" i="19"/>
  <c r="AE40" i="20"/>
  <c r="AE60" i="20"/>
  <c r="AE4" i="20"/>
  <c r="AE6" i="20" s="1"/>
  <c r="AE143" i="19"/>
  <c r="AE142" i="19"/>
  <c r="AE106" i="19"/>
  <c r="AE108" i="19" s="1"/>
  <c r="AE12" i="19" s="1"/>
  <c r="AE24" i="19"/>
  <c r="AE174" i="19"/>
  <c r="AE176" i="19" s="1"/>
  <c r="AE28" i="20"/>
  <c r="AE159" i="19"/>
  <c r="EN46" i="10"/>
  <c r="EN82" i="10" s="1"/>
  <c r="EN41" i="10" l="1"/>
  <c r="EN42" i="10" s="1"/>
  <c r="EN34" i="10"/>
  <c r="AE95" i="20" s="1"/>
  <c r="AE97" i="20" s="1"/>
  <c r="AE98" i="20" s="1"/>
  <c r="EN105" i="10"/>
  <c r="AE93" i="19"/>
  <c r="AE19" i="20"/>
  <c r="AE26" i="19"/>
  <c r="AE33" i="19" s="1"/>
  <c r="AE89" i="19"/>
  <c r="AE169" i="19"/>
  <c r="AE172" i="19" s="1"/>
  <c r="AE177" i="19" s="1"/>
  <c r="EN88" i="10"/>
  <c r="EN84" i="10"/>
  <c r="AE3" i="20"/>
  <c r="AE88" i="19"/>
  <c r="AE41" i="19" l="1"/>
  <c r="AE43" i="19" s="1"/>
  <c r="AE29" i="20"/>
  <c r="AE52" i="20" l="1"/>
  <c r="AE53" i="19"/>
  <c r="AE59" i="20"/>
  <c r="AE62" i="20" s="1"/>
  <c r="AE104" i="20"/>
  <c r="AE95" i="19"/>
  <c r="AE44" i="19"/>
  <c r="AE85" i="19"/>
  <c r="AE66" i="20" l="1"/>
  <c r="T6" i="22"/>
  <c r="T11" i="22" s="1"/>
  <c r="C13" i="22" s="1"/>
  <c r="C15" i="22" s="1"/>
  <c r="C16" i="22" s="1"/>
  <c r="AE97" i="19"/>
  <c r="AE98" i="19"/>
  <c r="AE96" i="19"/>
  <c r="AE3" i="19"/>
  <c r="AE54" i="20"/>
  <c r="AE83" i="19" l="1"/>
  <c r="AE10" i="19"/>
  <c r="AE55" i="20"/>
  <c r="AE56" i="20" s="1"/>
  <c r="AE99" i="19"/>
  <c r="AE82" i="19" l="1"/>
  <c r="AE17" i="19"/>
  <c r="AE66" i="19"/>
  <c r="AE45" i="19" l="1"/>
  <c r="AE91" i="19"/>
  <c r="AE90" i="19"/>
  <c r="AE86" i="19"/>
</calcChain>
</file>

<file path=xl/comments1.xml><?xml version="1.0" encoding="utf-8"?>
<comments xmlns="http://schemas.openxmlformats.org/spreadsheetml/2006/main">
  <authors>
    <author>harrimat</author>
    <author>Harrison, Matthew (Research)</author>
  </authors>
  <commentList>
    <comment ref="D2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$55.7M acquired in-process R&amp;D and $22.7M litigiation settlement and $1 gain on Chiral
</t>
        </r>
      </text>
    </comment>
    <comment ref="B3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options expense not reported until 2006</t>
        </r>
      </text>
    </comment>
    <comment ref="L3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rpt $0.12</t>
        </r>
      </text>
    </comment>
    <comment ref="O3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rpt $0.11</t>
        </r>
      </text>
    </comment>
    <comment ref="P3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rpt $0.17</t>
        </r>
      </text>
    </comment>
    <comment ref="T3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CELG reported $0.09, but the division doesn't get you there...</t>
        </r>
      </text>
    </comment>
    <comment ref="X3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reported $0.53</t>
        </r>
      </text>
    </comment>
    <comment ref="AC3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rpt $1.06</t>
        </r>
      </text>
    </comment>
    <comment ref="BL50" authorId="1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26.5-26.8 guidance</t>
        </r>
      </text>
    </comment>
    <comment ref="AG53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Vidaza royalty obligation pmt</t>
        </r>
      </text>
    </comment>
    <comment ref="BL55" authorId="1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$50 guidance</t>
        </r>
      </text>
    </comment>
    <comment ref="BL56" authorId="1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198.7-200.7 guidance</t>
        </r>
      </text>
    </comment>
    <comment ref="BL60" authorId="1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$25 guidance</t>
        </r>
      </text>
    </comment>
    <comment ref="BL61" authorId="1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$230.6-232.9 guidance</t>
        </r>
      </text>
    </comment>
    <comment ref="AD63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1,740M acquired IPR&amp;D</t>
        </r>
      </text>
    </comment>
    <comment ref="BL63" authorId="1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guidance of $258.3M</t>
        </r>
      </text>
    </comment>
    <comment ref="BL66" authorId="1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$16.6-17 guidance</t>
        </r>
      </text>
    </comment>
    <comment ref="AQ82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.320 of Abraxis non-controlling</t>
        </r>
      </text>
    </comment>
    <comment ref="AS82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add .504 on non-controlling interest from abraxis</t>
        </r>
      </text>
    </comment>
    <comment ref="AT82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Abreaxis non-controlling 0.190</t>
        </r>
      </text>
    </comment>
    <comment ref="K8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rpt $0.02</t>
        </r>
      </text>
    </comment>
    <comment ref="L8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rpt $0.11</t>
        </r>
      </text>
    </comment>
    <comment ref="O8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rpt $0.26</t>
        </r>
      </text>
    </comment>
    <comment ref="U84" authorId="0">
      <text>
        <r>
          <rPr>
            <b/>
            <sz val="8"/>
            <color indexed="81"/>
            <rFont val="Tahoma"/>
            <family val="2"/>
          </rPr>
          <t xml:space="preserve">harrimat:
</t>
        </r>
        <r>
          <rPr>
            <sz val="8"/>
            <color indexed="81"/>
            <rFont val="Tahoma"/>
            <family val="2"/>
          </rPr>
          <t>CELG reported $0.03</t>
        </r>
      </text>
    </comment>
    <comment ref="AB8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rpt $0.18</t>
        </r>
      </text>
    </comment>
    <comment ref="AC8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rpt $0.54</t>
        </r>
      </text>
    </comment>
  </commentList>
</comments>
</file>

<file path=xl/comments2.xml><?xml version="1.0" encoding="utf-8"?>
<comments xmlns="http://schemas.openxmlformats.org/spreadsheetml/2006/main">
  <authors>
    <author>harrimat</author>
    <author>Harrison, Matthew (Research)</author>
    <author>Purohit, Vikram (Research)</author>
  </authors>
  <commentList>
    <comment ref="AW42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For all of 2012 expanded access pom sales are booked here</t>
        </r>
      </text>
    </comment>
    <comment ref="B54" authorId="1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Includes net profit in the US and ROW revenues; 50/50 US profit split with BLUE</t>
        </r>
      </text>
    </comment>
    <comment ref="AR63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$6.3M milestone pmt for Vidaza approval in Japan</t>
        </r>
      </text>
    </comment>
    <comment ref="CO132" authorId="1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AZ covers COGS, CELG pays 75% of R&amp;D, all SG&amp;A</t>
        </r>
      </text>
    </comment>
    <comment ref="CJ135" authorId="2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Pegged to GED0301 COGS assumption</t>
        </r>
      </text>
    </comment>
  </commentList>
</comments>
</file>

<file path=xl/comments3.xml><?xml version="1.0" encoding="utf-8"?>
<comments xmlns="http://schemas.openxmlformats.org/spreadsheetml/2006/main">
  <authors>
    <author>Purohit, Vikram (Research)</author>
  </authors>
  <commentList>
    <comment ref="P147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Acquisition of Receptos, for $7.2B, net of ~$600M of Receptos cash</t>
        </r>
      </text>
    </comment>
    <comment ref="S147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Acquisitions of Impact (~$1.1B upfront) and Juno (~$9B total)</t>
        </r>
      </text>
    </comment>
  </commentList>
</comments>
</file>

<file path=xl/comments4.xml><?xml version="1.0" encoding="utf-8"?>
<comments xmlns="http://schemas.openxmlformats.org/spreadsheetml/2006/main">
  <authors>
    <author>Harrison, Matthew (Research)</author>
  </authors>
  <commentList>
    <comment ref="F14" authorId="0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Aug 2013</t>
        </r>
      </text>
    </comment>
    <comment ref="F16" authorId="0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only 5 months</t>
        </r>
      </text>
    </comment>
  </commentList>
</comments>
</file>

<file path=xl/comments5.xml><?xml version="1.0" encoding="utf-8"?>
<comments xmlns="http://schemas.openxmlformats.org/spreadsheetml/2006/main">
  <authors>
    <author>Harrison, Matthew (Research)</author>
  </authors>
  <commentList>
    <comment ref="N210" authorId="0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label has 7.4mo DOR</t>
        </r>
      </text>
    </comment>
    <comment ref="M221" authorId="0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$64M</t>
        </r>
      </text>
    </comment>
    <comment ref="N221" authorId="0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1Q 64, 2Q 61, 3Q 65 (guess), 4Q 71 = 261M for FY13</t>
        </r>
      </text>
    </comment>
  </commentList>
</comments>
</file>

<file path=xl/comments6.xml><?xml version="1.0" encoding="utf-8"?>
<comments xmlns="http://schemas.openxmlformats.org/spreadsheetml/2006/main">
  <authors>
    <author>Harrison, Matthew (Research)</author>
  </authors>
  <commentList>
    <comment ref="L80" authorId="0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UK Price is GBP3780 or ~$6,300/mo; assume discount to that given pan-EU pricing</t>
        </r>
      </text>
    </comment>
    <comment ref="N206" authorId="0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85% of US price - similar to revlimid
</t>
        </r>
      </text>
    </comment>
    <comment ref="R213" authorId="0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adj for f/x</t>
        </r>
      </text>
    </comment>
    <comment ref="N214" authorId="0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label has 7.4mo DOR</t>
        </r>
      </text>
    </comment>
    <comment ref="M218" authorId="0">
      <text>
        <r>
          <rPr>
            <b/>
            <sz val="9"/>
            <color indexed="81"/>
            <rFont val="Tahoma"/>
            <family val="2"/>
          </rPr>
          <t>Harrison, Matthew (Research):</t>
        </r>
        <r>
          <rPr>
            <sz val="9"/>
            <color indexed="81"/>
            <rFont val="Tahoma"/>
            <family val="2"/>
          </rPr>
          <t xml:space="preserve">
85% of US price</t>
        </r>
      </text>
    </comment>
  </commentList>
</comments>
</file>

<file path=xl/comments7.xml><?xml version="1.0" encoding="utf-8"?>
<comments xmlns="http://schemas.openxmlformats.org/spreadsheetml/2006/main">
  <authors>
    <author>harrimat</author>
    <author>vlakhani</author>
    <author>Evan Bedil</author>
  </authors>
  <commentList>
    <comment ref="G24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10mg for 21 days out of every cycle, 30wks median duration</t>
        </r>
      </text>
    </comment>
    <comment ref="H24" authorId="1">
      <text>
        <r>
          <rPr>
            <b/>
            <sz val="8"/>
            <color indexed="81"/>
            <rFont val="Tahoma"/>
            <family val="2"/>
          </rPr>
          <t>vlakhani:</t>
        </r>
        <r>
          <rPr>
            <sz val="8"/>
            <color indexed="81"/>
            <rFont val="Tahoma"/>
            <family val="2"/>
          </rPr>
          <t xml:space="preserve">
9% price increase for 5 and 10mg</t>
        </r>
      </text>
    </comment>
    <comment ref="E30" authorId="2">
      <text>
        <r>
          <rPr>
            <b/>
            <sz val="8"/>
            <color indexed="81"/>
            <rFont val="Tahoma"/>
            <family val="2"/>
          </rPr>
          <t>Evan Bedil:</t>
        </r>
        <r>
          <rPr>
            <sz val="8"/>
            <color indexed="81"/>
            <rFont val="Tahoma"/>
            <family val="2"/>
          </rPr>
          <t xml:space="preserve">
$381 per 100mg vial net to Pharmion. 2 vials/pt/day. 6 days per cycle instead of 7 (none on Sunday+ small patients may require only 1 vial/day.  Equates to an average price per cycle of $4,572.  Assume  patients will undergo seven cycles of treatment, in line with the treatment regimen in the Phase III trial, meaning a treatment course of $32,000. B/c of discounts, PHRM recognizes 93% of this.</t>
        </r>
      </text>
    </comment>
    <comment ref="I30" authorId="1">
      <text>
        <r>
          <rPr>
            <b/>
            <sz val="8"/>
            <color indexed="81"/>
            <rFont val="Tahoma"/>
            <family val="2"/>
          </rPr>
          <t>vlakhani:</t>
        </r>
        <r>
          <rPr>
            <sz val="8"/>
            <color indexed="81"/>
            <rFont val="Tahoma"/>
            <family val="2"/>
          </rPr>
          <t xml:space="preserve">
ASP 3Q06: $4.221 per 1mg
$4.221 * 100 * 2 vials a day * 6 days a week * 7 cycles used = $35,000
Assume 4% rebates and 2% prompt pay</t>
        </r>
      </text>
    </comment>
    <comment ref="H54" authorId="1">
      <text>
        <r>
          <rPr>
            <b/>
            <sz val="8"/>
            <color indexed="81"/>
            <rFont val="Tahoma"/>
            <family val="2"/>
          </rPr>
          <t>vlakhani:</t>
        </r>
        <r>
          <rPr>
            <sz val="8"/>
            <color indexed="81"/>
            <rFont val="Tahoma"/>
            <family val="2"/>
          </rPr>
          <t xml:space="preserve">
9% price increase for 5 and 10mg</t>
        </r>
      </text>
    </comment>
    <comment ref="E59" authorId="2">
      <text>
        <r>
          <rPr>
            <b/>
            <sz val="8"/>
            <color indexed="81"/>
            <rFont val="Tahoma"/>
            <family val="2"/>
          </rPr>
          <t>Evan Bedil:</t>
        </r>
        <r>
          <rPr>
            <sz val="8"/>
            <color indexed="81"/>
            <rFont val="Tahoma"/>
            <family val="2"/>
          </rPr>
          <t xml:space="preserve">
$381 per 100mg vial net to Pharmion. 2 vials/pt/day. 6 days per cycle instead of 7 (none on Sunday+ small patients may require only 1 vial/day.  Equates to an average price per cycle of $4,572.  Assume  patients will undergo seven cycles of treatment, in line with the treatment regimen in the Phase III trial, meaning a treatment course of $32,000. B/c of discounts, PHRM recognizes 93% of this.</t>
        </r>
      </text>
    </comment>
    <comment ref="I59" authorId="1">
      <text>
        <r>
          <rPr>
            <b/>
            <sz val="8"/>
            <color indexed="81"/>
            <rFont val="Tahoma"/>
            <family val="2"/>
          </rPr>
          <t>vlakhani:</t>
        </r>
        <r>
          <rPr>
            <sz val="8"/>
            <color indexed="81"/>
            <rFont val="Tahoma"/>
            <family val="2"/>
          </rPr>
          <t xml:space="preserve">
110% of US price
</t>
        </r>
      </text>
    </comment>
    <comment ref="J59" authorId="1">
      <text>
        <r>
          <rPr>
            <b/>
            <sz val="8"/>
            <color indexed="81"/>
            <rFont val="Tahoma"/>
            <family val="2"/>
          </rPr>
          <t>vlakhani:</t>
        </r>
        <r>
          <rPr>
            <sz val="8"/>
            <color indexed="81"/>
            <rFont val="Tahoma"/>
            <family val="2"/>
          </rPr>
          <t xml:space="preserve">
110% of US price
</t>
        </r>
      </text>
    </comment>
    <comment ref="K59" authorId="1">
      <text>
        <r>
          <rPr>
            <b/>
            <sz val="8"/>
            <color indexed="81"/>
            <rFont val="Tahoma"/>
            <family val="2"/>
          </rPr>
          <t>vlakhani:</t>
        </r>
        <r>
          <rPr>
            <sz val="8"/>
            <color indexed="81"/>
            <rFont val="Tahoma"/>
            <family val="2"/>
          </rPr>
          <t xml:space="preserve">
110% of US price
</t>
        </r>
      </text>
    </comment>
    <comment ref="L59" authorId="1">
      <text>
        <r>
          <rPr>
            <b/>
            <sz val="8"/>
            <color indexed="81"/>
            <rFont val="Tahoma"/>
            <family val="2"/>
          </rPr>
          <t>vlakhani:</t>
        </r>
        <r>
          <rPr>
            <sz val="8"/>
            <color indexed="81"/>
            <rFont val="Tahoma"/>
            <family val="2"/>
          </rPr>
          <t xml:space="preserve">
110% of US price
</t>
        </r>
      </text>
    </comment>
    <comment ref="M59" authorId="1">
      <text>
        <r>
          <rPr>
            <b/>
            <sz val="8"/>
            <color indexed="81"/>
            <rFont val="Tahoma"/>
            <family val="2"/>
          </rPr>
          <t>vlakhani:</t>
        </r>
        <r>
          <rPr>
            <sz val="8"/>
            <color indexed="81"/>
            <rFont val="Tahoma"/>
            <family val="2"/>
          </rPr>
          <t xml:space="preserve">
110% of US price
</t>
        </r>
      </text>
    </comment>
    <comment ref="N59" authorId="1">
      <text>
        <r>
          <rPr>
            <b/>
            <sz val="8"/>
            <color indexed="81"/>
            <rFont val="Tahoma"/>
            <family val="2"/>
          </rPr>
          <t>vlakhani:</t>
        </r>
        <r>
          <rPr>
            <sz val="8"/>
            <color indexed="81"/>
            <rFont val="Tahoma"/>
            <family val="2"/>
          </rPr>
          <t xml:space="preserve">
110% of US price
</t>
        </r>
      </text>
    </comment>
    <comment ref="O59" authorId="1">
      <text>
        <r>
          <rPr>
            <b/>
            <sz val="8"/>
            <color indexed="81"/>
            <rFont val="Tahoma"/>
            <family val="2"/>
          </rPr>
          <t>vlakhani:</t>
        </r>
        <r>
          <rPr>
            <sz val="8"/>
            <color indexed="81"/>
            <rFont val="Tahoma"/>
            <family val="2"/>
          </rPr>
          <t xml:space="preserve">
110% of US price
</t>
        </r>
      </text>
    </comment>
  </commentList>
</comments>
</file>

<file path=xl/comments8.xml><?xml version="1.0" encoding="utf-8"?>
<comments xmlns="http://schemas.openxmlformats.org/spreadsheetml/2006/main">
  <authors>
    <author>harrimat</author>
  </authors>
  <commentList>
    <comment ref="B6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Excluding deffered revs from AZ
Last-to-expire period of exclusivity: 
US: 2026
EU: 2022</t>
        </r>
      </text>
    </comment>
    <comment ref="H29" authorId="0">
      <text>
        <r>
          <rPr>
            <b/>
            <sz val="8"/>
            <color indexed="81"/>
            <rFont val="Tahoma"/>
            <family val="2"/>
          </rPr>
          <t>harrimat:</t>
        </r>
        <r>
          <rPr>
            <sz val="8"/>
            <color indexed="81"/>
            <rFont val="Tahoma"/>
            <family val="2"/>
          </rPr>
          <t xml:space="preserve">
CDC says 201,144</t>
        </r>
      </text>
    </comment>
  </commentList>
</comments>
</file>

<file path=xl/comments9.xml><?xml version="1.0" encoding="utf-8"?>
<comments xmlns="http://schemas.openxmlformats.org/spreadsheetml/2006/main">
  <authors>
    <author>Pommer, Matthew S (Research)</author>
  </authors>
  <commentList>
    <comment ref="P4" authorId="0">
      <text>
        <r>
          <rPr>
            <sz val="9"/>
            <color indexed="81"/>
            <rFont val="Tahoma"/>
            <family val="2"/>
          </rPr>
          <t>CELG 1Q14 Call Transcript 4/24/14: "we feel quite good about the IP and there's some differences that we could see with respect to extensions and things like that. But it would go beyond the 2027 timeframe."</t>
        </r>
      </text>
    </comment>
    <comment ref="B9" authorId="0">
      <text>
        <r>
          <rPr>
            <sz val="9"/>
            <color indexed="81"/>
            <rFont val="Tahoma"/>
            <family val="2"/>
          </rPr>
          <t xml:space="preserve">Prevalence of CD in the US: 
</t>
        </r>
        <r>
          <rPr>
            <b/>
            <sz val="9"/>
            <color indexed="81"/>
            <rFont val="Tahoma"/>
            <family val="2"/>
          </rPr>
          <t>201/100,000</t>
        </r>
        <r>
          <rPr>
            <sz val="9"/>
            <color indexed="81"/>
            <rFont val="Tahoma"/>
            <family val="2"/>
          </rPr>
          <t xml:space="preserve"> Source: Clin Gastroenterol Hepatol. 2007;5:1424-29
</t>
        </r>
      </text>
    </comment>
    <comment ref="B14" authorId="0">
      <text>
        <r>
          <rPr>
            <b/>
            <sz val="9"/>
            <color indexed="81"/>
            <rFont val="Tahoma"/>
            <family val="2"/>
          </rPr>
          <t xml:space="preserve">MP: </t>
        </r>
        <r>
          <rPr>
            <sz val="9"/>
            <color indexed="81"/>
            <rFont val="Tahoma"/>
            <family val="2"/>
          </rPr>
          <t xml:space="preserve">Markov model analysis of a population-based cohort. 
Source: Gastroenterology 1999;117:49-57.
</t>
        </r>
      </text>
    </comment>
    <comment ref="B31" authorId="0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 We assume a 25% premium to Remicade/Humira maintenance price given the oral delivery and potential for less infection.
PriceRx lists Remicade WAC  on 9/4/14 of $928.24. Remicade label for Crohn's disease: "5mg/kg at 0, 2 and 6 weeks, then every 8 weeks. Some adults who initially respond to treatment may benefit from increasing the dose to 10mg/kg if they later lose their response. 
Conservative approach taken: Assume all patients treated as maintenance of 5mg/kg every two months. Assume average weight is 180lbs. Result: Average price per patient per year is ~$23K</t>
        </r>
      </text>
    </comment>
  </commentList>
</comments>
</file>

<file path=xl/comments10.xml><?xml version="1.0" encoding="utf-8"?>
<comments xmlns="http://schemas.openxmlformats.org/spreadsheetml/2006/main">
  <authors>
    <author>Purohit, Vikram (Research)</author>
  </authors>
  <commentList>
    <comment ref="F26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Bluebird bio 2016 10-K, p. 22 -- Tiered royalty payments ranging from mid-single digit to low-teens outside the U.S.</t>
        </r>
      </text>
    </comment>
  </commentList>
</comments>
</file>

<file path=xl/comments11.xml><?xml version="1.0" encoding="utf-8"?>
<comments xmlns="http://schemas.openxmlformats.org/spreadsheetml/2006/main">
  <authors>
    <author>Purohit, Vikram (Research)</author>
  </authors>
  <commentList>
    <comment ref="B9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Expected 2018 release of Ozanimod in RMS, as per Celgene guidance</t>
        </r>
      </text>
    </comment>
  </commentList>
</comments>
</file>

<file path=xl/comments12.xml><?xml version="1.0" encoding="utf-8"?>
<comments xmlns="http://schemas.openxmlformats.org/spreadsheetml/2006/main">
  <authors>
    <author>Purohit, Vikram (Research)</author>
  </authors>
  <commentList>
    <comment ref="B9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Expected 2018 release of Ozanimod in RMS, as per Celgene guidance</t>
        </r>
      </text>
    </comment>
  </commentList>
</comments>
</file>

<file path=xl/comments13.xml><?xml version="1.0" encoding="utf-8"?>
<comments xmlns="http://schemas.openxmlformats.org/spreadsheetml/2006/main">
  <authors>
    <author>Purohit, Vikram (Research)</author>
  </authors>
  <commentList>
    <comment ref="I4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Expect 2020 launch given trial timelines communicated 10/26/17:
- Enrollment complete in 2H18
- Assume data in </t>
        </r>
      </text>
    </comment>
    <comment ref="S4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Celgene / Receptos deal presentation mentions IP protection until 2030+, so no expiration modeled</t>
        </r>
      </text>
    </comment>
    <comment ref="D7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US Census data, as of July 2015</t>
        </r>
      </text>
    </comment>
    <comment ref="D8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US Census data (increase from start of 2014 to start of 2015)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UC prevalence of 229 / 100,000 from "Ulcerative Colitis in Olmsted County, Minnesota, 1940-1993: incidence, prevalence, and survival" (Gut, March 2000 - British Society of Gastroenterology) --- triangulated to 200 / 100,000
Sense checks against 2009 estimate of ~600,000 in Digestive Diseases and Sciences (February 2013, Volume 58, Issue 2)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RPC1063 Ph. II Touchstone study inclusion criteria of moderate-to-severe UC (Mayo score 6-12) 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Ulcerative Colitis: Diagnosis and Treatment, Am Fam Physician, November 2007; 27% with moderate disease and 19% with severe disease --- rounded to 45%
Sense checks with Celgene / Receptos deal presentation, which notes 55% of worldwide UC patients are moderate-to-severe</t>
        </r>
      </text>
    </comment>
    <comment ref="B13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RCP1063 Ph. II Touchstone study exclusion criteria
anti-TNF agents seem to be used primarily for moderate-to-severe cases</t>
        </r>
      </text>
    </comment>
    <comment ref="D13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Takeda 3/9/15 Gastroenterology deck, p. 61 (76K of 1.26M UC patients in G7 on biologics)
Sense checks with Takeda estimate of 50,000 UC patients in US currently taking biologics</t>
        </r>
      </text>
    </comment>
    <comment ref="K20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Estimate based on current Remicade global UC share of 10%; premium afforded to RPC1063</t>
        </r>
      </text>
    </comment>
    <comment ref="I21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Assumes trial failure and no commercialization</t>
        </r>
      </text>
    </comment>
  </commentList>
</comments>
</file>

<file path=xl/comments14.xml><?xml version="1.0" encoding="utf-8"?>
<comments xmlns="http://schemas.openxmlformats.org/spreadsheetml/2006/main">
  <authors>
    <author>Purohit, Vikram (Research)</author>
  </authors>
  <commentList>
    <comment ref="B10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COGS / sales of 13%, pegged to Vidaza COGS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Total ~$1B in clinical development cost assumed, as per Tufts 2014 guidance on out-of-pocket costs; ramped up with each phase
- Ph. I: $250M
- Ph. II: $350M
- Ph. III/NDA: $400M
Does not flow directly into R&amp;D on I/S - consider this scratch work</t>
        </r>
      </text>
    </comment>
    <comment ref="L12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Celgene corporate R&amp;D rate from IS tab</t>
        </r>
      </text>
    </comment>
    <comment ref="L14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Celgene corporate SG&amp;A from IS tab</t>
        </r>
      </text>
    </comment>
    <comment ref="B15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70% of WW sales for first year, decreasing to 50% by the fourth year (staying constant at 50% thereafter)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100% of R&amp;D costs until 2016, and then 75% thereafter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AZ responsible for 100% of COGS expense</t>
        </r>
      </text>
    </comment>
    <comment ref="B18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CELG responsible for 100% of SG&amp;A expense</t>
        </r>
      </text>
    </comment>
  </commentList>
</comments>
</file>

<file path=xl/comments15.xml><?xml version="1.0" encoding="utf-8"?>
<comments xmlns="http://schemas.openxmlformats.org/spreadsheetml/2006/main">
  <authors>
    <author>Purohit, Vikram (Research)</author>
  </authors>
  <commentList>
    <comment ref="E8" authorId="0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Bear case assumes regulatory failure</t>
        </r>
      </text>
    </comment>
  </commentList>
</comments>
</file>

<file path=xl/comments16.xml><?xml version="1.0" encoding="utf-8"?>
<comments xmlns="http://schemas.openxmlformats.org/spreadsheetml/2006/main">
  <authors>
    <author>Le, Amy M (Research)</author>
  </authors>
  <commentList>
    <comment ref="AB204" authorId="0">
      <text>
        <r>
          <rPr>
            <b/>
            <sz val="9"/>
            <color indexed="81"/>
            <rFont val="Tahoma"/>
            <family val="2"/>
          </rPr>
          <t>Le, Amy M (Research):</t>
        </r>
        <r>
          <rPr>
            <sz val="9"/>
            <color indexed="81"/>
            <rFont val="Tahoma"/>
            <family val="2"/>
          </rPr>
          <t xml:space="preserve">
40% of cases are diagnosed in patients 20 years and older
Surveillance, Epidemiology, and End Results (SEER) Program. SEER*Stat Database: Incidence-SEER 17 Regs Public Use, Nov. 2010 Sub (2000-2008)-Linked to County Attributes-Total US, 1969-2008 Counties. Bethesda, MD: National Cancer Institute, Division of Cancer Control and Population Sciences, Surveillance Research Program, Cancer Statistics Branch; 2011.</t>
        </r>
      </text>
    </comment>
    <comment ref="AB289" authorId="0">
      <text>
        <r>
          <rPr>
            <b/>
            <sz val="9"/>
            <color indexed="81"/>
            <rFont val="Tahoma"/>
            <family val="2"/>
          </rPr>
          <t>Le, Amy M (Research):</t>
        </r>
        <r>
          <rPr>
            <sz val="9"/>
            <color indexed="81"/>
            <rFont val="Tahoma"/>
            <family val="2"/>
          </rPr>
          <t xml:space="preserve">
40% of cases are diagnosed in patients 20 years and older
Surveillance, Epidemiology, and End Results (SEER) Program. SEER*Stat Database: Incidence-SEER 17 Regs Public Use, Nov. 2010 Sub (2000-2008)-Linked to County Attributes-Total US, 1969-2008 Counties. Bethesda, MD: National Cancer Institute, Division of Cancer Control and Population Sciences, Surveillance Research Program, Cancer Statistics Branch; 2011.</t>
        </r>
      </text>
    </comment>
    <comment ref="AB305" authorId="0">
      <text>
        <r>
          <rPr>
            <b/>
            <sz val="9"/>
            <color indexed="81"/>
            <rFont val="Tahoma"/>
            <family val="2"/>
          </rPr>
          <t>Le, Amy M (Research):</t>
        </r>
        <r>
          <rPr>
            <sz val="9"/>
            <color indexed="81"/>
            <rFont val="Tahoma"/>
            <family val="2"/>
          </rPr>
          <t xml:space="preserve">
40% of cases are diagnosed in patients 20 years and older
Surveillance, Epidemiology, and End Results (SEER) Program. SEER*Stat Database: Incidence-SEER 17 Regs Public Use, Nov. 2010 Sub (2000-2008)-Linked to County Attributes-Total US, 1969-2008 Counties. Bethesda, MD: National Cancer Institute, Division of Cancer Control and Population Sciences, Surveillance Research Program, Cancer Statistics Branch; 2011.</t>
        </r>
      </text>
    </comment>
  </commentList>
</comments>
</file>

<file path=xl/comments17.xml><?xml version="1.0" encoding="utf-8"?>
<comments xmlns="http://schemas.openxmlformats.org/spreadsheetml/2006/main">
  <authors>
    <author>Le, Amy M (Research)</author>
    <author>Purohit, Vikram (Research)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Le, Amy M (Research):</t>
        </r>
        <r>
          <rPr>
            <sz val="9"/>
            <color indexed="81"/>
            <rFont val="Tahoma"/>
            <family val="2"/>
          </rPr>
          <t xml:space="preserve">
HbSS &amp; HbS Beta Thal 0 = most severe 
HbSC &amp;HbS Thal + = milder forms
Beta Thal not incorporated in this model for LentiGlobin</t>
        </r>
      </text>
    </comment>
    <comment ref="I27" authorId="1">
      <text>
        <r>
          <rPr>
            <b/>
            <sz val="9"/>
            <color indexed="81"/>
            <rFont val="Tahoma"/>
            <family val="2"/>
          </rPr>
          <t>Purohit, Vikram (Research):</t>
        </r>
        <r>
          <rPr>
            <sz val="9"/>
            <color indexed="81"/>
            <rFont val="Tahoma"/>
            <family val="2"/>
          </rPr>
          <t xml:space="preserve">
Steep discount to Glybera-level price given competition (GBT) and relatively large market size</t>
        </r>
      </text>
    </comment>
  </commentList>
</comments>
</file>

<file path=xl/sharedStrings.xml><?xml version="1.0" encoding="utf-8"?>
<sst xmlns="http://schemas.openxmlformats.org/spreadsheetml/2006/main" count="2879" uniqueCount="1583">
  <si>
    <t>Canadian pricing settlement</t>
  </si>
  <si>
    <t>1Q10</t>
  </si>
  <si>
    <t>2Q10</t>
  </si>
  <si>
    <t>3Q10</t>
  </si>
  <si>
    <t>4Q10</t>
  </si>
  <si>
    <t>Acquisition inventory step-up</t>
  </si>
  <si>
    <t>1Q09</t>
  </si>
  <si>
    <t>2Q09</t>
  </si>
  <si>
    <t>3Q09</t>
  </si>
  <si>
    <t>4Q09</t>
  </si>
  <si>
    <t>1Q08</t>
  </si>
  <si>
    <t>2Q08</t>
  </si>
  <si>
    <t>3Q08</t>
  </si>
  <si>
    <t>4Q08</t>
  </si>
  <si>
    <t>Non-core</t>
  </si>
  <si>
    <t>1Q07</t>
  </si>
  <si>
    <t>2Q07</t>
  </si>
  <si>
    <t>3Q07</t>
  </si>
  <si>
    <t>4Q07</t>
  </si>
  <si>
    <t>1Q06</t>
  </si>
  <si>
    <t>2Q06</t>
  </si>
  <si>
    <t>3Q06</t>
  </si>
  <si>
    <t>4Q06</t>
  </si>
  <si>
    <t>Quarter</t>
  </si>
  <si>
    <t>2Q12A</t>
  </si>
  <si>
    <t>3Q11A</t>
  </si>
  <si>
    <t>Growth Rate</t>
  </si>
  <si>
    <t>Collaborative Revenue</t>
  </si>
  <si>
    <t>1Q13A</t>
  </si>
  <si>
    <t>4Q12A</t>
  </si>
  <si>
    <t>2012A</t>
  </si>
  <si>
    <t>Market Share of Non-SCT Regimines</t>
  </si>
  <si>
    <t>Kyprolis containing</t>
  </si>
  <si>
    <t>Pomalyst containing</t>
  </si>
  <si>
    <t>3L Market Shares</t>
  </si>
  <si>
    <t>1L Duration (months)</t>
  </si>
  <si>
    <t>2L Duration (months)</t>
  </si>
  <si>
    <t>3L Duration (months)</t>
  </si>
  <si>
    <t>MM</t>
  </si>
  <si>
    <t>SCT Sales</t>
  </si>
  <si>
    <t>Pricing</t>
  </si>
  <si>
    <t>Induction Duration (months)</t>
  </si>
  <si>
    <t>Maintenance Duration (months)</t>
  </si>
  <si>
    <t>$ Total Revlimid SCT Sales</t>
  </si>
  <si>
    <t>$ Total Revlimid Front Line Sales</t>
  </si>
  <si>
    <t>Front Line Revenue Calculations</t>
  </si>
  <si>
    <t>% of Incidence Receiving Treatment</t>
  </si>
  <si>
    <t>$ Average Cost/Month</t>
  </si>
  <si>
    <t>Average Duration (months)</t>
  </si>
  <si>
    <t>Current Year</t>
  </si>
  <si>
    <t>Relapsed/Refractory Treatment - United States</t>
  </si>
  <si>
    <t># Revlimid containing</t>
  </si>
  <si>
    <t># Kyprolis containing</t>
  </si>
  <si>
    <t># Pomalyst containing</t>
  </si>
  <si>
    <t># of 3L Patients</t>
  </si>
  <si>
    <t>All Lines Overview Calculations</t>
  </si>
  <si>
    <t>Front Line Share (% of incidence)</t>
  </si>
  <si>
    <t>Relapsed/Refractory Share (% of net prevalance)</t>
  </si>
  <si>
    <t>Adds to &gt;100% due to Rev/Vel combos</t>
  </si>
  <si>
    <t>Average cycles</t>
  </si>
  <si>
    <t>Days per cycle</t>
  </si>
  <si>
    <t>price per 100mg</t>
  </si>
  <si>
    <t>WAC</t>
  </si>
  <si>
    <t>Average vial multiplier</t>
  </si>
  <si>
    <t>Average Annual Cost</t>
  </si>
  <si>
    <t>Revision</t>
  </si>
  <si>
    <t>Limit</t>
  </si>
  <si>
    <t>Dosage</t>
  </si>
  <si>
    <t>Pkg Size</t>
  </si>
  <si>
    <t>Pkg Qty</t>
  </si>
  <si>
    <t>Billable units/Pkg</t>
  </si>
  <si>
    <t>Billable units/NDC</t>
  </si>
  <si>
    <t>Effective</t>
  </si>
  <si>
    <t xml:space="preserve">Pricing </t>
  </si>
  <si>
    <t>average cycle</t>
  </si>
  <si>
    <t>price per day (10mg)</t>
  </si>
  <si>
    <t>International</t>
  </si>
  <si>
    <t>Total Net Product Sales</t>
  </si>
  <si>
    <t>X</t>
  </si>
  <si>
    <t>Edited for 1-timers</t>
  </si>
  <si>
    <t>Abaxis Divestment</t>
  </si>
  <si>
    <t>Pharmion</t>
  </si>
  <si>
    <t>Collaborative</t>
  </si>
  <si>
    <t>1Q18E</t>
  </si>
  <si>
    <t>2Q18E</t>
  </si>
  <si>
    <t>3Q18E</t>
  </si>
  <si>
    <t>4Q18E</t>
  </si>
  <si>
    <t>1Q19E</t>
  </si>
  <si>
    <t>2Q19E</t>
  </si>
  <si>
    <t>3Q19E</t>
  </si>
  <si>
    <t>4Q19E</t>
  </si>
  <si>
    <t>1Q20E</t>
  </si>
  <si>
    <t>2Q20E</t>
  </si>
  <si>
    <t>3Q20E</t>
  </si>
  <si>
    <t>4Q20E</t>
  </si>
  <si>
    <t>Pomalyst/Imnovid</t>
  </si>
  <si>
    <t>US (Pomalyst)</t>
  </si>
  <si>
    <t>International (Imnovid)</t>
  </si>
  <si>
    <t>Product Revenues</t>
  </si>
  <si>
    <t>Year-Over-Year Growth</t>
  </si>
  <si>
    <t>Incidence</t>
  </si>
  <si>
    <t>Death</t>
  </si>
  <si>
    <t>US Population</t>
  </si>
  <si>
    <t>EU Population</t>
  </si>
  <si>
    <t>http://seer.cancer.gov/</t>
  </si>
  <si>
    <t>References</t>
  </si>
  <si>
    <t>Costa et al, ASH 2012; CIBMTR Study MM12-01</t>
  </si>
  <si>
    <t>Market Share of Induction Regimines</t>
  </si>
  <si>
    <t>Revlimid containing</t>
  </si>
  <si>
    <t>Thalomid containing</t>
  </si>
  <si>
    <t>Velcade containing</t>
  </si>
  <si>
    <t>Other</t>
  </si>
  <si>
    <t>2005-2010 ave</t>
  </si>
  <si>
    <t>Chemo (VAD/Similar)</t>
  </si>
  <si>
    <t># of Revlimid Induction Patients</t>
  </si>
  <si>
    <t>Front Line Treatment - United States</t>
  </si>
  <si>
    <t>2004A</t>
  </si>
  <si>
    <t>2005A</t>
  </si>
  <si>
    <t>2006A</t>
  </si>
  <si>
    <t>2018E</t>
  </si>
  <si>
    <t>2019E</t>
  </si>
  <si>
    <t>2020E</t>
  </si>
  <si>
    <t>Revlimid</t>
  </si>
  <si>
    <t>Thalomid</t>
  </si>
  <si>
    <t>3Q12A</t>
  </si>
  <si>
    <t>4Q11A</t>
  </si>
  <si>
    <t>Price</t>
  </si>
  <si>
    <t>MDS</t>
  </si>
  <si>
    <t>EU</t>
  </si>
  <si>
    <t>Vidaza</t>
  </si>
  <si>
    <t xml:space="preserve">Revlimid </t>
  </si>
  <si>
    <t>2010A</t>
  </si>
  <si>
    <t>1 MG</t>
  </si>
  <si>
    <t>2002A</t>
  </si>
  <si>
    <t>2003A</t>
  </si>
  <si>
    <t>2007A</t>
  </si>
  <si>
    <t>2008A</t>
  </si>
  <si>
    <t>2009A</t>
  </si>
  <si>
    <t>1Q03A</t>
  </si>
  <si>
    <t>2Q03A</t>
  </si>
  <si>
    <t>3Q03A</t>
  </si>
  <si>
    <t>4Q03A</t>
  </si>
  <si>
    <t>1Q04A</t>
  </si>
  <si>
    <t>2Q04A</t>
  </si>
  <si>
    <t>3Q04A</t>
  </si>
  <si>
    <t>4Q04A</t>
  </si>
  <si>
    <t>1Q05A</t>
  </si>
  <si>
    <t>2Q05A</t>
  </si>
  <si>
    <t>3Q05A</t>
  </si>
  <si>
    <t>4Q05A</t>
  </si>
  <si>
    <t>1Q06A</t>
  </si>
  <si>
    <t>2Q06A</t>
  </si>
  <si>
    <t>3Q06A</t>
  </si>
  <si>
    <t>4Q06A</t>
  </si>
  <si>
    <t>1Q07A</t>
  </si>
  <si>
    <t>2Q07A</t>
  </si>
  <si>
    <t>3Q07A</t>
  </si>
  <si>
    <t>4Q07A</t>
  </si>
  <si>
    <t>1Q08A</t>
  </si>
  <si>
    <t>2Q08A</t>
  </si>
  <si>
    <t>3Q08A</t>
  </si>
  <si>
    <t>4Q08A</t>
  </si>
  <si>
    <t>1Q09A</t>
  </si>
  <si>
    <t>2Q09A</t>
  </si>
  <si>
    <t>3Q09A</t>
  </si>
  <si>
    <t>4Q09A</t>
  </si>
  <si>
    <t>1Q10A</t>
  </si>
  <si>
    <t>2Q10A</t>
  </si>
  <si>
    <t>3Q10A</t>
  </si>
  <si>
    <t>4Q10A</t>
  </si>
  <si>
    <t>1Q11A</t>
  </si>
  <si>
    <t>2Q11A</t>
  </si>
  <si>
    <t>Total Revenues</t>
  </si>
  <si>
    <t>Gross Profit</t>
  </si>
  <si>
    <t>Operating Margin</t>
  </si>
  <si>
    <t>GAAP Net Income</t>
  </si>
  <si>
    <t>Total Revenue</t>
  </si>
  <si>
    <t>Istodax</t>
  </si>
  <si>
    <t>R&amp;D</t>
  </si>
  <si>
    <t>SG&amp;A</t>
  </si>
  <si>
    <t>Total revenue</t>
  </si>
  <si>
    <t>US</t>
  </si>
  <si>
    <t>Abraxane</t>
  </si>
  <si>
    <t>Royalty Revenue</t>
  </si>
  <si>
    <t>COGS</t>
  </si>
  <si>
    <t>Total COGS</t>
  </si>
  <si>
    <t>3Q13A</t>
  </si>
  <si>
    <t>2011A</t>
  </si>
  <si>
    <t>2Q13A</t>
  </si>
  <si>
    <t>1Q12A</t>
  </si>
  <si>
    <t>Net product sales</t>
  </si>
  <si>
    <t>Other revenue</t>
  </si>
  <si>
    <t>Consensus Revenue</t>
  </si>
  <si>
    <t>Operating Income</t>
  </si>
  <si>
    <t>Total non-operating Income</t>
  </si>
  <si>
    <t>Pretax Income</t>
  </si>
  <si>
    <t>Taxes</t>
  </si>
  <si>
    <t>Net Income</t>
  </si>
  <si>
    <t>Tax rate</t>
  </si>
  <si>
    <t>Reconcilliation to GAAP</t>
  </si>
  <si>
    <t>Adjustments to COGS</t>
  </si>
  <si>
    <t>Options expense</t>
  </si>
  <si>
    <t>IPR&amp;D impairments</t>
  </si>
  <si>
    <t>Upfront collaboration milestones</t>
  </si>
  <si>
    <t>Amortization of intangibles</t>
  </si>
  <si>
    <t>Acquisition charges</t>
  </si>
  <si>
    <t>Contingent consideration</t>
  </si>
  <si>
    <t>Acquisition/restructuring costs</t>
  </si>
  <si>
    <t>Tax adjustments</t>
  </si>
  <si>
    <t>GAAP EPS (incl. options)</t>
  </si>
  <si>
    <t>Basic Shares</t>
  </si>
  <si>
    <t>Diluted Shares</t>
  </si>
  <si>
    <t>Interest expense</t>
  </si>
  <si>
    <t>Other income</t>
  </si>
  <si>
    <t>Interest income</t>
  </si>
  <si>
    <t>1Q13</t>
  </si>
  <si>
    <t>2Q13</t>
  </si>
  <si>
    <t>3Q13</t>
  </si>
  <si>
    <t>4Q13</t>
  </si>
  <si>
    <t>Net Income (incl. options)</t>
  </si>
  <si>
    <t>Celgene Income Statement</t>
  </si>
  <si>
    <t>1Q12</t>
  </si>
  <si>
    <t>2Q12</t>
  </si>
  <si>
    <t>3Q12</t>
  </si>
  <si>
    <t>4Q12</t>
  </si>
  <si>
    <t>Products to be exited</t>
  </si>
  <si>
    <t>Equity (gains) losses of affiliated</t>
  </si>
  <si>
    <t>1Q11</t>
  </si>
  <si>
    <t>2Q11</t>
  </si>
  <si>
    <t>3Q11</t>
  </si>
  <si>
    <t>4Q11</t>
  </si>
  <si>
    <t>Equity in affiliated companies</t>
  </si>
  <si>
    <t>EntreMed</t>
  </si>
  <si>
    <t>Abraxis</t>
  </si>
  <si>
    <t>Interest/other, net</t>
  </si>
  <si>
    <t>1Q05</t>
  </si>
  <si>
    <t>2Q05</t>
  </si>
  <si>
    <t>3Q05</t>
  </si>
  <si>
    <t>4Q05</t>
  </si>
  <si>
    <t>1Q04</t>
  </si>
  <si>
    <t>2Q04</t>
  </si>
  <si>
    <t>3Q04</t>
  </si>
  <si>
    <t>4Q04</t>
  </si>
  <si>
    <t>1Q03</t>
  </si>
  <si>
    <t>2Q03</t>
  </si>
  <si>
    <t>3Q03</t>
  </si>
  <si>
    <t>4Q03</t>
  </si>
  <si>
    <t>COGS Calculation</t>
  </si>
  <si>
    <t>COGS Percentages</t>
  </si>
  <si>
    <t>Total</t>
  </si>
  <si>
    <t>SG&amp;A (as a % of sales)</t>
  </si>
  <si>
    <t>R&amp;D (as a % of sales)</t>
  </si>
  <si>
    <t>Gross Margin (total revenue)</t>
  </si>
  <si>
    <t>COGS (product revenue)</t>
  </si>
  <si>
    <t>Net Margin</t>
  </si>
  <si>
    <t>EBITDA Margin</t>
  </si>
  <si>
    <t>Operating margin (EBIT)</t>
  </si>
  <si>
    <t>EBITDA margin</t>
  </si>
  <si>
    <t>Breast</t>
  </si>
  <si>
    <t>NSCLC</t>
  </si>
  <si>
    <t>Pancreatic</t>
  </si>
  <si>
    <t>Number of Taxol Treated Patients</t>
  </si>
  <si>
    <t>Abraxane market share</t>
  </si>
  <si>
    <t>Total Patients on Abraxane</t>
  </si>
  <si>
    <t>Duration (months)</t>
  </si>
  <si>
    <t>Monthly cost</t>
  </si>
  <si>
    <t>back calculated from Abraxane share of ~35% in 2007, 38% in 2008 and 31% in 2009</t>
  </si>
  <si>
    <t>US metastatic Breast Cancer</t>
  </si>
  <si>
    <t>US Breast Cancer Sales</t>
  </si>
  <si>
    <t>US Lung Cancer (NSCLC)</t>
  </si>
  <si>
    <t>Incidence of lung cancer</t>
  </si>
  <si>
    <t>% NSCLC</t>
  </si>
  <si>
    <t># NSCLC Patients</t>
  </si>
  <si>
    <t>http://www.cdc.gov/cancer/lung/statistics/</t>
  </si>
  <si>
    <t>Barzi A and Pennell NA. Targeting angiogenesis in non-small cell lung cancer: agents in practice and clinical development. EJCMO (2010). 2(1):31-42</t>
  </si>
  <si>
    <t>Stages:</t>
  </si>
  <si>
    <t>% Stage I-IIIa</t>
  </si>
  <si>
    <t>% Stage IIIb-IV</t>
  </si>
  <si>
    <t># Stage IIIb-IV</t>
  </si>
  <si>
    <t>http://www.cancer.org/acs/groups/cid/documents/webcontent/003115-pdf.pdf</t>
  </si>
  <si>
    <t>http://www.lung.org/lung-disease/lung-cancer/resources/facts-figures/lung-cancer-fact-sheet.html</t>
  </si>
  <si>
    <t>% Stage IIIb-IV treated with chemotherapy</t>
  </si>
  <si>
    <t># Stage IIIb-IV Abraxane eligible</t>
  </si>
  <si>
    <t>% squamous</t>
  </si>
  <si>
    <t># squamous</t>
  </si>
  <si>
    <t>% non-squamous</t>
  </si>
  <si>
    <t># non-squamous</t>
  </si>
  <si>
    <t>% progressing</t>
  </si>
  <si>
    <t># Second line</t>
  </si>
  <si>
    <t># Salvage</t>
  </si>
  <si>
    <t>Penetration</t>
  </si>
  <si>
    <t>Squamous</t>
  </si>
  <si>
    <t>Non-squamous</t>
  </si>
  <si>
    <t>Second Line</t>
  </si>
  <si>
    <t>Salvage</t>
  </si>
  <si>
    <t>Total patient months</t>
  </si>
  <si>
    <t>Total sales</t>
  </si>
  <si>
    <t>Monthly cost ($)</t>
  </si>
  <si>
    <t>Roche 2012 IR day - cites 72,000</t>
  </si>
  <si>
    <t>US Metastatic Pancreatic Cancer</t>
  </si>
  <si>
    <t>Advanced Treated Patients</t>
  </si>
  <si>
    <t>Roche Analyst Day 2012 - Appendix slides</t>
  </si>
  <si>
    <t>% Front Line</t>
  </si>
  <si>
    <t># Front Line</t>
  </si>
  <si>
    <t>Perforamance Status</t>
  </si>
  <si>
    <t>≥ 70</t>
  </si>
  <si>
    <t>&lt; 70</t>
  </si>
  <si>
    <t>% Second Line</t>
  </si>
  <si>
    <t xml:space="preserve">% Treatment Eligible </t>
  </si>
  <si>
    <t>15% too old</t>
  </si>
  <si>
    <t>Need source --- also, need to better understand PS2 pts split between 50,60,70</t>
  </si>
  <si>
    <t># Performance Status ≥ 70</t>
  </si>
  <si>
    <t># Performance Status &lt; 70</t>
  </si>
  <si>
    <t>Total Patients</t>
  </si>
  <si>
    <t>Revenues</t>
  </si>
  <si>
    <t>Performance Status ≥ 70</t>
  </si>
  <si>
    <t>Performance Status &lt; 70</t>
  </si>
  <si>
    <t>Total patients</t>
  </si>
  <si>
    <t>Total Sales</t>
  </si>
  <si>
    <t>Label PFS was 5.5mo, take a discount for real world</t>
  </si>
  <si>
    <t>Guess given degredation in PS</t>
  </si>
  <si>
    <t>Total Abraxane</t>
  </si>
  <si>
    <t>Enbrel</t>
  </si>
  <si>
    <t>Humira</t>
  </si>
  <si>
    <t>Remicade</t>
  </si>
  <si>
    <t>Simponi</t>
  </si>
  <si>
    <t>Stelara</t>
  </si>
  <si>
    <t xml:space="preserve">Total </t>
  </si>
  <si>
    <t>Growth</t>
  </si>
  <si>
    <t>Psoriasis - Sales</t>
  </si>
  <si>
    <t>Patient Breakdown for P (estimated total numbers)</t>
  </si>
  <si>
    <t>Market Share in P (by drug)</t>
  </si>
  <si>
    <t>Volume Growth in P (Y/Y)</t>
  </si>
  <si>
    <t>Price Growth in P (Y/Y)</t>
  </si>
  <si>
    <t>Celgene Market Sizing</t>
  </si>
  <si>
    <t>No Tx</t>
  </si>
  <si>
    <t>Topicals Only</t>
  </si>
  <si>
    <t>Oral systemics</t>
  </si>
  <si>
    <t>Biologics</t>
  </si>
  <si>
    <t>% Biologics</t>
  </si>
  <si>
    <t># Biologics</t>
  </si>
  <si>
    <t>% Orals</t>
  </si>
  <si>
    <t># Orals</t>
  </si>
  <si>
    <t>% of patients with PsO who develop PsA</t>
  </si>
  <si>
    <t>Literature and Humira/Remicade Sales split</t>
  </si>
  <si>
    <t>Consensus EPS</t>
  </si>
  <si>
    <t>% of operating expenses</t>
  </si>
  <si>
    <t>Tax impact</t>
  </si>
  <si>
    <t>Celgene ASH 2013 Slides</t>
  </si>
  <si>
    <t># Receiving Treatment</t>
  </si>
  <si>
    <t>Multiple Myeloma Patient Numbers</t>
  </si>
  <si>
    <t>SCT Population</t>
  </si>
  <si>
    <t>% SCT Eligible</t>
  </si>
  <si>
    <t>% Treated with SCT</t>
  </si>
  <si>
    <t>% of overall patients treated with SCT</t>
  </si>
  <si>
    <t># SCT Treated</t>
  </si>
  <si>
    <t>Appox 7,000 US pts treated with SCT</t>
  </si>
  <si>
    <t>% of Induction Patients On Maintenance</t>
  </si>
  <si>
    <t># of Revlimid Induction Maintenance Patients</t>
  </si>
  <si>
    <t>SCT Treated Population</t>
  </si>
  <si>
    <t>SCT Non-Treated Population</t>
  </si>
  <si>
    <t># SCT Non-Treated</t>
  </si>
  <si>
    <t>1st Line Induction Population (SCT Ineligible)</t>
  </si>
  <si>
    <t># 1st Line Induction</t>
  </si>
  <si>
    <t>Market Share</t>
  </si>
  <si>
    <t># of Revlimid Patients</t>
  </si>
  <si>
    <t>% on Continuous Therapy</t>
  </si>
  <si>
    <t># on Continuous Therapy</t>
  </si>
  <si>
    <t>Y/Y Growth</t>
  </si>
  <si>
    <t>Total Duration (months)</t>
  </si>
  <si>
    <t>Average Duration for SCT Patients</t>
  </si>
  <si>
    <t>SCT Non-Treated Sales</t>
  </si>
  <si>
    <t>$ Total Revlimid SCT Non-Treated Sales</t>
  </si>
  <si>
    <t># Induction Patients</t>
  </si>
  <si>
    <t>$ Induction Revenue ($M)</t>
  </si>
  <si>
    <t>PY1</t>
  </si>
  <si>
    <t># Maintenance Patients</t>
  </si>
  <si>
    <t>$ Maintenance Revenue ($M)</t>
  </si>
  <si>
    <t>Average Duration for SCT Non-Treated Patients</t>
  </si>
  <si>
    <t># of Revlimid 1st Line Induction Patients</t>
  </si>
  <si>
    <t>1st Line Induction Sales</t>
  </si>
  <si>
    <t>$ Total Revlimid 1st Line Induction Sales</t>
  </si>
  <si>
    <t>$ Total Revlimid Relapsed/Refractory Sales</t>
  </si>
  <si>
    <t>Relapsed/Refractory Revenue Calculations</t>
  </si>
  <si>
    <t>PY2</t>
  </si>
  <si>
    <t>Pomalyst</t>
  </si>
  <si>
    <t>Kyprolis</t>
  </si>
  <si>
    <t>$ Total Pomalyst Relapsed/Refractory Sales</t>
  </si>
  <si>
    <t>$ Total Kyprolis Relapsed/Refractory Sales</t>
  </si>
  <si>
    <t>Total MM Revenue ($M)</t>
  </si>
  <si>
    <t>http://eco.iarc.fr/eucan/Cancer.aspx?Cancer=39</t>
  </si>
  <si>
    <t>Appox 9,000 EU pts treated with SCT</t>
  </si>
  <si>
    <t>Front Line Treatment - International</t>
  </si>
  <si>
    <t>Relapsed/Refractory Treatment - International</t>
  </si>
  <si>
    <t>Revlimid - United States</t>
  </si>
  <si>
    <t>Multiple Myeloma</t>
  </si>
  <si>
    <t>Revlimid - International</t>
  </si>
  <si>
    <t>Biologics population</t>
  </si>
  <si>
    <t>Orals population</t>
  </si>
  <si>
    <t>Psoriasis Market Model - United States</t>
  </si>
  <si>
    <t>Total Biologic Patients</t>
  </si>
  <si>
    <t>Derived from Amgen model; based on drug prices and annual pricing</t>
  </si>
  <si>
    <t>Psoriasis Treatment by Therapy</t>
  </si>
  <si>
    <t>No treatment</t>
  </si>
  <si>
    <t>Topicals</t>
  </si>
  <si>
    <t>% breakdown based on Celgene numbers from Derm Assoc. presentation</t>
  </si>
  <si>
    <t>Total Psoriasis market based on size of biologics market</t>
  </si>
  <si>
    <t>Total Psoriasis Market</t>
  </si>
  <si>
    <t>$  PsA Sales</t>
  </si>
  <si>
    <t>$ Psoriasis Sales</t>
  </si>
  <si>
    <t>% Low Risk</t>
  </si>
  <si>
    <t>% High Risk</t>
  </si>
  <si>
    <t># Low Risk</t>
  </si>
  <si>
    <t># High Risk</t>
  </si>
  <si>
    <t>Prevalance (US)</t>
  </si>
  <si>
    <t xml:space="preserve">Low Risk </t>
  </si>
  <si>
    <t>Market Shares</t>
  </si>
  <si>
    <t>High Risk</t>
  </si>
  <si>
    <t>% Vidaza</t>
  </si>
  <si>
    <t>% Revlimid</t>
  </si>
  <si>
    <t>Patients</t>
  </si>
  <si>
    <t># Patients</t>
  </si>
  <si>
    <t>$ Annual Cost</t>
  </si>
  <si>
    <t>$ US Revlimid Sales</t>
  </si>
  <si>
    <t>$ US Vidaza Sales</t>
  </si>
  <si>
    <t>US MDS Market</t>
  </si>
  <si>
    <t>EU MDS Market</t>
  </si>
  <si>
    <t>Prevalance (EU)</t>
  </si>
  <si>
    <t>Low Risk</t>
  </si>
  <si>
    <t>$ EU Revlimid Sales</t>
  </si>
  <si>
    <t>$ EU Vidaza Sales</t>
  </si>
  <si>
    <t>Scratch Work</t>
  </si>
  <si>
    <t>Guidance</t>
  </si>
  <si>
    <t>Net prevalence (prevalence - incidence)</t>
  </si>
  <si>
    <t>Prevalence</t>
  </si>
  <si>
    <t>% 1L</t>
  </si>
  <si>
    <t>% 2L</t>
  </si>
  <si>
    <t>% 3L</t>
  </si>
  <si>
    <t>% No treatment</t>
  </si>
  <si>
    <t>MM Death</t>
  </si>
  <si>
    <t>Celgene ASH 2013 Slides, assuming ratio of US to EU duration is fixed for 2013 (~1.7x)</t>
  </si>
  <si>
    <t>Celgene commentary</t>
  </si>
  <si>
    <t>90% gross to net, 80% compliance, so ~72% of WAC</t>
  </si>
  <si>
    <t>Compliance accounted for in price</t>
  </si>
  <si>
    <t>http://myeloma.org/pdfs/EmergingtherapiesEJHDimopoulos.pdf</t>
  </si>
  <si>
    <t>Relapsed (1L) Population</t>
  </si>
  <si>
    <t>% Revlimid containing</t>
  </si>
  <si>
    <t>% Kyprolis containing</t>
  </si>
  <si>
    <t>% Pomalyst containing</t>
  </si>
  <si>
    <t>% Other</t>
  </si>
  <si>
    <t>Refractory (2L) Population</t>
  </si>
  <si>
    <t>Double-Refractory (3L) Population</t>
  </si>
  <si>
    <t>Relapsed/Refractory Revenues</t>
  </si>
  <si>
    <t>Front Line Revenues</t>
  </si>
  <si>
    <t>All Lines Overview</t>
  </si>
  <si>
    <t>All Cause Death</t>
  </si>
  <si>
    <t>Net Adds</t>
  </si>
  <si>
    <t>Total Mortality</t>
  </si>
  <si>
    <t>Pomalyst - Orphan Drug Exclusivity 2/8/2020</t>
  </si>
  <si>
    <t>Revlimid - Orphan Drug Exclusivity 6/5/2020</t>
  </si>
  <si>
    <t xml:space="preserve">Bull </t>
  </si>
  <si>
    <t xml:space="preserve">Base </t>
  </si>
  <si>
    <t>Bear</t>
  </si>
  <si>
    <t>Bull</t>
  </si>
  <si>
    <t>Base</t>
  </si>
  <si>
    <t>X = RED = Scenario Row</t>
  </si>
  <si>
    <t>Linked to Row 83</t>
  </si>
  <si>
    <t>Assume Velcade generics hit it</t>
  </si>
  <si>
    <t>Reflect generic Velcade</t>
  </si>
  <si>
    <t>Take into account generic Velcade</t>
  </si>
  <si>
    <t>Linked to Row 94</t>
  </si>
  <si>
    <t>Linked to Row 49</t>
  </si>
  <si>
    <t>Abraxane Market Model - Global</t>
  </si>
  <si>
    <t xml:space="preserve">Cash and Cash Equivalents </t>
  </si>
  <si>
    <t>Marketable Securities</t>
  </si>
  <si>
    <t>Accounts receivable</t>
  </si>
  <si>
    <t>Inventories</t>
  </si>
  <si>
    <t>Deferred Income Taxes</t>
  </si>
  <si>
    <t>Other Current Assets</t>
  </si>
  <si>
    <t xml:space="preserve">Assets held for sale </t>
  </si>
  <si>
    <t>Total current assets</t>
  </si>
  <si>
    <t>Property and Equipment, net</t>
  </si>
  <si>
    <t>Investment in Affiliated Company</t>
  </si>
  <si>
    <t>Intangible Assets, net</t>
  </si>
  <si>
    <t>Goodwill</t>
  </si>
  <si>
    <t>Other Assets</t>
  </si>
  <si>
    <t>Total assets</t>
  </si>
  <si>
    <t>Short-term borrowings</t>
  </si>
  <si>
    <t xml:space="preserve">Accounts payable </t>
  </si>
  <si>
    <t>Accrued Expense</t>
  </si>
  <si>
    <t>Income Taxes Payable</t>
  </si>
  <si>
    <t xml:space="preserve">Current Portion of Deferred Revenue </t>
  </si>
  <si>
    <t>Other Current Liabilities</t>
  </si>
  <si>
    <t xml:space="preserve">Liabilities of disposal group </t>
  </si>
  <si>
    <t>Total current liabilities</t>
  </si>
  <si>
    <t xml:space="preserve">Income taxes payable </t>
  </si>
  <si>
    <t xml:space="preserve">Deferred income taxes </t>
  </si>
  <si>
    <t xml:space="preserve">Long-term debt, net of discount </t>
  </si>
  <si>
    <t>Other non-current Liabilities</t>
  </si>
  <si>
    <t>Total liabilities</t>
  </si>
  <si>
    <t>Minority Interest</t>
  </si>
  <si>
    <t>Preferred stock</t>
  </si>
  <si>
    <t>Common stock</t>
  </si>
  <si>
    <t>Common stock in treasury, at cost</t>
  </si>
  <si>
    <t xml:space="preserve">Additional paid-in capital </t>
  </si>
  <si>
    <t xml:space="preserve">Retained earnings (accumulated deficit) </t>
  </si>
  <si>
    <t>Accumulated other comprehensive income</t>
  </si>
  <si>
    <t>Total stockholders' equity</t>
  </si>
  <si>
    <t>Total Liabilities and Shareholder's Equity</t>
  </si>
  <si>
    <t>Balance Sheet Ratios</t>
  </si>
  <si>
    <t>Revenue</t>
  </si>
  <si>
    <t>Expenses</t>
  </si>
  <si>
    <t>NI</t>
  </si>
  <si>
    <t>Operating CF</t>
  </si>
  <si>
    <t>Capex</t>
  </si>
  <si>
    <t>Operating Activity</t>
  </si>
  <si>
    <t>Accounts receivable turnover</t>
  </si>
  <si>
    <t>na</t>
  </si>
  <si>
    <t>Inventory Turnover</t>
  </si>
  <si>
    <t>Accounts Payable Turnover</t>
  </si>
  <si>
    <t>Days receivables outstanding</t>
  </si>
  <si>
    <t xml:space="preserve">Days inventory outstanding </t>
  </si>
  <si>
    <t xml:space="preserve">Days payable outstanding </t>
  </si>
  <si>
    <t>Accounts Receivable</t>
  </si>
  <si>
    <t>% of Revenue</t>
  </si>
  <si>
    <t>Other current assets</t>
  </si>
  <si>
    <t>% revenue</t>
  </si>
  <si>
    <t>% total current assets</t>
  </si>
  <si>
    <t xml:space="preserve">Accounts Payable </t>
  </si>
  <si>
    <t>% of Expenses</t>
  </si>
  <si>
    <t>Deferred Revenue (current)</t>
  </si>
  <si>
    <t>Deferred Revenue (non-current)</t>
  </si>
  <si>
    <t>Liquidity</t>
  </si>
  <si>
    <t>Current Ratio (CA/CL)</t>
  </si>
  <si>
    <t>Quick Ratio ((Cash+AR)/CL)</t>
  </si>
  <si>
    <t>Profitability</t>
  </si>
  <si>
    <t>ROE (NI/Ave. Equity)</t>
  </si>
  <si>
    <t>ROA (NI/Ave. Assets)</t>
  </si>
  <si>
    <t>Gross Profit Margin</t>
  </si>
  <si>
    <t>Profit Margin (NI/Total Sales)</t>
  </si>
  <si>
    <t>Fixed Asset Turnover (Total Sales/Ave. Net PPE)</t>
  </si>
  <si>
    <t>Total Assets Turnover (Total Sales/Ave. Assets)</t>
  </si>
  <si>
    <t>Capital Struct. Leverage (Ave. Assets/Ave. Equity)</t>
  </si>
  <si>
    <t>Leverage</t>
  </si>
  <si>
    <t>Total Leverage (Total Debt/EBITDA)</t>
  </si>
  <si>
    <t>Interest Coverage (EBITDA/Interest)</t>
  </si>
  <si>
    <t>Long Term Debt/Equity</t>
  </si>
  <si>
    <t>OCF/Ave. Current Liabilities</t>
  </si>
  <si>
    <t>OCF/Ave. Total Liabilities</t>
  </si>
  <si>
    <t>OCF/Capital Expenditures</t>
  </si>
  <si>
    <t>Net Debt/Total Capital</t>
  </si>
  <si>
    <t>Cap Ex</t>
  </si>
  <si>
    <t>Property Plant &amp; Equipment</t>
  </si>
  <si>
    <t xml:space="preserve">     Beginning balance</t>
  </si>
  <si>
    <t xml:space="preserve">     Capital expenditures</t>
  </si>
  <si>
    <t xml:space="preserve">          % revenue</t>
  </si>
  <si>
    <t xml:space="preserve">     Depreciation</t>
  </si>
  <si>
    <t xml:space="preserve">     Others</t>
  </si>
  <si>
    <t xml:space="preserve">     Ending balance</t>
  </si>
  <si>
    <t>Fixed Asset Turnover (CHECK)</t>
  </si>
  <si>
    <t>Depreciation and Amortization from</t>
  </si>
  <si>
    <t>Existing PP&amp;E</t>
  </si>
  <si>
    <t>2003 capital expenditures</t>
  </si>
  <si>
    <t>2004 capital expenditures</t>
  </si>
  <si>
    <t>2005 capital expenditures</t>
  </si>
  <si>
    <t>2006 capital expenditures</t>
  </si>
  <si>
    <t>2007 capital expenditures</t>
  </si>
  <si>
    <t>2008 capital expenditures</t>
  </si>
  <si>
    <t>2009 capital expenditures</t>
  </si>
  <si>
    <t>2010 capital expenditures</t>
  </si>
  <si>
    <t>2011 capital expenditures</t>
  </si>
  <si>
    <t>2012 capital expenditures</t>
  </si>
  <si>
    <t>2013 capital expenditures</t>
  </si>
  <si>
    <t>2014 capital expenditures</t>
  </si>
  <si>
    <t>2015 capital expenditures</t>
  </si>
  <si>
    <t>2016 capital expenditures</t>
  </si>
  <si>
    <t>2017 capital expenditures</t>
  </si>
  <si>
    <t>Total depreciation</t>
  </si>
  <si>
    <t>Total depreciation and amortization</t>
  </si>
  <si>
    <t>Acquisitions</t>
  </si>
  <si>
    <t>Additions net of cash:</t>
  </si>
  <si>
    <t>Allocation to IPR&amp;D (Expensed)</t>
  </si>
  <si>
    <t>Allocation (%)</t>
  </si>
  <si>
    <t>Allocation to Goodwill</t>
  </si>
  <si>
    <t>Allocation to Intangibles/Technology Rights</t>
  </si>
  <si>
    <t>Total Goodwill</t>
  </si>
  <si>
    <t>Total Intangibles</t>
  </si>
  <si>
    <t>Amortization of Existing Intangible Assets</t>
  </si>
  <si>
    <t>Implied Life of Intangibles</t>
  </si>
  <si>
    <t>Return on invested capital (non-GAAP)</t>
  </si>
  <si>
    <t>Sales</t>
  </si>
  <si>
    <t>EBIT</t>
  </si>
  <si>
    <t>NOPAT</t>
  </si>
  <si>
    <t>NOPAT margin</t>
  </si>
  <si>
    <t>Accounts receivables</t>
  </si>
  <si>
    <t>Inventory</t>
  </si>
  <si>
    <t>Net PP&amp;E</t>
  </si>
  <si>
    <t>Noncurrent assets</t>
  </si>
  <si>
    <t>Goodwill &amp; other intangibles</t>
  </si>
  <si>
    <t>Operating assets</t>
  </si>
  <si>
    <t>Accounts payable</t>
  </si>
  <si>
    <t>Other current liabilities</t>
  </si>
  <si>
    <t>Other long-term liabilities</t>
  </si>
  <si>
    <t>Operating liabilities</t>
  </si>
  <si>
    <t>Net operating assets</t>
  </si>
  <si>
    <t>Asset turnover</t>
  </si>
  <si>
    <t>Shares Outstanding</t>
  </si>
  <si>
    <t xml:space="preserve">2.450% senior notes due 2015 </t>
  </si>
  <si>
    <t>Interest Expense Rate</t>
  </si>
  <si>
    <t>Interest Expense</t>
  </si>
  <si>
    <t>Issuances/ (repayments)</t>
  </si>
  <si>
    <t>1.900% senior notes due 2017</t>
  </si>
  <si>
    <t>3.950% senior notes due 2020</t>
  </si>
  <si>
    <t>3.250% senior notes due 2022</t>
  </si>
  <si>
    <t xml:space="preserve">5.700% senior notes due 2040 </t>
  </si>
  <si>
    <t>Total Debt</t>
  </si>
  <si>
    <t>Total Interest</t>
  </si>
  <si>
    <t>Interest Rate Swaps</t>
  </si>
  <si>
    <t>Check</t>
  </si>
  <si>
    <t>Depreciation + Amortization</t>
  </si>
  <si>
    <t xml:space="preserve">    Depreciation</t>
  </si>
  <si>
    <t xml:space="preserve">    Amortization</t>
  </si>
  <si>
    <t xml:space="preserve">Allocation of pre-paid royalties </t>
  </si>
  <si>
    <t xml:space="preserve">Provision (benefit) for accounts receivable allowances </t>
  </si>
  <si>
    <t>Impairment of acquired in-process research and development</t>
  </si>
  <si>
    <t xml:space="preserve">Change in value of contingent consideration </t>
  </si>
  <si>
    <t xml:space="preserve">Acquired in-process research and development </t>
  </si>
  <si>
    <t xml:space="preserve">Share-based compensation expense </t>
  </si>
  <si>
    <t xml:space="preserve">Equity in losses of affiliated companies </t>
  </si>
  <si>
    <t>Shares issued for employee benefit plans</t>
  </si>
  <si>
    <t xml:space="preserve">Unrealized change in value of foreign currency forward contracts </t>
  </si>
  <si>
    <t>Realized Gain on Marketable Securities</t>
  </si>
  <si>
    <t xml:space="preserve">Total Change in Working Capital </t>
  </si>
  <si>
    <t>Increase in accounts receivable</t>
  </si>
  <si>
    <t>(Increase) decrease in inventory</t>
  </si>
  <si>
    <t>(Increase) decrease in other operating assets</t>
  </si>
  <si>
    <t>Assets held for sale</t>
  </si>
  <si>
    <t>Increase in accounts payable and accrued expenses</t>
  </si>
  <si>
    <t>Payment of contingent consideration</t>
  </si>
  <si>
    <t>Increase in income tax payable</t>
  </si>
  <si>
    <t>Increase (decrease) in deferred revenue</t>
  </si>
  <si>
    <t>Net cash provided by (used in) operating activities</t>
  </si>
  <si>
    <t xml:space="preserve">Proceeds from sales of marketable securities available for sale </t>
  </si>
  <si>
    <t>Purchases of marketable securities available for sale</t>
  </si>
  <si>
    <t>Capital expenditures</t>
  </si>
  <si>
    <t>Net cash used in Acquisition</t>
  </si>
  <si>
    <t>Proceeds from the sale of non-core assets, net</t>
  </si>
  <si>
    <t xml:space="preserve">Investment in affiliated companies </t>
  </si>
  <si>
    <t xml:space="preserve">Purchases of investment securities </t>
  </si>
  <si>
    <t>Net cash used in investing activities</t>
  </si>
  <si>
    <t xml:space="preserve">Proceeds from issuance of long-term debt </t>
  </si>
  <si>
    <t>Purchase of Treasury Stock</t>
  </si>
  <si>
    <t>Net proceeds from short-term borrowing</t>
  </si>
  <si>
    <t xml:space="preserve">Net proceeds from exercise of common stock options and warrants </t>
  </si>
  <si>
    <t xml:space="preserve">Excess tax benefit from share-based compensation arrangements </t>
  </si>
  <si>
    <t>Net cash provided by financing activities</t>
  </si>
  <si>
    <t>Change in Foreign Exchange Rates</t>
  </si>
  <si>
    <t>Change in cash and cash equivalents</t>
  </si>
  <si>
    <t>Cash and cash equivalents at beginning of year</t>
  </si>
  <si>
    <t>Cash and cash equivalents at end of year</t>
  </si>
  <si>
    <t>Cash and marketable securities at end of year</t>
  </si>
  <si>
    <t xml:space="preserve">Free Cash Flow </t>
  </si>
  <si>
    <t>CFO</t>
  </si>
  <si>
    <t>- Cap Ex</t>
  </si>
  <si>
    <t>+ Tax Benefits of ESO's</t>
  </si>
  <si>
    <t>Free Cash Flow</t>
  </si>
  <si>
    <t>Market Capitalization</t>
  </si>
  <si>
    <t>FCF yield</t>
  </si>
  <si>
    <t>ESO and Repurchases</t>
  </si>
  <si>
    <t xml:space="preserve">Stock Price (average) </t>
  </si>
  <si>
    <t>Option Balance (Beginning Year)</t>
  </si>
  <si>
    <t xml:space="preserve"> Average Options Exercisable</t>
  </si>
  <si>
    <t xml:space="preserve">   % Exercisable</t>
  </si>
  <si>
    <t>Weighted Average Exercise Price of Exercisable</t>
  </si>
  <si>
    <t>Options Cancelled</t>
  </si>
  <si>
    <t xml:space="preserve">   % Cancelled </t>
  </si>
  <si>
    <t>Options Exercised</t>
  </si>
  <si>
    <t xml:space="preserve">   % of Exercisable Options</t>
  </si>
  <si>
    <t>Weighted Average Exercise Price</t>
  </si>
  <si>
    <t>Proceeds from option</t>
  </si>
  <si>
    <t>Tax Benefit from Options</t>
  </si>
  <si>
    <t>Options Granted</t>
  </si>
  <si>
    <t xml:space="preserve">     % of Outstanding Options</t>
  </si>
  <si>
    <t>Shares Issued</t>
  </si>
  <si>
    <t>Proceeds from share issuance</t>
  </si>
  <si>
    <t>Share Repurchase Cost</t>
  </si>
  <si>
    <t>Others</t>
  </si>
  <si>
    <t>Option Expense</t>
  </si>
  <si>
    <t>Total Change in APIC</t>
  </si>
  <si>
    <t>Beginning Period Shares-basic</t>
  </si>
  <si>
    <t>End of Period Shares-basic</t>
  </si>
  <si>
    <t>Option Difference</t>
  </si>
  <si>
    <t>Current diluted EPS</t>
  </si>
  <si>
    <t>Option expense</t>
  </si>
  <si>
    <t>Diluted EPS, pro forma</t>
  </si>
  <si>
    <t xml:space="preserve">   Statutory Tax rate</t>
  </si>
  <si>
    <t>EBITDA</t>
  </si>
  <si>
    <t>Depreciation &amp; Amort.</t>
  </si>
  <si>
    <t>Deferred Revenue, net of current</t>
  </si>
  <si>
    <t>Depreciation as % operating expenses</t>
  </si>
  <si>
    <t>Amortization as % of operating expenses</t>
  </si>
  <si>
    <t>Cash Flows From Operating Activities</t>
  </si>
  <si>
    <t>Cash Flows From Investing Activities</t>
  </si>
  <si>
    <t>Cash Flows From Financing Activities</t>
  </si>
  <si>
    <t>Difference</t>
  </si>
  <si>
    <t>Diluted shares</t>
  </si>
  <si>
    <t>Stockholders' equity</t>
  </si>
  <si>
    <t>NA</t>
  </si>
  <si>
    <t>Accrued Expenses</t>
  </si>
  <si>
    <t>1Q18</t>
  </si>
  <si>
    <t>2Q18</t>
  </si>
  <si>
    <t>3Q18</t>
  </si>
  <si>
    <t>4Q18</t>
  </si>
  <si>
    <t>1Q19</t>
  </si>
  <si>
    <t>2Q19</t>
  </si>
  <si>
    <t>3Q19</t>
  </si>
  <si>
    <t>4Q19</t>
  </si>
  <si>
    <t>1Q20</t>
  </si>
  <si>
    <t>2Q20</t>
  </si>
  <si>
    <t>3Q20</t>
  </si>
  <si>
    <t>4Q20</t>
  </si>
  <si>
    <t>2018 capital expenditures</t>
  </si>
  <si>
    <t>2019 capital expenditures</t>
  </si>
  <si>
    <t>2020 capital expenditures</t>
  </si>
  <si>
    <t>Human pharmaceutical clinical programs</t>
  </si>
  <si>
    <t>Other pharmaceutical programs</t>
  </si>
  <si>
    <t>Drug discovery and development</t>
  </si>
  <si>
    <t>Cellular therapy</t>
  </si>
  <si>
    <t>Collaboration arrangements</t>
  </si>
  <si>
    <t>IPR&amp;D impairment</t>
  </si>
  <si>
    <t>Intermediate Growth</t>
  </si>
  <si>
    <t>Step-downs for patent expiries</t>
  </si>
  <si>
    <t>Sum of Discounted CF</t>
  </si>
  <si>
    <t>Net Cash</t>
  </si>
  <si>
    <t>Equity Value</t>
  </si>
  <si>
    <t>Equity Value Per Share</t>
  </si>
  <si>
    <t>Discount Rate</t>
  </si>
  <si>
    <t>Intermediate Growth Rate</t>
  </si>
  <si>
    <t>Terminal Growth Rate</t>
  </si>
  <si>
    <t>Time of Valuation</t>
  </si>
  <si>
    <t>Vidaza AG</t>
  </si>
  <si>
    <t>2013A</t>
  </si>
  <si>
    <t>R&amp;D plus upfronts</t>
  </si>
  <si>
    <t>% of Sales</t>
  </si>
  <si>
    <t>Delta from reported</t>
  </si>
  <si>
    <t>USD</t>
  </si>
  <si>
    <t>CELG.O</t>
  </si>
  <si>
    <t>Celgene Corp</t>
  </si>
  <si>
    <t>Currency</t>
  </si>
  <si>
    <t>Current Stock Price</t>
  </si>
  <si>
    <t>Count</t>
  </si>
  <si>
    <t>CELG.O,mscalc:targetPrice,,,,USD</t>
  </si>
  <si>
    <t>CELG.O,mscalc:sedolCodeCalc</t>
  </si>
  <si>
    <t>CELG.O,mscalc:closePriceCurrencyCalc</t>
  </si>
  <si>
    <t>$F$2</t>
  </si>
  <si>
    <t>ModelWare Tags for Validation</t>
  </si>
  <si>
    <t>Net Issuance/Repurchases</t>
  </si>
  <si>
    <t>Dividends</t>
  </si>
  <si>
    <t>AOCI</t>
  </si>
  <si>
    <t>Unrecorded Goodwill from Poolings</t>
  </si>
  <si>
    <t>Adjustments to GAAP Net Income</t>
  </si>
  <si>
    <t>Diluted Shares for EPS modelware</t>
  </si>
  <si>
    <t>Statutory Tax Rate</t>
  </si>
  <si>
    <t>Present Value of FCF</t>
  </si>
  <si>
    <t>Free Cash Flow (FCF)</t>
  </si>
  <si>
    <t>Terminal</t>
  </si>
  <si>
    <t>x</t>
  </si>
  <si>
    <t>GAAP Net Income (Loss)</t>
  </si>
  <si>
    <t>Share Price (average)</t>
  </si>
  <si>
    <t>2.300% senior notes due 2018</t>
  </si>
  <si>
    <t>4.000% senior notes due 2023</t>
  </si>
  <si>
    <t>5.250% senior notes due 2043</t>
  </si>
  <si>
    <t>1 = Bull</t>
  </si>
  <si>
    <t>2 = Base</t>
  </si>
  <si>
    <t>3 = Bear</t>
  </si>
  <si>
    <t>Scenarios (Change on DCF tab) ---&gt;</t>
  </si>
  <si>
    <t>Selector ---&gt;</t>
  </si>
  <si>
    <t>4Q13A</t>
  </si>
  <si>
    <t>Otezla</t>
  </si>
  <si>
    <t>Non-GAAP EPS (excl. options)</t>
  </si>
  <si>
    <t>Non-GAAP EPS (incl. options)</t>
  </si>
  <si>
    <t>Margin Analysis (Non-GAAP)</t>
  </si>
  <si>
    <t>Growth Analysis (Non-GAAP)</t>
  </si>
  <si>
    <t>Price increase</t>
  </si>
  <si>
    <t>1Q14A</t>
  </si>
  <si>
    <t>2182348</t>
  </si>
  <si>
    <t>Non-GAAP net income</t>
  </si>
  <si>
    <t>SPLIT</t>
  </si>
  <si>
    <t>2Q14A</t>
  </si>
  <si>
    <t>Crohn's Disease Model - United States</t>
  </si>
  <si>
    <t>CD Prevalence</t>
  </si>
  <si>
    <t>Growth Y/Y</t>
  </si>
  <si>
    <t>US Population (M)</t>
  </si>
  <si>
    <t>Market penetration</t>
  </si>
  <si>
    <t># remission</t>
  </si>
  <si>
    <t># post-surgical</t>
  </si>
  <si>
    <t># 5-ASA</t>
  </si>
  <si>
    <t>% Penetration</t>
  </si>
  <si>
    <t>GED0301 price</t>
  </si>
  <si>
    <t>GED0301 revenue ($M)</t>
  </si>
  <si>
    <t>Price increase Y/Y</t>
  </si>
  <si>
    <t># GED0301 patients</t>
  </si>
  <si>
    <t># Steroids/anti-TNFs</t>
  </si>
  <si>
    <t>% medical remission (no medication)</t>
  </si>
  <si>
    <t>% post-surgical remission (no medication)</t>
  </si>
  <si>
    <t>% 5-ASA medical treatment</t>
  </si>
  <si>
    <t>% Steroids/anti-TNF treatment</t>
  </si>
  <si>
    <t>3Q14A</t>
  </si>
  <si>
    <t>4.625% senior notes due 2044</t>
  </si>
  <si>
    <t>3.625% senior notes due 2024</t>
  </si>
  <si>
    <t>2.25% senior notes due 2019</t>
  </si>
  <si>
    <t>GED0301</t>
  </si>
  <si>
    <t>Otezla Revenues</t>
  </si>
  <si>
    <t xml:space="preserve">Otezla penetration into </t>
  </si>
  <si>
    <t>Total Otezla Sales</t>
  </si>
  <si>
    <t># Otezla patients</t>
  </si>
  <si>
    <t>Otezla price</t>
  </si>
  <si>
    <t>2022E</t>
  </si>
  <si>
    <t>2023E</t>
  </si>
  <si>
    <t>2024E</t>
  </si>
  <si>
    <t>2021E</t>
  </si>
  <si>
    <t>2025E</t>
  </si>
  <si>
    <t>2026E</t>
  </si>
  <si>
    <t>2027E</t>
  </si>
  <si>
    <t>2021 capital expenditures</t>
  </si>
  <si>
    <t>2022 capital expenditures</t>
  </si>
  <si>
    <t>2023 capital expenditures</t>
  </si>
  <si>
    <t>2024 capital expenditures</t>
  </si>
  <si>
    <t>2025 capital expenditures</t>
  </si>
  <si>
    <t>2026 capital expenditures</t>
  </si>
  <si>
    <t>2027 capital expenditures</t>
  </si>
  <si>
    <t>1Q21E</t>
  </si>
  <si>
    <t>2Q21E</t>
  </si>
  <si>
    <t>3Q21E</t>
  </si>
  <si>
    <t>4Q21E</t>
  </si>
  <si>
    <t>1Q22E</t>
  </si>
  <si>
    <t>2Q22E</t>
  </si>
  <si>
    <t>3Q22E</t>
  </si>
  <si>
    <t>4Q22E</t>
  </si>
  <si>
    <t>1Q23E</t>
  </si>
  <si>
    <t>2Q23E</t>
  </si>
  <si>
    <t>3Q23E</t>
  </si>
  <si>
    <t>4Q23E</t>
  </si>
  <si>
    <t>1Q24E</t>
  </si>
  <si>
    <t>2Q24E</t>
  </si>
  <si>
    <t>3Q24E</t>
  </si>
  <si>
    <t>4Q24E</t>
  </si>
  <si>
    <t>1Q25E</t>
  </si>
  <si>
    <t>2Q25E</t>
  </si>
  <si>
    <t>3Q25E</t>
  </si>
  <si>
    <t>4Q25E</t>
  </si>
  <si>
    <t>1Q26E</t>
  </si>
  <si>
    <t>2Q26E</t>
  </si>
  <si>
    <t>3Q26E</t>
  </si>
  <si>
    <t>4Q26E</t>
  </si>
  <si>
    <t>1Q27E</t>
  </si>
  <si>
    <t>2Q27E</t>
  </si>
  <si>
    <t>3Q27E</t>
  </si>
  <si>
    <t>4Q27E</t>
  </si>
  <si>
    <t>1Q21</t>
  </si>
  <si>
    <t>2Q21</t>
  </si>
  <si>
    <t>3Q21</t>
  </si>
  <si>
    <t>4Q21</t>
  </si>
  <si>
    <t>1Q27</t>
  </si>
  <si>
    <t>2Q27</t>
  </si>
  <si>
    <t>3Q27</t>
  </si>
  <si>
    <t>4Q27</t>
  </si>
  <si>
    <t>1Q26</t>
  </si>
  <si>
    <t>2Q26</t>
  </si>
  <si>
    <t>3Q26</t>
  </si>
  <si>
    <t>4Q26</t>
  </si>
  <si>
    <t>4Q25</t>
  </si>
  <si>
    <t>1Q25</t>
  </si>
  <si>
    <t>2Q25</t>
  </si>
  <si>
    <t>3Q25</t>
  </si>
  <si>
    <t>1Q23</t>
  </si>
  <si>
    <t>2Q23</t>
  </si>
  <si>
    <t>3Q23</t>
  </si>
  <si>
    <t>4Q23</t>
  </si>
  <si>
    <t>1Q24</t>
  </si>
  <si>
    <t>2Q24</t>
  </si>
  <si>
    <t>3Q24</t>
  </si>
  <si>
    <t>4Q24</t>
  </si>
  <si>
    <t>1Q22</t>
  </si>
  <si>
    <t>2Q22</t>
  </si>
  <si>
    <t>3Q22</t>
  </si>
  <si>
    <t>4Q22</t>
  </si>
  <si>
    <t>Thalomid (US 2023)</t>
  </si>
  <si>
    <t>Istodax (US 2021)</t>
  </si>
  <si>
    <t>2028E</t>
  </si>
  <si>
    <t>2029E</t>
  </si>
  <si>
    <t>2030E</t>
  </si>
  <si>
    <t>1Q28E</t>
  </si>
  <si>
    <t>2Q28E</t>
  </si>
  <si>
    <t>3Q28E</t>
  </si>
  <si>
    <t>4Q28E</t>
  </si>
  <si>
    <t>1Q30E</t>
  </si>
  <si>
    <t>2Q30E</t>
  </si>
  <si>
    <t>3Q30E</t>
  </si>
  <si>
    <t>4Q30E</t>
  </si>
  <si>
    <t>1Q29E</t>
  </si>
  <si>
    <t>2Q29E</t>
  </si>
  <si>
    <t>3Q29E</t>
  </si>
  <si>
    <t>4Q29E</t>
  </si>
  <si>
    <t>1Q30</t>
  </si>
  <si>
    <t>2Q30</t>
  </si>
  <si>
    <t>3Q30</t>
  </si>
  <si>
    <t>4Q30</t>
  </si>
  <si>
    <t>2028 capital expenditures</t>
  </si>
  <si>
    <t>2029 capital expenditures</t>
  </si>
  <si>
    <t>2030 capital expenditures</t>
  </si>
  <si>
    <t>Generic Penetration</t>
  </si>
  <si>
    <t>Revlimid Generic</t>
  </si>
  <si>
    <t>Pomalyst Generic</t>
  </si>
  <si>
    <t>International Generic</t>
  </si>
  <si>
    <t>US Generic</t>
  </si>
  <si>
    <t>Agios</t>
  </si>
  <si>
    <t>NHL/FL</t>
  </si>
  <si>
    <t>4Q14A</t>
  </si>
  <si>
    <t>Shares Repurchased</t>
  </si>
  <si>
    <t>2014A</t>
  </si>
  <si>
    <t>1Q15A</t>
  </si>
  <si>
    <t>Ulcerative Colitis Disease Model - US</t>
  </si>
  <si>
    <t>UC Prevalence</t>
  </si>
  <si>
    <t>% moderate-to-severe</t>
  </si>
  <si>
    <t>Moderate-to-severe UC patients</t>
  </si>
  <si>
    <t>Moderate-to-severe UC patients on anti-TNF agents</t>
  </si>
  <si>
    <t>Addressable UC market for RPC1063</t>
  </si>
  <si>
    <t>% moderate-to-severe on anti-TNF agents</t>
  </si>
  <si>
    <t>% Y/Y Growth</t>
  </si>
  <si>
    <t>Yearly Ozanimod price</t>
  </si>
  <si>
    <t>Ozanimod RRMS revenue ($M)</t>
  </si>
  <si>
    <t># Ozanimod patients</t>
  </si>
  <si>
    <t>Ozanimod yearly price</t>
  </si>
  <si>
    <t>Ozanimod revenue ($M)</t>
  </si>
  <si>
    <t># of Ozanimod patients</t>
  </si>
  <si>
    <t>Patients on non-Tecfidera orals</t>
  </si>
  <si>
    <t>Ozanimod as % of non-Tec. orals</t>
  </si>
  <si>
    <t>Ozanimod (US)</t>
  </si>
  <si>
    <t>Ozanimod (ROW)</t>
  </si>
  <si>
    <t>R&amp;D costs</t>
  </si>
  <si>
    <t>SG&amp;A expense</t>
  </si>
  <si>
    <t>Revenues (WW)</t>
  </si>
  <si>
    <t>R&amp;D as % of sales</t>
  </si>
  <si>
    <t>SG&amp;A as % of sales</t>
  </si>
  <si>
    <t>CELG royalty</t>
  </si>
  <si>
    <t>CELG R&amp;D expense</t>
  </si>
  <si>
    <t>R&amp;D expense</t>
  </si>
  <si>
    <t>CELG SG&amp;A expense</t>
  </si>
  <si>
    <t>Celgene / AstraZeneca partnership on MEDI4736 (Anti-PD-L1)</t>
  </si>
  <si>
    <t>COGS as % of sales</t>
  </si>
  <si>
    <t>2027E - 2030E</t>
  </si>
  <si>
    <t>2015E - 2023E</t>
  </si>
  <si>
    <t>2015E - 2016E</t>
  </si>
  <si>
    <t>2017E - 2030E</t>
  </si>
  <si>
    <t>*Collaboration also includes $450M upfront fee</t>
  </si>
  <si>
    <t>MEDI4736</t>
  </si>
  <si>
    <t>1Q28</t>
  </si>
  <si>
    <t>2Q28</t>
  </si>
  <si>
    <t>3Q28</t>
  </si>
  <si>
    <t>4Q28</t>
  </si>
  <si>
    <t>1Q29</t>
  </si>
  <si>
    <t>2Q29</t>
  </si>
  <si>
    <t>3Q29</t>
  </si>
  <si>
    <t>4Q29</t>
  </si>
  <si>
    <t>Delta</t>
  </si>
  <si>
    <t>Current R&amp;D</t>
  </si>
  <si>
    <t>R&amp;D with MEDI4736</t>
  </si>
  <si>
    <t>R&amp;D new as % of sales</t>
  </si>
  <si>
    <t>Current sales (15-23)</t>
  </si>
  <si>
    <t>Scratch work (to determine updated R&amp;D % of sales to account for MEDI4736 R&amp;D)</t>
  </si>
  <si>
    <t>R&amp;D Now</t>
  </si>
  <si>
    <t>MEDI4736 (Total, WW)</t>
  </si>
  <si>
    <t>Ozanimod, RRMS (WW)</t>
  </si>
  <si>
    <t>Ozanimod, UC (US)</t>
  </si>
  <si>
    <t>Revlimid Generic Scenarios</t>
  </si>
  <si>
    <t>Launch</t>
  </si>
  <si>
    <t>*Note: Generic Revlimid case manager below</t>
  </si>
  <si>
    <t>Case</t>
  </si>
  <si>
    <t>Toggle</t>
  </si>
  <si>
    <t>Generic Revlimid Launch Year</t>
  </si>
  <si>
    <t>Revlimid Generic share</t>
  </si>
  <si>
    <t>Bull / Base / Bear Scenarios</t>
  </si>
  <si>
    <t>Revlimid Generic Entry Scenarios</t>
  </si>
  <si>
    <t>Pipeline Scenarios</t>
  </si>
  <si>
    <t>No pipeline value</t>
  </si>
  <si>
    <t>Pipeline value included</t>
  </si>
  <si>
    <t>Pipeline Toggle</t>
  </si>
  <si>
    <t>GED0301 revenue ($M, no pipeline)</t>
  </si>
  <si>
    <t>GED0301 revenue ($M, pipeline)</t>
  </si>
  <si>
    <t>Ozanimod RRMS revenue ($M, pipeline)</t>
  </si>
  <si>
    <t>Ozanimod RRMS revenue ($M, no pipeline)</t>
  </si>
  <si>
    <t>Total revenues</t>
  </si>
  <si>
    <t>Total R&amp;D (estimate)</t>
  </si>
  <si>
    <t>CELG R&amp;D obligation</t>
  </si>
  <si>
    <t>Total SG&amp;A (estimate)</t>
  </si>
  <si>
    <t>Operating income</t>
  </si>
  <si>
    <t>Operating margin, on CELG royalty</t>
  </si>
  <si>
    <t xml:space="preserve"> </t>
  </si>
  <si>
    <t>Sotatercept/Luspatercept</t>
  </si>
  <si>
    <t>2Q15A</t>
  </si>
  <si>
    <t>EU Generic Ramp</t>
  </si>
  <si>
    <t>AZ COGS expense</t>
  </si>
  <si>
    <t>2.125% senior notes due 2018</t>
  </si>
  <si>
    <t>2.875% senior notes due 2020</t>
  </si>
  <si>
    <t>3.550% senior notes due 2022</t>
  </si>
  <si>
    <t>3.875% senior notes due 2025</t>
  </si>
  <si>
    <t>5.0% senior notes due 2045</t>
  </si>
  <si>
    <t>3Q15A</t>
  </si>
  <si>
    <t>4Q15A</t>
  </si>
  <si>
    <t>2015A</t>
  </si>
  <si>
    <t>1Q16A</t>
  </si>
  <si>
    <t>2Q16A</t>
  </si>
  <si>
    <t>3Q16A</t>
  </si>
  <si>
    <t>~$1.0B</t>
  </si>
  <si>
    <t>4Q16A</t>
  </si>
  <si>
    <t>2016A</t>
  </si>
  <si>
    <t>Other income (expense), net</t>
  </si>
  <si>
    <t>Equity investment adjustment</t>
  </si>
  <si>
    <t>1Q17A</t>
  </si>
  <si>
    <t>2Q17A</t>
  </si>
  <si>
    <t>3Q17A</t>
  </si>
  <si>
    <t>&gt;$12.50</t>
  </si>
  <si>
    <t>$19.0B-$20.0B</t>
  </si>
  <si>
    <t>RIC</t>
  </si>
  <si>
    <t>Penetration of CAR-T Therapy</t>
  </si>
  <si>
    <t>bb2121 U.S. Revenues ($M)</t>
  </si>
  <si>
    <t>bb2121 Ex-U.S. Revenues ($M)</t>
  </si>
  <si>
    <t>Ex-U.S. as % of U.S. Revenues</t>
  </si>
  <si>
    <t>bb2121 Global Revenues ($M)</t>
  </si>
  <si>
    <t>U.S. COGS ($M)</t>
  </si>
  <si>
    <t>U.S. COGS % of Sales</t>
  </si>
  <si>
    <t>U.S. SG&amp;A % of Sales</t>
  </si>
  <si>
    <t>U.S. SG&amp;A ($M)</t>
  </si>
  <si>
    <t>bb2121 U.S. Operating Profit ($M)</t>
  </si>
  <si>
    <t>Tax Rate %</t>
  </si>
  <si>
    <t>bb2121 U.S. Profit ($M)</t>
  </si>
  <si>
    <t>Share to Celgene (%)</t>
  </si>
  <si>
    <t>Celgene U.S. bb2121 Profit Share</t>
  </si>
  <si>
    <t>U.S. bb2121 Profit Share</t>
  </si>
  <si>
    <t>Ex-U.S. Royalty Payments</t>
  </si>
  <si>
    <t>Royalty Rate to Bluebird bio</t>
  </si>
  <si>
    <t>Royalties to Bluebird bio</t>
  </si>
  <si>
    <t>BCMA CAR-T bb2121 (WW)</t>
  </si>
  <si>
    <t>BCMA CAR-T bb2121 (Ex-U.S.)</t>
  </si>
  <si>
    <t>$14.4B-$14.8B</t>
  </si>
  <si>
    <t>~$9.4B</t>
  </si>
  <si>
    <t>~$1.9B</t>
  </si>
  <si>
    <t>~$1.5B</t>
  </si>
  <si>
    <t>$8.70-$8.90</t>
  </si>
  <si>
    <t>~775M</t>
  </si>
  <si>
    <t>~60%</t>
  </si>
  <si>
    <t>~18%</t>
  </si>
  <si>
    <t>4Q17A</t>
  </si>
  <si>
    <t>2017A</t>
  </si>
  <si>
    <t>Juno CAR-T Products (WW)</t>
  </si>
  <si>
    <t>Acute Lymphocytic Leukemia</t>
  </si>
  <si>
    <t>Diffuse Large B-Cell Lymphoma</t>
  </si>
  <si>
    <t>U.S. DLBCL</t>
  </si>
  <si>
    <t>EU DLBCL</t>
  </si>
  <si>
    <t>Follicular Lymphoma</t>
  </si>
  <si>
    <t>Chronic Lymphocytic Leukemia</t>
  </si>
  <si>
    <t>U.S. CLL</t>
  </si>
  <si>
    <t>EU CLL</t>
  </si>
  <si>
    <t>U.S. BCMA</t>
  </si>
  <si>
    <t>Total Juno Revenues</t>
  </si>
  <si>
    <t>US ALL Pediatric Patient Numbers</t>
  </si>
  <si>
    <t>ACS: Cancer Facts and Figures 2014</t>
  </si>
  <si>
    <t>ACS: Caner Facts and Figure 2014; Prevalence Growth of 0.6%</t>
  </si>
  <si>
    <t>SEER data; Total ALL deaths ~1440 for 2014E,  ~2% annual decline rate</t>
  </si>
  <si>
    <t>All cause death</t>
  </si>
  <si>
    <t>Relapsed Refractory ALL Patients</t>
  </si>
  <si>
    <t>J Clin Oncol 28:648-654: Literature suggest between 10-20%</t>
  </si>
  <si>
    <t xml:space="preserve">Hematology 2012: 129-136 </t>
  </si>
  <si>
    <t>% of relapsed/refractory</t>
  </si>
  <si>
    <t>Addressable US ALL Pediatric B-Cell Pts</t>
  </si>
  <si>
    <t xml:space="preserve">Juno data: 80% of ALL cases are B cell ALL </t>
  </si>
  <si>
    <t>US ALL Adult Patient Numbers</t>
  </si>
  <si>
    <t>SEER data; ~2% annual decline rate</t>
  </si>
  <si>
    <t>J Clin Oncol 28:648-654: Higher RR for adults</t>
  </si>
  <si>
    <t>Addressable US ALL Adult B-Cell Pts</t>
  </si>
  <si>
    <t>US Adult ALL Aggregate Market Share</t>
  </si>
  <si>
    <t>bull</t>
  </si>
  <si>
    <t>base</t>
  </si>
  <si>
    <t>bear</t>
  </si>
  <si>
    <t>JCAR017</t>
  </si>
  <si>
    <t>Axi-Cel</t>
  </si>
  <si>
    <t>Total market penetration</t>
  </si>
  <si>
    <t>Average # of infusions</t>
  </si>
  <si>
    <t>Average cost/infusion ($000s)</t>
  </si>
  <si>
    <t>US Adult ALL revenue ($M)</t>
  </si>
  <si>
    <t>US Pediatric ALL Aggregate Market Share</t>
  </si>
  <si>
    <t>KTE-C19</t>
  </si>
  <si>
    <t>US Pediatric ALL revenue ($M)</t>
  </si>
  <si>
    <t>Annual US Price Increase</t>
  </si>
  <si>
    <t>EU price as percent of US price:</t>
  </si>
  <si>
    <t>Annual EU Price Change</t>
  </si>
  <si>
    <t>Pediatric ALL Death</t>
  </si>
  <si>
    <t>Adult ALL Death</t>
  </si>
  <si>
    <t>Infusions</t>
  </si>
  <si>
    <t>Europe Population (M)</t>
  </si>
  <si>
    <t>EU28 population estimate from eurostat</t>
  </si>
  <si>
    <t xml:space="preserve">Growth Y/Y </t>
  </si>
  <si>
    <t>Population growth rate from: http://data.worldbank.org</t>
  </si>
  <si>
    <t>EU ALL Pediatric Patient Numbers</t>
  </si>
  <si>
    <t>Estimate from EMA Orphan Drug Designations</t>
  </si>
  <si>
    <t>UK Cancer Research: Proxy for EU; Stable incidence 1.1/100,000</t>
  </si>
  <si>
    <t xml:space="preserve">Assume similar death decline rate, and proportion of deaths as US </t>
  </si>
  <si>
    <t>Addressable EU ALL Pediatric B-Cell Pts</t>
  </si>
  <si>
    <t>EU ALL Adult Patient Numbers</t>
  </si>
  <si>
    <t xml:space="preserve">Assume 40% adults </t>
  </si>
  <si>
    <t>Addressable EU ALL Adult B-Cell Pts</t>
  </si>
  <si>
    <t>EU Adult ALL Aggregate Market Share (calculated)</t>
  </si>
  <si>
    <t>EU Adult ALL revenue ($M)</t>
  </si>
  <si>
    <t>EU Pediatric ALL Aggregate Market Share (calculated)</t>
  </si>
  <si>
    <t>EU Pediatric ALL revenue ($M)</t>
  </si>
  <si>
    <t>PEDS ALL Death</t>
  </si>
  <si>
    <t>US DLBCL Patient Numbers</t>
  </si>
  <si>
    <t>SEER data adjusted for Roche incidence (~86%)</t>
  </si>
  <si>
    <t>Roche slides ASH 2013; literature suggests 3% annual growth rate</t>
  </si>
  <si>
    <t>Front Line DLBCL Patients</t>
  </si>
  <si>
    <t>Roche slides ASH 2013</t>
  </si>
  <si>
    <t>% treated as a % of newly diagnosed</t>
  </si>
  <si>
    <t>Relapsed Refractory DLBCL Patients</t>
  </si>
  <si>
    <t>% treated as a % of net prevalence</t>
  </si>
  <si>
    <t>DLBCL Untreated / Watchful Waiting</t>
  </si>
  <si>
    <t>Newly Diagnosed Front Line</t>
  </si>
  <si>
    <t>Watchful Waiting</t>
  </si>
  <si>
    <t>Not treated / In between treatment</t>
  </si>
  <si>
    <t>Total Patients For Treatment</t>
  </si>
  <si>
    <t>US Aggregate Market Share (calculated)</t>
  </si>
  <si>
    <t>US DLBCL revenue ($M)</t>
  </si>
  <si>
    <t>Death rate</t>
  </si>
  <si>
    <t>Juno CAR-T Revenues ($M)</t>
  </si>
  <si>
    <t>EU DLBCL Patient Numbers</t>
  </si>
  <si>
    <t>Ratio of US data for incidence</t>
  </si>
  <si>
    <t>Prevalent Population</t>
  </si>
  <si>
    <t>EU Aggregate Market Share (calculated)</t>
  </si>
  <si>
    <t>EU DLBCL revenue ($M)</t>
  </si>
  <si>
    <t>US FL Patient Numbers</t>
  </si>
  <si>
    <t>Front Line iNHL Patients</t>
  </si>
  <si>
    <t>Front Line FL Patients</t>
  </si>
  <si>
    <t>Relapsed Refractory FL Patients</t>
  </si>
  <si>
    <t>FL Untreated / Watchful Waiting</t>
  </si>
  <si>
    <t>US FL revenue ($M)</t>
  </si>
  <si>
    <t>U.S. Adult ALL</t>
  </si>
  <si>
    <t>EU Adult ALL</t>
  </si>
  <si>
    <t>U.S. Pediatric ALL</t>
  </si>
  <si>
    <t>EU Pediatric ALL</t>
  </si>
  <si>
    <t>Pediatric ALL</t>
  </si>
  <si>
    <t>Adult ALL</t>
  </si>
  <si>
    <t>U.S. FL</t>
  </si>
  <si>
    <t>EU FL</t>
  </si>
  <si>
    <t>EU FL Patient Numbers</t>
  </si>
  <si>
    <t>EU FL revenue ($M)</t>
  </si>
  <si>
    <t>US CLL Patient Numbers</t>
  </si>
  <si>
    <t>SEER; Leukemia and Lymphoma Society</t>
  </si>
  <si>
    <t>Roche data from ASH 2013 Slides</t>
  </si>
  <si>
    <t>Front Line CLL Patients</t>
  </si>
  <si>
    <t>Relapsed/Refractory</t>
  </si>
  <si>
    <t>Untreated / Watchful Waiting</t>
  </si>
  <si>
    <t>Between Therapy / Untreated</t>
  </si>
  <si>
    <t>Estimate: 80% of deaths</t>
  </si>
  <si>
    <t>KTE-019</t>
  </si>
  <si>
    <t>$ Average cost/infusion ($000s)</t>
  </si>
  <si>
    <t>US CLL revenue ($M)</t>
  </si>
  <si>
    <t>EU CLL Patient Numbers</t>
  </si>
  <si>
    <t>Proportion matched based on incidence</t>
  </si>
  <si>
    <t>All Cuase Death</t>
  </si>
  <si>
    <t>EU CLL revenue ($M)</t>
  </si>
  <si>
    <t>Scenario</t>
  </si>
  <si>
    <t>US MM Market Model</t>
  </si>
  <si>
    <t xml:space="preserve">Penetration Assumptions </t>
  </si>
  <si>
    <t>CAR-T Penetration</t>
  </si>
  <si>
    <t>Total 3rd Line refractory MM patients</t>
  </si>
  <si>
    <t>bb2121 market share</t>
  </si>
  <si>
    <t>Juno market share</t>
  </si>
  <si>
    <t>KITE-585 market share</t>
  </si>
  <si>
    <t>Other market share</t>
  </si>
  <si>
    <t>Patients on Juno</t>
  </si>
  <si>
    <t>Juno Pricing</t>
  </si>
  <si>
    <t>Gross Annual Price / Patient</t>
  </si>
  <si>
    <t>Price Increases</t>
  </si>
  <si>
    <t>Gross-to-net</t>
  </si>
  <si>
    <t>Net Annual Price / Patient</t>
  </si>
  <si>
    <t>US Juno Rev ($M)</t>
  </si>
  <si>
    <t>JCARH125</t>
  </si>
  <si>
    <t>EU BCMA</t>
  </si>
  <si>
    <t>Total ROW Revenues</t>
  </si>
  <si>
    <t>2.250% senior notes due 2021</t>
  </si>
  <si>
    <t>2.750% senior notes due 2023</t>
  </si>
  <si>
    <t>3.450% senior notes due 2027</t>
  </si>
  <si>
    <t>4.350% senior notes due 2047</t>
  </si>
  <si>
    <t>Juno CAR-T Products</t>
  </si>
  <si>
    <t>Addressable market</t>
  </si>
  <si>
    <t>Fedratinib Share</t>
  </si>
  <si>
    <t>Patients on Fedratinib</t>
  </si>
  <si>
    <t>Monthly Cost ($000s)</t>
  </si>
  <si>
    <t>Annual Price Increase</t>
  </si>
  <si>
    <t>Average Treatment Duration (Months)</t>
  </si>
  <si>
    <t>U.S. Fedratinib Sales, MF ($M)</t>
  </si>
  <si>
    <t>U.S. Fedratinib Sales, PV ($M)</t>
  </si>
  <si>
    <t>Polycythemia Vera Revenues, US ($M)</t>
  </si>
  <si>
    <t>Myelofibrosis Revenues, US ($M)</t>
  </si>
  <si>
    <t>From Incyte model</t>
  </si>
  <si>
    <t>Total U.S. Fedratinib Sales ($M)</t>
  </si>
  <si>
    <r>
      <t>Addressable market</t>
    </r>
    <r>
      <rPr>
        <vertAlign val="superscript"/>
        <sz val="10"/>
        <rFont val="Arial"/>
        <family val="2"/>
      </rPr>
      <t>(1)</t>
    </r>
  </si>
  <si>
    <t>(1) Hydroxyurea failures</t>
  </si>
  <si>
    <t>Fedratinib</t>
  </si>
  <si>
    <t>Total DLBCL Sales</t>
  </si>
  <si>
    <t>US net price:</t>
  </si>
  <si>
    <t>Total CLL Sales</t>
  </si>
  <si>
    <t>Total FL Sales</t>
  </si>
  <si>
    <t>Total ALL Sales</t>
  </si>
  <si>
    <t>Research</t>
  </si>
  <si>
    <t>MSA72HLP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</si>
  <si>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</si>
  <si>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</si>
  <si>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</si>
  <si>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</si>
  <si>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</si>
  <si>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</si>
  <si>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</si>
  <si>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Matthew Harrison</t>
  </si>
  <si>
    <t>Date: 13 Apr 2018</t>
  </si>
  <si>
    <t>Ticker: CELG.O</t>
  </si>
  <si>
    <t>Stock Rating: Equal-Weight</t>
  </si>
  <si>
    <t>Industry: Biotechnology</t>
  </si>
  <si>
    <t>Industry View: In-Line</t>
  </si>
  <si>
    <t>Price as of 13 Apr 2018: 90.78</t>
  </si>
  <si>
    <t>Target Price: 93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</si>
  <si>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</si>
  <si>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</si>
  <si>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</si>
  <si>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</si>
  <si>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Celgene Corp.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</si>
  <si>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</si>
  <si>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</si>
  <si>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</si>
  <si>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</si>
  <si>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</si>
  <si>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</si>
  <si>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</si>
  <si>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</si>
  <si>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</si>
  <si>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</si>
  <si>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</si>
  <si>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</si>
  <si>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</si>
  <si>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</si>
  <si>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</si>
  <si>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</si>
  <si>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</si>
  <si>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</si>
  <si>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</si>
  <si>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</si>
  <si>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</si>
  <si>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</si>
  <si>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</si>
  <si>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</si>
  <si>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</si>
  <si>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</si>
  <si>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</si>
  <si>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</si>
  <si>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</si>
  <si>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</si>
  <si>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</si>
  <si>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</si>
  <si>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</si>
  <si>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</si>
  <si>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</si>
  <si>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</si>
  <si>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</si>
  <si>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</si>
  <si>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</si>
  <si>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</si>
  <si>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</si>
  <si>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</si>
  <si>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</si>
  <si>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</si>
  <si>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</si>
  <si>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</si>
  <si>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</si>
  <si>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</si>
  <si>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</si>
  <si>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</si>
  <si>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</si>
  <si>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</si>
  <si>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</si>
  <si>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</si>
  <si>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</si>
  <si>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</si>
  <si>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</si>
  <si>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</si>
  <si>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</si>
  <si>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</si>
  <si>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</si>
  <si>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</si>
  <si>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</si>
  <si>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</si>
  <si>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</si>
  <si>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</si>
  <si>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</si>
  <si>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</si>
  <si>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</si>
  <si>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</si>
  <si>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</si>
  <si>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</si>
  <si>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</si>
  <si>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</si>
  <si>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</si>
  <si>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</si>
  <si>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</si>
  <si>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</si>
  <si>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</si>
  <si>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</si>
  <si>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</si>
  <si>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</si>
  <si>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</si>
  <si>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</si>
  <si>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</si>
  <si>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</si>
  <si>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</si>
  <si>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</si>
  <si>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</si>
  <si>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</si>
  <si>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</si>
  <si>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</si>
  <si>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</si>
  <si>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</si>
  <si>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</si>
  <si>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</si>
  <si>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</si>
  <si>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</si>
  <si>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</si>
  <si>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</si>
  <si>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</si>
  <si>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</si>
  <si>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</si>
  <si>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</si>
  <si>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</si>
  <si>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</si>
  <si>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</si>
  <si>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</si>
  <si>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</si>
  <si>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</si>
  <si>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</si>
  <si>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</si>
  <si>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</si>
  <si>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</si>
  <si>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</si>
  <si>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</si>
  <si>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</si>
  <si>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</si>
  <si>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</si>
  <si>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</si>
  <si>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</si>
  <si>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</si>
  <si>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</si>
  <si>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</si>
  <si>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</si>
  <si>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</si>
  <si>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</si>
  <si>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</si>
  <si>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</si>
  <si>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</si>
  <si>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</si>
  <si>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</si>
  <si>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</si>
  <si>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</si>
  <si>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</si>
  <si>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</si>
  <si>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</si>
  <si>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</si>
  <si>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</si>
  <si>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</si>
  <si>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</si>
  <si>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</si>
  <si>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</si>
  <si>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</si>
  <si>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</si>
  <si>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</si>
  <si>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</si>
  <si>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</si>
  <si>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</si>
  <si>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</si>
  <si>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</si>
  <si>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</si>
  <si>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</si>
  <si>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</si>
  <si>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</si>
  <si>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</si>
  <si>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</si>
  <si>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</si>
  <si>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</si>
  <si>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</si>
  <si>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</si>
  <si>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</si>
  <si>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</si>
  <si>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</si>
  <si>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</si>
  <si>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</si>
  <si>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</si>
  <si>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</si>
  <si>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</si>
  <si>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</si>
  <si>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</si>
  <si>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</si>
  <si>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</si>
  <si>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</si>
  <si>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</si>
  <si>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</si>
  <si>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Celgene Corp.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</si>
  <si>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</si>
  <si>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</si>
  <si>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</si>
  <si>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</si>
  <si>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</si>
  <si>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</si>
  <si>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</si>
  <si>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</si>
  <si>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</si>
  <si>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</si>
  <si>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</si>
  <si>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</si>
  <si>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</si>
  <si>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</si>
  <si>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</si>
  <si>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</si>
  <si>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</si>
  <si>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</si>
  <si>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</si>
  <si>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</si>
  <si>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</si>
  <si>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</si>
  <si>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</si>
  <si>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</si>
  <si>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</si>
  <si>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</si>
  <si>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</si>
  <si>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</si>
  <si>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</si>
  <si>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</si>
  <si>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</si>
  <si>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</si>
  <si>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</si>
  <si>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</si>
  <si>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</si>
  <si>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</si>
  <si>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</si>
  <si>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</si>
  <si>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</si>
  <si>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</si>
  <si>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</si>
  <si>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</si>
  <si>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</si>
  <si>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</si>
  <si>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</si>
  <si>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</si>
  <si>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</si>
  <si>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</si>
  <si>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</si>
  <si>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</si>
  <si>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</si>
  <si>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</si>
  <si>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</si>
  <si>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</si>
  <si>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</si>
  <si>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</si>
  <si>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</si>
  <si>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</si>
  <si>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</si>
  <si>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</si>
  <si>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</si>
  <si>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</si>
  <si>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</si>
  <si>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</si>
  <si>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</si>
  <si>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</si>
  <si>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</si>
  <si>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</si>
  <si>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Celgene Corp.</t>
  </si>
  <si>
    <t>Within the last 12 months, Morgan Stanley has provided or is providing investment banking services to,</t>
  </si>
  <si>
    <t>or has an investment banking client relationship with, the following company: Celgene Corp.</t>
  </si>
  <si>
    <t>Within the last 12 months, Morgan Stanley has received compensation for products and services other than</t>
  </si>
  <si>
    <t>investment banking services from Celgene Corp.</t>
  </si>
  <si>
    <t>In the next 3 months, Morgan Stanley expects to receive or intends to seek compensation for investment</t>
  </si>
  <si>
    <t>banking services from Celgene Corp.</t>
  </si>
  <si>
    <t>Within the last 12 months, Morgan Stanley has received compensation for investment banking services from</t>
  </si>
  <si>
    <t>Celgene Corp.</t>
  </si>
  <si>
    <t>Within the last 12 months, Morgan Stanley managed or co-managed a public offering (or 144A offering) of</t>
  </si>
  <si>
    <t>securities of Celgene Corp.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</si>
  <si>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</si>
  <si>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</si>
  <si>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</si>
  <si>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</si>
  <si>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</si>
  <si>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Matthew Harrison.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</si>
  <si>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</si>
  <si>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</si>
  <si>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</si>
  <si>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</si>
  <si>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</si>
  <si>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</si>
  <si>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</si>
  <si>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</si>
  <si>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</si>
  <si>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</si>
  <si>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</si>
  <si>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</si>
  <si>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</si>
  <si>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</si>
  <si>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</si>
  <si>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</si>
  <si>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</si>
  <si>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</si>
  <si>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</si>
  <si>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</si>
  <si>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</si>
  <si>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</si>
  <si>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</si>
  <si>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</si>
  <si>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</si>
  <si>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</si>
  <si>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</si>
  <si>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</si>
  <si>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</si>
  <si>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</si>
  <si>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</si>
  <si>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</si>
  <si>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</si>
  <si>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</si>
  <si>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</si>
  <si>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</si>
  <si>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</si>
  <si>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</si>
  <si>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</si>
  <si>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</si>
  <si>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</si>
  <si>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</si>
  <si>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</si>
  <si>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</si>
  <si>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</si>
  <si>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</si>
  <si>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</si>
  <si>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</si>
  <si>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</si>
  <si>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</si>
  <si>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</si>
  <si>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</si>
  <si>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</si>
  <si>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</si>
  <si>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</si>
  <si>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</si>
  <si>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</si>
  <si>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</si>
  <si>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</si>
  <si>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</si>
  <si>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</si>
  <si>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</si>
  <si>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</si>
  <si>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</si>
  <si>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</si>
  <si>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</si>
  <si>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</si>
  <si>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</si>
  <si>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</si>
  <si>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NorthAmerica</t>
  </si>
  <si>
    <t>purohvik</t>
  </si>
  <si>
    <t>L:\HEALTH\Biotech\Harrison\Models\CELG_MH.xlsm</t>
  </si>
  <si>
    <t>[BRO MSA]</t>
  </si>
  <si>
    <t>[PRODUCT MODEL]</t>
  </si>
  <si>
    <t>[EMAIL_ALERT YES]</t>
  </si>
  <si>
    <t>[DISCIPLINE Company]</t>
  </si>
  <si>
    <t>[SUPPRESSED NO]</t>
  </si>
  <si>
    <t>[DOCDAT 2018-04-13]</t>
  </si>
  <si>
    <t>[DOCTIME 10:09]</t>
  </si>
  <si>
    <t>[PSYM CELG.O(S&amp;P) (None)]</t>
  </si>
  <si>
    <t>[COU 1]</t>
  </si>
  <si>
    <t>[ANA ]</t>
  </si>
  <si>
    <t>[HL CELG.O Model]</t>
  </si>
  <si>
    <t>[IND BIOTEC]</t>
  </si>
  <si>
    <t>[PANA MSA72HLP]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</si>
</sst>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2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"/>
    <numFmt numFmtId="166" formatCode="&quot;$&quot;#,##0"/>
    <numFmt numFmtId="167" formatCode="&quot;$&quot;#,##0.0"/>
    <numFmt numFmtId="168" formatCode="#,##0.0_);\(#,##0.0\)"/>
    <numFmt numFmtId="169" formatCode="_(* #,##0.0_);_(* \(#,##0.0\);_(* &quot;-&quot;??_);_(@_)"/>
    <numFmt numFmtId="170" formatCode="_(* #,##0_);_(* \(#,##0\);_(* &quot;-&quot;??_);_(@_)"/>
    <numFmt numFmtId="171" formatCode="0%_);\(0%\)"/>
    <numFmt numFmtId="172" formatCode="0_);\(0\)"/>
    <numFmt numFmtId="173" formatCode="#,##0.0"/>
    <numFmt numFmtId="174" formatCode="&quot;$&quot;#,##0.0_);\(&quot;$&quot;#,##0.0\)"/>
    <numFmt numFmtId="175" formatCode="#,##0.000_);\(#,##0.000\)"/>
    <numFmt numFmtId="176" formatCode="#,##0.000"/>
    <numFmt numFmtId="177" formatCode="&quot;$&quot;#,##0.00"/>
    <numFmt numFmtId="178" formatCode="####&quot;E&quot;"/>
    <numFmt numFmtId="179" formatCode="m/d/yy;@"/>
    <numFmt numFmtId="181" formatCode="_(* #,##0.0000_);_(* \(#,##0.0000\);_(* &quot;-&quot;??_);_(@_)"/>
    <numFmt numFmtId="182" formatCode="0_);[Red]\(0\)"/>
    <numFmt numFmtId="183" formatCode="_(* #,##0.0_);_(* \(#,##0.0\);_(* &quot;-&quot;?_);_(@_)"/>
    <numFmt numFmtId="189" formatCode="_(* #,##0.000_);_(* \(#,##0.000\);_(* &quot;-&quot;?_);_(@_)"/>
    <numFmt numFmtId="190" formatCode="0000&quot;E&quot;"/>
    <numFmt numFmtId="191" formatCode="&quot;Bull&quot;"/>
    <numFmt numFmtId="192" formatCode="&quot;Base&quot;"/>
    <numFmt numFmtId="193" formatCode="&quot;Bear&quot;"/>
    <numFmt numFmtId="194" formatCode="###&quot;E&quot;"/>
    <numFmt numFmtId="195" formatCode="0.0\x"/>
    <numFmt numFmtId="196" formatCode="###&quot;A&quot;"/>
    <numFmt numFmtId="197" formatCode="####&quot;A&quot;"/>
    <numFmt numFmtId="198" formatCode="#,##0.0;[Red]#,##0.0"/>
    <numFmt numFmtId="200" formatCode="General_)"/>
    <numFmt numFmtId="201" formatCode="0.000_)"/>
    <numFmt numFmtId="202" formatCode="0.00_)"/>
    <numFmt numFmtId="203" formatCode="&quot;$&quot;#\-?/?"/>
    <numFmt numFmtId="204" formatCode="&quot;$&quot;#,##0;[Red]&quot;$&quot;#,##0"/>
    <numFmt numFmtId="210" formatCode="mm/dd/yy\ hh:mm"/>
  </numFmts>
  <fonts count="14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0"/>
      <color indexed="8"/>
      <name val="Times New Roman"/>
      <family val="1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58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23"/>
      <name val="Calibri"/>
      <family val="2"/>
    </font>
    <font>
      <sz val="11"/>
      <color indexed="53"/>
      <name val="Calibri"/>
      <family val="2"/>
    </font>
    <font>
      <sz val="11"/>
      <color indexed="13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8"/>
      <color indexed="18"/>
      <name val="Cambria"/>
      <family val="2"/>
    </font>
    <font>
      <sz val="9"/>
      <name val="Arial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48"/>
      <name val="Arial"/>
      <family val="2"/>
    </font>
    <font>
      <i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8"/>
      <name val="Verdana"/>
      <family val="2"/>
    </font>
    <font>
      <sz val="10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"/>
      <name val="Verdana"/>
      <family val="2"/>
    </font>
    <font>
      <sz val="8"/>
      <color indexed="8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8"/>
      <name val="Times New Roman"/>
      <family val="1"/>
    </font>
    <font>
      <sz val="11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8"/>
      <color indexed="22"/>
      <name val="Arial"/>
      <family val="2"/>
    </font>
    <font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color theme="0"/>
      <name val="Arial"/>
      <family val="2"/>
    </font>
    <font>
      <b/>
      <i/>
      <sz val="10"/>
      <color theme="8" tint="-0.249977111117893"/>
      <name val="Arial"/>
      <family val="2"/>
    </font>
    <font>
      <i/>
      <sz val="10"/>
      <color rgb="FF0000FF"/>
      <name val="Arial"/>
      <family val="2"/>
    </font>
    <font>
      <b/>
      <sz val="10"/>
      <color theme="8" tint="-0.249977111117893"/>
      <name val="Arial"/>
      <family val="2"/>
    </font>
    <font>
      <sz val="10"/>
      <color theme="0" tint="-0.14999847407452621"/>
      <name val="Arial"/>
      <family val="2"/>
    </font>
    <font>
      <sz val="10"/>
      <color theme="2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 tint="-0.499984740745262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i/>
      <sz val="10"/>
      <color theme="1"/>
      <name val="Arial"/>
      <family val="2"/>
    </font>
    <font>
      <sz val="10"/>
      <color theme="9" tint="-0.499984740745262"/>
      <name val="Arial"/>
      <family val="2"/>
    </font>
    <font>
      <b/>
      <sz val="10"/>
      <color rgb="FF0000FF"/>
      <name val="Arial"/>
      <family val="2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b/>
      <i/>
      <sz val="10"/>
      <name val="Arial"/>
      <family val="2"/>
    </font>
    <font>
      <i/>
      <sz val="9"/>
      <name val="Arial"/>
      <family val="2"/>
    </font>
    <font>
      <sz val="10"/>
      <name val="Helv"/>
    </font>
    <font>
      <i/>
      <sz val="9"/>
      <color rgb="FF0000FF"/>
      <name val="Arial"/>
      <family val="2"/>
    </font>
    <font>
      <b/>
      <i/>
      <sz val="10"/>
      <color indexed="8"/>
      <name val="Arial"/>
      <family val="2"/>
    </font>
    <font>
      <vertAlign val="superscript"/>
      <sz val="10"/>
      <name val="Arial"/>
      <family val="2"/>
    </font>
    <font>
      <sz val="10"/>
      <color theme="0" tint="-0.34998626667073579"/>
      <name val="Arial"/>
      <family val="2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10"/>
      <color rgb="FFC00000"/>
      <name val="Arial"/>
      <family val="2"/>
    </font>
    <font>
      <b/>
      <sz val="10"/>
      <name val="Helv"/>
    </font>
    <font>
      <sz val="12"/>
      <name val="Arial MT"/>
    </font>
    <font>
      <sz val="8"/>
      <name val="Arial MT"/>
    </font>
    <font>
      <sz val="8"/>
      <color indexed="12"/>
      <name val="Times"/>
      <family val="1"/>
    </font>
    <font>
      <sz val="10"/>
      <color indexed="18"/>
      <name val="Times New Roman"/>
      <family val="1"/>
    </font>
    <font>
      <b/>
      <sz val="8"/>
      <name val="GillSans"/>
    </font>
    <font>
      <b/>
      <sz val="7"/>
      <name val="GillSans"/>
    </font>
    <font>
      <sz val="11"/>
      <name val="Times"/>
      <family val="1"/>
    </font>
    <font>
      <sz val="10"/>
      <name val="Times New Roman"/>
      <family val="1"/>
    </font>
    <font>
      <sz val="9"/>
      <name val="GillSans Light"/>
    </font>
    <font>
      <b/>
      <sz val="10"/>
      <color indexed="9"/>
      <name val="GillSans"/>
    </font>
    <font>
      <b/>
      <sz val="10"/>
      <color indexed="8"/>
      <name val="GillSans"/>
    </font>
    <font>
      <sz val="10"/>
      <name val="GillSans Light"/>
    </font>
    <font>
      <b/>
      <i/>
      <sz val="16"/>
      <name val="Helv"/>
    </font>
    <font>
      <b/>
      <sz val="13.5"/>
      <name val="MS Sans Serif"/>
      <family val="2"/>
    </font>
    <font>
      <sz val="10"/>
      <name val="GillSans"/>
    </font>
    <font>
      <b/>
      <sz val="10"/>
      <name val="GillSans"/>
    </font>
    <font>
      <b/>
      <sz val="11"/>
      <color indexed="9"/>
      <name val="GillSans"/>
    </font>
    <font>
      <b/>
      <sz val="11"/>
      <name val="GillSans"/>
    </font>
    <font>
      <sz val="8"/>
      <color indexed="16"/>
      <name val="Helv"/>
    </font>
    <font>
      <sz val="11"/>
      <color theme="1"/>
      <name val="Arial"/>
      <family val="2"/>
    </font>
    <font>
      <b/>
      <sz val="10"/>
      <color indexed="8"/>
      <name val="Arial "/>
    </font>
    <font>
      <sz val="10"/>
      <color indexed="8"/>
      <name val="Arial "/>
    </font>
    <font>
      <sz val="10"/>
      <color rgb="FF0000FF"/>
      <name val="Arial "/>
    </font>
    <font>
      <sz val="10"/>
      <color theme="0"/>
      <name val="Arial "/>
    </font>
    <font>
      <sz val="11"/>
      <color indexed="8"/>
      <name val="Arial"/>
      <family val="2"/>
    </font>
    <font>
      <sz val="10"/>
      <color rgb="FFFF0000"/>
      <name val="Arial "/>
    </font>
    <font>
      <b/>
      <sz val="10"/>
      <color rgb="FFFF0000"/>
      <name val="Arial "/>
    </font>
    <font>
      <sz val="10"/>
      <name val="Arial "/>
    </font>
    <font>
      <sz val="10"/>
      <color indexed="9"/>
      <name val="Arial "/>
    </font>
    <font>
      <i/>
      <sz val="10"/>
      <color indexed="8"/>
      <name val="Arial "/>
    </font>
    <font>
      <i/>
      <sz val="10"/>
      <color rgb="FF0000FF"/>
      <name val="Arial "/>
    </font>
    <font>
      <b/>
      <sz val="10"/>
      <color rgb="FF0000FF"/>
      <name val="Arial "/>
    </font>
    <font>
      <b/>
      <i/>
      <sz val="10"/>
      <color theme="0"/>
      <name val="Arial"/>
      <family val="2"/>
    </font>
    <font>
      <i/>
      <sz val="10"/>
      <name val="Arial "/>
    </font>
    <font>
      <sz val="10"/>
      <color indexed="24"/>
      <name val="Arial 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sz val="9"/>
      <color rgb="FF0000FF"/>
      <name val="Arial"/>
      <family val="2"/>
    </font>
    <font>
      <sz val="9"/>
      <color rgb="FFFF0000"/>
      <name val="Arial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62"/>
      <name val="Cambria"/>
      <family val="2"/>
    </font>
    <font>
      <sz val="12"/>
      <name val="바탕체"/>
      <family val="3"/>
      <charset val="129"/>
    </font>
    <font>
      <sz val="12"/>
      <name val="바탕체"/>
      <family val="3"/>
    </font>
    <font>
      <b/>
      <sz val="10"/>
      <color rgb="FFC00000"/>
      <name val="Arial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sz val="10"/>
      <name val="Tahoma"/>
      <family val="2"/>
    </font>
    <font>
      <u/>
      <sz val="11"/>
      <color theme="10"/>
      <name val="Calibri"/>
      <family val="2"/>
      <scheme val="minor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indexed="41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6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2"/>
      </patternFill>
    </fill>
    <fill>
      <patternFill patternType="solid">
        <fgColor indexed="15"/>
      </patternFill>
    </fill>
    <fill>
      <patternFill patternType="solid">
        <fgColor indexed="28"/>
      </patternFill>
    </fill>
    <fill>
      <patternFill patternType="solid">
        <fgColor indexed="35"/>
      </patternFill>
    </fill>
    <fill>
      <patternFill patternType="solid">
        <fgColor indexed="48"/>
      </patternFill>
    </fill>
    <fill>
      <patternFill patternType="solid">
        <fgColor indexed="38"/>
      </patternFill>
    </fill>
    <fill>
      <patternFill patternType="solid">
        <fgColor indexed="39"/>
      </patternFill>
    </fill>
    <fill>
      <patternFill patternType="solid">
        <fgColor indexed="23"/>
      </patternFill>
    </fill>
    <fill>
      <patternFill patternType="solid">
        <fgColor indexed="53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4F3D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ACD6FF"/>
        <bgColor indexed="64"/>
      </patternFill>
    </fill>
    <fill>
      <patternFill patternType="solid">
        <fgColor rgb="FFDAEFE1"/>
        <bgColor indexed="64"/>
      </patternFill>
    </fill>
    <fill>
      <patternFill patternType="solid">
        <fgColor rgb="FFF4CB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mediumGray"/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7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thin">
        <color indexed="8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thin">
        <color indexed="8"/>
      </bottom>
      <diagonal/>
    </border>
    <border>
      <left style="medium">
        <color indexed="22"/>
      </left>
      <right style="thin">
        <color indexed="8"/>
      </right>
      <top style="medium">
        <color indexed="22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64"/>
      </top>
      <bottom/>
      <diagonal/>
    </border>
    <border>
      <left style="thin">
        <color indexed="8"/>
      </left>
      <right style="medium">
        <color indexed="22"/>
      </right>
      <top style="thin">
        <color indexed="8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thin">
        <color indexed="8"/>
      </top>
      <bottom style="medium">
        <color indexed="22"/>
      </bottom>
      <diagonal/>
    </border>
    <border>
      <left style="medium">
        <color indexed="22"/>
      </left>
      <right style="thin">
        <color indexed="8"/>
      </right>
      <top style="thin">
        <color indexed="8"/>
      </top>
      <bottom style="medium">
        <color indexed="22"/>
      </bottom>
      <diagonal/>
    </border>
    <border>
      <left style="thin">
        <color indexed="8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thin">
        <color indexed="8"/>
      </left>
      <right style="medium">
        <color indexed="22"/>
      </right>
      <top style="medium">
        <color indexed="22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347">
    <xf numFmtId="0" fontId="0" fillId="0" borderId="0"/>
    <xf numFmtId="0" fontId="8" fillId="0" borderId="0"/>
    <xf numFmtId="0" fontId="8" fillId="21" borderId="0" applyNumberFormat="0" applyFont="0" applyBorder="0" applyAlignment="0" applyProtection="0"/>
    <xf numFmtId="0" fontId="8" fillId="0" borderId="0"/>
    <xf numFmtId="0" fontId="13" fillId="0" borderId="0"/>
    <xf numFmtId="0" fontId="13" fillId="0" borderId="0"/>
    <xf numFmtId="0" fontId="13" fillId="0" borderId="0"/>
    <xf numFmtId="0" fontId="14" fillId="2" borderId="0" applyNumberFormat="0" applyBorder="0" applyAlignment="0" applyProtection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2" borderId="0" applyNumberFormat="0" applyBorder="0" applyAlignment="0" applyProtection="0"/>
    <xf numFmtId="0" fontId="14" fillId="3" borderId="0" applyNumberFormat="0" applyBorder="0" applyAlignment="0" applyProtection="0"/>
    <xf numFmtId="0" fontId="14" fillId="6" borderId="0" applyNumberFormat="0" applyBorder="0" applyAlignment="0" applyProtection="0"/>
    <xf numFmtId="0" fontId="14" fillId="3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3" borderId="0" applyNumberFormat="0" applyBorder="0" applyAlignment="0" applyProtection="0"/>
    <xf numFmtId="0" fontId="15" fillId="6" borderId="0" applyNumberFormat="0" applyBorder="0" applyAlignment="0" applyProtection="0"/>
    <xf numFmtId="0" fontId="15" fillId="10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5" fillId="3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2" borderId="0" applyNumberFormat="0" applyBorder="0" applyAlignment="0" applyProtection="0"/>
    <xf numFmtId="0" fontId="15" fillId="16" borderId="0" applyNumberFormat="0" applyBorder="0" applyAlignment="0" applyProtection="0"/>
    <xf numFmtId="0" fontId="16" fillId="17" borderId="0" applyNumberFormat="0" applyBorder="0" applyAlignment="0" applyProtection="0"/>
    <xf numFmtId="0" fontId="17" fillId="0" borderId="0"/>
    <xf numFmtId="0" fontId="18" fillId="18" borderId="1" applyNumberFormat="0" applyAlignment="0" applyProtection="0"/>
    <xf numFmtId="0" fontId="19" fillId="19" borderId="2" applyNumberFormat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7" borderId="0" applyNumberFormat="0" applyBorder="0" applyAlignment="0" applyProtection="0"/>
    <xf numFmtId="0" fontId="22" fillId="0" borderId="3" applyNumberFormat="0" applyFill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24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25" fillId="20" borderId="1" applyNumberFormat="0" applyAlignment="0" applyProtection="0"/>
    <xf numFmtId="0" fontId="26" fillId="0" borderId="6" applyNumberFormat="0" applyFill="0" applyAlignment="0" applyProtection="0"/>
    <xf numFmtId="0" fontId="27" fillId="20" borderId="0" applyNumberFormat="0" applyBorder="0" applyAlignment="0" applyProtection="0"/>
    <xf numFmtId="0" fontId="8" fillId="0" borderId="0"/>
    <xf numFmtId="0" fontId="55" fillId="0" borderId="0"/>
    <xf numFmtId="0" fontId="47" fillId="0" borderId="0"/>
    <xf numFmtId="0" fontId="50" fillId="0" borderId="0"/>
    <xf numFmtId="38" fontId="47" fillId="0" borderId="0" applyFont="0" applyFill="0" applyBorder="0" applyAlignment="0" applyProtection="0"/>
    <xf numFmtId="0" fontId="47" fillId="0" borderId="0"/>
    <xf numFmtId="0" fontId="47" fillId="0" borderId="0"/>
    <xf numFmtId="0" fontId="8" fillId="0" borderId="0"/>
    <xf numFmtId="0" fontId="28" fillId="20" borderId="7" applyNumberFormat="0" applyFont="0" applyAlignment="0" applyProtection="0"/>
    <xf numFmtId="0" fontId="29" fillId="18" borderId="8" applyNumberFormat="0" applyAlignment="0" applyProtection="0"/>
    <xf numFmtId="0" fontId="30" fillId="0" borderId="0">
      <alignment vertical="center"/>
    </xf>
    <xf numFmtId="9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47" fillId="0" borderId="0" applyFont="0" applyFill="0" applyBorder="0" applyAlignment="0" applyProtection="0"/>
    <xf numFmtId="171" fontId="8" fillId="0" borderId="0" applyFont="0" applyFill="0" applyBorder="0" applyAlignment="0" applyProtection="0"/>
    <xf numFmtId="169" fontId="47" fillId="0" borderId="0" applyFont="0" applyFill="0" applyBorder="0" applyAlignment="0" applyProtection="0"/>
    <xf numFmtId="0" fontId="31" fillId="0" borderId="0"/>
    <xf numFmtId="0" fontId="31" fillId="0" borderId="9">
      <alignment horizontal="centerContinuous"/>
    </xf>
    <xf numFmtId="0" fontId="32" fillId="0" borderId="9"/>
    <xf numFmtId="0" fontId="33" fillId="0" borderId="0" applyNumberFormat="0" applyFill="0" applyBorder="0" applyAlignment="0" applyProtection="0"/>
    <xf numFmtId="38" fontId="34" fillId="0" borderId="10" applyNumberFormat="0" applyFont="0" applyFill="0" applyAlignment="0" applyProtection="0"/>
    <xf numFmtId="0" fontId="35" fillId="0" borderId="11" applyNumberFormat="0" applyFill="0" applyAlignment="0" applyProtection="0"/>
    <xf numFmtId="0" fontId="36" fillId="0" borderId="0" applyNumberFormat="0" applyFill="0" applyBorder="0" applyAlignment="0" applyProtection="0"/>
    <xf numFmtId="0" fontId="75" fillId="0" borderId="0"/>
    <xf numFmtId="0" fontId="8" fillId="0" borderId="0"/>
    <xf numFmtId="0" fontId="8" fillId="0" borderId="0" applyNumberFormat="0" applyFill="0" applyBorder="0" applyAlignment="0" applyProtection="0"/>
    <xf numFmtId="0" fontId="8" fillId="0" borderId="0">
      <alignment vertical="top"/>
    </xf>
    <xf numFmtId="0" fontId="8" fillId="0" borderId="0"/>
    <xf numFmtId="0" fontId="13" fillId="0" borderId="0"/>
    <xf numFmtId="9" fontId="8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78" fillId="0" borderId="0"/>
    <xf numFmtId="0" fontId="13" fillId="0" borderId="0"/>
    <xf numFmtId="0" fontId="6" fillId="0" borderId="0"/>
    <xf numFmtId="0" fontId="84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8" fillId="0" borderId="0"/>
    <xf numFmtId="0" fontId="8" fillId="0" borderId="0"/>
    <xf numFmtId="0" fontId="8" fillId="0" borderId="0"/>
    <xf numFmtId="0" fontId="13" fillId="0" borderId="0"/>
    <xf numFmtId="9" fontId="8" fillId="0" borderId="0"/>
    <xf numFmtId="0" fontId="13" fillId="0" borderId="0"/>
    <xf numFmtId="0" fontId="13" fillId="0" borderId="0"/>
    <xf numFmtId="2" fontId="13" fillId="0" borderId="0"/>
    <xf numFmtId="1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173" fontId="86" fillId="0" borderId="0" applyFont="0" applyAlignment="0"/>
    <xf numFmtId="37" fontId="87" fillId="0" borderId="0">
      <alignment horizontal="center"/>
    </xf>
    <xf numFmtId="0" fontId="8" fillId="0" borderId="0"/>
    <xf numFmtId="200" fontId="88" fillId="0" borderId="0">
      <alignment horizontal="left"/>
    </xf>
    <xf numFmtId="0" fontId="89" fillId="0" borderId="0" applyNumberFormat="0" applyFill="0" applyBorder="0" applyAlignment="0" applyProtection="0"/>
    <xf numFmtId="0" fontId="17" fillId="0" borderId="0"/>
    <xf numFmtId="0" fontId="17" fillId="0" borderId="0"/>
    <xf numFmtId="1" fontId="90" fillId="0" borderId="0"/>
    <xf numFmtId="0" fontId="91" fillId="0" borderId="49" applyNumberFormat="0" applyFill="0" applyProtection="0">
      <alignment horizontal="left" vertical="center"/>
    </xf>
    <xf numFmtId="0" fontId="92" fillId="0" borderId="49" applyNumberFormat="0" applyFill="0" applyBorder="0" applyProtection="0">
      <alignment horizontal="left" vertical="center"/>
    </xf>
    <xf numFmtId="0" fontId="92" fillId="0" borderId="49" applyNumberFormat="0" applyFill="0" applyBorder="0" applyProtection="0">
      <alignment horizontal="right" vertical="center"/>
    </xf>
    <xf numFmtId="201" fontId="93" fillId="0" borderId="0"/>
    <xf numFmtId="201" fontId="93" fillId="0" borderId="0"/>
    <xf numFmtId="201" fontId="93" fillId="0" borderId="0"/>
    <xf numFmtId="201" fontId="93" fillId="0" borderId="0"/>
    <xf numFmtId="201" fontId="93" fillId="0" borderId="0"/>
    <xf numFmtId="201" fontId="93" fillId="0" borderId="0"/>
    <xf numFmtId="201" fontId="93" fillId="0" borderId="0"/>
    <xf numFmtId="201" fontId="93" fillId="0" borderId="0"/>
    <xf numFmtId="38" fontId="94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4" fontId="12" fillId="0" borderId="14" applyFont="0">
      <alignment horizontal="right"/>
    </xf>
    <xf numFmtId="0" fontId="94" fillId="0" borderId="0"/>
    <xf numFmtId="5" fontId="49" fillId="0" borderId="0" applyFont="0" applyFill="0" applyBorder="0" applyAlignment="0" applyProtection="0">
      <protection locked="0"/>
    </xf>
    <xf numFmtId="0" fontId="95" fillId="0" borderId="0" applyNumberFormat="0" applyFill="0" applyBorder="0" applyProtection="0">
      <alignment horizontal="left" vertical="center"/>
    </xf>
    <xf numFmtId="0" fontId="96" fillId="54" borderId="0" applyNumberFormat="0" applyBorder="0" applyProtection="0">
      <alignment horizontal="left" vertical="center"/>
    </xf>
    <xf numFmtId="0" fontId="97" fillId="1" borderId="0" applyNumberFormat="0" applyBorder="0" applyProtection="0">
      <alignment horizontal="left" vertical="center"/>
    </xf>
    <xf numFmtId="0" fontId="53" fillId="0" borderId="23" applyNumberFormat="0" applyAlignment="0" applyProtection="0">
      <alignment horizontal="left" vertical="center"/>
    </xf>
    <xf numFmtId="0" fontId="53" fillId="0" borderId="14">
      <alignment horizontal="left" vertical="center"/>
    </xf>
    <xf numFmtId="0" fontId="84" fillId="0" borderId="0" applyNumberFormat="0" applyFill="0" applyBorder="0" applyAlignment="0" applyProtection="0">
      <alignment vertical="top"/>
      <protection locked="0"/>
    </xf>
    <xf numFmtId="0" fontId="98" fillId="0" borderId="0" applyNumberFormat="0" applyFill="0" applyBorder="0" applyProtection="0">
      <alignment horizontal="left" vertical="center"/>
    </xf>
    <xf numFmtId="202" fontId="99" fillId="0" borderId="0"/>
    <xf numFmtId="0" fontId="8" fillId="0" borderId="0"/>
    <xf numFmtId="0" fontId="4" fillId="0" borderId="0"/>
    <xf numFmtId="0" fontId="4" fillId="0" borderId="0"/>
    <xf numFmtId="0" fontId="75" fillId="0" borderId="0"/>
    <xf numFmtId="0" fontId="75" fillId="0" borderId="0"/>
    <xf numFmtId="43" fontId="94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100" fillId="0" borderId="0">
      <alignment horizontal="left"/>
    </xf>
    <xf numFmtId="164" fontId="8" fillId="0" borderId="0" applyBorder="0"/>
    <xf numFmtId="9" fontId="8" fillId="0" borderId="0" applyFont="0" applyFill="0" applyBorder="0" applyAlignment="0" applyProtection="0"/>
    <xf numFmtId="203" fontId="101" fillId="0" borderId="0">
      <alignment horizontal="right"/>
    </xf>
    <xf numFmtId="0" fontId="98" fillId="0" borderId="0" applyNumberFormat="0" applyFill="0" applyBorder="0" applyProtection="0">
      <alignment horizontal="right" vertical="center"/>
    </xf>
    <xf numFmtId="0" fontId="31" fillId="0" borderId="0"/>
    <xf numFmtId="0" fontId="31" fillId="0" borderId="0"/>
    <xf numFmtId="0" fontId="31" fillId="0" borderId="51">
      <alignment horizontal="centerContinuous"/>
    </xf>
    <xf numFmtId="0" fontId="31" fillId="0" borderId="51">
      <alignment horizontal="centerContinuous"/>
    </xf>
    <xf numFmtId="0" fontId="8" fillId="0" borderId="0">
      <alignment vertical="top"/>
    </xf>
    <xf numFmtId="0" fontId="8" fillId="0" borderId="0">
      <alignment vertical="top"/>
    </xf>
    <xf numFmtId="0" fontId="102" fillId="0" borderId="0" applyNumberFormat="0" applyFill="0" applyBorder="0" applyProtection="0">
      <alignment horizontal="left" vertical="center"/>
    </xf>
    <xf numFmtId="0" fontId="102" fillId="0" borderId="14" applyNumberFormat="0" applyFill="0" applyProtection="0">
      <alignment horizontal="left" vertical="center"/>
    </xf>
    <xf numFmtId="0" fontId="103" fillId="54" borderId="0" applyNumberFormat="0" applyBorder="0" applyProtection="0">
      <alignment horizontal="left" vertical="center"/>
    </xf>
    <xf numFmtId="0" fontId="104" fillId="1" borderId="0" applyNumberFormat="0" applyBorder="0" applyProtection="0">
      <alignment horizontal="left" vertical="center"/>
    </xf>
    <xf numFmtId="0" fontId="105" fillId="0" borderId="0" applyNumberFormat="0"/>
    <xf numFmtId="0" fontId="106" fillId="0" borderId="0"/>
    <xf numFmtId="9" fontId="11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8" fillId="0" borderId="0"/>
    <xf numFmtId="9" fontId="3" fillId="0" borderId="0" applyFont="0" applyFill="0" applyBorder="0" applyAlignment="0" applyProtection="0"/>
    <xf numFmtId="0" fontId="3" fillId="0" borderId="0"/>
    <xf numFmtId="0" fontId="8" fillId="0" borderId="0" applyNumberFormat="0" applyFill="0" applyBorder="0" applyAlignment="0" applyProtection="0"/>
    <xf numFmtId="0" fontId="2" fillId="0" borderId="0"/>
    <xf numFmtId="0" fontId="2" fillId="0" borderId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>
      <alignment vertical="top"/>
    </xf>
    <xf numFmtId="0" fontId="9" fillId="0" borderId="0" applyNumberFormat="0" applyFont="0" applyFill="0" applyBorder="0" applyAlignment="0" applyProtection="0"/>
    <xf numFmtId="0" fontId="8" fillId="0" borderId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7" fillId="20" borderId="0" applyNumberFormat="0" applyBorder="0" applyAlignment="0" applyProtection="0"/>
    <xf numFmtId="0" fontId="7" fillId="3" borderId="0" applyNumberFormat="0" applyBorder="0" applyAlignment="0" applyProtection="0"/>
    <xf numFmtId="0" fontId="7" fillId="58" borderId="0" applyNumberFormat="0" applyBorder="0" applyAlignment="0" applyProtection="0"/>
    <xf numFmtId="0" fontId="7" fillId="20" borderId="0" applyNumberFormat="0" applyBorder="0" applyAlignment="0" applyProtection="0"/>
    <xf numFmtId="0" fontId="7" fillId="8" borderId="0" applyNumberFormat="0" applyBorder="0" applyAlignment="0" applyProtection="0"/>
    <xf numFmtId="0" fontId="7" fillId="7" borderId="0" applyNumberFormat="0" applyBorder="0" applyAlignment="0" applyProtection="0"/>
    <xf numFmtId="0" fontId="7" fillId="20" borderId="0" applyNumberFormat="0" applyBorder="0" applyAlignment="0" applyProtection="0"/>
    <xf numFmtId="0" fontId="7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20" borderId="0" applyNumberFormat="0" applyBorder="0" applyAlignment="0" applyProtection="0"/>
    <xf numFmtId="0" fontId="15" fillId="59" borderId="0" applyNumberFormat="0" applyBorder="0" applyAlignment="0" applyProtection="0"/>
    <xf numFmtId="0" fontId="15" fillId="7" borderId="0" applyNumberFormat="0" applyBorder="0" applyAlignment="0" applyProtection="0"/>
    <xf numFmtId="0" fontId="15" fillId="60" borderId="0" applyNumberFormat="0" applyBorder="0" applyAlignment="0" applyProtection="0"/>
    <xf numFmtId="0" fontId="15" fillId="8" borderId="0" applyNumberFormat="0" applyBorder="0" applyAlignment="0" applyProtection="0"/>
    <xf numFmtId="0" fontId="15" fillId="59" borderId="0" applyNumberFormat="0" applyBorder="0" applyAlignment="0" applyProtection="0"/>
    <xf numFmtId="0" fontId="15" fillId="20" borderId="0" applyNumberFormat="0" applyBorder="0" applyAlignment="0" applyProtection="0"/>
    <xf numFmtId="0" fontId="15" fillId="59" borderId="0" applyNumberFormat="0" applyBorder="0" applyAlignment="0" applyProtection="0"/>
    <xf numFmtId="0" fontId="15" fillId="7" borderId="0" applyNumberFormat="0" applyBorder="0" applyAlignment="0" applyProtection="0"/>
    <xf numFmtId="0" fontId="15" fillId="60" borderId="0" applyNumberFormat="0" applyBorder="0" applyAlignment="0" applyProtection="0"/>
    <xf numFmtId="0" fontId="15" fillId="61" borderId="0" applyNumberFormat="0" applyBorder="0" applyAlignment="0" applyProtection="0"/>
    <xf numFmtId="0" fontId="15" fillId="59" borderId="0" applyNumberFormat="0" applyBorder="0" applyAlignment="0" applyProtection="0"/>
    <xf numFmtId="0" fontId="15" fillId="7" borderId="0" applyNumberFormat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27" fillId="62" borderId="0" applyNumberFormat="0" applyBorder="0" applyAlignment="0" applyProtection="0"/>
    <xf numFmtId="0" fontId="89" fillId="0" borderId="0" applyNumberFormat="0" applyFill="0" applyBorder="0" applyAlignment="0" applyProtection="0"/>
    <xf numFmtId="0" fontId="8" fillId="0" borderId="0"/>
    <xf numFmtId="0" fontId="8" fillId="0" borderId="0"/>
    <xf numFmtId="0" fontId="128" fillId="18" borderId="1" applyNumberFormat="0" applyAlignment="0" applyProtection="0"/>
    <xf numFmtId="0" fontId="19" fillId="19" borderId="2" applyNumberFormat="0" applyAlignment="0" applyProtection="0"/>
    <xf numFmtId="0" fontId="92" fillId="0" borderId="52" applyNumberFormat="0" applyFill="0" applyBorder="0" applyProtection="0">
      <alignment horizontal="left" vertical="center"/>
    </xf>
    <xf numFmtId="0" fontId="92" fillId="0" borderId="52" applyNumberFormat="0" applyFill="0" applyBorder="0" applyProtection="0">
      <alignment horizontal="right" vertical="center"/>
    </xf>
    <xf numFmtId="43" fontId="54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54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29" fillId="4" borderId="0" applyNumberFormat="0" applyBorder="0" applyAlignment="0" applyProtection="0"/>
    <xf numFmtId="0" fontId="130" fillId="0" borderId="53" applyNumberFormat="0" applyFill="0" applyAlignment="0" applyProtection="0"/>
    <xf numFmtId="0" fontId="131" fillId="0" borderId="54" applyNumberFormat="0" applyFill="0" applyAlignment="0" applyProtection="0"/>
    <xf numFmtId="0" fontId="132" fillId="0" borderId="55" applyNumberFormat="0" applyFill="0" applyAlignment="0" applyProtection="0"/>
    <xf numFmtId="0" fontId="132" fillId="0" borderId="0" applyNumberFormat="0" applyFill="0" applyBorder="0" applyAlignment="0" applyProtection="0"/>
    <xf numFmtId="0" fontId="133" fillId="20" borderId="1" applyNumberFormat="0" applyAlignment="0" applyProtection="0"/>
    <xf numFmtId="0" fontId="134" fillId="0" borderId="56" applyNumberFormat="0" applyFill="0" applyAlignment="0" applyProtection="0"/>
    <xf numFmtId="0" fontId="135" fillId="20" borderId="0" applyNumberFormat="0" applyBorder="0" applyAlignment="0" applyProtection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54" fillId="0" borderId="0"/>
    <xf numFmtId="0" fontId="2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8" fillId="20" borderId="7" applyNumberFormat="0" applyFont="0" applyAlignment="0" applyProtection="0"/>
    <xf numFmtId="0" fontId="8" fillId="20" borderId="7" applyNumberFormat="0" applyFont="0" applyAlignment="0" applyProtection="0"/>
    <xf numFmtId="0" fontId="29" fillId="18" borderId="8" applyNumberFormat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6" fillId="0" borderId="0" applyNumberFormat="0" applyFill="0" applyBorder="0" applyAlignment="0" applyProtection="0"/>
    <xf numFmtId="0" fontId="35" fillId="0" borderId="57" applyNumberFormat="0" applyFill="0" applyAlignment="0" applyProtection="0"/>
    <xf numFmtId="0" fontId="36" fillId="0" borderId="0" applyNumberFormat="0" applyFill="0" applyBorder="0" applyAlignment="0" applyProtection="0"/>
    <xf numFmtId="0" fontId="8" fillId="0" borderId="0" applyFont="0" applyFill="0" applyBorder="0" applyAlignment="0" applyProtection="0"/>
    <xf numFmtId="0" fontId="137" fillId="0" borderId="0" applyFont="0" applyFill="0" applyBorder="0" applyAlignment="0" applyProtection="0"/>
    <xf numFmtId="0" fontId="138" fillId="0" borderId="0"/>
    <xf numFmtId="43" fontId="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 applyNumberForma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40" fillId="0" borderId="0"/>
    <xf numFmtId="0" fontId="141" fillId="12" borderId="0"/>
    <xf numFmtId="0" fontId="142" fillId="0" borderId="0">
      <alignment wrapText="1"/>
    </xf>
    <xf numFmtId="0" fontId="143" fillId="0" borderId="0" applyNumberFormat="0" applyFill="0" applyBorder="0" applyAlignment="0" applyProtection="0"/>
    <xf numFmtId="0" fontId="141" fillId="0" borderId="0"/>
    <xf numFmtId="0" fontId="144" fillId="0" borderId="0"/>
    <xf numFmtId="0" fontId="145" fillId="0" borderId="0"/>
    <xf numFmtId="0" fontId="1" fillId="0" borderId="0"/>
    <xf numFmtId="0" fontId="145" fillId="0" borderId="0"/>
    <xf numFmtId="9" fontId="11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21" borderId="0" applyNumberFormat="0" applyFon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51">
      <alignment horizontal="centerContinuous"/>
    </xf>
    <xf numFmtId="0" fontId="31" fillId="0" borderId="51">
      <alignment horizontal="centerContinuous"/>
    </xf>
    <xf numFmtId="0" fontId="31" fillId="0" borderId="51">
      <alignment horizontal="centerContinuous"/>
    </xf>
    <xf numFmtId="0" fontId="31" fillId="0" borderId="51">
      <alignment horizontal="centerContinuous"/>
    </xf>
    <xf numFmtId="0" fontId="31" fillId="0" borderId="51">
      <alignment horizontal="centerContinuous"/>
    </xf>
    <xf numFmtId="0" fontId="31" fillId="0" borderId="51">
      <alignment horizontal="centerContinuous"/>
    </xf>
    <xf numFmtId="0" fontId="31" fillId="0" borderId="51">
      <alignment horizontal="centerContinuous"/>
    </xf>
    <xf numFmtId="0" fontId="8" fillId="0" borderId="0">
      <alignment vertical="top"/>
    </xf>
    <xf numFmtId="38" fontId="34" fillId="0" borderId="10" applyNumberFormat="0" applyFont="0" applyFill="0" applyAlignment="0" applyProtection="0"/>
    <xf numFmtId="0" fontId="146" fillId="0" borderId="0"/>
  </cellStyleXfs>
  <cellXfs count="1272">
    <xf numFmtId="0" fontId="0" fillId="0" borderId="0" xfId="0"/>
    <xf numFmtId="11" fontId="0" fillId="0" borderId="0" xfId="0" applyNumberFormat="1"/>
    <xf numFmtId="164" fontId="0" fillId="0" borderId="0" xfId="59" applyNumberFormat="1" applyFont="1"/>
    <xf numFmtId="10" fontId="0" fillId="0" borderId="0" xfId="59" applyNumberFormat="1" applyFont="1"/>
    <xf numFmtId="10" fontId="0" fillId="0" borderId="0" xfId="0" applyNumberFormat="1"/>
    <xf numFmtId="3" fontId="0" fillId="0" borderId="0" xfId="0" applyNumberFormat="1"/>
    <xf numFmtId="0" fontId="11" fillId="0" borderId="0" xfId="44" applyAlignment="1" applyProtection="1"/>
    <xf numFmtId="9" fontId="0" fillId="0" borderId="0" xfId="0" applyNumberFormat="1"/>
    <xf numFmtId="164" fontId="0" fillId="0" borderId="0" xfId="0" applyNumberFormat="1"/>
    <xf numFmtId="164" fontId="10" fillId="0" borderId="0" xfId="0" applyNumberFormat="1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5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10" fontId="37" fillId="0" borderId="0" xfId="0" applyNumberFormat="1" applyFon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0" fillId="0" borderId="0" xfId="0" applyAlignment="1">
      <alignment horizontal="center"/>
    </xf>
    <xf numFmtId="165" fontId="37" fillId="0" borderId="0" xfId="0" applyNumberFormat="1" applyFont="1" applyAlignment="1">
      <alignment horizontal="center"/>
    </xf>
    <xf numFmtId="3" fontId="12" fillId="22" borderId="13" xfId="0" applyNumberFormat="1" applyFont="1" applyFill="1" applyBorder="1"/>
    <xf numFmtId="3" fontId="12" fillId="22" borderId="14" xfId="0" applyNumberFormat="1" applyFont="1" applyFill="1" applyBorder="1" applyAlignment="1">
      <alignment horizontal="center"/>
    </xf>
    <xf numFmtId="3" fontId="12" fillId="22" borderId="14" xfId="0" applyNumberFormat="1" applyFont="1" applyFill="1" applyBorder="1"/>
    <xf numFmtId="3" fontId="12" fillId="22" borderId="15" xfId="0" applyNumberFormat="1" applyFont="1" applyFill="1" applyBorder="1"/>
    <xf numFmtId="166" fontId="0" fillId="0" borderId="0" xfId="0" applyNumberFormat="1"/>
    <xf numFmtId="0" fontId="12" fillId="0" borderId="0" xfId="0" applyFont="1"/>
    <xf numFmtId="167" fontId="0" fillId="0" borderId="0" xfId="0" applyNumberFormat="1"/>
    <xf numFmtId="0" fontId="38" fillId="0" borderId="0" xfId="0" applyFont="1" applyAlignment="1">
      <alignment horizontal="left" indent="1"/>
    </xf>
    <xf numFmtId="0" fontId="38" fillId="0" borderId="0" xfId="0" applyFont="1"/>
    <xf numFmtId="0" fontId="38" fillId="0" borderId="0" xfId="0" applyFont="1" applyAlignment="1">
      <alignment horizontal="center"/>
    </xf>
    <xf numFmtId="165" fontId="38" fillId="0" borderId="0" xfId="0" applyNumberFormat="1" applyFont="1"/>
    <xf numFmtId="0" fontId="38" fillId="0" borderId="0" xfId="0" applyFont="1" applyAlignment="1">
      <alignment horizontal="left" indent="2"/>
    </xf>
    <xf numFmtId="0" fontId="28" fillId="0" borderId="0" xfId="55" applyFont="1" applyAlignment="1">
      <alignment horizontal="center"/>
    </xf>
    <xf numFmtId="0" fontId="12" fillId="0" borderId="0" xfId="55" applyFont="1" applyFill="1" applyBorder="1" applyAlignment="1">
      <alignment horizontal="center"/>
    </xf>
    <xf numFmtId="14" fontId="41" fillId="23" borderId="16" xfId="0" applyNumberFormat="1" applyFont="1" applyFill="1" applyBorder="1" applyAlignment="1">
      <alignment horizontal="center" wrapText="1"/>
    </xf>
    <xf numFmtId="8" fontId="41" fillId="23" borderId="16" xfId="0" applyNumberFormat="1" applyFont="1" applyFill="1" applyBorder="1" applyAlignment="1">
      <alignment horizontal="right" wrapText="1"/>
    </xf>
    <xf numFmtId="0" fontId="41" fillId="23" borderId="16" xfId="0" applyFont="1" applyFill="1" applyBorder="1" applyAlignment="1">
      <alignment horizontal="right" wrapText="1"/>
    </xf>
    <xf numFmtId="0" fontId="41" fillId="23" borderId="17" xfId="0" applyFont="1" applyFill="1" applyBorder="1" applyAlignment="1">
      <alignment horizontal="right" wrapText="1"/>
    </xf>
    <xf numFmtId="8" fontId="41" fillId="23" borderId="18" xfId="0" applyNumberFormat="1" applyFont="1" applyFill="1" applyBorder="1" applyAlignment="1">
      <alignment horizontal="right" wrapText="1"/>
    </xf>
    <xf numFmtId="0" fontId="41" fillId="23" borderId="18" xfId="0" applyFont="1" applyFill="1" applyBorder="1" applyAlignment="1">
      <alignment horizontal="right" wrapText="1"/>
    </xf>
    <xf numFmtId="0" fontId="41" fillId="23" borderId="19" xfId="0" applyFont="1" applyFill="1" applyBorder="1" applyAlignment="1">
      <alignment horizontal="right" wrapText="1"/>
    </xf>
    <xf numFmtId="0" fontId="0" fillId="0" borderId="0" xfId="0" applyBorder="1"/>
    <xf numFmtId="173" fontId="0" fillId="0" borderId="0" xfId="0" applyNumberFormat="1"/>
    <xf numFmtId="173" fontId="0" fillId="22" borderId="0" xfId="0" applyNumberFormat="1" applyFill="1"/>
    <xf numFmtId="0" fontId="12" fillId="0" borderId="20" xfId="0" applyFont="1" applyBorder="1"/>
    <xf numFmtId="0" fontId="12" fillId="0" borderId="21" xfId="0" applyFont="1" applyBorder="1"/>
    <xf numFmtId="0" fontId="0" fillId="0" borderId="21" xfId="0" applyBorder="1"/>
    <xf numFmtId="0" fontId="0" fillId="0" borderId="0" xfId="0" applyAlignment="1">
      <alignment horizontal="right"/>
    </xf>
    <xf numFmtId="167" fontId="12" fillId="22" borderId="21" xfId="0" applyNumberFormat="1" applyFont="1" applyFill="1" applyBorder="1"/>
    <xf numFmtId="167" fontId="12" fillId="0" borderId="21" xfId="0" applyNumberFormat="1" applyFont="1" applyFill="1" applyBorder="1"/>
    <xf numFmtId="0" fontId="0" fillId="0" borderId="0" xfId="0" applyFill="1"/>
    <xf numFmtId="173" fontId="0" fillId="0" borderId="0" xfId="0" applyNumberFormat="1" applyFill="1"/>
    <xf numFmtId="0" fontId="12" fillId="0" borderId="22" xfId="0" applyFont="1" applyBorder="1" applyAlignment="1">
      <alignment horizontal="center"/>
    </xf>
    <xf numFmtId="0" fontId="12" fillId="0" borderId="22" xfId="0" applyFont="1" applyFill="1" applyBorder="1" applyAlignment="1">
      <alignment horizontal="center"/>
    </xf>
    <xf numFmtId="0" fontId="12" fillId="22" borderId="22" xfId="0" applyFont="1" applyFill="1" applyBorder="1" applyAlignment="1">
      <alignment horizontal="center"/>
    </xf>
    <xf numFmtId="173" fontId="12" fillId="0" borderId="20" xfId="0" applyNumberFormat="1" applyFont="1" applyFill="1" applyBorder="1"/>
    <xf numFmtId="173" fontId="12" fillId="0" borderId="20" xfId="0" applyNumberFormat="1" applyFont="1" applyBorder="1"/>
    <xf numFmtId="173" fontId="12" fillId="22" borderId="20" xfId="0" applyNumberFormat="1" applyFont="1" applyFill="1" applyBorder="1"/>
    <xf numFmtId="0" fontId="42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73" fontId="42" fillId="22" borderId="0" xfId="0" applyNumberFormat="1" applyFont="1" applyFill="1"/>
    <xf numFmtId="9" fontId="0" fillId="22" borderId="0" xfId="59" applyFont="1" applyFill="1"/>
    <xf numFmtId="9" fontId="0" fillId="0" borderId="0" xfId="59" applyFont="1" applyFill="1"/>
    <xf numFmtId="0" fontId="12" fillId="0" borderId="12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right"/>
    </xf>
    <xf numFmtId="0" fontId="12" fillId="0" borderId="0" xfId="0" applyFont="1" applyBorder="1" applyAlignment="1">
      <alignment horizontal="center"/>
    </xf>
    <xf numFmtId="0" fontId="12" fillId="0" borderId="0" xfId="0" applyFont="1" applyBorder="1"/>
    <xf numFmtId="9" fontId="12" fillId="0" borderId="20" xfId="59" applyFont="1" applyFill="1" applyBorder="1"/>
    <xf numFmtId="9" fontId="12" fillId="0" borderId="21" xfId="59" applyFont="1" applyFill="1" applyBorder="1"/>
    <xf numFmtId="9" fontId="12" fillId="22" borderId="20" xfId="59" applyFont="1" applyFill="1" applyBorder="1"/>
    <xf numFmtId="9" fontId="12" fillId="22" borderId="21" xfId="59" applyFont="1" applyFill="1" applyBorder="1"/>
    <xf numFmtId="0" fontId="0" fillId="0" borderId="14" xfId="0" applyBorder="1"/>
    <xf numFmtId="0" fontId="12" fillId="0" borderId="14" xfId="0" applyFont="1" applyBorder="1"/>
    <xf numFmtId="0" fontId="0" fillId="0" borderId="12" xfId="0" applyBorder="1"/>
    <xf numFmtId="0" fontId="12" fillId="22" borderId="20" xfId="0" applyFont="1" applyFill="1" applyBorder="1" applyAlignment="1">
      <alignment horizontal="right"/>
    </xf>
    <xf numFmtId="0" fontId="0" fillId="22" borderId="0" xfId="0" applyFill="1"/>
    <xf numFmtId="164" fontId="38" fillId="22" borderId="0" xfId="59" applyNumberFormat="1" applyFont="1" applyFill="1"/>
    <xf numFmtId="177" fontId="0" fillId="22" borderId="0" xfId="0" applyNumberFormat="1" applyFill="1"/>
    <xf numFmtId="2" fontId="0" fillId="22" borderId="0" xfId="0" applyNumberFormat="1" applyFill="1"/>
    <xf numFmtId="165" fontId="0" fillId="22" borderId="0" xfId="0" applyNumberFormat="1" applyFill="1"/>
    <xf numFmtId="177" fontId="12" fillId="22" borderId="21" xfId="0" applyNumberFormat="1" applyFont="1" applyFill="1" applyBorder="1"/>
    <xf numFmtId="173" fontId="12" fillId="22" borderId="14" xfId="0" applyNumberFormat="1" applyFont="1" applyFill="1" applyBorder="1"/>
    <xf numFmtId="173" fontId="0" fillId="22" borderId="14" xfId="0" applyNumberFormat="1" applyFill="1" applyBorder="1"/>
    <xf numFmtId="173" fontId="12" fillId="0" borderId="14" xfId="0" applyNumberFormat="1" applyFont="1" applyFill="1" applyBorder="1"/>
    <xf numFmtId="176" fontId="0" fillId="22" borderId="0" xfId="0" applyNumberFormat="1" applyFill="1"/>
    <xf numFmtId="173" fontId="0" fillId="0" borderId="14" xfId="0" applyNumberFormat="1" applyFill="1" applyBorder="1"/>
    <xf numFmtId="164" fontId="38" fillId="0" borderId="0" xfId="59" applyNumberFormat="1" applyFont="1" applyFill="1"/>
    <xf numFmtId="177" fontId="12" fillId="0" borderId="21" xfId="0" applyNumberFormat="1" applyFont="1" applyFill="1" applyBorder="1"/>
    <xf numFmtId="173" fontId="12" fillId="0" borderId="21" xfId="0" applyNumberFormat="1" applyFont="1" applyFill="1" applyBorder="1"/>
    <xf numFmtId="165" fontId="0" fillId="0" borderId="0" xfId="0" applyNumberFormat="1" applyFill="1"/>
    <xf numFmtId="177" fontId="0" fillId="0" borderId="0" xfId="0" applyNumberFormat="1" applyFill="1"/>
    <xf numFmtId="176" fontId="0" fillId="0" borderId="0" xfId="0" applyNumberFormat="1" applyFill="1"/>
    <xf numFmtId="173" fontId="12" fillId="22" borderId="21" xfId="0" applyNumberFormat="1" applyFont="1" applyFill="1" applyBorder="1"/>
    <xf numFmtId="176" fontId="0" fillId="22" borderId="14" xfId="0" applyNumberFormat="1" applyFill="1" applyBorder="1"/>
    <xf numFmtId="0" fontId="0" fillId="0" borderId="12" xfId="0" applyFill="1" applyBorder="1"/>
    <xf numFmtId="0" fontId="12" fillId="0" borderId="20" xfId="0" applyFont="1" applyFill="1" applyBorder="1" applyAlignment="1">
      <alignment horizontal="right"/>
    </xf>
    <xf numFmtId="0" fontId="12" fillId="0" borderId="12" xfId="0" applyFont="1" applyFill="1" applyBorder="1" applyAlignment="1">
      <alignment horizontal="center"/>
    </xf>
    <xf numFmtId="0" fontId="0" fillId="0" borderId="0" xfId="0" applyFill="1" applyBorder="1"/>
    <xf numFmtId="176" fontId="0" fillId="0" borderId="0" xfId="0" applyNumberFormat="1" applyBorder="1"/>
    <xf numFmtId="176" fontId="0" fillId="0" borderId="0" xfId="0" applyNumberFormat="1" applyFill="1" applyBorder="1"/>
    <xf numFmtId="0" fontId="12" fillId="0" borderId="12" xfId="0" applyFont="1" applyBorder="1"/>
    <xf numFmtId="9" fontId="0" fillId="0" borderId="0" xfId="0" applyNumberFormat="1" applyBorder="1"/>
    <xf numFmtId="165" fontId="0" fillId="0" borderId="12" xfId="0" applyNumberFormat="1" applyBorder="1"/>
    <xf numFmtId="165" fontId="0" fillId="0" borderId="0" xfId="0" applyNumberFormat="1" applyBorder="1"/>
    <xf numFmtId="9" fontId="0" fillId="0" borderId="12" xfId="59" applyFont="1" applyBorder="1"/>
    <xf numFmtId="9" fontId="12" fillId="24" borderId="0" xfId="59" applyFont="1" applyFill="1" applyBorder="1"/>
    <xf numFmtId="165" fontId="0" fillId="24" borderId="0" xfId="0" applyNumberFormat="1" applyFill="1" applyBorder="1"/>
    <xf numFmtId="165" fontId="12" fillId="24" borderId="0" xfId="0" applyNumberFormat="1" applyFont="1" applyFill="1" applyBorder="1"/>
    <xf numFmtId="9" fontId="12" fillId="24" borderId="0" xfId="59" applyNumberFormat="1" applyFont="1" applyFill="1" applyBorder="1"/>
    <xf numFmtId="9" fontId="12" fillId="24" borderId="0" xfId="0" applyNumberFormat="1" applyFont="1" applyFill="1" applyBorder="1"/>
    <xf numFmtId="0" fontId="0" fillId="0" borderId="0" xfId="0" applyBorder="1" applyAlignment="1">
      <alignment horizontal="left" indent="1"/>
    </xf>
    <xf numFmtId="164" fontId="0" fillId="0" borderId="0" xfId="59" applyNumberFormat="1" applyFont="1" applyFill="1" applyBorder="1"/>
    <xf numFmtId="0" fontId="0" fillId="0" borderId="12" xfId="0" applyBorder="1" applyAlignment="1">
      <alignment horizontal="left" indent="1"/>
    </xf>
    <xf numFmtId="164" fontId="0" fillId="0" borderId="12" xfId="59" applyNumberFormat="1" applyFont="1" applyFill="1" applyBorder="1"/>
    <xf numFmtId="0" fontId="12" fillId="25" borderId="23" xfId="0" applyFont="1" applyFill="1" applyBorder="1"/>
    <xf numFmtId="2" fontId="0" fillId="0" borderId="0" xfId="0" applyNumberFormat="1"/>
    <xf numFmtId="0" fontId="0" fillId="0" borderId="0" xfId="0" quotePrefix="1"/>
    <xf numFmtId="0" fontId="37" fillId="0" borderId="0" xfId="0" applyFont="1"/>
    <xf numFmtId="167" fontId="12" fillId="0" borderId="14" xfId="0" applyNumberFormat="1" applyFont="1" applyBorder="1"/>
    <xf numFmtId="164" fontId="38" fillId="0" borderId="0" xfId="0" applyNumberFormat="1" applyFont="1"/>
    <xf numFmtId="9" fontId="38" fillId="0" borderId="0" xfId="0" applyNumberFormat="1" applyFont="1"/>
    <xf numFmtId="166" fontId="38" fillId="0" borderId="0" xfId="0" applyNumberFormat="1" applyFont="1"/>
    <xf numFmtId="165" fontId="12" fillId="0" borderId="14" xfId="0" applyNumberFormat="1" applyFont="1" applyBorder="1"/>
    <xf numFmtId="9" fontId="8" fillId="0" borderId="0" xfId="0" applyNumberFormat="1" applyFont="1"/>
    <xf numFmtId="2" fontId="37" fillId="0" borderId="0" xfId="0" applyNumberFormat="1" applyFont="1"/>
    <xf numFmtId="166" fontId="12" fillId="0" borderId="14" xfId="0" applyNumberFormat="1" applyFont="1" applyBorder="1"/>
    <xf numFmtId="0" fontId="12" fillId="0" borderId="20" xfId="0" applyFont="1" applyFill="1" applyBorder="1" applyAlignment="1">
      <alignment horizontal="left"/>
    </xf>
    <xf numFmtId="0" fontId="12" fillId="0" borderId="20" xfId="0" applyFont="1" applyFill="1" applyBorder="1"/>
    <xf numFmtId="178" fontId="12" fillId="0" borderId="20" xfId="0" applyNumberFormat="1" applyFont="1" applyFill="1" applyBorder="1"/>
    <xf numFmtId="178" fontId="12" fillId="0" borderId="0" xfId="0" applyNumberFormat="1" applyFont="1" applyFill="1" applyBorder="1"/>
    <xf numFmtId="9" fontId="0" fillId="0" borderId="0" xfId="59" applyFont="1"/>
    <xf numFmtId="0" fontId="12" fillId="0" borderId="14" xfId="0" applyFont="1" applyBorder="1" applyAlignment="1">
      <alignment horizontal="left"/>
    </xf>
    <xf numFmtId="3" fontId="12" fillId="0" borderId="14" xfId="0" applyNumberFormat="1" applyFont="1" applyBorder="1"/>
    <xf numFmtId="9" fontId="38" fillId="0" borderId="0" xfId="59" applyFont="1"/>
    <xf numFmtId="164" fontId="12" fillId="0" borderId="14" xfId="59" applyNumberFormat="1" applyFont="1" applyBorder="1"/>
    <xf numFmtId="3" fontId="38" fillId="0" borderId="0" xfId="0" applyNumberFormat="1" applyFont="1"/>
    <xf numFmtId="164" fontId="38" fillId="0" borderId="0" xfId="59" applyNumberFormat="1" applyFont="1"/>
    <xf numFmtId="9" fontId="38" fillId="0" borderId="0" xfId="0" applyNumberFormat="1" applyFont="1" applyBorder="1"/>
    <xf numFmtId="177" fontId="12" fillId="0" borderId="0" xfId="0" applyNumberFormat="1" applyFont="1" applyFill="1" applyBorder="1"/>
    <xf numFmtId="177" fontId="12" fillId="22" borderId="0" xfId="0" applyNumberFormat="1" applyFont="1" applyFill="1" applyBorder="1"/>
    <xf numFmtId="5" fontId="0" fillId="0" borderId="0" xfId="0" applyNumberFormat="1"/>
    <xf numFmtId="7" fontId="0" fillId="0" borderId="0" xfId="0" applyNumberFormat="1"/>
    <xf numFmtId="9" fontId="38" fillId="22" borderId="0" xfId="59" applyFont="1" applyFill="1"/>
    <xf numFmtId="9" fontId="38" fillId="0" borderId="0" xfId="59" applyFont="1" applyFill="1"/>
    <xf numFmtId="0" fontId="45" fillId="25" borderId="24" xfId="0" applyFont="1" applyFill="1" applyBorder="1" applyAlignment="1">
      <alignment horizontal="left" vertical="center"/>
    </xf>
    <xf numFmtId="8" fontId="46" fillId="23" borderId="16" xfId="0" applyNumberFormat="1" applyFont="1" applyFill="1" applyBorder="1" applyAlignment="1">
      <alignment horizontal="right" vertical="center" wrapText="1"/>
    </xf>
    <xf numFmtId="179" fontId="46" fillId="23" borderId="16" xfId="0" applyNumberFormat="1" applyFont="1" applyFill="1" applyBorder="1" applyAlignment="1">
      <alignment horizontal="center" vertical="center" wrapText="1"/>
    </xf>
    <xf numFmtId="0" fontId="38" fillId="0" borderId="0" xfId="0" applyFont="1" applyAlignment="1"/>
    <xf numFmtId="0" fontId="12" fillId="0" borderId="0" xfId="0" applyFont="1" applyAlignment="1">
      <alignment horizontal="left" indent="2"/>
    </xf>
    <xf numFmtId="0" fontId="12" fillId="0" borderId="0" xfId="0" applyFont="1" applyAlignment="1">
      <alignment horizontal="center"/>
    </xf>
    <xf numFmtId="3" fontId="12" fillId="0" borderId="0" xfId="0" applyNumberFormat="1" applyFont="1"/>
    <xf numFmtId="166" fontId="12" fillId="0" borderId="0" xfId="0" applyNumberFormat="1" applyFont="1"/>
    <xf numFmtId="177" fontId="0" fillId="0" borderId="0" xfId="0" applyNumberFormat="1"/>
    <xf numFmtId="9" fontId="0" fillId="0" borderId="0" xfId="0" applyNumberFormat="1" applyFill="1"/>
    <xf numFmtId="9" fontId="0" fillId="0" borderId="0" xfId="59" applyNumberFormat="1" applyFont="1" applyFill="1"/>
    <xf numFmtId="166" fontId="12" fillId="0" borderId="0" xfId="0" applyNumberFormat="1" applyFont="1" applyBorder="1"/>
    <xf numFmtId="0" fontId="12" fillId="0" borderId="0" xfId="0" applyFont="1" applyBorder="1" applyAlignment="1">
      <alignment horizontal="left" indent="1"/>
    </xf>
    <xf numFmtId="0" fontId="12" fillId="0" borderId="0" xfId="55" applyFont="1" applyFill="1" applyBorder="1" applyAlignment="1">
      <alignment horizontal="left"/>
    </xf>
    <xf numFmtId="0" fontId="12" fillId="0" borderId="0" xfId="0" applyFont="1" applyFill="1" applyBorder="1"/>
    <xf numFmtId="0" fontId="12" fillId="0" borderId="0" xfId="55" applyFont="1" applyFill="1" applyBorder="1" applyAlignment="1">
      <alignment horizontal="left" indent="1"/>
    </xf>
    <xf numFmtId="0" fontId="28" fillId="0" borderId="0" xfId="55" applyFont="1" applyAlignment="1">
      <alignment horizontal="right"/>
    </xf>
    <xf numFmtId="0" fontId="12" fillId="0" borderId="0" xfId="55" applyFont="1" applyFill="1" applyBorder="1" applyAlignment="1">
      <alignment horizontal="right" vertical="top" wrapText="1"/>
    </xf>
    <xf numFmtId="0" fontId="12" fillId="0" borderId="0" xfId="55" applyFont="1" applyFill="1" applyBorder="1" applyAlignment="1">
      <alignment horizontal="right"/>
    </xf>
    <xf numFmtId="41" fontId="12" fillId="0" borderId="0" xfId="55" applyNumberFormat="1" applyFont="1" applyBorder="1" applyAlignment="1">
      <alignment horizontal="right"/>
    </xf>
    <xf numFmtId="37" fontId="12" fillId="0" borderId="0" xfId="55" applyNumberFormat="1" applyFont="1" applyFill="1" applyBorder="1" applyAlignment="1">
      <alignment horizontal="right"/>
    </xf>
    <xf numFmtId="37" fontId="12" fillId="23" borderId="0" xfId="55" applyNumberFormat="1" applyFont="1" applyFill="1" applyBorder="1" applyAlignment="1">
      <alignment horizontal="right"/>
    </xf>
    <xf numFmtId="0" fontId="41" fillId="25" borderId="24" xfId="0" applyFont="1" applyFill="1" applyBorder="1" applyAlignment="1">
      <alignment horizontal="right" vertical="center"/>
    </xf>
    <xf numFmtId="14" fontId="41" fillId="23" borderId="16" xfId="0" applyNumberFormat="1" applyFont="1" applyFill="1" applyBorder="1" applyAlignment="1">
      <alignment horizontal="right" wrapText="1"/>
    </xf>
    <xf numFmtId="0" fontId="41" fillId="25" borderId="26" xfId="0" applyFont="1" applyFill="1" applyBorder="1" applyAlignment="1">
      <alignment horizontal="right" wrapText="1"/>
    </xf>
    <xf numFmtId="0" fontId="41" fillId="25" borderId="27" xfId="0" applyFont="1" applyFill="1" applyBorder="1" applyAlignment="1">
      <alignment horizontal="right" wrapText="1"/>
    </xf>
    <xf numFmtId="0" fontId="41" fillId="25" borderId="28" xfId="0" applyFont="1" applyFill="1" applyBorder="1" applyAlignment="1">
      <alignment horizontal="right" wrapText="1"/>
    </xf>
    <xf numFmtId="14" fontId="41" fillId="23" borderId="29" xfId="0" applyNumberFormat="1" applyFont="1" applyFill="1" applyBorder="1" applyAlignment="1">
      <alignment horizontal="right" wrapText="1"/>
    </xf>
    <xf numFmtId="14" fontId="41" fillId="23" borderId="30" xfId="0" applyNumberFormat="1" applyFont="1" applyFill="1" applyBorder="1" applyAlignment="1">
      <alignment horizontal="right" wrapText="1"/>
    </xf>
    <xf numFmtId="14" fontId="41" fillId="23" borderId="18" xfId="0" applyNumberFormat="1" applyFont="1" applyFill="1" applyBorder="1" applyAlignment="1">
      <alignment horizontal="right" wrapText="1"/>
    </xf>
    <xf numFmtId="41" fontId="12" fillId="0" borderId="0" xfId="55" applyNumberFormat="1" applyFont="1" applyFill="1" applyBorder="1" applyAlignment="1">
      <alignment horizontal="right"/>
    </xf>
    <xf numFmtId="5" fontId="12" fillId="0" borderId="0" xfId="55" applyNumberFormat="1" applyFont="1" applyFill="1" applyBorder="1" applyAlignment="1">
      <alignment horizontal="right"/>
    </xf>
    <xf numFmtId="3" fontId="12" fillId="0" borderId="0" xfId="55" applyNumberFormat="1" applyFont="1" applyFill="1" applyBorder="1" applyAlignment="1">
      <alignment horizontal="left" vertical="top" wrapText="1"/>
    </xf>
    <xf numFmtId="3" fontId="12" fillId="0" borderId="0" xfId="55" applyNumberFormat="1" applyFont="1" applyFill="1" applyBorder="1" applyAlignment="1">
      <alignment horizontal="right" vertical="top" wrapText="1"/>
    </xf>
    <xf numFmtId="3" fontId="12" fillId="0" borderId="0" xfId="55" applyNumberFormat="1" applyFont="1" applyFill="1" applyBorder="1" applyAlignment="1">
      <alignment horizontal="right"/>
    </xf>
    <xf numFmtId="164" fontId="12" fillId="0" borderId="0" xfId="55" applyNumberFormat="1" applyFont="1" applyFill="1" applyBorder="1" applyAlignment="1">
      <alignment horizontal="right"/>
    </xf>
    <xf numFmtId="164" fontId="12" fillId="0" borderId="0" xfId="55" applyNumberFormat="1" applyFont="1" applyFill="1" applyBorder="1" applyAlignment="1">
      <alignment horizontal="left" indent="1"/>
    </xf>
    <xf numFmtId="164" fontId="0" fillId="0" borderId="12" xfId="59" applyNumberFormat="1" applyFont="1" applyBorder="1"/>
    <xf numFmtId="0" fontId="12" fillId="0" borderId="0" xfId="0" applyFont="1" applyFill="1" applyBorder="1" applyAlignment="1">
      <alignment horizontal="center"/>
    </xf>
    <xf numFmtId="0" fontId="28" fillId="0" borderId="0" xfId="0" applyFont="1" applyFill="1" applyBorder="1"/>
    <xf numFmtId="9" fontId="28" fillId="0" borderId="0" xfId="59" applyFont="1" applyFill="1" applyBorder="1" applyAlignment="1">
      <alignment horizontal="right"/>
    </xf>
    <xf numFmtId="9" fontId="12" fillId="0" borderId="0" xfId="59" applyFont="1"/>
    <xf numFmtId="0" fontId="11" fillId="0" borderId="0" xfId="44" applyFill="1" applyAlignment="1" applyProtection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left" indent="1"/>
    </xf>
    <xf numFmtId="174" fontId="28" fillId="0" borderId="0" xfId="52" applyNumberFormat="1" applyFont="1" applyFill="1" applyBorder="1" applyAlignment="1">
      <alignment horizontal="right"/>
    </xf>
    <xf numFmtId="174" fontId="28" fillId="0" borderId="0" xfId="52" applyNumberFormat="1" applyFont="1" applyFill="1" applyBorder="1"/>
    <xf numFmtId="168" fontId="28" fillId="0" borderId="0" xfId="35" applyNumberFormat="1" applyFont="1" applyFill="1" applyBorder="1" applyAlignment="1">
      <alignment horizontal="right"/>
    </xf>
    <xf numFmtId="168" fontId="28" fillId="0" borderId="0" xfId="54" applyNumberFormat="1" applyFont="1" applyFill="1" applyBorder="1" applyAlignment="1">
      <alignment horizontal="right" wrapText="1"/>
    </xf>
    <xf numFmtId="168" fontId="28" fillId="0" borderId="0" xfId="50" applyNumberFormat="1" applyFont="1" applyFill="1" applyBorder="1" applyAlignment="1">
      <alignment horizontal="right"/>
    </xf>
    <xf numFmtId="7" fontId="28" fillId="0" borderId="0" xfId="36" applyNumberFormat="1" applyFont="1" applyFill="1" applyBorder="1" applyAlignment="1">
      <alignment horizontal="right"/>
    </xf>
    <xf numFmtId="174" fontId="28" fillId="0" borderId="0" xfId="50" applyNumberFormat="1" applyFont="1" applyFill="1" applyBorder="1" applyAlignment="1">
      <alignment horizontal="right"/>
    </xf>
    <xf numFmtId="49" fontId="28" fillId="0" borderId="0" xfId="54" applyNumberFormat="1" applyFont="1" applyFill="1" applyBorder="1" applyAlignment="1">
      <alignment horizontal="left" wrapText="1"/>
    </xf>
    <xf numFmtId="0" fontId="12" fillId="0" borderId="0" xfId="54" applyFont="1" applyFill="1" applyBorder="1" applyAlignment="1">
      <alignment horizontal="right"/>
    </xf>
    <xf numFmtId="170" fontId="12" fillId="0" borderId="0" xfId="35" applyNumberFormat="1" applyFont="1" applyFill="1" applyBorder="1" applyAlignment="1">
      <alignment horizontal="right"/>
    </xf>
    <xf numFmtId="0" fontId="28" fillId="0" borderId="0" xfId="54" applyFont="1" applyFill="1" applyBorder="1" applyAlignment="1">
      <alignment horizontal="right"/>
    </xf>
    <xf numFmtId="0" fontId="12" fillId="0" borderId="0" xfId="54" applyFont="1" applyFill="1" applyBorder="1" applyAlignment="1">
      <alignment horizontal="left" wrapText="1"/>
    </xf>
    <xf numFmtId="170" fontId="28" fillId="0" borderId="0" xfId="35" applyNumberFormat="1" applyFont="1" applyFill="1" applyBorder="1" applyAlignment="1">
      <alignment horizontal="right"/>
    </xf>
    <xf numFmtId="37" fontId="28" fillId="0" borderId="0" xfId="54" applyNumberFormat="1" applyFont="1" applyFill="1" applyBorder="1" applyAlignment="1">
      <alignment horizontal="right"/>
    </xf>
    <xf numFmtId="0" fontId="28" fillId="0" borderId="0" xfId="54" applyFont="1" applyFill="1" applyBorder="1"/>
    <xf numFmtId="174" fontId="28" fillId="0" borderId="0" xfId="54" applyNumberFormat="1" applyFont="1" applyFill="1" applyBorder="1" applyAlignment="1">
      <alignment horizontal="left" wrapText="1" indent="1"/>
    </xf>
    <xf numFmtId="174" fontId="28" fillId="0" borderId="0" xfId="36" applyNumberFormat="1" applyFont="1" applyFill="1" applyBorder="1" applyAlignment="1">
      <alignment horizontal="right"/>
    </xf>
    <xf numFmtId="174" fontId="28" fillId="0" borderId="0" xfId="0" applyNumberFormat="1" applyFont="1" applyFill="1" applyBorder="1"/>
    <xf numFmtId="168" fontId="28" fillId="0" borderId="0" xfId="54" applyNumberFormat="1" applyFont="1" applyFill="1" applyBorder="1" applyAlignment="1">
      <alignment horizontal="left" wrapText="1" indent="1"/>
    </xf>
    <xf numFmtId="168" fontId="28" fillId="0" borderId="0" xfId="36" applyNumberFormat="1" applyFont="1" applyFill="1" applyBorder="1" applyAlignment="1">
      <alignment horizontal="right"/>
    </xf>
    <xf numFmtId="168" fontId="28" fillId="0" borderId="0" xfId="0" applyNumberFormat="1" applyFont="1" applyFill="1" applyBorder="1"/>
    <xf numFmtId="174" fontId="28" fillId="0" borderId="0" xfId="35" applyNumberFormat="1" applyFont="1" applyFill="1" applyBorder="1" applyAlignment="1">
      <alignment horizontal="right" vertical="center"/>
    </xf>
    <xf numFmtId="5" fontId="28" fillId="0" borderId="0" xfId="35" applyNumberFormat="1" applyFont="1" applyFill="1" applyBorder="1" applyAlignment="1">
      <alignment horizontal="right" vertical="center"/>
    </xf>
    <xf numFmtId="174" fontId="12" fillId="0" borderId="0" xfId="0" applyNumberFormat="1" applyFont="1" applyFill="1" applyBorder="1"/>
    <xf numFmtId="174" fontId="28" fillId="0" borderId="0" xfId="54" applyNumberFormat="1" applyFont="1" applyFill="1" applyBorder="1" applyAlignment="1">
      <alignment horizontal="left" vertical="center" wrapText="1"/>
    </xf>
    <xf numFmtId="169" fontId="28" fillId="0" borderId="0" xfId="35" applyNumberFormat="1" applyFont="1" applyFill="1" applyBorder="1" applyAlignment="1">
      <alignment horizontal="right"/>
    </xf>
    <xf numFmtId="0" fontId="28" fillId="0" borderId="0" xfId="54" applyFont="1" applyFill="1" applyBorder="1" applyAlignment="1">
      <alignment horizontal="left" wrapText="1" indent="1"/>
    </xf>
    <xf numFmtId="174" fontId="12" fillId="0" borderId="0" xfId="35" applyNumberFormat="1" applyFont="1" applyFill="1" applyBorder="1" applyAlignment="1">
      <alignment horizontal="right"/>
    </xf>
    <xf numFmtId="174" fontId="28" fillId="0" borderId="0" xfId="54" applyNumberFormat="1" applyFont="1" applyFill="1" applyBorder="1" applyAlignment="1">
      <alignment horizontal="left" wrapText="1"/>
    </xf>
    <xf numFmtId="174" fontId="28" fillId="0" borderId="0" xfId="35" applyNumberFormat="1" applyFont="1" applyFill="1" applyBorder="1" applyAlignment="1">
      <alignment horizontal="right"/>
    </xf>
    <xf numFmtId="168" fontId="28" fillId="0" borderId="0" xfId="54" applyNumberFormat="1" applyFont="1" applyFill="1" applyBorder="1" applyAlignment="1">
      <alignment horizontal="left" wrapText="1"/>
    </xf>
    <xf numFmtId="37" fontId="28" fillId="0" borderId="0" xfId="35" applyNumberFormat="1" applyFont="1" applyFill="1" applyBorder="1" applyAlignment="1">
      <alignment horizontal="right"/>
    </xf>
    <xf numFmtId="37" fontId="28" fillId="0" borderId="0" xfId="36" applyNumberFormat="1" applyFont="1" applyFill="1" applyBorder="1" applyAlignment="1">
      <alignment horizontal="right"/>
    </xf>
    <xf numFmtId="170" fontId="28" fillId="0" borderId="0" xfId="54" applyNumberFormat="1" applyFont="1" applyFill="1" applyBorder="1" applyAlignment="1">
      <alignment horizontal="right"/>
    </xf>
    <xf numFmtId="181" fontId="28" fillId="0" borderId="0" xfId="54" applyNumberFormat="1" applyFont="1" applyFill="1" applyBorder="1" applyAlignment="1">
      <alignment horizontal="right"/>
    </xf>
    <xf numFmtId="0" fontId="28" fillId="0" borderId="0" xfId="54" applyFont="1" applyFill="1" applyBorder="1" applyAlignment="1">
      <alignment horizontal="left" wrapText="1"/>
    </xf>
    <xf numFmtId="43" fontId="28" fillId="0" borderId="0" xfId="35" applyNumberFormat="1" applyFont="1" applyFill="1" applyBorder="1"/>
    <xf numFmtId="170" fontId="28" fillId="0" borderId="0" xfId="35" applyNumberFormat="1" applyFont="1" applyFill="1" applyBorder="1"/>
    <xf numFmtId="43" fontId="28" fillId="0" borderId="0" xfId="35" applyNumberFormat="1" applyFont="1" applyFill="1" applyBorder="1" applyAlignment="1">
      <alignment horizontal="right"/>
    </xf>
    <xf numFmtId="170" fontId="28" fillId="0" borderId="0" xfId="35" applyNumberFormat="1" applyFont="1" applyFill="1" applyBorder="1" applyAlignment="1">
      <alignment horizontal="center"/>
    </xf>
    <xf numFmtId="43" fontId="28" fillId="0" borderId="0" xfId="35" applyNumberFormat="1" applyFont="1" applyFill="1" applyBorder="1" applyAlignment="1">
      <alignment horizontal="center"/>
    </xf>
    <xf numFmtId="169" fontId="28" fillId="0" borderId="0" xfId="35" applyNumberFormat="1" applyFont="1" applyFill="1" applyBorder="1" applyAlignment="1">
      <alignment horizontal="center"/>
    </xf>
    <xf numFmtId="181" fontId="28" fillId="0" borderId="0" xfId="35" applyNumberFormat="1" applyFont="1" applyFill="1" applyBorder="1" applyAlignment="1">
      <alignment horizontal="center"/>
    </xf>
    <xf numFmtId="37" fontId="12" fillId="0" borderId="0" xfId="0" applyNumberFormat="1" applyFont="1" applyFill="1" applyBorder="1"/>
    <xf numFmtId="37" fontId="28" fillId="0" borderId="0" xfId="0" applyNumberFormat="1" applyFont="1" applyFill="1" applyBorder="1" applyAlignment="1">
      <alignment horizontal="right"/>
    </xf>
    <xf numFmtId="174" fontId="28" fillId="0" borderId="0" xfId="54" applyNumberFormat="1" applyFont="1" applyFill="1" applyBorder="1" applyAlignment="1">
      <alignment horizontal="left" indent="1"/>
    </xf>
    <xf numFmtId="168" fontId="28" fillId="0" borderId="0" xfId="54" applyNumberFormat="1" applyFont="1" applyFill="1" applyBorder="1" applyAlignment="1">
      <alignment horizontal="left" indent="1"/>
    </xf>
    <xf numFmtId="168" fontId="28" fillId="0" borderId="0" xfId="52" applyNumberFormat="1" applyFont="1" applyFill="1" applyBorder="1" applyAlignment="1">
      <alignment horizontal="right"/>
    </xf>
    <xf numFmtId="168" fontId="28" fillId="0" borderId="0" xfId="0" applyNumberFormat="1" applyFont="1" applyFill="1" applyBorder="1" applyAlignment="1">
      <alignment horizontal="left" indent="1"/>
    </xf>
    <xf numFmtId="38" fontId="12" fillId="0" borderId="0" xfId="0" applyNumberFormat="1" applyFont="1" applyFill="1" applyBorder="1"/>
    <xf numFmtId="182" fontId="28" fillId="0" borderId="0" xfId="35" applyNumberFormat="1" applyFont="1" applyFill="1" applyBorder="1" applyAlignment="1">
      <alignment horizontal="right"/>
    </xf>
    <xf numFmtId="37" fontId="28" fillId="0" borderId="0" xfId="54" applyNumberFormat="1" applyFont="1" applyFill="1" applyBorder="1" applyAlignment="1">
      <alignment horizontal="left" indent="1"/>
    </xf>
    <xf numFmtId="37" fontId="28" fillId="0" borderId="0" xfId="61" applyNumberFormat="1" applyFont="1" applyFill="1" applyBorder="1" applyAlignment="1">
      <alignment horizontal="right"/>
    </xf>
    <xf numFmtId="37" fontId="28" fillId="0" borderId="0" xfId="0" applyNumberFormat="1" applyFont="1" applyFill="1" applyBorder="1"/>
    <xf numFmtId="168" fontId="12" fillId="0" borderId="0" xfId="54" applyNumberFormat="1" applyFont="1" applyFill="1" applyBorder="1" applyAlignment="1">
      <alignment horizontal="left" wrapText="1"/>
    </xf>
    <xf numFmtId="168" fontId="28" fillId="0" borderId="0" xfId="61" applyNumberFormat="1" applyFont="1" applyFill="1" applyBorder="1" applyAlignment="1">
      <alignment horizontal="right"/>
    </xf>
    <xf numFmtId="164" fontId="28" fillId="0" borderId="0" xfId="54" applyNumberFormat="1" applyFont="1" applyFill="1" applyBorder="1" applyAlignment="1">
      <alignment horizontal="left" wrapText="1" indent="1"/>
    </xf>
    <xf numFmtId="164" fontId="28" fillId="0" borderId="0" xfId="59" applyNumberFormat="1" applyFont="1" applyFill="1" applyBorder="1" applyAlignment="1">
      <alignment horizontal="right"/>
    </xf>
    <xf numFmtId="164" fontId="28" fillId="0" borderId="0" xfId="0" applyNumberFormat="1" applyFont="1" applyFill="1" applyBorder="1"/>
    <xf numFmtId="164" fontId="28" fillId="0" borderId="0" xfId="63" applyNumberFormat="1" applyFont="1" applyFill="1" applyBorder="1" applyAlignment="1">
      <alignment horizontal="right"/>
    </xf>
    <xf numFmtId="164" fontId="28" fillId="0" borderId="0" xfId="35" applyNumberFormat="1" applyFont="1" applyFill="1" applyBorder="1" applyAlignment="1">
      <alignment horizontal="right"/>
    </xf>
    <xf numFmtId="168" fontId="28" fillId="0" borderId="0" xfId="59" applyNumberFormat="1" applyFont="1" applyFill="1" applyBorder="1" applyAlignment="1">
      <alignment horizontal="right"/>
    </xf>
    <xf numFmtId="164" fontId="28" fillId="0" borderId="0" xfId="52" applyNumberFormat="1" applyFont="1" applyFill="1" applyBorder="1" applyAlignment="1">
      <alignment horizontal="right"/>
    </xf>
    <xf numFmtId="38" fontId="28" fillId="0" borderId="0" xfId="0" applyNumberFormat="1" applyFont="1" applyFill="1" applyBorder="1" applyAlignment="1">
      <alignment horizontal="right"/>
    </xf>
    <xf numFmtId="168" fontId="28" fillId="0" borderId="0" xfId="0" applyNumberFormat="1" applyFont="1" applyFill="1" applyBorder="1" applyAlignment="1">
      <alignment horizontal="right"/>
    </xf>
    <xf numFmtId="164" fontId="28" fillId="0" borderId="0" xfId="0" applyNumberFormat="1" applyFont="1" applyFill="1" applyBorder="1" applyAlignment="1">
      <alignment horizontal="left" indent="1"/>
    </xf>
    <xf numFmtId="37" fontId="12" fillId="0" borderId="0" xfId="0" applyNumberFormat="1" applyFont="1" applyFill="1" applyBorder="1" applyAlignment="1">
      <alignment horizontal="left"/>
    </xf>
    <xf numFmtId="182" fontId="12" fillId="0" borderId="0" xfId="54" applyNumberFormat="1" applyFont="1" applyFill="1" applyBorder="1" applyAlignment="1">
      <alignment horizontal="left" wrapText="1"/>
    </xf>
    <xf numFmtId="0" fontId="28" fillId="0" borderId="0" xfId="53" applyFont="1" applyFill="1" applyBorder="1" applyAlignment="1">
      <alignment horizontal="right"/>
    </xf>
    <xf numFmtId="38" fontId="28" fillId="0" borderId="0" xfId="35" applyNumberFormat="1" applyFont="1" applyFill="1" applyBorder="1" applyAlignment="1">
      <alignment horizontal="right"/>
    </xf>
    <xf numFmtId="168" fontId="28" fillId="0" borderId="0" xfId="53" applyNumberFormat="1" applyFont="1" applyFill="1" applyBorder="1" applyAlignment="1">
      <alignment horizontal="right"/>
    </xf>
    <xf numFmtId="182" fontId="28" fillId="0" borderId="0" xfId="54" applyNumberFormat="1" applyFont="1" applyFill="1" applyBorder="1" applyAlignment="1">
      <alignment horizontal="left" wrapText="1"/>
    </xf>
    <xf numFmtId="164" fontId="28" fillId="0" borderId="0" xfId="61" applyNumberFormat="1" applyFont="1" applyFill="1" applyBorder="1" applyAlignment="1">
      <alignment horizontal="right"/>
    </xf>
    <xf numFmtId="174" fontId="28" fillId="0" borderId="0" xfId="52" applyNumberFormat="1" applyFont="1" applyFill="1" applyBorder="1" applyAlignment="1">
      <alignment horizontal="left" indent="1"/>
    </xf>
    <xf numFmtId="174" fontId="28" fillId="0" borderId="0" xfId="68" applyNumberFormat="1" applyFont="1" applyFill="1" applyBorder="1" applyAlignment="1">
      <alignment horizontal="right"/>
    </xf>
    <xf numFmtId="168" fontId="28" fillId="0" borderId="0" xfId="52" applyNumberFormat="1" applyFont="1" applyFill="1" applyBorder="1"/>
    <xf numFmtId="38" fontId="28" fillId="0" borderId="0" xfId="52" applyFont="1" applyFill="1" applyBorder="1" applyAlignment="1">
      <alignment horizontal="right"/>
    </xf>
    <xf numFmtId="168" fontId="28" fillId="0" borderId="0" xfId="53" applyNumberFormat="1" applyFont="1" applyFill="1" applyBorder="1" applyAlignment="1">
      <alignment horizontal="center"/>
    </xf>
    <xf numFmtId="168" fontId="28" fillId="0" borderId="0" xfId="52" applyNumberFormat="1" applyFont="1" applyFill="1" applyBorder="1" applyAlignment="1">
      <alignment horizontal="left" indent="1"/>
    </xf>
    <xf numFmtId="165" fontId="28" fillId="0" borderId="0" xfId="53" applyNumberFormat="1" applyFont="1" applyFill="1" applyBorder="1" applyAlignment="1">
      <alignment horizontal="right"/>
    </xf>
    <xf numFmtId="174" fontId="28" fillId="0" borderId="0" xfId="52" applyNumberFormat="1" applyFont="1" applyFill="1" applyBorder="1" applyAlignment="1">
      <alignment horizontal="left"/>
    </xf>
    <xf numFmtId="164" fontId="28" fillId="0" borderId="0" xfId="52" applyNumberFormat="1" applyFont="1" applyFill="1" applyBorder="1" applyAlignment="1">
      <alignment horizontal="left" indent="1"/>
    </xf>
    <xf numFmtId="38" fontId="28" fillId="0" borderId="0" xfId="52" applyFont="1" applyFill="1" applyBorder="1" applyAlignment="1">
      <alignment horizontal="left" indent="1"/>
    </xf>
    <xf numFmtId="168" fontId="28" fillId="0" borderId="0" xfId="54" applyNumberFormat="1" applyFont="1" applyFill="1" applyBorder="1" applyAlignment="1">
      <alignment horizontal="left" indent="2"/>
    </xf>
    <xf numFmtId="164" fontId="28" fillId="0" borderId="0" xfId="59" applyNumberFormat="1" applyFont="1" applyFill="1" applyBorder="1" applyAlignment="1">
      <alignment horizontal="left" indent="2"/>
    </xf>
    <xf numFmtId="164" fontId="28" fillId="0" borderId="0" xfId="59" applyNumberFormat="1" applyFont="1" applyFill="1" applyBorder="1"/>
    <xf numFmtId="174" fontId="28" fillId="0" borderId="0" xfId="0" applyNumberFormat="1" applyFont="1" applyFill="1" applyBorder="1" applyAlignment="1">
      <alignment horizontal="left" indent="1"/>
    </xf>
    <xf numFmtId="174" fontId="28" fillId="0" borderId="0" xfId="0" applyNumberFormat="1" applyFont="1" applyFill="1" applyBorder="1" applyAlignment="1">
      <alignment horizontal="right"/>
    </xf>
    <xf numFmtId="168" fontId="28" fillId="0" borderId="0" xfId="51" applyNumberFormat="1" applyFont="1" applyFill="1" applyBorder="1" applyAlignment="1">
      <alignment horizontal="left" indent="1"/>
    </xf>
    <xf numFmtId="168" fontId="28" fillId="0" borderId="0" xfId="51" applyNumberFormat="1" applyFont="1" applyFill="1" applyBorder="1" applyAlignment="1">
      <alignment horizontal="right"/>
    </xf>
    <xf numFmtId="38" fontId="28" fillId="0" borderId="0" xfId="52" applyFont="1" applyFill="1" applyBorder="1" applyAlignment="1">
      <alignment horizontal="left"/>
    </xf>
    <xf numFmtId="164" fontId="12" fillId="0" borderId="0" xfId="0" applyNumberFormat="1" applyFont="1" applyFill="1" applyBorder="1" applyAlignment="1">
      <alignment horizontal="left"/>
    </xf>
    <xf numFmtId="164" fontId="28" fillId="0" borderId="0" xfId="0" applyNumberFormat="1" applyFont="1" applyFill="1" applyBorder="1" applyAlignment="1">
      <alignment horizontal="right"/>
    </xf>
    <xf numFmtId="5" fontId="28" fillId="0" borderId="0" xfId="0" applyNumberFormat="1" applyFont="1" applyFill="1" applyBorder="1" applyAlignment="1">
      <alignment horizontal="right"/>
    </xf>
    <xf numFmtId="164" fontId="28" fillId="0" borderId="0" xfId="54" applyNumberFormat="1" applyFont="1" applyFill="1" applyBorder="1" applyAlignment="1">
      <alignment horizontal="left" indent="2"/>
    </xf>
    <xf numFmtId="164" fontId="28" fillId="0" borderId="0" xfId="54" applyNumberFormat="1" applyFont="1" applyFill="1" applyBorder="1" applyAlignment="1">
      <alignment horizontal="left" indent="1"/>
    </xf>
    <xf numFmtId="182" fontId="28" fillId="0" borderId="0" xfId="54" applyNumberFormat="1" applyFont="1" applyFill="1" applyBorder="1"/>
    <xf numFmtId="0" fontId="28" fillId="0" borderId="0" xfId="0" applyFont="1" applyFill="1" applyBorder="1" applyAlignment="1">
      <alignment horizontal="right"/>
    </xf>
    <xf numFmtId="0" fontId="28" fillId="0" borderId="0" xfId="50" applyFont="1" applyFill="1" applyBorder="1"/>
    <xf numFmtId="168" fontId="28" fillId="0" borderId="0" xfId="54" applyNumberFormat="1" applyFont="1" applyFill="1" applyBorder="1"/>
    <xf numFmtId="7" fontId="28" fillId="0" borderId="0" xfId="0" applyNumberFormat="1" applyFont="1" applyFill="1" applyBorder="1" applyAlignment="1">
      <alignment horizontal="right"/>
    </xf>
    <xf numFmtId="37" fontId="28" fillId="0" borderId="0" xfId="0" applyNumberFormat="1" applyFont="1" applyFill="1" applyBorder="1" applyAlignment="1"/>
    <xf numFmtId="0" fontId="28" fillId="0" borderId="0" xfId="0" applyFont="1" applyFill="1" applyBorder="1" applyAlignment="1"/>
    <xf numFmtId="168" fontId="28" fillId="0" borderId="0" xfId="0" applyNumberFormat="1" applyFont="1" applyFill="1" applyBorder="1" applyAlignment="1"/>
    <xf numFmtId="164" fontId="28" fillId="0" borderId="0" xfId="59" applyNumberFormat="1" applyFont="1" applyFill="1" applyBorder="1" applyAlignment="1"/>
    <xf numFmtId="38" fontId="28" fillId="0" borderId="0" xfId="0" applyNumberFormat="1" applyFont="1" applyFill="1" applyBorder="1"/>
    <xf numFmtId="38" fontId="28" fillId="0" borderId="0" xfId="0" applyNumberFormat="1" applyFont="1" applyFill="1" applyBorder="1" applyAlignment="1"/>
    <xf numFmtId="174" fontId="28" fillId="0" borderId="0" xfId="0" applyNumberFormat="1" applyFont="1" applyFill="1" applyBorder="1" applyAlignment="1"/>
    <xf numFmtId="175" fontId="28" fillId="0" borderId="0" xfId="0" applyNumberFormat="1" applyFont="1" applyFill="1" applyBorder="1" applyAlignment="1"/>
    <xf numFmtId="43" fontId="28" fillId="0" borderId="0" xfId="35" applyFont="1" applyFill="1" applyBorder="1" applyAlignment="1"/>
    <xf numFmtId="175" fontId="28" fillId="0" borderId="0" xfId="0" applyNumberFormat="1" applyFont="1" applyFill="1" applyBorder="1"/>
    <xf numFmtId="165" fontId="28" fillId="0" borderId="0" xfId="0" applyNumberFormat="1" applyFont="1" applyFill="1" applyBorder="1"/>
    <xf numFmtId="182" fontId="12" fillId="0" borderId="0" xfId="54" applyNumberFormat="1" applyFont="1" applyFill="1" applyBorder="1" applyAlignment="1">
      <alignment horizontal="center"/>
    </xf>
    <xf numFmtId="182" fontId="12" fillId="0" borderId="0" xfId="54" applyNumberFormat="1" applyFont="1" applyFill="1" applyBorder="1" applyAlignment="1">
      <alignment horizontal="right"/>
    </xf>
    <xf numFmtId="182" fontId="28" fillId="0" borderId="0" xfId="54" applyNumberFormat="1" applyFont="1" applyFill="1" applyBorder="1" applyAlignment="1">
      <alignment horizontal="right"/>
    </xf>
    <xf numFmtId="174" fontId="28" fillId="0" borderId="0" xfId="54" applyNumberFormat="1" applyFont="1" applyFill="1" applyBorder="1" applyAlignment="1">
      <alignment horizontal="right" wrapText="1"/>
    </xf>
    <xf numFmtId="5" fontId="28" fillId="0" borderId="0" xfId="54" applyNumberFormat="1" applyFont="1" applyFill="1" applyBorder="1" applyAlignment="1">
      <alignment horizontal="right" wrapText="1"/>
    </xf>
    <xf numFmtId="182" fontId="28" fillId="0" borderId="0" xfId="35" applyNumberFormat="1" applyFont="1" applyFill="1" applyBorder="1" applyAlignment="1">
      <alignment horizontal="center"/>
    </xf>
    <xf numFmtId="37" fontId="12" fillId="0" borderId="0" xfId="0" applyNumberFormat="1" applyFont="1" applyFill="1" applyBorder="1" applyAlignment="1">
      <alignment horizontal="right"/>
    </xf>
    <xf numFmtId="168" fontId="28" fillId="0" borderId="0" xfId="54" applyNumberFormat="1" applyFont="1" applyFill="1" applyBorder="1" applyAlignment="1"/>
    <xf numFmtId="37" fontId="28" fillId="0" borderId="0" xfId="54" applyNumberFormat="1" applyFont="1" applyFill="1" applyBorder="1" applyAlignment="1"/>
    <xf numFmtId="174" fontId="12" fillId="0" borderId="0" xfId="54" applyNumberFormat="1" applyFont="1" applyFill="1" applyBorder="1" applyAlignment="1"/>
    <xf numFmtId="7" fontId="28" fillId="0" borderId="0" xfId="54" applyNumberFormat="1" applyFont="1" applyFill="1" applyBorder="1" applyAlignment="1"/>
    <xf numFmtId="7" fontId="28" fillId="0" borderId="0" xfId="0" applyNumberFormat="1" applyFont="1" applyFill="1" applyBorder="1"/>
    <xf numFmtId="164" fontId="12" fillId="0" borderId="0" xfId="54" applyNumberFormat="1" applyFont="1" applyFill="1" applyBorder="1"/>
    <xf numFmtId="164" fontId="12" fillId="0" borderId="0" xfId="54" applyNumberFormat="1" applyFont="1" applyFill="1" applyBorder="1" applyAlignment="1"/>
    <xf numFmtId="182" fontId="28" fillId="0" borderId="0" xfId="54" applyNumberFormat="1" applyFont="1" applyFill="1" applyBorder="1" applyAlignment="1">
      <alignment horizontal="left" wrapText="1" indent="1"/>
    </xf>
    <xf numFmtId="7" fontId="12" fillId="0" borderId="0" xfId="50" applyNumberFormat="1" applyFont="1" applyFill="1" applyBorder="1" applyAlignment="1">
      <alignment horizontal="left"/>
    </xf>
    <xf numFmtId="7" fontId="28" fillId="0" borderId="0" xfId="50" applyNumberFormat="1" applyFont="1" applyFill="1" applyBorder="1" applyAlignment="1">
      <alignment horizontal="right"/>
    </xf>
    <xf numFmtId="168" fontId="28" fillId="0" borderId="0" xfId="50" applyNumberFormat="1" applyFont="1" applyFill="1" applyBorder="1" applyAlignment="1">
      <alignment horizontal="left" indent="1"/>
    </xf>
    <xf numFmtId="168" fontId="28" fillId="0" borderId="0" xfId="54" applyNumberFormat="1" applyFont="1" applyFill="1" applyBorder="1" applyAlignment="1">
      <alignment horizontal="right"/>
    </xf>
    <xf numFmtId="164" fontId="28" fillId="0" borderId="0" xfId="50" applyNumberFormat="1" applyFont="1" applyFill="1" applyBorder="1" applyAlignment="1">
      <alignment horizontal="left" indent="1"/>
    </xf>
    <xf numFmtId="7" fontId="28" fillId="0" borderId="0" xfId="50" applyNumberFormat="1" applyFont="1" applyFill="1" applyBorder="1" applyAlignment="1">
      <alignment horizontal="left" indent="1"/>
    </xf>
    <xf numFmtId="168" fontId="12" fillId="0" borderId="0" xfId="50" applyNumberFormat="1" applyFont="1" applyFill="1" applyBorder="1" applyAlignment="1">
      <alignment horizontal="left"/>
    </xf>
    <xf numFmtId="164" fontId="28" fillId="0" borderId="0" xfId="50" applyNumberFormat="1" applyFont="1" applyFill="1" applyBorder="1" applyAlignment="1">
      <alignment horizontal="left"/>
    </xf>
    <xf numFmtId="174" fontId="28" fillId="0" borderId="0" xfId="36" applyNumberFormat="1" applyFont="1" applyFill="1" applyBorder="1" applyAlignment="1">
      <alignment horizontal="left" indent="1"/>
    </xf>
    <xf numFmtId="174" fontId="28" fillId="0" borderId="0" xfId="54" applyNumberFormat="1" applyFont="1" applyFill="1" applyBorder="1" applyAlignment="1">
      <alignment horizontal="right"/>
    </xf>
    <xf numFmtId="168" fontId="28" fillId="0" borderId="0" xfId="36" applyNumberFormat="1" applyFont="1" applyFill="1" applyBorder="1" applyAlignment="1">
      <alignment horizontal="left" indent="1"/>
    </xf>
    <xf numFmtId="174" fontId="28" fillId="0" borderId="0" xfId="50" applyNumberFormat="1" applyFont="1" applyFill="1" applyBorder="1" applyAlignment="1">
      <alignment horizontal="left" indent="1"/>
    </xf>
    <xf numFmtId="166" fontId="28" fillId="0" borderId="0" xfId="50" applyNumberFormat="1" applyFont="1" applyFill="1" applyBorder="1" applyAlignment="1">
      <alignment horizontal="right"/>
    </xf>
    <xf numFmtId="0" fontId="28" fillId="0" borderId="0" xfId="50" applyNumberFormat="1" applyFont="1" applyFill="1" applyBorder="1" applyAlignment="1">
      <alignment horizontal="left" indent="1"/>
    </xf>
    <xf numFmtId="5" fontId="28" fillId="0" borderId="0" xfId="50" applyNumberFormat="1" applyFont="1" applyFill="1" applyBorder="1" applyAlignment="1">
      <alignment horizontal="right"/>
    </xf>
    <xf numFmtId="0" fontId="28" fillId="0" borderId="0" xfId="50" applyFont="1" applyFill="1" applyBorder="1" applyAlignment="1">
      <alignment horizontal="left" indent="1"/>
    </xf>
    <xf numFmtId="174" fontId="12" fillId="0" borderId="0" xfId="50" applyNumberFormat="1" applyFont="1" applyFill="1" applyBorder="1"/>
    <xf numFmtId="174" fontId="12" fillId="0" borderId="0" xfId="50" applyNumberFormat="1" applyFont="1" applyFill="1" applyBorder="1" applyAlignment="1">
      <alignment horizontal="right"/>
    </xf>
    <xf numFmtId="5" fontId="12" fillId="0" borderId="0" xfId="50" applyNumberFormat="1" applyFont="1" applyFill="1" applyBorder="1" applyAlignment="1">
      <alignment horizontal="right"/>
    </xf>
    <xf numFmtId="168" fontId="28" fillId="0" borderId="0" xfId="50" applyNumberFormat="1" applyFont="1" applyFill="1" applyBorder="1" applyAlignment="1">
      <alignment horizontal="left"/>
    </xf>
    <xf numFmtId="7" fontId="28" fillId="0" borderId="0" xfId="54" applyNumberFormat="1" applyFont="1" applyFill="1" applyBorder="1" applyAlignment="1">
      <alignment horizontal="left" wrapText="1" indent="1"/>
    </xf>
    <xf numFmtId="7" fontId="28" fillId="0" borderId="0" xfId="35" applyNumberFormat="1" applyFont="1" applyFill="1" applyBorder="1" applyAlignment="1">
      <alignment horizontal="right"/>
    </xf>
    <xf numFmtId="172" fontId="12" fillId="0" borderId="0" xfId="0" applyNumberFormat="1" applyFont="1" applyFill="1" applyBorder="1" applyAlignment="1">
      <alignment horizontal="center"/>
    </xf>
    <xf numFmtId="172" fontId="12" fillId="0" borderId="0" xfId="0" applyNumberFormat="1" applyFont="1" applyFill="1" applyBorder="1" applyAlignment="1"/>
    <xf numFmtId="168" fontId="12" fillId="0" borderId="0" xfId="0" applyNumberFormat="1" applyFont="1" applyFill="1" applyBorder="1"/>
    <xf numFmtId="5" fontId="12" fillId="0" borderId="0" xfId="0" applyNumberFormat="1" applyFont="1" applyFill="1" applyBorder="1" applyAlignment="1"/>
    <xf numFmtId="5" fontId="28" fillId="0" borderId="0" xfId="59" applyNumberFormat="1" applyFont="1" applyFill="1" applyBorder="1" applyAlignment="1"/>
    <xf numFmtId="5" fontId="28" fillId="0" borderId="0" xfId="0" applyNumberFormat="1" applyFont="1" applyFill="1" applyBorder="1" applyAlignment="1"/>
    <xf numFmtId="5" fontId="28" fillId="0" borderId="0" xfId="35" applyNumberFormat="1" applyFont="1" applyFill="1" applyBorder="1" applyAlignment="1">
      <alignment horizontal="right"/>
    </xf>
    <xf numFmtId="183" fontId="28" fillId="0" borderId="0" xfId="35" applyNumberFormat="1" applyFont="1" applyFill="1" applyBorder="1" applyAlignment="1"/>
    <xf numFmtId="183" fontId="28" fillId="0" borderId="0" xfId="35" applyNumberFormat="1" applyFont="1" applyFill="1" applyBorder="1" applyAlignment="1">
      <alignment horizontal="center"/>
    </xf>
    <xf numFmtId="10" fontId="28" fillId="0" borderId="0" xfId="59" applyNumberFormat="1" applyFont="1" applyFill="1" applyBorder="1" applyAlignment="1"/>
    <xf numFmtId="0" fontId="49" fillId="0" borderId="0" xfId="49" applyFont="1"/>
    <xf numFmtId="0" fontId="8" fillId="0" borderId="0" xfId="49" applyFont="1" applyAlignment="1">
      <alignment horizontal="center"/>
    </xf>
    <xf numFmtId="0" fontId="8" fillId="0" borderId="0" xfId="49" applyFont="1" applyFill="1" applyAlignment="1">
      <alignment horizontal="center"/>
    </xf>
    <xf numFmtId="0" fontId="8" fillId="0" borderId="0" xfId="49" applyFont="1" applyFill="1" applyBorder="1" applyAlignment="1">
      <alignment horizontal="center"/>
    </xf>
    <xf numFmtId="166" fontId="8" fillId="0" borderId="0" xfId="49" applyNumberFormat="1" applyFont="1"/>
    <xf numFmtId="9" fontId="38" fillId="0" borderId="0" xfId="60" applyFont="1"/>
    <xf numFmtId="177" fontId="49" fillId="0" borderId="0" xfId="49" applyNumberFormat="1" applyFont="1"/>
    <xf numFmtId="0" fontId="8" fillId="0" borderId="0" xfId="49" applyFont="1" applyFill="1" applyBorder="1" applyAlignment="1"/>
    <xf numFmtId="165" fontId="8" fillId="0" borderId="0" xfId="0" applyNumberFormat="1" applyFont="1"/>
    <xf numFmtId="0" fontId="8" fillId="0" borderId="0" xfId="0" applyFont="1" applyFill="1"/>
    <xf numFmtId="173" fontId="8" fillId="0" borderId="0" xfId="0" applyNumberFormat="1" applyFont="1"/>
    <xf numFmtId="0" fontId="8" fillId="0" borderId="0" xfId="0" applyFont="1" applyAlignment="1">
      <alignment horizontal="left" indent="1"/>
    </xf>
    <xf numFmtId="0" fontId="8" fillId="0" borderId="0" xfId="0" applyFont="1"/>
    <xf numFmtId="164" fontId="0" fillId="0" borderId="0" xfId="0" applyNumberFormat="1" applyFill="1"/>
    <xf numFmtId="173" fontId="12" fillId="0" borderId="0" xfId="0" applyNumberFormat="1" applyFont="1"/>
    <xf numFmtId="173" fontId="12" fillId="0" borderId="0" xfId="0" applyNumberFormat="1" applyFont="1" applyFill="1"/>
    <xf numFmtId="173" fontId="12" fillId="22" borderId="0" xfId="0" applyNumberFormat="1" applyFont="1" applyFill="1"/>
    <xf numFmtId="0" fontId="8" fillId="0" borderId="0" xfId="0" applyFont="1" applyFill="1" applyBorder="1"/>
    <xf numFmtId="49" fontId="0" fillId="0" borderId="0" xfId="0" applyNumberFormat="1"/>
    <xf numFmtId="0" fontId="12" fillId="0" borderId="0" xfId="0" applyFont="1" applyFill="1" applyBorder="1" applyAlignment="1">
      <alignment horizontal="left" indent="1"/>
    </xf>
    <xf numFmtId="0" fontId="8" fillId="0" borderId="0" xfId="0" quotePrefix="1" applyFont="1" applyFill="1" applyBorder="1" applyAlignment="1">
      <alignment horizontal="left" indent="1"/>
    </xf>
    <xf numFmtId="0" fontId="8" fillId="0" borderId="0" xfId="0" applyFont="1" applyFill="1" applyBorder="1" applyAlignment="1">
      <alignment horizontal="left" indent="1"/>
    </xf>
    <xf numFmtId="37" fontId="0" fillId="0" borderId="0" xfId="35" applyNumberFormat="1" applyFont="1"/>
    <xf numFmtId="0" fontId="0" fillId="0" borderId="0" xfId="0" applyAlignment="1">
      <alignment horizontal="center"/>
    </xf>
    <xf numFmtId="0" fontId="12" fillId="0" borderId="12" xfId="0" applyFont="1" applyFill="1" applyBorder="1" applyAlignment="1">
      <alignment horizontal="right"/>
    </xf>
    <xf numFmtId="0" fontId="0" fillId="0" borderId="0" xfId="0" applyAlignment="1"/>
    <xf numFmtId="0" fontId="12" fillId="26" borderId="20" xfId="0" applyFont="1" applyFill="1" applyBorder="1" applyAlignment="1">
      <alignment horizontal="right"/>
    </xf>
    <xf numFmtId="173" fontId="0" fillId="26" borderId="0" xfId="0" applyNumberFormat="1" applyFill="1"/>
    <xf numFmtId="173" fontId="56" fillId="26" borderId="0" xfId="0" applyNumberFormat="1" applyFont="1" applyFill="1"/>
    <xf numFmtId="173" fontId="57" fillId="27" borderId="31" xfId="0" applyNumberFormat="1" applyFont="1" applyFill="1" applyBorder="1"/>
    <xf numFmtId="173" fontId="12" fillId="27" borderId="23" xfId="0" applyNumberFormat="1" applyFont="1" applyFill="1" applyBorder="1"/>
    <xf numFmtId="173" fontId="57" fillId="27" borderId="35" xfId="0" applyNumberFormat="1" applyFont="1" applyFill="1" applyBorder="1" applyAlignment="1">
      <alignment horizontal="right"/>
    </xf>
    <xf numFmtId="173" fontId="12" fillId="26" borderId="14" xfId="0" applyNumberFormat="1" applyFont="1" applyFill="1" applyBorder="1"/>
    <xf numFmtId="0" fontId="58" fillId="28" borderId="0" xfId="0" applyFont="1" applyFill="1" applyBorder="1" applyAlignment="1">
      <alignment horizontal="left" indent="1"/>
    </xf>
    <xf numFmtId="0" fontId="58" fillId="28" borderId="0" xfId="0" applyFont="1" applyFill="1" applyAlignment="1">
      <alignment horizontal="left" indent="1"/>
    </xf>
    <xf numFmtId="0" fontId="58" fillId="28" borderId="0" xfId="0" applyFont="1" applyFill="1"/>
    <xf numFmtId="173" fontId="58" fillId="28" borderId="0" xfId="0" applyNumberFormat="1" applyFont="1" applyFill="1"/>
    <xf numFmtId="3" fontId="58" fillId="28" borderId="0" xfId="59" applyNumberFormat="1" applyFont="1" applyFill="1" applyBorder="1" applyAlignment="1">
      <alignment horizontal="right"/>
    </xf>
    <xf numFmtId="0" fontId="38" fillId="28" borderId="0" xfId="0" applyFont="1" applyFill="1"/>
    <xf numFmtId="0" fontId="0" fillId="26" borderId="0" xfId="0" applyFill="1"/>
    <xf numFmtId="165" fontId="0" fillId="26" borderId="0" xfId="0" applyNumberFormat="1" applyFill="1"/>
    <xf numFmtId="3" fontId="0" fillId="26" borderId="0" xfId="0" applyNumberFormat="1" applyFill="1"/>
    <xf numFmtId="173" fontId="0" fillId="26" borderId="14" xfId="0" applyNumberFormat="1" applyFill="1" applyBorder="1"/>
    <xf numFmtId="165" fontId="56" fillId="26" borderId="0" xfId="0" applyNumberFormat="1" applyFont="1" applyFill="1"/>
    <xf numFmtId="164" fontId="38" fillId="26" borderId="0" xfId="59" applyNumberFormat="1" applyFont="1" applyFill="1"/>
    <xf numFmtId="164" fontId="38" fillId="26" borderId="0" xfId="0" applyNumberFormat="1" applyFont="1" applyFill="1"/>
    <xf numFmtId="173" fontId="12" fillId="26" borderId="21" xfId="0" applyNumberFormat="1" applyFont="1" applyFill="1" applyBorder="1"/>
    <xf numFmtId="0" fontId="12" fillId="26" borderId="21" xfId="0" applyFont="1" applyFill="1" applyBorder="1"/>
    <xf numFmtId="165" fontId="12" fillId="26" borderId="21" xfId="0" applyNumberFormat="1" applyFont="1" applyFill="1" applyBorder="1"/>
    <xf numFmtId="173" fontId="12" fillId="26" borderId="0" xfId="0" applyNumberFormat="1" applyFont="1" applyFill="1" applyBorder="1"/>
    <xf numFmtId="177" fontId="12" fillId="26" borderId="21" xfId="0" applyNumberFormat="1" applyFont="1" applyFill="1" applyBorder="1"/>
    <xf numFmtId="177" fontId="12" fillId="26" borderId="0" xfId="0" applyNumberFormat="1" applyFont="1" applyFill="1" applyBorder="1"/>
    <xf numFmtId="0" fontId="60" fillId="28" borderId="0" xfId="0" applyFont="1" applyFill="1" applyBorder="1"/>
    <xf numFmtId="177" fontId="60" fillId="28" borderId="0" xfId="0" applyNumberFormat="1" applyFont="1" applyFill="1" applyBorder="1"/>
    <xf numFmtId="4" fontId="58" fillId="28" borderId="0" xfId="59" applyNumberFormat="1" applyFont="1" applyFill="1" applyBorder="1" applyAlignment="1">
      <alignment horizontal="right"/>
    </xf>
    <xf numFmtId="4" fontId="58" fillId="28" borderId="0" xfId="0" applyNumberFormat="1" applyFont="1" applyFill="1" applyBorder="1" applyAlignment="1">
      <alignment horizontal="right"/>
    </xf>
    <xf numFmtId="4" fontId="60" fillId="28" borderId="0" xfId="0" applyNumberFormat="1" applyFont="1" applyFill="1" applyAlignment="1">
      <alignment horizontal="right"/>
    </xf>
    <xf numFmtId="2" fontId="0" fillId="26" borderId="0" xfId="0" applyNumberFormat="1" applyFill="1"/>
    <xf numFmtId="9" fontId="38" fillId="26" borderId="0" xfId="59" applyFont="1" applyFill="1"/>
    <xf numFmtId="177" fontId="0" fillId="26" borderId="0" xfId="0" applyNumberFormat="1" applyFill="1"/>
    <xf numFmtId="165" fontId="56" fillId="0" borderId="0" xfId="0" applyNumberFormat="1" applyFont="1"/>
    <xf numFmtId="164" fontId="61" fillId="0" borderId="0" xfId="59" applyNumberFormat="1" applyFont="1"/>
    <xf numFmtId="176" fontId="0" fillId="26" borderId="0" xfId="0" applyNumberFormat="1" applyFill="1"/>
    <xf numFmtId="165" fontId="62" fillId="26" borderId="0" xfId="0" applyNumberFormat="1" applyFont="1" applyFill="1"/>
    <xf numFmtId="165" fontId="63" fillId="0" borderId="0" xfId="0" applyNumberFormat="1" applyFont="1"/>
    <xf numFmtId="173" fontId="12" fillId="26" borderId="0" xfId="0" applyNumberFormat="1" applyFont="1" applyFill="1"/>
    <xf numFmtId="164" fontId="0" fillId="26" borderId="0" xfId="59" applyNumberFormat="1" applyFont="1" applyFill="1" applyBorder="1"/>
    <xf numFmtId="164" fontId="0" fillId="26" borderId="0" xfId="0" applyNumberFormat="1" applyFill="1"/>
    <xf numFmtId="164" fontId="0" fillId="26" borderId="12" xfId="59" applyNumberFormat="1" applyFont="1" applyFill="1" applyBorder="1"/>
    <xf numFmtId="0" fontId="63" fillId="0" borderId="0" xfId="0" applyFont="1"/>
    <xf numFmtId="165" fontId="63" fillId="0" borderId="0" xfId="0" applyNumberFormat="1" applyFont="1" applyFill="1"/>
    <xf numFmtId="165" fontId="63" fillId="26" borderId="0" xfId="0" applyNumberFormat="1" applyFont="1" applyFill="1"/>
    <xf numFmtId="165" fontId="63" fillId="22" borderId="0" xfId="0" applyNumberFormat="1" applyFont="1" applyFill="1"/>
    <xf numFmtId="0" fontId="65" fillId="0" borderId="0" xfId="49" applyFont="1"/>
    <xf numFmtId="0" fontId="64" fillId="0" borderId="0" xfId="49" applyFont="1"/>
    <xf numFmtId="0" fontId="8" fillId="31" borderId="34" xfId="49" applyFont="1" applyFill="1" applyBorder="1" applyAlignment="1">
      <alignment horizontal="center"/>
    </xf>
    <xf numFmtId="0" fontId="64" fillId="0" borderId="0" xfId="49" applyFont="1" applyFill="1"/>
    <xf numFmtId="0" fontId="64" fillId="0" borderId="0" xfId="49" applyFont="1" applyAlignment="1">
      <alignment horizontal="center"/>
    </xf>
    <xf numFmtId="0" fontId="64" fillId="0" borderId="0" xfId="49" applyFont="1" applyAlignment="1">
      <alignment horizontal="left"/>
    </xf>
    <xf numFmtId="0" fontId="64" fillId="0" borderId="0" xfId="49" applyFont="1" applyAlignment="1">
      <alignment horizontal="right"/>
    </xf>
    <xf numFmtId="9" fontId="38" fillId="32" borderId="32" xfId="60" applyFont="1" applyFill="1" applyBorder="1"/>
    <xf numFmtId="9" fontId="38" fillId="32" borderId="10" xfId="60" applyFont="1" applyFill="1" applyBorder="1"/>
    <xf numFmtId="9" fontId="38" fillId="32" borderId="33" xfId="60" applyFont="1" applyFill="1" applyBorder="1"/>
    <xf numFmtId="0" fontId="66" fillId="0" borderId="0" xfId="49" applyFont="1" applyFill="1" applyBorder="1" applyAlignment="1">
      <alignment horizontal="center"/>
    </xf>
    <xf numFmtId="166" fontId="64" fillId="0" borderId="0" xfId="49" applyNumberFormat="1" applyFont="1"/>
    <xf numFmtId="0" fontId="66" fillId="0" borderId="0" xfId="49" applyFont="1"/>
    <xf numFmtId="166" fontId="66" fillId="0" borderId="0" xfId="49" applyNumberFormat="1" applyFont="1"/>
    <xf numFmtId="0" fontId="64" fillId="0" borderId="0" xfId="49" applyFont="1" applyFill="1" applyBorder="1"/>
    <xf numFmtId="0" fontId="67" fillId="0" borderId="0" xfId="49" applyFont="1" applyFill="1" applyBorder="1"/>
    <xf numFmtId="9" fontId="64" fillId="0" borderId="0" xfId="49" applyNumberFormat="1" applyFont="1"/>
    <xf numFmtId="37" fontId="64" fillId="0" borderId="0" xfId="49" applyNumberFormat="1" applyFont="1"/>
    <xf numFmtId="0" fontId="12" fillId="26" borderId="22" xfId="0" applyFont="1" applyFill="1" applyBorder="1" applyAlignment="1">
      <alignment horizontal="right"/>
    </xf>
    <xf numFmtId="0" fontId="12" fillId="26" borderId="22" xfId="0" applyFont="1" applyFill="1" applyBorder="1" applyAlignment="1">
      <alignment horizontal="center"/>
    </xf>
    <xf numFmtId="173" fontId="56" fillId="26" borderId="0" xfId="0" applyNumberFormat="1" applyFont="1" applyFill="1" applyAlignment="1">
      <alignment horizontal="right"/>
    </xf>
    <xf numFmtId="173" fontId="0" fillId="26" borderId="0" xfId="0" applyNumberFormat="1" applyFill="1" applyAlignment="1">
      <alignment horizontal="right"/>
    </xf>
    <xf numFmtId="173" fontId="8" fillId="26" borderId="0" xfId="0" applyNumberFormat="1" applyFont="1" applyFill="1"/>
    <xf numFmtId="173" fontId="56" fillId="0" borderId="0" xfId="0" applyNumberFormat="1" applyFont="1"/>
    <xf numFmtId="173" fontId="12" fillId="26" borderId="20" xfId="0" applyNumberFormat="1" applyFont="1" applyFill="1" applyBorder="1"/>
    <xf numFmtId="173" fontId="8" fillId="0" borderId="0" xfId="0" applyNumberFormat="1" applyFont="1" applyFill="1"/>
    <xf numFmtId="173" fontId="8" fillId="22" borderId="0" xfId="0" applyNumberFormat="1" applyFont="1" applyFill="1"/>
    <xf numFmtId="173" fontId="8" fillId="26" borderId="0" xfId="0" applyNumberFormat="1" applyFont="1" applyFill="1" applyAlignment="1">
      <alignment horizontal="right"/>
    </xf>
    <xf numFmtId="0" fontId="8" fillId="0" borderId="0" xfId="0" applyFont="1" applyBorder="1"/>
    <xf numFmtId="167" fontId="12" fillId="26" borderId="21" xfId="0" applyNumberFormat="1" applyFont="1" applyFill="1" applyBorder="1"/>
    <xf numFmtId="9" fontId="0" fillId="26" borderId="0" xfId="59" applyFont="1" applyFill="1"/>
    <xf numFmtId="9" fontId="12" fillId="26" borderId="20" xfId="59" applyFont="1" applyFill="1" applyBorder="1"/>
    <xf numFmtId="9" fontId="12" fillId="26" borderId="21" xfId="59" applyFont="1" applyFill="1" applyBorder="1"/>
    <xf numFmtId="0" fontId="12" fillId="26" borderId="10" xfId="0" applyFont="1" applyFill="1" applyBorder="1"/>
    <xf numFmtId="0" fontId="0" fillId="26" borderId="10" xfId="0" applyFill="1" applyBorder="1"/>
    <xf numFmtId="176" fontId="0" fillId="26" borderId="10" xfId="0" applyNumberFormat="1" applyFill="1" applyBorder="1"/>
    <xf numFmtId="9" fontId="56" fillId="0" borderId="0" xfId="0" applyNumberFormat="1" applyFont="1" applyBorder="1"/>
    <xf numFmtId="165" fontId="12" fillId="30" borderId="0" xfId="0" applyNumberFormat="1" applyFont="1" applyFill="1" applyBorder="1"/>
    <xf numFmtId="165" fontId="12" fillId="30" borderId="12" xfId="0" applyNumberFormat="1" applyFont="1" applyFill="1" applyBorder="1"/>
    <xf numFmtId="0" fontId="12" fillId="30" borderId="12" xfId="0" applyFont="1" applyFill="1" applyBorder="1"/>
    <xf numFmtId="0" fontId="12" fillId="26" borderId="14" xfId="0" applyFont="1" applyFill="1" applyBorder="1"/>
    <xf numFmtId="0" fontId="0" fillId="26" borderId="14" xfId="0" applyFill="1" applyBorder="1"/>
    <xf numFmtId="3" fontId="12" fillId="26" borderId="14" xfId="0" applyNumberFormat="1" applyFont="1" applyFill="1" applyBorder="1"/>
    <xf numFmtId="3" fontId="68" fillId="0" borderId="0" xfId="0" applyNumberFormat="1" applyFont="1"/>
    <xf numFmtId="3" fontId="8" fillId="0" borderId="0" xfId="0" applyNumberFormat="1" applyFont="1"/>
    <xf numFmtId="10" fontId="8" fillId="0" borderId="0" xfId="0" applyNumberFormat="1" applyFont="1"/>
    <xf numFmtId="0" fontId="12" fillId="30" borderId="0" xfId="0" applyFont="1" applyFill="1"/>
    <xf numFmtId="0" fontId="12" fillId="30" borderId="0" xfId="0" applyFont="1" applyFill="1" applyAlignment="1">
      <alignment horizontal="center"/>
    </xf>
    <xf numFmtId="0" fontId="12" fillId="26" borderId="25" xfId="0" applyFont="1" applyFill="1" applyBorder="1"/>
    <xf numFmtId="0" fontId="0" fillId="26" borderId="25" xfId="0" applyFill="1" applyBorder="1"/>
    <xf numFmtId="0" fontId="0" fillId="26" borderId="25" xfId="0" applyFill="1" applyBorder="1" applyAlignment="1">
      <alignment horizontal="center"/>
    </xf>
    <xf numFmtId="0" fontId="12" fillId="26" borderId="25" xfId="0" applyFont="1" applyFill="1" applyBorder="1" applyAlignment="1">
      <alignment horizontal="center"/>
    </xf>
    <xf numFmtId="0" fontId="12" fillId="36" borderId="10" xfId="0" applyFont="1" applyFill="1" applyBorder="1"/>
    <xf numFmtId="0" fontId="12" fillId="36" borderId="10" xfId="0" applyFont="1" applyFill="1" applyBorder="1" applyAlignment="1">
      <alignment horizontal="center"/>
    </xf>
    <xf numFmtId="9" fontId="56" fillId="0" borderId="0" xfId="0" applyNumberFormat="1" applyFont="1"/>
    <xf numFmtId="0" fontId="12" fillId="29" borderId="10" xfId="0" applyFont="1" applyFill="1" applyBorder="1"/>
    <xf numFmtId="0" fontId="0" fillId="29" borderId="10" xfId="0" applyFill="1" applyBorder="1"/>
    <xf numFmtId="0" fontId="0" fillId="29" borderId="10" xfId="0" applyFill="1" applyBorder="1" applyAlignment="1">
      <alignment horizontal="center"/>
    </xf>
    <xf numFmtId="164" fontId="56" fillId="0" borderId="0" xfId="0" applyNumberFormat="1" applyFont="1"/>
    <xf numFmtId="0" fontId="8" fillId="35" borderId="0" xfId="0" applyFont="1" applyFill="1" applyAlignment="1">
      <alignment horizontal="left" indent="1"/>
    </xf>
    <xf numFmtId="0" fontId="0" fillId="35" borderId="0" xfId="0" applyFill="1"/>
    <xf numFmtId="0" fontId="0" fillId="35" borderId="0" xfId="0" applyFill="1" applyAlignment="1">
      <alignment horizontal="center"/>
    </xf>
    <xf numFmtId="9" fontId="0" fillId="35" borderId="0" xfId="0" applyNumberFormat="1" applyFill="1"/>
    <xf numFmtId="9" fontId="56" fillId="35" borderId="0" xfId="0" applyNumberFormat="1" applyFont="1" applyFill="1"/>
    <xf numFmtId="0" fontId="70" fillId="35" borderId="0" xfId="0" applyFont="1" applyFill="1"/>
    <xf numFmtId="9" fontId="69" fillId="35" borderId="0" xfId="0" applyNumberFormat="1" applyFont="1" applyFill="1"/>
    <xf numFmtId="0" fontId="8" fillId="35" borderId="0" xfId="0" applyFont="1" applyFill="1" applyAlignment="1">
      <alignment horizontal="left" indent="2"/>
    </xf>
    <xf numFmtId="0" fontId="0" fillId="35" borderId="0" xfId="0" applyFill="1" applyAlignment="1">
      <alignment horizontal="left" indent="1"/>
    </xf>
    <xf numFmtId="9" fontId="8" fillId="35" borderId="0" xfId="59" applyFont="1" applyFill="1"/>
    <xf numFmtId="0" fontId="0" fillId="35" borderId="0" xfId="0" applyFill="1" applyAlignment="1">
      <alignment horizontal="left" indent="2"/>
    </xf>
    <xf numFmtId="9" fontId="56" fillId="0" borderId="0" xfId="0" applyNumberFormat="1" applyFont="1" applyFill="1"/>
    <xf numFmtId="0" fontId="8" fillId="0" borderId="0" xfId="0" applyFont="1" applyAlignment="1">
      <alignment horizontal="left" indent="2"/>
    </xf>
    <xf numFmtId="0" fontId="8" fillId="35" borderId="0" xfId="0" applyFont="1" applyFill="1" applyAlignment="1">
      <alignment horizontal="center"/>
    </xf>
    <xf numFmtId="0" fontId="8" fillId="35" borderId="0" xfId="0" applyFont="1" applyFill="1"/>
    <xf numFmtId="9" fontId="8" fillId="35" borderId="0" xfId="59" applyNumberFormat="1" applyFont="1" applyFill="1"/>
    <xf numFmtId="9" fontId="56" fillId="35" borderId="0" xfId="59" applyFont="1" applyFill="1"/>
    <xf numFmtId="0" fontId="8" fillId="0" borderId="0" xfId="0" applyFont="1" applyAlignment="1">
      <alignment horizontal="left"/>
    </xf>
    <xf numFmtId="0" fontId="12" fillId="35" borderId="10" xfId="0" applyFont="1" applyFill="1" applyBorder="1"/>
    <xf numFmtId="0" fontId="12" fillId="35" borderId="10" xfId="0" applyFont="1" applyFill="1" applyBorder="1" applyAlignment="1">
      <alignment horizontal="center"/>
    </xf>
    <xf numFmtId="166" fontId="56" fillId="0" borderId="0" xfId="0" applyNumberFormat="1" applyFont="1"/>
    <xf numFmtId="164" fontId="59" fillId="0" borderId="0" xfId="59" applyNumberFormat="1" applyFont="1"/>
    <xf numFmtId="0" fontId="12" fillId="29" borderId="0" xfId="0" applyFont="1" applyFill="1" applyAlignment="1">
      <alignment horizontal="left" indent="1"/>
    </xf>
    <xf numFmtId="0" fontId="12" fillId="29" borderId="0" xfId="0" applyFont="1" applyFill="1" applyAlignment="1">
      <alignment horizontal="center"/>
    </xf>
    <xf numFmtId="0" fontId="12" fillId="29" borderId="0" xfId="0" applyFont="1" applyFill="1"/>
    <xf numFmtId="0" fontId="56" fillId="0" borderId="0" xfId="0" applyFont="1"/>
    <xf numFmtId="1" fontId="0" fillId="35" borderId="0" xfId="0" applyNumberFormat="1" applyFill="1"/>
    <xf numFmtId="1" fontId="56" fillId="35" borderId="0" xfId="0" applyNumberFormat="1" applyFont="1" applyFill="1"/>
    <xf numFmtId="1" fontId="69" fillId="35" borderId="0" xfId="0" applyNumberFormat="1" applyFont="1" applyFill="1"/>
    <xf numFmtId="0" fontId="8" fillId="0" borderId="0" xfId="0" applyFont="1" applyAlignment="1">
      <alignment horizontal="left" indent="3"/>
    </xf>
    <xf numFmtId="0" fontId="12" fillId="30" borderId="14" xfId="0" applyFont="1" applyFill="1" applyBorder="1"/>
    <xf numFmtId="0" fontId="12" fillId="30" borderId="14" xfId="0" applyFont="1" applyFill="1" applyBorder="1" applyAlignment="1">
      <alignment horizontal="center"/>
    </xf>
    <xf numFmtId="166" fontId="12" fillId="30" borderId="14" xfId="0" applyNumberFormat="1" applyFont="1" applyFill="1" applyBorder="1"/>
    <xf numFmtId="3" fontId="8" fillId="0" borderId="0" xfId="0" applyNumberFormat="1" applyFont="1" applyFill="1" applyBorder="1" applyAlignment="1">
      <alignment horizontal="right"/>
    </xf>
    <xf numFmtId="0" fontId="8" fillId="35" borderId="0" xfId="0" applyFont="1" applyFill="1" applyBorder="1"/>
    <xf numFmtId="0" fontId="12" fillId="35" borderId="0" xfId="0" applyFont="1" applyFill="1" applyBorder="1"/>
    <xf numFmtId="0" fontId="12" fillId="35" borderId="0" xfId="0" applyFont="1" applyFill="1" applyBorder="1" applyAlignment="1">
      <alignment horizontal="center"/>
    </xf>
    <xf numFmtId="3" fontId="8" fillId="35" borderId="0" xfId="0" applyNumberFormat="1" applyFont="1" applyFill="1" applyBorder="1" applyAlignment="1">
      <alignment horizontal="right"/>
    </xf>
    <xf numFmtId="9" fontId="8" fillId="35" borderId="0" xfId="59" applyFont="1" applyFill="1" applyBorder="1" applyAlignment="1">
      <alignment horizontal="right"/>
    </xf>
    <xf numFmtId="0" fontId="8" fillId="35" borderId="0" xfId="0" applyFont="1" applyFill="1" applyBorder="1" applyAlignment="1">
      <alignment horizontal="left" indent="1"/>
    </xf>
    <xf numFmtId="9" fontId="56" fillId="35" borderId="0" xfId="59" applyNumberFormat="1" applyFont="1" applyFill="1" applyBorder="1" applyAlignment="1">
      <alignment horizontal="right"/>
    </xf>
    <xf numFmtId="9" fontId="8" fillId="35" borderId="0" xfId="59" applyNumberFormat="1" applyFont="1" applyFill="1" applyBorder="1" applyAlignment="1">
      <alignment horizontal="right"/>
    </xf>
    <xf numFmtId="9" fontId="56" fillId="0" borderId="0" xfId="59" applyNumberFormat="1" applyFont="1" applyFill="1" applyBorder="1" applyAlignment="1">
      <alignment horizontal="right"/>
    </xf>
    <xf numFmtId="9" fontId="8" fillId="0" borderId="0" xfId="59" applyNumberFormat="1" applyFont="1" applyFill="1" applyBorder="1" applyAlignment="1">
      <alignment horizontal="right"/>
    </xf>
    <xf numFmtId="9" fontId="8" fillId="0" borderId="0" xfId="59" applyFont="1" applyFill="1" applyBorder="1" applyAlignment="1">
      <alignment horizontal="right"/>
    </xf>
    <xf numFmtId="9" fontId="8" fillId="0" borderId="0" xfId="0" applyNumberFormat="1" applyFont="1" applyFill="1" applyBorder="1" applyAlignment="1">
      <alignment horizontal="right"/>
    </xf>
    <xf numFmtId="9" fontId="8" fillId="35" borderId="0" xfId="0" applyNumberFormat="1" applyFont="1" applyFill="1"/>
    <xf numFmtId="0" fontId="12" fillId="30" borderId="14" xfId="0" applyFont="1" applyFill="1" applyBorder="1" applyAlignment="1">
      <alignment horizontal="left"/>
    </xf>
    <xf numFmtId="0" fontId="12" fillId="30" borderId="14" xfId="0" applyFont="1" applyFill="1" applyBorder="1" applyAlignment="1">
      <alignment horizontal="left" indent="2"/>
    </xf>
    <xf numFmtId="0" fontId="56" fillId="35" borderId="0" xfId="0" applyFont="1" applyFill="1" applyAlignment="1">
      <alignment horizontal="left" indent="2"/>
    </xf>
    <xf numFmtId="0" fontId="56" fillId="35" borderId="0" xfId="0" applyFont="1" applyFill="1" applyAlignment="1">
      <alignment horizontal="center"/>
    </xf>
    <xf numFmtId="0" fontId="56" fillId="35" borderId="0" xfId="0" applyFont="1" applyFill="1"/>
    <xf numFmtId="0" fontId="12" fillId="35" borderId="0" xfId="0" applyFont="1" applyFill="1" applyAlignment="1">
      <alignment horizontal="left" indent="2"/>
    </xf>
    <xf numFmtId="0" fontId="12" fillId="35" borderId="0" xfId="0" applyFont="1" applyFill="1" applyAlignment="1">
      <alignment horizontal="center"/>
    </xf>
    <xf numFmtId="0" fontId="12" fillId="35" borderId="0" xfId="0" applyFont="1" applyFill="1"/>
    <xf numFmtId="3" fontId="12" fillId="35" borderId="0" xfId="0" applyNumberFormat="1" applyFont="1" applyFill="1"/>
    <xf numFmtId="9" fontId="56" fillId="35" borderId="0" xfId="59" applyNumberFormat="1" applyFont="1" applyFill="1"/>
    <xf numFmtId="3" fontId="0" fillId="35" borderId="0" xfId="0" applyNumberFormat="1" applyFill="1"/>
    <xf numFmtId="0" fontId="8" fillId="35" borderId="0" xfId="0" applyFont="1" applyFill="1" applyAlignment="1">
      <alignment horizontal="left" indent="3"/>
    </xf>
    <xf numFmtId="0" fontId="8" fillId="0" borderId="0" xfId="55" applyFont="1" applyAlignment="1">
      <alignment horizontal="center"/>
    </xf>
    <xf numFmtId="0" fontId="8" fillId="0" borderId="0" xfId="55" applyFont="1" applyAlignment="1">
      <alignment horizontal="right"/>
    </xf>
    <xf numFmtId="0" fontId="12" fillId="30" borderId="0" xfId="0" applyFont="1" applyFill="1" applyAlignment="1">
      <alignment horizontal="right"/>
    </xf>
    <xf numFmtId="0" fontId="12" fillId="26" borderId="25" xfId="0" applyFont="1" applyFill="1" applyBorder="1" applyAlignment="1">
      <alignment horizontal="right"/>
    </xf>
    <xf numFmtId="3" fontId="8" fillId="0" borderId="0" xfId="55" applyNumberFormat="1" applyFont="1" applyBorder="1" applyAlignment="1">
      <alignment horizontal="center"/>
    </xf>
    <xf numFmtId="3" fontId="8" fillId="0" borderId="0" xfId="55" applyNumberFormat="1" applyFont="1" applyFill="1" applyBorder="1" applyAlignment="1">
      <alignment horizontal="left" vertical="top" wrapText="1"/>
    </xf>
    <xf numFmtId="3" fontId="8" fillId="0" borderId="0" xfId="35" applyNumberFormat="1" applyFont="1" applyBorder="1" applyAlignment="1">
      <alignment horizontal="right"/>
    </xf>
    <xf numFmtId="0" fontId="8" fillId="0" borderId="0" xfId="55" applyFont="1" applyBorder="1" applyAlignment="1">
      <alignment horizontal="center"/>
    </xf>
    <xf numFmtId="0" fontId="8" fillId="0" borderId="0" xfId="55" applyFont="1" applyFill="1" applyBorder="1" applyAlignment="1">
      <alignment horizontal="left" vertical="top" wrapText="1" indent="1"/>
    </xf>
    <xf numFmtId="170" fontId="8" fillId="0" borderId="0" xfId="35" applyNumberFormat="1" applyFont="1" applyBorder="1" applyAlignment="1">
      <alignment horizontal="right"/>
    </xf>
    <xf numFmtId="9" fontId="8" fillId="0" borderId="0" xfId="59" applyFont="1" applyBorder="1" applyAlignment="1">
      <alignment horizontal="right"/>
    </xf>
    <xf numFmtId="3" fontId="8" fillId="0" borderId="0" xfId="55" applyNumberFormat="1" applyFont="1" applyFill="1" applyBorder="1" applyAlignment="1">
      <alignment horizontal="left" indent="1"/>
    </xf>
    <xf numFmtId="3" fontId="8" fillId="0" borderId="0" xfId="55" applyNumberFormat="1" applyFont="1" applyBorder="1" applyAlignment="1">
      <alignment horizontal="right"/>
    </xf>
    <xf numFmtId="3" fontId="8" fillId="0" borderId="0" xfId="55" applyNumberFormat="1" applyFont="1" applyFill="1" applyBorder="1" applyAlignment="1">
      <alignment horizontal="right" vertical="top" wrapText="1"/>
    </xf>
    <xf numFmtId="41" fontId="8" fillId="0" borderId="0" xfId="55" applyNumberFormat="1" applyFont="1" applyBorder="1" applyAlignment="1">
      <alignment horizontal="right"/>
    </xf>
    <xf numFmtId="37" fontId="8" fillId="0" borderId="0" xfId="55" applyNumberFormat="1" applyFont="1" applyBorder="1" applyAlignment="1">
      <alignment horizontal="right"/>
    </xf>
    <xf numFmtId="0" fontId="8" fillId="0" borderId="0" xfId="55" applyFont="1" applyBorder="1" applyAlignment="1">
      <alignment horizontal="right"/>
    </xf>
    <xf numFmtId="0" fontId="8" fillId="0" borderId="0" xfId="55" applyFont="1" applyFill="1" applyBorder="1" applyAlignment="1">
      <alignment horizontal="center"/>
    </xf>
    <xf numFmtId="0" fontId="12" fillId="37" borderId="10" xfId="55" applyFont="1" applyFill="1" applyBorder="1" applyAlignment="1">
      <alignment horizontal="left"/>
    </xf>
    <xf numFmtId="0" fontId="12" fillId="37" borderId="10" xfId="55" applyFont="1" applyFill="1" applyBorder="1" applyAlignment="1">
      <alignment horizontal="right"/>
    </xf>
    <xf numFmtId="9" fontId="8" fillId="37" borderId="10" xfId="55" applyNumberFormat="1" applyFont="1" applyFill="1" applyBorder="1" applyAlignment="1">
      <alignment horizontal="right" vertical="top" wrapText="1"/>
    </xf>
    <xf numFmtId="37" fontId="8" fillId="37" borderId="10" xfId="55" applyNumberFormat="1" applyFont="1" applyFill="1" applyBorder="1" applyAlignment="1">
      <alignment horizontal="right" vertical="top" wrapText="1"/>
    </xf>
    <xf numFmtId="164" fontId="10" fillId="37" borderId="10" xfId="55" applyNumberFormat="1" applyFont="1" applyFill="1" applyBorder="1" applyAlignment="1">
      <alignment horizontal="right" vertical="top" wrapText="1"/>
    </xf>
    <xf numFmtId="9" fontId="8" fillId="0" borderId="0" xfId="55" applyNumberFormat="1" applyFont="1" applyFill="1" applyBorder="1" applyAlignment="1">
      <alignment horizontal="right" vertical="top" wrapText="1"/>
    </xf>
    <xf numFmtId="37" fontId="8" fillId="0" borderId="0" xfId="55" applyNumberFormat="1" applyFont="1" applyFill="1" applyBorder="1" applyAlignment="1">
      <alignment horizontal="right" vertical="top" wrapText="1"/>
    </xf>
    <xf numFmtId="164" fontId="10" fillId="0" borderId="0" xfId="55" applyNumberFormat="1" applyFont="1" applyFill="1" applyBorder="1" applyAlignment="1">
      <alignment horizontal="right" vertical="top" wrapText="1"/>
    </xf>
    <xf numFmtId="0" fontId="8" fillId="0" borderId="0" xfId="55" applyFont="1" applyFill="1" applyBorder="1" applyAlignment="1">
      <alignment horizontal="left" indent="2"/>
    </xf>
    <xf numFmtId="0" fontId="8" fillId="0" borderId="0" xfId="55" applyFont="1" applyFill="1" applyBorder="1" applyAlignment="1">
      <alignment horizontal="right"/>
    </xf>
    <xf numFmtId="0" fontId="8" fillId="0" borderId="0" xfId="55" applyFont="1" applyFill="1" applyBorder="1" applyAlignment="1">
      <alignment horizontal="left" vertical="top" wrapText="1" indent="2"/>
    </xf>
    <xf numFmtId="9" fontId="37" fillId="0" borderId="0" xfId="55" applyNumberFormat="1" applyFont="1" applyFill="1" applyBorder="1" applyAlignment="1">
      <alignment horizontal="right" vertical="top" wrapText="1"/>
    </xf>
    <xf numFmtId="0" fontId="8" fillId="0" borderId="0" xfId="55" applyFont="1" applyFill="1" applyBorder="1" applyAlignment="1">
      <alignment horizontal="right" vertical="top" wrapText="1"/>
    </xf>
    <xf numFmtId="166" fontId="8" fillId="0" borderId="0" xfId="37" applyNumberFormat="1" applyFont="1" applyFill="1" applyBorder="1" applyAlignment="1">
      <alignment horizontal="right"/>
    </xf>
    <xf numFmtId="37" fontId="8" fillId="0" borderId="0" xfId="37" applyNumberFormat="1" applyFont="1" applyFill="1" applyBorder="1" applyAlignment="1">
      <alignment horizontal="right"/>
    </xf>
    <xf numFmtId="164" fontId="8" fillId="0" borderId="0" xfId="55" applyNumberFormat="1" applyFont="1" applyFill="1" applyBorder="1" applyAlignment="1">
      <alignment horizontal="right" vertical="top" wrapText="1"/>
    </xf>
    <xf numFmtId="0" fontId="8" fillId="0" borderId="0" xfId="55" applyFont="1" applyFill="1" applyBorder="1" applyAlignment="1">
      <alignment horizontal="left" vertical="top" wrapText="1"/>
    </xf>
    <xf numFmtId="0" fontId="12" fillId="29" borderId="0" xfId="55" applyFont="1" applyFill="1" applyBorder="1" applyAlignment="1">
      <alignment horizontal="left" vertical="top" wrapText="1"/>
    </xf>
    <xf numFmtId="0" fontId="8" fillId="29" borderId="0" xfId="55" applyFont="1" applyFill="1" applyBorder="1" applyAlignment="1">
      <alignment horizontal="right" vertical="top" wrapText="1"/>
    </xf>
    <xf numFmtId="166" fontId="8" fillId="29" borderId="0" xfId="37" applyNumberFormat="1" applyFont="1" applyFill="1" applyBorder="1" applyAlignment="1">
      <alignment horizontal="right"/>
    </xf>
    <xf numFmtId="37" fontId="8" fillId="29" borderId="0" xfId="37" applyNumberFormat="1" applyFont="1" applyFill="1" applyBorder="1" applyAlignment="1">
      <alignment horizontal="right"/>
    </xf>
    <xf numFmtId="3" fontId="8" fillId="0" borderId="0" xfId="55" applyNumberFormat="1" applyFont="1" applyFill="1" applyBorder="1" applyAlignment="1">
      <alignment horizontal="center"/>
    </xf>
    <xf numFmtId="3" fontId="8" fillId="0" borderId="0" xfId="55" applyNumberFormat="1" applyFont="1" applyFill="1" applyBorder="1" applyAlignment="1">
      <alignment horizontal="left" vertical="top" wrapText="1" indent="2"/>
    </xf>
    <xf numFmtId="3" fontId="8" fillId="0" borderId="0" xfId="37" applyNumberFormat="1" applyFont="1" applyFill="1" applyBorder="1" applyAlignment="1">
      <alignment horizontal="right"/>
    </xf>
    <xf numFmtId="166" fontId="10" fillId="0" borderId="0" xfId="37" applyNumberFormat="1" applyFont="1" applyFill="1" applyBorder="1" applyAlignment="1">
      <alignment horizontal="right"/>
    </xf>
    <xf numFmtId="5" fontId="10" fillId="0" borderId="0" xfId="37" applyNumberFormat="1" applyFont="1" applyFill="1" applyBorder="1" applyAlignment="1">
      <alignment horizontal="right"/>
    </xf>
    <xf numFmtId="3" fontId="8" fillId="0" borderId="0" xfId="35" applyNumberFormat="1" applyFont="1" applyFill="1" applyBorder="1" applyAlignment="1">
      <alignment horizontal="right"/>
    </xf>
    <xf numFmtId="3" fontId="8" fillId="0" borderId="0" xfId="55" applyNumberFormat="1" applyFont="1" applyFill="1" applyBorder="1" applyAlignment="1">
      <alignment horizontal="right"/>
    </xf>
    <xf numFmtId="41" fontId="8" fillId="0" borderId="0" xfId="55" applyNumberFormat="1" applyFont="1" applyFill="1" applyBorder="1" applyAlignment="1">
      <alignment horizontal="right"/>
    </xf>
    <xf numFmtId="37" fontId="8" fillId="0" borderId="0" xfId="55" applyNumberFormat="1" applyFont="1" applyFill="1" applyBorder="1" applyAlignment="1">
      <alignment horizontal="right"/>
    </xf>
    <xf numFmtId="164" fontId="8" fillId="0" borderId="0" xfId="55" applyNumberFormat="1" applyFont="1" applyBorder="1" applyAlignment="1">
      <alignment horizontal="center"/>
    </xf>
    <xf numFmtId="164" fontId="8" fillId="0" borderId="0" xfId="55" applyNumberFormat="1" applyFont="1" applyFill="1" applyBorder="1" applyAlignment="1">
      <alignment horizontal="left" indent="2"/>
    </xf>
    <xf numFmtId="164" fontId="8" fillId="0" borderId="0" xfId="55" applyNumberFormat="1" applyFont="1" applyFill="1" applyBorder="1" applyAlignment="1">
      <alignment horizontal="right"/>
    </xf>
    <xf numFmtId="164" fontId="10" fillId="0" borderId="0" xfId="62" applyNumberFormat="1" applyFont="1" applyFill="1" applyBorder="1" applyAlignment="1">
      <alignment horizontal="right"/>
    </xf>
    <xf numFmtId="164" fontId="8" fillId="0" borderId="0" xfId="55" applyNumberFormat="1" applyFont="1" applyFill="1" applyBorder="1" applyAlignment="1">
      <alignment horizontal="left" vertical="top" wrapText="1" indent="2"/>
    </xf>
    <xf numFmtId="164" fontId="37" fillId="0" borderId="0" xfId="55" applyNumberFormat="1" applyFont="1" applyFill="1" applyBorder="1" applyAlignment="1">
      <alignment horizontal="right" vertical="top" wrapText="1"/>
    </xf>
    <xf numFmtId="164" fontId="8" fillId="0" borderId="0" xfId="55" applyNumberFormat="1" applyFont="1" applyBorder="1" applyAlignment="1">
      <alignment horizontal="left" vertical="top" wrapText="1"/>
    </xf>
    <xf numFmtId="164" fontId="8" fillId="0" borderId="0" xfId="55" applyNumberFormat="1" applyFont="1" applyBorder="1" applyAlignment="1">
      <alignment horizontal="right" vertical="top" wrapText="1"/>
    </xf>
    <xf numFmtId="164" fontId="8" fillId="0" borderId="0" xfId="37" applyNumberFormat="1" applyFont="1" applyFill="1" applyBorder="1" applyAlignment="1">
      <alignment horizontal="right"/>
    </xf>
    <xf numFmtId="164" fontId="8" fillId="0" borderId="0" xfId="55" applyNumberFormat="1" applyFont="1" applyBorder="1" applyAlignment="1">
      <alignment horizontal="right"/>
    </xf>
    <xf numFmtId="0" fontId="8" fillId="0" borderId="0" xfId="55" applyFont="1" applyBorder="1" applyAlignment="1">
      <alignment horizontal="left" vertical="top" wrapText="1"/>
    </xf>
    <xf numFmtId="0" fontId="8" fillId="0" borderId="0" xfId="55" applyFont="1" applyBorder="1" applyAlignment="1">
      <alignment horizontal="right" vertical="top" wrapText="1"/>
    </xf>
    <xf numFmtId="3" fontId="8" fillId="0" borderId="0" xfId="55" applyNumberFormat="1" applyFont="1" applyBorder="1" applyAlignment="1">
      <alignment horizontal="right" vertical="top" wrapText="1"/>
    </xf>
    <xf numFmtId="8" fontId="8" fillId="0" borderId="0" xfId="55" applyNumberFormat="1" applyFont="1" applyAlignment="1">
      <alignment horizontal="right"/>
    </xf>
    <xf numFmtId="164" fontId="8" fillId="0" borderId="0" xfId="59" applyNumberFormat="1" applyFont="1" applyAlignment="1">
      <alignment horizontal="right"/>
    </xf>
    <xf numFmtId="14" fontId="8" fillId="0" borderId="0" xfId="55" applyNumberFormat="1" applyFont="1" applyAlignment="1">
      <alignment horizontal="right"/>
    </xf>
    <xf numFmtId="165" fontId="8" fillId="0" borderId="0" xfId="55" applyNumberFormat="1" applyFont="1" applyAlignment="1">
      <alignment horizontal="right"/>
    </xf>
    <xf numFmtId="3" fontId="8" fillId="0" borderId="0" xfId="55" applyNumberFormat="1" applyFont="1" applyAlignment="1">
      <alignment horizontal="right"/>
    </xf>
    <xf numFmtId="9" fontId="59" fillId="0" borderId="0" xfId="0" applyNumberFormat="1" applyFont="1" applyBorder="1"/>
    <xf numFmtId="0" fontId="12" fillId="37" borderId="10" xfId="0" applyFont="1" applyFill="1" applyBorder="1"/>
    <xf numFmtId="3" fontId="12" fillId="30" borderId="14" xfId="0" applyNumberFormat="1" applyFont="1" applyFill="1" applyBorder="1"/>
    <xf numFmtId="9" fontId="8" fillId="35" borderId="0" xfId="59" applyFont="1" applyFill="1" applyBorder="1"/>
    <xf numFmtId="9" fontId="69" fillId="35" borderId="0" xfId="59" applyFont="1" applyFill="1" applyBorder="1"/>
    <xf numFmtId="3" fontId="8" fillId="0" borderId="0" xfId="59" applyNumberFormat="1" applyFont="1"/>
    <xf numFmtId="178" fontId="12" fillId="30" borderId="12" xfId="0" applyNumberFormat="1" applyFont="1" applyFill="1" applyBorder="1"/>
    <xf numFmtId="3" fontId="56" fillId="0" borderId="0" xfId="0" applyNumberFormat="1" applyFont="1"/>
    <xf numFmtId="167" fontId="12" fillId="30" borderId="14" xfId="0" applyNumberFormat="1" applyFont="1" applyFill="1" applyBorder="1"/>
    <xf numFmtId="9" fontId="59" fillId="0" borderId="0" xfId="0" applyNumberFormat="1" applyFont="1"/>
    <xf numFmtId="0" fontId="12" fillId="29" borderId="0" xfId="0" applyFont="1" applyFill="1" applyBorder="1"/>
    <xf numFmtId="164" fontId="56" fillId="0" borderId="0" xfId="59" applyNumberFormat="1" applyFont="1"/>
    <xf numFmtId="165" fontId="12" fillId="30" borderId="14" xfId="0" applyNumberFormat="1" applyFont="1" applyFill="1" applyBorder="1"/>
    <xf numFmtId="0" fontId="8" fillId="0" borderId="0" xfId="0" applyFont="1" applyFill="1" applyAlignment="1">
      <alignment horizontal="center"/>
    </xf>
    <xf numFmtId="0" fontId="70" fillId="35" borderId="0" xfId="0" applyFont="1" applyFill="1" applyAlignment="1">
      <alignment horizontal="center"/>
    </xf>
    <xf numFmtId="9" fontId="37" fillId="35" borderId="0" xfId="0" applyNumberFormat="1" applyFont="1" applyFill="1"/>
    <xf numFmtId="9" fontId="64" fillId="35" borderId="0" xfId="0" applyNumberFormat="1" applyFont="1" applyFill="1"/>
    <xf numFmtId="0" fontId="8" fillId="26" borderId="0" xfId="0" applyFont="1" applyFill="1"/>
    <xf numFmtId="9" fontId="8" fillId="0" borderId="0" xfId="59" applyFont="1" applyAlignment="1">
      <alignment horizontal="center"/>
    </xf>
    <xf numFmtId="164" fontId="38" fillId="0" borderId="0" xfId="0" applyNumberFormat="1" applyFont="1" applyAlignment="1">
      <alignment horizontal="center"/>
    </xf>
    <xf numFmtId="0" fontId="64" fillId="26" borderId="20" xfId="49" applyFont="1" applyFill="1" applyBorder="1"/>
    <xf numFmtId="0" fontId="12" fillId="26" borderId="20" xfId="49" applyFont="1" applyFill="1" applyBorder="1" applyAlignment="1">
      <alignment horizontal="center"/>
    </xf>
    <xf numFmtId="0" fontId="71" fillId="0" borderId="0" xfId="49" applyFont="1" applyAlignment="1">
      <alignment horizontal="left" indent="1"/>
    </xf>
    <xf numFmtId="0" fontId="66" fillId="26" borderId="0" xfId="49" applyFont="1" applyFill="1" applyAlignment="1">
      <alignment horizontal="center"/>
    </xf>
    <xf numFmtId="173" fontId="28" fillId="0" borderId="0" xfId="36" applyNumberFormat="1" applyFont="1" applyFill="1" applyBorder="1" applyAlignment="1">
      <alignment horizontal="right"/>
    </xf>
    <xf numFmtId="173" fontId="28" fillId="0" borderId="0" xfId="35" applyNumberFormat="1" applyFont="1" applyFill="1" applyBorder="1" applyAlignment="1">
      <alignment horizontal="right"/>
    </xf>
    <xf numFmtId="173" fontId="28" fillId="0" borderId="0" xfId="35" applyNumberFormat="1" applyFont="1" applyFill="1" applyBorder="1" applyAlignment="1">
      <alignment horizontal="right" vertical="center"/>
    </xf>
    <xf numFmtId="174" fontId="8" fillId="0" borderId="0" xfId="0" applyNumberFormat="1" applyFont="1" applyFill="1" applyBorder="1"/>
    <xf numFmtId="173" fontId="56" fillId="0" borderId="0" xfId="36" applyNumberFormat="1" applyFont="1" applyFill="1" applyBorder="1" applyAlignment="1">
      <alignment horizontal="right"/>
    </xf>
    <xf numFmtId="173" fontId="56" fillId="0" borderId="0" xfId="35" applyNumberFormat="1" applyFont="1" applyFill="1" applyBorder="1" applyAlignment="1">
      <alignment horizontal="right"/>
    </xf>
    <xf numFmtId="173" fontId="12" fillId="0" borderId="0" xfId="35" applyNumberFormat="1" applyFont="1" applyFill="1" applyBorder="1" applyAlignment="1">
      <alignment horizontal="right"/>
    </xf>
    <xf numFmtId="174" fontId="12" fillId="0" borderId="40" xfId="54" applyNumberFormat="1" applyFont="1" applyFill="1" applyBorder="1" applyAlignment="1">
      <alignment horizontal="left" wrapText="1"/>
    </xf>
    <xf numFmtId="174" fontId="12" fillId="0" borderId="40" xfId="35" applyNumberFormat="1" applyFont="1" applyFill="1" applyBorder="1" applyAlignment="1">
      <alignment horizontal="right"/>
    </xf>
    <xf numFmtId="173" fontId="12" fillId="0" borderId="40" xfId="35" applyNumberFormat="1" applyFont="1" applyFill="1" applyBorder="1" applyAlignment="1">
      <alignment horizontal="right"/>
    </xf>
    <xf numFmtId="174" fontId="12" fillId="0" borderId="0" xfId="0" applyNumberFormat="1" applyFont="1" applyFill="1" applyBorder="1" applyAlignment="1"/>
    <xf numFmtId="174" fontId="12" fillId="0" borderId="14" xfId="54" applyNumberFormat="1" applyFont="1" applyFill="1" applyBorder="1" applyAlignment="1">
      <alignment horizontal="left" wrapText="1"/>
    </xf>
    <xf numFmtId="174" fontId="12" fillId="0" borderId="14" xfId="35" applyNumberFormat="1" applyFont="1" applyFill="1" applyBorder="1" applyAlignment="1">
      <alignment horizontal="right"/>
    </xf>
    <xf numFmtId="173" fontId="12" fillId="0" borderId="14" xfId="35" applyNumberFormat="1" applyFont="1" applyFill="1" applyBorder="1" applyAlignment="1">
      <alignment horizontal="right"/>
    </xf>
    <xf numFmtId="174" fontId="8" fillId="0" borderId="10" xfId="54" applyNumberFormat="1" applyFont="1" applyFill="1" applyBorder="1" applyAlignment="1">
      <alignment horizontal="left" vertical="center" wrapText="1"/>
    </xf>
    <xf numFmtId="174" fontId="28" fillId="0" borderId="10" xfId="35" applyNumberFormat="1" applyFont="1" applyFill="1" applyBorder="1" applyAlignment="1">
      <alignment horizontal="right" vertical="center"/>
    </xf>
    <xf numFmtId="173" fontId="28" fillId="0" borderId="10" xfId="35" applyNumberFormat="1" applyFont="1" applyFill="1" applyBorder="1" applyAlignment="1">
      <alignment horizontal="right" vertical="center"/>
    </xf>
    <xf numFmtId="174" fontId="8" fillId="0" borderId="0" xfId="54" applyNumberFormat="1" applyFont="1" applyFill="1" applyBorder="1" applyAlignment="1">
      <alignment horizontal="left" vertical="center" wrapText="1"/>
    </xf>
    <xf numFmtId="168" fontId="56" fillId="0" borderId="0" xfId="36" applyNumberFormat="1" applyFont="1" applyFill="1" applyBorder="1" applyAlignment="1">
      <alignment horizontal="right"/>
    </xf>
    <xf numFmtId="168" fontId="56" fillId="0" borderId="0" xfId="35" applyNumberFormat="1" applyFont="1" applyFill="1" applyBorder="1" applyAlignment="1">
      <alignment horizontal="right"/>
    </xf>
    <xf numFmtId="173" fontId="28" fillId="0" borderId="0" xfId="54" applyNumberFormat="1" applyFont="1" applyFill="1" applyBorder="1" applyAlignment="1">
      <alignment horizontal="right" wrapText="1"/>
    </xf>
    <xf numFmtId="173" fontId="56" fillId="0" borderId="0" xfId="54" applyNumberFormat="1" applyFont="1" applyFill="1" applyBorder="1" applyAlignment="1">
      <alignment horizontal="right" wrapText="1"/>
    </xf>
    <xf numFmtId="182" fontId="12" fillId="0" borderId="0" xfId="54" applyNumberFormat="1" applyFont="1" applyFill="1" applyBorder="1" applyAlignment="1"/>
    <xf numFmtId="182" fontId="28" fillId="0" borderId="0" xfId="54" applyNumberFormat="1" applyFont="1" applyFill="1" applyBorder="1" applyAlignment="1"/>
    <xf numFmtId="182" fontId="28" fillId="0" borderId="0" xfId="54" applyNumberFormat="1" applyFont="1" applyFill="1" applyBorder="1" applyAlignment="1">
      <alignment horizontal="center"/>
    </xf>
    <xf numFmtId="174" fontId="28" fillId="0" borderId="0" xfId="54" applyNumberFormat="1" applyFont="1" applyFill="1" applyBorder="1" applyAlignment="1">
      <alignment horizontal="center"/>
    </xf>
    <xf numFmtId="168" fontId="28" fillId="0" borderId="0" xfId="54" applyNumberFormat="1" applyFont="1" applyFill="1" applyBorder="1" applyAlignment="1">
      <alignment horizontal="center"/>
    </xf>
    <xf numFmtId="168" fontId="8" fillId="0" borderId="0" xfId="54" applyNumberFormat="1" applyFont="1" applyFill="1" applyBorder="1" applyAlignment="1">
      <alignment horizontal="center"/>
    </xf>
    <xf numFmtId="174" fontId="12" fillId="0" borderId="0" xfId="54" applyNumberFormat="1" applyFont="1" applyFill="1" applyBorder="1" applyAlignment="1">
      <alignment horizontal="center"/>
    </xf>
    <xf numFmtId="9" fontId="48" fillId="0" borderId="0" xfId="0" applyNumberFormat="1" applyFont="1" applyFill="1" applyBorder="1" applyAlignment="1">
      <alignment horizontal="center"/>
    </xf>
    <xf numFmtId="164" fontId="28" fillId="0" borderId="0" xfId="54" applyNumberFormat="1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7" fontId="28" fillId="0" borderId="0" xfId="0" applyNumberFormat="1" applyFont="1" applyFill="1" applyBorder="1" applyAlignment="1">
      <alignment horizontal="center"/>
    </xf>
    <xf numFmtId="168" fontId="28" fillId="0" borderId="0" xfId="0" applyNumberFormat="1" applyFont="1" applyFill="1" applyBorder="1" applyAlignment="1">
      <alignment horizontal="center"/>
    </xf>
    <xf numFmtId="164" fontId="28" fillId="0" borderId="0" xfId="0" applyNumberFormat="1" applyFont="1" applyFill="1" applyBorder="1" applyAlignment="1">
      <alignment horizontal="center"/>
    </xf>
    <xf numFmtId="174" fontId="28" fillId="0" borderId="0" xfId="0" applyNumberFormat="1" applyFont="1" applyFill="1" applyBorder="1" applyAlignment="1">
      <alignment horizontal="center"/>
    </xf>
    <xf numFmtId="168" fontId="28" fillId="0" borderId="0" xfId="54" applyNumberFormat="1" applyFont="1" applyFill="1" applyBorder="1" applyAlignment="1">
      <alignment horizontal="left"/>
    </xf>
    <xf numFmtId="174" fontId="12" fillId="0" borderId="14" xfId="54" applyNumberFormat="1" applyFont="1" applyFill="1" applyBorder="1" applyAlignment="1"/>
    <xf numFmtId="174" fontId="8" fillId="0" borderId="0" xfId="54" applyNumberFormat="1" applyFont="1" applyFill="1" applyBorder="1" applyAlignment="1">
      <alignment horizontal="left"/>
    </xf>
    <xf numFmtId="168" fontId="8" fillId="0" borderId="0" xfId="54" applyNumberFormat="1" applyFont="1" applyFill="1" applyBorder="1" applyAlignment="1">
      <alignment horizontal="left"/>
    </xf>
    <xf numFmtId="168" fontId="8" fillId="0" borderId="0" xfId="35" applyNumberFormat="1" applyFont="1" applyFill="1" applyBorder="1" applyAlignment="1">
      <alignment horizontal="right"/>
    </xf>
    <xf numFmtId="173" fontId="8" fillId="0" borderId="0" xfId="35" applyNumberFormat="1" applyFont="1" applyFill="1" applyBorder="1" applyAlignment="1">
      <alignment horizontal="right"/>
    </xf>
    <xf numFmtId="168" fontId="8" fillId="0" borderId="0" xfId="0" applyNumberFormat="1" applyFont="1" applyFill="1" applyBorder="1"/>
    <xf numFmtId="174" fontId="8" fillId="0" borderId="0" xfId="54" applyNumberFormat="1" applyFont="1" applyFill="1" applyBorder="1" applyAlignment="1">
      <alignment horizontal="center"/>
    </xf>
    <xf numFmtId="5" fontId="12" fillId="0" borderId="14" xfId="35" applyNumberFormat="1" applyFont="1" applyFill="1" applyBorder="1" applyAlignment="1">
      <alignment horizontal="right"/>
    </xf>
    <xf numFmtId="174" fontId="8" fillId="0" borderId="0" xfId="54" applyNumberFormat="1" applyFont="1" applyFill="1" applyBorder="1" applyAlignment="1"/>
    <xf numFmtId="174" fontId="8" fillId="0" borderId="0" xfId="35" applyNumberFormat="1" applyFont="1" applyFill="1" applyBorder="1" applyAlignment="1">
      <alignment horizontal="right"/>
    </xf>
    <xf numFmtId="5" fontId="8" fillId="0" borderId="0" xfId="35" applyNumberFormat="1" applyFont="1" applyFill="1" applyBorder="1" applyAlignment="1">
      <alignment horizontal="right"/>
    </xf>
    <xf numFmtId="173" fontId="28" fillId="0" borderId="0" xfId="52" applyNumberFormat="1" applyFont="1" applyFill="1" applyBorder="1" applyAlignment="1">
      <alignment horizontal="right"/>
    </xf>
    <xf numFmtId="168" fontId="72" fillId="0" borderId="0" xfId="61" applyNumberFormat="1" applyFont="1" applyFill="1" applyBorder="1" applyAlignment="1">
      <alignment horizontal="right"/>
    </xf>
    <xf numFmtId="164" fontId="72" fillId="0" borderId="0" xfId="59" applyNumberFormat="1" applyFont="1" applyFill="1" applyBorder="1" applyAlignment="1">
      <alignment horizontal="right"/>
    </xf>
    <xf numFmtId="168" fontId="72" fillId="0" borderId="0" xfId="35" applyNumberFormat="1" applyFont="1" applyFill="1" applyBorder="1" applyAlignment="1">
      <alignment horizontal="right"/>
    </xf>
    <xf numFmtId="164" fontId="72" fillId="0" borderId="0" xfId="63" applyNumberFormat="1" applyFont="1" applyFill="1" applyBorder="1" applyAlignment="1">
      <alignment horizontal="right"/>
    </xf>
    <xf numFmtId="164" fontId="8" fillId="0" borderId="0" xfId="59" applyNumberFormat="1" applyFont="1" applyFill="1" applyBorder="1" applyAlignment="1">
      <alignment horizontal="right"/>
    </xf>
    <xf numFmtId="164" fontId="8" fillId="0" borderId="0" xfId="63" applyNumberFormat="1" applyFont="1" applyFill="1" applyBorder="1" applyAlignment="1">
      <alignment horizontal="right"/>
    </xf>
    <xf numFmtId="164" fontId="72" fillId="0" borderId="0" xfId="61" applyNumberFormat="1" applyFont="1" applyFill="1" applyBorder="1" applyAlignment="1">
      <alignment horizontal="right"/>
    </xf>
    <xf numFmtId="168" fontId="72" fillId="0" borderId="0" xfId="53" applyNumberFormat="1" applyFont="1" applyFill="1" applyBorder="1" applyAlignment="1">
      <alignment horizontal="right"/>
    </xf>
    <xf numFmtId="174" fontId="72" fillId="0" borderId="0" xfId="68" applyNumberFormat="1" applyFont="1" applyFill="1" applyBorder="1" applyAlignment="1">
      <alignment horizontal="right"/>
    </xf>
    <xf numFmtId="173" fontId="28" fillId="0" borderId="0" xfId="0" applyNumberFormat="1" applyFont="1" applyFill="1" applyBorder="1"/>
    <xf numFmtId="173" fontId="28" fillId="0" borderId="0" xfId="54" applyNumberFormat="1" applyFont="1" applyFill="1" applyBorder="1" applyAlignment="1">
      <alignment horizontal="left" indent="2"/>
    </xf>
    <xf numFmtId="173" fontId="28" fillId="0" borderId="0" xfId="0" applyNumberFormat="1" applyFont="1" applyFill="1" applyBorder="1" applyAlignment="1">
      <alignment horizontal="right"/>
    </xf>
    <xf numFmtId="173" fontId="12" fillId="0" borderId="0" xfId="54" applyNumberFormat="1" applyFont="1" applyFill="1" applyBorder="1" applyAlignment="1">
      <alignment horizontal="center"/>
    </xf>
    <xf numFmtId="173" fontId="12" fillId="0" borderId="0" xfId="54" applyNumberFormat="1" applyFont="1" applyFill="1" applyBorder="1"/>
    <xf numFmtId="173" fontId="12" fillId="0" borderId="0" xfId="54" applyNumberFormat="1" applyFont="1" applyFill="1" applyBorder="1" applyAlignment="1"/>
    <xf numFmtId="3" fontId="28" fillId="0" borderId="0" xfId="54" applyNumberFormat="1" applyFont="1" applyFill="1" applyBorder="1" applyAlignment="1">
      <alignment horizontal="center"/>
    </xf>
    <xf numFmtId="3" fontId="12" fillId="0" borderId="0" xfId="54" applyNumberFormat="1" applyFont="1" applyFill="1" applyBorder="1"/>
    <xf numFmtId="3" fontId="28" fillId="0" borderId="0" xfId="54" applyNumberFormat="1" applyFont="1" applyFill="1" applyBorder="1" applyAlignment="1"/>
    <xf numFmtId="3" fontId="28" fillId="0" borderId="0" xfId="0" applyNumberFormat="1" applyFont="1" applyFill="1" applyBorder="1"/>
    <xf numFmtId="7" fontId="8" fillId="0" borderId="0" xfId="54" applyNumberFormat="1" applyFont="1" applyFill="1" applyBorder="1"/>
    <xf numFmtId="5" fontId="73" fillId="0" borderId="0" xfId="0" applyNumberFormat="1" applyFont="1" applyFill="1" applyBorder="1" applyAlignment="1"/>
    <xf numFmtId="189" fontId="28" fillId="0" borderId="0" xfId="35" applyNumberFormat="1" applyFont="1" applyFill="1" applyBorder="1" applyAlignment="1"/>
    <xf numFmtId="168" fontId="56" fillId="0" borderId="0" xfId="54" applyNumberFormat="1" applyFont="1" applyFill="1" applyBorder="1" applyAlignment="1">
      <alignment horizontal="right"/>
    </xf>
    <xf numFmtId="168" fontId="56" fillId="0" borderId="0" xfId="50" applyNumberFormat="1" applyFont="1" applyFill="1" applyBorder="1" applyAlignment="1">
      <alignment horizontal="right"/>
    </xf>
    <xf numFmtId="174" fontId="56" fillId="0" borderId="0" xfId="50" applyNumberFormat="1" applyFont="1" applyFill="1" applyBorder="1" applyAlignment="1">
      <alignment horizontal="right"/>
    </xf>
    <xf numFmtId="166" fontId="56" fillId="0" borderId="0" xfId="50" applyNumberFormat="1" applyFont="1" applyFill="1" applyBorder="1" applyAlignment="1">
      <alignment horizontal="right"/>
    </xf>
    <xf numFmtId="7" fontId="56" fillId="0" borderId="0" xfId="36" applyNumberFormat="1" applyFont="1" applyFill="1" applyBorder="1" applyAlignment="1">
      <alignment horizontal="right"/>
    </xf>
    <xf numFmtId="0" fontId="63" fillId="0" borderId="0" xfId="49" applyFont="1"/>
    <xf numFmtId="0" fontId="0" fillId="34" borderId="25" xfId="0" applyFill="1" applyBorder="1" applyAlignment="1">
      <alignment horizontal="center"/>
    </xf>
    <xf numFmtId="0" fontId="74" fillId="0" borderId="0" xfId="49" applyFont="1"/>
    <xf numFmtId="0" fontId="74" fillId="29" borderId="41" xfId="49" applyFont="1" applyFill="1" applyBorder="1"/>
    <xf numFmtId="0" fontId="49" fillId="29" borderId="42" xfId="49" applyFont="1" applyFill="1" applyBorder="1"/>
    <xf numFmtId="0" fontId="49" fillId="29" borderId="44" xfId="49" applyFont="1" applyFill="1" applyBorder="1"/>
    <xf numFmtId="0" fontId="49" fillId="29" borderId="0" xfId="49" applyFont="1" applyFill="1" applyBorder="1"/>
    <xf numFmtId="0" fontId="49" fillId="29" borderId="12" xfId="49" applyFont="1" applyFill="1" applyBorder="1"/>
    <xf numFmtId="9" fontId="63" fillId="0" borderId="0" xfId="0" applyNumberFormat="1" applyFont="1" applyFill="1" applyBorder="1" applyAlignment="1">
      <alignment horizontal="center"/>
    </xf>
    <xf numFmtId="9" fontId="61" fillId="0" borderId="0" xfId="59" applyFont="1" applyFill="1"/>
    <xf numFmtId="174" fontId="12" fillId="0" borderId="14" xfId="54" applyNumberFormat="1" applyFont="1" applyFill="1" applyBorder="1" applyAlignment="1">
      <alignment horizontal="left" vertical="center" wrapText="1"/>
    </xf>
    <xf numFmtId="174" fontId="12" fillId="0" borderId="14" xfId="35" applyNumberFormat="1" applyFont="1" applyFill="1" applyBorder="1" applyAlignment="1">
      <alignment horizontal="right" vertical="center"/>
    </xf>
    <xf numFmtId="5" fontId="12" fillId="0" borderId="14" xfId="35" applyNumberFormat="1" applyFont="1" applyFill="1" applyBorder="1" applyAlignment="1">
      <alignment horizontal="right" vertical="center"/>
    </xf>
    <xf numFmtId="174" fontId="12" fillId="0" borderId="40" xfId="54" applyNumberFormat="1" applyFont="1" applyFill="1" applyBorder="1" applyAlignment="1">
      <alignment horizontal="left" vertical="center" wrapText="1"/>
    </xf>
    <xf numFmtId="174" fontId="12" fillId="0" borderId="40" xfId="35" applyNumberFormat="1" applyFont="1" applyFill="1" applyBorder="1" applyAlignment="1">
      <alignment horizontal="right" vertical="center"/>
    </xf>
    <xf numFmtId="5" fontId="12" fillId="0" borderId="40" xfId="35" applyNumberFormat="1" applyFont="1" applyFill="1" applyBorder="1" applyAlignment="1">
      <alignment horizontal="right" vertical="center"/>
    </xf>
    <xf numFmtId="165" fontId="8" fillId="26" borderId="0" xfId="0" applyNumberFormat="1" applyFont="1" applyFill="1"/>
    <xf numFmtId="164" fontId="0" fillId="0" borderId="0" xfId="59" applyNumberFormat="1" applyFont="1" applyFill="1"/>
    <xf numFmtId="3" fontId="38" fillId="0" borderId="0" xfId="59" applyNumberFormat="1" applyFont="1"/>
    <xf numFmtId="9" fontId="59" fillId="0" borderId="0" xfId="59" applyFont="1"/>
    <xf numFmtId="0" fontId="8" fillId="0" borderId="0" xfId="48"/>
    <xf numFmtId="173" fontId="8" fillId="26" borderId="14" xfId="0" applyNumberFormat="1" applyFont="1" applyFill="1" applyBorder="1"/>
    <xf numFmtId="177" fontId="8" fillId="26" borderId="0" xfId="0" applyNumberFormat="1" applyFont="1" applyFill="1"/>
    <xf numFmtId="0" fontId="56" fillId="26" borderId="0" xfId="0" applyFont="1" applyFill="1"/>
    <xf numFmtId="165" fontId="12" fillId="0" borderId="12" xfId="0" applyNumberFormat="1" applyFont="1" applyBorder="1"/>
    <xf numFmtId="165" fontId="8" fillId="0" borderId="0" xfId="0" applyNumberFormat="1" applyFont="1" applyFill="1"/>
    <xf numFmtId="165" fontId="8" fillId="22" borderId="0" xfId="0" applyNumberFormat="1" applyFont="1" applyFill="1"/>
    <xf numFmtId="168" fontId="69" fillId="39" borderId="0" xfId="35" applyNumberFormat="1" applyFont="1" applyFill="1" applyBorder="1" applyAlignment="1">
      <alignment horizontal="center"/>
    </xf>
    <xf numFmtId="9" fontId="0" fillId="42" borderId="0" xfId="0" applyNumberFormat="1" applyFill="1"/>
    <xf numFmtId="0" fontId="0" fillId="41" borderId="10" xfId="0" applyFill="1" applyBorder="1"/>
    <xf numFmtId="0" fontId="12" fillId="41" borderId="10" xfId="0" applyFont="1" applyFill="1" applyBorder="1"/>
    <xf numFmtId="0" fontId="12" fillId="41" borderId="0" xfId="0" applyFont="1" applyFill="1"/>
    <xf numFmtId="0" fontId="0" fillId="30" borderId="12" xfId="0" applyFill="1" applyBorder="1" applyAlignment="1">
      <alignment horizontal="right"/>
    </xf>
    <xf numFmtId="0" fontId="12" fillId="30" borderId="12" xfId="0" applyFont="1" applyFill="1" applyBorder="1" applyAlignment="1">
      <alignment horizontal="right"/>
    </xf>
    <xf numFmtId="0" fontId="12" fillId="40" borderId="0" xfId="0" applyFont="1" applyFill="1"/>
    <xf numFmtId="0" fontId="0" fillId="40" borderId="0" xfId="0" applyFill="1"/>
    <xf numFmtId="0" fontId="0" fillId="40" borderId="0" xfId="0" applyFill="1" applyAlignment="1">
      <alignment horizontal="right"/>
    </xf>
    <xf numFmtId="0" fontId="8" fillId="40" borderId="0" xfId="0" applyFont="1" applyFill="1"/>
    <xf numFmtId="3" fontId="0" fillId="40" borderId="0" xfId="0" applyNumberFormat="1" applyFill="1"/>
    <xf numFmtId="164" fontId="77" fillId="40" borderId="0" xfId="0" applyNumberFormat="1" applyFont="1" applyFill="1"/>
    <xf numFmtId="3" fontId="8" fillId="40" borderId="0" xfId="0" applyNumberFormat="1" applyFont="1" applyFill="1"/>
    <xf numFmtId="9" fontId="0" fillId="40" borderId="0" xfId="0" applyNumberFormat="1" applyFill="1"/>
    <xf numFmtId="9" fontId="69" fillId="40" borderId="0" xfId="0" applyNumberFormat="1" applyFont="1" applyFill="1"/>
    <xf numFmtId="166" fontId="0" fillId="40" borderId="0" xfId="0" applyNumberFormat="1" applyFill="1"/>
    <xf numFmtId="166" fontId="8" fillId="40" borderId="0" xfId="0" applyNumberFormat="1" applyFont="1" applyFill="1"/>
    <xf numFmtId="166" fontId="56" fillId="40" borderId="0" xfId="0" applyNumberFormat="1" applyFont="1" applyFill="1"/>
    <xf numFmtId="0" fontId="38" fillId="40" borderId="0" xfId="0" applyFont="1" applyFill="1"/>
    <xf numFmtId="9" fontId="38" fillId="40" borderId="0" xfId="0" applyNumberFormat="1" applyFont="1" applyFill="1"/>
    <xf numFmtId="9" fontId="59" fillId="40" borderId="0" xfId="0" applyNumberFormat="1" applyFont="1" applyFill="1"/>
    <xf numFmtId="167" fontId="0" fillId="40" borderId="0" xfId="0" applyNumberFormat="1" applyFill="1"/>
    <xf numFmtId="174" fontId="73" fillId="0" borderId="0" xfId="0" applyNumberFormat="1" applyFont="1" applyFill="1" applyBorder="1" applyAlignment="1"/>
    <xf numFmtId="0" fontId="12" fillId="26" borderId="0" xfId="0" applyFont="1" applyFill="1" applyBorder="1" applyAlignment="1">
      <alignment horizontal="center"/>
    </xf>
    <xf numFmtId="0" fontId="12" fillId="36" borderId="0" xfId="0" applyFont="1" applyFill="1" applyBorder="1"/>
    <xf numFmtId="0" fontId="0" fillId="29" borderId="0" xfId="0" applyFill="1" applyBorder="1"/>
    <xf numFmtId="0" fontId="12" fillId="26" borderId="0" xfId="0" applyFont="1" applyFill="1" applyBorder="1"/>
    <xf numFmtId="0" fontId="28" fillId="0" borderId="0" xfId="35" applyNumberFormat="1" applyFont="1" applyFill="1" applyBorder="1" applyAlignment="1">
      <alignment horizontal="right"/>
    </xf>
    <xf numFmtId="169" fontId="28" fillId="0" borderId="0" xfId="54" applyNumberFormat="1" applyFont="1" applyFill="1" applyBorder="1" applyAlignment="1">
      <alignment horizontal="right"/>
    </xf>
    <xf numFmtId="3" fontId="0" fillId="0" borderId="12" xfId="0" applyNumberFormat="1" applyBorder="1"/>
    <xf numFmtId="0" fontId="0" fillId="0" borderId="20" xfId="0" applyBorder="1"/>
    <xf numFmtId="0" fontId="12" fillId="0" borderId="20" xfId="0" applyFont="1" applyFill="1" applyBorder="1" applyAlignment="1">
      <alignment horizontal="center"/>
    </xf>
    <xf numFmtId="166" fontId="59" fillId="0" borderId="0" xfId="0" applyNumberFormat="1" applyFont="1"/>
    <xf numFmtId="164" fontId="56" fillId="0" borderId="0" xfId="59" applyNumberFormat="1" applyFont="1" applyFill="1"/>
    <xf numFmtId="165" fontId="56" fillId="0" borderId="0" xfId="0" applyNumberFormat="1" applyFont="1" applyFill="1"/>
    <xf numFmtId="0" fontId="28" fillId="0" borderId="0" xfId="61" applyNumberFormat="1" applyFont="1" applyFill="1" applyBorder="1" applyAlignment="1">
      <alignment horizontal="right"/>
    </xf>
    <xf numFmtId="164" fontId="56" fillId="0" borderId="0" xfId="55" applyNumberFormat="1" applyFont="1" applyFill="1" applyBorder="1" applyAlignment="1">
      <alignment horizontal="right" vertical="top" wrapText="1"/>
    </xf>
    <xf numFmtId="0" fontId="8" fillId="35" borderId="0" xfId="0" applyFont="1" applyFill="1" applyBorder="1" applyAlignment="1">
      <alignment horizontal="left" indent="2"/>
    </xf>
    <xf numFmtId="9" fontId="38" fillId="33" borderId="32" xfId="60" applyFont="1" applyFill="1" applyBorder="1"/>
    <xf numFmtId="9" fontId="38" fillId="33" borderId="10" xfId="60" applyFont="1" applyFill="1" applyBorder="1"/>
    <xf numFmtId="9" fontId="38" fillId="33" borderId="33" xfId="60" applyFont="1" applyFill="1" applyBorder="1"/>
    <xf numFmtId="0" fontId="8" fillId="0" borderId="14" xfId="0" applyFont="1" applyBorder="1"/>
    <xf numFmtId="173" fontId="12" fillId="26" borderId="25" xfId="0" applyNumberFormat="1" applyFont="1" applyFill="1" applyBorder="1"/>
    <xf numFmtId="173" fontId="12" fillId="0" borderId="25" xfId="0" applyNumberFormat="1" applyFont="1" applyFill="1" applyBorder="1" applyAlignment="1">
      <alignment horizontal="right"/>
    </xf>
    <xf numFmtId="177" fontId="12" fillId="26" borderId="25" xfId="0" applyNumberFormat="1" applyFont="1" applyFill="1" applyBorder="1"/>
    <xf numFmtId="173" fontId="8" fillId="26" borderId="0" xfId="0" applyNumberFormat="1" applyFont="1" applyFill="1" applyBorder="1"/>
    <xf numFmtId="173" fontId="8" fillId="0" borderId="0" xfId="0" applyNumberFormat="1" applyFont="1" applyFill="1" applyBorder="1" applyAlignment="1">
      <alignment horizontal="right"/>
    </xf>
    <xf numFmtId="173" fontId="12" fillId="0" borderId="0" xfId="0" applyNumberFormat="1" applyFont="1" applyFill="1" applyBorder="1" applyAlignment="1">
      <alignment horizontal="right"/>
    </xf>
    <xf numFmtId="165" fontId="12" fillId="26" borderId="12" xfId="0" applyNumberFormat="1" applyFont="1" applyFill="1" applyBorder="1"/>
    <xf numFmtId="173" fontId="12" fillId="0" borderId="12" xfId="0" applyNumberFormat="1" applyFont="1" applyFill="1" applyBorder="1"/>
    <xf numFmtId="173" fontId="8" fillId="26" borderId="20" xfId="0" applyNumberFormat="1" applyFont="1" applyFill="1" applyBorder="1"/>
    <xf numFmtId="164" fontId="8" fillId="0" borderId="20" xfId="59" applyNumberFormat="1" applyFont="1" applyFill="1" applyBorder="1" applyAlignment="1">
      <alignment horizontal="right"/>
    </xf>
    <xf numFmtId="173" fontId="57" fillId="27" borderId="23" xfId="0" applyNumberFormat="1" applyFont="1" applyFill="1" applyBorder="1" applyAlignment="1">
      <alignment horizontal="right"/>
    </xf>
    <xf numFmtId="9" fontId="8" fillId="43" borderId="0" xfId="59" applyFont="1" applyFill="1" applyBorder="1" applyAlignment="1">
      <alignment horizontal="right"/>
    </xf>
    <xf numFmtId="9" fontId="0" fillId="26" borderId="0" xfId="0" applyNumberFormat="1" applyFill="1"/>
    <xf numFmtId="7" fontId="8" fillId="0" borderId="0" xfId="50" applyNumberFormat="1" applyFont="1" applyFill="1" applyBorder="1" applyAlignment="1">
      <alignment horizontal="right"/>
    </xf>
    <xf numFmtId="7" fontId="56" fillId="0" borderId="0" xfId="54" applyNumberFormat="1" applyFont="1" applyFill="1" applyBorder="1" applyAlignment="1"/>
    <xf numFmtId="9" fontId="0" fillId="40" borderId="0" xfId="59" applyFont="1" applyFill="1"/>
    <xf numFmtId="164" fontId="79" fillId="40" borderId="0" xfId="0" applyNumberFormat="1" applyFont="1" applyFill="1"/>
    <xf numFmtId="173" fontId="56" fillId="40" borderId="0" xfId="0" applyNumberFormat="1" applyFont="1" applyFill="1"/>
    <xf numFmtId="9" fontId="56" fillId="40" borderId="0" xfId="0" applyNumberFormat="1" applyFont="1" applyFill="1"/>
    <xf numFmtId="0" fontId="8" fillId="40" borderId="20" xfId="0" applyFont="1" applyFill="1" applyBorder="1"/>
    <xf numFmtId="0" fontId="0" fillId="40" borderId="20" xfId="0" applyFill="1" applyBorder="1"/>
    <xf numFmtId="3" fontId="0" fillId="40" borderId="20" xfId="0" applyNumberFormat="1" applyFill="1" applyBorder="1"/>
    <xf numFmtId="9" fontId="56" fillId="42" borderId="0" xfId="0" applyNumberFormat="1" applyFont="1" applyFill="1"/>
    <xf numFmtId="43" fontId="0" fillId="40" borderId="0" xfId="35" applyFont="1" applyFill="1"/>
    <xf numFmtId="177" fontId="0" fillId="40" borderId="0" xfId="0" applyNumberFormat="1" applyFill="1"/>
    <xf numFmtId="170" fontId="8" fillId="40" borderId="0" xfId="35" applyNumberFormat="1" applyFont="1" applyFill="1"/>
    <xf numFmtId="0" fontId="64" fillId="0" borderId="0" xfId="81" applyFont="1"/>
    <xf numFmtId="0" fontId="71" fillId="0" borderId="0" xfId="81" applyFont="1"/>
    <xf numFmtId="0" fontId="70" fillId="42" borderId="0" xfId="81" applyFont="1" applyFill="1"/>
    <xf numFmtId="0" fontId="66" fillId="30" borderId="0" xfId="81" applyFont="1" applyFill="1"/>
    <xf numFmtId="166" fontId="64" fillId="0" borderId="0" xfId="81" applyNumberFormat="1" applyFont="1"/>
    <xf numFmtId="0" fontId="64" fillId="0" borderId="0" xfId="81" applyFont="1" applyAlignment="1">
      <alignment horizontal="center"/>
    </xf>
    <xf numFmtId="0" fontId="70" fillId="42" borderId="0" xfId="81" applyFont="1" applyFill="1" applyAlignment="1">
      <alignment horizontal="center"/>
    </xf>
    <xf numFmtId="166" fontId="56" fillId="0" borderId="0" xfId="81" applyNumberFormat="1" applyFont="1"/>
    <xf numFmtId="170" fontId="64" fillId="0" borderId="0" xfId="35" applyNumberFormat="1" applyFont="1"/>
    <xf numFmtId="170" fontId="64" fillId="0" borderId="0" xfId="35" applyNumberFormat="1" applyFont="1" applyAlignment="1">
      <alignment horizontal="center"/>
    </xf>
    <xf numFmtId="0" fontId="56" fillId="0" borderId="0" xfId="81" applyFont="1" applyAlignment="1">
      <alignment horizontal="center"/>
    </xf>
    <xf numFmtId="0" fontId="8" fillId="0" borderId="0" xfId="81" applyFont="1" applyAlignment="1">
      <alignment horizontal="center"/>
    </xf>
    <xf numFmtId="177" fontId="64" fillId="0" borderId="0" xfId="81" applyNumberFormat="1" applyFont="1"/>
    <xf numFmtId="164" fontId="71" fillId="0" borderId="0" xfId="59" applyNumberFormat="1" applyFont="1"/>
    <xf numFmtId="0" fontId="64" fillId="45" borderId="0" xfId="81" applyFont="1" applyFill="1"/>
    <xf numFmtId="170" fontId="64" fillId="45" borderId="0" xfId="35" applyNumberFormat="1" applyFont="1" applyFill="1" applyAlignment="1">
      <alignment horizontal="center"/>
    </xf>
    <xf numFmtId="170" fontId="64" fillId="45" borderId="0" xfId="35" applyNumberFormat="1" applyFont="1" applyFill="1"/>
    <xf numFmtId="9" fontId="64" fillId="45" borderId="0" xfId="59" applyFont="1" applyFill="1"/>
    <xf numFmtId="0" fontId="64" fillId="45" borderId="0" xfId="81" applyFont="1" applyFill="1" applyAlignment="1">
      <alignment horizontal="left" indent="1"/>
    </xf>
    <xf numFmtId="2" fontId="70" fillId="0" borderId="0" xfId="81" applyNumberFormat="1" applyFont="1" applyFill="1"/>
    <xf numFmtId="9" fontId="56" fillId="45" borderId="0" xfId="59" applyFont="1" applyFill="1"/>
    <xf numFmtId="0" fontId="49" fillId="0" borderId="0" xfId="49" applyFont="1" applyFill="1" applyBorder="1"/>
    <xf numFmtId="0" fontId="80" fillId="0" borderId="0" xfId="49" applyFont="1" applyFill="1" applyBorder="1"/>
    <xf numFmtId="0" fontId="66" fillId="44" borderId="0" xfId="81" applyFont="1" applyFill="1" applyAlignment="1">
      <alignment horizontal="center"/>
    </xf>
    <xf numFmtId="190" fontId="66" fillId="44" borderId="0" xfId="81" applyNumberFormat="1" applyFont="1" applyFill="1" applyAlignment="1">
      <alignment horizontal="center"/>
    </xf>
    <xf numFmtId="0" fontId="8" fillId="46" borderId="0" xfId="0" applyFont="1" applyFill="1" applyBorder="1" applyAlignment="1"/>
    <xf numFmtId="0" fontId="8" fillId="46" borderId="20" xfId="0" applyFont="1" applyFill="1" applyBorder="1" applyAlignment="1"/>
    <xf numFmtId="0" fontId="8" fillId="46" borderId="10" xfId="0" applyFont="1" applyFill="1" applyBorder="1"/>
    <xf numFmtId="174" fontId="0" fillId="0" borderId="0" xfId="0" applyNumberFormat="1"/>
    <xf numFmtId="174" fontId="56" fillId="0" borderId="0" xfId="0" applyNumberFormat="1" applyFont="1"/>
    <xf numFmtId="183" fontId="56" fillId="0" borderId="0" xfId="0" applyNumberFormat="1" applyFont="1"/>
    <xf numFmtId="183" fontId="0" fillId="0" borderId="0" xfId="0" applyNumberFormat="1"/>
    <xf numFmtId="183" fontId="38" fillId="0" borderId="0" xfId="0" applyNumberFormat="1" applyFont="1"/>
    <xf numFmtId="174" fontId="38" fillId="0" borderId="0" xfId="59" applyNumberFormat="1" applyFont="1"/>
    <xf numFmtId="174" fontId="8" fillId="0" borderId="0" xfId="0" applyNumberFormat="1" applyFont="1"/>
    <xf numFmtId="174" fontId="0" fillId="46" borderId="10" xfId="0" applyNumberFormat="1" applyFill="1" applyBorder="1"/>
    <xf numFmtId="7" fontId="0" fillId="46" borderId="10" xfId="0" applyNumberFormat="1" applyFill="1" applyBorder="1"/>
    <xf numFmtId="0" fontId="8" fillId="0" borderId="45" xfId="0" applyFont="1" applyBorder="1"/>
    <xf numFmtId="0" fontId="8" fillId="0" borderId="38" xfId="0" applyFont="1" applyBorder="1"/>
    <xf numFmtId="0" fontId="38" fillId="0" borderId="23" xfId="0" applyFont="1" applyBorder="1"/>
    <xf numFmtId="0" fontId="38" fillId="0" borderId="35" xfId="0" applyFont="1" applyBorder="1"/>
    <xf numFmtId="0" fontId="76" fillId="0" borderId="31" xfId="0" applyFont="1" applyBorder="1"/>
    <xf numFmtId="0" fontId="76" fillId="0" borderId="23" xfId="0" applyFont="1" applyBorder="1"/>
    <xf numFmtId="0" fontId="76" fillId="0" borderId="35" xfId="0" applyFont="1" applyBorder="1"/>
    <xf numFmtId="0" fontId="8" fillId="0" borderId="47" xfId="0" applyFont="1" applyBorder="1"/>
    <xf numFmtId="0" fontId="0" fillId="0" borderId="25" xfId="0" applyBorder="1"/>
    <xf numFmtId="0" fontId="0" fillId="0" borderId="45" xfId="0" applyBorder="1"/>
    <xf numFmtId="0" fontId="0" fillId="0" borderId="46" xfId="0" applyBorder="1"/>
    <xf numFmtId="0" fontId="0" fillId="0" borderId="38" xfId="0" applyBorder="1"/>
    <xf numFmtId="0" fontId="0" fillId="0" borderId="39" xfId="0" applyBorder="1"/>
    <xf numFmtId="164" fontId="56" fillId="0" borderId="46" xfId="59" applyNumberFormat="1" applyFont="1" applyBorder="1"/>
    <xf numFmtId="164" fontId="56" fillId="0" borderId="46" xfId="0" applyNumberFormat="1" applyFont="1" applyBorder="1"/>
    <xf numFmtId="164" fontId="56" fillId="0" borderId="39" xfId="0" applyNumberFormat="1" applyFont="1" applyBorder="1"/>
    <xf numFmtId="164" fontId="56" fillId="0" borderId="48" xfId="0" applyNumberFormat="1" applyFont="1" applyBorder="1"/>
    <xf numFmtId="174" fontId="0" fillId="46" borderId="0" xfId="0" applyNumberFormat="1" applyFill="1" applyBorder="1"/>
    <xf numFmtId="174" fontId="0" fillId="46" borderId="20" xfId="0" applyNumberFormat="1" applyFill="1" applyBorder="1"/>
    <xf numFmtId="5" fontId="0" fillId="0" borderId="0" xfId="59" applyNumberFormat="1" applyFont="1"/>
    <xf numFmtId="9" fontId="0" fillId="26" borderId="0" xfId="59" applyFont="1" applyFill="1" applyAlignment="1">
      <alignment horizontal="center"/>
    </xf>
    <xf numFmtId="9" fontId="0" fillId="0" borderId="0" xfId="59" applyFont="1" applyFill="1" applyAlignment="1">
      <alignment horizontal="center"/>
    </xf>
    <xf numFmtId="10" fontId="56" fillId="0" borderId="0" xfId="59" applyNumberFormat="1" applyFont="1" applyFill="1" applyBorder="1" applyAlignment="1"/>
    <xf numFmtId="174" fontId="64" fillId="0" borderId="0" xfId="81" applyNumberFormat="1" applyFont="1"/>
    <xf numFmtId="173" fontId="0" fillId="0" borderId="0" xfId="0" applyNumberFormat="1" applyBorder="1"/>
    <xf numFmtId="168" fontId="56" fillId="0" borderId="0" xfId="54" applyNumberFormat="1" applyFont="1" applyFill="1" applyBorder="1" applyAlignment="1">
      <alignment horizontal="right" wrapText="1"/>
    </xf>
    <xf numFmtId="9" fontId="56" fillId="0" borderId="0" xfId="59" applyFont="1"/>
    <xf numFmtId="0" fontId="12" fillId="47" borderId="14" xfId="0" applyFont="1" applyFill="1" applyBorder="1"/>
    <xf numFmtId="0" fontId="0" fillId="49" borderId="0" xfId="0" applyFill="1" applyAlignment="1">
      <alignment horizontal="center"/>
    </xf>
    <xf numFmtId="0" fontId="12" fillId="48" borderId="0" xfId="0" applyFont="1" applyFill="1" applyAlignment="1">
      <alignment horizontal="center"/>
    </xf>
    <xf numFmtId="5" fontId="12" fillId="0" borderId="0" xfId="0" applyNumberFormat="1" applyFont="1"/>
    <xf numFmtId="7" fontId="8" fillId="0" borderId="0" xfId="0" applyNumberFormat="1" applyFont="1"/>
    <xf numFmtId="0" fontId="74" fillId="50" borderId="41" xfId="49" applyFont="1" applyFill="1" applyBorder="1"/>
    <xf numFmtId="0" fontId="49" fillId="50" borderId="25" xfId="49" applyFont="1" applyFill="1" applyBorder="1"/>
    <xf numFmtId="0" fontId="49" fillId="50" borderId="37" xfId="49" applyFont="1" applyFill="1" applyBorder="1"/>
    <xf numFmtId="0" fontId="49" fillId="50" borderId="42" xfId="49" applyFont="1" applyFill="1" applyBorder="1"/>
    <xf numFmtId="0" fontId="49" fillId="50" borderId="0" xfId="49" applyFont="1" applyFill="1" applyBorder="1"/>
    <xf numFmtId="0" fontId="49" fillId="50" borderId="44" xfId="49" applyFont="1" applyFill="1" applyBorder="1"/>
    <xf numFmtId="0" fontId="49" fillId="50" borderId="12" xfId="49" applyFont="1" applyFill="1" applyBorder="1"/>
    <xf numFmtId="0" fontId="49" fillId="50" borderId="36" xfId="49" applyFont="1" applyFill="1" applyBorder="1"/>
    <xf numFmtId="0" fontId="49" fillId="50" borderId="25" xfId="49" applyFont="1" applyFill="1" applyBorder="1" applyAlignment="1">
      <alignment horizontal="center"/>
    </xf>
    <xf numFmtId="0" fontId="49" fillId="50" borderId="0" xfId="49" applyFont="1" applyFill="1" applyBorder="1" applyAlignment="1">
      <alignment horizontal="center"/>
    </xf>
    <xf numFmtId="0" fontId="49" fillId="50" borderId="12" xfId="49" applyFont="1" applyFill="1" applyBorder="1" applyAlignment="1">
      <alignment horizontal="center"/>
    </xf>
    <xf numFmtId="0" fontId="49" fillId="50" borderId="37" xfId="49" applyFont="1" applyFill="1" applyBorder="1" applyAlignment="1">
      <alignment horizontal="center"/>
    </xf>
    <xf numFmtId="0" fontId="49" fillId="50" borderId="43" xfId="49" applyFont="1" applyFill="1" applyBorder="1" applyAlignment="1">
      <alignment horizontal="center"/>
    </xf>
    <xf numFmtId="0" fontId="49" fillId="50" borderId="36" xfId="49" applyFont="1" applyFill="1" applyBorder="1" applyAlignment="1">
      <alignment horizontal="center"/>
    </xf>
    <xf numFmtId="0" fontId="49" fillId="49" borderId="25" xfId="49" applyFont="1" applyFill="1" applyBorder="1" applyAlignment="1">
      <alignment horizontal="center"/>
    </xf>
    <xf numFmtId="0" fontId="8" fillId="50" borderId="41" xfId="0" applyFont="1" applyFill="1" applyBorder="1"/>
    <xf numFmtId="0" fontId="0" fillId="50" borderId="25" xfId="0" applyFill="1" applyBorder="1"/>
    <xf numFmtId="0" fontId="0" fillId="50" borderId="25" xfId="0" applyFill="1" applyBorder="1" applyAlignment="1">
      <alignment horizontal="center"/>
    </xf>
    <xf numFmtId="0" fontId="8" fillId="50" borderId="25" xfId="0" applyFont="1" applyFill="1" applyBorder="1"/>
    <xf numFmtId="0" fontId="0" fillId="50" borderId="37" xfId="0" applyFill="1" applyBorder="1"/>
    <xf numFmtId="0" fontId="0" fillId="50" borderId="44" xfId="0" applyFill="1" applyBorder="1"/>
    <xf numFmtId="0" fontId="0" fillId="50" borderId="12" xfId="0" applyFill="1" applyBorder="1"/>
    <xf numFmtId="0" fontId="0" fillId="50" borderId="12" xfId="0" applyFill="1" applyBorder="1" applyAlignment="1">
      <alignment horizontal="center"/>
    </xf>
    <xf numFmtId="0" fontId="8" fillId="50" borderId="12" xfId="0" applyFont="1" applyFill="1" applyBorder="1"/>
    <xf numFmtId="0" fontId="0" fillId="50" borderId="36" xfId="0" applyFill="1" applyBorder="1"/>
    <xf numFmtId="0" fontId="0" fillId="49" borderId="25" xfId="0" applyFill="1" applyBorder="1" applyAlignment="1">
      <alignment horizontal="center"/>
    </xf>
    <xf numFmtId="0" fontId="8" fillId="50" borderId="44" xfId="0" applyFont="1" applyFill="1" applyBorder="1"/>
    <xf numFmtId="167" fontId="12" fillId="50" borderId="49" xfId="0" applyNumberFormat="1" applyFont="1" applyFill="1" applyBorder="1"/>
    <xf numFmtId="0" fontId="12" fillId="50" borderId="10" xfId="0" applyFont="1" applyFill="1" applyBorder="1"/>
    <xf numFmtId="0" fontId="38" fillId="50" borderId="10" xfId="0" applyFont="1" applyFill="1" applyBorder="1"/>
    <xf numFmtId="9" fontId="59" fillId="50" borderId="10" xfId="0" applyNumberFormat="1" applyFont="1" applyFill="1" applyBorder="1"/>
    <xf numFmtId="9" fontId="38" fillId="50" borderId="10" xfId="0" applyNumberFormat="1" applyFont="1" applyFill="1" applyBorder="1"/>
    <xf numFmtId="174" fontId="12" fillId="50" borderId="49" xfId="0" applyNumberFormat="1" applyFont="1" applyFill="1" applyBorder="1"/>
    <xf numFmtId="174" fontId="73" fillId="50" borderId="10" xfId="0" applyNumberFormat="1" applyFont="1" applyFill="1" applyBorder="1"/>
    <xf numFmtId="174" fontId="12" fillId="50" borderId="10" xfId="0" applyNumberFormat="1" applyFont="1" applyFill="1" applyBorder="1"/>
    <xf numFmtId="0" fontId="12" fillId="50" borderId="40" xfId="0" applyFont="1" applyFill="1" applyBorder="1"/>
    <xf numFmtId="174" fontId="12" fillId="50" borderId="40" xfId="0" applyNumberFormat="1" applyFont="1" applyFill="1" applyBorder="1"/>
    <xf numFmtId="0" fontId="66" fillId="50" borderId="10" xfId="81" applyFont="1" applyFill="1" applyBorder="1"/>
    <xf numFmtId="0" fontId="56" fillId="50" borderId="10" xfId="81" applyFont="1" applyFill="1" applyBorder="1" applyAlignment="1">
      <alignment horizontal="center"/>
    </xf>
    <xf numFmtId="0" fontId="8" fillId="50" borderId="10" xfId="81" applyFont="1" applyFill="1" applyBorder="1" applyAlignment="1">
      <alignment horizontal="center"/>
    </xf>
    <xf numFmtId="0" fontId="66" fillId="50" borderId="49" xfId="81" applyFont="1" applyFill="1" applyBorder="1"/>
    <xf numFmtId="173" fontId="66" fillId="50" borderId="49" xfId="81" applyNumberFormat="1" applyFont="1" applyFill="1" applyBorder="1"/>
    <xf numFmtId="5" fontId="66" fillId="50" borderId="49" xfId="81" applyNumberFormat="1" applyFont="1" applyFill="1" applyBorder="1"/>
    <xf numFmtId="5" fontId="73" fillId="50" borderId="10" xfId="81" applyNumberFormat="1" applyFont="1" applyFill="1" applyBorder="1"/>
    <xf numFmtId="5" fontId="12" fillId="50" borderId="10" xfId="59" applyNumberFormat="1" applyFont="1" applyFill="1" applyBorder="1"/>
    <xf numFmtId="0" fontId="64" fillId="50" borderId="40" xfId="81" applyFont="1" applyFill="1" applyBorder="1"/>
    <xf numFmtId="0" fontId="66" fillId="50" borderId="40" xfId="81" applyFont="1" applyFill="1" applyBorder="1"/>
    <xf numFmtId="5" fontId="66" fillId="50" borderId="40" xfId="81" applyNumberFormat="1" applyFont="1" applyFill="1" applyBorder="1"/>
    <xf numFmtId="174" fontId="64" fillId="0" borderId="0" xfId="49" applyNumberFormat="1" applyFont="1" applyAlignment="1">
      <alignment horizontal="center"/>
    </xf>
    <xf numFmtId="174" fontId="56" fillId="0" borderId="0" xfId="49" applyNumberFormat="1" applyFont="1" applyAlignment="1">
      <alignment horizontal="center"/>
    </xf>
    <xf numFmtId="0" fontId="49" fillId="0" borderId="0" xfId="49" applyFont="1" applyAlignment="1">
      <alignment horizontal="center"/>
    </xf>
    <xf numFmtId="174" fontId="56" fillId="0" borderId="0" xfId="49" applyNumberFormat="1" applyFont="1"/>
    <xf numFmtId="174" fontId="49" fillId="0" borderId="0" xfId="49" applyNumberFormat="1" applyFont="1" applyAlignment="1">
      <alignment horizontal="center"/>
    </xf>
    <xf numFmtId="191" fontId="49" fillId="0" borderId="0" xfId="49" applyNumberFormat="1" applyFont="1"/>
    <xf numFmtId="192" fontId="49" fillId="0" borderId="0" xfId="49" applyNumberFormat="1" applyFont="1"/>
    <xf numFmtId="193" fontId="49" fillId="0" borderId="0" xfId="49" applyNumberFormat="1" applyFont="1"/>
    <xf numFmtId="166" fontId="63" fillId="0" borderId="0" xfId="49" applyNumberFormat="1" applyFont="1"/>
    <xf numFmtId="172" fontId="8" fillId="0" borderId="0" xfId="49" applyNumberFormat="1" applyFont="1" applyAlignment="1">
      <alignment horizontal="center"/>
    </xf>
    <xf numFmtId="172" fontId="8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0" fontId="12" fillId="47" borderId="0" xfId="0" applyFont="1" applyFill="1"/>
    <xf numFmtId="190" fontId="12" fillId="47" borderId="0" xfId="0" applyNumberFormat="1" applyFont="1" applyFill="1" applyAlignment="1">
      <alignment horizontal="center"/>
    </xf>
    <xf numFmtId="194" fontId="12" fillId="47" borderId="0" xfId="0" applyNumberFormat="1" applyFont="1" applyFill="1" applyAlignment="1">
      <alignment horizontal="center"/>
    </xf>
    <xf numFmtId="0" fontId="38" fillId="0" borderId="0" xfId="0" applyFont="1" applyBorder="1" applyAlignment="1">
      <alignment horizontal="left" indent="1"/>
    </xf>
    <xf numFmtId="164" fontId="38" fillId="0" borderId="0" xfId="59" applyNumberFormat="1" applyFont="1" applyBorder="1" applyAlignment="1">
      <alignment horizontal="center"/>
    </xf>
    <xf numFmtId="5" fontId="0" fillId="0" borderId="14" xfId="0" applyNumberFormat="1" applyBorder="1" applyAlignment="1">
      <alignment horizontal="center"/>
    </xf>
    <xf numFmtId="9" fontId="0" fillId="0" borderId="40" xfId="59" applyFont="1" applyBorder="1" applyAlignment="1">
      <alignment horizontal="center" vertical="center"/>
    </xf>
    <xf numFmtId="2" fontId="8" fillId="0" borderId="40" xfId="0" applyNumberFormat="1" applyFont="1" applyBorder="1" applyAlignment="1">
      <alignment vertical="center" wrapText="1"/>
    </xf>
    <xf numFmtId="164" fontId="8" fillId="26" borderId="0" xfId="0" applyNumberFormat="1" applyFont="1" applyFill="1"/>
    <xf numFmtId="9" fontId="82" fillId="26" borderId="0" xfId="0" applyNumberFormat="1" applyFont="1" applyFill="1"/>
    <xf numFmtId="0" fontId="12" fillId="0" borderId="22" xfId="0" applyFont="1" applyBorder="1" applyAlignment="1">
      <alignment horizontal="right"/>
    </xf>
    <xf numFmtId="5" fontId="49" fillId="0" borderId="0" xfId="49" applyNumberFormat="1" applyFont="1"/>
    <xf numFmtId="195" fontId="0" fillId="0" borderId="0" xfId="0" applyNumberFormat="1" applyFill="1"/>
    <xf numFmtId="0" fontId="74" fillId="0" borderId="0" xfId="49" applyFont="1" applyFill="1" applyBorder="1" applyAlignment="1">
      <alignment horizontal="center"/>
    </xf>
    <xf numFmtId="174" fontId="49" fillId="0" borderId="0" xfId="49" applyNumberFormat="1" applyFont="1" applyFill="1" applyBorder="1"/>
    <xf numFmtId="7" fontId="49" fillId="0" borderId="0" xfId="49" applyNumberFormat="1" applyFont="1" applyFill="1" applyBorder="1"/>
    <xf numFmtId="195" fontId="49" fillId="0" borderId="0" xfId="49" applyNumberFormat="1" applyFont="1" applyFill="1" applyBorder="1"/>
    <xf numFmtId="196" fontId="66" fillId="30" borderId="0" xfId="81" applyNumberFormat="1" applyFont="1" applyFill="1" applyAlignment="1">
      <alignment horizontal="center"/>
    </xf>
    <xf numFmtId="178" fontId="66" fillId="30" borderId="0" xfId="81" applyNumberFormat="1" applyFont="1" applyFill="1" applyAlignment="1">
      <alignment horizontal="center"/>
    </xf>
    <xf numFmtId="197" fontId="66" fillId="30" borderId="0" xfId="81" applyNumberFormat="1" applyFont="1" applyFill="1" applyAlignment="1">
      <alignment horizontal="center"/>
    </xf>
    <xf numFmtId="10" fontId="28" fillId="0" borderId="0" xfId="0" applyNumberFormat="1" applyFont="1" applyFill="1" applyBorder="1" applyAlignment="1"/>
    <xf numFmtId="173" fontId="12" fillId="0" borderId="22" xfId="0" applyNumberFormat="1" applyFont="1" applyBorder="1" applyAlignment="1">
      <alignment horizontal="center"/>
    </xf>
    <xf numFmtId="4" fontId="0" fillId="0" borderId="0" xfId="0" applyNumberFormat="1"/>
    <xf numFmtId="4" fontId="12" fillId="0" borderId="20" xfId="0" applyNumberFormat="1" applyFont="1" applyBorder="1"/>
    <xf numFmtId="164" fontId="8" fillId="0" borderId="0" xfId="61" applyNumberFormat="1" applyFont="1" applyFill="1" applyBorder="1" applyAlignment="1">
      <alignment horizontal="right"/>
    </xf>
    <xf numFmtId="164" fontId="64" fillId="0" borderId="0" xfId="59" applyNumberFormat="1" applyFont="1" applyFill="1" applyBorder="1"/>
    <xf numFmtId="9" fontId="49" fillId="0" borderId="0" xfId="59" applyFont="1"/>
    <xf numFmtId="9" fontId="67" fillId="0" borderId="0" xfId="59" applyFont="1" applyFill="1" applyBorder="1"/>
    <xf numFmtId="4" fontId="28" fillId="0" borderId="0" xfId="0" applyNumberFormat="1" applyFont="1" applyFill="1" applyBorder="1"/>
    <xf numFmtId="9" fontId="64" fillId="0" borderId="0" xfId="59" applyFont="1" applyFill="1" applyBorder="1"/>
    <xf numFmtId="173" fontId="0" fillId="47" borderId="0" xfId="0" applyNumberFormat="1" applyFill="1"/>
    <xf numFmtId="173" fontId="12" fillId="0" borderId="0" xfId="0" applyNumberFormat="1" applyFont="1" applyFill="1" applyBorder="1"/>
    <xf numFmtId="9" fontId="57" fillId="0" borderId="0" xfId="59" applyFont="1" applyFill="1" applyBorder="1" applyAlignment="1">
      <alignment horizontal="right"/>
    </xf>
    <xf numFmtId="166" fontId="12" fillId="39" borderId="14" xfId="0" applyNumberFormat="1" applyFont="1" applyFill="1" applyBorder="1"/>
    <xf numFmtId="165" fontId="38" fillId="39" borderId="0" xfId="0" applyNumberFormat="1" applyFont="1" applyFill="1"/>
    <xf numFmtId="175" fontId="12" fillId="0" borderId="0" xfId="0" applyNumberFormat="1" applyFont="1" applyFill="1" applyBorder="1" applyAlignment="1">
      <alignment horizontal="right"/>
    </xf>
    <xf numFmtId="166" fontId="67" fillId="0" borderId="0" xfId="49" applyNumberFormat="1" applyFont="1" applyAlignment="1">
      <alignment horizontal="center"/>
    </xf>
    <xf numFmtId="166" fontId="64" fillId="0" borderId="0" xfId="49" applyNumberFormat="1" applyFont="1" applyAlignment="1">
      <alignment horizontal="center"/>
    </xf>
    <xf numFmtId="165" fontId="64" fillId="0" borderId="0" xfId="49" applyNumberFormat="1" applyFont="1"/>
    <xf numFmtId="9" fontId="64" fillId="0" borderId="0" xfId="59" applyFont="1"/>
    <xf numFmtId="5" fontId="49" fillId="0" borderId="0" xfId="49" applyNumberFormat="1" applyFont="1" applyFill="1" applyBorder="1"/>
    <xf numFmtId="9" fontId="49" fillId="0" borderId="0" xfId="59" applyFont="1" applyFill="1" applyBorder="1"/>
    <xf numFmtId="7" fontId="28" fillId="0" borderId="0" xfId="52" applyNumberFormat="1" applyFont="1" applyFill="1" applyBorder="1" applyAlignment="1">
      <alignment horizontal="right"/>
    </xf>
    <xf numFmtId="4" fontId="0" fillId="26" borderId="0" xfId="0" applyNumberFormat="1" applyFill="1"/>
    <xf numFmtId="164" fontId="0" fillId="26" borderId="0" xfId="59" applyNumberFormat="1" applyFont="1" applyFill="1"/>
    <xf numFmtId="173" fontId="57" fillId="0" borderId="0" xfId="0" applyNumberFormat="1" applyFont="1" applyFill="1" applyBorder="1" applyAlignment="1">
      <alignment horizontal="right"/>
    </xf>
    <xf numFmtId="164" fontId="8" fillId="0" borderId="0" xfId="59" applyNumberFormat="1" applyFont="1" applyFill="1" applyBorder="1"/>
    <xf numFmtId="9" fontId="0" fillId="26" borderId="0" xfId="59" applyFont="1" applyFill="1" applyAlignment="1">
      <alignment horizontal="right"/>
    </xf>
    <xf numFmtId="164" fontId="56" fillId="0" borderId="0" xfId="61" applyNumberFormat="1" applyFont="1" applyFill="1" applyBorder="1" applyAlignment="1">
      <alignment horizontal="right"/>
    </xf>
    <xf numFmtId="9" fontId="8" fillId="42" borderId="0" xfId="0" applyNumberFormat="1" applyFont="1" applyFill="1"/>
    <xf numFmtId="164" fontId="59" fillId="39" borderId="0" xfId="59" applyNumberFormat="1" applyFont="1" applyFill="1"/>
    <xf numFmtId="9" fontId="8" fillId="39" borderId="0" xfId="59" applyFont="1" applyFill="1"/>
    <xf numFmtId="9" fontId="8" fillId="39" borderId="0" xfId="59" applyNumberFormat="1" applyFont="1" applyFill="1"/>
    <xf numFmtId="0" fontId="12" fillId="0" borderId="0" xfId="0" applyFont="1" applyFill="1"/>
    <xf numFmtId="183" fontId="56" fillId="0" borderId="0" xfId="59" applyNumberFormat="1" applyFont="1"/>
    <xf numFmtId="0" fontId="8" fillId="30" borderId="0" xfId="0" applyFont="1" applyFill="1"/>
    <xf numFmtId="0" fontId="8" fillId="0" borderId="12" xfId="0" applyFont="1" applyBorder="1"/>
    <xf numFmtId="0" fontId="0" fillId="0" borderId="0" xfId="0" applyAlignment="1">
      <alignment vertical="center"/>
    </xf>
    <xf numFmtId="178" fontId="57" fillId="52" borderId="0" xfId="0" applyNumberFormat="1" applyFont="1" applyFill="1" applyAlignment="1">
      <alignment vertical="center"/>
    </xf>
    <xf numFmtId="178" fontId="57" fillId="52" borderId="0" xfId="0" applyNumberFormat="1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5" fontId="0" fillId="0" borderId="0" xfId="0" applyNumberFormat="1" applyAlignment="1">
      <alignment horizontal="center" vertical="center"/>
    </xf>
    <xf numFmtId="0" fontId="8" fillId="0" borderId="14" xfId="0" applyFont="1" applyBorder="1" applyAlignment="1">
      <alignment vertical="center"/>
    </xf>
    <xf numFmtId="5" fontId="0" fillId="0" borderId="14" xfId="0" applyNumberFormat="1" applyBorder="1" applyAlignment="1">
      <alignment horizontal="center" vertical="center"/>
    </xf>
    <xf numFmtId="9" fontId="38" fillId="37" borderId="0" xfId="0" applyNumberFormat="1" applyFont="1" applyFill="1" applyAlignment="1">
      <alignment horizontal="center" vertical="center"/>
    </xf>
    <xf numFmtId="0" fontId="12" fillId="0" borderId="31" xfId="0" applyFont="1" applyBorder="1" applyAlignment="1">
      <alignment vertical="center"/>
    </xf>
    <xf numFmtId="5" fontId="12" fillId="0" borderId="23" xfId="0" applyNumberFormat="1" applyFont="1" applyBorder="1" applyAlignment="1">
      <alignment horizontal="center" vertical="center"/>
    </xf>
    <xf numFmtId="5" fontId="12" fillId="0" borderId="35" xfId="0" applyNumberFormat="1" applyFont="1" applyBorder="1" applyAlignment="1">
      <alignment horizontal="center" vertical="center"/>
    </xf>
    <xf numFmtId="0" fontId="38" fillId="37" borderId="0" xfId="0" applyFont="1" applyFill="1" applyAlignment="1">
      <alignment vertical="center"/>
    </xf>
    <xf numFmtId="9" fontId="59" fillId="37" borderId="0" xfId="59" applyFont="1" applyFill="1" applyAlignment="1">
      <alignment horizontal="center" vertical="center"/>
    </xf>
    <xf numFmtId="9" fontId="38" fillId="37" borderId="0" xfId="59" applyFont="1" applyFill="1" applyAlignment="1">
      <alignment horizontal="center" vertical="center"/>
    </xf>
    <xf numFmtId="5" fontId="12" fillId="0" borderId="14" xfId="0" applyNumberFormat="1" applyFont="1" applyBorder="1" applyAlignment="1">
      <alignment horizontal="center" vertical="center"/>
    </xf>
    <xf numFmtId="0" fontId="12" fillId="0" borderId="31" xfId="0" applyFont="1" applyBorder="1" applyAlignment="1">
      <alignment horizontal="left" vertical="center"/>
    </xf>
    <xf numFmtId="0" fontId="85" fillId="0" borderId="0" xfId="0" applyFont="1" applyAlignment="1">
      <alignment horizontal="center" vertical="center"/>
    </xf>
    <xf numFmtId="0" fontId="12" fillId="0" borderId="14" xfId="0" applyFont="1" applyBorder="1" applyAlignment="1">
      <alignment vertical="center"/>
    </xf>
    <xf numFmtId="0" fontId="12" fillId="53" borderId="0" xfId="0" applyFont="1" applyFill="1" applyAlignment="1">
      <alignment horizontal="center" vertical="center"/>
    </xf>
    <xf numFmtId="9" fontId="59" fillId="37" borderId="0" xfId="0" applyNumberFormat="1" applyFont="1" applyFill="1" applyAlignment="1">
      <alignment horizontal="center" vertical="center"/>
    </xf>
    <xf numFmtId="164" fontId="38" fillId="37" borderId="0" xfId="0" applyNumberFormat="1" applyFont="1" applyFill="1" applyAlignment="1">
      <alignment horizontal="center" vertical="center"/>
    </xf>
    <xf numFmtId="164" fontId="59" fillId="37" borderId="0" xfId="0" applyNumberFormat="1" applyFont="1" applyFill="1" applyAlignment="1">
      <alignment horizontal="center" vertical="center"/>
    </xf>
    <xf numFmtId="9" fontId="0" fillId="0" borderId="0" xfId="59" applyFont="1" applyFill="1" applyAlignment="1">
      <alignment horizontal="right"/>
    </xf>
    <xf numFmtId="4" fontId="58" fillId="28" borderId="0" xfId="0" applyNumberFormat="1" applyFont="1" applyFill="1" applyAlignment="1">
      <alignment horizontal="right"/>
    </xf>
    <xf numFmtId="2" fontId="8" fillId="26" borderId="0" xfId="0" applyNumberFormat="1" applyFont="1" applyFill="1"/>
    <xf numFmtId="173" fontId="12" fillId="27" borderId="31" xfId="0" applyNumberFormat="1" applyFont="1" applyFill="1" applyBorder="1"/>
    <xf numFmtId="173" fontId="0" fillId="26" borderId="23" xfId="0" applyNumberFormat="1" applyFill="1" applyBorder="1"/>
    <xf numFmtId="177" fontId="12" fillId="26" borderId="23" xfId="0" applyNumberFormat="1" applyFont="1" applyFill="1" applyBorder="1"/>
    <xf numFmtId="164" fontId="59" fillId="0" borderId="0" xfId="59" applyNumberFormat="1" applyFont="1" applyFill="1"/>
    <xf numFmtId="198" fontId="56" fillId="26" borderId="0" xfId="0" applyNumberFormat="1" applyFont="1" applyFill="1"/>
    <xf numFmtId="178" fontId="57" fillId="52" borderId="0" xfId="0" applyNumberFormat="1" applyFont="1" applyFill="1"/>
    <xf numFmtId="178" fontId="57" fillId="52" borderId="0" xfId="0" applyNumberFormat="1" applyFont="1" applyFill="1" applyAlignment="1">
      <alignment horizontal="center"/>
    </xf>
    <xf numFmtId="0" fontId="12" fillId="0" borderId="0" xfId="0" applyFont="1" applyAlignment="1">
      <alignment vertical="center"/>
    </xf>
    <xf numFmtId="0" fontId="0" fillId="0" borderId="14" xfId="0" applyBorder="1" applyAlignment="1">
      <alignment vertical="center"/>
    </xf>
    <xf numFmtId="0" fontId="107" fillId="30" borderId="0" xfId="162" applyFont="1" applyFill="1"/>
    <xf numFmtId="0" fontId="108" fillId="40" borderId="0" xfId="162" applyFont="1" applyFill="1"/>
    <xf numFmtId="0" fontId="107" fillId="26" borderId="10" xfId="162" applyFont="1" applyFill="1" applyBorder="1"/>
    <xf numFmtId="0" fontId="108" fillId="26" borderId="10" xfId="162" applyFont="1" applyFill="1" applyBorder="1"/>
    <xf numFmtId="3" fontId="108" fillId="40" borderId="0" xfId="162" applyNumberFormat="1" applyFont="1" applyFill="1"/>
    <xf numFmtId="3" fontId="109" fillId="40" borderId="0" xfId="162" applyNumberFormat="1" applyFont="1" applyFill="1"/>
    <xf numFmtId="3" fontId="110" fillId="40" borderId="0" xfId="162" applyNumberFormat="1" applyFont="1" applyFill="1"/>
    <xf numFmtId="0" fontId="108" fillId="40" borderId="0" xfId="162" applyFont="1" applyFill="1" applyAlignment="1">
      <alignment horizontal="left" indent="2"/>
    </xf>
    <xf numFmtId="9" fontId="108" fillId="40" borderId="0" xfId="162" applyNumberFormat="1" applyFont="1" applyFill="1"/>
    <xf numFmtId="9" fontId="108" fillId="40" borderId="0" xfId="163" applyFont="1" applyFill="1"/>
    <xf numFmtId="0" fontId="108" fillId="35" borderId="0" xfId="162" applyFont="1" applyFill="1" applyAlignment="1">
      <alignment horizontal="left" indent="2"/>
    </xf>
    <xf numFmtId="9" fontId="108" fillId="35" borderId="0" xfId="162" applyNumberFormat="1" applyFont="1" applyFill="1"/>
    <xf numFmtId="1" fontId="108" fillId="35" borderId="0" xfId="162" applyNumberFormat="1" applyFont="1" applyFill="1"/>
    <xf numFmtId="0" fontId="108" fillId="35" borderId="0" xfId="162" applyFont="1" applyFill="1"/>
    <xf numFmtId="3" fontId="114" fillId="40" borderId="0" xfId="162" applyNumberFormat="1" applyFont="1" applyFill="1"/>
    <xf numFmtId="3" fontId="115" fillId="40" borderId="0" xfId="162" applyNumberFormat="1" applyFont="1" applyFill="1"/>
    <xf numFmtId="0" fontId="108" fillId="26" borderId="0" xfId="162" applyFont="1" applyFill="1" applyBorder="1"/>
    <xf numFmtId="0" fontId="108" fillId="40" borderId="0" xfId="162" applyFont="1" applyFill="1" applyAlignment="1">
      <alignment horizontal="left" indent="1"/>
    </xf>
    <xf numFmtId="9" fontId="114" fillId="40" borderId="0" xfId="162" applyNumberFormat="1" applyFont="1" applyFill="1"/>
    <xf numFmtId="9" fontId="109" fillId="40" borderId="0" xfId="162" applyNumberFormat="1" applyFont="1" applyFill="1"/>
    <xf numFmtId="0" fontId="109" fillId="40" borderId="0" xfId="162" applyFont="1" applyFill="1"/>
    <xf numFmtId="0" fontId="8" fillId="40" borderId="0" xfId="165" applyFill="1" applyAlignment="1">
      <alignment horizontal="left" indent="1"/>
    </xf>
    <xf numFmtId="166" fontId="109" fillId="40" borderId="0" xfId="162" applyNumberFormat="1" applyFont="1" applyFill="1"/>
    <xf numFmtId="166" fontId="108" fillId="40" borderId="0" xfId="162" applyNumberFormat="1" applyFont="1" applyFill="1"/>
    <xf numFmtId="0" fontId="116" fillId="40" borderId="0" xfId="162" applyFont="1" applyFill="1" applyAlignment="1">
      <alignment horizontal="left" indent="2"/>
    </xf>
    <xf numFmtId="0" fontId="116" fillId="40" borderId="0" xfId="162" applyFont="1" applyFill="1"/>
    <xf numFmtId="9" fontId="117" fillId="40" borderId="0" xfId="162" applyNumberFormat="1" applyFont="1" applyFill="1"/>
    <xf numFmtId="9" fontId="116" fillId="40" borderId="0" xfId="162" applyNumberFormat="1" applyFont="1" applyFill="1"/>
    <xf numFmtId="166" fontId="114" fillId="40" borderId="0" xfId="162" applyNumberFormat="1" applyFont="1" applyFill="1"/>
    <xf numFmtId="5" fontId="12" fillId="0" borderId="0" xfId="0" applyNumberFormat="1" applyFont="1" applyAlignment="1">
      <alignment horizontal="center" vertical="center"/>
    </xf>
    <xf numFmtId="0" fontId="114" fillId="40" borderId="0" xfId="162" applyFont="1" applyFill="1"/>
    <xf numFmtId="0" fontId="108" fillId="40" borderId="0" xfId="162" applyFont="1" applyFill="1" applyAlignment="1">
      <alignment horizontal="left"/>
    </xf>
    <xf numFmtId="178" fontId="119" fillId="52" borderId="0" xfId="0" applyNumberFormat="1" applyFont="1" applyFill="1" applyAlignment="1">
      <alignment vertical="center"/>
    </xf>
    <xf numFmtId="9" fontId="120" fillId="40" borderId="0" xfId="162" applyNumberFormat="1" applyFont="1" applyFill="1"/>
    <xf numFmtId="0" fontId="12" fillId="0" borderId="0" xfId="0" applyFont="1" applyAlignment="1">
      <alignment horizontal="left" vertical="center" indent="1"/>
    </xf>
    <xf numFmtId="5" fontId="8" fillId="0" borderId="0" xfId="0" applyNumberFormat="1" applyFont="1" applyAlignment="1">
      <alignment horizontal="center" vertical="center"/>
    </xf>
    <xf numFmtId="0" fontId="76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2"/>
    </xf>
    <xf numFmtId="0" fontId="107" fillId="55" borderId="0" xfId="162" applyFont="1" applyFill="1"/>
    <xf numFmtId="0" fontId="114" fillId="40" borderId="0" xfId="162" applyFont="1" applyFill="1" applyAlignment="1">
      <alignment horizontal="center"/>
    </xf>
    <xf numFmtId="0" fontId="114" fillId="40" borderId="0" xfId="162" applyFont="1" applyFill="1" applyAlignment="1">
      <alignment horizontal="left" indent="2"/>
    </xf>
    <xf numFmtId="9" fontId="114" fillId="40" borderId="0" xfId="163" applyFont="1" applyFill="1"/>
    <xf numFmtId="0" fontId="116" fillId="40" borderId="0" xfId="162" applyFont="1" applyFill="1" applyAlignment="1">
      <alignment horizontal="left" indent="1"/>
    </xf>
    <xf numFmtId="9" fontId="121" fillId="40" borderId="0" xfId="162" applyNumberFormat="1" applyFont="1" applyFill="1"/>
    <xf numFmtId="0" fontId="3" fillId="0" borderId="0" xfId="167"/>
    <xf numFmtId="0" fontId="122" fillId="0" borderId="0" xfId="48" applyFont="1"/>
    <xf numFmtId="0" fontId="123" fillId="0" borderId="34" xfId="48" applyFont="1" applyBorder="1" applyAlignment="1">
      <alignment horizontal="center"/>
    </xf>
    <xf numFmtId="0" fontId="8" fillId="0" borderId="34" xfId="48" applyBorder="1" applyAlignment="1">
      <alignment horizontal="center"/>
    </xf>
    <xf numFmtId="0" fontId="123" fillId="0" borderId="0" xfId="48" applyFont="1"/>
    <xf numFmtId="0" fontId="124" fillId="56" borderId="0" xfId="48" applyFont="1" applyFill="1"/>
    <xf numFmtId="196" fontId="124" fillId="56" borderId="0" xfId="48" applyNumberFormat="1" applyFont="1" applyFill="1" applyAlignment="1">
      <alignment horizontal="right"/>
    </xf>
    <xf numFmtId="178" fontId="124" fillId="56" borderId="0" xfId="48" applyNumberFormat="1" applyFont="1" applyFill="1" applyAlignment="1">
      <alignment horizontal="right"/>
    </xf>
    <xf numFmtId="0" fontId="123" fillId="0" borderId="0" xfId="48" applyNumberFormat="1" applyFont="1" applyAlignment="1">
      <alignment horizontal="left" indent="1"/>
    </xf>
    <xf numFmtId="9" fontId="122" fillId="0" borderId="0" xfId="48" applyNumberFormat="1" applyFont="1"/>
    <xf numFmtId="0" fontId="122" fillId="0" borderId="0" xfId="48" applyNumberFormat="1" applyFont="1" applyAlignment="1">
      <alignment horizontal="left" indent="2"/>
    </xf>
    <xf numFmtId="9" fontId="125" fillId="0" borderId="0" xfId="48" applyNumberFormat="1" applyFont="1"/>
    <xf numFmtId="9" fontId="126" fillId="0" borderId="0" xfId="48" applyNumberFormat="1" applyFont="1"/>
    <xf numFmtId="0" fontId="122" fillId="0" borderId="0" xfId="48" applyFont="1" applyBorder="1"/>
    <xf numFmtId="3" fontId="122" fillId="0" borderId="0" xfId="48" applyNumberFormat="1" applyFont="1" applyBorder="1"/>
    <xf numFmtId="0" fontId="122" fillId="0" borderId="0" xfId="48" applyFont="1" applyBorder="1" applyAlignment="1">
      <alignment horizontal="left" indent="1"/>
    </xf>
    <xf numFmtId="9" fontId="122" fillId="0" borderId="0" xfId="48" applyNumberFormat="1" applyFont="1" applyBorder="1"/>
    <xf numFmtId="0" fontId="122" fillId="0" borderId="0" xfId="48" applyFont="1" applyBorder="1" applyAlignment="1">
      <alignment horizontal="left"/>
    </xf>
    <xf numFmtId="9" fontId="122" fillId="0" borderId="0" xfId="163" applyFont="1" applyBorder="1"/>
    <xf numFmtId="0" fontId="122" fillId="51" borderId="0" xfId="48" applyFont="1" applyFill="1" applyBorder="1" applyAlignment="1">
      <alignment horizontal="left"/>
    </xf>
    <xf numFmtId="0" fontId="122" fillId="51" borderId="0" xfId="48" applyFont="1" applyFill="1" applyBorder="1"/>
    <xf numFmtId="9" fontId="122" fillId="51" borderId="0" xfId="163" applyFont="1" applyFill="1" applyBorder="1"/>
    <xf numFmtId="166" fontId="126" fillId="0" borderId="0" xfId="48" applyNumberFormat="1" applyFont="1"/>
    <xf numFmtId="166" fontId="125" fillId="0" borderId="0" xfId="48" applyNumberFormat="1" applyFont="1"/>
    <xf numFmtId="0" fontId="122" fillId="0" borderId="0" xfId="48" applyFont="1" applyAlignment="1">
      <alignment horizontal="left" indent="1"/>
    </xf>
    <xf numFmtId="9" fontId="125" fillId="0" borderId="0" xfId="48" applyNumberFormat="1" applyFont="1" applyAlignment="1">
      <alignment horizontal="right"/>
    </xf>
    <xf numFmtId="164" fontId="125" fillId="0" borderId="0" xfId="48" applyNumberFormat="1" applyFont="1"/>
    <xf numFmtId="0" fontId="122" fillId="0" borderId="52" xfId="48" applyFont="1" applyBorder="1"/>
    <xf numFmtId="166" fontId="122" fillId="0" borderId="52" xfId="48" applyNumberFormat="1" applyFont="1" applyBorder="1"/>
    <xf numFmtId="0" fontId="123" fillId="29" borderId="23" xfId="48" applyFont="1" applyFill="1" applyBorder="1"/>
    <xf numFmtId="166" fontId="123" fillId="29" borderId="23" xfId="48" applyNumberFormat="1" applyFont="1" applyFill="1" applyBorder="1"/>
    <xf numFmtId="0" fontId="0" fillId="0" borderId="0" xfId="0" applyAlignment="1">
      <alignment horizontal="left" vertical="center" indent="1"/>
    </xf>
    <xf numFmtId="174" fontId="73" fillId="0" borderId="0" xfId="0" applyNumberFormat="1" applyFont="1" applyFill="1" applyBorder="1"/>
    <xf numFmtId="5" fontId="12" fillId="0" borderId="0" xfId="0" applyNumberFormat="1" applyFont="1" applyFill="1" applyBorder="1"/>
    <xf numFmtId="5" fontId="8" fillId="0" borderId="0" xfId="0" applyNumberFormat="1" applyFont="1" applyFill="1" applyBorder="1" applyAlignment="1"/>
    <xf numFmtId="10" fontId="28" fillId="0" borderId="0" xfId="59" applyNumberFormat="1" applyFont="1" applyFill="1" applyBorder="1"/>
    <xf numFmtId="5" fontId="28" fillId="0" borderId="0" xfId="0" applyNumberFormat="1" applyFont="1" applyFill="1" applyBorder="1"/>
    <xf numFmtId="10" fontId="56" fillId="0" borderId="0" xfId="0" applyNumberFormat="1" applyFont="1" applyFill="1" applyBorder="1" applyAlignment="1"/>
    <xf numFmtId="37" fontId="0" fillId="0" borderId="0" xfId="0" applyNumberFormat="1" applyAlignment="1">
      <alignment horizontal="center"/>
    </xf>
    <xf numFmtId="0" fontId="38" fillId="37" borderId="0" xfId="0" applyFont="1" applyFill="1" applyAlignment="1">
      <alignment horizontal="left" indent="1"/>
    </xf>
    <xf numFmtId="9" fontId="0" fillId="0" borderId="0" xfId="0" applyNumberFormat="1" applyAlignment="1">
      <alignment horizontal="center"/>
    </xf>
    <xf numFmtId="164" fontId="59" fillId="37" borderId="0" xfId="59" applyNumberFormat="1" applyFont="1" applyFill="1" applyAlignment="1">
      <alignment horizontal="center"/>
    </xf>
    <xf numFmtId="164" fontId="38" fillId="37" borderId="0" xfId="59" applyNumberFormat="1" applyFont="1" applyFill="1" applyAlignment="1">
      <alignment horizontal="center"/>
    </xf>
    <xf numFmtId="164" fontId="38" fillId="37" borderId="0" xfId="59" applyNumberFormat="1" applyFont="1" applyFill="1" applyAlignment="1">
      <alignment horizontal="center" vertical="center"/>
    </xf>
    <xf numFmtId="164" fontId="59" fillId="37" borderId="0" xfId="59" applyNumberFormat="1" applyFont="1" applyFill="1" applyAlignment="1">
      <alignment horizontal="center" vertical="center"/>
    </xf>
    <xf numFmtId="5" fontId="56" fillId="0" borderId="0" xfId="59" applyNumberFormat="1" applyFont="1" applyFill="1" applyAlignment="1">
      <alignment horizontal="center"/>
    </xf>
    <xf numFmtId="5" fontId="56" fillId="0" borderId="0" xfId="0" applyNumberFormat="1" applyFont="1" applyAlignment="1">
      <alignment horizontal="center"/>
    </xf>
    <xf numFmtId="37" fontId="56" fillId="0" borderId="0" xfId="0" applyNumberFormat="1" applyFont="1" applyAlignment="1">
      <alignment horizontal="center"/>
    </xf>
    <xf numFmtId="37" fontId="8" fillId="0" borderId="0" xfId="0" applyNumberFormat="1" applyFont="1" applyAlignment="1">
      <alignment horizontal="center"/>
    </xf>
    <xf numFmtId="5" fontId="12" fillId="0" borderId="14" xfId="0" applyNumberFormat="1" applyFont="1" applyBorder="1" applyAlignment="1">
      <alignment horizontal="center"/>
    </xf>
    <xf numFmtId="0" fontId="69" fillId="0" borderId="0" xfId="0" applyFont="1" applyAlignment="1">
      <alignment horizontal="center"/>
    </xf>
    <xf numFmtId="0" fontId="9" fillId="0" borderId="0" xfId="0" applyFont="1" applyFill="1" applyBorder="1"/>
    <xf numFmtId="164" fontId="8" fillId="0" borderId="0" xfId="0" applyNumberFormat="1" applyFont="1"/>
    <xf numFmtId="0" fontId="108" fillId="43" borderId="0" xfId="168" applyFont="1" applyFill="1"/>
    <xf numFmtId="0" fontId="2" fillId="43" borderId="0" xfId="169" applyFill="1"/>
    <xf numFmtId="0" fontId="107" fillId="30" borderId="0" xfId="168" applyFont="1" applyFill="1"/>
    <xf numFmtId="3" fontId="108" fillId="43" borderId="0" xfId="168" applyNumberFormat="1" applyFont="1" applyFill="1"/>
    <xf numFmtId="3" fontId="109" fillId="43" borderId="0" xfId="168" applyNumberFormat="1" applyFont="1" applyFill="1"/>
    <xf numFmtId="3" fontId="114" fillId="43" borderId="0" xfId="168" applyNumberFormat="1" applyFont="1" applyFill="1"/>
    <xf numFmtId="0" fontId="108" fillId="43" borderId="0" xfId="168" applyFont="1" applyFill="1" applyAlignment="1">
      <alignment horizontal="left" indent="2"/>
    </xf>
    <xf numFmtId="9" fontId="108" fillId="43" borderId="0" xfId="168" applyNumberFormat="1" applyFont="1" applyFill="1"/>
    <xf numFmtId="9" fontId="108" fillId="43" borderId="0" xfId="77" applyFont="1" applyFill="1"/>
    <xf numFmtId="3" fontId="115" fillId="43" borderId="0" xfId="168" applyNumberFormat="1" applyFont="1" applyFill="1"/>
    <xf numFmtId="0" fontId="108" fillId="43" borderId="0" xfId="168" applyFont="1" applyFill="1" applyAlignment="1">
      <alignment horizontal="left" indent="1"/>
    </xf>
    <xf numFmtId="1" fontId="108" fillId="43" borderId="0" xfId="168" applyNumberFormat="1" applyFont="1" applyFill="1"/>
    <xf numFmtId="0" fontId="108" fillId="43" borderId="0" xfId="168" applyFont="1" applyFill="1" applyAlignment="1">
      <alignment horizontal="left"/>
    </xf>
    <xf numFmtId="3" fontId="113" fillId="43" borderId="0" xfId="168" applyNumberFormat="1" applyFont="1" applyFill="1"/>
    <xf numFmtId="0" fontId="108" fillId="35" borderId="0" xfId="168" applyFont="1" applyFill="1" applyAlignment="1">
      <alignment horizontal="left" indent="2"/>
    </xf>
    <xf numFmtId="0" fontId="108" fillId="35" borderId="0" xfId="168" applyFont="1" applyFill="1"/>
    <xf numFmtId="9" fontId="108" fillId="35" borderId="0" xfId="77" applyFont="1" applyFill="1"/>
    <xf numFmtId="9" fontId="114" fillId="35" borderId="0" xfId="168" applyNumberFormat="1" applyFont="1" applyFill="1"/>
    <xf numFmtId="0" fontId="108" fillId="39" borderId="0" xfId="168" applyFont="1" applyFill="1" applyAlignment="1">
      <alignment horizontal="left" indent="1"/>
    </xf>
    <xf numFmtId="9" fontId="114" fillId="43" borderId="0" xfId="168" applyNumberFormat="1" applyFont="1" applyFill="1"/>
    <xf numFmtId="0" fontId="2" fillId="43" borderId="0" xfId="170" applyFill="1" applyAlignment="1">
      <alignment horizontal="left" indent="1"/>
    </xf>
    <xf numFmtId="166" fontId="109" fillId="43" borderId="0" xfId="168" applyNumberFormat="1" applyFont="1" applyFill="1"/>
    <xf numFmtId="166" fontId="114" fillId="43" borderId="0" xfId="168" applyNumberFormat="1" applyFont="1" applyFill="1"/>
    <xf numFmtId="0" fontId="116" fillId="43" borderId="0" xfId="168" applyFont="1" applyFill="1" applyAlignment="1">
      <alignment horizontal="left" indent="2"/>
    </xf>
    <xf numFmtId="0" fontId="116" fillId="43" borderId="0" xfId="168" applyFont="1" applyFill="1"/>
    <xf numFmtId="9" fontId="117" fillId="43" borderId="0" xfId="168" applyNumberFormat="1" applyFont="1" applyFill="1"/>
    <xf numFmtId="9" fontId="116" fillId="43" borderId="0" xfId="168" applyNumberFormat="1" applyFont="1" applyFill="1"/>
    <xf numFmtId="164" fontId="116" fillId="43" borderId="0" xfId="168" applyNumberFormat="1" applyFont="1" applyFill="1"/>
    <xf numFmtId="9" fontId="108" fillId="43" borderId="0" xfId="171" applyFont="1" applyFill="1"/>
    <xf numFmtId="0" fontId="112" fillId="43" borderId="0" xfId="162" applyFont="1" applyFill="1"/>
    <xf numFmtId="0" fontId="108" fillId="43" borderId="0" xfId="162" applyFont="1" applyFill="1" applyAlignment="1">
      <alignment horizontal="left"/>
    </xf>
    <xf numFmtId="9" fontId="108" fillId="43" borderId="0" xfId="162" applyNumberFormat="1" applyFont="1" applyFill="1"/>
    <xf numFmtId="3" fontId="113" fillId="43" borderId="0" xfId="162" applyNumberFormat="1" applyFont="1" applyFill="1"/>
    <xf numFmtId="0" fontId="108" fillId="43" borderId="0" xfId="162" applyFont="1" applyFill="1"/>
    <xf numFmtId="9" fontId="108" fillId="40" borderId="0" xfId="172" applyFont="1" applyFill="1"/>
    <xf numFmtId="0" fontId="83" fillId="43" borderId="0" xfId="169" applyFont="1" applyFill="1"/>
    <xf numFmtId="0" fontId="83" fillId="43" borderId="31" xfId="169" applyFont="1" applyFill="1" applyBorder="1"/>
    <xf numFmtId="0" fontId="83" fillId="57" borderId="50" xfId="169" applyFont="1" applyFill="1" applyBorder="1" applyAlignment="1">
      <alignment horizontal="center"/>
    </xf>
    <xf numFmtId="6" fontId="118" fillId="43" borderId="37" xfId="168" applyNumberFormat="1" applyFont="1" applyFill="1" applyBorder="1" applyAlignment="1">
      <alignment horizontal="center"/>
    </xf>
    <xf numFmtId="0" fontId="107" fillId="43" borderId="42" xfId="168" applyFont="1" applyFill="1" applyBorder="1"/>
    <xf numFmtId="164" fontId="118" fillId="43" borderId="43" xfId="168" applyNumberFormat="1" applyFont="1" applyFill="1" applyBorder="1" applyAlignment="1">
      <alignment horizontal="center"/>
    </xf>
    <xf numFmtId="9" fontId="118" fillId="43" borderId="43" xfId="168" applyNumberFormat="1" applyFont="1" applyFill="1" applyBorder="1" applyAlignment="1">
      <alignment horizontal="center"/>
    </xf>
    <xf numFmtId="0" fontId="107" fillId="43" borderId="44" xfId="168" applyFont="1" applyFill="1" applyBorder="1"/>
    <xf numFmtId="0" fontId="118" fillId="43" borderId="36" xfId="168" applyFont="1" applyFill="1" applyBorder="1" applyAlignment="1">
      <alignment horizontal="center"/>
    </xf>
    <xf numFmtId="0" fontId="108" fillId="0" borderId="0" xfId="168" applyFont="1" applyFill="1" applyBorder="1" applyAlignment="1">
      <alignment horizontal="left" indent="1"/>
    </xf>
    <xf numFmtId="9" fontId="109" fillId="43" borderId="0" xfId="168" applyNumberFormat="1" applyFont="1" applyFill="1"/>
    <xf numFmtId="1" fontId="109" fillId="40" borderId="0" xfId="162" applyNumberFormat="1" applyFont="1" applyFill="1"/>
    <xf numFmtId="1" fontId="108" fillId="40" borderId="0" xfId="162" applyNumberFormat="1" applyFont="1" applyFill="1"/>
    <xf numFmtId="0" fontId="113" fillId="43" borderId="0" xfId="168" applyFont="1" applyFill="1" applyAlignment="1">
      <alignment horizontal="center"/>
    </xf>
    <xf numFmtId="0" fontId="107" fillId="43" borderId="40" xfId="168" applyFont="1" applyFill="1" applyBorder="1" applyAlignment="1">
      <alignment horizontal="left" indent="1"/>
    </xf>
    <xf numFmtId="0" fontId="107" fillId="43" borderId="40" xfId="168" applyFont="1" applyFill="1" applyBorder="1"/>
    <xf numFmtId="167" fontId="107" fillId="43" borderId="40" xfId="168" applyNumberFormat="1" applyFont="1" applyFill="1" applyBorder="1"/>
    <xf numFmtId="166" fontId="107" fillId="43" borderId="40" xfId="168" applyNumberFormat="1" applyFont="1" applyFill="1" applyBorder="1"/>
    <xf numFmtId="0" fontId="107" fillId="40" borderId="40" xfId="162" applyFont="1" applyFill="1" applyBorder="1" applyAlignment="1">
      <alignment horizontal="left" indent="1"/>
    </xf>
    <xf numFmtId="0" fontId="107" fillId="40" borderId="40" xfId="162" applyFont="1" applyFill="1" applyBorder="1"/>
    <xf numFmtId="167" fontId="107" fillId="40" borderId="40" xfId="162" applyNumberFormat="1" applyFont="1" applyFill="1" applyBorder="1"/>
    <xf numFmtId="166" fontId="107" fillId="40" borderId="40" xfId="162" applyNumberFormat="1" applyFont="1" applyFill="1" applyBorder="1"/>
    <xf numFmtId="0" fontId="83" fillId="43" borderId="23" xfId="169" applyFont="1" applyFill="1" applyBorder="1"/>
    <xf numFmtId="166" fontId="83" fillId="43" borderId="23" xfId="169" applyNumberFormat="1" applyFont="1" applyFill="1" applyBorder="1"/>
    <xf numFmtId="166" fontId="83" fillId="43" borderId="35" xfId="169" applyNumberFormat="1" applyFont="1" applyFill="1" applyBorder="1"/>
    <xf numFmtId="0" fontId="2" fillId="43" borderId="0" xfId="169" applyFill="1" applyBorder="1"/>
    <xf numFmtId="0" fontId="2" fillId="43" borderId="12" xfId="169" applyFill="1" applyBorder="1"/>
    <xf numFmtId="0" fontId="2" fillId="43" borderId="23" xfId="169" applyFill="1" applyBorder="1"/>
    <xf numFmtId="0" fontId="2" fillId="43" borderId="35" xfId="169" applyFill="1" applyBorder="1"/>
    <xf numFmtId="0" fontId="83" fillId="43" borderId="0" xfId="169" applyFont="1" applyFill="1" applyBorder="1"/>
    <xf numFmtId="0" fontId="107" fillId="43" borderId="0" xfId="168" applyFont="1" applyFill="1" applyBorder="1"/>
    <xf numFmtId="177" fontId="2" fillId="43" borderId="0" xfId="169" applyNumberFormat="1" applyFill="1"/>
    <xf numFmtId="0" fontId="83" fillId="43" borderId="0" xfId="231" applyFont="1" applyFill="1"/>
    <xf numFmtId="1" fontId="108" fillId="35" borderId="0" xfId="168" applyNumberFormat="1" applyFont="1" applyFill="1"/>
    <xf numFmtId="3" fontId="108" fillId="40" borderId="0" xfId="168" applyNumberFormat="1" applyFont="1" applyFill="1"/>
    <xf numFmtId="3" fontId="109" fillId="40" borderId="0" xfId="168" applyNumberFormat="1" applyFont="1" applyFill="1"/>
    <xf numFmtId="3" fontId="114" fillId="40" borderId="0" xfId="168" applyNumberFormat="1" applyFont="1" applyFill="1"/>
    <xf numFmtId="43" fontId="108" fillId="40" borderId="0" xfId="257" applyFont="1" applyFill="1"/>
    <xf numFmtId="9" fontId="108" fillId="40" borderId="0" xfId="168" applyNumberFormat="1" applyFont="1" applyFill="1"/>
    <xf numFmtId="0" fontId="112" fillId="43" borderId="0" xfId="162" applyFont="1" applyFill="1" applyAlignment="1">
      <alignment horizontal="center"/>
    </xf>
    <xf numFmtId="3" fontId="108" fillId="43" borderId="0" xfId="162" applyNumberFormat="1" applyFont="1" applyFill="1"/>
    <xf numFmtId="6" fontId="108" fillId="40" borderId="0" xfId="162" applyNumberFormat="1" applyFont="1" applyFill="1"/>
    <xf numFmtId="164" fontId="109" fillId="40" borderId="0" xfId="172" applyNumberFormat="1" applyFont="1" applyFill="1"/>
    <xf numFmtId="164" fontId="108" fillId="40" borderId="0" xfId="172" applyNumberFormat="1" applyFont="1" applyFill="1"/>
    <xf numFmtId="0" fontId="2" fillId="43" borderId="0" xfId="231" applyFill="1"/>
    <xf numFmtId="0" fontId="107" fillId="40" borderId="31" xfId="162" applyFont="1" applyFill="1" applyBorder="1"/>
    <xf numFmtId="0" fontId="107" fillId="57" borderId="50" xfId="162" applyFont="1" applyFill="1" applyBorder="1" applyAlignment="1">
      <alignment horizontal="center"/>
    </xf>
    <xf numFmtId="0" fontId="108" fillId="35" borderId="0" xfId="162" applyFont="1" applyFill="1" applyAlignment="1">
      <alignment horizontal="left" indent="1"/>
    </xf>
    <xf numFmtId="0" fontId="107" fillId="40" borderId="35" xfId="162" applyFont="1" applyFill="1" applyBorder="1"/>
    <xf numFmtId="0" fontId="107" fillId="40" borderId="0" xfId="162" applyFont="1" applyFill="1" applyBorder="1"/>
    <xf numFmtId="0" fontId="12" fillId="63" borderId="0" xfId="0" applyFont="1" applyFill="1" applyAlignment="1">
      <alignment vertical="center"/>
    </xf>
    <xf numFmtId="0" fontId="0" fillId="63" borderId="0" xfId="0" applyFill="1" applyAlignment="1">
      <alignment vertical="center"/>
    </xf>
    <xf numFmtId="5" fontId="12" fillId="63" borderId="0" xfId="0" applyNumberFormat="1" applyFont="1" applyFill="1" applyAlignment="1">
      <alignment horizontal="center" vertical="center"/>
    </xf>
    <xf numFmtId="0" fontId="113" fillId="43" borderId="0" xfId="162" applyFont="1" applyFill="1" applyAlignment="1">
      <alignment horizontal="center"/>
    </xf>
    <xf numFmtId="0" fontId="139" fillId="0" borderId="0" xfId="0" applyFont="1" applyAlignment="1">
      <alignment horizontal="center" vertical="center"/>
    </xf>
    <xf numFmtId="0" fontId="107" fillId="0" borderId="0" xfId="162" applyFont="1" applyFill="1" applyBorder="1" applyAlignment="1">
      <alignment horizontal="center"/>
    </xf>
    <xf numFmtId="0" fontId="83" fillId="43" borderId="31" xfId="231" applyFont="1" applyFill="1" applyBorder="1"/>
    <xf numFmtId="0" fontId="83" fillId="43" borderId="23" xfId="231" applyFont="1" applyFill="1" applyBorder="1"/>
    <xf numFmtId="204" fontId="83" fillId="43" borderId="23" xfId="231" applyNumberFormat="1" applyFont="1" applyFill="1" applyBorder="1"/>
    <xf numFmtId="204" fontId="107" fillId="40" borderId="23" xfId="162" applyNumberFormat="1" applyFont="1" applyFill="1" applyBorder="1"/>
    <xf numFmtId="204" fontId="107" fillId="40" borderId="35" xfId="162" applyNumberFormat="1" applyFont="1" applyFill="1" applyBorder="1"/>
    <xf numFmtId="0" fontId="12" fillId="64" borderId="0" xfId="0" applyFont="1" applyFill="1" applyAlignment="1">
      <alignment vertical="center"/>
    </xf>
    <xf numFmtId="0" fontId="0" fillId="64" borderId="0" xfId="0" applyFill="1" applyAlignment="1">
      <alignment vertical="center"/>
    </xf>
    <xf numFmtId="5" fontId="12" fillId="64" borderId="0" xfId="0" applyNumberFormat="1" applyFont="1" applyFill="1" applyAlignment="1">
      <alignment horizontal="center" vertical="center"/>
    </xf>
    <xf numFmtId="166" fontId="83" fillId="43" borderId="23" xfId="231" applyNumberFormat="1" applyFont="1" applyFill="1" applyBorder="1"/>
    <xf numFmtId="166" fontId="107" fillId="40" borderId="23" xfId="162" applyNumberFormat="1" applyFont="1" applyFill="1" applyBorder="1"/>
    <xf numFmtId="166" fontId="107" fillId="40" borderId="35" xfId="162" applyNumberFormat="1" applyFont="1" applyFill="1" applyBorder="1"/>
    <xf numFmtId="164" fontId="56" fillId="0" borderId="0" xfId="59" applyNumberFormat="1" applyFont="1" applyFill="1" applyBorder="1" applyAlignment="1">
      <alignment horizontal="right"/>
    </xf>
    <xf numFmtId="5" fontId="56" fillId="0" borderId="0" xfId="0" applyNumberFormat="1" applyFont="1" applyAlignment="1">
      <alignment horizontal="center" vertical="center"/>
    </xf>
    <xf numFmtId="9" fontId="12" fillId="35" borderId="0" xfId="59" applyFont="1" applyFill="1" applyBorder="1" applyAlignment="1">
      <alignment horizontal="center"/>
    </xf>
    <xf numFmtId="9" fontId="38" fillId="0" borderId="0" xfId="59" applyFont="1" applyAlignment="1">
      <alignment horizontal="right"/>
    </xf>
    <xf numFmtId="197" fontId="57" fillId="52" borderId="0" xfId="0" applyNumberFormat="1" applyFont="1" applyFill="1" applyAlignment="1">
      <alignment horizontal="center" vertical="center"/>
    </xf>
    <xf numFmtId="0" fontId="38" fillId="0" borderId="0" xfId="0" applyFont="1" applyAlignment="1">
      <alignment horizontal="left" vertical="center" indent="1"/>
    </xf>
    <xf numFmtId="0" fontId="8" fillId="0" borderId="0" xfId="232"/>
    <xf numFmtId="0" fontId="49" fillId="29" borderId="12" xfId="49" applyFont="1" applyFill="1" applyBorder="1" applyAlignment="1">
      <alignment horizontal="center"/>
    </xf>
    <xf numFmtId="0" fontId="49" fillId="29" borderId="36" xfId="49" applyFont="1" applyFill="1" applyBorder="1" applyAlignment="1">
      <alignment horizontal="center"/>
    </xf>
    <xf numFmtId="0" fontId="66" fillId="32" borderId="38" xfId="49" applyFont="1" applyFill="1" applyBorder="1" applyAlignment="1">
      <alignment horizontal="center"/>
    </xf>
    <xf numFmtId="0" fontId="66" fillId="32" borderId="20" xfId="49" applyFont="1" applyFill="1" applyBorder="1" applyAlignment="1">
      <alignment horizontal="center"/>
    </xf>
    <xf numFmtId="0" fontId="66" fillId="32" borderId="39" xfId="49" applyFont="1" applyFill="1" applyBorder="1" applyAlignment="1">
      <alignment horizontal="center"/>
    </xf>
    <xf numFmtId="0" fontId="66" fillId="33" borderId="38" xfId="49" applyFont="1" applyFill="1" applyBorder="1" applyAlignment="1">
      <alignment horizontal="center"/>
    </xf>
    <xf numFmtId="0" fontId="66" fillId="33" borderId="20" xfId="49" applyFont="1" applyFill="1" applyBorder="1" applyAlignment="1">
      <alignment horizontal="center"/>
    </xf>
    <xf numFmtId="0" fontId="66" fillId="33" borderId="39" xfId="49" applyFont="1" applyFill="1" applyBorder="1" applyAlignment="1">
      <alignment horizontal="center"/>
    </xf>
    <xf numFmtId="0" fontId="0" fillId="29" borderId="25" xfId="0" applyFill="1" applyBorder="1" applyAlignment="1">
      <alignment horizontal="center"/>
    </xf>
    <xf numFmtId="0" fontId="0" fillId="29" borderId="37" xfId="0" applyFill="1" applyBorder="1" applyAlignment="1">
      <alignment horizontal="center"/>
    </xf>
    <xf numFmtId="0" fontId="49" fillId="29" borderId="0" xfId="49" applyFont="1" applyFill="1" applyBorder="1" applyAlignment="1">
      <alignment horizontal="center"/>
    </xf>
    <xf numFmtId="0" fontId="49" fillId="29" borderId="43" xfId="49" applyFont="1" applyFill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2" xfId="0" applyFont="1" applyBorder="1" applyAlignment="1">
      <alignment horizontal="right"/>
    </xf>
    <xf numFmtId="0" fontId="12" fillId="0" borderId="12" xfId="0" applyFont="1" applyFill="1" applyBorder="1" applyAlignment="1">
      <alignment horizontal="right"/>
    </xf>
    <xf numFmtId="0" fontId="0" fillId="34" borderId="0" xfId="0" applyFill="1" applyAlignment="1">
      <alignment horizontal="center"/>
    </xf>
    <xf numFmtId="0" fontId="69" fillId="35" borderId="0" xfId="0" applyFont="1" applyFill="1" applyAlignment="1">
      <alignment horizontal="center"/>
    </xf>
    <xf numFmtId="0" fontId="0" fillId="38" borderId="0" xfId="0" applyFill="1" applyAlignment="1">
      <alignment horizontal="center"/>
    </xf>
    <xf numFmtId="0" fontId="69" fillId="32" borderId="0" xfId="0" applyFont="1" applyFill="1" applyAlignment="1">
      <alignment horizontal="center"/>
    </xf>
    <xf numFmtId="0" fontId="8" fillId="40" borderId="0" xfId="346" applyFont="1" applyFill="1" applyAlignment="1">
      <alignment vertical="top"/>
    </xf>
    <xf numFmtId="0" fontId="8" fillId="40" borderId="0" xfId="232" applyFill="1" applyAlignment="1">
      <alignment vertical="top"/>
    </xf>
    <xf numFmtId="0" fontId="8" fillId="40" borderId="0" xfId="232" applyFill="1"/>
    <xf numFmtId="0" fontId="51" fillId="40" borderId="0" xfId="346" applyFont="1" applyFill="1" applyAlignment="1">
      <alignment horizontal="left" vertical="top"/>
    </xf>
    <xf numFmtId="0" fontId="8" fillId="40" borderId="0" xfId="232" applyFont="1" applyFill="1" applyAlignment="1">
      <alignment vertical="top"/>
    </xf>
    <xf numFmtId="0" fontId="38" fillId="40" borderId="0" xfId="346" applyFont="1" applyFill="1" applyAlignment="1">
      <alignment vertical="top"/>
    </xf>
    <xf numFmtId="0" fontId="0" fillId="40" borderId="0" xfId="0" applyFill="1" applyAlignment="1">
      <alignment vertical="top"/>
    </xf>
    <xf numFmtId="0" fontId="147" fillId="40" borderId="0" xfId="0" applyFont="1" applyFill="1" applyAlignment="1">
      <alignment vertical="top"/>
    </xf>
    <xf numFmtId="0" fontId="148" fillId="40" borderId="0" xfId="0" applyFont="1" applyFill="1" applyAlignment="1">
      <alignment vertical="top"/>
    </xf>
    <xf numFmtId="0" fontId="148" fillId="40" borderId="0" xfId="0" applyFont="1" applyFill="1" applyAlignment="1">
      <alignment vertical="top"/>
    </xf>
    <xf numFmtId="0" fontId="147" fillId="40" borderId="0" xfId="0" applyFont="1" applyFill="1" applyAlignment="1">
      <alignment vertical="top"/>
    </xf>
    <xf numFmtId="0" fontId="0" fillId="40" borderId="0" xfId="0" applyFill="1" applyAlignment="1">
      <alignment vertical="top"/>
    </xf>
    <xf numFmtId="0" fontId="0" fillId="40" borderId="62" xfId="0" applyFill="1" applyBorder="1" applyAlignment="1">
      <alignment vertical="top"/>
    </xf>
    <xf numFmtId="0" fontId="147" fillId="40" borderId="58" xfId="0" applyFont="1" applyFill="1" applyBorder="1" applyAlignment="1">
      <alignment vertical="top"/>
    </xf>
    <xf numFmtId="0" fontId="147" fillId="40" borderId="59" xfId="0" applyFont="1" applyFill="1" applyBorder="1" applyAlignment="1">
      <alignment vertical="top"/>
    </xf>
    <xf numFmtId="0" fontId="147" fillId="40" borderId="60" xfId="0" applyFont="1" applyFill="1" applyBorder="1" applyAlignment="1">
      <alignment vertical="top"/>
    </xf>
    <xf numFmtId="0" fontId="147" fillId="40" borderId="61" xfId="0" applyFont="1" applyFill="1" applyBorder="1" applyAlignment="1">
      <alignment vertical="top"/>
    </xf>
    <xf numFmtId="9" fontId="147" fillId="40" borderId="58" xfId="0" applyNumberFormat="1" applyFont="1" applyFill="1" applyBorder="1" applyAlignment="1">
      <alignment vertical="top"/>
    </xf>
    <xf numFmtId="3" fontId="147" fillId="40" borderId="58" xfId="0" applyNumberFormat="1" applyFont="1" applyFill="1" applyBorder="1" applyAlignment="1">
      <alignment vertical="top"/>
    </xf>
    <xf numFmtId="0" fontId="0" fillId="40" borderId="63" xfId="0" applyFill="1" applyBorder="1" applyAlignment="1">
      <alignment vertical="top"/>
    </xf>
    <xf numFmtId="2" fontId="8" fillId="0" borderId="0" xfId="232" applyNumberFormat="1" applyAlignment="1">
      <alignment horizontal="left"/>
    </xf>
    <xf numFmtId="0" fontId="8" fillId="0" borderId="0" xfId="232" applyNumberFormat="1" applyAlignment="1">
      <alignment horizontal="left"/>
    </xf>
    <xf numFmtId="1" fontId="8" fillId="0" borderId="0" xfId="232" applyNumberFormat="1" applyAlignment="1">
      <alignment horizontal="left"/>
    </xf>
    <xf numFmtId="0" fontId="8" fillId="0" borderId="0" xfId="232" applyFont="1"/>
    <xf numFmtId="210" fontId="8" fillId="0" borderId="0" xfId="232" applyNumberFormat="1" applyAlignment="1">
      <alignment horizontal="left"/>
    </xf>
    <xf numFmtId="49" fontId="8" fillId="0" borderId="0" xfId="232" applyNumberFormat="1"/>
  </cellXfs>
  <cellStyles count="347">
    <cellStyle name=" 1" xfId="1"/>
    <cellStyle name=" 1 2" xfId="72"/>
    <cellStyle name=" 1 3" xfId="73"/>
    <cellStyle name=" 2" xfId="74"/>
    <cellStyle name=" 2 2" xfId="173"/>
    <cellStyle name="_x000a_386grabber=M" xfId="174"/>
    <cellStyle name="%" xfId="84"/>
    <cellStyle name="% 2" xfId="258"/>
    <cellStyle name="%_ELN_v4" xfId="259"/>
    <cellStyle name="%_RRST2" xfId="260"/>
    <cellStyle name="_Balance Sheet " xfId="75"/>
    <cellStyle name="_Book6" xfId="261"/>
    <cellStyle name="_BS " xfId="78"/>
    <cellStyle name="_COV" xfId="262"/>
    <cellStyle name="_DCF " xfId="79"/>
    <cellStyle name="_RRS1" xfId="85"/>
    <cellStyle name="_RRS26" xfId="263"/>
    <cellStyle name="_RRS31" xfId="264"/>
    <cellStyle name="_SUMMARY " xfId="3"/>
    <cellStyle name="_SUMMARY  2" xfId="175"/>
    <cellStyle name="_SUMMARY _ELN_v4" xfId="265"/>
    <cellStyle name="_SUMMARY _RRS31" xfId="266"/>
    <cellStyle name="_SUMMARY _RRST1" xfId="267"/>
    <cellStyle name="_SUMMARY _RRST1_1" xfId="268"/>
    <cellStyle name="_SUMMARY _RRST1_1 2" xfId="269"/>
    <cellStyle name="_SUMMARY _RRST2" xfId="270"/>
    <cellStyle name="_SUMMARY _RRST3" xfId="271"/>
    <cellStyle name="=C:\WINNT35\SYSTEM32\COMMAND.COM" xfId="86"/>
    <cellStyle name="=C:\WINNT35\SYSTEM32\COMMAND.COM 2" xfId="272"/>
    <cellStyle name="0" xfId="87"/>
    <cellStyle name="0%" xfId="88"/>
    <cellStyle name="0.0" xfId="89"/>
    <cellStyle name="0.0%" xfId="90"/>
    <cellStyle name="0.00" xfId="91"/>
    <cellStyle name="0.00%" xfId="92"/>
    <cellStyle name="0_Annual-VRTX " xfId="93"/>
    <cellStyle name="0_Capex &amp; Depreciation " xfId="4"/>
    <cellStyle name="0_Capex &amp; Depreciation _ELN_v4" xfId="273"/>
    <cellStyle name="0_Capex &amp; Depreciation _RRS31" xfId="274"/>
    <cellStyle name="0_Capex &amp; Depreciation _RRST1" xfId="275"/>
    <cellStyle name="0_Capex &amp; Depreciation _RRST1_1" xfId="276"/>
    <cellStyle name="0_Capex &amp; Depreciation _RRST1_1 2" xfId="277"/>
    <cellStyle name="0_Capex &amp; Depreciation _RRST16" xfId="94"/>
    <cellStyle name="0_Capex &amp; Depreciation _RRST2" xfId="278"/>
    <cellStyle name="0_Capex &amp; Depreciation _RRST3" xfId="279"/>
    <cellStyle name="0_Capex &amp; Depreciation _RRST4" xfId="95"/>
    <cellStyle name="0_OMV EP 2000-2015 Consolidated " xfId="80"/>
    <cellStyle name="0_P&amp;L-adj " xfId="76"/>
    <cellStyle name="0_Quarterly " xfId="5"/>
    <cellStyle name="0_Quarterly-ITMN " xfId="96"/>
    <cellStyle name="0_Valuing BP " xfId="6"/>
    <cellStyle name="0_Valuing BP _ELN_v4" xfId="280"/>
    <cellStyle name="0_Valuing BP _RRS31" xfId="281"/>
    <cellStyle name="0_Valuing BP _RRST1" xfId="282"/>
    <cellStyle name="0_Valuing BP _RRST1_1" xfId="283"/>
    <cellStyle name="0_Valuing BP _RRST1_1 2" xfId="284"/>
    <cellStyle name="0_Valuing BP _RRST16" xfId="97"/>
    <cellStyle name="0_Valuing BP _RRST2" xfId="285"/>
    <cellStyle name="0_Valuing BP _RRST3" xfId="286"/>
    <cellStyle name="0_Valuing BP _RRST4" xfId="98"/>
    <cellStyle name="1dec" xfId="99"/>
    <cellStyle name="20% - Accent1" xfId="7" builtinId="30" customBuiltin="1"/>
    <cellStyle name="20% - Accent1 2" xfId="176"/>
    <cellStyle name="20% - Accent1 2 2" xfId="287"/>
    <cellStyle name="20% - Accent1 3" xfId="288"/>
    <cellStyle name="20% - Accent2" xfId="8" builtinId="34" customBuiltin="1"/>
    <cellStyle name="20% - Accent2 2" xfId="177"/>
    <cellStyle name="20% - Accent2 2 2" xfId="289"/>
    <cellStyle name="20% - Accent2 3" xfId="290"/>
    <cellStyle name="20% - Accent3" xfId="9" builtinId="38" customBuiltin="1"/>
    <cellStyle name="20% - Accent3 2" xfId="178"/>
    <cellStyle name="20% - Accent3 2 2" xfId="291"/>
    <cellStyle name="20% - Accent3 3" xfId="292"/>
    <cellStyle name="20% - Accent4" xfId="10" builtinId="42" customBuiltin="1"/>
    <cellStyle name="20% - Accent4 2" xfId="179"/>
    <cellStyle name="20% - Accent4 2 2" xfId="293"/>
    <cellStyle name="20% - Accent4 3" xfId="294"/>
    <cellStyle name="20% - Accent5" xfId="11" builtinId="46" customBuiltin="1"/>
    <cellStyle name="20% - Accent5 2" xfId="180"/>
    <cellStyle name="20% - Accent5 2 2" xfId="295"/>
    <cellStyle name="20% - Accent5 3" xfId="296"/>
    <cellStyle name="20% - Accent6" xfId="12" builtinId="50" customBuiltin="1"/>
    <cellStyle name="20% - Accent6 2" xfId="181"/>
    <cellStyle name="20% - Accent6 2 2" xfId="297"/>
    <cellStyle name="20% - Accent6 3" xfId="298"/>
    <cellStyle name="40% - Accent1" xfId="13" builtinId="31" customBuiltin="1"/>
    <cellStyle name="40% - Accent1 2" xfId="182"/>
    <cellStyle name="40% - Accent1 2 2" xfId="299"/>
    <cellStyle name="40% - Accent1 3" xfId="300"/>
    <cellStyle name="40% - Accent2" xfId="14" builtinId="35" customBuiltin="1"/>
    <cellStyle name="40% - Accent2 2" xfId="183"/>
    <cellStyle name="40% - Accent2 2 2" xfId="301"/>
    <cellStyle name="40% - Accent2 3" xfId="302"/>
    <cellStyle name="40% - Accent3" xfId="15" builtinId="39" customBuiltin="1"/>
    <cellStyle name="40% - Accent3 2" xfId="184"/>
    <cellStyle name="40% - Accent3 2 2" xfId="303"/>
    <cellStyle name="40% - Accent3 3" xfId="304"/>
    <cellStyle name="40% - Accent4" xfId="16" builtinId="43" customBuiltin="1"/>
    <cellStyle name="40% - Accent4 2" xfId="185"/>
    <cellStyle name="40% - Accent4 2 2" xfId="305"/>
    <cellStyle name="40% - Accent4 3" xfId="306"/>
    <cellStyle name="40% - Accent5" xfId="17" builtinId="47" customBuiltin="1"/>
    <cellStyle name="40% - Accent5 2" xfId="186"/>
    <cellStyle name="40% - Accent5 2 2" xfId="307"/>
    <cellStyle name="40% - Accent5 3" xfId="308"/>
    <cellStyle name="40% - Accent6" xfId="18" builtinId="51" customBuiltin="1"/>
    <cellStyle name="40% - Accent6 2" xfId="187"/>
    <cellStyle name="40% - Accent6 2 2" xfId="309"/>
    <cellStyle name="40% - Accent6 3" xfId="310"/>
    <cellStyle name="60% - Accent1" xfId="19" builtinId="32" customBuiltin="1"/>
    <cellStyle name="60% - Accent1 2" xfId="188"/>
    <cellStyle name="60% - Accent2" xfId="20" builtinId="36" customBuiltin="1"/>
    <cellStyle name="60% - Accent2 2" xfId="189"/>
    <cellStyle name="60% - Accent3" xfId="21" builtinId="40" customBuiltin="1"/>
    <cellStyle name="60% - Accent3 2" xfId="190"/>
    <cellStyle name="60% - Accent4" xfId="22" builtinId="44" customBuiltin="1"/>
    <cellStyle name="60% - Accent4 2" xfId="191"/>
    <cellStyle name="60% - Accent5" xfId="23" builtinId="48" customBuiltin="1"/>
    <cellStyle name="60% - Accent5 2" xfId="192"/>
    <cellStyle name="60% - Accent6" xfId="24" builtinId="52" customBuiltin="1"/>
    <cellStyle name="60% - Accent6 2" xfId="193"/>
    <cellStyle name="752131" xfId="100"/>
    <cellStyle name="Accent1" xfId="25" builtinId="29" customBuiltin="1"/>
    <cellStyle name="Accent1 2" xfId="194"/>
    <cellStyle name="Accent2" xfId="26" builtinId="33" customBuiltin="1"/>
    <cellStyle name="Accent2 2" xfId="195"/>
    <cellStyle name="Accent3" xfId="27" builtinId="37" customBuiltin="1"/>
    <cellStyle name="Accent3 2" xfId="196"/>
    <cellStyle name="Accent4" xfId="28" builtinId="41" customBuiltin="1"/>
    <cellStyle name="Accent4 2" xfId="197"/>
    <cellStyle name="Accent5" xfId="29" builtinId="45" customBuiltin="1"/>
    <cellStyle name="Accent5 2" xfId="198"/>
    <cellStyle name="Accent6" xfId="30" builtinId="49" customBuiltin="1"/>
    <cellStyle name="Accent6 2" xfId="199"/>
    <cellStyle name="ÅëÈ­ [0]_cover " xfId="200"/>
    <cellStyle name="ÅëÈ­_cover " xfId="201"/>
    <cellStyle name="AFE" xfId="101"/>
    <cellStyle name="ales" xfId="102"/>
    <cellStyle name="ÄÞ¸¶ [0]_cover " xfId="202"/>
    <cellStyle name="ÄÞ¸¶_cover " xfId="203"/>
    <cellStyle name="Bad" xfId="31" builtinId="27" customBuiltin="1"/>
    <cellStyle name="Bad 2" xfId="204"/>
    <cellStyle name="Blue" xfId="103"/>
    <cellStyle name="Blue 2" xfId="205"/>
    <cellStyle name="c_HardInc " xfId="32"/>
    <cellStyle name="c_HardInc _ELN_v4" xfId="311"/>
    <cellStyle name="c_HardInc _RRS31" xfId="312"/>
    <cellStyle name="c_HardInc _RRST1" xfId="313"/>
    <cellStyle name="c_HardInc _RRST1_1" xfId="314"/>
    <cellStyle name="c_HardInc _RRST1_1 2" xfId="315"/>
    <cellStyle name="c_HardInc _RRST16" xfId="104"/>
    <cellStyle name="c_HardInc _RRST2" xfId="316"/>
    <cellStyle name="c_HardInc _RRST3" xfId="317"/>
    <cellStyle name="c_HardInc _RRST4" xfId="105"/>
    <cellStyle name="C￥AØ_¿μ¾÷CoE² " xfId="206"/>
    <cellStyle name="Ç¥ÁØ_cover " xfId="207"/>
    <cellStyle name="Calculation" xfId="33" builtinId="22" customBuiltin="1"/>
    <cellStyle name="Calculation 2" xfId="208"/>
    <cellStyle name="Changeable" xfId="106"/>
    <cellStyle name="Check Cell" xfId="34" builtinId="23" customBuiltin="1"/>
    <cellStyle name="Check Cell 2" xfId="209"/>
    <cellStyle name="Colhead_left" xfId="107"/>
    <cellStyle name="colheadleft" xfId="108"/>
    <cellStyle name="colheadleft 2" xfId="210"/>
    <cellStyle name="colheadright" xfId="109"/>
    <cellStyle name="colheadright 2" xfId="211"/>
    <cellStyle name="Comma" xfId="35" builtinId="3"/>
    <cellStyle name="Comma  - Style1" xfId="110"/>
    <cellStyle name="Comma  - Style2" xfId="111"/>
    <cellStyle name="Comma  - Style3" xfId="112"/>
    <cellStyle name="Comma  - Style4" xfId="113"/>
    <cellStyle name="Comma  - Style5" xfId="114"/>
    <cellStyle name="Comma  - Style6" xfId="115"/>
    <cellStyle name="Comma  - Style7" xfId="116"/>
    <cellStyle name="Comma  - Style8" xfId="117"/>
    <cellStyle name="Comma [1]" xfId="118"/>
    <cellStyle name="Comma 2" xfId="164"/>
    <cellStyle name="Comma 2 2" xfId="212"/>
    <cellStyle name="Comma 2 3" xfId="213"/>
    <cellStyle name="Comma 3" xfId="214"/>
    <cellStyle name="Comma 4" xfId="215"/>
    <cellStyle name="Comma 5" xfId="216"/>
    <cellStyle name="Comma 6" xfId="217"/>
    <cellStyle name="Comma 7" xfId="218"/>
    <cellStyle name="Comma 8" xfId="219"/>
    <cellStyle name="Comma 9" xfId="257"/>
    <cellStyle name="Currency" xfId="36" builtinId="4"/>
    <cellStyle name="Currency 10" xfId="119"/>
    <cellStyle name="Currency 2" xfId="120"/>
    <cellStyle name="Currency 3" xfId="121"/>
    <cellStyle name="Currency 4" xfId="122"/>
    <cellStyle name="Currency 4 2" xfId="220"/>
    <cellStyle name="Currency 4 3" xfId="221"/>
    <cellStyle name="Currency 5" xfId="123"/>
    <cellStyle name="Currency 6" xfId="124"/>
    <cellStyle name="Currency 7" xfId="125"/>
    <cellStyle name="Currency 8" xfId="126"/>
    <cellStyle name="Currency 9" xfId="127"/>
    <cellStyle name="Currency_PHRM03032008" xfId="37"/>
    <cellStyle name="Date" xfId="128"/>
    <cellStyle name="Date2" xfId="129"/>
    <cellStyle name="Dollars" xfId="130"/>
    <cellStyle name="Explanatory Text" xfId="38" builtinId="53" customBuiltin="1"/>
    <cellStyle name="Explanatory Text 2" xfId="222"/>
    <cellStyle name="Fail" xfId="318"/>
    <cellStyle name="FiscalPeriod" xfId="319"/>
    <cellStyle name="Footnote" xfId="131"/>
    <cellStyle name="Good" xfId="39" builtinId="26" customBuiltin="1"/>
    <cellStyle name="Good 2" xfId="223"/>
    <cellStyle name="head1" xfId="132"/>
    <cellStyle name="head2" xfId="133"/>
    <cellStyle name="Header1" xfId="134"/>
    <cellStyle name="Header2" xfId="135"/>
    <cellStyle name="Heading 1" xfId="40" builtinId="16" customBuiltin="1"/>
    <cellStyle name="Heading 1 2" xfId="224"/>
    <cellStyle name="Heading 2" xfId="41" builtinId="17" customBuiltin="1"/>
    <cellStyle name="Heading 2 2" xfId="225"/>
    <cellStyle name="Heading 3" xfId="42" builtinId="18" customBuiltin="1"/>
    <cellStyle name="Heading 3 2" xfId="226"/>
    <cellStyle name="Heading 4" xfId="43" builtinId="19" customBuiltin="1"/>
    <cellStyle name="Heading 4 2" xfId="227"/>
    <cellStyle name="Hidden" xfId="320"/>
    <cellStyle name="Hyperlink" xfId="44" builtinId="8"/>
    <cellStyle name="Hyperlink 2" xfId="136"/>
    <cellStyle name="Hyperlink 2 2" xfId="82"/>
    <cellStyle name="Hyperlink 3" xfId="321"/>
    <cellStyle name="Input" xfId="45" builtinId="20" customBuiltin="1"/>
    <cellStyle name="Input 2" xfId="228"/>
    <cellStyle name="KP_Normal" xfId="137"/>
    <cellStyle name="Linked Cell" xfId="46" builtinId="24" customBuiltin="1"/>
    <cellStyle name="Linked Cell 2" xfId="229"/>
    <cellStyle name="MetricLabel" xfId="322"/>
    <cellStyle name="MetricLabelBlue" xfId="323"/>
    <cellStyle name="MetricValue" xfId="324"/>
    <cellStyle name="Neutral" xfId="47" builtinId="28" customBuiltin="1"/>
    <cellStyle name="Neutral 2" xfId="230"/>
    <cellStyle name="Normal" xfId="0" builtinId="0"/>
    <cellStyle name="Normal - Style1" xfId="138"/>
    <cellStyle name="Normal 10" xfId="231"/>
    <cellStyle name="Normal 11" xfId="232"/>
    <cellStyle name="Normal 12" xfId="233"/>
    <cellStyle name="Normal 13" xfId="234"/>
    <cellStyle name="Normal 14" xfId="235"/>
    <cellStyle name="Normal 15" xfId="236"/>
    <cellStyle name="Normal 16" xfId="237"/>
    <cellStyle name="Normal 17" xfId="238"/>
    <cellStyle name="Normal 2" xfId="139"/>
    <cellStyle name="Normal 2 2" xfId="48"/>
    <cellStyle name="Normal 2 3" xfId="239"/>
    <cellStyle name="Normal 3" xfId="49"/>
    <cellStyle name="Normal 3 2" xfId="140"/>
    <cellStyle name="Normal 3 2 2" xfId="141"/>
    <cellStyle name="Normal 3 2 3" xfId="165"/>
    <cellStyle name="Normal 3 2 3 2" xfId="170"/>
    <cellStyle name="Normal 3 2 4" xfId="83"/>
    <cellStyle name="Normal 3 3" xfId="162"/>
    <cellStyle name="Normal 3 4" xfId="240"/>
    <cellStyle name="Normal 3 5" xfId="241"/>
    <cellStyle name="Normal 3 5 2" xfId="325"/>
    <cellStyle name="Normal 3 6" xfId="168"/>
    <cellStyle name="Normal 4" xfId="71"/>
    <cellStyle name="Normal 5" xfId="142"/>
    <cellStyle name="Normal 6" xfId="81"/>
    <cellStyle name="Normal 6 2" xfId="242"/>
    <cellStyle name="Normal 6 3" xfId="243"/>
    <cellStyle name="Normal 7" xfId="167"/>
    <cellStyle name="Normal 8" xfId="169"/>
    <cellStyle name="Normal 8 2" xfId="244"/>
    <cellStyle name="Normal 8 3" xfId="245"/>
    <cellStyle name="Normal 9" xfId="143"/>
    <cellStyle name="Normal_AMGN" xfId="50"/>
    <cellStyle name="Normal_BalSht" xfId="51"/>
    <cellStyle name="Normal_Cvtx" xfId="52"/>
    <cellStyle name="Normal_DisclaimerSheet Samples" xfId="346"/>
    <cellStyle name="Normal_MEDI" xfId="53"/>
    <cellStyle name="Normal_NBIX" xfId="54"/>
    <cellStyle name="Normal_PHRM03032008" xfId="55"/>
    <cellStyle name="Note" xfId="56" builtinId="10" customBuiltin="1"/>
    <cellStyle name="Note 2" xfId="246"/>
    <cellStyle name="Note 3" xfId="247"/>
    <cellStyle name="Œ…‹æØ‚è [0.00]_GE 3 MINIMUM" xfId="144"/>
    <cellStyle name="Œ…‹æØ‚è_GE 3 MINIMUM" xfId="145"/>
    <cellStyle name="outh America" xfId="146"/>
    <cellStyle name="Output" xfId="57" builtinId="21" customBuiltin="1"/>
    <cellStyle name="Output 2" xfId="248"/>
    <cellStyle name="p " xfId="58"/>
    <cellStyle name="Pass" xfId="326"/>
    <cellStyle name="Percent" xfId="59" builtinId="5"/>
    <cellStyle name="Percent 1" xfId="147"/>
    <cellStyle name="Percent 2" xfId="60"/>
    <cellStyle name="Percent 2 2" xfId="77"/>
    <cellStyle name="Percent 2 2 2" xfId="171"/>
    <cellStyle name="Percent 2 3" xfId="163"/>
    <cellStyle name="Percent 2 3 2" xfId="249"/>
    <cellStyle name="Percent 2 4" xfId="327"/>
    <cellStyle name="Percent 3" xfId="148"/>
    <cellStyle name="Percent 4" xfId="166"/>
    <cellStyle name="Percent 5" xfId="172"/>
    <cellStyle name="Percent 6" xfId="250"/>
    <cellStyle name="Percent 7" xfId="328"/>
    <cellStyle name="Percent_AMGN" xfId="61"/>
    <cellStyle name="Percent_CELG.O" xfId="62"/>
    <cellStyle name="Percent_Cvtx" xfId="63"/>
    <cellStyle name="price_New Header" xfId="149"/>
    <cellStyle name="Right" xfId="150"/>
    <cellStyle name="RRSInstruction" xfId="2"/>
    <cellStyle name="RRSInstruction 2" xfId="329"/>
    <cellStyle name="s_HardInc " xfId="64"/>
    <cellStyle name="s_HardInc _ELN_v4" xfId="330"/>
    <cellStyle name="s_HardInc _RRS31" xfId="331"/>
    <cellStyle name="s_HardInc _RRST1" xfId="332"/>
    <cellStyle name="s_HardInc _RRST1_1" xfId="333"/>
    <cellStyle name="s_HardInc _RRST1_1 2" xfId="334"/>
    <cellStyle name="s_HardInc _RRST16" xfId="151"/>
    <cellStyle name="s_HardInc _RRST2" xfId="335"/>
    <cellStyle name="s_HardInc _RRST3" xfId="336"/>
    <cellStyle name="s_HardInc _RRST4" xfId="152"/>
    <cellStyle name="s_Valuation " xfId="65"/>
    <cellStyle name="s_Valuation _ELN_v4" xfId="337"/>
    <cellStyle name="s_Valuation _RRS31" xfId="338"/>
    <cellStyle name="s_Valuation _RRST1" xfId="339"/>
    <cellStyle name="s_Valuation _RRST1_1" xfId="340"/>
    <cellStyle name="s_Valuation _RRST1_1 2" xfId="341"/>
    <cellStyle name="s_Valuation _RRST16" xfId="153"/>
    <cellStyle name="s_Valuation _RRST2" xfId="342"/>
    <cellStyle name="s_Valuation _RRST3" xfId="343"/>
    <cellStyle name="s_Valuation _RRST4" xfId="154"/>
    <cellStyle name="ssp " xfId="66"/>
    <cellStyle name="Style 1" xfId="155"/>
    <cellStyle name="Style 1 2" xfId="344"/>
    <cellStyle name="Style 2" xfId="156"/>
    <cellStyle name="Subhead" xfId="157"/>
    <cellStyle name="Subtotal_left" xfId="158"/>
    <cellStyle name="Title" xfId="67" builtinId="15" customBuiltin="1"/>
    <cellStyle name="Title 2" xfId="251"/>
    <cellStyle name="title1" xfId="159"/>
    <cellStyle name="title2" xfId="160"/>
    <cellStyle name="Top Line" xfId="68"/>
    <cellStyle name="Top Line 2" xfId="345"/>
    <cellStyle name="Total" xfId="69" builtinId="25" customBuiltin="1"/>
    <cellStyle name="Total 2" xfId="252"/>
    <cellStyle name="Upload Only" xfId="161"/>
    <cellStyle name="Warning Text" xfId="70" builtinId="11" customBuiltin="1"/>
    <cellStyle name="Warning Text 2" xfId="253"/>
    <cellStyle name="콤마 [0]_ 2팀층별 " xfId="254"/>
    <cellStyle name="콤마_ 2팀층별 " xfId="255"/>
    <cellStyle name="표준_0N-HANDLING " xfId="256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0000FF"/>
      <color rgb="FFF4CBBF"/>
      <color rgb="FFF79646"/>
      <color rgb="FFCBF1BF"/>
      <color rgb="FFC0C0C0"/>
      <color rgb="FFD9D9D9"/>
      <color rgb="FFE4F3DA"/>
      <color rgb="FFE4F8DA"/>
      <color rgb="FFACD6FF"/>
      <color rgb="FFDAEFE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worksheets/sheet14.xml" Type="http://schemas.openxmlformats.org/officeDocument/2006/relationships/worksheet"/>
<Relationship Id="rId15" Target="worksheets/sheet15.xml" Type="http://schemas.openxmlformats.org/officeDocument/2006/relationships/worksheet"/>
<Relationship Id="rId16" Target="worksheets/sheet16.xml" Type="http://schemas.openxmlformats.org/officeDocument/2006/relationships/worksheet"/>
<Relationship Id="rId17" Target="worksheets/sheet17.xml" Type="http://schemas.openxmlformats.org/officeDocument/2006/relationships/worksheet"/>
<Relationship Id="rId18" Target="worksheets/sheet18.xml" Type="http://schemas.openxmlformats.org/officeDocument/2006/relationships/worksheet"/>
<Relationship Id="rId19" Target="worksheets/sheet19.xml" Type="http://schemas.openxmlformats.org/officeDocument/2006/relationships/worksheet"/>
<Relationship Id="rId2" Target="worksheets/sheet2.xml" Type="http://schemas.openxmlformats.org/officeDocument/2006/relationships/worksheet"/>
<Relationship Id="rId20" Target="worksheets/sheet20.xml" Type="http://schemas.openxmlformats.org/officeDocument/2006/relationships/worksheet"/>
<Relationship Id="rId21" Target="worksheets/sheet21.xml" Type="http://schemas.openxmlformats.org/officeDocument/2006/relationships/worksheet"/>
<Relationship Id="rId22" Target="worksheets/sheet22.xml" Type="http://schemas.openxmlformats.org/officeDocument/2006/relationships/worksheet"/>
<Relationship Id="rId23" Target="worksheets/sheet23.xml" Type="http://schemas.openxmlformats.org/officeDocument/2006/relationships/worksheet"/>
<Relationship Id="rId24" Target="worksheets/sheet24.xml" Type="http://schemas.openxmlformats.org/officeDocument/2006/relationships/worksheet"/>
<Relationship Id="rId25" Target="worksheets/sheet25.xml" Type="http://schemas.openxmlformats.org/officeDocument/2006/relationships/worksheet"/>
<Relationship Id="rId26" Target="worksheets/sheet26.xml" Type="http://schemas.openxmlformats.org/officeDocument/2006/relationships/worksheet"/>
<Relationship Id="rId27" Target="worksheets/sheet27.xml" Type="http://schemas.openxmlformats.org/officeDocument/2006/relationships/worksheet"/>
<Relationship Id="rId28" Target="worksheets/sheet28.xml" Type="http://schemas.openxmlformats.org/officeDocument/2006/relationships/worksheet"/>
<Relationship Id="rId29" Target="worksheets/sheet29.xml" Type="http://schemas.openxmlformats.org/officeDocument/2006/relationships/worksheet"/>
<Relationship Id="rId3" Target="worksheets/sheet3.xml" Type="http://schemas.openxmlformats.org/officeDocument/2006/relationships/worksheet"/>
<Relationship Id="rId30" Target="worksheets/sheet30.xml" Type="http://schemas.openxmlformats.org/officeDocument/2006/relationships/worksheet"/>
<Relationship Id="rId31" Target="worksheets/sheet31.xml" Type="http://schemas.openxmlformats.org/officeDocument/2006/relationships/worksheet"/>
<Relationship Id="rId32" Target="worksheets/sheet32.xml" Type="http://schemas.openxmlformats.org/officeDocument/2006/relationships/worksheet"/>
<Relationship Id="rId33" Target="externalLinks/externalLink1.xml" Type="http://schemas.openxmlformats.org/officeDocument/2006/relationships/externalLink"/>
<Relationship Id="rId34" Target="externalLinks/externalLink2.xml" Type="http://schemas.openxmlformats.org/officeDocument/2006/relationships/externalLink"/>
<Relationship Id="rId35" Target="externalLinks/externalLink3.xml" Type="http://schemas.openxmlformats.org/officeDocument/2006/relationships/externalLink"/>
<Relationship Id="rId36" Target="externalLinks/externalLink4.xml" Type="http://schemas.openxmlformats.org/officeDocument/2006/relationships/externalLink"/>
<Relationship Id="rId37" Target="externalLinks/externalLink5.xml" Type="http://schemas.openxmlformats.org/officeDocument/2006/relationships/externalLink"/>
<Relationship Id="rId38" Target="externalLinks/externalLink6.xml" Type="http://schemas.openxmlformats.org/officeDocument/2006/relationships/externalLink"/>
<Relationship Id="rId39" Target="externalLinks/externalLink7.xml" Type="http://schemas.openxmlformats.org/officeDocument/2006/relationships/externalLink"/>
<Relationship Id="rId4" Target="worksheets/sheet4.xml" Type="http://schemas.openxmlformats.org/officeDocument/2006/relationships/worksheet"/>
<Relationship Id="rId40" Target="externalLinks/externalLink8.xml" Type="http://schemas.openxmlformats.org/officeDocument/2006/relationships/externalLink"/>
<Relationship Id="rId41" Target="externalLinks/externalLink9.xml" Type="http://schemas.openxmlformats.org/officeDocument/2006/relationships/externalLink"/>
<Relationship Id="rId42" Target="externalLinks/externalLink10.xml" Type="http://schemas.openxmlformats.org/officeDocument/2006/relationships/externalLink"/>
<Relationship Id="rId43" Target="externalLinks/externalLink11.xml" Type="http://schemas.openxmlformats.org/officeDocument/2006/relationships/externalLink"/>
<Relationship Id="rId44" Target="externalLinks/externalLink12.xml" Type="http://schemas.openxmlformats.org/officeDocument/2006/relationships/externalLink"/>
<Relationship Id="rId45" Target="externalLinks/externalLink13.xml" Type="http://schemas.openxmlformats.org/officeDocument/2006/relationships/externalLink"/>
<Relationship Id="rId46" Target="externalLinks/externalLink14.xml" Type="http://schemas.openxmlformats.org/officeDocument/2006/relationships/externalLink"/>
<Relationship Id="rId47" Target="externalLinks/externalLink15.xml" Type="http://schemas.openxmlformats.org/officeDocument/2006/relationships/externalLink"/>
<Relationship Id="rId48" Target="externalLinks/externalLink16.xml" Type="http://schemas.openxmlformats.org/officeDocument/2006/relationships/externalLink"/>
<Relationship Id="rId49" Target="externalLinks/externalLink17.xml" Type="http://schemas.openxmlformats.org/officeDocument/2006/relationships/externalLink"/>
<Relationship Id="rId5" Target="worksheets/sheet5.xml" Type="http://schemas.openxmlformats.org/officeDocument/2006/relationships/worksheet"/>
<Relationship Id="rId50" Target="externalLinks/externalLink18.xml" Type="http://schemas.openxmlformats.org/officeDocument/2006/relationships/externalLink"/>
<Relationship Id="rId51" Target="externalLinks/externalLink19.xml" Type="http://schemas.openxmlformats.org/officeDocument/2006/relationships/externalLink"/>
<Relationship Id="rId52" Target="externalLinks/externalLink20.xml" Type="http://schemas.openxmlformats.org/officeDocument/2006/relationships/externalLink"/>
<Relationship Id="rId53" Target="externalLinks/externalLink21.xml" Type="http://schemas.openxmlformats.org/officeDocument/2006/relationships/externalLink"/>
<Relationship Id="rId54" Target="externalLinks/externalLink22.xml" Type="http://schemas.openxmlformats.org/officeDocument/2006/relationships/externalLink"/>
<Relationship Id="rId55" Target="externalLinks/externalLink23.xml" Type="http://schemas.openxmlformats.org/officeDocument/2006/relationships/externalLink"/>
<Relationship Id="rId56" Target="externalLinks/externalLink24.xml" Type="http://schemas.openxmlformats.org/officeDocument/2006/relationships/externalLink"/>
<Relationship Id="rId57" Target="externalLinks/externalLink25.xml" Type="http://schemas.openxmlformats.org/officeDocument/2006/relationships/externalLink"/>
<Relationship Id="rId58" Target="externalLinks/externalLink26.xml" Type="http://schemas.openxmlformats.org/officeDocument/2006/relationships/externalLink"/>
<Relationship Id="rId59" Target="externalLinks/externalLink27.xml" Type="http://schemas.openxmlformats.org/officeDocument/2006/relationships/externalLink"/>
<Relationship Id="rId6" Target="worksheets/sheet6.xml" Type="http://schemas.openxmlformats.org/officeDocument/2006/relationships/worksheet"/>
<Relationship Id="rId60" Target="externalLinks/externalLink28.xml" Type="http://schemas.openxmlformats.org/officeDocument/2006/relationships/externalLink"/>
<Relationship Id="rId61" Target="externalLinks/externalLink29.xml" Type="http://schemas.openxmlformats.org/officeDocument/2006/relationships/externalLink"/>
<Relationship Id="rId62" Target="externalLinks/externalLink30.xml" Type="http://schemas.openxmlformats.org/officeDocument/2006/relationships/externalLink"/>
<Relationship Id="rId63" Target="externalLinks/externalLink31.xml" Type="http://schemas.openxmlformats.org/officeDocument/2006/relationships/externalLink"/>
<Relationship Id="rId64" Target="externalLinks/externalLink32.xml" Type="http://schemas.openxmlformats.org/officeDocument/2006/relationships/externalLink"/>
<Relationship Id="rId65" Target="externalLinks/externalLink33.xml" Type="http://schemas.openxmlformats.org/officeDocument/2006/relationships/externalLink"/>
<Relationship Id="rId66" Target="externalLinks/externalLink34.xml" Type="http://schemas.openxmlformats.org/officeDocument/2006/relationships/externalLink"/>
<Relationship Id="rId67" Target="externalLinks/externalLink35.xml" Type="http://schemas.openxmlformats.org/officeDocument/2006/relationships/externalLink"/>
<Relationship Id="rId68" Target="externalLinks/externalLink36.xml" Type="http://schemas.openxmlformats.org/officeDocument/2006/relationships/externalLink"/>
<Relationship Id="rId69" Target="externalLinks/externalLink37.xml" Type="http://schemas.openxmlformats.org/officeDocument/2006/relationships/externalLink"/>
<Relationship Id="rId7" Target="worksheets/sheet7.xml" Type="http://schemas.openxmlformats.org/officeDocument/2006/relationships/worksheet"/>
<Relationship Id="rId70" Target="externalLinks/externalLink38.xml" Type="http://schemas.openxmlformats.org/officeDocument/2006/relationships/externalLink"/>
<Relationship Id="rId71" Target="externalLinks/externalLink39.xml" Type="http://schemas.openxmlformats.org/officeDocument/2006/relationships/externalLink"/>
<Relationship Id="rId72" Target="externalLinks/externalLink40.xml" Type="http://schemas.openxmlformats.org/officeDocument/2006/relationships/externalLink"/>
<Relationship Id="rId73" Target="externalLinks/externalLink41.xml" Type="http://schemas.openxmlformats.org/officeDocument/2006/relationships/externalLink"/>
<Relationship Id="rId74" Target="externalLinks/externalLink42.xml" Type="http://schemas.openxmlformats.org/officeDocument/2006/relationships/externalLink"/>
<Relationship Id="rId75" Target="externalLinks/externalLink43.xml" Type="http://schemas.openxmlformats.org/officeDocument/2006/relationships/externalLink"/>
<Relationship Id="rId76" Target="externalLinks/externalLink44.xml" Type="http://schemas.openxmlformats.org/officeDocument/2006/relationships/externalLink"/>
<Relationship Id="rId77" Target="externalLinks/externalLink45.xml" Type="http://schemas.openxmlformats.org/officeDocument/2006/relationships/externalLink"/>
<Relationship Id="rId78" Target="externalLinks/externalLink46.xml" Type="http://schemas.openxmlformats.org/officeDocument/2006/relationships/externalLink"/>
<Relationship Id="rId79" Target="externalLinks/externalLink47.xml" Type="http://schemas.openxmlformats.org/officeDocument/2006/relationships/externalLink"/>
<Relationship Id="rId8" Target="worksheets/sheet8.xml" Type="http://schemas.openxmlformats.org/officeDocument/2006/relationships/worksheet"/>
<Relationship Id="rId80" Target="externalLinks/externalLink48.xml" Type="http://schemas.openxmlformats.org/officeDocument/2006/relationships/externalLink"/>
<Relationship Id="rId81" Target="externalLinks/externalLink49.xml" Type="http://schemas.openxmlformats.org/officeDocument/2006/relationships/externalLink"/>
<Relationship Id="rId82" Target="externalLinks/externalLink50.xml" Type="http://schemas.openxmlformats.org/officeDocument/2006/relationships/externalLink"/>
<Relationship Id="rId83" Target="externalLinks/externalLink51.xml" Type="http://schemas.openxmlformats.org/officeDocument/2006/relationships/externalLink"/>
<Relationship Id="rId84" Target="externalLinks/externalLink52.xml" Type="http://schemas.openxmlformats.org/officeDocument/2006/relationships/externalLink"/>
<Relationship Id="rId85" Target="externalLinks/externalLink53.xml" Type="http://schemas.openxmlformats.org/officeDocument/2006/relationships/externalLink"/>
<Relationship Id="rId86" Target="externalLinks/externalLink54.xml" Type="http://schemas.openxmlformats.org/officeDocument/2006/relationships/externalLink"/>
<Relationship Id="rId87" Target="externalLinks/externalLink55.xml" Type="http://schemas.openxmlformats.org/officeDocument/2006/relationships/externalLink"/>
<Relationship Id="rId88" Target="theme/theme1.xml" Type="http://schemas.openxmlformats.org/officeDocument/2006/relationships/theme"/>
<Relationship Id="rId89" Target="styles.xml" Type="http://schemas.openxmlformats.org/officeDocument/2006/relationships/styles"/>
<Relationship Id="rId9" Target="worksheets/sheet9.xml" Type="http://schemas.openxmlformats.org/officeDocument/2006/relationships/worksheet"/>
<Relationship Id="rId90" Target="sharedStrings.xml" Type="http://schemas.openxmlformats.org/officeDocument/2006/relationships/sharedStrings"/>
<Relationship Id="rId91" Target="calcChain.xml" Type="http://schemas.openxmlformats.org/officeDocument/2006/relationships/calcChain"/>
<Relationship Id="rId92" Target="../customXml/item1.xml" Type="http://schemas.openxmlformats.org/officeDocument/2006/relationships/customXml"/>
<Relationship Id="rId93" Target="../customXml/item2.xml" Type="http://schemas.openxmlformats.org/officeDocument/2006/relationships/customXml"/>
<Relationship Id="rId94" Target="vbaProject.bin" Type="http://schemas.microsoft.com/office/2006/relationships/vbaProjec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286721" name="Picture 1" descr="C:\Users\purohvik\AppData\Local\Temp\MercuryPriceRatingHistoryChart\CELG.O_2018_04_13_00_40_27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file://///Msad/root/NA/NY/LIB/ER/HEALTH/RubinJ/Company/Pfe/PFEwork.xls" TargetMode="External" Type="http://schemas.openxmlformats.org/officeDocument/2006/relationships/externalLinkPath"/>
</Relationships>

</file>

<file path=xl/externalLinks/_rels/externalLink2.xml.rels><?xml version="1.0" encoding="UTF-8" standalone="yes"?>
<Relationships xmlns="http://schemas.openxmlformats.org/package/2006/relationships">
<Relationship Id="rId1" Target="health/HarrS/Companies/SCIO/Models/SCIO_021303.xls" TargetMode="External" Type="http://schemas.microsoft.com/office/2006/relationships/xlExternalLinkPath/xlStartup"/>
</Relationships>

</file>

<file path=xl/externalLinks/_rels/externalLink3.xml.rels><?xml version="1.0" encoding="UTF-8" standalone="yes"?>
<Relationships xmlns="http://schemas.openxmlformats.org/package/2006/relationships">
<Relationship Id="rId1" Target="file://///msad/root/na/ny/users/johndasc/Docs/ID/Charts/Chart_Gallery/From%20Vlad/B11_BarSingle_AverageLine.xls" TargetMode="External" Type="http://schemas.openxmlformats.org/officeDocument/2006/relationships/externalLinkPath"/>
</Relationships>

</file>

<file path=xl/externalLinks/_rels/externalLink4.xml.rels><?xml version="1.0" encoding="UTF-8" standalone="yes"?>
<Relationships xmlns="http://schemas.openxmlformats.org/package/2006/relationships">
<Relationship Id="rId1" Target="HEALTH/Pharma/Risinger/models/LLY/LLYwk.xls" TargetMode="External" Type="http://schemas.microsoft.com/office/2006/relationships/xlExternalLinkPath/xlStartup"/>
</Relationships>

</file>

<file path=xl/externalLinks/_rels/externalLink5.xml.rels><?xml version="1.0" encoding="UTF-8" standalone="yes"?>
<Relationships xmlns="http://schemas.openxmlformats.org/package/2006/relationships">
<Relationship Id="rId1" Target="HEALTH/HarrS/Companies/GENZ/Models/DNA_041206.XLS" TargetMode="External" Type="http://schemas.microsoft.com/office/2006/relationships/xlExternalLinkPath/xlStartup"/>
</Relationships>

</file>

<file path=xl/externalLinks/_rels/externalLink6.xml.rels><?xml version="1.0" encoding="UTF-8" standalone="yes"?>
<Relationships xmlns="http://schemas.openxmlformats.org/package/2006/relationships">
<Relationship Id="rId1" Target="HEALTH/HarrS/Companies/AMGN/Models/AMGN_051506.xls" TargetMode="External" Type="http://schemas.microsoft.com/office/2006/relationships/xlExternalLinkPath/xlStartup"/>
</Relationships>

</file>

<file path=xl/externalLinks/_rels/externalLink7.xml.rels><?xml version="1.0" encoding="UTF-8" standalone="yes"?>
<Relationships xmlns="http://schemas.openxmlformats.org/package/2006/relationships">
<Relationship Id="rId1" Target="HEALTH/Pharma/Risinger/models/WYE/WYE_Charts.xls" TargetMode="External" Type="http://schemas.microsoft.com/office/2006/relationships/xlExternalLinkPath/xlStartup"/>
</Relationships>

</file>

<file path=xl/externalLinks/_rels/externalLink8.xml.rels><?xml version="1.0" encoding="UTF-8" standalone="yes"?>
<Relationships xmlns="http://schemas.openxmlformats.org/package/2006/relationships">
<Relationship Id="rId1" Target="HEALTH/Pharma/Risinger/models/PFE/PFE_Charts.xls" TargetMode="External" Type="http://schemas.microsoft.com/office/2006/relationships/xlExternalLinkPath/xlStartup"/>
</Relationships>

</file>

<file path=xl/externalLinks/_rels/externalLink9.xml.rels><?xml version="1.0" encoding="UTF-8" standalone="yes"?>
<Relationships xmlns="http://schemas.openxmlformats.org/package/2006/relationships">
<Relationship Id="rId1" Target="file://///msad/root/na/ny/users/johndasc/Docs/ID/Charts/Sandbox/BtoB.xls" TargetMode="External" Type="http://schemas.openxmlformats.org/officeDocument/2006/relationships/externalLinkPath"/>
</Relationships>

</file>

<file path=xl/externalLinks/_rels/externalLink10.xml.rels><?xml version="1.0" encoding="UTF-8" standalone="yes"?>
<Relationships xmlns="http://schemas.openxmlformats.org/package/2006/relationships">
<Relationship Id="rId1" Target="HEALTH/Urist/Biotech/Companies/xOther%20Companies/INFI/Model/NHL%20models_v4.xls" TargetMode="External" Type="http://schemas.microsoft.com/office/2006/relationships/xlExternalLinkPath/xlStartup"/>
</Relationships>

</file>

<file path=xl/externalLinks/_rels/externalLink11.xml.rels><?xml version="1.0" encoding="UTF-8" standalone="yes"?>
<Relationships xmlns="http://schemas.openxmlformats.org/package/2006/relationships">
<Relationship Id="rId1" Target="HEALTH/Sapna/Companies/CELG/Miscellaneous/Revlimid%20Pricing.xls" TargetMode="External" Type="http://schemas.microsoft.com/office/2006/relationships/xlExternalLinkPath/xlStartup"/>
</Relationships>

</file>

<file path=xl/externalLinks/_rels/externalLink12.xml.rels><?xml version="1.0" encoding="UTF-8" standalone="yes"?>
<Relationships xmlns="http://schemas.openxmlformats.org/package/2006/relationships">
<Relationship Id="rId1" Target="HEALTH/Pharma/Risinger/models/LLY/LLY_Charts.xls" TargetMode="External" Type="http://schemas.microsoft.com/office/2006/relationships/xlExternalLinkPath/xlStartup"/>
</Relationships>

</file>

<file path=xl/externalLinks/_rels/externalLink13.xml.rels><?xml version="1.0" encoding="UTF-8" standalone="yes"?>
<Relationships xmlns="http://schemas.openxmlformats.org/package/2006/relationships">
<Relationship Id="rId1" Target="HEALTH/Pharma/Risinger/models/BMY/BMY_Charts.xls" TargetMode="External" Type="http://schemas.microsoft.com/office/2006/relationships/xlExternalLinkPath/xlStartup"/>
</Relationships>

</file>

<file path=xl/externalLinks/_rels/externalLink14.xml.rels><?xml version="1.0" encoding="UTF-8" standalone="yes"?>
<Relationships xmlns="http://schemas.openxmlformats.org/package/2006/relationships">
<Relationship Id="rId1" Target="HEALTH/HarrS/Companies/AMGN/Models/AMGN.xls" TargetMode="External" Type="http://schemas.microsoft.com/office/2006/relationships/xlExternalLinkPath/xlStartup"/>
</Relationships>

</file>

<file path=xl/externalLinks/_rels/externalLink15.xml.rels><?xml version="1.0" encoding="UTF-8" standalone="yes"?>
<Relationships xmlns="http://schemas.openxmlformats.org/package/2006/relationships">
<Relationship Id="rId1" Target="health/Witzke/Models/Models_Robin/HGSI_Robin.xls" TargetMode="External" Type="http://schemas.microsoft.com/office/2006/relationships/xlExternalLinkPath/xlStartup"/>
</Relationships>

</file>

<file path=xl/externalLinks/_rels/externalLink16.xml.rels><?xml version="1.0" encoding="UTF-8" standalone="yes"?>
<Relationships xmlns="http://schemas.openxmlformats.org/package/2006/relationships">
<Relationship Id="rId1" Target="file://///Sony/c/business/&#38750;&#37444;/&#38750;&#37444;&#20250;~1/&#21516;&#21644;&#37489;&#26989;/5714work.wk4" TargetMode="External" Type="http://schemas.openxmlformats.org/officeDocument/2006/relationships/externalLinkPath"/>
</Relationships>

</file>

<file path=xl/externalLinks/_rels/externalLink17.xml.rels><?xml version="1.0" encoding="UTF-8" standalone="yes"?>
<Relationships xmlns="http://schemas.openxmlformats.org/package/2006/relationships">
<Relationship Id="rId1" Target="HEALTH/HarrS/Companies/OSIP/Models/OSIP022404.xls" TargetMode="External" Type="http://schemas.microsoft.com/office/2006/relationships/xlExternalLinkPath/xlStartup"/>
</Relationships>

</file>

<file path=xl/externalLinks/_rels/externalLink18.xml.rels><?xml version="1.0" encoding="UTF-8" standalone="yes"?>
<Relationships xmlns="http://schemas.openxmlformats.org/package/2006/relationships">
<Relationship Id="rId1" Target="HEALTH/HarrS/Companies/MDCO/Models/MDCO_042004.xls" TargetMode="External" Type="http://schemas.microsoft.com/office/2006/relationships/xlExternalLinkPath/xlStartup"/>
</Relationships>

</file>

<file path=xl/externalLinks/_rels/externalLink19.xml.rels><?xml version="1.0" encoding="UTF-8" standalone="yes"?>
<Relationships xmlns="http://schemas.openxmlformats.org/package/2006/relationships">
<Relationship Id="rId1" Target="health/RubinJ/Company/PFE/PFEwork1.xls" TargetMode="External" Type="http://schemas.microsoft.com/office/2006/relationships/xlExternalLinkPath/xlStartup"/>
</Relationships>

</file>

<file path=xl/externalLinks/_rels/externalLink20.xml.rels><?xml version="1.0" encoding="UTF-8" standalone="yes"?>
<Relationships xmlns="http://schemas.openxmlformats.org/package/2006/relationships">
<Relationship Id="rId1" Target="file://///server/DB/US%20infra%20SW/akshay/WEBM/Documents%20and%20Settings/akshayn/Local%20Settings/Temporary%20Internet%20Files/OLKC5/traker1/Industry%20Comps/GeninfraUniverse_DataSheet.xls" TargetMode="External" Type="http://schemas.openxmlformats.org/officeDocument/2006/relationships/externalLinkPath"/>
</Relationships>

</file>

<file path=xl/externalLinks/_rels/externalLink21.xml.rels><?xml version="1.0" encoding="UTF-8" standalone="yes"?>
<Relationships xmlns="http://schemas.openxmlformats.org/package/2006/relationships">
<Relationship Id="rId1" Target="health/RubinJ/Company/WLA/WLAwork1.XLS" TargetMode="External" Type="http://schemas.microsoft.com/office/2006/relationships/xlExternalLinkPath/xlStartup"/>
</Relationships>

</file>

<file path=xl/externalLinks/_rels/externalLink22.xml.rels><?xml version="1.0" encoding="UTF-8" standalone="yes"?>
<Relationships xmlns="http://schemas.openxmlformats.org/package/2006/relationships">
<Relationship Id="rId1" Target="health/GOODMAN/MarketModels/Androgen.xls" TargetMode="External" Type="http://schemas.microsoft.com/office/2006/relationships/xlExternalLinkPath/xlStartup"/>
</Relationships>

</file>

<file path=xl/externalLinks/_rels/externalLink23.xml.rels><?xml version="1.0" encoding="UTF-8" standalone="yes"?>
<Relationships xmlns="http://schemas.openxmlformats.org/package/2006/relationships">
<Relationship Id="rId1" Target="health/GOODMAN/MODELS/AZA.XLS" TargetMode="External" Type="http://schemas.microsoft.com/office/2006/relationships/xlExternalLinkPath/xlStartup"/>
</Relationships>

</file>

<file path=xl/externalLinks/_rels/externalLink24.xml.rels><?xml version="1.0" encoding="UTF-8" standalone="yes"?>
<Relationships xmlns="http://schemas.openxmlformats.org/package/2006/relationships">
<Relationship Id="rId1" Target="health/HarrS/Companies/MDCO/MDCO_061202.xls" TargetMode="External" Type="http://schemas.microsoft.com/office/2006/relationships/xlExternalLinkPath/xlStartup"/>
</Relationships>

</file>

<file path=xl/externalLinks/_rels/externalLink25.xml.rels><?xml version="1.0" encoding="UTF-8" standalone="yes"?>
<Relationships xmlns="http://schemas.openxmlformats.org/package/2006/relationships">
<Relationship Id="rId1" Target="file:///A:/ACE/Editing/Excel%20-%20NonFinance%20Verifier/Av2.xls" TargetMode="External" Type="http://schemas.openxmlformats.org/officeDocument/2006/relationships/externalLinkPath"/>
</Relationships>

</file>

<file path=xl/externalLinks/_rels/externalLink26.xml.rels><?xml version="1.0" encoding="UTF-8" standalone="yes"?>
<Relationships xmlns="http://schemas.openxmlformats.org/package/2006/relationships">
<Relationship Id="rId1" Target="HEALTH/Pharma/Risinger/models/CEPH/CEPHwk.xls" TargetMode="External" Type="http://schemas.microsoft.com/office/2006/relationships/xlExternalLinkPath/xlStartup"/>
</Relationships>

</file>

<file path=xl/externalLinks/_rels/externalLink27.xml.rels><?xml version="1.0" encoding="UTF-8" standalone="yes"?>
<Relationships xmlns="http://schemas.openxmlformats.org/package/2006/relationships">
<Relationship Id="rId1" Target="health/LIND/COMPANY/BGEN/BGEN.XLS" TargetMode="External" Type="http://schemas.microsoft.com/office/2006/relationships/xlExternalLinkPath/xlStartup"/>
</Relationships>

</file>

<file path=xl/externalLinks/_rels/externalLink28.xml.rels><?xml version="1.0" encoding="UTF-8" standalone="yes"?>
<Relationships xmlns="http://schemas.openxmlformats.org/package/2006/relationships">
<Relationship Id="rId1" Target="Emerging%20Markets%20Research/RtN/Practice/DIResearch/commonSys3/Pharma%20Services/Excel%20Stuff/COMPS/Master%20Comps_9-6-02.xls" TargetMode="External" Type="http://schemas.microsoft.com/office/2006/relationships/xlExternalLinkPath/xlAlternateStartup"/>
</Relationships>

</file>

<file path=xl/externalLinks/_rels/externalLink29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30.xml.rels><?xml version="1.0" encoding="UTF-8" standalone="yes"?>
<Relationships xmlns="http://schemas.openxmlformats.org/package/2006/relationships">
<Relationship Id="rId1" Target="HEALTH/HarrS/Companies/REGN/Models/REGN102903.XLS" TargetMode="External" Type="http://schemas.microsoft.com/office/2006/relationships/xlExternalLinkPath/xlStartup"/>
</Relationships>

</file>

<file path=xl/externalLinks/_rels/externalLink31.xml.rels><?xml version="1.0" encoding="UTF-8" standalone="yes"?>
<Relationships xmlns="http://schemas.openxmlformats.org/package/2006/relationships">
<Relationship Id="rId1" Target="HEALTH/HarrS/Companies/MDCO/Models/MDCO_042203.xls" TargetMode="External" Type="http://schemas.microsoft.com/office/2006/relationships/xlExternalLinkPath/xlStartup"/>
</Relationships>

</file>

<file path=xl/externalLinks/_rels/externalLink32.xml.rels><?xml version="1.0" encoding="UTF-8" standalone="yes"?>
<Relationships xmlns="http://schemas.openxmlformats.org/package/2006/relationships">
<Relationship Id="rId1" Target="HEALTH/HarrS/Companies/VRTX/Models/VRTX_020410.xls" TargetMode="External" Type="http://schemas.microsoft.com/office/2006/relationships/xlExternalLinkPath/xlStartup"/>
</Relationships>

</file>

<file path=xl/externalLinks/_rels/externalLink33.xml.rels><?xml version="1.0" encoding="UTF-8" standalone="yes"?>
<Relationships xmlns="http://schemas.openxmlformats.org/package/2006/relationships">
<Relationship Id="rId1" Target="HEALTH/HarrS/Companies/DNA/Models/DNA_021804_MW.XLS" TargetMode="External" Type="http://schemas.microsoft.com/office/2006/relationships/xlExternalLinkPath/xlStartup"/>
</Relationships>

</file>

<file path=xl/externalLinks/_rels/externalLink34.xml.rels><?xml version="1.0" encoding="UTF-8" standalone="yes"?>
<Relationships xmlns="http://schemas.openxmlformats.org/package/2006/relationships">
<Relationship Id="rId1" Target="HEALTH/HarrS/Companies/DNA/Models/DNA_070804.XLS" TargetMode="External" Type="http://schemas.microsoft.com/office/2006/relationships/xlExternalLinkPath/xlStartup"/>
</Relationships>

</file>

<file path=xl/externalLinks/_rels/externalLink35.xml.rels><?xml version="1.0" encoding="UTF-8" standalone="yes"?>
<Relationships xmlns="http://schemas.openxmlformats.org/package/2006/relationships">
<Relationship Id="rId1" Target="Pulp&amp;p~1/ADMIN/Rtn/commonSys3/Pharma%20Services/Excel%20Stuff/COMPS/Master%20Comps_9-6-02.xls" TargetMode="External" Type="http://schemas.microsoft.com/office/2006/relationships/xlExternalLinkPath/xlAlternateStartup"/>
</Relationships>

</file>

<file path=xl/externalLinks/_rels/externalLink36.xml.rels><?xml version="1.0" encoding="UTF-8" standalone="yes"?>
<Relationships xmlns="http://schemas.openxmlformats.org/package/2006/relationships">
<Relationship Id="rId1" Target="file://///PROJECTS/Newton/Schoenebaum/SCHOENEBAUM%20TEAM%20-%20BEAR/%23%23%23%23COMPANY%20FOLDERS%23%23%23%23/%23%23%23%23%20DNA%20%23%23%23%23/%23%23%23%23%20BEAR%20MODELS%20%23%23%23/DNA%20MODEL_NOT%20APPROVED.xls" TargetMode="External" Type="http://schemas.openxmlformats.org/officeDocument/2006/relationships/externalLinkPath"/>
</Relationships>

</file>

<file path=xl/externalLinks/_rels/externalLink37.xml.rels><?xml version="1.0" encoding="UTF-8" standalone="yes"?>
<Relationships xmlns="http://schemas.openxmlformats.org/package/2006/relationships">
<Relationship Id="rId1" Target="HEALTH/HarrS/Copy%20of%20MEDI.XLS" TargetMode="External" Type="http://schemas.microsoft.com/office/2006/relationships/xlExternalLinkPath/xlStartup"/>
</Relationships>

</file>

<file path=xl/externalLinks/_rels/externalLink38.xml.rels><?xml version="1.0" encoding="UTF-8" standalone="yes"?>
<Relationships xmlns="http://schemas.openxmlformats.org/package/2006/relationships">
<Relationship Id="rId1" Target="file://///192.168.1.2/i%20drive/Models%20of%20report%20published/Retail%20-%20May%20010504-ML.xls" TargetMode="External" Type="http://schemas.openxmlformats.org/officeDocument/2006/relationships/externalLinkPath"/>
</Relationships>

</file>

<file path=xl/externalLinks/_rels/externalLink39.xml.rels><?xml version="1.0" encoding="UTF-8" standalone="yes"?>
<Relationships xmlns="http://schemas.openxmlformats.org/package/2006/relationships">
<Relationship Id="rId1" Target="file://///server/DB/US%20infra%20SW/akshay/WEBM/Documents%20and%20Settings/akshayn/Local%20Settings/Temporary%20Internet%20Files/OLKC5/traker1/Industry%20Comps/Security_Comparable_Large.xls" TargetMode="External" Type="http://schemas.openxmlformats.org/officeDocument/2006/relationships/externalLinkPath"/>
</Relationships>

</file>

<file path=xl/externalLinks/_rels/externalLink40.xml.rels><?xml version="1.0" encoding="UTF-8" standalone="yes"?>
<Relationships xmlns="http://schemas.openxmlformats.org/package/2006/relationships">
<Relationship Id="rId1" Target="DOCUME~1/boscoes/LOCALS~1/Temp/LLYwork.xls" TargetMode="External" Type="http://schemas.microsoft.com/office/2006/relationships/xlExternalLinkPath/xlStartup"/>
</Relationships>

</file>

<file path=xl/externalLinks/_rels/externalLink41.xml.rels><?xml version="1.0" encoding="UTF-8" standalone="yes"?>
<Relationships xmlns="http://schemas.openxmlformats.org/package/2006/relationships">
<Relationship Id="rId1" Target="file://///RSCO1/SYS2/HOME/KDUNNE/COMPNEW/SANM/quarsanm.xls" TargetMode="External" Type="http://schemas.openxmlformats.org/officeDocument/2006/relationships/externalLinkPath"/>
</Relationships>

</file>

<file path=xl/externalLinks/_rels/externalLink42.xml.rels><?xml version="1.0" encoding="UTF-8" standalone="yes"?>
<Relationships xmlns="http://schemas.openxmlformats.org/package/2006/relationships">
<Relationship Id="rId1" Target="http://research.ms.com/eqr/rlink/webapp/Research?action=streamFile&amp;docId=226639&amp;docFileType=8&amp;linksrc=rl-res-site&amp;lastParam=/PFE.N.XLS" TargetMode="External" Type="http://schemas.openxmlformats.org/officeDocument/2006/relationships/externalLinkPath"/>
</Relationships>

</file>

<file path=xl/externalLinks/_rels/externalLink43.xml.rels><?xml version="1.0" encoding="UTF-8" standalone="yes"?>
<Relationships xmlns="http://schemas.openxmlformats.org/package/2006/relationships">
<Relationship Id="rId1" Target="PHARM/David/david%20Instrumentarium.xls" TargetMode="External" Type="http://schemas.microsoft.com/office/2006/relationships/xlExternalLinkPath/xlStartup"/>
</Relationships>

</file>

<file path=xl/externalLinks/_rels/externalLink44.xml.rels><?xml version="1.0" encoding="UTF-8" standalone="yes"?>
<Relationships xmlns="http://schemas.openxmlformats.org/package/2006/relationships">
<Relationship Id="rId1" Target="HEALTH/Pharma/Risinger/models/FRX/FRXwk.xls" TargetMode="External" Type="http://schemas.microsoft.com/office/2006/relationships/xlExternalLinkPath/xlStartup"/>
</Relationships>

</file>

<file path=xl/externalLinks/_rels/externalLink45.xml.rels><?xml version="1.0" encoding="UTF-8" standalone="yes"?>
<Relationships xmlns="http://schemas.openxmlformats.org/package/2006/relationships">
<Relationship Id="rId1" Target="HEALTH/Biotech/Harrison/Models/UNUM_MH.xlsm" TargetMode="External" Type="http://schemas.microsoft.com/office/2006/relationships/xlExternalLinkPath/xlAlternateStartup"/>
</Relationships>

</file>

<file path=xl/externalLinks/_rels/externalLink46.xml.rels><?xml version="1.0" encoding="UTF-8" standalone="yes"?>
<Relationships xmlns="http://schemas.openxmlformats.org/package/2006/relationships">
<Relationship Id="rId1" Target="HEALTH/Biotech/Lebowitz/Models/AVXS_DL.xlsm" TargetMode="External" Type="http://schemas.microsoft.com/office/2006/relationships/xlExternalLinkPath/xlAlternateStartup"/>
</Relationships>

</file>

<file path=xl/externalLinks/_rels/externalLink47.xml.rels><?xml version="1.0" encoding="UTF-8" standalone="yes"?>
<Relationships xmlns="http://schemas.openxmlformats.org/package/2006/relationships">
<Relationship Id="rId1" Target="MultipleSecurities" TargetMode="External" Type="http://schemas.microsoft.com/office/2006/relationships/xlExternalLinkPath/xlPathMissing"/>
</Relationships>

</file>

<file path=xl/externalLinks/_rels/externalLink48.xml.rels><?xml version="1.0" encoding="UTF-8" standalone="yes"?>
<Relationships xmlns="http://schemas.openxmlformats.org/package/2006/relationships">
<Relationship Id="rId1" Target="http://www.expectationsinvesting.com/spreadsheets/msft_VDF98.xls" TargetMode="External" Type="http://schemas.openxmlformats.org/officeDocument/2006/relationships/externalLinkPath"/>
</Relationships>

</file>

<file path=xl/externalLinks/_rels/externalLink49.xml.rels><?xml version="1.0" encoding="UTF-8" standalone="yes"?>
<Relationships xmlns="http://schemas.openxmlformats.org/package/2006/relationships">
<Relationship Id="rId1" Target="PHARM/XLDATA/NOVARTIS/NOVARTIS.XLS" TargetMode="External" Type="http://schemas.microsoft.com/office/2006/relationships/xlExternalLinkPath/xlStartup"/>
</Relationships>

</file>

<file path=xl/externalLinks/_rels/externalLink50.xml.rels><?xml version="1.0" encoding="UTF-8" standalone="yes"?>
<Relationships xmlns="http://schemas.openxmlformats.org/package/2006/relationships">
<Relationship Id="rId1" Target="file:///F:/Home/Kdunne/COMPNEW/SLR/Home/Kdunne/COMPNEW/SANM/QUARSANM.XLS" TargetMode="External" Type="http://schemas.openxmlformats.org/officeDocument/2006/relationships/externalLinkPath"/>
</Relationships>

</file>

<file path=xl/externalLinks/_rels/externalLink51.xml.rels><?xml version="1.0" encoding="UTF-8" standalone="yes"?>
<Relationships xmlns="http://schemas.openxmlformats.org/package/2006/relationships">
<Relationship Id="rId1" Target="health/RubinJ/Company/BMY/BMYwork.xls" TargetMode="External" Type="http://schemas.microsoft.com/office/2006/relationships/xlExternalLinkPath/xlStartup"/>
</Relationships>

</file>

<file path=xl/externalLinks/_rels/externalLink52.xml.rels><?xml version="1.0" encoding="UTF-8" standalone="yes"?>
<Relationships xmlns="http://schemas.openxmlformats.org/package/2006/relationships">
<Relationship Id="rId1" Target="HEALTH/RubinJ/Company/Pfe/PFEworktemp3Q03.xls" TargetMode="External" Type="http://schemas.microsoft.com/office/2006/relationships/xlExternalLinkPath/xlStartup"/>
</Relationships>

</file>

<file path=xl/externalLinks/_rels/externalLink53.xml.rels><?xml version="1.0" encoding="UTF-8" standalone="yes"?>
<Relationships xmlns="http://schemas.openxmlformats.org/package/2006/relationships">
<Relationship Id="rId1" Target="file:///S:/Companies%20Under%20Coverage/BGEN/MODELS/BGEN062501.xls" TargetMode="External" Type="http://schemas.openxmlformats.org/officeDocument/2006/relationships/externalLinkPath"/>
</Relationships>

</file>

<file path=xl/externalLinks/_rels/externalLink54.xml.rels><?xml version="1.0" encoding="UTF-8" standalone="yes"?>
<Relationships xmlns="http://schemas.openxmlformats.org/package/2006/relationships">
<Relationship Id="rId1" Target="file:///M:/Chemical/EXCEL/LESDAT/MTC.XLS" TargetMode="External" Type="http://schemas.openxmlformats.org/officeDocument/2006/relationships/externalLinkPath"/>
</Relationships>

</file>

<file path=xl/externalLinks/_rels/externalLink55.xml.rels><?xml version="1.0" encoding="UTF-8" standalone="yes"?>
<Relationships xmlns="http://schemas.openxmlformats.org/package/2006/relationships">
<Relationship Id="rId1" Target="file:///S:/Companies%20Under%20Coverage/BGEN/MODELS/BGEN071701.xls" TargetMode="External" Type="http://schemas.openxmlformats.org/officeDocument/2006/relationships/externalLinkPath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 shadow"/>
      <sheetName val="NY UPLOAD"/>
      <sheetName val="Client Title Page "/>
      <sheetName val="Title Page"/>
      <sheetName val="__FDSCACHE__"/>
      <sheetName val="Drivers"/>
      <sheetName val="Valuations"/>
      <sheetName val="Lipitor NPV"/>
      <sheetName val="mwareTaxoPres"/>
      <sheetName val="mwareValPrintout"/>
      <sheetName val="Lipitor NPV-Mar 2010"/>
      <sheetName val="5 yr Sales and Earnings"/>
      <sheetName val="Qtr Income"/>
      <sheetName val="Qtr Margin"/>
      <sheetName val="Qtr Sales"/>
      <sheetName val="Gross Mgn Calc"/>
      <sheetName val="Alliance revenues"/>
      <sheetName val="Product History"/>
      <sheetName val="mwarePreview"/>
      <sheetName val="BalanceSheet"/>
      <sheetName val="Cashflow"/>
      <sheetName val="ROIC"/>
      <sheetName val="RI Valuation"/>
      <sheetName val="Dynamic Convergence"/>
      <sheetName val="Global Feed"/>
      <sheetName val="Summary"/>
      <sheetName val="Q-Preview"/>
      <sheetName val="PFE Qtr Incomesolo"/>
      <sheetName val="PFE Qtr Marginsolo"/>
      <sheetName val="PFE Qrt Salessolo"/>
      <sheetName val="PFE 2 Qtr Salessolo"/>
      <sheetName val="PHAPharmaSales"/>
      <sheetName val="Combined products"/>
      <sheetName val="PFE-PHA mergerold"/>
      <sheetName val="P&amp;L Charts"/>
      <sheetName val="setbacks"/>
      <sheetName val="mwareDates"/>
      <sheetName val="TO DO"/>
      <sheetName val="mwareSettings"/>
      <sheetName val="mStartup"/>
      <sheetName val="EPS Sensitivity"/>
      <sheetName val="PFE Qtr Income"/>
      <sheetName val="PFE Qtr Margin"/>
      <sheetName val="PFE Qtr Sales"/>
      <sheetName val="PFE Q-Preview"/>
      <sheetName val="Implied ROIC "/>
      <sheetName val="P&amp;L Charts (2)"/>
      <sheetName val="ADJ ROIC"/>
      <sheetName val="PFEwork"/>
      <sheetName val="xbrlPreview"/>
      <sheetName val="xbrldates"/>
      <sheetName val="xbrlSettings"/>
      <sheetName val="BS CHeck"/>
      <sheetName val="MWare_Cached"/>
      <sheetName val="Sheet1"/>
      <sheetName val=""/>
      <sheetName val="Torcetrapib"/>
      <sheetName val="Divestiture calculation"/>
      <sheetName val="Annu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C5" t="str">
            <v>2001A</v>
          </cell>
        </row>
        <row r="6">
          <cell r="A6" t="str">
            <v>Cardiovascular</v>
          </cell>
          <cell r="B6" t="str">
            <v xml:space="preserve">Lipitor </v>
          </cell>
          <cell r="C6">
            <v>6449</v>
          </cell>
          <cell r="D6">
            <v>7972</v>
          </cell>
          <cell r="E6">
            <v>9229.7000000000007</v>
          </cell>
          <cell r="F6">
            <v>10862</v>
          </cell>
          <cell r="G6">
            <v>12187</v>
          </cell>
          <cell r="H6">
            <v>12648.33</v>
          </cell>
          <cell r="I6">
            <v>13001.802599999999</v>
          </cell>
          <cell r="J6">
            <v>13236.346866</v>
          </cell>
          <cell r="K6">
            <v>13368.71033466</v>
          </cell>
          <cell r="L6">
            <v>13502.397438006599</v>
          </cell>
          <cell r="N6">
            <v>4749.5322057199992</v>
          </cell>
          <cell r="O6">
            <v>4749.5322057199992</v>
          </cell>
          <cell r="P6">
            <v>4006.6468659999991</v>
          </cell>
        </row>
        <row r="7">
          <cell r="B7" t="str">
            <v>Norvasc</v>
          </cell>
          <cell r="C7">
            <v>3582</v>
          </cell>
          <cell r="D7">
            <v>3846</v>
          </cell>
          <cell r="E7">
            <v>4335</v>
          </cell>
          <cell r="F7">
            <v>4462</v>
          </cell>
          <cell r="G7">
            <v>4706</v>
          </cell>
          <cell r="H7">
            <v>4654.96</v>
          </cell>
          <cell r="I7">
            <v>2331.8720000000003</v>
          </cell>
          <cell r="J7">
            <v>1927.5908000000002</v>
          </cell>
          <cell r="K7">
            <v>1721.1442000000002</v>
          </cell>
          <cell r="L7">
            <v>1549.0297800000001</v>
          </cell>
          <cell r="N7">
            <v>-2522.0490239999999</v>
          </cell>
          <cell r="O7">
            <v>-2522.0490239999999</v>
          </cell>
          <cell r="P7">
            <v>-2407.4092000000001</v>
          </cell>
        </row>
        <row r="8">
          <cell r="B8" t="str">
            <v>Cardura</v>
          </cell>
          <cell r="C8">
            <v>551</v>
          </cell>
          <cell r="D8">
            <v>531</v>
          </cell>
          <cell r="E8">
            <v>595</v>
          </cell>
          <cell r="F8">
            <v>627</v>
          </cell>
          <cell r="G8">
            <v>643.83000000000004</v>
          </cell>
          <cell r="H8">
            <v>662.59889999999996</v>
          </cell>
          <cell r="I8">
            <v>681.98546699999997</v>
          </cell>
          <cell r="J8">
            <v>702.00277100999983</v>
          </cell>
          <cell r="K8">
            <v>722.66482014029987</v>
          </cell>
          <cell r="L8">
            <v>429.83194579200006</v>
          </cell>
          <cell r="N8">
            <v>107.00277100999983</v>
          </cell>
          <cell r="O8">
            <v>107.00277100999983</v>
          </cell>
          <cell r="P8">
            <v>-118.65103999999997</v>
          </cell>
        </row>
        <row r="9">
          <cell r="C9">
            <v>604</v>
          </cell>
        </row>
        <row r="10">
          <cell r="B10" t="str">
            <v>Glucotrol XL</v>
          </cell>
          <cell r="C10">
            <v>284</v>
          </cell>
          <cell r="D10">
            <v>298.2</v>
          </cell>
          <cell r="E10">
            <v>332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N10">
            <v>-332</v>
          </cell>
          <cell r="O10">
            <v>-332</v>
          </cell>
          <cell r="P10">
            <v>-332</v>
          </cell>
        </row>
        <row r="11">
          <cell r="B11" t="str">
            <v>Inspra</v>
          </cell>
          <cell r="C11">
            <v>0</v>
          </cell>
          <cell r="D11">
            <v>0</v>
          </cell>
          <cell r="E11">
            <v>0</v>
          </cell>
          <cell r="F11">
            <v>5</v>
          </cell>
          <cell r="G11">
            <v>2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N11">
            <v>37.655226999999996</v>
          </cell>
          <cell r="O11">
            <v>59.592726999999996</v>
          </cell>
          <cell r="P11">
            <v>0</v>
          </cell>
        </row>
        <row r="12">
          <cell r="B12" t="str">
            <v>Caduet</v>
          </cell>
          <cell r="C12">
            <v>0</v>
          </cell>
          <cell r="D12">
            <v>0</v>
          </cell>
          <cell r="E12">
            <v>0</v>
          </cell>
          <cell r="F12">
            <v>50</v>
          </cell>
          <cell r="G12">
            <v>185</v>
          </cell>
          <cell r="H12">
            <v>339</v>
          </cell>
          <cell r="I12">
            <v>516</v>
          </cell>
          <cell r="J12">
            <v>678.3</v>
          </cell>
          <cell r="K12">
            <v>755.43</v>
          </cell>
          <cell r="L12">
            <v>840.04049999999984</v>
          </cell>
          <cell r="N12">
            <v>575</v>
          </cell>
          <cell r="O12">
            <v>452.84399999999999</v>
          </cell>
          <cell r="P12">
            <v>678.3</v>
          </cell>
        </row>
        <row r="13">
          <cell r="A13" t="str">
            <v>Central Nervous System</v>
          </cell>
          <cell r="B13" t="str">
            <v>Zoloft</v>
          </cell>
          <cell r="C13">
            <v>2367</v>
          </cell>
          <cell r="D13">
            <v>2742</v>
          </cell>
          <cell r="E13">
            <v>3117</v>
          </cell>
          <cell r="F13">
            <v>3360</v>
          </cell>
          <cell r="G13">
            <v>3322.47</v>
          </cell>
          <cell r="H13">
            <v>1959.3069999999998</v>
          </cell>
          <cell r="I13">
            <v>925.75704999999994</v>
          </cell>
          <cell r="J13">
            <v>831.14500999999996</v>
          </cell>
          <cell r="K13">
            <v>776.70130949999987</v>
          </cell>
          <cell r="L13">
            <v>745.8666750000001</v>
          </cell>
          <cell r="N13">
            <v>-2414.8152300000002</v>
          </cell>
          <cell r="O13">
            <v>-2285.8549899999998</v>
          </cell>
          <cell r="P13">
            <v>-2318.3125</v>
          </cell>
        </row>
        <row r="14">
          <cell r="B14" t="str">
            <v xml:space="preserve">Neurontin </v>
          </cell>
          <cell r="C14">
            <v>1751</v>
          </cell>
          <cell r="D14">
            <v>2269</v>
          </cell>
          <cell r="E14">
            <v>2702</v>
          </cell>
          <cell r="F14">
            <v>2723</v>
          </cell>
          <cell r="G14">
            <v>639</v>
          </cell>
          <cell r="H14">
            <v>511.5</v>
          </cell>
          <cell r="I14">
            <v>481.95</v>
          </cell>
          <cell r="J14">
            <v>457.85249999999996</v>
          </cell>
          <cell r="K14">
            <v>438.35849999999994</v>
          </cell>
          <cell r="L14">
            <v>419.83920000000001</v>
          </cell>
          <cell r="N14">
            <v>-2056.7691199999999</v>
          </cell>
          <cell r="O14">
            <v>-2056.7691199999999</v>
          </cell>
          <cell r="P14">
            <v>-2244.1475</v>
          </cell>
        </row>
        <row r="15">
          <cell r="B15" t="str">
            <v>Xanax / Xanax XR</v>
          </cell>
          <cell r="C15">
            <v>323</v>
          </cell>
          <cell r="D15">
            <v>314</v>
          </cell>
          <cell r="E15">
            <v>237</v>
          </cell>
          <cell r="F15">
            <v>378</v>
          </cell>
          <cell r="G15">
            <v>428.1</v>
          </cell>
          <cell r="H15">
            <v>456.88500000000005</v>
          </cell>
          <cell r="I15">
            <v>484.60005000000007</v>
          </cell>
          <cell r="J15">
            <v>508.83005250000008</v>
          </cell>
          <cell r="K15">
            <v>534.27155512500008</v>
          </cell>
          <cell r="L15">
            <v>362.30627193750007</v>
          </cell>
          <cell r="N15">
            <v>187.83414200624998</v>
          </cell>
          <cell r="O15">
            <v>271.83005250000008</v>
          </cell>
          <cell r="P15">
            <v>96.221715000000017</v>
          </cell>
        </row>
        <row r="16">
          <cell r="B16" t="str">
            <v xml:space="preserve">Geodon </v>
          </cell>
          <cell r="C16">
            <v>149</v>
          </cell>
          <cell r="D16">
            <v>222</v>
          </cell>
          <cell r="E16">
            <v>353</v>
          </cell>
          <cell r="F16">
            <v>466</v>
          </cell>
          <cell r="G16">
            <v>590</v>
          </cell>
          <cell r="H16">
            <v>736.43000000000006</v>
          </cell>
          <cell r="I16">
            <v>883.71600000000001</v>
          </cell>
          <cell r="J16">
            <v>1011.4969199999999</v>
          </cell>
          <cell r="K16">
            <v>1110.8633927999999</v>
          </cell>
          <cell r="L16">
            <v>1172.237689224</v>
          </cell>
          <cell r="N16">
            <v>-97.936419999999998</v>
          </cell>
          <cell r="O16">
            <v>-97.936419999999998</v>
          </cell>
          <cell r="P16">
            <v>658.49691999999993</v>
          </cell>
        </row>
        <row r="17">
          <cell r="B17" t="str">
            <v>Aricept (Int'l revenues)</v>
          </cell>
          <cell r="C17">
            <v>0</v>
          </cell>
          <cell r="D17">
            <v>0</v>
          </cell>
          <cell r="E17">
            <v>253</v>
          </cell>
          <cell r="F17">
            <v>309</v>
          </cell>
          <cell r="G17">
            <v>346</v>
          </cell>
          <cell r="H17">
            <v>380.6</v>
          </cell>
          <cell r="I17">
            <v>399.63</v>
          </cell>
          <cell r="J17">
            <v>415.61520000000002</v>
          </cell>
          <cell r="K17">
            <v>428.08365600000002</v>
          </cell>
          <cell r="L17">
            <v>440.92616568</v>
          </cell>
          <cell r="N17">
            <v>170.45591749999994</v>
          </cell>
          <cell r="O17">
            <v>170.45591749999994</v>
          </cell>
          <cell r="P17">
            <v>162.61520000000002</v>
          </cell>
        </row>
        <row r="18">
          <cell r="B18" t="str">
            <v>Relpax</v>
          </cell>
          <cell r="C18">
            <v>0</v>
          </cell>
          <cell r="D18">
            <v>0</v>
          </cell>
          <cell r="E18">
            <v>52</v>
          </cell>
          <cell r="F18">
            <v>169</v>
          </cell>
          <cell r="G18">
            <v>231.57999999999998</v>
          </cell>
          <cell r="H18">
            <v>284.92499999999995</v>
          </cell>
          <cell r="I18">
            <v>335.11949999999996</v>
          </cell>
          <cell r="J18">
            <v>379.48094999999995</v>
          </cell>
          <cell r="K18">
            <v>429.74636939999994</v>
          </cell>
          <cell r="L18">
            <v>480.804531075</v>
          </cell>
          <cell r="N18">
            <v>288.81850465999997</v>
          </cell>
          <cell r="O18">
            <v>327.48094999999995</v>
          </cell>
          <cell r="P18">
            <v>340.79843000000005</v>
          </cell>
        </row>
        <row r="19">
          <cell r="B19" t="str">
            <v>Lyrica (Pregabalin)</v>
          </cell>
          <cell r="C19">
            <v>0</v>
          </cell>
          <cell r="D19">
            <v>0</v>
          </cell>
          <cell r="E19">
            <v>0</v>
          </cell>
          <cell r="F19">
            <v>10</v>
          </cell>
          <cell r="G19">
            <v>291</v>
          </cell>
          <cell r="H19">
            <v>926.09999999999991</v>
          </cell>
          <cell r="I19">
            <v>1399.4549999999999</v>
          </cell>
          <cell r="J19">
            <v>1793.1914999999999</v>
          </cell>
          <cell r="K19">
            <v>1995.3244799999998</v>
          </cell>
          <cell r="L19">
            <v>2147.7729383999995</v>
          </cell>
          <cell r="N19">
            <v>1200</v>
          </cell>
          <cell r="O19">
            <v>850</v>
          </cell>
          <cell r="P19">
            <v>1793.1914999999999</v>
          </cell>
        </row>
        <row r="20">
          <cell r="A20" t="str">
            <v>Arthritis and Pain</v>
          </cell>
          <cell r="B20" t="str">
            <v>Celebrex</v>
          </cell>
          <cell r="C20">
            <v>0</v>
          </cell>
          <cell r="D20">
            <v>0</v>
          </cell>
          <cell r="E20">
            <v>1855</v>
          </cell>
          <cell r="F20">
            <v>3302</v>
          </cell>
          <cell r="G20">
            <v>1862.24</v>
          </cell>
          <cell r="H20">
            <v>1918.1071999999999</v>
          </cell>
          <cell r="I20">
            <v>1955.361476</v>
          </cell>
          <cell r="J20">
            <v>1993.7333802800003</v>
          </cell>
          <cell r="K20">
            <v>2033.2564416884002</v>
          </cell>
          <cell r="L20">
            <v>1671.9533779186559</v>
          </cell>
          <cell r="N20">
            <v>-342.10199999999986</v>
          </cell>
          <cell r="O20">
            <v>138.73338028000035</v>
          </cell>
          <cell r="P20">
            <v>302.68962800000008</v>
          </cell>
        </row>
        <row r="21">
          <cell r="B21" t="str">
            <v>Bextra</v>
          </cell>
          <cell r="C21">
            <v>0</v>
          </cell>
          <cell r="D21">
            <v>0</v>
          </cell>
          <cell r="E21">
            <v>687</v>
          </cell>
          <cell r="F21">
            <v>1247.75</v>
          </cell>
          <cell r="G21">
            <v>1632.75</v>
          </cell>
          <cell r="H21">
            <v>2033.4649999999999</v>
          </cell>
          <cell r="I21">
            <v>2329.5177499999995</v>
          </cell>
          <cell r="J21">
            <v>2498.5022125</v>
          </cell>
          <cell r="K21">
            <v>530.91</v>
          </cell>
          <cell r="L21">
            <v>0</v>
          </cell>
          <cell r="N21">
            <v>1258.7745780000005</v>
          </cell>
          <cell r="O21">
            <v>-156.09000000000003</v>
          </cell>
          <cell r="P21">
            <v>-687</v>
          </cell>
        </row>
        <row r="22">
          <cell r="B22" t="str">
            <v>Dynastat/Parecoxib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N22">
            <v>150</v>
          </cell>
          <cell r="O22">
            <v>150</v>
          </cell>
          <cell r="P22">
            <v>0</v>
          </cell>
        </row>
        <row r="23">
          <cell r="A23" t="str">
            <v>Anti-Infectives</v>
          </cell>
          <cell r="B23" t="str">
            <v>Zithromax</v>
          </cell>
          <cell r="C23">
            <v>1507</v>
          </cell>
          <cell r="D23">
            <v>1515.5</v>
          </cell>
          <cell r="E23">
            <v>2009</v>
          </cell>
          <cell r="F23">
            <v>1850.8</v>
          </cell>
          <cell r="G23">
            <v>1617.68</v>
          </cell>
          <cell r="H23">
            <v>852.11440000000005</v>
          </cell>
          <cell r="I23">
            <v>808.30731200000002</v>
          </cell>
          <cell r="J23">
            <v>768.05284576000008</v>
          </cell>
          <cell r="K23">
            <v>731.01230084480005</v>
          </cell>
          <cell r="L23">
            <v>630.71248390176015</v>
          </cell>
          <cell r="N23">
            <v>-1429.8554022464</v>
          </cell>
          <cell r="O23">
            <v>-1240.9471542399999</v>
          </cell>
          <cell r="P23">
            <v>-1328.7048055999999</v>
          </cell>
        </row>
        <row r="24">
          <cell r="B24" t="str">
            <v>Diflucan</v>
          </cell>
          <cell r="C24">
            <v>1067</v>
          </cell>
          <cell r="D24">
            <v>1112</v>
          </cell>
          <cell r="E24">
            <v>1175</v>
          </cell>
          <cell r="F24">
            <v>945</v>
          </cell>
          <cell r="G24">
            <v>498</v>
          </cell>
          <cell r="H24">
            <v>446.25</v>
          </cell>
          <cell r="I24">
            <v>423.51249999999999</v>
          </cell>
          <cell r="J24">
            <v>401.95437500000003</v>
          </cell>
          <cell r="K24">
            <v>381.51240625000003</v>
          </cell>
          <cell r="L24">
            <v>362.12696093749997</v>
          </cell>
          <cell r="N24">
            <v>-592.08640000000003</v>
          </cell>
          <cell r="O24">
            <v>-592.08640000000003</v>
          </cell>
          <cell r="P24">
            <v>-773.04562499999997</v>
          </cell>
        </row>
        <row r="25">
          <cell r="B25" t="str">
            <v>Viracept</v>
          </cell>
          <cell r="C25">
            <v>365</v>
          </cell>
          <cell r="D25">
            <v>337</v>
          </cell>
          <cell r="E25">
            <v>258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N25">
            <v>-258</v>
          </cell>
          <cell r="O25">
            <v>-258</v>
          </cell>
          <cell r="P25">
            <v>-258</v>
          </cell>
        </row>
        <row r="26">
          <cell r="B26" t="str">
            <v>Zyvox</v>
          </cell>
          <cell r="C26">
            <v>0</v>
          </cell>
          <cell r="D26">
            <v>0</v>
          </cell>
          <cell r="E26">
            <v>181</v>
          </cell>
          <cell r="F26">
            <v>462</v>
          </cell>
          <cell r="G26">
            <v>619.20000000000005</v>
          </cell>
          <cell r="H26">
            <v>699.1</v>
          </cell>
          <cell r="I26">
            <v>763.65840000000014</v>
          </cell>
          <cell r="J26">
            <v>814.3109280000001</v>
          </cell>
          <cell r="K26">
            <v>868.3892496000002</v>
          </cell>
          <cell r="L26">
            <v>1104.9936122880001</v>
          </cell>
          <cell r="N26">
            <v>458.39739395840013</v>
          </cell>
          <cell r="O26">
            <v>633.3109280000001</v>
          </cell>
          <cell r="P26">
            <v>766.35392000000002</v>
          </cell>
        </row>
        <row r="27">
          <cell r="B27" t="str">
            <v>Vfend</v>
          </cell>
          <cell r="C27">
            <v>0</v>
          </cell>
          <cell r="D27">
            <v>41.5</v>
          </cell>
          <cell r="E27">
            <v>199.6</v>
          </cell>
          <cell r="F27">
            <v>287</v>
          </cell>
          <cell r="G27">
            <v>367.1</v>
          </cell>
          <cell r="H27">
            <v>440.52</v>
          </cell>
          <cell r="I27">
            <v>484.572</v>
          </cell>
          <cell r="J27">
            <v>508.80060000000003</v>
          </cell>
          <cell r="K27">
            <v>534.24063000000001</v>
          </cell>
          <cell r="L27">
            <v>622.03624143075001</v>
          </cell>
          <cell r="N27">
            <v>354.53998639999998</v>
          </cell>
          <cell r="O27">
            <v>309.20060000000001</v>
          </cell>
          <cell r="P27">
            <v>374.02856750000001</v>
          </cell>
        </row>
        <row r="28">
          <cell r="A28" t="str">
            <v>Urology</v>
          </cell>
          <cell r="B28" t="str">
            <v>Viagra</v>
          </cell>
          <cell r="C28">
            <v>1518</v>
          </cell>
          <cell r="D28">
            <v>1735</v>
          </cell>
          <cell r="E28">
            <v>1878.6</v>
          </cell>
          <cell r="F28">
            <v>1677</v>
          </cell>
          <cell r="G28">
            <v>1654.85</v>
          </cell>
          <cell r="H28">
            <v>1678.58</v>
          </cell>
          <cell r="I28">
            <v>1703.0219000000002</v>
          </cell>
          <cell r="J28">
            <v>1728.1970570000001</v>
          </cell>
          <cell r="K28">
            <v>1754.1274687100001</v>
          </cell>
          <cell r="L28">
            <v>1470.9863129456398</v>
          </cell>
          <cell r="N28">
            <v>57.68853182410021</v>
          </cell>
          <cell r="O28">
            <v>-150.40294299999982</v>
          </cell>
          <cell r="P28">
            <v>-368.99267748000011</v>
          </cell>
        </row>
        <row r="29">
          <cell r="B29" t="str">
            <v>Detrol</v>
          </cell>
          <cell r="C29">
            <v>0</v>
          </cell>
          <cell r="D29">
            <v>0</v>
          </cell>
          <cell r="E29">
            <v>543</v>
          </cell>
          <cell r="F29">
            <v>904</v>
          </cell>
          <cell r="G29">
            <v>988</v>
          </cell>
          <cell r="H29">
            <v>1023.9000000000001</v>
          </cell>
          <cell r="I29">
            <v>1054.6170000000002</v>
          </cell>
          <cell r="J29">
            <v>1079.094435</v>
          </cell>
          <cell r="K29">
            <v>1104.1629715500001</v>
          </cell>
          <cell r="L29">
            <v>1129.8374782665001</v>
          </cell>
          <cell r="N29">
            <v>652.14725520000025</v>
          </cell>
          <cell r="O29">
            <v>652.14725520000025</v>
          </cell>
          <cell r="P29">
            <v>536.09443499999998</v>
          </cell>
        </row>
        <row r="30">
          <cell r="A30" t="str">
            <v>Opthamology</v>
          </cell>
          <cell r="B30" t="str">
            <v>Xalatan</v>
          </cell>
          <cell r="C30">
            <v>0</v>
          </cell>
          <cell r="D30">
            <v>0</v>
          </cell>
          <cell r="E30">
            <v>623</v>
          </cell>
          <cell r="F30">
            <v>1227</v>
          </cell>
          <cell r="G30">
            <v>1344.71</v>
          </cell>
          <cell r="H30">
            <v>1411.9455</v>
          </cell>
          <cell r="I30">
            <v>1472.9439900000002</v>
          </cell>
          <cell r="J30">
            <v>1536.6084531000004</v>
          </cell>
          <cell r="K30">
            <v>1603.0568298990001</v>
          </cell>
          <cell r="L30">
            <v>1514.6626050240002</v>
          </cell>
          <cell r="N30">
            <v>886.71147959500036</v>
          </cell>
          <cell r="O30">
            <v>913.60845310000036</v>
          </cell>
          <cell r="P30">
            <v>850.13442160000022</v>
          </cell>
        </row>
        <row r="31">
          <cell r="A31" t="str">
            <v>Oncology</v>
          </cell>
          <cell r="B31" t="str">
            <v>Camptosar</v>
          </cell>
          <cell r="C31">
            <v>0</v>
          </cell>
          <cell r="D31">
            <v>0</v>
          </cell>
          <cell r="E31">
            <v>299</v>
          </cell>
          <cell r="F31">
            <v>553</v>
          </cell>
          <cell r="G31">
            <v>911</v>
          </cell>
          <cell r="H31">
            <v>933.63000000000011</v>
          </cell>
          <cell r="I31">
            <v>977.79449999999997</v>
          </cell>
          <cell r="J31">
            <v>734.00145000000009</v>
          </cell>
          <cell r="K31">
            <v>711.76129500000013</v>
          </cell>
          <cell r="L31">
            <v>759.02734950000013</v>
          </cell>
          <cell r="N31">
            <v>42.033560401600027</v>
          </cell>
          <cell r="O31">
            <v>693.51042000000007</v>
          </cell>
          <cell r="P31">
            <v>435.00145000000009</v>
          </cell>
        </row>
        <row r="32">
          <cell r="B32" t="str">
            <v>Ellence</v>
          </cell>
          <cell r="C32">
            <v>261</v>
          </cell>
          <cell r="D32">
            <v>333</v>
          </cell>
          <cell r="E32">
            <v>215</v>
          </cell>
          <cell r="F32">
            <v>344</v>
          </cell>
          <cell r="G32">
            <v>366</v>
          </cell>
          <cell r="H32">
            <v>336.8</v>
          </cell>
          <cell r="I32">
            <v>319.31</v>
          </cell>
          <cell r="J32">
            <v>317.85169999999999</v>
          </cell>
          <cell r="K32">
            <v>322.97221100000002</v>
          </cell>
          <cell r="L32">
            <v>330.89536133000001</v>
          </cell>
          <cell r="N32">
            <v>97.78800063999995</v>
          </cell>
          <cell r="O32">
            <v>97.78800063999995</v>
          </cell>
          <cell r="P32">
            <v>102.85169999999999</v>
          </cell>
        </row>
        <row r="33">
          <cell r="A33" t="str">
            <v>Endocrinology</v>
          </cell>
          <cell r="B33" t="str">
            <v>Aromasin</v>
          </cell>
          <cell r="C33">
            <v>0</v>
          </cell>
          <cell r="D33">
            <v>0</v>
          </cell>
          <cell r="E33">
            <v>481</v>
          </cell>
          <cell r="F33">
            <v>735</v>
          </cell>
          <cell r="G33">
            <v>134</v>
          </cell>
          <cell r="H33">
            <v>323.60000000000002</v>
          </cell>
          <cell r="I33">
            <v>377.66249999999997</v>
          </cell>
          <cell r="J33">
            <v>426.95819999999998</v>
          </cell>
          <cell r="K33">
            <v>469.65402000000006</v>
          </cell>
          <cell r="L33">
            <v>508.23626700000005</v>
          </cell>
          <cell r="N33">
            <v>486.22311968000008</v>
          </cell>
          <cell r="O33">
            <v>486.22311968000008</v>
          </cell>
          <cell r="P33">
            <v>426.95819999999998</v>
          </cell>
        </row>
        <row r="34">
          <cell r="A34" t="str">
            <v>Other</v>
          </cell>
          <cell r="B34" t="str">
            <v>Zyrtec/Reactine</v>
          </cell>
          <cell r="C34">
            <v>989</v>
          </cell>
          <cell r="D34">
            <v>1115</v>
          </cell>
          <cell r="E34">
            <v>1337.6</v>
          </cell>
          <cell r="F34">
            <v>1287</v>
          </cell>
          <cell r="G34">
            <v>1299.8699999999999</v>
          </cell>
          <cell r="H34">
            <v>1299.8699999999999</v>
          </cell>
          <cell r="I34">
            <v>779.92199999999991</v>
          </cell>
          <cell r="J34">
            <v>467.95319999999992</v>
          </cell>
          <cell r="K34">
            <v>280.77191999999991</v>
          </cell>
          <cell r="L34">
            <v>990.82697336092815</v>
          </cell>
          <cell r="N34">
            <v>-804.06533503999992</v>
          </cell>
          <cell r="O34">
            <v>-869.64679999999998</v>
          </cell>
          <cell r="P34">
            <v>453.39185912000016</v>
          </cell>
        </row>
        <row r="35">
          <cell r="A35" t="str">
            <v>Endocrinology</v>
          </cell>
          <cell r="B35" t="str">
            <v>Genotropin</v>
          </cell>
          <cell r="C35">
            <v>323</v>
          </cell>
          <cell r="D35">
            <v>0</v>
          </cell>
          <cell r="E35">
            <v>481</v>
          </cell>
          <cell r="F35">
            <v>735</v>
          </cell>
          <cell r="G35">
            <v>808</v>
          </cell>
          <cell r="H35">
            <v>857.92000000000007</v>
          </cell>
          <cell r="I35">
            <v>888.04940000000011</v>
          </cell>
          <cell r="J35">
            <v>914.13777000000005</v>
          </cell>
          <cell r="K35">
            <v>941.16427650000003</v>
          </cell>
          <cell r="L35">
            <v>969.16850068500003</v>
          </cell>
          <cell r="N35">
            <v>-242</v>
          </cell>
          <cell r="O35">
            <v>-242</v>
          </cell>
          <cell r="P35">
            <v>433.13777000000005</v>
          </cell>
        </row>
        <row r="36">
          <cell r="A36" t="str">
            <v>Other</v>
          </cell>
          <cell r="B36" t="str">
            <v>Zyrtec/Reactine</v>
          </cell>
          <cell r="C36">
            <v>3050</v>
          </cell>
          <cell r="D36">
            <v>1115</v>
          </cell>
          <cell r="E36">
            <v>1337.6</v>
          </cell>
          <cell r="F36">
            <v>1287</v>
          </cell>
          <cell r="G36">
            <v>1362</v>
          </cell>
          <cell r="H36">
            <v>1402.86</v>
          </cell>
          <cell r="I36">
            <v>1262.5739999999998</v>
          </cell>
          <cell r="J36">
            <v>252.51479999999992</v>
          </cell>
          <cell r="K36">
            <v>151.50887999999995</v>
          </cell>
          <cell r="L36">
            <v>128.78254799999996</v>
          </cell>
          <cell r="N36">
            <v>2619.7139027800013</v>
          </cell>
          <cell r="O36">
            <v>2619.7139027800013</v>
          </cell>
          <cell r="P36">
            <v>-1085.0852</v>
          </cell>
        </row>
        <row r="37">
          <cell r="B37" t="str">
            <v>Medrol</v>
          </cell>
          <cell r="C37">
            <v>3050</v>
          </cell>
          <cell r="D37">
            <v>329</v>
          </cell>
          <cell r="E37">
            <v>242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 t="str">
            <v>Aventis</v>
          </cell>
          <cell r="N37">
            <v>750</v>
          </cell>
          <cell r="O37">
            <v>500</v>
          </cell>
          <cell r="P37">
            <v>-242</v>
          </cell>
        </row>
        <row r="38">
          <cell r="B38" t="str">
            <v>Other Pharmaceuticals</v>
          </cell>
          <cell r="C38">
            <v>3050</v>
          </cell>
          <cell r="D38">
            <v>2733.8999999999996</v>
          </cell>
          <cell r="E38">
            <v>4974.5</v>
          </cell>
          <cell r="F38">
            <v>6465</v>
          </cell>
          <cell r="G38">
            <v>6702</v>
          </cell>
          <cell r="H38">
            <v>6288.3700000000008</v>
          </cell>
          <cell r="I38">
            <v>6381.8646000000008</v>
          </cell>
          <cell r="J38">
            <v>6444.5412660000002</v>
          </cell>
          <cell r="K38">
            <v>6479.0700325400012</v>
          </cell>
          <cell r="L38">
            <v>6508.4786425193997</v>
          </cell>
          <cell r="M38" t="str">
            <v>royalty to Ligand</v>
          </cell>
          <cell r="N38" t="str">
            <v>With Nektar</v>
          </cell>
          <cell r="O38">
            <v>450</v>
          </cell>
          <cell r="P38">
            <v>1470.0412660000002</v>
          </cell>
        </row>
        <row r="39">
          <cell r="B39" t="str">
            <v xml:space="preserve">  Roflumilast</v>
          </cell>
          <cell r="G39" t="str">
            <v xml:space="preserve"> </v>
          </cell>
          <cell r="H39">
            <v>150</v>
          </cell>
          <cell r="I39">
            <v>250</v>
          </cell>
          <cell r="J39">
            <v>300</v>
          </cell>
          <cell r="K39">
            <v>400</v>
          </cell>
          <cell r="L39" t="str">
            <v>Altana; prob alliance revenue</v>
          </cell>
          <cell r="M39" t="str">
            <v>Altana; prob alliance revenue</v>
          </cell>
          <cell r="N39">
            <v>650</v>
          </cell>
          <cell r="O39">
            <v>300</v>
          </cell>
          <cell r="P39">
            <v>0</v>
          </cell>
        </row>
        <row r="40">
          <cell r="B40" t="str">
            <v xml:space="preserve">   Capravirine</v>
          </cell>
          <cell r="G40" t="str">
            <v xml:space="preserve"> </v>
          </cell>
          <cell r="H40">
            <v>150</v>
          </cell>
          <cell r="I40">
            <v>300</v>
          </cell>
          <cell r="J40">
            <v>400</v>
          </cell>
          <cell r="K40">
            <v>500</v>
          </cell>
          <cell r="L40" t="str">
            <v>internally developed</v>
          </cell>
          <cell r="M40" t="str">
            <v>internally developed</v>
          </cell>
          <cell r="N40" t="str">
            <v>royalty to Ligand</v>
          </cell>
          <cell r="O40">
            <v>400</v>
          </cell>
          <cell r="P40">
            <v>0</v>
          </cell>
        </row>
        <row r="41">
          <cell r="B41" t="str">
            <v xml:space="preserve">   CETP Inhibitor</v>
          </cell>
          <cell r="G41">
            <v>0</v>
          </cell>
          <cell r="H41">
            <v>0</v>
          </cell>
          <cell r="I41">
            <v>0</v>
          </cell>
          <cell r="J41">
            <v>500</v>
          </cell>
          <cell r="K41">
            <v>1000</v>
          </cell>
          <cell r="L41" t="str">
            <v>internally developed</v>
          </cell>
          <cell r="M41" t="str">
            <v>internally developed</v>
          </cell>
          <cell r="N41" t="str">
            <v>Vicuron</v>
          </cell>
          <cell r="O41">
            <v>500</v>
          </cell>
          <cell r="P41">
            <v>300</v>
          </cell>
        </row>
        <row r="42">
          <cell r="B42" t="str">
            <v xml:space="preserve">   Revatio</v>
          </cell>
          <cell r="G42">
            <v>0</v>
          </cell>
          <cell r="H42">
            <v>15</v>
          </cell>
          <cell r="I42">
            <v>45</v>
          </cell>
          <cell r="J42">
            <v>75</v>
          </cell>
          <cell r="K42">
            <v>100</v>
          </cell>
          <cell r="L42" t="str">
            <v>internally developed</v>
          </cell>
          <cell r="M42" t="str">
            <v>internally developed</v>
          </cell>
          <cell r="N42">
            <v>500</v>
          </cell>
          <cell r="O42">
            <v>75</v>
          </cell>
          <cell r="P42">
            <v>500</v>
          </cell>
        </row>
        <row r="43">
          <cell r="B43" t="str">
            <v xml:space="preserve">  Lipitor/ Torcetrapib combo</v>
          </cell>
          <cell r="F43">
            <v>0</v>
          </cell>
          <cell r="G43">
            <v>10</v>
          </cell>
          <cell r="H43">
            <v>20</v>
          </cell>
          <cell r="I43">
            <v>45</v>
          </cell>
          <cell r="J43">
            <v>500</v>
          </cell>
          <cell r="K43">
            <v>1000</v>
          </cell>
          <cell r="L43">
            <v>2000</v>
          </cell>
          <cell r="M43" t="str">
            <v>internally developed</v>
          </cell>
          <cell r="N43" t="str">
            <v>internally developed</v>
          </cell>
          <cell r="O43">
            <v>750</v>
          </cell>
          <cell r="P43">
            <v>500</v>
          </cell>
        </row>
        <row r="44">
          <cell r="B44" t="str">
            <v xml:space="preserve">  Sutent</v>
          </cell>
          <cell r="E44">
            <v>0</v>
          </cell>
          <cell r="F44">
            <v>0</v>
          </cell>
          <cell r="G44">
            <v>775</v>
          </cell>
          <cell r="H44">
            <v>50</v>
          </cell>
          <cell r="I44">
            <v>100</v>
          </cell>
          <cell r="J44">
            <v>250</v>
          </cell>
          <cell r="K44">
            <v>300</v>
          </cell>
          <cell r="L44">
            <v>800</v>
          </cell>
          <cell r="M44" t="str">
            <v>internally developed</v>
          </cell>
          <cell r="N44">
            <v>4350</v>
          </cell>
          <cell r="O44">
            <v>3750</v>
          </cell>
          <cell r="P44">
            <v>500</v>
          </cell>
        </row>
        <row r="45">
          <cell r="B45" t="str">
            <v xml:space="preserve">  Champix</v>
          </cell>
          <cell r="C45">
            <v>1378</v>
          </cell>
          <cell r="D45">
            <v>1596</v>
          </cell>
          <cell r="E45">
            <v>759</v>
          </cell>
          <cell r="F45">
            <v>721</v>
          </cell>
          <cell r="G45">
            <v>1058.0098902236425</v>
          </cell>
          <cell r="H45">
            <v>100</v>
          </cell>
          <cell r="I45">
            <v>200</v>
          </cell>
          <cell r="J45">
            <v>450</v>
          </cell>
          <cell r="K45">
            <v>650</v>
          </cell>
          <cell r="L45">
            <v>800</v>
          </cell>
          <cell r="N45" t="str">
            <v>internally developed</v>
          </cell>
          <cell r="O45">
            <v>1705.8984386348302</v>
          </cell>
          <cell r="P45">
            <v>450</v>
          </cell>
        </row>
        <row r="47">
          <cell r="C47">
            <v>1378</v>
          </cell>
        </row>
        <row r="48">
          <cell r="C48">
            <v>1201.5</v>
          </cell>
        </row>
        <row r="49">
          <cell r="C49">
            <v>24116</v>
          </cell>
        </row>
        <row r="50">
          <cell r="C50">
            <v>1201.5</v>
          </cell>
        </row>
        <row r="51">
          <cell r="C51">
            <v>2986</v>
          </cell>
        </row>
        <row r="52">
          <cell r="C52">
            <v>1880.25</v>
          </cell>
        </row>
        <row r="53">
          <cell r="C53">
            <v>5033.5</v>
          </cell>
        </row>
        <row r="54">
          <cell r="B54" t="str">
            <v xml:space="preserve">   Animal Health</v>
          </cell>
          <cell r="C54">
            <v>31803.75</v>
          </cell>
          <cell r="D54">
            <v>1260.2</v>
          </cell>
          <cell r="E54">
            <v>1598.364</v>
          </cell>
          <cell r="F54">
            <v>1953</v>
          </cell>
          <cell r="G54">
            <v>2207</v>
          </cell>
          <cell r="H54">
            <v>2353.7700000000004</v>
          </cell>
          <cell r="I54">
            <v>2474.1432000000004</v>
          </cell>
          <cell r="J54">
            <v>2576.1632400000008</v>
          </cell>
          <cell r="K54">
            <v>2668.0409028000004</v>
          </cell>
          <cell r="L54">
            <v>2763.2586061080005</v>
          </cell>
          <cell r="N54">
            <v>4.7836558476302082E-2</v>
          </cell>
          <cell r="O54">
            <v>2.1058624615309718E-2</v>
          </cell>
          <cell r="P54">
            <v>3.457691146959152E-2</v>
          </cell>
        </row>
        <row r="55">
          <cell r="C55">
            <v>5033.5</v>
          </cell>
        </row>
        <row r="56">
          <cell r="C56">
            <v>26770.25</v>
          </cell>
        </row>
        <row r="57">
          <cell r="B57" t="str">
            <v>Other</v>
          </cell>
          <cell r="C57">
            <v>11023</v>
          </cell>
          <cell r="D57">
            <v>12637.3</v>
          </cell>
          <cell r="E57">
            <v>918</v>
          </cell>
          <cell r="F57">
            <v>914.2</v>
          </cell>
          <cell r="G57">
            <v>927</v>
          </cell>
          <cell r="H57">
            <v>927</v>
          </cell>
          <cell r="I57">
            <v>927</v>
          </cell>
          <cell r="J57">
            <v>927</v>
          </cell>
          <cell r="K57">
            <v>927</v>
          </cell>
          <cell r="L57">
            <v>927</v>
          </cell>
          <cell r="M57">
            <v>1.9022981639181813E-2</v>
          </cell>
          <cell r="N57">
            <v>1.9022981639181813E-2</v>
          </cell>
          <cell r="O57" t="str">
            <v xml:space="preserve">5-yr </v>
          </cell>
          <cell r="P57" t="str">
            <v>4-yr</v>
          </cell>
          <cell r="Q57" t="str">
            <v>3-yr</v>
          </cell>
        </row>
        <row r="58">
          <cell r="B58" t="str">
            <v>Total Revenues</v>
          </cell>
          <cell r="C58">
            <v>278</v>
          </cell>
          <cell r="D58">
            <v>34504.300000000003</v>
          </cell>
          <cell r="E58">
            <v>45188.364000000001</v>
          </cell>
          <cell r="F58">
            <v>52516</v>
          </cell>
          <cell r="G58">
            <v>51307</v>
          </cell>
          <cell r="H58">
            <v>51447.437212663077</v>
          </cell>
          <cell r="I58">
            <v>51078.053269491807</v>
          </cell>
          <cell r="J58">
            <v>53032.429129876822</v>
          </cell>
          <cell r="K58">
            <v>55601.585416849426</v>
          </cell>
          <cell r="L58">
            <v>57394.736318321411</v>
          </cell>
          <cell r="O58">
            <v>3.2530716810986737E-2</v>
          </cell>
          <cell r="P58">
            <v>2.4494228813634056E-3</v>
          </cell>
          <cell r="Q58">
            <v>1.1086471692310251E-2</v>
          </cell>
        </row>
        <row r="59">
          <cell r="B59" t="str">
            <v>COGS</v>
          </cell>
          <cell r="C59">
            <v>11178.25</v>
          </cell>
          <cell r="D59">
            <v>4895</v>
          </cell>
          <cell r="E59">
            <v>6932</v>
          </cell>
          <cell r="F59">
            <v>7502</v>
          </cell>
          <cell r="G59">
            <v>8326</v>
          </cell>
          <cell r="H59">
            <v>8231.5899540260907</v>
          </cell>
          <cell r="I59">
            <v>8172.488523118689</v>
          </cell>
          <cell r="J59">
            <v>8273.0589442607834</v>
          </cell>
          <cell r="K59">
            <v>8562.6441541948116</v>
          </cell>
          <cell r="L59">
            <v>8723.9999203848529</v>
          </cell>
          <cell r="N59">
            <v>2.0299416805708237E-2</v>
          </cell>
          <cell r="O59">
            <v>2.7371940020479713E-3</v>
          </cell>
          <cell r="P59">
            <v>-7.1798317503043441E-3</v>
          </cell>
          <cell r="Q59">
            <v>3.8262536163498062E-2</v>
          </cell>
        </row>
        <row r="60">
          <cell r="C60">
            <v>278</v>
          </cell>
        </row>
        <row r="61">
          <cell r="C61">
            <v>11178.25</v>
          </cell>
        </row>
        <row r="62">
          <cell r="B62" t="str">
            <v>R&amp;D</v>
          </cell>
          <cell r="C62">
            <v>16</v>
          </cell>
          <cell r="D62">
            <v>5232</v>
          </cell>
          <cell r="E62">
            <v>6964</v>
          </cell>
          <cell r="F62">
            <v>7619</v>
          </cell>
          <cell r="G62">
            <v>7391</v>
          </cell>
          <cell r="H62">
            <v>7717.1155818994603</v>
          </cell>
          <cell r="I62">
            <v>7559.5518838847875</v>
          </cell>
          <cell r="J62">
            <v>7742.7346529620145</v>
          </cell>
          <cell r="K62">
            <v>8006.6283000263165</v>
          </cell>
          <cell r="L62">
            <v>8264.8420298382807</v>
          </cell>
        </row>
        <row r="63">
          <cell r="C63">
            <v>2850.8362414456324</v>
          </cell>
        </row>
        <row r="64">
          <cell r="C64">
            <v>16</v>
          </cell>
        </row>
        <row r="65">
          <cell r="B65" t="str">
            <v>Net Income</v>
          </cell>
          <cell r="C65">
            <v>8311.4137585543685</v>
          </cell>
          <cell r="D65">
            <v>9839.658730907031</v>
          </cell>
          <cell r="E65">
            <v>12706.000000000004</v>
          </cell>
          <cell r="F65">
            <v>16139</v>
          </cell>
          <cell r="G65">
            <v>14688.548148955091</v>
          </cell>
          <cell r="H65">
            <v>15823.914018236352</v>
          </cell>
          <cell r="I65">
            <v>17073.736283529113</v>
          </cell>
          <cell r="J65">
            <v>18688.197535643285</v>
          </cell>
          <cell r="K65">
            <v>19757.138609490099</v>
          </cell>
          <cell r="L65">
            <v>5458.4769783143311</v>
          </cell>
        </row>
        <row r="66">
          <cell r="B66" t="str">
            <v>Tax Rate</v>
          </cell>
          <cell r="C66">
            <v>8311.4137585543685</v>
          </cell>
          <cell r="D66">
            <v>0.22675843861964926</v>
          </cell>
          <cell r="E66">
            <v>0.22449353185257501</v>
          </cell>
          <cell r="F66">
            <v>0.2178524725141667</v>
          </cell>
          <cell r="G66">
            <v>0.22253287770529151</v>
          </cell>
          <cell r="H66">
            <v>0.22253287770529151</v>
          </cell>
          <cell r="I66">
            <v>0.22253287770529151</v>
          </cell>
          <cell r="J66">
            <v>0.22253287770529151</v>
          </cell>
          <cell r="K66">
            <v>0.22253287770529151</v>
          </cell>
          <cell r="L66">
            <v>0.22253287770529151</v>
          </cell>
        </row>
        <row r="67">
          <cell r="B67" t="str">
            <v>Taxes</v>
          </cell>
          <cell r="C67">
            <v>8311.4137585543685</v>
          </cell>
          <cell r="D67">
            <v>2885.8412690929654</v>
          </cell>
          <cell r="E67">
            <v>3679</v>
          </cell>
          <cell r="F67">
            <v>4498</v>
          </cell>
          <cell r="G67">
            <v>4300.2253287770527</v>
          </cell>
          <cell r="H67">
            <v>4178.4093765221669</v>
          </cell>
          <cell r="I67">
            <v>4342.8202118084519</v>
          </cell>
          <cell r="J67">
            <v>4649.8091081510256</v>
          </cell>
          <cell r="K67">
            <v>4948.1624534593402</v>
          </cell>
          <cell r="L67">
            <v>5141.807559577871</v>
          </cell>
        </row>
        <row r="68">
          <cell r="C68">
            <v>-523</v>
          </cell>
        </row>
        <row r="69">
          <cell r="C69">
            <v>8311.4137585543685</v>
          </cell>
        </row>
        <row r="70">
          <cell r="C70">
            <v>-523</v>
          </cell>
        </row>
        <row r="71">
          <cell r="C71">
            <v>-523</v>
          </cell>
        </row>
        <row r="72">
          <cell r="C72">
            <v>7788</v>
          </cell>
        </row>
        <row r="73">
          <cell r="B73" t="str">
            <v>IPR &amp; D / Product Licensing Charges</v>
          </cell>
          <cell r="C73">
            <v>0.24</v>
          </cell>
          <cell r="D73">
            <v>0.22399999999999998</v>
          </cell>
          <cell r="E73">
            <v>-5052</v>
          </cell>
          <cell r="F73">
            <v>-822</v>
          </cell>
          <cell r="G73">
            <v>-1434.88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 t="str">
            <v>5-yr growth</v>
          </cell>
        </row>
        <row r="74">
          <cell r="C74">
            <v>1.3066206191722007</v>
          </cell>
        </row>
        <row r="75">
          <cell r="C75">
            <v>0.24</v>
          </cell>
        </row>
        <row r="76">
          <cell r="B76" t="str">
            <v>Disc. Operations</v>
          </cell>
          <cell r="C76" t="str">
            <v>--</v>
          </cell>
          <cell r="D76">
            <v>1.4E-2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 t="e">
            <v>#VALUE!</v>
          </cell>
          <cell r="N76" t="str">
            <v xml:space="preserve">5-yr </v>
          </cell>
          <cell r="O76" t="str">
            <v>4-yr</v>
          </cell>
          <cell r="P76" t="str">
            <v>3-yr</v>
          </cell>
        </row>
        <row r="77">
          <cell r="C77">
            <v>1.3066206191722007</v>
          </cell>
        </row>
        <row r="78">
          <cell r="A78" t="str">
            <v>E = Morgan Stanley Research Estimates       A = Actual       NM = Not Meaningful</v>
          </cell>
          <cell r="B78" t="str">
            <v>Annual EPS Growth</v>
          </cell>
          <cell r="C78" t="str">
            <v>--</v>
          </cell>
          <cell r="D78">
            <v>0.21730251857770955</v>
          </cell>
          <cell r="E78">
            <v>9.6466833783490857E-2</v>
          </cell>
          <cell r="F78">
            <v>0.21541873260468503</v>
          </cell>
          <cell r="G78">
            <v>-6.6884112980431509E-2</v>
          </cell>
          <cell r="H78">
            <v>9.5476329711248864E-2</v>
          </cell>
          <cell r="I78">
            <v>9.7351363477136355E-2</v>
          </cell>
          <cell r="J78">
            <v>0.11319820092536625</v>
          </cell>
          <cell r="K78">
            <v>7.5359194018708164E-2</v>
          </cell>
          <cell r="L78">
            <v>0</v>
          </cell>
          <cell r="M78">
            <v>0.36119642176862454</v>
          </cell>
          <cell r="N78">
            <v>0.10862324730854733</v>
          </cell>
          <cell r="O78" t="str">
            <v>3-yr</v>
          </cell>
          <cell r="P78" t="str">
            <v>3-yr</v>
          </cell>
          <cell r="Q78" t="str">
            <v>3-yr</v>
          </cell>
        </row>
        <row r="79">
          <cell r="C79">
            <v>6361</v>
          </cell>
        </row>
        <row r="80">
          <cell r="C80">
            <v>6361</v>
          </cell>
        </row>
        <row r="81">
          <cell r="C81" t="str">
            <v>2001A</v>
          </cell>
        </row>
        <row r="82">
          <cell r="A82" t="str">
            <v>E = Morgan Stanley Research Estimates       A = Actual       NM = Not Meaningful</v>
          </cell>
          <cell r="B82" t="str">
            <v>Annual EPS Growth</v>
          </cell>
          <cell r="C82" t="str">
            <v>--</v>
          </cell>
          <cell r="D82">
            <v>0.21730251857770955</v>
          </cell>
          <cell r="E82">
            <v>9.6466833783490857E-2</v>
          </cell>
          <cell r="F82">
            <v>0.21541873260468503</v>
          </cell>
          <cell r="G82">
            <v>-4.5128364617502137E-2</v>
          </cell>
          <cell r="H82">
            <v>-1.1417267627672367E-2</v>
          </cell>
          <cell r="I82">
            <v>6.0022056384030797E-2</v>
          </cell>
          <cell r="J82">
            <v>8.8910689479803073E-2</v>
          </cell>
          <cell r="K82">
            <v>8.2443417718437439E-2</v>
          </cell>
          <cell r="L82">
            <v>5.7270013899494154E-2</v>
          </cell>
          <cell r="N82">
            <v>0.32202092269528504</v>
          </cell>
          <cell r="O82" t="str">
            <v xml:space="preserve">5-yr </v>
          </cell>
          <cell r="P82" t="str">
            <v>4-yr</v>
          </cell>
          <cell r="Q82" t="str">
            <v>3-yr</v>
          </cell>
        </row>
        <row r="83">
          <cell r="B83" t="str">
            <v>Shares</v>
          </cell>
          <cell r="C83">
            <v>0.84173250009825884</v>
          </cell>
          <cell r="D83">
            <v>6241.25</v>
          </cell>
          <cell r="E83">
            <v>7285.6</v>
          </cell>
          <cell r="F83">
            <v>7613.9</v>
          </cell>
          <cell r="G83">
            <v>7411</v>
          </cell>
          <cell r="H83">
            <v>7285.7784999999994</v>
          </cell>
          <cell r="I83">
            <v>7142.6354999999994</v>
          </cell>
          <cell r="J83">
            <v>7022.5154999999995</v>
          </cell>
          <cell r="K83">
            <v>6903.3964999999989</v>
          </cell>
          <cell r="L83">
            <v>6784.2774999999992</v>
          </cell>
          <cell r="N83">
            <v>0.27389427162905911</v>
          </cell>
          <cell r="O83">
            <v>0.27674220698375618</v>
          </cell>
          <cell r="P83">
            <v>5.1004390405978484E-2</v>
          </cell>
          <cell r="Q83">
            <v>0.17947633737473057</v>
          </cell>
        </row>
        <row r="84">
          <cell r="A84" t="str">
            <v>E = Morgan Stanley Research Estimates       A = Actual       NM = Not Meaningful</v>
          </cell>
          <cell r="B84" t="str">
            <v>ADDITIONAL DATA</v>
          </cell>
          <cell r="C84">
            <v>0.84173250009825884</v>
          </cell>
          <cell r="D84" t="str">
            <v>2002E</v>
          </cell>
          <cell r="E84" t="str">
            <v>2003E</v>
          </cell>
          <cell r="F84" t="str">
            <v>2004E</v>
          </cell>
          <cell r="G84" t="str">
            <v>2005E</v>
          </cell>
          <cell r="H84" t="str">
            <v>2006E</v>
          </cell>
          <cell r="I84" t="str">
            <v>2007E</v>
          </cell>
          <cell r="J84" t="str">
            <v>2008E</v>
          </cell>
          <cell r="K84" t="str">
            <v>2008E</v>
          </cell>
          <cell r="L84" t="e">
            <v>#VALUE!</v>
          </cell>
          <cell r="O84" t="str">
            <v xml:space="preserve">5-yr </v>
          </cell>
          <cell r="P84" t="str">
            <v>4-yr</v>
          </cell>
          <cell r="Q84" t="str">
            <v>3-yr</v>
          </cell>
        </row>
        <row r="85">
          <cell r="B85" t="str">
            <v>Reported EPS</v>
          </cell>
          <cell r="C85">
            <v>0.34273474040011004</v>
          </cell>
          <cell r="D85">
            <v>0.36625290181223785</v>
          </cell>
          <cell r="E85">
            <v>0.53667508509937456</v>
          </cell>
          <cell r="F85">
            <v>1.4921393766663602</v>
          </cell>
          <cell r="G85">
            <v>1.1095830522196732</v>
          </cell>
          <cell r="H85">
            <v>1.4510630655492163</v>
          </cell>
          <cell r="I85">
            <v>1.4872086334427135</v>
          </cell>
          <cell r="J85">
            <v>1.838532334554182</v>
          </cell>
          <cell r="K85">
            <v>2.1395966857793569</v>
          </cell>
          <cell r="L85">
            <v>2.2764436841654829</v>
          </cell>
          <cell r="O85">
            <v>0.27923981435226786</v>
          </cell>
          <cell r="P85">
            <v>5.3575032574772807E-2</v>
          </cell>
          <cell r="Q85">
            <v>0.18332439860263916</v>
          </cell>
        </row>
        <row r="86">
          <cell r="B86" t="str">
            <v>Pre-tax margin</v>
          </cell>
          <cell r="C86">
            <v>0.35147584797390247</v>
          </cell>
          <cell r="D86">
            <v>0.36883808684714653</v>
          </cell>
          <cell r="E86">
            <v>0.36265973249219652</v>
          </cell>
          <cell r="F86">
            <v>20.105360443622921</v>
          </cell>
          <cell r="G86">
            <v>27.037182967049009</v>
          </cell>
          <cell r="H86">
            <v>20.674497692245534</v>
          </cell>
          <cell r="I86">
            <v>20.172018454837449</v>
          </cell>
          <cell r="J86">
            <v>16.317363277309219</v>
          </cell>
          <cell r="K86">
            <v>14.021334113757227</v>
          </cell>
          <cell r="L86">
            <v>13.178450320855463</v>
          </cell>
        </row>
        <row r="87">
          <cell r="C87">
            <v>0.34273474040011004</v>
          </cell>
        </row>
        <row r="88">
          <cell r="B88" t="str">
            <v>ADDITIONAL DATA</v>
          </cell>
          <cell r="C88">
            <v>0.35147584797390247</v>
          </cell>
          <cell r="D88" t="str">
            <v>2002E</v>
          </cell>
          <cell r="E88" t="str">
            <v>2003E</v>
          </cell>
          <cell r="F88" t="str">
            <v>2004E</v>
          </cell>
          <cell r="G88" t="str">
            <v>2005E</v>
          </cell>
          <cell r="H88" t="str">
            <v>2006E</v>
          </cell>
          <cell r="I88" t="str">
            <v>2007E</v>
          </cell>
          <cell r="J88" t="str">
            <v>2008E</v>
          </cell>
          <cell r="K88" t="str">
            <v>2009E</v>
          </cell>
          <cell r="L88" t="str">
            <v>2010E</v>
          </cell>
        </row>
        <row r="89">
          <cell r="B89" t="str">
            <v>Growth</v>
          </cell>
          <cell r="C89" t="str">
            <v>--</v>
          </cell>
          <cell r="D89">
            <v>0.11763974125062204</v>
          </cell>
          <cell r="E89">
            <v>0.4703372537379884</v>
          </cell>
          <cell r="F89">
            <v>0.16203414266607674</v>
          </cell>
          <cell r="G89">
            <v>4.8362036422100019E-2</v>
          </cell>
          <cell r="H89">
            <v>5.0536885426534228E-2</v>
          </cell>
          <cell r="I89">
            <v>1.2784324596068597E-2</v>
          </cell>
          <cell r="J89">
            <v>5.7327265370455072E-2</v>
          </cell>
          <cell r="K89">
            <v>0.3314167839128373</v>
          </cell>
          <cell r="L89">
            <v>0.44686978704254876</v>
          </cell>
        </row>
        <row r="90">
          <cell r="C90" t="str">
            <v>--</v>
          </cell>
        </row>
        <row r="91">
          <cell r="B91" t="str">
            <v xml:space="preserve">   Animal Health</v>
          </cell>
          <cell r="C91">
            <v>0.26133439479792064</v>
          </cell>
          <cell r="D91">
            <v>4.8855597170204046E-2</v>
          </cell>
          <cell r="E91">
            <v>0.26834153308998565</v>
          </cell>
          <cell r="F91">
            <v>0.17847799374860784</v>
          </cell>
          <cell r="G91">
            <v>9.9999999999999867E-2</v>
          </cell>
          <cell r="H91">
            <v>8.0000000000000293E-2</v>
          </cell>
          <cell r="I91">
            <v>6.5888413307703564E-2</v>
          </cell>
          <cell r="J91">
            <v>-0.23457019658113643</v>
          </cell>
          <cell r="K91">
            <v>5.5597331095601721E-2</v>
          </cell>
          <cell r="L91">
            <v>0.29035026674814912</v>
          </cell>
        </row>
        <row r="92">
          <cell r="B92" t="str">
            <v>Pre-tax margin</v>
          </cell>
          <cell r="C92" t="str">
            <v>--</v>
          </cell>
          <cell r="D92">
            <v>0.36883808684714653</v>
          </cell>
          <cell r="E92">
            <v>0.36265973249219652</v>
          </cell>
          <cell r="F92">
            <v>0.39315637139157589</v>
          </cell>
          <cell r="G92">
            <v>0.37663476718576411</v>
          </cell>
          <cell r="H92">
            <v>0.36496654603085166</v>
          </cell>
          <cell r="I92">
            <v>0.38207034418438063</v>
          </cell>
          <cell r="J92">
            <v>0.39400290101057062</v>
          </cell>
          <cell r="K92">
            <v>0.39991030037682868</v>
          </cell>
          <cell r="L92">
            <v>0.40257756561385377</v>
          </cell>
        </row>
        <row r="93">
          <cell r="B93" t="str">
            <v>Net income margin</v>
          </cell>
          <cell r="C93" t="str">
            <v>--</v>
          </cell>
          <cell r="D93">
            <v>0.28517195627521874</v>
          </cell>
          <cell r="E93">
            <v>0.28117857951219483</v>
          </cell>
          <cell r="F93">
            <v>0.30731586564094754</v>
          </cell>
          <cell r="G93">
            <v>0.2923577679458943</v>
          </cell>
          <cell r="H93">
            <v>0.28336074399317895</v>
          </cell>
          <cell r="I93">
            <v>0.29659683976607315</v>
          </cell>
          <cell r="J93">
            <v>0.30583403556599631</v>
          </cell>
          <cell r="K93">
            <v>0.3103955425485192</v>
          </cell>
          <cell r="L93">
            <v>0.31243327902138601</v>
          </cell>
        </row>
        <row r="94">
          <cell r="C94" t="str">
            <v>--</v>
          </cell>
        </row>
        <row r="95">
          <cell r="C95" t="str">
            <v>--</v>
          </cell>
        </row>
        <row r="96">
          <cell r="C96" t="str">
            <v>--</v>
          </cell>
        </row>
        <row r="97">
          <cell r="B97" t="str">
            <v xml:space="preserve">   Animal Health</v>
          </cell>
          <cell r="C97" t="str">
            <v>--</v>
          </cell>
          <cell r="D97">
            <v>4.8855597170204046E-2</v>
          </cell>
          <cell r="E97">
            <v>0.26834153308998565</v>
          </cell>
          <cell r="F97">
            <v>0.22187436653978687</v>
          </cell>
          <cell r="G97">
            <v>0.13005632360471076</v>
          </cell>
          <cell r="H97">
            <v>6.6502038966923527E-2</v>
          </cell>
          <cell r="I97">
            <v>5.1140595725155835E-2</v>
          </cell>
          <cell r="J97">
            <v>4.1234492813512214E-2</v>
          </cell>
          <cell r="K97">
            <v>3.5664534519171065E-2</v>
          </cell>
          <cell r="L97">
            <v>3.5688247210930335E-2</v>
          </cell>
        </row>
        <row r="98">
          <cell r="B98" t="str">
            <v xml:space="preserve">   Consumer Health</v>
          </cell>
          <cell r="C98" t="str">
            <v>--</v>
          </cell>
          <cell r="D98">
            <v>4.6885465505692725E-3</v>
          </cell>
          <cell r="E98">
            <v>1.4000000000000012E-2</v>
          </cell>
          <cell r="F98">
            <v>0.15581854043392496</v>
          </cell>
          <cell r="G98">
            <v>0.10295790671217286</v>
          </cell>
          <cell r="H98">
            <v>1.0015471892728334E-2</v>
          </cell>
          <cell r="I98">
            <v>2.4942759979983853E-2</v>
          </cell>
          <cell r="J98">
            <v>1.496714838932367E-2</v>
          </cell>
          <cell r="K98">
            <v>4.9917786651028084E-3</v>
          </cell>
          <cell r="L98">
            <v>5.0166544232337351E-3</v>
          </cell>
        </row>
        <row r="99">
          <cell r="C99" t="str">
            <v>--</v>
          </cell>
        </row>
        <row r="100">
          <cell r="C100" t="str">
            <v>--</v>
          </cell>
        </row>
        <row r="101">
          <cell r="B101" t="str">
            <v>Pre-tax profit</v>
          </cell>
          <cell r="C101" t="str">
            <v>--</v>
          </cell>
          <cell r="D101">
            <v>0.13850558003265268</v>
          </cell>
          <cell r="E101">
            <v>0.2877067536243274</v>
          </cell>
          <cell r="F101">
            <v>0.25988528191359506</v>
          </cell>
          <cell r="G101">
            <v>-7.5757797022485973E-2</v>
          </cell>
          <cell r="H101">
            <v>7.7269687196825476E-2</v>
          </cell>
          <cell r="I101">
            <v>7.8958181455333287E-2</v>
          </cell>
          <cell r="J101">
            <v>9.4530486642104616E-2</v>
          </cell>
          <cell r="K101">
            <v>5.7236921174491862E-2</v>
          </cell>
          <cell r="L101">
            <v>-0.13499220847389848</v>
          </cell>
        </row>
        <row r="102">
          <cell r="B102" t="str">
            <v>Sales of Products:</v>
          </cell>
          <cell r="C102" t="str">
            <v>--</v>
          </cell>
          <cell r="D102">
            <v>10</v>
          </cell>
          <cell r="E102">
            <v>14</v>
          </cell>
          <cell r="F102">
            <v>15</v>
          </cell>
          <cell r="G102">
            <v>17</v>
          </cell>
          <cell r="H102">
            <v>19</v>
          </cell>
          <cell r="I102">
            <v>21</v>
          </cell>
          <cell r="J102">
            <v>23</v>
          </cell>
          <cell r="K102">
            <v>5.7198725120925387E-2</v>
          </cell>
          <cell r="L102">
            <v>0.10228355392021737</v>
          </cell>
        </row>
        <row r="103">
          <cell r="C103">
            <v>10</v>
          </cell>
        </row>
        <row r="104">
          <cell r="C104">
            <v>7</v>
          </cell>
        </row>
        <row r="105">
          <cell r="B105" t="str">
            <v>Concentration of Pharmaceutical Revenues</v>
          </cell>
          <cell r="C105">
            <v>10</v>
          </cell>
          <cell r="D105">
            <v>10</v>
          </cell>
          <cell r="E105">
            <v>14</v>
          </cell>
          <cell r="F105">
            <v>16</v>
          </cell>
          <cell r="G105">
            <v>16</v>
          </cell>
          <cell r="H105">
            <v>16</v>
          </cell>
          <cell r="I105">
            <v>18</v>
          </cell>
          <cell r="J105">
            <v>20</v>
          </cell>
          <cell r="K105">
            <v>22</v>
          </cell>
          <cell r="L105">
            <v>3.9134751120216471E-2</v>
          </cell>
        </row>
        <row r="106">
          <cell r="C106">
            <v>7</v>
          </cell>
        </row>
        <row r="107">
          <cell r="C107">
            <v>0.26741582351965498</v>
          </cell>
        </row>
        <row r="108">
          <cell r="C108">
            <v>0.41594791839442691</v>
          </cell>
        </row>
        <row r="109">
          <cell r="C109" t="e">
            <v>#NULL!</v>
          </cell>
        </row>
        <row r="110">
          <cell r="C110" t="e">
            <v>#NULL!</v>
          </cell>
        </row>
        <row r="111">
          <cell r="C111" t="e">
            <v>#NULL!</v>
          </cell>
        </row>
        <row r="112">
          <cell r="C112" t="e">
            <v>#NULL!</v>
          </cell>
        </row>
        <row r="113">
          <cell r="B113" t="str">
            <v>Top Product</v>
          </cell>
          <cell r="C113" t="e">
            <v>#REF!</v>
          </cell>
          <cell r="D113" t="e">
            <v>#REF!</v>
          </cell>
          <cell r="E113" t="e">
            <v>#REF!</v>
          </cell>
          <cell r="F113" t="e">
            <v>#REF!</v>
          </cell>
          <cell r="G113" t="e">
            <v>#REF!</v>
          </cell>
          <cell r="H113" t="e">
            <v>#REF!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</row>
        <row r="114">
          <cell r="C114" t="e">
            <v>#REF!</v>
          </cell>
        </row>
        <row r="115">
          <cell r="C115" t="e">
            <v>#REF!</v>
          </cell>
        </row>
        <row r="116">
          <cell r="C116" t="e">
            <v>#REF!</v>
          </cell>
        </row>
        <row r="117">
          <cell r="C117" t="e">
            <v>#REF!</v>
          </cell>
        </row>
        <row r="120">
          <cell r="B120" t="str">
            <v>P&amp;L 2003-2005E ($millions)  (Assume $4.0 billion Cost Savings From PHA Merger)</v>
          </cell>
          <cell r="C120" t="str">
            <v>2001A</v>
          </cell>
          <cell r="D120" t="str">
            <v>2002A</v>
          </cell>
          <cell r="E120">
            <v>225</v>
          </cell>
          <cell r="F120">
            <v>400</v>
          </cell>
          <cell r="G120">
            <v>200</v>
          </cell>
          <cell r="H120" t="str">
            <v>2006E</v>
          </cell>
          <cell r="I120" t="str">
            <v>2007E</v>
          </cell>
          <cell r="J120" t="str">
            <v>2008E</v>
          </cell>
        </row>
        <row r="121">
          <cell r="C121" t="str">
            <v>2001A</v>
          </cell>
        </row>
        <row r="122">
          <cell r="B122" t="str">
            <v>COGS</v>
          </cell>
          <cell r="C122">
            <v>0.15826749990174116</v>
          </cell>
          <cell r="D122">
            <v>0.14186637607486602</v>
          </cell>
          <cell r="E122">
            <v>225</v>
          </cell>
          <cell r="F122">
            <v>400</v>
          </cell>
          <cell r="G122">
            <v>200</v>
          </cell>
          <cell r="H122">
            <v>0.14300000000000002</v>
          </cell>
          <cell r="I122">
            <v>0.16000000000000003</v>
          </cell>
          <cell r="J122">
            <v>0.1415495516427559</v>
          </cell>
          <cell r="K122">
            <v>0.16400000000000003</v>
          </cell>
        </row>
        <row r="123">
          <cell r="B123" t="str">
            <v>COGS ex. cost savings</v>
          </cell>
          <cell r="C123">
            <v>0.15826749990174116</v>
          </cell>
          <cell r="D123">
            <v>0.14186637607486602</v>
          </cell>
          <cell r="E123">
            <v>425</v>
          </cell>
          <cell r="F123">
            <v>1400</v>
          </cell>
          <cell r="G123">
            <v>700</v>
          </cell>
          <cell r="H123">
            <v>0</v>
          </cell>
          <cell r="I123">
            <v>0</v>
          </cell>
          <cell r="J123">
            <v>0</v>
          </cell>
          <cell r="K123" t="str">
            <v>2009E</v>
          </cell>
        </row>
        <row r="124">
          <cell r="C124">
            <v>0.15826749990174116</v>
          </cell>
        </row>
        <row r="125">
          <cell r="B125" t="str">
            <v>COGS ex. cost savings</v>
          </cell>
          <cell r="C125">
            <v>0.15826749990174116</v>
          </cell>
          <cell r="D125">
            <v>0.14186637607486602</v>
          </cell>
          <cell r="E125">
            <v>0.15838148068383268</v>
          </cell>
          <cell r="F125">
            <v>0.15046842866935792</v>
          </cell>
          <cell r="G125">
            <v>0.16587993089117409</v>
          </cell>
          <cell r="H125">
            <v>0.30200000000000005</v>
          </cell>
          <cell r="I125">
            <v>0.29400000000000004</v>
          </cell>
          <cell r="J125">
            <v>0.29320978554570865</v>
          </cell>
          <cell r="K125">
            <v>0.32000000000000006</v>
          </cell>
          <cell r="L125" t="str">
            <v>2010E</v>
          </cell>
        </row>
        <row r="126">
          <cell r="C126">
            <v>0</v>
          </cell>
        </row>
        <row r="127">
          <cell r="B127" t="str">
            <v xml:space="preserve">SG&amp;A </v>
          </cell>
          <cell r="C127">
            <v>0.34659434815076839</v>
          </cell>
          <cell r="D127">
            <v>0.34024744741959695</v>
          </cell>
          <cell r="E127">
            <v>0.33641403791471625</v>
          </cell>
          <cell r="F127">
            <v>0.32186381293320132</v>
          </cell>
          <cell r="G127">
            <v>0.31900000000000006</v>
          </cell>
          <cell r="H127">
            <v>0.31400000000000011</v>
          </cell>
          <cell r="I127">
            <v>0.30150000000000005</v>
          </cell>
          <cell r="J127">
            <v>0.29649999999999993</v>
          </cell>
          <cell r="K127">
            <v>0.29719999999999996</v>
          </cell>
          <cell r="L127" t="str">
            <v>2010E</v>
          </cell>
        </row>
        <row r="128">
          <cell r="C128">
            <v>0.34659434815076839</v>
          </cell>
        </row>
        <row r="129">
          <cell r="C129">
            <v>0.15240341154738041</v>
          </cell>
        </row>
        <row r="130">
          <cell r="B130" t="str">
            <v>R&amp;D ex. Cost savings</v>
          </cell>
          <cell r="C130">
            <v>0.15240341154738041</v>
          </cell>
          <cell r="D130">
            <v>0.1516332746932991</v>
          </cell>
          <cell r="E130">
            <v>0.1618558264246964</v>
          </cell>
          <cell r="F130">
            <v>0.14888795795567064</v>
          </cell>
          <cell r="G130">
            <v>0.15543996544558705</v>
          </cell>
          <cell r="H130">
            <v>0.14700000000000002</v>
          </cell>
          <cell r="I130">
            <v>0.13770000000000002</v>
          </cell>
          <cell r="J130">
            <v>0.1358</v>
          </cell>
          <cell r="K130">
            <v>0.13600000000000001</v>
          </cell>
          <cell r="L130">
            <v>0</v>
          </cell>
        </row>
        <row r="131">
          <cell r="C131">
            <v>0.15240341154738041</v>
          </cell>
        </row>
        <row r="132">
          <cell r="C132">
            <v>0.15240341154738041</v>
          </cell>
        </row>
        <row r="133">
          <cell r="C133">
            <v>6449</v>
          </cell>
        </row>
        <row r="134">
          <cell r="C134">
            <v>6449</v>
          </cell>
        </row>
        <row r="135">
          <cell r="C135">
            <v>3582</v>
          </cell>
        </row>
        <row r="136">
          <cell r="C136">
            <v>551</v>
          </cell>
        </row>
        <row r="137">
          <cell r="C137">
            <v>604</v>
          </cell>
        </row>
        <row r="138">
          <cell r="C138">
            <v>284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 t="str">
            <v>_2001</v>
          </cell>
        </row>
        <row r="142">
          <cell r="C142" t="str">
            <v>2001-fy</v>
          </cell>
        </row>
        <row r="143">
          <cell r="C143">
            <v>323</v>
          </cell>
        </row>
        <row r="144">
          <cell r="C144">
            <v>149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1507</v>
          </cell>
        </row>
        <row r="152">
          <cell r="C152">
            <v>1067</v>
          </cell>
        </row>
        <row r="153">
          <cell r="C153">
            <v>365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1518</v>
          </cell>
        </row>
        <row r="157">
          <cell r="C157">
            <v>0</v>
          </cell>
        </row>
        <row r="158">
          <cell r="C158">
            <v>2004</v>
          </cell>
        </row>
        <row r="159">
          <cell r="C159">
            <v>0</v>
          </cell>
        </row>
        <row r="160">
          <cell r="C160">
            <v>10862</v>
          </cell>
        </row>
        <row r="161">
          <cell r="C161">
            <v>50</v>
          </cell>
        </row>
        <row r="162">
          <cell r="C162">
            <v>5</v>
          </cell>
        </row>
        <row r="163">
          <cell r="C163">
            <v>323</v>
          </cell>
        </row>
        <row r="164">
          <cell r="C164">
            <v>2723</v>
          </cell>
        </row>
        <row r="165">
          <cell r="C165">
            <v>10</v>
          </cell>
        </row>
        <row r="166">
          <cell r="C166">
            <v>0</v>
          </cell>
        </row>
        <row r="167">
          <cell r="C167">
            <v>4588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721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"/>
      <sheetName val="2002"/>
      <sheetName val="__FDSCACHE__"/>
      <sheetName val="2003"/>
      <sheetName val="Natrecor-US"/>
      <sheetName val="Annual"/>
      <sheetName val="Balance Sheet"/>
      <sheetName val="Cash Flow"/>
      <sheetName val="Milestones"/>
      <sheetName val="Snap"/>
      <sheetName val="Sheet2"/>
      <sheetName val="NY UPLOAD shadow"/>
      <sheetName val="vendor"/>
    </sheetNames>
    <sheetDataSet>
      <sheetData sheetId="0"/>
      <sheetData sheetId="1"/>
      <sheetData sheetId="2"/>
      <sheetData sheetId="3"/>
      <sheetData sheetId="4"/>
      <sheetData sheetId="5" refreshError="1">
        <row r="18">
          <cell r="G18">
            <v>118000</v>
          </cell>
          <cell r="I18">
            <v>125000</v>
          </cell>
          <cell r="K18">
            <v>130000</v>
          </cell>
        </row>
      </sheetData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RI"/>
      <sheetName val="BULLBEAR"/>
      <sheetName val="Sheet2"/>
      <sheetName val="DCF"/>
      <sheetName val="MWA RR"/>
      <sheetName val="Cash Flow"/>
      <sheetName val="upside_downside"/>
      <sheetName val="Income Statement"/>
      <sheetName val="Balance Sheet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Good 12-00 (2)"/>
      <sheetName val="Good 11-36"/>
      <sheetName val="Good 11-50"/>
      <sheetName val="Sheet3 (5)"/>
      <sheetName val="Inputs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rev change analysis"/>
      <sheetName val="rev contribution analysis"/>
      <sheetName val="WP Detail "/>
      <sheetName val="Model"/>
      <sheetName val="Sheet4"/>
      <sheetName val="ForeignStake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  <sheetName val=" Capital"/>
      <sheetName val="New Business"/>
      <sheetName val="Charts"/>
      <sheetName val="Pension"/>
      <sheetName val="Walk"/>
      <sheetName val="Chart 6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antDisclosures"/>
      <sheetName val="summary"/>
      <sheetName val="consensus"/>
      <sheetName val="Gaap Adj"/>
      <sheetName val="COVER SHEET"/>
      <sheetName val="MW-Cache"/>
      <sheetName val="__FDSCACHE__"/>
      <sheetName val="IS-ANNUAL"/>
      <sheetName val="IS-QTRLY"/>
      <sheetName val="REV-ANNUAL"/>
      <sheetName val="REV-QTRLY"/>
      <sheetName val="SEL_FRANCHISES"/>
      <sheetName val="CFBS"/>
      <sheetName val="FOOTNOTES"/>
      <sheetName val="AGREEMENTS"/>
      <sheetName val="MGMT PROJECTIONS"/>
      <sheetName val="PIPELINE"/>
      <sheetName val="PIPELINE_UNADJ"/>
      <sheetName val="DCF"/>
      <sheetName val="DEBT"/>
      <sheetName val="patent expirations"/>
      <sheetName val="Var-YOY"/>
      <sheetName val="Var-Seq"/>
      <sheetName val="revenue snapshot"/>
      <sheetName val="rev contribution analysis"/>
      <sheetName val="rev change analysis"/>
      <sheetName val="2015 rev change"/>
      <sheetName val="MWA RR"/>
      <sheetName val="mwareDates"/>
      <sheetName val="MW Valuation"/>
      <sheetName val="mwareSettings"/>
      <sheetName val="ANOMALIES"/>
      <sheetName val="ASSUMPTIONS"/>
      <sheetName val="2008 pro forma EPS (wIMCL)"/>
      <sheetName val="prasugrel sales potential"/>
      <sheetName val="prasugrel npv"/>
      <sheetName val="Cialis JV"/>
      <sheetName val="tabs"/>
      <sheetName val="pipeline_summary"/>
      <sheetName val="C38001"/>
      <sheetName val="C3800"/>
      <sheetName val="Product Mix"/>
      <sheetName val="calendar"/>
      <sheetName val="patents"/>
      <sheetName val="launches"/>
      <sheetName val="pipeline handout"/>
      <sheetName val="FCF vs Guidance"/>
      <sheetName val="#REF"/>
      <sheetName val="diabetes_multiple"/>
      <sheetName val="TR Convert"/>
      <sheetName val="Annual"/>
      <sheetName val="Becker"/>
      <sheetName val="HGSI"/>
      <sheetName val="Partnerships"/>
    </sheetNames>
    <sheetDataSet>
      <sheetData sheetId="0" refreshError="1"/>
      <sheetData sheetId="1">
        <row r="1">
          <cell r="B1" t="str">
            <v>Eli Lilly &amp; Co.</v>
          </cell>
        </row>
      </sheetData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/>
      <sheetData sheetId="12"/>
      <sheetData sheetId="13" refreshError="1"/>
      <sheetData sheetId="14" refreshError="1"/>
      <sheetData sheetId="15"/>
      <sheetData sheetId="16"/>
      <sheetData sheetId="17"/>
      <sheetData sheetId="18" refreshError="1"/>
      <sheetData sheetId="19"/>
      <sheetData sheetId="20"/>
      <sheetData sheetId="21"/>
      <sheetData sheetId="22"/>
      <sheetData sheetId="23"/>
      <sheetData sheetId="24" refreshError="1">
        <row r="1">
          <cell r="U1" t="str">
            <v>SmartCharts</v>
          </cell>
          <cell r="BD1" t="str">
            <v>.</v>
          </cell>
        </row>
        <row r="2">
          <cell r="BD2" t="str">
            <v>.</v>
          </cell>
        </row>
        <row r="3">
          <cell r="BD3" t="str">
            <v>.</v>
          </cell>
        </row>
        <row r="4">
          <cell r="BD4" t="str">
            <v>.</v>
          </cell>
        </row>
        <row r="5">
          <cell r="C5" t="str">
            <v>Define value axis here:</v>
          </cell>
        </row>
        <row r="6">
          <cell r="C6" t="str">
            <v>Eli Lilly revenue contributions 2010E-2015E</v>
          </cell>
        </row>
        <row r="10">
          <cell r="C10" t="str">
            <v>Input your data here:</v>
          </cell>
          <cell r="BD10" t="str">
            <v>.</v>
          </cell>
        </row>
        <row r="11">
          <cell r="C11" t="str">
            <v>Sales ($M)</v>
          </cell>
          <cell r="D11" t="str">
            <v>2010E</v>
          </cell>
          <cell r="E11" t="str">
            <v>2011E</v>
          </cell>
          <cell r="F11" t="str">
            <v>2012E</v>
          </cell>
          <cell r="G11" t="str">
            <v>2013E</v>
          </cell>
          <cell r="H11" t="str">
            <v>2014E</v>
          </cell>
          <cell r="I11" t="str">
            <v>2015E</v>
          </cell>
          <cell r="BD11" t="str">
            <v>.</v>
          </cell>
        </row>
        <row r="12">
          <cell r="C12" t="str">
            <v>In-line products</v>
          </cell>
          <cell r="D12">
            <v>8741.7301775000014</v>
          </cell>
          <cell r="E12">
            <v>9422.206420550001</v>
          </cell>
          <cell r="F12">
            <v>9908.4720542889991</v>
          </cell>
          <cell r="G12">
            <v>10300.675416810274</v>
          </cell>
          <cell r="H12">
            <v>10709.128179281421</v>
          </cell>
          <cell r="I12">
            <v>10990.829805762725</v>
          </cell>
          <cell r="BD12" t="str">
            <v>.</v>
          </cell>
        </row>
        <row r="13">
          <cell r="C13" t="str">
            <v>Pipeline products launching 2010–2015</v>
          </cell>
          <cell r="D13">
            <v>141.25</v>
          </cell>
          <cell r="E13">
            <v>332.1875</v>
          </cell>
          <cell r="F13">
            <v>643.02499999999986</v>
          </cell>
          <cell r="G13">
            <v>1188.9100000000001</v>
          </cell>
          <cell r="H13">
            <v>2060.8072999999999</v>
          </cell>
          <cell r="I13">
            <v>3252.5061575</v>
          </cell>
          <cell r="BD13" t="str">
            <v>.</v>
          </cell>
        </row>
        <row r="14">
          <cell r="C14" t="str">
            <v>Products expiring 2010–2015</v>
          </cell>
          <cell r="D14">
            <v>13516.758760000001</v>
          </cell>
          <cell r="E14">
            <v>13145.262609800002</v>
          </cell>
          <cell r="F14">
            <v>10919.249930854003</v>
          </cell>
          <cell r="G14">
            <v>10206.164042898221</v>
          </cell>
          <cell r="H14">
            <v>7639.4611699592915</v>
          </cell>
          <cell r="I14">
            <v>5257.1242554678174</v>
          </cell>
          <cell r="BD14" t="str">
            <v>.</v>
          </cell>
        </row>
        <row r="15">
          <cell r="C15" t="str">
            <v>Δ in expiring products off 2010 base</v>
          </cell>
          <cell r="D15">
            <v>0</v>
          </cell>
          <cell r="E15">
            <v>-371.49615019999874</v>
          </cell>
          <cell r="F15">
            <v>-2597.5088291459979</v>
          </cell>
          <cell r="G15">
            <v>-3310.5947171017797</v>
          </cell>
          <cell r="H15">
            <v>-5877.2975900407091</v>
          </cell>
          <cell r="I15">
            <v>-8259.6345045321832</v>
          </cell>
          <cell r="BD15" t="str">
            <v>.</v>
          </cell>
        </row>
        <row r="16">
          <cell r="C16" t="str">
            <v>Net product sales</v>
          </cell>
          <cell r="D16">
            <v>22399.738937500002</v>
          </cell>
          <cell r="E16">
            <v>22899.656530350003</v>
          </cell>
          <cell r="F16">
            <v>21470.746985143003</v>
          </cell>
          <cell r="G16">
            <v>21695.749459708495</v>
          </cell>
          <cell r="H16">
            <v>20409.396649240713</v>
          </cell>
          <cell r="I16">
            <v>19500.460218730543</v>
          </cell>
          <cell r="BD16" t="str">
            <v>.</v>
          </cell>
        </row>
        <row r="17">
          <cell r="BD17" t="str">
            <v>.</v>
          </cell>
        </row>
        <row r="18">
          <cell r="BD18" t="str">
            <v>.</v>
          </cell>
        </row>
        <row r="20">
          <cell r="BD20" t="str">
            <v>.</v>
          </cell>
        </row>
        <row r="21">
          <cell r="BD21" t="str">
            <v>.</v>
          </cell>
        </row>
        <row r="22">
          <cell r="BD22" t="str">
            <v>.</v>
          </cell>
        </row>
        <row r="23">
          <cell r="BD23" t="str">
            <v>.</v>
          </cell>
        </row>
        <row r="24">
          <cell r="BD24" t="str">
            <v>.</v>
          </cell>
        </row>
        <row r="25">
          <cell r="BD25" t="str">
            <v>.</v>
          </cell>
        </row>
        <row r="26">
          <cell r="BD26" t="str">
            <v>.</v>
          </cell>
        </row>
        <row r="27">
          <cell r="BD27" t="str">
            <v>.</v>
          </cell>
        </row>
        <row r="28">
          <cell r="BD28" t="str">
            <v>.</v>
          </cell>
        </row>
        <row r="29">
          <cell r="BD29" t="str">
            <v>.</v>
          </cell>
        </row>
        <row r="30">
          <cell r="BD30" t="str">
            <v>.</v>
          </cell>
        </row>
        <row r="31">
          <cell r="BD31" t="str">
            <v>.</v>
          </cell>
        </row>
        <row r="32">
          <cell r="BD32" t="str">
            <v>.</v>
          </cell>
        </row>
        <row r="33">
          <cell r="BD33" t="str">
            <v>.</v>
          </cell>
        </row>
        <row r="34">
          <cell r="BD34" t="str">
            <v>.</v>
          </cell>
        </row>
        <row r="35">
          <cell r="BD35" t="str">
            <v>.</v>
          </cell>
        </row>
        <row r="36">
          <cell r="BD36" t="str">
            <v>.</v>
          </cell>
        </row>
        <row r="37">
          <cell r="M37" t="str">
            <v>Do not change the width of the exhibit or font sizes (they are optimized for export to Word).</v>
          </cell>
          <cell r="BD37" t="str">
            <v>.</v>
          </cell>
        </row>
        <row r="38">
          <cell r="BD38" t="str">
            <v>.</v>
          </cell>
        </row>
        <row r="39">
          <cell r="M39" t="str">
            <v>Do not delete any rows or columns (some gray cells are used for calculations).</v>
          </cell>
          <cell r="BD39" t="str">
            <v>.</v>
          </cell>
        </row>
        <row r="40">
          <cell r="BD40" t="str">
            <v>.</v>
          </cell>
        </row>
        <row r="41">
          <cell r="BD41" t="str">
            <v>.</v>
          </cell>
        </row>
        <row r="42">
          <cell r="BD42" t="str">
            <v>.</v>
          </cell>
        </row>
        <row r="43">
          <cell r="BD43" t="str">
            <v>.</v>
          </cell>
        </row>
        <row r="44">
          <cell r="BD44" t="str">
            <v>.</v>
          </cell>
        </row>
        <row r="45">
          <cell r="BD45" t="str">
            <v>.</v>
          </cell>
        </row>
        <row r="46">
          <cell r="BD46" t="str">
            <v>.</v>
          </cell>
        </row>
        <row r="47">
          <cell r="BD47" t="str">
            <v>.</v>
          </cell>
        </row>
        <row r="48">
          <cell r="BD48" t="str">
            <v>.</v>
          </cell>
        </row>
        <row r="49">
          <cell r="BD49" t="str">
            <v>.</v>
          </cell>
        </row>
        <row r="50">
          <cell r="BD50" t="str">
            <v>.</v>
          </cell>
        </row>
        <row r="51">
          <cell r="BD51" t="str">
            <v>.</v>
          </cell>
        </row>
        <row r="52">
          <cell r="BD52" t="str">
            <v>.</v>
          </cell>
        </row>
        <row r="53">
          <cell r="BD53" t="str">
            <v>.</v>
          </cell>
        </row>
        <row r="54">
          <cell r="BD54" t="str">
            <v>.</v>
          </cell>
        </row>
        <row r="55">
          <cell r="BD55" t="str">
            <v>.</v>
          </cell>
        </row>
        <row r="56">
          <cell r="BD56" t="str">
            <v>.</v>
          </cell>
        </row>
        <row r="57">
          <cell r="BD57" t="str">
            <v>.</v>
          </cell>
        </row>
        <row r="58">
          <cell r="BD58" t="str">
            <v>.</v>
          </cell>
        </row>
        <row r="59">
          <cell r="BD59" t="str">
            <v>.</v>
          </cell>
        </row>
        <row r="60">
          <cell r="BD60" t="str">
            <v>.</v>
          </cell>
        </row>
        <row r="61">
          <cell r="BD61" t="str">
            <v>.</v>
          </cell>
        </row>
        <row r="62">
          <cell r="BD62" t="str">
            <v>.</v>
          </cell>
        </row>
        <row r="63">
          <cell r="BD63" t="str">
            <v>.</v>
          </cell>
        </row>
        <row r="64">
          <cell r="BD64" t="str">
            <v>.</v>
          </cell>
        </row>
        <row r="65">
          <cell r="BD65" t="str">
            <v>.</v>
          </cell>
        </row>
        <row r="66">
          <cell r="BD66" t="str">
            <v>.</v>
          </cell>
        </row>
        <row r="67">
          <cell r="BD67" t="str">
            <v>.</v>
          </cell>
        </row>
        <row r="68">
          <cell r="BD68" t="str">
            <v>.</v>
          </cell>
        </row>
        <row r="69">
          <cell r="BD69" t="str">
            <v>.</v>
          </cell>
        </row>
        <row r="70">
          <cell r="BD70" t="str">
            <v>.</v>
          </cell>
        </row>
        <row r="71">
          <cell r="BD71" t="str">
            <v>.</v>
          </cell>
        </row>
        <row r="72">
          <cell r="BD72" t="str">
            <v>.</v>
          </cell>
        </row>
        <row r="73">
          <cell r="BD73" t="str">
            <v>.</v>
          </cell>
        </row>
        <row r="74">
          <cell r="BD74" t="str">
            <v>.</v>
          </cell>
        </row>
        <row r="75">
          <cell r="BD75" t="str">
            <v>.</v>
          </cell>
        </row>
        <row r="76">
          <cell r="BD76" t="str">
            <v>.</v>
          </cell>
        </row>
        <row r="77">
          <cell r="BD77" t="str">
            <v>.</v>
          </cell>
        </row>
        <row r="78">
          <cell r="BD78" t="str">
            <v>.</v>
          </cell>
        </row>
        <row r="79">
          <cell r="BD79" t="str">
            <v>.</v>
          </cell>
        </row>
        <row r="80">
          <cell r="BD80" t="str">
            <v>.</v>
          </cell>
        </row>
        <row r="81">
          <cell r="BD81" t="str">
            <v>.</v>
          </cell>
        </row>
        <row r="82">
          <cell r="BD82" t="str">
            <v>.</v>
          </cell>
        </row>
        <row r="83">
          <cell r="BD83" t="str">
            <v>.</v>
          </cell>
        </row>
        <row r="84">
          <cell r="BD84" t="str">
            <v>.</v>
          </cell>
        </row>
        <row r="85">
          <cell r="BD85" t="str">
            <v>.</v>
          </cell>
        </row>
        <row r="86">
          <cell r="BD86" t="str">
            <v>.</v>
          </cell>
        </row>
        <row r="87">
          <cell r="BD87" t="str">
            <v>.</v>
          </cell>
        </row>
        <row r="88">
          <cell r="BD88" t="str">
            <v>.</v>
          </cell>
        </row>
        <row r="89">
          <cell r="BD89" t="str">
            <v>.</v>
          </cell>
        </row>
        <row r="90">
          <cell r="BD90" t="str">
            <v>.</v>
          </cell>
        </row>
        <row r="91">
          <cell r="BD91" t="str">
            <v>.</v>
          </cell>
        </row>
        <row r="92">
          <cell r="BD92" t="str">
            <v>.</v>
          </cell>
        </row>
        <row r="93">
          <cell r="BD93" t="str">
            <v>.</v>
          </cell>
        </row>
        <row r="94">
          <cell r="BD94" t="str">
            <v>.</v>
          </cell>
        </row>
        <row r="95">
          <cell r="BD95" t="str">
            <v>.</v>
          </cell>
        </row>
        <row r="96">
          <cell r="BD96" t="str">
            <v>.</v>
          </cell>
        </row>
        <row r="97">
          <cell r="BD97" t="str">
            <v>.</v>
          </cell>
        </row>
        <row r="98">
          <cell r="BD98" t="str">
            <v>.</v>
          </cell>
        </row>
        <row r="99">
          <cell r="BD99" t="str">
            <v>.</v>
          </cell>
        </row>
        <row r="100">
          <cell r="BD100" t="str">
            <v>.</v>
          </cell>
        </row>
        <row r="101">
          <cell r="BD101" t="str">
            <v>.</v>
          </cell>
        </row>
        <row r="102">
          <cell r="BD102" t="str">
            <v>.</v>
          </cell>
        </row>
        <row r="103">
          <cell r="BD103" t="str">
            <v>.</v>
          </cell>
        </row>
        <row r="104">
          <cell r="BD104" t="str">
            <v>.</v>
          </cell>
        </row>
        <row r="105">
          <cell r="BD105" t="str">
            <v>.</v>
          </cell>
        </row>
        <row r="106">
          <cell r="BD106" t="str">
            <v>.</v>
          </cell>
        </row>
        <row r="107">
          <cell r="BD107" t="str">
            <v>.</v>
          </cell>
        </row>
        <row r="108">
          <cell r="BD108" t="str">
            <v>.</v>
          </cell>
        </row>
        <row r="109">
          <cell r="BD109" t="str">
            <v>.</v>
          </cell>
        </row>
        <row r="110">
          <cell r="BD110" t="str">
            <v>.</v>
          </cell>
        </row>
        <row r="111">
          <cell r="BD111" t="str">
            <v>.</v>
          </cell>
        </row>
        <row r="112">
          <cell r="BD112" t="str">
            <v>.</v>
          </cell>
        </row>
        <row r="113">
          <cell r="BD113" t="str">
            <v>.</v>
          </cell>
        </row>
        <row r="114">
          <cell r="BD114" t="str">
            <v>.</v>
          </cell>
        </row>
        <row r="115">
          <cell r="BD115" t="str">
            <v>.</v>
          </cell>
        </row>
        <row r="116">
          <cell r="BD116" t="str">
            <v>.</v>
          </cell>
        </row>
        <row r="117">
          <cell r="BD117" t="str">
            <v>.</v>
          </cell>
        </row>
        <row r="118">
          <cell r="BD118" t="str">
            <v>.</v>
          </cell>
        </row>
        <row r="119">
          <cell r="BD119" t="str">
            <v>.</v>
          </cell>
        </row>
        <row r="120">
          <cell r="BD120" t="str">
            <v>.</v>
          </cell>
        </row>
        <row r="121">
          <cell r="BD121" t="str">
            <v>.</v>
          </cell>
        </row>
        <row r="122">
          <cell r="BD122" t="str">
            <v>.</v>
          </cell>
        </row>
        <row r="123">
          <cell r="BD123" t="str">
            <v>.</v>
          </cell>
        </row>
        <row r="124">
          <cell r="BD124" t="str">
            <v>.</v>
          </cell>
        </row>
        <row r="125">
          <cell r="BD125" t="str">
            <v>.</v>
          </cell>
        </row>
        <row r="126">
          <cell r="BD126" t="str">
            <v>.</v>
          </cell>
        </row>
        <row r="127">
          <cell r="BD127" t="str">
            <v>.</v>
          </cell>
        </row>
        <row r="128">
          <cell r="BD128" t="str">
            <v>.</v>
          </cell>
        </row>
        <row r="129">
          <cell r="BD129" t="str">
            <v>.</v>
          </cell>
        </row>
        <row r="130">
          <cell r="BD130" t="str">
            <v>.</v>
          </cell>
        </row>
        <row r="131">
          <cell r="BD131" t="str">
            <v>.</v>
          </cell>
        </row>
        <row r="132">
          <cell r="BD132" t="str">
            <v>.</v>
          </cell>
        </row>
        <row r="133">
          <cell r="BD133" t="str">
            <v>.</v>
          </cell>
        </row>
        <row r="134">
          <cell r="BD134" t="str">
            <v>.</v>
          </cell>
        </row>
        <row r="135">
          <cell r="BD135" t="str">
            <v>.</v>
          </cell>
        </row>
        <row r="136">
          <cell r="BD136" t="str">
            <v>.</v>
          </cell>
        </row>
        <row r="137">
          <cell r="BD137" t="str">
            <v>.</v>
          </cell>
        </row>
        <row r="138">
          <cell r="BD138" t="str">
            <v>.</v>
          </cell>
        </row>
        <row r="139">
          <cell r="BD139" t="str">
            <v>.</v>
          </cell>
        </row>
        <row r="140">
          <cell r="BD140" t="str">
            <v>.</v>
          </cell>
        </row>
        <row r="141">
          <cell r="BD141" t="str">
            <v>.</v>
          </cell>
        </row>
        <row r="142">
          <cell r="BD142" t="str">
            <v>.</v>
          </cell>
        </row>
        <row r="143">
          <cell r="BD143" t="str">
            <v>.</v>
          </cell>
        </row>
        <row r="144">
          <cell r="BD144" t="str">
            <v>.</v>
          </cell>
        </row>
        <row r="145">
          <cell r="BD145" t="str">
            <v>.</v>
          </cell>
        </row>
        <row r="146">
          <cell r="BD146" t="str">
            <v>.</v>
          </cell>
        </row>
        <row r="147">
          <cell r="BD147" t="str">
            <v>.</v>
          </cell>
        </row>
        <row r="148">
          <cell r="BD148" t="str">
            <v>.</v>
          </cell>
        </row>
        <row r="149">
          <cell r="BD149" t="str">
            <v>.</v>
          </cell>
        </row>
        <row r="150">
          <cell r="BD150" t="str">
            <v>.</v>
          </cell>
        </row>
        <row r="151">
          <cell r="BD151" t="str">
            <v>.</v>
          </cell>
        </row>
        <row r="152">
          <cell r="BD152" t="str">
            <v>.</v>
          </cell>
        </row>
        <row r="153">
          <cell r="BD153" t="str">
            <v>.</v>
          </cell>
        </row>
        <row r="154">
          <cell r="BD154" t="str">
            <v>.</v>
          </cell>
        </row>
        <row r="155">
          <cell r="BD155" t="str">
            <v>.</v>
          </cell>
        </row>
        <row r="156">
          <cell r="BD156" t="str">
            <v>.</v>
          </cell>
        </row>
        <row r="157">
          <cell r="BD157" t="str">
            <v>.</v>
          </cell>
        </row>
        <row r="158">
          <cell r="BD158" t="str">
            <v>.</v>
          </cell>
        </row>
        <row r="159">
          <cell r="BD159" t="str">
            <v>.</v>
          </cell>
        </row>
        <row r="160">
          <cell r="BD160" t="str">
            <v>.</v>
          </cell>
        </row>
        <row r="161">
          <cell r="BD161" t="str">
            <v>.</v>
          </cell>
        </row>
        <row r="162">
          <cell r="BD162" t="str">
            <v>.</v>
          </cell>
        </row>
        <row r="163">
          <cell r="BD163" t="str">
            <v>.</v>
          </cell>
        </row>
        <row r="164">
          <cell r="BD164" t="str">
            <v>.</v>
          </cell>
        </row>
        <row r="165">
          <cell r="BD165" t="str">
            <v>.</v>
          </cell>
        </row>
        <row r="166">
          <cell r="BD166" t="str">
            <v>.</v>
          </cell>
        </row>
        <row r="167">
          <cell r="BD167" t="str">
            <v>.</v>
          </cell>
        </row>
        <row r="168">
          <cell r="BD168" t="str">
            <v>.</v>
          </cell>
        </row>
        <row r="169">
          <cell r="BD169" t="str">
            <v>.</v>
          </cell>
        </row>
        <row r="170">
          <cell r="BD170" t="str">
            <v>.</v>
          </cell>
        </row>
        <row r="171">
          <cell r="BD171" t="str">
            <v>.</v>
          </cell>
        </row>
        <row r="172">
          <cell r="BD172" t="str">
            <v>.</v>
          </cell>
        </row>
        <row r="173">
          <cell r="BD173" t="str">
            <v>.</v>
          </cell>
        </row>
        <row r="174">
          <cell r="BD174" t="str">
            <v>.</v>
          </cell>
        </row>
        <row r="175">
          <cell r="BD175" t="str">
            <v>.</v>
          </cell>
        </row>
        <row r="176">
          <cell r="BD176" t="str">
            <v>.</v>
          </cell>
        </row>
        <row r="177">
          <cell r="BD177" t="str">
            <v>.</v>
          </cell>
        </row>
        <row r="178">
          <cell r="BD178" t="str">
            <v>.</v>
          </cell>
        </row>
        <row r="179">
          <cell r="BD179" t="str">
            <v>.</v>
          </cell>
        </row>
        <row r="180">
          <cell r="BD180" t="str">
            <v>.</v>
          </cell>
        </row>
        <row r="181">
          <cell r="BD181" t="str">
            <v>.</v>
          </cell>
        </row>
        <row r="182">
          <cell r="BD182" t="str">
            <v>.</v>
          </cell>
        </row>
        <row r="183">
          <cell r="BD183" t="str">
            <v>.</v>
          </cell>
        </row>
        <row r="184">
          <cell r="BD184" t="str">
            <v>.</v>
          </cell>
        </row>
        <row r="185">
          <cell r="BD185" t="str">
            <v>.</v>
          </cell>
        </row>
        <row r="186">
          <cell r="BD186" t="str">
            <v>.</v>
          </cell>
        </row>
        <row r="187">
          <cell r="BD187" t="str">
            <v>.</v>
          </cell>
        </row>
        <row r="188">
          <cell r="BD188" t="str">
            <v>.</v>
          </cell>
        </row>
        <row r="189">
          <cell r="BD189" t="str">
            <v>.</v>
          </cell>
        </row>
        <row r="190">
          <cell r="BD190" t="str">
            <v>.</v>
          </cell>
        </row>
        <row r="191">
          <cell r="BD191" t="str">
            <v>.</v>
          </cell>
        </row>
        <row r="192">
          <cell r="BD192" t="str">
            <v>.</v>
          </cell>
        </row>
        <row r="193">
          <cell r="BD193" t="str">
            <v>.</v>
          </cell>
        </row>
        <row r="194">
          <cell r="BD194" t="str">
            <v>.</v>
          </cell>
        </row>
        <row r="195">
          <cell r="BD195" t="str">
            <v>.</v>
          </cell>
        </row>
        <row r="196">
          <cell r="BD196" t="str">
            <v>.</v>
          </cell>
        </row>
        <row r="197">
          <cell r="BD197" t="str">
            <v>.</v>
          </cell>
        </row>
        <row r="198">
          <cell r="BD198" t="str">
            <v>.</v>
          </cell>
        </row>
        <row r="199">
          <cell r="BD199" t="str">
            <v>.</v>
          </cell>
        </row>
        <row r="200">
          <cell r="BD200" t="str">
            <v>.</v>
          </cell>
        </row>
        <row r="201">
          <cell r="BD201" t="str">
            <v>.</v>
          </cell>
        </row>
        <row r="202">
          <cell r="BD202" t="str">
            <v>.</v>
          </cell>
        </row>
        <row r="203">
          <cell r="BD203" t="str">
            <v>.</v>
          </cell>
        </row>
        <row r="204">
          <cell r="BD204" t="str">
            <v>.</v>
          </cell>
        </row>
        <row r="205">
          <cell r="BD205" t="str">
            <v>.</v>
          </cell>
        </row>
        <row r="206">
          <cell r="BD206" t="str">
            <v>.</v>
          </cell>
        </row>
        <row r="207">
          <cell r="BD207" t="str">
            <v>.</v>
          </cell>
        </row>
        <row r="208">
          <cell r="BD208" t="str">
            <v>.</v>
          </cell>
        </row>
        <row r="209">
          <cell r="BD209" t="str">
            <v>.</v>
          </cell>
        </row>
        <row r="210">
          <cell r="BD210" t="str">
            <v>.</v>
          </cell>
        </row>
        <row r="211">
          <cell r="BD211" t="str">
            <v>.</v>
          </cell>
        </row>
        <row r="212">
          <cell r="BD212" t="str">
            <v>.</v>
          </cell>
        </row>
        <row r="213">
          <cell r="BD213" t="str">
            <v>.</v>
          </cell>
        </row>
        <row r="214">
          <cell r="BD214" t="str">
            <v>.</v>
          </cell>
        </row>
        <row r="215">
          <cell r="BD215" t="str">
            <v>.</v>
          </cell>
        </row>
        <row r="216">
          <cell r="BD216" t="str">
            <v>.</v>
          </cell>
        </row>
        <row r="217">
          <cell r="BD217" t="str">
            <v>.</v>
          </cell>
        </row>
        <row r="218">
          <cell r="BD218" t="str">
            <v>.</v>
          </cell>
        </row>
        <row r="219">
          <cell r="BD219" t="str">
            <v>.</v>
          </cell>
        </row>
        <row r="220">
          <cell r="BD220" t="str">
            <v>.</v>
          </cell>
        </row>
        <row r="221">
          <cell r="BD221" t="str">
            <v>.</v>
          </cell>
        </row>
        <row r="222">
          <cell r="BD222" t="str">
            <v>.</v>
          </cell>
        </row>
        <row r="223">
          <cell r="BD223" t="str">
            <v>.</v>
          </cell>
        </row>
        <row r="224">
          <cell r="BD224" t="str">
            <v>.</v>
          </cell>
        </row>
        <row r="225">
          <cell r="BD225" t="str">
            <v>.</v>
          </cell>
        </row>
        <row r="226">
          <cell r="BD226" t="str">
            <v>.</v>
          </cell>
        </row>
        <row r="227">
          <cell r="BD227" t="str">
            <v>.</v>
          </cell>
        </row>
        <row r="228">
          <cell r="BD228" t="str">
            <v>.</v>
          </cell>
        </row>
        <row r="229">
          <cell r="BD229" t="str">
            <v>.</v>
          </cell>
        </row>
        <row r="230">
          <cell r="BD230" t="str">
            <v>.</v>
          </cell>
        </row>
        <row r="231">
          <cell r="BD231" t="str">
            <v>.</v>
          </cell>
        </row>
        <row r="232">
          <cell r="BD232" t="str">
            <v>.</v>
          </cell>
        </row>
        <row r="233">
          <cell r="BD233" t="str">
            <v>.</v>
          </cell>
        </row>
        <row r="234">
          <cell r="BD234" t="str">
            <v>.</v>
          </cell>
        </row>
        <row r="235">
          <cell r="BD235" t="str">
            <v>.</v>
          </cell>
        </row>
        <row r="236">
          <cell r="BD236" t="str">
            <v>.</v>
          </cell>
        </row>
        <row r="237">
          <cell r="BD237" t="str">
            <v>.</v>
          </cell>
        </row>
        <row r="238">
          <cell r="BD238" t="str">
            <v>.</v>
          </cell>
        </row>
        <row r="239">
          <cell r="BD239" t="str">
            <v>.</v>
          </cell>
        </row>
        <row r="240">
          <cell r="BD240" t="str">
            <v>.</v>
          </cell>
        </row>
        <row r="241">
          <cell r="BD241" t="str">
            <v>.</v>
          </cell>
        </row>
        <row r="242">
          <cell r="BD242" t="str">
            <v>.</v>
          </cell>
        </row>
        <row r="243">
          <cell r="BD243" t="str">
            <v>.</v>
          </cell>
        </row>
        <row r="244">
          <cell r="BD244" t="str">
            <v>.</v>
          </cell>
        </row>
        <row r="245">
          <cell r="BD245" t="str">
            <v>.</v>
          </cell>
        </row>
        <row r="246">
          <cell r="BD246" t="str">
            <v>.</v>
          </cell>
        </row>
        <row r="247">
          <cell r="BD247" t="str">
            <v>.</v>
          </cell>
        </row>
        <row r="248">
          <cell r="BD248" t="str">
            <v>.</v>
          </cell>
        </row>
        <row r="249">
          <cell r="BD249" t="str">
            <v>.</v>
          </cell>
        </row>
        <row r="250">
          <cell r="BD250" t="str">
            <v>.</v>
          </cell>
        </row>
        <row r="251">
          <cell r="BD251" t="str">
            <v>.</v>
          </cell>
        </row>
        <row r="252">
          <cell r="BD252" t="str">
            <v>.</v>
          </cell>
        </row>
        <row r="253">
          <cell r="BD253" t="str">
            <v>.</v>
          </cell>
        </row>
        <row r="254">
          <cell r="BD254" t="str">
            <v>.</v>
          </cell>
        </row>
        <row r="255">
          <cell r="BD255" t="str">
            <v>.</v>
          </cell>
        </row>
        <row r="256">
          <cell r="BD256" t="str">
            <v>.</v>
          </cell>
        </row>
        <row r="257">
          <cell r="BD257" t="str">
            <v>.</v>
          </cell>
        </row>
        <row r="258">
          <cell r="BD258" t="str">
            <v>.</v>
          </cell>
        </row>
        <row r="259">
          <cell r="BD259" t="str">
            <v>.</v>
          </cell>
        </row>
        <row r="260">
          <cell r="BD260" t="str">
            <v>.</v>
          </cell>
        </row>
        <row r="261">
          <cell r="BD261" t="str">
            <v>.</v>
          </cell>
        </row>
        <row r="262">
          <cell r="BD262" t="str">
            <v>.</v>
          </cell>
        </row>
        <row r="263">
          <cell r="BD263" t="str">
            <v>.</v>
          </cell>
        </row>
        <row r="264">
          <cell r="BD264" t="str">
            <v>.</v>
          </cell>
        </row>
        <row r="265">
          <cell r="BD265" t="str">
            <v>.</v>
          </cell>
        </row>
        <row r="266">
          <cell r="BD266" t="str">
            <v>.</v>
          </cell>
        </row>
        <row r="267">
          <cell r="BD267" t="str">
            <v>.</v>
          </cell>
        </row>
        <row r="268">
          <cell r="BD268" t="str">
            <v>.</v>
          </cell>
        </row>
        <row r="269">
          <cell r="BD269" t="str">
            <v>.</v>
          </cell>
        </row>
        <row r="270">
          <cell r="BD270" t="str">
            <v>.</v>
          </cell>
        </row>
        <row r="271">
          <cell r="BD271" t="str">
            <v>.</v>
          </cell>
        </row>
        <row r="272">
          <cell r="BD272" t="str">
            <v>.</v>
          </cell>
        </row>
        <row r="273">
          <cell r="BD273" t="str">
            <v>.</v>
          </cell>
        </row>
        <row r="274">
          <cell r="BD274" t="str">
            <v>.</v>
          </cell>
        </row>
        <row r="275">
          <cell r="BD275" t="str">
            <v>.</v>
          </cell>
        </row>
        <row r="276">
          <cell r="BD276" t="str">
            <v>.</v>
          </cell>
        </row>
        <row r="277">
          <cell r="BD277" t="str">
            <v>.</v>
          </cell>
        </row>
        <row r="278">
          <cell r="BD278" t="str">
            <v>.</v>
          </cell>
        </row>
        <row r="279">
          <cell r="BD279" t="str">
            <v>.</v>
          </cell>
        </row>
        <row r="280">
          <cell r="BD280" t="str">
            <v>.</v>
          </cell>
        </row>
        <row r="281">
          <cell r="BD281" t="str">
            <v>.</v>
          </cell>
        </row>
        <row r="282">
          <cell r="BD282" t="str">
            <v>.</v>
          </cell>
        </row>
        <row r="283">
          <cell r="BD283" t="str">
            <v>.</v>
          </cell>
        </row>
        <row r="284">
          <cell r="BD284" t="str">
            <v>.</v>
          </cell>
        </row>
        <row r="285">
          <cell r="BD285" t="str">
            <v>.</v>
          </cell>
        </row>
        <row r="286">
          <cell r="BD286" t="str">
            <v>.</v>
          </cell>
        </row>
        <row r="287">
          <cell r="BD287" t="str">
            <v>.</v>
          </cell>
        </row>
        <row r="288">
          <cell r="BD288" t="str">
            <v>.</v>
          </cell>
        </row>
        <row r="289">
          <cell r="BD289" t="str">
            <v>.</v>
          </cell>
        </row>
        <row r="290">
          <cell r="BD290" t="str">
            <v>.</v>
          </cell>
        </row>
        <row r="291">
          <cell r="BD291" t="str">
            <v>.</v>
          </cell>
        </row>
        <row r="292">
          <cell r="BD292" t="str">
            <v>.</v>
          </cell>
        </row>
        <row r="293">
          <cell r="BD293" t="str">
            <v>.</v>
          </cell>
        </row>
        <row r="294">
          <cell r="BD294" t="str">
            <v>.</v>
          </cell>
        </row>
        <row r="295">
          <cell r="BD295" t="str">
            <v>.</v>
          </cell>
        </row>
        <row r="296">
          <cell r="BD296" t="str">
            <v>.</v>
          </cell>
        </row>
        <row r="297">
          <cell r="BD297" t="str">
            <v>.</v>
          </cell>
        </row>
        <row r="298">
          <cell r="BD298" t="str">
            <v>.</v>
          </cell>
        </row>
        <row r="299">
          <cell r="BD299" t="str">
            <v>.</v>
          </cell>
        </row>
        <row r="300">
          <cell r="BD300" t="str">
            <v>.</v>
          </cell>
        </row>
        <row r="301">
          <cell r="BD301" t="str">
            <v>.</v>
          </cell>
        </row>
        <row r="302">
          <cell r="BD302" t="str">
            <v>.</v>
          </cell>
        </row>
        <row r="303">
          <cell r="BD303" t="str">
            <v>.</v>
          </cell>
        </row>
        <row r="304">
          <cell r="BD304" t="str">
            <v>.</v>
          </cell>
        </row>
        <row r="305">
          <cell r="BD305" t="str">
            <v>.</v>
          </cell>
        </row>
        <row r="306">
          <cell r="BD306" t="str">
            <v>.</v>
          </cell>
        </row>
        <row r="307">
          <cell r="BD307" t="str">
            <v>.</v>
          </cell>
        </row>
        <row r="308">
          <cell r="BD308" t="str">
            <v>.</v>
          </cell>
        </row>
        <row r="309">
          <cell r="BD309" t="str">
            <v>.</v>
          </cell>
        </row>
        <row r="310">
          <cell r="BD310" t="str">
            <v>.</v>
          </cell>
        </row>
        <row r="311">
          <cell r="BD311" t="str">
            <v>.</v>
          </cell>
        </row>
        <row r="312">
          <cell r="BD312" t="str">
            <v>.</v>
          </cell>
        </row>
        <row r="313">
          <cell r="BD313" t="str">
            <v>.</v>
          </cell>
        </row>
        <row r="314">
          <cell r="BD314" t="str">
            <v>.</v>
          </cell>
        </row>
        <row r="315">
          <cell r="BD315" t="str">
            <v>.</v>
          </cell>
        </row>
        <row r="316">
          <cell r="BD316" t="str">
            <v>.</v>
          </cell>
        </row>
        <row r="317">
          <cell r="BD317" t="str">
            <v>.</v>
          </cell>
        </row>
        <row r="318">
          <cell r="BD318" t="str">
            <v>.</v>
          </cell>
        </row>
        <row r="319">
          <cell r="BD319" t="str">
            <v>.</v>
          </cell>
        </row>
        <row r="320">
          <cell r="BD320" t="str">
            <v>.</v>
          </cell>
        </row>
        <row r="321">
          <cell r="BD321" t="str">
            <v>.</v>
          </cell>
        </row>
        <row r="322">
          <cell r="BD322" t="str">
            <v>.</v>
          </cell>
        </row>
        <row r="323">
          <cell r="BD323" t="str">
            <v>.</v>
          </cell>
        </row>
        <row r="324">
          <cell r="BD324" t="str">
            <v>.</v>
          </cell>
        </row>
        <row r="325">
          <cell r="BD325" t="str">
            <v>.</v>
          </cell>
        </row>
        <row r="326">
          <cell r="BD326" t="str">
            <v>.</v>
          </cell>
        </row>
        <row r="327">
          <cell r="BD327" t="str">
            <v>.</v>
          </cell>
        </row>
        <row r="328">
          <cell r="BD328" t="str">
            <v>.</v>
          </cell>
        </row>
        <row r="329">
          <cell r="BD329" t="str">
            <v>.</v>
          </cell>
        </row>
        <row r="330">
          <cell r="BD330" t="str">
            <v>.</v>
          </cell>
        </row>
        <row r="331">
          <cell r="BD331" t="str">
            <v>.</v>
          </cell>
        </row>
        <row r="332">
          <cell r="BD332" t="str">
            <v>.</v>
          </cell>
        </row>
        <row r="333">
          <cell r="BD333" t="str">
            <v>.</v>
          </cell>
        </row>
        <row r="334">
          <cell r="BD334" t="str">
            <v>.</v>
          </cell>
        </row>
        <row r="335">
          <cell r="BD335" t="str">
            <v>.</v>
          </cell>
        </row>
        <row r="336">
          <cell r="BD336" t="str">
            <v>.</v>
          </cell>
        </row>
        <row r="337">
          <cell r="BD337" t="str">
            <v>.</v>
          </cell>
        </row>
        <row r="338">
          <cell r="BD338" t="str">
            <v>.</v>
          </cell>
        </row>
        <row r="339">
          <cell r="BD339" t="str">
            <v>.</v>
          </cell>
        </row>
        <row r="340">
          <cell r="BD340" t="str">
            <v>.</v>
          </cell>
        </row>
        <row r="341">
          <cell r="BD341" t="str">
            <v>.</v>
          </cell>
        </row>
        <row r="342">
          <cell r="BD342" t="str">
            <v>.</v>
          </cell>
        </row>
        <row r="343">
          <cell r="BD343" t="str">
            <v>.</v>
          </cell>
        </row>
        <row r="344">
          <cell r="BD344" t="str">
            <v>.</v>
          </cell>
        </row>
        <row r="345">
          <cell r="BD345" t="str">
            <v>.</v>
          </cell>
        </row>
        <row r="346">
          <cell r="BD346" t="str">
            <v>.</v>
          </cell>
        </row>
        <row r="347">
          <cell r="BD347" t="str">
            <v>.</v>
          </cell>
        </row>
        <row r="348">
          <cell r="BD348" t="str">
            <v>.</v>
          </cell>
        </row>
        <row r="349">
          <cell r="BD349" t="str">
            <v>.</v>
          </cell>
        </row>
        <row r="350">
          <cell r="BD350" t="str">
            <v>.</v>
          </cell>
        </row>
        <row r="351">
          <cell r="BD351" t="str">
            <v>.</v>
          </cell>
        </row>
        <row r="352">
          <cell r="BD352" t="str">
            <v>.</v>
          </cell>
        </row>
        <row r="353">
          <cell r="BD353" t="str">
            <v>.</v>
          </cell>
        </row>
        <row r="354">
          <cell r="BD354" t="str">
            <v>.</v>
          </cell>
        </row>
        <row r="355">
          <cell r="BD355" t="str">
            <v>.</v>
          </cell>
        </row>
        <row r="356">
          <cell r="BD356" t="str">
            <v>.</v>
          </cell>
        </row>
        <row r="357">
          <cell r="BD357" t="str">
            <v>.</v>
          </cell>
        </row>
        <row r="358">
          <cell r="BD358" t="str">
            <v>.</v>
          </cell>
        </row>
        <row r="359">
          <cell r="BD359" t="str">
            <v>.</v>
          </cell>
        </row>
        <row r="360">
          <cell r="BD360" t="str">
            <v>.</v>
          </cell>
        </row>
        <row r="361">
          <cell r="BD361" t="str">
            <v>.</v>
          </cell>
        </row>
        <row r="362">
          <cell r="BD362" t="str">
            <v>.</v>
          </cell>
        </row>
        <row r="363">
          <cell r="BD363" t="str">
            <v>.</v>
          </cell>
        </row>
        <row r="364">
          <cell r="BD364" t="str">
            <v>.</v>
          </cell>
        </row>
        <row r="365">
          <cell r="BD365" t="str">
            <v>.</v>
          </cell>
        </row>
        <row r="366">
          <cell r="BD366" t="str">
            <v>.</v>
          </cell>
        </row>
        <row r="367">
          <cell r="BD367" t="str">
            <v>.</v>
          </cell>
        </row>
        <row r="368">
          <cell r="BD368" t="str">
            <v>.</v>
          </cell>
        </row>
        <row r="369">
          <cell r="BD369" t="str">
            <v>.</v>
          </cell>
        </row>
        <row r="370">
          <cell r="BD370" t="str">
            <v>.</v>
          </cell>
        </row>
        <row r="371">
          <cell r="BD371" t="str">
            <v>.</v>
          </cell>
        </row>
        <row r="372">
          <cell r="BD372" t="str">
            <v>.</v>
          </cell>
        </row>
        <row r="373">
          <cell r="BD373" t="str">
            <v>.</v>
          </cell>
        </row>
        <row r="374">
          <cell r="BD374" t="str">
            <v>.</v>
          </cell>
        </row>
        <row r="375">
          <cell r="BD375" t="str">
            <v>.</v>
          </cell>
        </row>
        <row r="376">
          <cell r="BD376" t="str">
            <v>.</v>
          </cell>
        </row>
        <row r="377">
          <cell r="BD377" t="str">
            <v>.</v>
          </cell>
        </row>
        <row r="378">
          <cell r="BD378" t="str">
            <v>.</v>
          </cell>
        </row>
        <row r="379">
          <cell r="BD379" t="str">
            <v>.</v>
          </cell>
        </row>
        <row r="380">
          <cell r="BD380" t="str">
            <v>.</v>
          </cell>
        </row>
        <row r="381">
          <cell r="BD381" t="str">
            <v>.</v>
          </cell>
        </row>
        <row r="382">
          <cell r="BD382" t="str">
            <v>.</v>
          </cell>
        </row>
        <row r="383">
          <cell r="BD383" t="str">
            <v>.</v>
          </cell>
        </row>
        <row r="384">
          <cell r="BD384" t="str">
            <v>.</v>
          </cell>
        </row>
        <row r="385">
          <cell r="BD385" t="str">
            <v>.</v>
          </cell>
        </row>
        <row r="386">
          <cell r="BD386" t="str">
            <v>.</v>
          </cell>
        </row>
        <row r="387">
          <cell r="BD387" t="str">
            <v>.</v>
          </cell>
        </row>
        <row r="388">
          <cell r="BD388" t="str">
            <v>.</v>
          </cell>
        </row>
        <row r="389">
          <cell r="BD389" t="str">
            <v>.</v>
          </cell>
        </row>
        <row r="390">
          <cell r="BD390" t="str">
            <v>.</v>
          </cell>
        </row>
        <row r="391">
          <cell r="BD391" t="str">
            <v>.</v>
          </cell>
        </row>
        <row r="392">
          <cell r="BD392" t="str">
            <v>.</v>
          </cell>
        </row>
        <row r="393">
          <cell r="BD393" t="str">
            <v>.</v>
          </cell>
        </row>
        <row r="394">
          <cell r="BD394" t="str">
            <v>.</v>
          </cell>
        </row>
        <row r="395">
          <cell r="BD395" t="str">
            <v>.</v>
          </cell>
        </row>
        <row r="396">
          <cell r="BD396" t="str">
            <v>.</v>
          </cell>
        </row>
        <row r="397">
          <cell r="BD397" t="str">
            <v>.</v>
          </cell>
        </row>
        <row r="398">
          <cell r="BD398" t="str">
            <v>.</v>
          </cell>
        </row>
        <row r="399">
          <cell r="BD399" t="str">
            <v>.</v>
          </cell>
        </row>
        <row r="400">
          <cell r="BD400" t="str">
            <v>.</v>
          </cell>
        </row>
        <row r="401">
          <cell r="BD401" t="str">
            <v>.</v>
          </cell>
        </row>
        <row r="402">
          <cell r="BD402" t="str">
            <v>.</v>
          </cell>
        </row>
        <row r="403">
          <cell r="BD403" t="str">
            <v>.</v>
          </cell>
        </row>
        <row r="404">
          <cell r="BD404" t="str">
            <v>.</v>
          </cell>
        </row>
        <row r="405">
          <cell r="BD405" t="str">
            <v>.</v>
          </cell>
        </row>
        <row r="406">
          <cell r="BD406" t="str">
            <v>.</v>
          </cell>
        </row>
        <row r="407">
          <cell r="BD407" t="str">
            <v>.</v>
          </cell>
        </row>
        <row r="408">
          <cell r="BD408" t="str">
            <v>.</v>
          </cell>
        </row>
        <row r="409">
          <cell r="BD409" t="str">
            <v>.</v>
          </cell>
        </row>
        <row r="410">
          <cell r="BD410" t="str">
            <v>.</v>
          </cell>
        </row>
        <row r="411">
          <cell r="BD411" t="str">
            <v>.</v>
          </cell>
        </row>
        <row r="412">
          <cell r="BD412" t="str">
            <v>.</v>
          </cell>
        </row>
        <row r="413">
          <cell r="BD413" t="str">
            <v>.</v>
          </cell>
        </row>
        <row r="414">
          <cell r="BD414" t="str">
            <v>.</v>
          </cell>
        </row>
        <row r="415">
          <cell r="BD415" t="str">
            <v>.</v>
          </cell>
        </row>
        <row r="416">
          <cell r="BD416" t="str">
            <v>.</v>
          </cell>
        </row>
        <row r="417">
          <cell r="BD417" t="str">
            <v>.</v>
          </cell>
        </row>
        <row r="418">
          <cell r="BD418" t="str">
            <v>.</v>
          </cell>
        </row>
        <row r="419">
          <cell r="BD419" t="str">
            <v>.</v>
          </cell>
        </row>
        <row r="420">
          <cell r="BD420" t="str">
            <v>.</v>
          </cell>
        </row>
        <row r="421">
          <cell r="BD421" t="str">
            <v>.</v>
          </cell>
        </row>
        <row r="422">
          <cell r="BD422" t="str">
            <v>.</v>
          </cell>
        </row>
        <row r="423">
          <cell r="BD423" t="str">
            <v>.</v>
          </cell>
        </row>
        <row r="424">
          <cell r="BD424" t="str">
            <v>.</v>
          </cell>
        </row>
        <row r="425">
          <cell r="BD425" t="str">
            <v>.</v>
          </cell>
        </row>
        <row r="426">
          <cell r="BD426" t="str">
            <v>.</v>
          </cell>
        </row>
        <row r="427">
          <cell r="BD427" t="str">
            <v>.</v>
          </cell>
        </row>
        <row r="428">
          <cell r="BD428" t="str">
            <v>.</v>
          </cell>
        </row>
        <row r="429">
          <cell r="BD429" t="str">
            <v>.</v>
          </cell>
        </row>
        <row r="430">
          <cell r="BD430" t="str">
            <v>.</v>
          </cell>
        </row>
        <row r="431">
          <cell r="BD431" t="str">
            <v>.</v>
          </cell>
        </row>
        <row r="432">
          <cell r="BD432" t="str">
            <v>.</v>
          </cell>
        </row>
        <row r="433">
          <cell r="BD433" t="str">
            <v>.</v>
          </cell>
        </row>
        <row r="434">
          <cell r="BD434" t="str">
            <v>.</v>
          </cell>
        </row>
        <row r="435">
          <cell r="BD435" t="str">
            <v>.</v>
          </cell>
        </row>
        <row r="436">
          <cell r="BD436" t="str">
            <v>.</v>
          </cell>
        </row>
        <row r="437">
          <cell r="BD437" t="str">
            <v>.</v>
          </cell>
        </row>
        <row r="438">
          <cell r="BD438" t="str">
            <v>.</v>
          </cell>
        </row>
        <row r="439">
          <cell r="BD439" t="str">
            <v>.</v>
          </cell>
        </row>
        <row r="440">
          <cell r="BD440" t="str">
            <v>.</v>
          </cell>
        </row>
        <row r="441">
          <cell r="BD441" t="str">
            <v>.</v>
          </cell>
        </row>
        <row r="442">
          <cell r="BD442" t="str">
            <v>.</v>
          </cell>
        </row>
        <row r="443">
          <cell r="BD443" t="str">
            <v>.</v>
          </cell>
        </row>
        <row r="444">
          <cell r="BD444" t="str">
            <v>.</v>
          </cell>
        </row>
        <row r="445">
          <cell r="BD445" t="str">
            <v>.</v>
          </cell>
        </row>
        <row r="446">
          <cell r="BD446" t="str">
            <v>.</v>
          </cell>
        </row>
        <row r="447">
          <cell r="BD447" t="str">
            <v>.</v>
          </cell>
        </row>
        <row r="448">
          <cell r="BD448" t="str">
            <v>.</v>
          </cell>
        </row>
        <row r="449">
          <cell r="BD449" t="str">
            <v>.</v>
          </cell>
        </row>
        <row r="450">
          <cell r="BD450" t="str">
            <v>.</v>
          </cell>
        </row>
        <row r="451">
          <cell r="BD451" t="str">
            <v>.</v>
          </cell>
        </row>
        <row r="452">
          <cell r="BD452" t="str">
            <v>.</v>
          </cell>
        </row>
        <row r="453">
          <cell r="BD453" t="str">
            <v>.</v>
          </cell>
        </row>
        <row r="454">
          <cell r="BD454" t="str">
            <v>.</v>
          </cell>
        </row>
        <row r="455">
          <cell r="BD455" t="str">
            <v>.</v>
          </cell>
        </row>
        <row r="456">
          <cell r="BD456" t="str">
            <v>.</v>
          </cell>
        </row>
        <row r="457">
          <cell r="BD457" t="str">
            <v>.</v>
          </cell>
        </row>
        <row r="458">
          <cell r="BD458" t="str">
            <v>.</v>
          </cell>
        </row>
        <row r="459">
          <cell r="BD459" t="str">
            <v>.</v>
          </cell>
        </row>
        <row r="460">
          <cell r="BD460" t="str">
            <v>.</v>
          </cell>
        </row>
        <row r="461">
          <cell r="BD461" t="str">
            <v>.</v>
          </cell>
        </row>
        <row r="462">
          <cell r="BD462" t="str">
            <v>.</v>
          </cell>
        </row>
        <row r="463">
          <cell r="BD463" t="str">
            <v>.</v>
          </cell>
        </row>
        <row r="464">
          <cell r="BD464" t="str">
            <v>.</v>
          </cell>
        </row>
        <row r="465">
          <cell r="BD465" t="str">
            <v>.</v>
          </cell>
        </row>
        <row r="466">
          <cell r="BD466" t="str">
            <v>.</v>
          </cell>
        </row>
        <row r="467">
          <cell r="BD467" t="str">
            <v>.</v>
          </cell>
        </row>
        <row r="468">
          <cell r="BD468" t="str">
            <v>.</v>
          </cell>
        </row>
        <row r="469">
          <cell r="BD469" t="str">
            <v>.</v>
          </cell>
        </row>
        <row r="470">
          <cell r="BD470" t="str">
            <v>.</v>
          </cell>
        </row>
        <row r="471">
          <cell r="BD471" t="str">
            <v>.</v>
          </cell>
        </row>
        <row r="472">
          <cell r="BD472" t="str">
            <v>.</v>
          </cell>
        </row>
        <row r="473">
          <cell r="BD473" t="str">
            <v>.</v>
          </cell>
        </row>
        <row r="474">
          <cell r="BD474" t="str">
            <v>.</v>
          </cell>
        </row>
        <row r="475">
          <cell r="BD475" t="str">
            <v>.</v>
          </cell>
        </row>
        <row r="476">
          <cell r="BD476" t="str">
            <v>.</v>
          </cell>
        </row>
        <row r="477">
          <cell r="BD477" t="str">
            <v>.</v>
          </cell>
        </row>
        <row r="478">
          <cell r="BD478" t="str">
            <v>.</v>
          </cell>
        </row>
        <row r="479">
          <cell r="BD479" t="str">
            <v>.</v>
          </cell>
        </row>
        <row r="480">
          <cell r="BD480" t="str">
            <v>.</v>
          </cell>
        </row>
        <row r="481">
          <cell r="BD481" t="str">
            <v>.</v>
          </cell>
        </row>
        <row r="482">
          <cell r="BD482" t="str">
            <v>.</v>
          </cell>
        </row>
        <row r="483">
          <cell r="BD483" t="str">
            <v>.</v>
          </cell>
        </row>
        <row r="484">
          <cell r="BD484" t="str">
            <v>.</v>
          </cell>
        </row>
        <row r="485">
          <cell r="BD485" t="str">
            <v>.</v>
          </cell>
        </row>
        <row r="486">
          <cell r="BD486" t="str">
            <v>.</v>
          </cell>
        </row>
        <row r="487">
          <cell r="BD487" t="str">
            <v>.</v>
          </cell>
        </row>
        <row r="488">
          <cell r="BD488" t="str">
            <v>.</v>
          </cell>
        </row>
        <row r="489">
          <cell r="BD489" t="str">
            <v>.</v>
          </cell>
        </row>
        <row r="490">
          <cell r="BD490" t="str">
            <v>.</v>
          </cell>
        </row>
        <row r="491">
          <cell r="BD491" t="str">
            <v>.</v>
          </cell>
        </row>
        <row r="492">
          <cell r="BD492" t="str">
            <v>.</v>
          </cell>
        </row>
        <row r="493">
          <cell r="BD493" t="str">
            <v>.</v>
          </cell>
        </row>
        <row r="494">
          <cell r="BD494" t="str">
            <v>.</v>
          </cell>
        </row>
        <row r="495">
          <cell r="BD495" t="str">
            <v>.</v>
          </cell>
        </row>
        <row r="496">
          <cell r="BD496" t="str">
            <v>.</v>
          </cell>
        </row>
        <row r="497">
          <cell r="BD497" t="str">
            <v>.</v>
          </cell>
        </row>
        <row r="498">
          <cell r="BD498" t="str">
            <v>.</v>
          </cell>
        </row>
        <row r="499">
          <cell r="BD499" t="str">
            <v>.</v>
          </cell>
        </row>
        <row r="500">
          <cell r="BD500" t="str">
            <v>.</v>
          </cell>
        </row>
        <row r="501">
          <cell r="BD501" t="str">
            <v>.</v>
          </cell>
        </row>
        <row r="502">
          <cell r="BD502" t="str">
            <v>.</v>
          </cell>
        </row>
        <row r="503">
          <cell r="BD503" t="str">
            <v>.</v>
          </cell>
        </row>
        <row r="504">
          <cell r="BD504" t="str">
            <v>.</v>
          </cell>
        </row>
        <row r="505">
          <cell r="BD505" t="str">
            <v>.</v>
          </cell>
        </row>
        <row r="506">
          <cell r="BD506" t="str">
            <v>.</v>
          </cell>
        </row>
        <row r="507">
          <cell r="BD507" t="str">
            <v>.</v>
          </cell>
        </row>
        <row r="508">
          <cell r="BD508" t="str">
            <v>.</v>
          </cell>
        </row>
        <row r="509">
          <cell r="BD509" t="str">
            <v>.</v>
          </cell>
        </row>
        <row r="510">
          <cell r="BD510" t="str">
            <v>.</v>
          </cell>
        </row>
        <row r="511">
          <cell r="BD511" t="str">
            <v>.</v>
          </cell>
        </row>
        <row r="512">
          <cell r="BD512" t="str">
            <v>.</v>
          </cell>
        </row>
        <row r="513">
          <cell r="BD513" t="str">
            <v>.</v>
          </cell>
        </row>
        <row r="514">
          <cell r="BD514" t="str">
            <v>.</v>
          </cell>
        </row>
        <row r="515">
          <cell r="BD515" t="str">
            <v>.</v>
          </cell>
        </row>
        <row r="516">
          <cell r="BD516" t="str">
            <v>.</v>
          </cell>
        </row>
        <row r="517">
          <cell r="BD517" t="str">
            <v>.</v>
          </cell>
        </row>
        <row r="518">
          <cell r="BD518" t="str">
            <v>.</v>
          </cell>
        </row>
        <row r="519">
          <cell r="BD519" t="str">
            <v>.</v>
          </cell>
        </row>
        <row r="520">
          <cell r="BD520" t="str">
            <v>.</v>
          </cell>
        </row>
        <row r="521">
          <cell r="BD521" t="str">
            <v>.</v>
          </cell>
        </row>
        <row r="522">
          <cell r="BD522" t="str">
            <v>.</v>
          </cell>
        </row>
        <row r="523">
          <cell r="BD523" t="str">
            <v>.</v>
          </cell>
        </row>
        <row r="524">
          <cell r="BD524" t="str">
            <v>.</v>
          </cell>
        </row>
        <row r="525">
          <cell r="BD525" t="str">
            <v>.</v>
          </cell>
        </row>
        <row r="526">
          <cell r="BD526" t="str">
            <v>.</v>
          </cell>
        </row>
        <row r="527">
          <cell r="BD527" t="str">
            <v>.</v>
          </cell>
        </row>
        <row r="528">
          <cell r="BD528" t="str">
            <v>.</v>
          </cell>
        </row>
        <row r="529">
          <cell r="BD529" t="str">
            <v>.</v>
          </cell>
        </row>
        <row r="530">
          <cell r="BD530" t="str">
            <v>.</v>
          </cell>
        </row>
        <row r="531">
          <cell r="BD531" t="str">
            <v>.</v>
          </cell>
        </row>
        <row r="532">
          <cell r="BD532" t="str">
            <v>.</v>
          </cell>
        </row>
        <row r="533">
          <cell r="BD533" t="str">
            <v>.</v>
          </cell>
        </row>
        <row r="534">
          <cell r="BD534" t="str">
            <v>.</v>
          </cell>
        </row>
        <row r="535">
          <cell r="BD535" t="str">
            <v>.</v>
          </cell>
        </row>
        <row r="536">
          <cell r="BD536" t="str">
            <v>.</v>
          </cell>
        </row>
        <row r="537">
          <cell r="BD537" t="str">
            <v>.</v>
          </cell>
        </row>
        <row r="538">
          <cell r="BD538" t="str">
            <v>.</v>
          </cell>
        </row>
        <row r="539">
          <cell r="BD539" t="str">
            <v>.</v>
          </cell>
        </row>
        <row r="540">
          <cell r="BD540" t="str">
            <v>.</v>
          </cell>
        </row>
        <row r="541">
          <cell r="BD541" t="str">
            <v>.</v>
          </cell>
        </row>
        <row r="542">
          <cell r="BD542" t="str">
            <v>.</v>
          </cell>
        </row>
        <row r="543">
          <cell r="BD543" t="str">
            <v>.</v>
          </cell>
        </row>
        <row r="544">
          <cell r="BD544" t="str">
            <v>.</v>
          </cell>
        </row>
        <row r="545">
          <cell r="BD545" t="str">
            <v>.</v>
          </cell>
        </row>
        <row r="546">
          <cell r="BD546" t="str">
            <v>.</v>
          </cell>
        </row>
        <row r="547">
          <cell r="BD547" t="str">
            <v>.</v>
          </cell>
        </row>
        <row r="548">
          <cell r="BD548" t="str">
            <v>.</v>
          </cell>
        </row>
        <row r="549">
          <cell r="BD549" t="str">
            <v>.</v>
          </cell>
        </row>
        <row r="550">
          <cell r="BD550" t="str">
            <v>.</v>
          </cell>
        </row>
        <row r="551">
          <cell r="BD551" t="str">
            <v>.</v>
          </cell>
        </row>
        <row r="552">
          <cell r="BD552" t="str">
            <v>.</v>
          </cell>
        </row>
        <row r="553">
          <cell r="BD553" t="str">
            <v>.</v>
          </cell>
        </row>
        <row r="554">
          <cell r="BD554" t="str">
            <v>.</v>
          </cell>
        </row>
        <row r="555">
          <cell r="BD555" t="str">
            <v>.</v>
          </cell>
        </row>
        <row r="556">
          <cell r="BD556" t="str">
            <v>.</v>
          </cell>
        </row>
        <row r="557">
          <cell r="BD557" t="str">
            <v>.</v>
          </cell>
        </row>
        <row r="558">
          <cell r="BD558" t="str">
            <v>.</v>
          </cell>
        </row>
        <row r="559">
          <cell r="BD559" t="str">
            <v>.</v>
          </cell>
        </row>
        <row r="560">
          <cell r="BD560" t="str">
            <v>.</v>
          </cell>
        </row>
        <row r="561">
          <cell r="BD561" t="str">
            <v>.</v>
          </cell>
        </row>
        <row r="562">
          <cell r="BD562" t="str">
            <v>.</v>
          </cell>
        </row>
        <row r="563">
          <cell r="BD563" t="str">
            <v>.</v>
          </cell>
        </row>
        <row r="564">
          <cell r="BD564" t="str">
            <v>.</v>
          </cell>
        </row>
        <row r="565">
          <cell r="BD565" t="str">
            <v>.</v>
          </cell>
        </row>
        <row r="566">
          <cell r="BD566" t="str">
            <v>.</v>
          </cell>
        </row>
        <row r="567">
          <cell r="BD567" t="str">
            <v>.</v>
          </cell>
        </row>
        <row r="568">
          <cell r="BD568" t="str">
            <v>.</v>
          </cell>
        </row>
        <row r="569">
          <cell r="BD569" t="str">
            <v>.</v>
          </cell>
        </row>
        <row r="570">
          <cell r="BD570" t="str">
            <v>.</v>
          </cell>
        </row>
        <row r="571">
          <cell r="BD571" t="str">
            <v>.</v>
          </cell>
        </row>
        <row r="572">
          <cell r="BD572" t="str">
            <v>.</v>
          </cell>
        </row>
        <row r="573">
          <cell r="BD573" t="str">
            <v>.</v>
          </cell>
        </row>
        <row r="574">
          <cell r="BD574" t="str">
            <v>.</v>
          </cell>
        </row>
        <row r="575">
          <cell r="BD575" t="str">
            <v>.</v>
          </cell>
        </row>
        <row r="576">
          <cell r="BD576" t="str">
            <v>.</v>
          </cell>
        </row>
        <row r="577">
          <cell r="BD577" t="str">
            <v>.</v>
          </cell>
        </row>
        <row r="578">
          <cell r="BD578" t="str">
            <v>.</v>
          </cell>
        </row>
        <row r="579">
          <cell r="BD579" t="str">
            <v>.</v>
          </cell>
        </row>
        <row r="580">
          <cell r="BD580" t="str">
            <v>.</v>
          </cell>
        </row>
        <row r="581">
          <cell r="BD581" t="str">
            <v>.</v>
          </cell>
        </row>
        <row r="582">
          <cell r="BD582" t="str">
            <v>.</v>
          </cell>
        </row>
        <row r="583">
          <cell r="BD583" t="str">
            <v>.</v>
          </cell>
        </row>
        <row r="584">
          <cell r="BD584" t="str">
            <v>.</v>
          </cell>
        </row>
        <row r="585">
          <cell r="BD585" t="str">
            <v>.</v>
          </cell>
        </row>
        <row r="586">
          <cell r="BD586" t="str">
            <v>.</v>
          </cell>
        </row>
        <row r="587">
          <cell r="BD587" t="str">
            <v>.</v>
          </cell>
        </row>
        <row r="588">
          <cell r="BD588" t="str">
            <v>.</v>
          </cell>
        </row>
        <row r="589">
          <cell r="BD589" t="str">
            <v>.</v>
          </cell>
        </row>
        <row r="590">
          <cell r="BD590" t="str">
            <v>.</v>
          </cell>
        </row>
        <row r="591">
          <cell r="BD591" t="str">
            <v>.</v>
          </cell>
        </row>
        <row r="592">
          <cell r="BD592" t="str">
            <v>.</v>
          </cell>
        </row>
        <row r="593">
          <cell r="BD593" t="str">
            <v>.</v>
          </cell>
        </row>
        <row r="594">
          <cell r="BD594" t="str">
            <v>.</v>
          </cell>
        </row>
        <row r="595">
          <cell r="BD595" t="str">
            <v>.</v>
          </cell>
        </row>
        <row r="596">
          <cell r="BD596" t="str">
            <v>.</v>
          </cell>
        </row>
        <row r="597">
          <cell r="BD597" t="str">
            <v>.</v>
          </cell>
        </row>
        <row r="598">
          <cell r="BD598" t="str">
            <v>.</v>
          </cell>
        </row>
        <row r="599">
          <cell r="BD599" t="str">
            <v>.</v>
          </cell>
        </row>
        <row r="600">
          <cell r="BD600" t="str">
            <v>.</v>
          </cell>
        </row>
        <row r="601">
          <cell r="BD601" t="str">
            <v>.</v>
          </cell>
        </row>
        <row r="602">
          <cell r="BD602" t="str">
            <v>.</v>
          </cell>
        </row>
        <row r="603">
          <cell r="BD603" t="str">
            <v>.</v>
          </cell>
        </row>
        <row r="604">
          <cell r="BD604" t="str">
            <v>.</v>
          </cell>
        </row>
        <row r="605">
          <cell r="BD605" t="str">
            <v>.</v>
          </cell>
        </row>
        <row r="606">
          <cell r="BD606" t="str">
            <v>.</v>
          </cell>
        </row>
        <row r="607">
          <cell r="BD607" t="str">
            <v>.</v>
          </cell>
        </row>
        <row r="608">
          <cell r="BD608" t="str">
            <v>.</v>
          </cell>
        </row>
        <row r="609">
          <cell r="BD609" t="str">
            <v>.</v>
          </cell>
        </row>
        <row r="610">
          <cell r="BD610" t="str">
            <v>.</v>
          </cell>
        </row>
        <row r="611">
          <cell r="BD611" t="str">
            <v>.</v>
          </cell>
        </row>
        <row r="612">
          <cell r="BD612" t="str">
            <v>.</v>
          </cell>
        </row>
        <row r="613">
          <cell r="BD613" t="str">
            <v>.</v>
          </cell>
        </row>
        <row r="614">
          <cell r="BD614" t="str">
            <v>.</v>
          </cell>
        </row>
        <row r="615">
          <cell r="BD615" t="str">
            <v>.</v>
          </cell>
        </row>
        <row r="616">
          <cell r="BD616" t="str">
            <v>.</v>
          </cell>
        </row>
        <row r="617">
          <cell r="BD617" t="str">
            <v>.</v>
          </cell>
        </row>
        <row r="618">
          <cell r="BD618" t="str">
            <v>.</v>
          </cell>
        </row>
        <row r="619">
          <cell r="BD619" t="str">
            <v>.</v>
          </cell>
        </row>
        <row r="620">
          <cell r="BD620" t="str">
            <v>.</v>
          </cell>
        </row>
        <row r="621">
          <cell r="BD621" t="str">
            <v>.</v>
          </cell>
        </row>
        <row r="622">
          <cell r="BD622" t="str">
            <v>.</v>
          </cell>
        </row>
        <row r="623">
          <cell r="BD623" t="str">
            <v>.</v>
          </cell>
        </row>
        <row r="624">
          <cell r="BD624" t="str">
            <v>.</v>
          </cell>
        </row>
        <row r="625">
          <cell r="BD625" t="str">
            <v>.</v>
          </cell>
        </row>
        <row r="626">
          <cell r="BD626" t="str">
            <v>.</v>
          </cell>
        </row>
        <row r="627">
          <cell r="BD627" t="str">
            <v>.</v>
          </cell>
        </row>
        <row r="628">
          <cell r="BD628" t="str">
            <v>.</v>
          </cell>
        </row>
        <row r="629">
          <cell r="BD629" t="str">
            <v>.</v>
          </cell>
        </row>
        <row r="630">
          <cell r="BD630" t="str">
            <v>.</v>
          </cell>
        </row>
        <row r="631">
          <cell r="BD631" t="str">
            <v>.</v>
          </cell>
        </row>
        <row r="632">
          <cell r="BD632" t="str">
            <v>.</v>
          </cell>
        </row>
        <row r="633">
          <cell r="BD633" t="str">
            <v>.</v>
          </cell>
        </row>
        <row r="634">
          <cell r="BD634" t="str">
            <v>.</v>
          </cell>
        </row>
        <row r="635">
          <cell r="BD635" t="str">
            <v>.</v>
          </cell>
        </row>
        <row r="636">
          <cell r="BD636" t="str">
            <v>.</v>
          </cell>
        </row>
        <row r="637">
          <cell r="BD637" t="str">
            <v>.</v>
          </cell>
        </row>
        <row r="638">
          <cell r="BD638" t="str">
            <v>.</v>
          </cell>
        </row>
        <row r="639">
          <cell r="BD639" t="str">
            <v>.</v>
          </cell>
        </row>
        <row r="640">
          <cell r="BD640" t="str">
            <v>.</v>
          </cell>
        </row>
        <row r="641">
          <cell r="BD641" t="str">
            <v>.</v>
          </cell>
        </row>
        <row r="642">
          <cell r="BD642" t="str">
            <v>.</v>
          </cell>
        </row>
        <row r="643">
          <cell r="BD643" t="str">
            <v>.</v>
          </cell>
        </row>
        <row r="644">
          <cell r="BD644" t="str">
            <v>.</v>
          </cell>
        </row>
        <row r="645">
          <cell r="BD645" t="str">
            <v>.</v>
          </cell>
        </row>
        <row r="646">
          <cell r="BD646" t="str">
            <v>.</v>
          </cell>
        </row>
        <row r="647">
          <cell r="BD647" t="str">
            <v>.</v>
          </cell>
        </row>
        <row r="648">
          <cell r="BD648" t="str">
            <v>.</v>
          </cell>
        </row>
        <row r="649">
          <cell r="BD649" t="str">
            <v>.</v>
          </cell>
        </row>
        <row r="650">
          <cell r="BD650" t="str">
            <v>.</v>
          </cell>
        </row>
        <row r="651">
          <cell r="BD651" t="str">
            <v>.</v>
          </cell>
        </row>
        <row r="652">
          <cell r="BD652" t="str">
            <v>.</v>
          </cell>
        </row>
        <row r="653">
          <cell r="BD653" t="str">
            <v>.</v>
          </cell>
        </row>
        <row r="654">
          <cell r="BD654" t="str">
            <v>.</v>
          </cell>
        </row>
        <row r="655">
          <cell r="BD655" t="str">
            <v>.</v>
          </cell>
        </row>
        <row r="656">
          <cell r="BD656" t="str">
            <v>.</v>
          </cell>
        </row>
        <row r="657">
          <cell r="BD657" t="str">
            <v>.</v>
          </cell>
        </row>
        <row r="658">
          <cell r="BD658" t="str">
            <v>.</v>
          </cell>
        </row>
        <row r="659">
          <cell r="BD659" t="str">
            <v>.</v>
          </cell>
        </row>
        <row r="660">
          <cell r="BD660" t="str">
            <v>.</v>
          </cell>
        </row>
        <row r="661">
          <cell r="BD661" t="str">
            <v>.</v>
          </cell>
        </row>
        <row r="662">
          <cell r="BD662" t="str">
            <v>.</v>
          </cell>
        </row>
        <row r="663">
          <cell r="BD663" t="str">
            <v>.</v>
          </cell>
        </row>
        <row r="664">
          <cell r="BD664" t="str">
            <v>.</v>
          </cell>
        </row>
        <row r="665">
          <cell r="BD665" t="str">
            <v>.</v>
          </cell>
        </row>
        <row r="666">
          <cell r="BD666" t="str">
            <v>.</v>
          </cell>
        </row>
        <row r="667">
          <cell r="BD667" t="str">
            <v>.</v>
          </cell>
        </row>
        <row r="668">
          <cell r="BD668" t="str">
            <v>.</v>
          </cell>
        </row>
        <row r="669">
          <cell r="BD669" t="str">
            <v>.</v>
          </cell>
        </row>
        <row r="670">
          <cell r="BD670" t="str">
            <v>.</v>
          </cell>
        </row>
        <row r="671">
          <cell r="BD671" t="str">
            <v>.</v>
          </cell>
        </row>
        <row r="672">
          <cell r="BD672" t="str">
            <v>.</v>
          </cell>
        </row>
        <row r="673">
          <cell r="BD673" t="str">
            <v>.</v>
          </cell>
        </row>
        <row r="674">
          <cell r="BD674" t="str">
            <v>.</v>
          </cell>
        </row>
        <row r="675">
          <cell r="BD675" t="str">
            <v>.</v>
          </cell>
        </row>
        <row r="676">
          <cell r="BD676" t="str">
            <v>.</v>
          </cell>
        </row>
        <row r="677">
          <cell r="BD677" t="str">
            <v>.</v>
          </cell>
        </row>
        <row r="678">
          <cell r="BD678" t="str">
            <v>.</v>
          </cell>
        </row>
        <row r="679">
          <cell r="BD679" t="str">
            <v>.</v>
          </cell>
        </row>
        <row r="680">
          <cell r="BD680" t="str">
            <v>.</v>
          </cell>
        </row>
        <row r="681">
          <cell r="BD681" t="str">
            <v>.</v>
          </cell>
        </row>
        <row r="682">
          <cell r="BD682" t="str">
            <v>.</v>
          </cell>
        </row>
        <row r="683">
          <cell r="BD683" t="str">
            <v>.</v>
          </cell>
        </row>
        <row r="684">
          <cell r="BD684" t="str">
            <v>.</v>
          </cell>
        </row>
        <row r="685">
          <cell r="BD685" t="str">
            <v>.</v>
          </cell>
        </row>
        <row r="686">
          <cell r="BD686" t="str">
            <v>.</v>
          </cell>
        </row>
        <row r="687">
          <cell r="BD687" t="str">
            <v>.</v>
          </cell>
        </row>
        <row r="688">
          <cell r="BD688" t="str">
            <v>.</v>
          </cell>
        </row>
        <row r="689">
          <cell r="BD689" t="str">
            <v>.</v>
          </cell>
        </row>
        <row r="690">
          <cell r="BD690" t="str">
            <v>.</v>
          </cell>
        </row>
        <row r="691">
          <cell r="BD691" t="str">
            <v>.</v>
          </cell>
        </row>
        <row r="692">
          <cell r="BD692" t="str">
            <v>.</v>
          </cell>
        </row>
        <row r="693">
          <cell r="BD693" t="str">
            <v>.</v>
          </cell>
        </row>
        <row r="694">
          <cell r="BD694" t="str">
            <v>.</v>
          </cell>
        </row>
        <row r="695">
          <cell r="BD695" t="str">
            <v>.</v>
          </cell>
        </row>
        <row r="696">
          <cell r="BD696" t="str">
            <v>.</v>
          </cell>
        </row>
        <row r="697">
          <cell r="BD697" t="str">
            <v>.</v>
          </cell>
        </row>
        <row r="698">
          <cell r="BD698" t="str">
            <v>.</v>
          </cell>
        </row>
        <row r="699">
          <cell r="BD699" t="str">
            <v>.</v>
          </cell>
        </row>
        <row r="700">
          <cell r="BD700" t="str">
            <v>.</v>
          </cell>
        </row>
        <row r="701">
          <cell r="BD701" t="str">
            <v>.</v>
          </cell>
        </row>
        <row r="702">
          <cell r="BD702" t="str">
            <v>.</v>
          </cell>
        </row>
        <row r="703">
          <cell r="BD703" t="str">
            <v>.</v>
          </cell>
        </row>
        <row r="704">
          <cell r="BD704" t="str">
            <v>.</v>
          </cell>
        </row>
        <row r="705">
          <cell r="BD705" t="str">
            <v>.</v>
          </cell>
        </row>
        <row r="706">
          <cell r="BD706" t="str">
            <v>.</v>
          </cell>
        </row>
        <row r="707">
          <cell r="BD707" t="str">
            <v>.</v>
          </cell>
        </row>
        <row r="708">
          <cell r="BD708" t="str">
            <v>.</v>
          </cell>
        </row>
        <row r="709">
          <cell r="BD709" t="str">
            <v>.</v>
          </cell>
        </row>
        <row r="710">
          <cell r="BD710" t="str">
            <v>.</v>
          </cell>
        </row>
        <row r="711">
          <cell r="BD711" t="str">
            <v>.</v>
          </cell>
        </row>
        <row r="712">
          <cell r="BD712" t="str">
            <v>.</v>
          </cell>
        </row>
        <row r="713">
          <cell r="BD713" t="str">
            <v>.</v>
          </cell>
        </row>
        <row r="714">
          <cell r="BD714" t="str">
            <v>.</v>
          </cell>
        </row>
        <row r="715">
          <cell r="BD715" t="str">
            <v>.</v>
          </cell>
        </row>
        <row r="716">
          <cell r="BD716" t="str">
            <v>.</v>
          </cell>
        </row>
        <row r="717">
          <cell r="BD717" t="str">
            <v>.</v>
          </cell>
        </row>
        <row r="718">
          <cell r="BD718" t="str">
            <v>.</v>
          </cell>
        </row>
        <row r="719">
          <cell r="BD719" t="str">
            <v>.</v>
          </cell>
        </row>
        <row r="720">
          <cell r="BD720" t="str">
            <v>.</v>
          </cell>
        </row>
        <row r="721">
          <cell r="BD721" t="str">
            <v>.</v>
          </cell>
        </row>
        <row r="722">
          <cell r="BD722" t="str">
            <v>.</v>
          </cell>
        </row>
        <row r="723">
          <cell r="BD723" t="str">
            <v>.</v>
          </cell>
        </row>
        <row r="724">
          <cell r="BD724" t="str">
            <v>.</v>
          </cell>
        </row>
        <row r="725">
          <cell r="BD725" t="str">
            <v>.</v>
          </cell>
        </row>
        <row r="726">
          <cell r="BD726" t="str">
            <v>.</v>
          </cell>
        </row>
        <row r="727">
          <cell r="BD727" t="str">
            <v>.</v>
          </cell>
        </row>
        <row r="728">
          <cell r="BD728" t="str">
            <v>.</v>
          </cell>
        </row>
        <row r="729">
          <cell r="BD729" t="str">
            <v>.</v>
          </cell>
        </row>
        <row r="730">
          <cell r="BD730" t="str">
            <v>.</v>
          </cell>
        </row>
        <row r="731">
          <cell r="BD731" t="str">
            <v>.</v>
          </cell>
        </row>
        <row r="732">
          <cell r="BD732" t="str">
            <v>.</v>
          </cell>
        </row>
        <row r="733">
          <cell r="BD733" t="str">
            <v>.</v>
          </cell>
        </row>
        <row r="734">
          <cell r="BD734" t="str">
            <v>.</v>
          </cell>
        </row>
        <row r="735">
          <cell r="BD735" t="str">
            <v>.</v>
          </cell>
        </row>
        <row r="736">
          <cell r="BD736" t="str">
            <v>.</v>
          </cell>
        </row>
        <row r="737">
          <cell r="BD737" t="str">
            <v>.</v>
          </cell>
        </row>
        <row r="738">
          <cell r="BD738" t="str">
            <v>.</v>
          </cell>
        </row>
        <row r="739">
          <cell r="BD739" t="str">
            <v>.</v>
          </cell>
        </row>
        <row r="740">
          <cell r="BD740" t="str">
            <v>.</v>
          </cell>
        </row>
        <row r="741">
          <cell r="BD741" t="str">
            <v>.</v>
          </cell>
        </row>
        <row r="742">
          <cell r="BD742" t="str">
            <v>.</v>
          </cell>
        </row>
        <row r="743">
          <cell r="BD743" t="str">
            <v>.</v>
          </cell>
        </row>
        <row r="744">
          <cell r="BD744" t="str">
            <v>.</v>
          </cell>
        </row>
        <row r="745">
          <cell r="BD745" t="str">
            <v>.</v>
          </cell>
        </row>
        <row r="746">
          <cell r="BD746" t="str">
            <v>.</v>
          </cell>
        </row>
        <row r="747">
          <cell r="BD747" t="str">
            <v>.</v>
          </cell>
        </row>
        <row r="748">
          <cell r="BD748" t="str">
            <v>.</v>
          </cell>
        </row>
        <row r="749">
          <cell r="BD749" t="str">
            <v>.</v>
          </cell>
        </row>
        <row r="750">
          <cell r="BD750" t="str">
            <v>.</v>
          </cell>
        </row>
        <row r="751">
          <cell r="BD751" t="str">
            <v>.</v>
          </cell>
        </row>
        <row r="752">
          <cell r="BD752" t="str">
            <v>.</v>
          </cell>
        </row>
        <row r="753">
          <cell r="BD753" t="str">
            <v>.</v>
          </cell>
        </row>
        <row r="754">
          <cell r="BD754" t="str">
            <v>.</v>
          </cell>
        </row>
        <row r="755">
          <cell r="BD755" t="str">
            <v>.</v>
          </cell>
        </row>
        <row r="756">
          <cell r="BD756" t="str">
            <v>.</v>
          </cell>
        </row>
        <row r="757">
          <cell r="BD757" t="str">
            <v>.</v>
          </cell>
        </row>
        <row r="758">
          <cell r="BD758" t="str">
            <v>.</v>
          </cell>
        </row>
        <row r="759">
          <cell r="BD759" t="str">
            <v>.</v>
          </cell>
        </row>
        <row r="760">
          <cell r="BD760" t="str">
            <v>.</v>
          </cell>
        </row>
        <row r="761">
          <cell r="BD761" t="str">
            <v>.</v>
          </cell>
        </row>
        <row r="762">
          <cell r="BD762" t="str">
            <v>.</v>
          </cell>
        </row>
        <row r="763">
          <cell r="BD763" t="str">
            <v>.</v>
          </cell>
        </row>
        <row r="764">
          <cell r="BD764" t="str">
            <v>.</v>
          </cell>
        </row>
        <row r="765">
          <cell r="BD765" t="str">
            <v>.</v>
          </cell>
        </row>
        <row r="766">
          <cell r="BD766" t="str">
            <v>.</v>
          </cell>
        </row>
        <row r="767">
          <cell r="BD767" t="str">
            <v>.</v>
          </cell>
        </row>
        <row r="768">
          <cell r="BD768" t="str">
            <v>.</v>
          </cell>
        </row>
        <row r="769">
          <cell r="BD769" t="str">
            <v>.</v>
          </cell>
        </row>
        <row r="770">
          <cell r="BD770" t="str">
            <v>.</v>
          </cell>
        </row>
        <row r="771">
          <cell r="BD771" t="str">
            <v>.</v>
          </cell>
        </row>
        <row r="772">
          <cell r="BD772" t="str">
            <v>.</v>
          </cell>
        </row>
        <row r="773">
          <cell r="BD773" t="str">
            <v>.</v>
          </cell>
        </row>
        <row r="774">
          <cell r="BD774" t="str">
            <v>.</v>
          </cell>
        </row>
        <row r="775">
          <cell r="BD775" t="str">
            <v>.</v>
          </cell>
        </row>
        <row r="776">
          <cell r="BD776" t="str">
            <v>.</v>
          </cell>
        </row>
        <row r="777">
          <cell r="BD777" t="str">
            <v>.</v>
          </cell>
        </row>
        <row r="778">
          <cell r="BD778" t="str">
            <v>.</v>
          </cell>
        </row>
        <row r="779">
          <cell r="BD779" t="str">
            <v>.</v>
          </cell>
        </row>
        <row r="780">
          <cell r="BD780" t="str">
            <v>.</v>
          </cell>
        </row>
        <row r="781">
          <cell r="BD781" t="str">
            <v>.</v>
          </cell>
        </row>
        <row r="782">
          <cell r="BD782" t="str">
            <v>.</v>
          </cell>
        </row>
        <row r="783">
          <cell r="BD783" t="str">
            <v>.</v>
          </cell>
        </row>
        <row r="784">
          <cell r="BD784" t="str">
            <v>.</v>
          </cell>
        </row>
        <row r="785">
          <cell r="BD785" t="str">
            <v>.</v>
          </cell>
        </row>
        <row r="786">
          <cell r="BD786" t="str">
            <v>.</v>
          </cell>
        </row>
        <row r="787">
          <cell r="BD787" t="str">
            <v>.</v>
          </cell>
        </row>
        <row r="788">
          <cell r="BD788" t="str">
            <v>.</v>
          </cell>
        </row>
        <row r="789">
          <cell r="BD789" t="str">
            <v>.</v>
          </cell>
        </row>
        <row r="790">
          <cell r="BD790" t="str">
            <v>.</v>
          </cell>
        </row>
        <row r="791">
          <cell r="BD791" t="str">
            <v>.</v>
          </cell>
        </row>
        <row r="792">
          <cell r="BD792" t="str">
            <v>.</v>
          </cell>
        </row>
        <row r="793">
          <cell r="BD793" t="str">
            <v>.</v>
          </cell>
        </row>
        <row r="794">
          <cell r="BD794" t="str">
            <v>.</v>
          </cell>
        </row>
        <row r="795">
          <cell r="BD795" t="str">
            <v>.</v>
          </cell>
        </row>
        <row r="796">
          <cell r="BD796" t="str">
            <v>.</v>
          </cell>
        </row>
        <row r="797">
          <cell r="BD797" t="str">
            <v>.</v>
          </cell>
        </row>
        <row r="798">
          <cell r="BD798" t="str">
            <v>.</v>
          </cell>
        </row>
        <row r="799">
          <cell r="BD799" t="str">
            <v>.</v>
          </cell>
        </row>
        <row r="800">
          <cell r="BD800" t="str">
            <v>.</v>
          </cell>
        </row>
        <row r="801">
          <cell r="BD801" t="str">
            <v>.</v>
          </cell>
        </row>
        <row r="802">
          <cell r="BD802" t="str">
            <v>.</v>
          </cell>
        </row>
        <row r="803">
          <cell r="BD803" t="str">
            <v>.</v>
          </cell>
        </row>
        <row r="804">
          <cell r="BD804" t="str">
            <v>.</v>
          </cell>
        </row>
        <row r="805">
          <cell r="BD805" t="str">
            <v>.</v>
          </cell>
        </row>
        <row r="806">
          <cell r="BD806" t="str">
            <v>.</v>
          </cell>
        </row>
        <row r="807">
          <cell r="BD807" t="str">
            <v>.</v>
          </cell>
        </row>
        <row r="808">
          <cell r="BD808" t="str">
            <v>.</v>
          </cell>
        </row>
        <row r="809">
          <cell r="BD809" t="str">
            <v>.</v>
          </cell>
        </row>
        <row r="810">
          <cell r="BD810" t="str">
            <v>.</v>
          </cell>
        </row>
        <row r="811">
          <cell r="BD811" t="str">
            <v>.</v>
          </cell>
        </row>
        <row r="812">
          <cell r="BD812" t="str">
            <v>.</v>
          </cell>
        </row>
        <row r="813">
          <cell r="BD813" t="str">
            <v>.</v>
          </cell>
        </row>
        <row r="814">
          <cell r="BD814" t="str">
            <v>.</v>
          </cell>
        </row>
        <row r="815">
          <cell r="BD815" t="str">
            <v>.</v>
          </cell>
        </row>
        <row r="816">
          <cell r="BD816" t="str">
            <v>.</v>
          </cell>
        </row>
        <row r="817">
          <cell r="BD817" t="str">
            <v>.</v>
          </cell>
        </row>
        <row r="818">
          <cell r="BD818" t="str">
            <v>.</v>
          </cell>
        </row>
        <row r="819">
          <cell r="BD819" t="str">
            <v>.</v>
          </cell>
        </row>
        <row r="820">
          <cell r="BD820" t="str">
            <v>.</v>
          </cell>
        </row>
        <row r="821">
          <cell r="BD821" t="str">
            <v>.</v>
          </cell>
        </row>
        <row r="822">
          <cell r="BD822" t="str">
            <v>.</v>
          </cell>
        </row>
        <row r="823">
          <cell r="BD823" t="str">
            <v>.</v>
          </cell>
        </row>
        <row r="824">
          <cell r="BD824" t="str">
            <v>.</v>
          </cell>
        </row>
        <row r="825">
          <cell r="BD825" t="str">
            <v>.</v>
          </cell>
        </row>
        <row r="826">
          <cell r="BD826" t="str">
            <v>.</v>
          </cell>
        </row>
        <row r="827">
          <cell r="BD827" t="str">
            <v>.</v>
          </cell>
        </row>
        <row r="828">
          <cell r="BD828" t="str">
            <v>.</v>
          </cell>
        </row>
        <row r="829">
          <cell r="BD829" t="str">
            <v>.</v>
          </cell>
        </row>
        <row r="830">
          <cell r="BD830" t="str">
            <v>.</v>
          </cell>
        </row>
        <row r="831">
          <cell r="BD831" t="str">
            <v>.</v>
          </cell>
        </row>
        <row r="832">
          <cell r="BD832" t="str">
            <v>.</v>
          </cell>
        </row>
        <row r="833">
          <cell r="BD833" t="str">
            <v>.</v>
          </cell>
        </row>
        <row r="834">
          <cell r="BD834" t="str">
            <v>.</v>
          </cell>
        </row>
        <row r="835">
          <cell r="BD835" t="str">
            <v>.</v>
          </cell>
        </row>
        <row r="836">
          <cell r="BD836" t="str">
            <v>.</v>
          </cell>
        </row>
        <row r="837">
          <cell r="BD837" t="str">
            <v>.</v>
          </cell>
        </row>
        <row r="838">
          <cell r="BD838" t="str">
            <v>.</v>
          </cell>
        </row>
        <row r="839">
          <cell r="BD839" t="str">
            <v>.</v>
          </cell>
        </row>
        <row r="840">
          <cell r="BD840" t="str">
            <v>.</v>
          </cell>
        </row>
        <row r="841">
          <cell r="BD841" t="str">
            <v>.</v>
          </cell>
        </row>
        <row r="842">
          <cell r="BD842" t="str">
            <v>.</v>
          </cell>
        </row>
        <row r="843">
          <cell r="BD843" t="str">
            <v>.</v>
          </cell>
        </row>
        <row r="844">
          <cell r="BD844" t="str">
            <v>.</v>
          </cell>
        </row>
        <row r="845">
          <cell r="BD845" t="str">
            <v>.</v>
          </cell>
        </row>
        <row r="846">
          <cell r="BD846" t="str">
            <v>.</v>
          </cell>
        </row>
        <row r="847">
          <cell r="BD847" t="str">
            <v>.</v>
          </cell>
        </row>
        <row r="848">
          <cell r="BD848" t="str">
            <v>.</v>
          </cell>
        </row>
        <row r="849">
          <cell r="BD849" t="str">
            <v>.</v>
          </cell>
        </row>
        <row r="850">
          <cell r="BD850" t="str">
            <v>.</v>
          </cell>
        </row>
        <row r="851">
          <cell r="BD851" t="str">
            <v>.</v>
          </cell>
        </row>
        <row r="852">
          <cell r="BD852" t="str">
            <v>.</v>
          </cell>
        </row>
        <row r="853">
          <cell r="BD853" t="str">
            <v>.</v>
          </cell>
        </row>
        <row r="854">
          <cell r="BD854" t="str">
            <v>.</v>
          </cell>
        </row>
        <row r="855">
          <cell r="BD855" t="str">
            <v>.</v>
          </cell>
        </row>
        <row r="856">
          <cell r="BD856" t="str">
            <v>.</v>
          </cell>
        </row>
        <row r="857">
          <cell r="BD857" t="str">
            <v>.</v>
          </cell>
        </row>
        <row r="858">
          <cell r="BD858" t="str">
            <v>.</v>
          </cell>
        </row>
        <row r="859">
          <cell r="BD859" t="str">
            <v>.</v>
          </cell>
        </row>
        <row r="860">
          <cell r="BD860" t="str">
            <v>.</v>
          </cell>
        </row>
        <row r="861">
          <cell r="BD861" t="str">
            <v>.</v>
          </cell>
        </row>
        <row r="862">
          <cell r="BD862" t="str">
            <v>.</v>
          </cell>
        </row>
        <row r="863">
          <cell r="BD863" t="str">
            <v>.</v>
          </cell>
        </row>
        <row r="864">
          <cell r="BD864" t="str">
            <v>.</v>
          </cell>
        </row>
        <row r="865">
          <cell r="BD865" t="str">
            <v>.</v>
          </cell>
        </row>
        <row r="866">
          <cell r="BD866" t="str">
            <v>.</v>
          </cell>
        </row>
        <row r="867">
          <cell r="BD867" t="str">
            <v>.</v>
          </cell>
        </row>
        <row r="868">
          <cell r="BD868" t="str">
            <v>.</v>
          </cell>
        </row>
        <row r="869">
          <cell r="BD869" t="str">
            <v>.</v>
          </cell>
        </row>
        <row r="870">
          <cell r="BD870" t="str">
            <v>.</v>
          </cell>
        </row>
        <row r="871">
          <cell r="BD871" t="str">
            <v>.</v>
          </cell>
        </row>
        <row r="872">
          <cell r="BD872" t="str">
            <v>.</v>
          </cell>
        </row>
        <row r="873">
          <cell r="BD873" t="str">
            <v>.</v>
          </cell>
        </row>
        <row r="874">
          <cell r="BD874" t="str">
            <v>.</v>
          </cell>
        </row>
        <row r="875">
          <cell r="BD875" t="str">
            <v>.</v>
          </cell>
        </row>
        <row r="876">
          <cell r="BD876" t="str">
            <v>.</v>
          </cell>
        </row>
        <row r="877">
          <cell r="BD877" t="str">
            <v>.</v>
          </cell>
        </row>
        <row r="878">
          <cell r="BD878" t="str">
            <v>.</v>
          </cell>
        </row>
        <row r="879">
          <cell r="BD879" t="str">
            <v>.</v>
          </cell>
        </row>
        <row r="880">
          <cell r="BD880" t="str">
            <v>.</v>
          </cell>
        </row>
        <row r="881">
          <cell r="BD881" t="str">
            <v>.</v>
          </cell>
        </row>
        <row r="882">
          <cell r="BD882" t="str">
            <v>.</v>
          </cell>
        </row>
        <row r="883">
          <cell r="BD883" t="str">
            <v>.</v>
          </cell>
        </row>
        <row r="884">
          <cell r="BD884" t="str">
            <v>.</v>
          </cell>
        </row>
        <row r="885">
          <cell r="BD885" t="str">
            <v>.</v>
          </cell>
        </row>
        <row r="886">
          <cell r="BD886" t="str">
            <v>.</v>
          </cell>
        </row>
        <row r="887">
          <cell r="BD887" t="str">
            <v>.</v>
          </cell>
        </row>
        <row r="888">
          <cell r="BD888" t="str">
            <v>.</v>
          </cell>
        </row>
        <row r="889">
          <cell r="BD889" t="str">
            <v>.</v>
          </cell>
        </row>
        <row r="890">
          <cell r="BD890" t="str">
            <v>.</v>
          </cell>
        </row>
        <row r="891">
          <cell r="BD891" t="str">
            <v>.</v>
          </cell>
        </row>
        <row r="892">
          <cell r="BD892" t="str">
            <v>.</v>
          </cell>
        </row>
        <row r="893">
          <cell r="BD893" t="str">
            <v>.</v>
          </cell>
        </row>
        <row r="894">
          <cell r="BD894" t="str">
            <v>.</v>
          </cell>
        </row>
        <row r="895">
          <cell r="BD895" t="str">
            <v>.</v>
          </cell>
        </row>
        <row r="896">
          <cell r="BD896" t="str">
            <v>.</v>
          </cell>
        </row>
        <row r="897">
          <cell r="BD897" t="str">
            <v>.</v>
          </cell>
        </row>
        <row r="898">
          <cell r="BD898" t="str">
            <v>.</v>
          </cell>
        </row>
        <row r="899">
          <cell r="BD899" t="str">
            <v>.</v>
          </cell>
        </row>
        <row r="900">
          <cell r="BD900" t="str">
            <v>.</v>
          </cell>
        </row>
        <row r="901">
          <cell r="BD901" t="str">
            <v>.</v>
          </cell>
        </row>
        <row r="902">
          <cell r="BD902" t="str">
            <v>.</v>
          </cell>
        </row>
        <row r="903">
          <cell r="BD903" t="str">
            <v>.</v>
          </cell>
        </row>
        <row r="904">
          <cell r="BD904" t="str">
            <v>.</v>
          </cell>
        </row>
        <row r="905">
          <cell r="BD905" t="str">
            <v>.</v>
          </cell>
        </row>
        <row r="906">
          <cell r="BD906" t="str">
            <v>.</v>
          </cell>
        </row>
        <row r="907">
          <cell r="BD907" t="str">
            <v>.</v>
          </cell>
        </row>
        <row r="908">
          <cell r="BD908" t="str">
            <v>.</v>
          </cell>
        </row>
        <row r="909">
          <cell r="BD909" t="str">
            <v>.</v>
          </cell>
        </row>
        <row r="910">
          <cell r="BD910" t="str">
            <v>.</v>
          </cell>
        </row>
        <row r="911">
          <cell r="BD911" t="str">
            <v>.</v>
          </cell>
        </row>
        <row r="912">
          <cell r="BD912" t="str">
            <v>.</v>
          </cell>
        </row>
        <row r="913">
          <cell r="BD913" t="str">
            <v>.</v>
          </cell>
        </row>
        <row r="914">
          <cell r="BD914" t="str">
            <v>.</v>
          </cell>
        </row>
        <row r="915">
          <cell r="BD915" t="str">
            <v>.</v>
          </cell>
        </row>
        <row r="916">
          <cell r="BD916" t="str">
            <v>.</v>
          </cell>
        </row>
        <row r="917">
          <cell r="BD917" t="str">
            <v>.</v>
          </cell>
        </row>
        <row r="918">
          <cell r="BD918" t="str">
            <v>.</v>
          </cell>
        </row>
        <row r="919">
          <cell r="BD919" t="str">
            <v>.</v>
          </cell>
        </row>
        <row r="920">
          <cell r="BD920" t="str">
            <v>.</v>
          </cell>
        </row>
        <row r="921">
          <cell r="BD921" t="str">
            <v>.</v>
          </cell>
        </row>
        <row r="922">
          <cell r="BD922" t="str">
            <v>.</v>
          </cell>
        </row>
        <row r="923">
          <cell r="BD923" t="str">
            <v>.</v>
          </cell>
        </row>
        <row r="924">
          <cell r="BD924" t="str">
            <v>.</v>
          </cell>
        </row>
        <row r="925">
          <cell r="BD925" t="str">
            <v>.</v>
          </cell>
        </row>
        <row r="926">
          <cell r="BD926" t="str">
            <v>.</v>
          </cell>
        </row>
        <row r="927">
          <cell r="BD927" t="str">
            <v>.</v>
          </cell>
        </row>
        <row r="928">
          <cell r="BD928" t="str">
            <v>.</v>
          </cell>
        </row>
        <row r="929">
          <cell r="BD929" t="str">
            <v>.</v>
          </cell>
        </row>
        <row r="930">
          <cell r="BD930" t="str">
            <v>.</v>
          </cell>
        </row>
        <row r="931">
          <cell r="BD931" t="str">
            <v>.</v>
          </cell>
        </row>
        <row r="932">
          <cell r="BD932" t="str">
            <v>.</v>
          </cell>
        </row>
        <row r="933">
          <cell r="BD933" t="str">
            <v>.</v>
          </cell>
        </row>
        <row r="934">
          <cell r="BD934" t="str">
            <v>.</v>
          </cell>
        </row>
        <row r="935">
          <cell r="BD935" t="str">
            <v>.</v>
          </cell>
        </row>
        <row r="936">
          <cell r="BD936" t="str">
            <v>.</v>
          </cell>
        </row>
        <row r="937">
          <cell r="BD937" t="str">
            <v>.</v>
          </cell>
        </row>
        <row r="938">
          <cell r="BD938" t="str">
            <v>.</v>
          </cell>
        </row>
        <row r="939">
          <cell r="BD939" t="str">
            <v>.</v>
          </cell>
        </row>
        <row r="940">
          <cell r="BD940" t="str">
            <v>.</v>
          </cell>
        </row>
        <row r="941">
          <cell r="BD941" t="str">
            <v>.</v>
          </cell>
        </row>
        <row r="942">
          <cell r="BD942" t="str">
            <v>.</v>
          </cell>
        </row>
        <row r="943">
          <cell r="BD943" t="str">
            <v>.</v>
          </cell>
        </row>
        <row r="944">
          <cell r="BD944" t="str">
            <v>.</v>
          </cell>
        </row>
        <row r="945">
          <cell r="BD945" t="str">
            <v>.</v>
          </cell>
        </row>
        <row r="946">
          <cell r="BD946" t="str">
            <v>.</v>
          </cell>
        </row>
        <row r="947">
          <cell r="BD947" t="str">
            <v>.</v>
          </cell>
        </row>
        <row r="948">
          <cell r="BD948" t="str">
            <v>.</v>
          </cell>
        </row>
        <row r="949">
          <cell r="BD949" t="str">
            <v>.</v>
          </cell>
        </row>
        <row r="950">
          <cell r="BD950" t="str">
            <v>.</v>
          </cell>
        </row>
        <row r="951">
          <cell r="BD951" t="str">
            <v>.</v>
          </cell>
        </row>
        <row r="952">
          <cell r="BD952" t="str">
            <v>.</v>
          </cell>
        </row>
        <row r="953">
          <cell r="BD953" t="str">
            <v>.</v>
          </cell>
        </row>
        <row r="954">
          <cell r="BD954" t="str">
            <v>.</v>
          </cell>
        </row>
        <row r="955">
          <cell r="BD955" t="str">
            <v>.</v>
          </cell>
        </row>
        <row r="956">
          <cell r="BD956" t="str">
            <v>.</v>
          </cell>
        </row>
        <row r="957">
          <cell r="BD957" t="str">
            <v>.</v>
          </cell>
        </row>
        <row r="958">
          <cell r="BD958" t="str">
            <v>.</v>
          </cell>
        </row>
        <row r="959">
          <cell r="BD959" t="str">
            <v>.</v>
          </cell>
        </row>
        <row r="960">
          <cell r="BD960" t="str">
            <v>.</v>
          </cell>
        </row>
        <row r="961">
          <cell r="BD961" t="str">
            <v>.</v>
          </cell>
        </row>
        <row r="962">
          <cell r="BD962" t="str">
            <v>.</v>
          </cell>
        </row>
        <row r="963">
          <cell r="BD963" t="str">
            <v>.</v>
          </cell>
        </row>
        <row r="964">
          <cell r="BD964" t="str">
            <v>.</v>
          </cell>
        </row>
        <row r="965">
          <cell r="BD965" t="str">
            <v>.</v>
          </cell>
        </row>
        <row r="966">
          <cell r="BD966" t="str">
            <v>.</v>
          </cell>
        </row>
        <row r="967">
          <cell r="BD967" t="str">
            <v>.</v>
          </cell>
        </row>
        <row r="968">
          <cell r="BD968" t="str">
            <v>.</v>
          </cell>
        </row>
        <row r="969">
          <cell r="BD969" t="str">
            <v>.</v>
          </cell>
        </row>
        <row r="970">
          <cell r="BD970" t="str">
            <v>.</v>
          </cell>
        </row>
        <row r="971">
          <cell r="BD971" t="str">
            <v>.</v>
          </cell>
        </row>
        <row r="972">
          <cell r="BD972" t="str">
            <v>.</v>
          </cell>
        </row>
        <row r="973">
          <cell r="BD973" t="str">
            <v>.</v>
          </cell>
        </row>
        <row r="974">
          <cell r="BD974" t="str">
            <v>.</v>
          </cell>
        </row>
        <row r="975">
          <cell r="BD975" t="str">
            <v>.</v>
          </cell>
        </row>
        <row r="976">
          <cell r="BD976" t="str">
            <v>.</v>
          </cell>
        </row>
        <row r="977">
          <cell r="BD977" t="str">
            <v>.</v>
          </cell>
        </row>
        <row r="978">
          <cell r="BD978" t="str">
            <v>.</v>
          </cell>
        </row>
        <row r="979">
          <cell r="BD979" t="str">
            <v>.</v>
          </cell>
        </row>
        <row r="980">
          <cell r="BD980" t="str">
            <v>.</v>
          </cell>
        </row>
        <row r="981">
          <cell r="BD981" t="str">
            <v>.</v>
          </cell>
        </row>
        <row r="982">
          <cell r="BD982" t="str">
            <v>.</v>
          </cell>
        </row>
        <row r="983">
          <cell r="BD983" t="str">
            <v>.</v>
          </cell>
        </row>
        <row r="984">
          <cell r="BD984" t="str">
            <v>.</v>
          </cell>
        </row>
        <row r="985">
          <cell r="BD985" t="str">
            <v>.</v>
          </cell>
        </row>
        <row r="986">
          <cell r="BD986" t="str">
            <v>.</v>
          </cell>
        </row>
        <row r="987">
          <cell r="BD987" t="str">
            <v>.</v>
          </cell>
        </row>
        <row r="988">
          <cell r="BD988" t="str">
            <v>.</v>
          </cell>
        </row>
        <row r="989">
          <cell r="BD989" t="str">
            <v>.</v>
          </cell>
        </row>
        <row r="990">
          <cell r="BD990" t="str">
            <v>.</v>
          </cell>
        </row>
        <row r="991">
          <cell r="BD991" t="str">
            <v>.</v>
          </cell>
        </row>
        <row r="992">
          <cell r="BD992" t="str">
            <v>.</v>
          </cell>
        </row>
        <row r="993">
          <cell r="BD993" t="str">
            <v>.</v>
          </cell>
        </row>
        <row r="994">
          <cell r="BD994" t="str">
            <v>.</v>
          </cell>
        </row>
        <row r="995">
          <cell r="BD995" t="str">
            <v>.</v>
          </cell>
        </row>
        <row r="996">
          <cell r="BD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H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  <cell r="BB997" t="str">
            <v>.</v>
          </cell>
          <cell r="BC997" t="str">
            <v>.</v>
          </cell>
          <cell r="BD997" t="str">
            <v>.</v>
          </cell>
        </row>
      </sheetData>
      <sheetData sheetId="25" refreshError="1">
        <row r="1">
          <cell r="U1" t="str">
            <v>SmartCharts</v>
          </cell>
          <cell r="BD1" t="str">
            <v>.</v>
          </cell>
        </row>
        <row r="2">
          <cell r="BD2" t="str">
            <v>.</v>
          </cell>
        </row>
        <row r="3">
          <cell r="BD3" t="str">
            <v>.</v>
          </cell>
        </row>
        <row r="4">
          <cell r="BD4" t="str">
            <v>.</v>
          </cell>
        </row>
        <row r="5">
          <cell r="C5" t="str">
            <v>Define value axis here:</v>
          </cell>
        </row>
        <row r="6">
          <cell r="C6" t="str">
            <v>Eli Lilly YOY revenue change 2010E-2015E</v>
          </cell>
        </row>
        <row r="10">
          <cell r="C10" t="str">
            <v>Input your data here:</v>
          </cell>
          <cell r="BD10" t="str">
            <v>.</v>
          </cell>
        </row>
        <row r="11">
          <cell r="C11" t="str">
            <v>Sales ($M)</v>
          </cell>
          <cell r="D11" t="str">
            <v>2011E</v>
          </cell>
          <cell r="E11" t="str">
            <v>2012E</v>
          </cell>
          <cell r="F11" t="str">
            <v>2013E</v>
          </cell>
          <cell r="G11" t="str">
            <v>2014E</v>
          </cell>
          <cell r="H11" t="str">
            <v>2015E</v>
          </cell>
          <cell r="BC11" t="str">
            <v>.</v>
          </cell>
        </row>
        <row r="12">
          <cell r="C12" t="str">
            <v>In-line products</v>
          </cell>
          <cell r="D12">
            <v>680.47624304999954</v>
          </cell>
          <cell r="E12">
            <v>486.26563373899808</v>
          </cell>
          <cell r="F12">
            <v>392.20336252127527</v>
          </cell>
          <cell r="G12">
            <v>408.45276247114634</v>
          </cell>
          <cell r="H12">
            <v>281.70162648130463</v>
          </cell>
          <cell r="BC12" t="str">
            <v>.</v>
          </cell>
        </row>
        <row r="13">
          <cell r="A13" t="str">
            <v>.</v>
          </cell>
          <cell r="C13" t="str">
            <v>Pipeline products launching 2010–2015</v>
          </cell>
          <cell r="D13">
            <v>190.9375</v>
          </cell>
          <cell r="E13">
            <v>310.83749999999986</v>
          </cell>
          <cell r="F13">
            <v>545.88500000000022</v>
          </cell>
          <cell r="G13">
            <v>871.89729999999986</v>
          </cell>
          <cell r="H13">
            <v>1191.6988575</v>
          </cell>
          <cell r="BC13" t="str">
            <v>.</v>
          </cell>
        </row>
        <row r="14">
          <cell r="C14" t="str">
            <v>Products expiring 2010–2015</v>
          </cell>
          <cell r="D14">
            <v>-371.49615019999874</v>
          </cell>
          <cell r="E14">
            <v>-2226.0126789459991</v>
          </cell>
          <cell r="F14">
            <v>-713.0858879557818</v>
          </cell>
          <cell r="G14">
            <v>-2566.7028729389294</v>
          </cell>
          <cell r="H14">
            <v>-2382.3369144914741</v>
          </cell>
          <cell r="BC14" t="str">
            <v>.</v>
          </cell>
        </row>
        <row r="15">
          <cell r="C15" t="str">
            <v>Net YOY change</v>
          </cell>
          <cell r="D15">
            <v>499.9175928500008</v>
          </cell>
          <cell r="E15">
            <v>-1428.9095452069996</v>
          </cell>
          <cell r="F15">
            <v>225.00247456549187</v>
          </cell>
          <cell r="G15">
            <v>-1286.3528104677825</v>
          </cell>
          <cell r="H15">
            <v>-908.93643051016988</v>
          </cell>
          <cell r="BC15" t="str">
            <v>.</v>
          </cell>
        </row>
        <row r="16">
          <cell r="BC16" t="str">
            <v>.</v>
          </cell>
        </row>
        <row r="17">
          <cell r="BD17" t="str">
            <v>.</v>
          </cell>
        </row>
        <row r="18">
          <cell r="BD18" t="str">
            <v>.</v>
          </cell>
        </row>
        <row r="20">
          <cell r="BD20" t="str">
            <v>.</v>
          </cell>
        </row>
        <row r="21">
          <cell r="BD21" t="str">
            <v>.</v>
          </cell>
        </row>
        <row r="22">
          <cell r="BD22" t="str">
            <v>.</v>
          </cell>
        </row>
        <row r="23">
          <cell r="BD23" t="str">
            <v>.</v>
          </cell>
        </row>
        <row r="24">
          <cell r="BD24" t="str">
            <v>.</v>
          </cell>
        </row>
        <row r="25">
          <cell r="BD25" t="str">
            <v>.</v>
          </cell>
        </row>
        <row r="26">
          <cell r="BD26" t="str">
            <v>.</v>
          </cell>
        </row>
        <row r="27">
          <cell r="BD27" t="str">
            <v>.</v>
          </cell>
        </row>
        <row r="28">
          <cell r="BD28" t="str">
            <v>.</v>
          </cell>
        </row>
        <row r="29">
          <cell r="BD29" t="str">
            <v>.</v>
          </cell>
        </row>
        <row r="30">
          <cell r="BD30" t="str">
            <v>.</v>
          </cell>
        </row>
        <row r="31">
          <cell r="BD31" t="str">
            <v>.</v>
          </cell>
        </row>
        <row r="32">
          <cell r="BD32" t="str">
            <v>.</v>
          </cell>
        </row>
        <row r="33">
          <cell r="BD33" t="str">
            <v>.</v>
          </cell>
        </row>
        <row r="34">
          <cell r="BD34" t="str">
            <v>.</v>
          </cell>
        </row>
        <row r="35">
          <cell r="BD35" t="str">
            <v>.</v>
          </cell>
        </row>
        <row r="36">
          <cell r="BD36" t="str">
            <v>.</v>
          </cell>
        </row>
        <row r="37">
          <cell r="M37" t="str">
            <v>Do not change the width of the exhibit or font sizes (they are optimized for export to Word).</v>
          </cell>
          <cell r="BD37" t="str">
            <v>.</v>
          </cell>
        </row>
        <row r="38">
          <cell r="BD38" t="str">
            <v>.</v>
          </cell>
        </row>
        <row r="39">
          <cell r="M39" t="str">
            <v>Do not delete any rows or columns (some gray cells are used for calculations).</v>
          </cell>
          <cell r="BD39" t="str">
            <v>.</v>
          </cell>
        </row>
        <row r="40">
          <cell r="BD40" t="str">
            <v>.</v>
          </cell>
        </row>
        <row r="41">
          <cell r="BD41" t="str">
            <v>.</v>
          </cell>
        </row>
        <row r="42">
          <cell r="BD42" t="str">
            <v>.</v>
          </cell>
        </row>
        <row r="43">
          <cell r="BD43" t="str">
            <v>.</v>
          </cell>
        </row>
        <row r="44">
          <cell r="BD44" t="str">
            <v>.</v>
          </cell>
        </row>
        <row r="45">
          <cell r="BD45" t="str">
            <v>.</v>
          </cell>
        </row>
        <row r="46">
          <cell r="BD46" t="str">
            <v>.</v>
          </cell>
        </row>
        <row r="47">
          <cell r="BD47" t="str">
            <v>.</v>
          </cell>
        </row>
        <row r="48">
          <cell r="BD48" t="str">
            <v>.</v>
          </cell>
        </row>
        <row r="49">
          <cell r="BD49" t="str">
            <v>.</v>
          </cell>
        </row>
        <row r="50">
          <cell r="BD50" t="str">
            <v>.</v>
          </cell>
        </row>
        <row r="51">
          <cell r="BD51" t="str">
            <v>.</v>
          </cell>
        </row>
        <row r="52">
          <cell r="BD52" t="str">
            <v>.</v>
          </cell>
        </row>
        <row r="53">
          <cell r="BD53" t="str">
            <v>.</v>
          </cell>
        </row>
        <row r="54">
          <cell r="BD54" t="str">
            <v>.</v>
          </cell>
        </row>
        <row r="55">
          <cell r="BD55" t="str">
            <v>.</v>
          </cell>
        </row>
        <row r="56">
          <cell r="BD56" t="str">
            <v>.</v>
          </cell>
        </row>
        <row r="57">
          <cell r="BD57" t="str">
            <v>.</v>
          </cell>
        </row>
        <row r="58">
          <cell r="BD58" t="str">
            <v>.</v>
          </cell>
        </row>
        <row r="59">
          <cell r="BD59" t="str">
            <v>.</v>
          </cell>
        </row>
        <row r="60">
          <cell r="BD60" t="str">
            <v>.</v>
          </cell>
        </row>
        <row r="61">
          <cell r="BD61" t="str">
            <v>.</v>
          </cell>
        </row>
        <row r="62">
          <cell r="BD62" t="str">
            <v>.</v>
          </cell>
        </row>
        <row r="63">
          <cell r="BD63" t="str">
            <v>.</v>
          </cell>
        </row>
        <row r="64">
          <cell r="BD64" t="str">
            <v>.</v>
          </cell>
        </row>
        <row r="65">
          <cell r="BD65" t="str">
            <v>.</v>
          </cell>
        </row>
        <row r="66">
          <cell r="BD66" t="str">
            <v>.</v>
          </cell>
        </row>
        <row r="67">
          <cell r="BD67" t="str">
            <v>.</v>
          </cell>
        </row>
        <row r="68">
          <cell r="BD68" t="str">
            <v>.</v>
          </cell>
        </row>
        <row r="69">
          <cell r="BD69" t="str">
            <v>.</v>
          </cell>
        </row>
        <row r="70">
          <cell r="BD70" t="str">
            <v>.</v>
          </cell>
        </row>
        <row r="71">
          <cell r="BD71" t="str">
            <v>.</v>
          </cell>
        </row>
        <row r="72">
          <cell r="BD72" t="str">
            <v>.</v>
          </cell>
        </row>
        <row r="73">
          <cell r="BD73" t="str">
            <v>.</v>
          </cell>
        </row>
        <row r="74">
          <cell r="BD74" t="str">
            <v>.</v>
          </cell>
        </row>
        <row r="75">
          <cell r="BD75" t="str">
            <v>.</v>
          </cell>
        </row>
        <row r="76">
          <cell r="BD76" t="str">
            <v>.</v>
          </cell>
        </row>
        <row r="77">
          <cell r="BD77" t="str">
            <v>.</v>
          </cell>
        </row>
        <row r="78">
          <cell r="BD78" t="str">
            <v>.</v>
          </cell>
        </row>
        <row r="79">
          <cell r="BD79" t="str">
            <v>.</v>
          </cell>
        </row>
        <row r="80">
          <cell r="BD80" t="str">
            <v>.</v>
          </cell>
        </row>
        <row r="81">
          <cell r="BD81" t="str">
            <v>.</v>
          </cell>
        </row>
        <row r="82">
          <cell r="BD82" t="str">
            <v>.</v>
          </cell>
        </row>
        <row r="83">
          <cell r="BD83" t="str">
            <v>.</v>
          </cell>
        </row>
        <row r="84">
          <cell r="BD84" t="str">
            <v>.</v>
          </cell>
        </row>
        <row r="85">
          <cell r="BD85" t="str">
            <v>.</v>
          </cell>
        </row>
        <row r="86">
          <cell r="BD86" t="str">
            <v>.</v>
          </cell>
        </row>
        <row r="87">
          <cell r="BD87" t="str">
            <v>.</v>
          </cell>
        </row>
        <row r="88">
          <cell r="BD88" t="str">
            <v>.</v>
          </cell>
        </row>
        <row r="89">
          <cell r="BD89" t="str">
            <v>.</v>
          </cell>
        </row>
        <row r="90">
          <cell r="BD90" t="str">
            <v>.</v>
          </cell>
        </row>
        <row r="91">
          <cell r="BD91" t="str">
            <v>.</v>
          </cell>
        </row>
        <row r="92">
          <cell r="BD92" t="str">
            <v>.</v>
          </cell>
        </row>
        <row r="93">
          <cell r="BD93" t="str">
            <v>.</v>
          </cell>
        </row>
        <row r="94">
          <cell r="BD94" t="str">
            <v>.</v>
          </cell>
        </row>
        <row r="95">
          <cell r="BD95" t="str">
            <v>.</v>
          </cell>
        </row>
        <row r="96">
          <cell r="BD96" t="str">
            <v>.</v>
          </cell>
        </row>
        <row r="97">
          <cell r="BD97" t="str">
            <v>.</v>
          </cell>
        </row>
        <row r="98">
          <cell r="BD98" t="str">
            <v>.</v>
          </cell>
        </row>
        <row r="99">
          <cell r="BD99" t="str">
            <v>.</v>
          </cell>
        </row>
        <row r="100">
          <cell r="BD100" t="str">
            <v>.</v>
          </cell>
        </row>
        <row r="101">
          <cell r="BD101" t="str">
            <v>.</v>
          </cell>
        </row>
        <row r="102">
          <cell r="BD102" t="str">
            <v>.</v>
          </cell>
        </row>
        <row r="103">
          <cell r="BD103" t="str">
            <v>.</v>
          </cell>
        </row>
        <row r="104">
          <cell r="BD104" t="str">
            <v>.</v>
          </cell>
        </row>
        <row r="105">
          <cell r="BD105" t="str">
            <v>.</v>
          </cell>
        </row>
        <row r="106">
          <cell r="BD106" t="str">
            <v>.</v>
          </cell>
        </row>
        <row r="107">
          <cell r="BD107" t="str">
            <v>.</v>
          </cell>
        </row>
        <row r="108">
          <cell r="BD108" t="str">
            <v>.</v>
          </cell>
        </row>
        <row r="109">
          <cell r="BD109" t="str">
            <v>.</v>
          </cell>
        </row>
        <row r="110">
          <cell r="BD110" t="str">
            <v>.</v>
          </cell>
        </row>
        <row r="111">
          <cell r="BD111" t="str">
            <v>.</v>
          </cell>
        </row>
        <row r="112">
          <cell r="BD112" t="str">
            <v>.</v>
          </cell>
        </row>
        <row r="113">
          <cell r="BD113" t="str">
            <v>.</v>
          </cell>
        </row>
        <row r="114">
          <cell r="BD114" t="str">
            <v>.</v>
          </cell>
        </row>
        <row r="115">
          <cell r="BD115" t="str">
            <v>.</v>
          </cell>
        </row>
        <row r="116">
          <cell r="BD116" t="str">
            <v>.</v>
          </cell>
        </row>
        <row r="117">
          <cell r="BD117" t="str">
            <v>.</v>
          </cell>
        </row>
        <row r="118">
          <cell r="BD118" t="str">
            <v>.</v>
          </cell>
        </row>
        <row r="119">
          <cell r="BD119" t="str">
            <v>.</v>
          </cell>
        </row>
        <row r="120">
          <cell r="BD120" t="str">
            <v>.</v>
          </cell>
        </row>
        <row r="121">
          <cell r="BD121" t="str">
            <v>.</v>
          </cell>
        </row>
        <row r="122">
          <cell r="BD122" t="str">
            <v>.</v>
          </cell>
        </row>
        <row r="123">
          <cell r="BD123" t="str">
            <v>.</v>
          </cell>
        </row>
        <row r="124">
          <cell r="BD124" t="str">
            <v>.</v>
          </cell>
        </row>
        <row r="125">
          <cell r="BD125" t="str">
            <v>.</v>
          </cell>
        </row>
        <row r="126">
          <cell r="BD126" t="str">
            <v>.</v>
          </cell>
        </row>
        <row r="127">
          <cell r="BD127" t="str">
            <v>.</v>
          </cell>
        </row>
        <row r="128">
          <cell r="BD128" t="str">
            <v>.</v>
          </cell>
        </row>
        <row r="129">
          <cell r="BD129" t="str">
            <v>.</v>
          </cell>
        </row>
        <row r="130">
          <cell r="BD130" t="str">
            <v>.</v>
          </cell>
        </row>
        <row r="131">
          <cell r="BD131" t="str">
            <v>.</v>
          </cell>
        </row>
        <row r="132">
          <cell r="BD132" t="str">
            <v>.</v>
          </cell>
        </row>
        <row r="133">
          <cell r="BD133" t="str">
            <v>.</v>
          </cell>
        </row>
        <row r="134">
          <cell r="BD134" t="str">
            <v>.</v>
          </cell>
        </row>
        <row r="135">
          <cell r="BD135" t="str">
            <v>.</v>
          </cell>
        </row>
        <row r="136">
          <cell r="BD136" t="str">
            <v>.</v>
          </cell>
        </row>
        <row r="137">
          <cell r="BD137" t="str">
            <v>.</v>
          </cell>
        </row>
        <row r="138">
          <cell r="BD138" t="str">
            <v>.</v>
          </cell>
        </row>
        <row r="139">
          <cell r="BD139" t="str">
            <v>.</v>
          </cell>
        </row>
        <row r="140">
          <cell r="BD140" t="str">
            <v>.</v>
          </cell>
        </row>
        <row r="141">
          <cell r="BD141" t="str">
            <v>.</v>
          </cell>
        </row>
        <row r="142">
          <cell r="BD142" t="str">
            <v>.</v>
          </cell>
        </row>
        <row r="143">
          <cell r="BD143" t="str">
            <v>.</v>
          </cell>
        </row>
        <row r="144">
          <cell r="BD144" t="str">
            <v>.</v>
          </cell>
        </row>
        <row r="145">
          <cell r="BD145" t="str">
            <v>.</v>
          </cell>
        </row>
        <row r="146">
          <cell r="BD146" t="str">
            <v>.</v>
          </cell>
        </row>
        <row r="147">
          <cell r="BD147" t="str">
            <v>.</v>
          </cell>
        </row>
        <row r="148">
          <cell r="BD148" t="str">
            <v>.</v>
          </cell>
        </row>
        <row r="149">
          <cell r="BD149" t="str">
            <v>.</v>
          </cell>
        </row>
        <row r="150">
          <cell r="BD150" t="str">
            <v>.</v>
          </cell>
        </row>
        <row r="151">
          <cell r="BD151" t="str">
            <v>.</v>
          </cell>
        </row>
        <row r="152">
          <cell r="BD152" t="str">
            <v>.</v>
          </cell>
        </row>
        <row r="153">
          <cell r="BD153" t="str">
            <v>.</v>
          </cell>
        </row>
        <row r="154">
          <cell r="BD154" t="str">
            <v>.</v>
          </cell>
        </row>
        <row r="155">
          <cell r="BD155" t="str">
            <v>.</v>
          </cell>
        </row>
        <row r="156">
          <cell r="BD156" t="str">
            <v>.</v>
          </cell>
        </row>
        <row r="157">
          <cell r="BD157" t="str">
            <v>.</v>
          </cell>
        </row>
        <row r="158">
          <cell r="BD158" t="str">
            <v>.</v>
          </cell>
        </row>
        <row r="159">
          <cell r="BD159" t="str">
            <v>.</v>
          </cell>
        </row>
        <row r="160">
          <cell r="BD160" t="str">
            <v>.</v>
          </cell>
        </row>
        <row r="161">
          <cell r="BD161" t="str">
            <v>.</v>
          </cell>
        </row>
        <row r="162">
          <cell r="BD162" t="str">
            <v>.</v>
          </cell>
        </row>
        <row r="163">
          <cell r="BD163" t="str">
            <v>.</v>
          </cell>
        </row>
        <row r="164">
          <cell r="BD164" t="str">
            <v>.</v>
          </cell>
        </row>
        <row r="165">
          <cell r="BD165" t="str">
            <v>.</v>
          </cell>
        </row>
        <row r="166">
          <cell r="BD166" t="str">
            <v>.</v>
          </cell>
        </row>
        <row r="167">
          <cell r="BD167" t="str">
            <v>.</v>
          </cell>
        </row>
        <row r="168">
          <cell r="BD168" t="str">
            <v>.</v>
          </cell>
        </row>
        <row r="169">
          <cell r="BD169" t="str">
            <v>.</v>
          </cell>
        </row>
        <row r="170">
          <cell r="BD170" t="str">
            <v>.</v>
          </cell>
        </row>
        <row r="171">
          <cell r="BD171" t="str">
            <v>.</v>
          </cell>
        </row>
        <row r="172">
          <cell r="BD172" t="str">
            <v>.</v>
          </cell>
        </row>
        <row r="173">
          <cell r="BD173" t="str">
            <v>.</v>
          </cell>
        </row>
        <row r="174">
          <cell r="BD174" t="str">
            <v>.</v>
          </cell>
        </row>
        <row r="175">
          <cell r="BD175" t="str">
            <v>.</v>
          </cell>
        </row>
        <row r="176">
          <cell r="BD176" t="str">
            <v>.</v>
          </cell>
        </row>
        <row r="177">
          <cell r="BD177" t="str">
            <v>.</v>
          </cell>
        </row>
        <row r="178">
          <cell r="BD178" t="str">
            <v>.</v>
          </cell>
        </row>
        <row r="179">
          <cell r="BD179" t="str">
            <v>.</v>
          </cell>
        </row>
        <row r="180">
          <cell r="BD180" t="str">
            <v>.</v>
          </cell>
        </row>
        <row r="181">
          <cell r="BD181" t="str">
            <v>.</v>
          </cell>
        </row>
        <row r="182">
          <cell r="BD182" t="str">
            <v>.</v>
          </cell>
        </row>
        <row r="183">
          <cell r="BD183" t="str">
            <v>.</v>
          </cell>
        </row>
        <row r="184">
          <cell r="BD184" t="str">
            <v>.</v>
          </cell>
        </row>
        <row r="185">
          <cell r="BD185" t="str">
            <v>.</v>
          </cell>
        </row>
        <row r="186">
          <cell r="BD186" t="str">
            <v>.</v>
          </cell>
        </row>
        <row r="187">
          <cell r="BD187" t="str">
            <v>.</v>
          </cell>
        </row>
        <row r="188">
          <cell r="BD188" t="str">
            <v>.</v>
          </cell>
        </row>
        <row r="189">
          <cell r="BD189" t="str">
            <v>.</v>
          </cell>
        </row>
        <row r="190">
          <cell r="BD190" t="str">
            <v>.</v>
          </cell>
        </row>
        <row r="191">
          <cell r="BD191" t="str">
            <v>.</v>
          </cell>
        </row>
        <row r="192">
          <cell r="BD192" t="str">
            <v>.</v>
          </cell>
        </row>
        <row r="193">
          <cell r="BD193" t="str">
            <v>.</v>
          </cell>
        </row>
        <row r="194">
          <cell r="BD194" t="str">
            <v>.</v>
          </cell>
        </row>
        <row r="195">
          <cell r="BD195" t="str">
            <v>.</v>
          </cell>
        </row>
        <row r="196">
          <cell r="BD196" t="str">
            <v>.</v>
          </cell>
        </row>
        <row r="197">
          <cell r="BD197" t="str">
            <v>.</v>
          </cell>
        </row>
        <row r="198">
          <cell r="BD198" t="str">
            <v>.</v>
          </cell>
        </row>
        <row r="199">
          <cell r="BD199" t="str">
            <v>.</v>
          </cell>
        </row>
        <row r="200">
          <cell r="BD200" t="str">
            <v>.</v>
          </cell>
        </row>
        <row r="201">
          <cell r="BD201" t="str">
            <v>.</v>
          </cell>
        </row>
        <row r="202">
          <cell r="BD202" t="str">
            <v>.</v>
          </cell>
        </row>
        <row r="203">
          <cell r="BD203" t="str">
            <v>.</v>
          </cell>
        </row>
        <row r="204">
          <cell r="BD204" t="str">
            <v>.</v>
          </cell>
        </row>
        <row r="205">
          <cell r="BD205" t="str">
            <v>.</v>
          </cell>
        </row>
        <row r="206">
          <cell r="BD206" t="str">
            <v>.</v>
          </cell>
        </row>
        <row r="207">
          <cell r="BD207" t="str">
            <v>.</v>
          </cell>
        </row>
        <row r="208">
          <cell r="BD208" t="str">
            <v>.</v>
          </cell>
        </row>
        <row r="209">
          <cell r="BD209" t="str">
            <v>.</v>
          </cell>
        </row>
        <row r="210">
          <cell r="BD210" t="str">
            <v>.</v>
          </cell>
        </row>
        <row r="211">
          <cell r="BD211" t="str">
            <v>.</v>
          </cell>
        </row>
        <row r="212">
          <cell r="BD212" t="str">
            <v>.</v>
          </cell>
        </row>
        <row r="213">
          <cell r="BD213" t="str">
            <v>.</v>
          </cell>
        </row>
        <row r="214">
          <cell r="BD214" t="str">
            <v>.</v>
          </cell>
        </row>
        <row r="215">
          <cell r="BD215" t="str">
            <v>.</v>
          </cell>
        </row>
        <row r="216">
          <cell r="BD216" t="str">
            <v>.</v>
          </cell>
        </row>
        <row r="217">
          <cell r="BD217" t="str">
            <v>.</v>
          </cell>
        </row>
        <row r="218">
          <cell r="BD218" t="str">
            <v>.</v>
          </cell>
        </row>
        <row r="219">
          <cell r="BD219" t="str">
            <v>.</v>
          </cell>
        </row>
        <row r="220">
          <cell r="BD220" t="str">
            <v>.</v>
          </cell>
        </row>
        <row r="221">
          <cell r="BD221" t="str">
            <v>.</v>
          </cell>
        </row>
        <row r="222">
          <cell r="BD222" t="str">
            <v>.</v>
          </cell>
        </row>
        <row r="223">
          <cell r="BD223" t="str">
            <v>.</v>
          </cell>
        </row>
        <row r="224">
          <cell r="BD224" t="str">
            <v>.</v>
          </cell>
        </row>
        <row r="225">
          <cell r="BD225" t="str">
            <v>.</v>
          </cell>
        </row>
        <row r="226">
          <cell r="BD226" t="str">
            <v>.</v>
          </cell>
        </row>
        <row r="227">
          <cell r="BD227" t="str">
            <v>.</v>
          </cell>
        </row>
        <row r="228">
          <cell r="BD228" t="str">
            <v>.</v>
          </cell>
        </row>
        <row r="229">
          <cell r="BD229" t="str">
            <v>.</v>
          </cell>
        </row>
        <row r="230">
          <cell r="BD230" t="str">
            <v>.</v>
          </cell>
        </row>
        <row r="231">
          <cell r="BD231" t="str">
            <v>.</v>
          </cell>
        </row>
        <row r="232">
          <cell r="BD232" t="str">
            <v>.</v>
          </cell>
        </row>
        <row r="233">
          <cell r="BD233" t="str">
            <v>.</v>
          </cell>
        </row>
        <row r="234">
          <cell r="BD234" t="str">
            <v>.</v>
          </cell>
        </row>
        <row r="235">
          <cell r="BD235" t="str">
            <v>.</v>
          </cell>
        </row>
        <row r="236">
          <cell r="BD236" t="str">
            <v>.</v>
          </cell>
        </row>
        <row r="237">
          <cell r="BD237" t="str">
            <v>.</v>
          </cell>
        </row>
        <row r="238">
          <cell r="BD238" t="str">
            <v>.</v>
          </cell>
        </row>
        <row r="239">
          <cell r="BD239" t="str">
            <v>.</v>
          </cell>
        </row>
        <row r="240">
          <cell r="BD240" t="str">
            <v>.</v>
          </cell>
        </row>
        <row r="241">
          <cell r="BD241" t="str">
            <v>.</v>
          </cell>
        </row>
        <row r="242">
          <cell r="BD242" t="str">
            <v>.</v>
          </cell>
        </row>
        <row r="243">
          <cell r="BD243" t="str">
            <v>.</v>
          </cell>
        </row>
        <row r="244">
          <cell r="BD244" t="str">
            <v>.</v>
          </cell>
        </row>
        <row r="245">
          <cell r="BD245" t="str">
            <v>.</v>
          </cell>
        </row>
        <row r="246">
          <cell r="BD246" t="str">
            <v>.</v>
          </cell>
        </row>
        <row r="247">
          <cell r="BD247" t="str">
            <v>.</v>
          </cell>
        </row>
        <row r="248">
          <cell r="BD248" t="str">
            <v>.</v>
          </cell>
        </row>
        <row r="249">
          <cell r="BD249" t="str">
            <v>.</v>
          </cell>
        </row>
        <row r="250">
          <cell r="BD250" t="str">
            <v>.</v>
          </cell>
        </row>
        <row r="251">
          <cell r="BD251" t="str">
            <v>.</v>
          </cell>
        </row>
        <row r="252">
          <cell r="BD252" t="str">
            <v>.</v>
          </cell>
        </row>
        <row r="253">
          <cell r="BD253" t="str">
            <v>.</v>
          </cell>
        </row>
        <row r="254">
          <cell r="BD254" t="str">
            <v>.</v>
          </cell>
        </row>
        <row r="255">
          <cell r="BD255" t="str">
            <v>.</v>
          </cell>
        </row>
        <row r="256">
          <cell r="BD256" t="str">
            <v>.</v>
          </cell>
        </row>
        <row r="257">
          <cell r="BD257" t="str">
            <v>.</v>
          </cell>
        </row>
        <row r="258">
          <cell r="BD258" t="str">
            <v>.</v>
          </cell>
        </row>
        <row r="259">
          <cell r="BD259" t="str">
            <v>.</v>
          </cell>
        </row>
        <row r="260">
          <cell r="BD260" t="str">
            <v>.</v>
          </cell>
        </row>
        <row r="261">
          <cell r="BD261" t="str">
            <v>.</v>
          </cell>
        </row>
        <row r="262">
          <cell r="BD262" t="str">
            <v>.</v>
          </cell>
        </row>
        <row r="263">
          <cell r="BD263" t="str">
            <v>.</v>
          </cell>
        </row>
        <row r="264">
          <cell r="BD264" t="str">
            <v>.</v>
          </cell>
        </row>
        <row r="265">
          <cell r="BD265" t="str">
            <v>.</v>
          </cell>
        </row>
        <row r="266">
          <cell r="BD266" t="str">
            <v>.</v>
          </cell>
        </row>
        <row r="267">
          <cell r="BD267" t="str">
            <v>.</v>
          </cell>
        </row>
        <row r="268">
          <cell r="BD268" t="str">
            <v>.</v>
          </cell>
        </row>
        <row r="269">
          <cell r="BD269" t="str">
            <v>.</v>
          </cell>
        </row>
        <row r="270">
          <cell r="BD270" t="str">
            <v>.</v>
          </cell>
        </row>
        <row r="271">
          <cell r="BD271" t="str">
            <v>.</v>
          </cell>
        </row>
        <row r="272">
          <cell r="BD272" t="str">
            <v>.</v>
          </cell>
        </row>
        <row r="273">
          <cell r="BD273" t="str">
            <v>.</v>
          </cell>
        </row>
        <row r="274">
          <cell r="BD274" t="str">
            <v>.</v>
          </cell>
        </row>
        <row r="275">
          <cell r="BD275" t="str">
            <v>.</v>
          </cell>
        </row>
        <row r="276">
          <cell r="BD276" t="str">
            <v>.</v>
          </cell>
        </row>
        <row r="277">
          <cell r="BD277" t="str">
            <v>.</v>
          </cell>
        </row>
        <row r="278">
          <cell r="BD278" t="str">
            <v>.</v>
          </cell>
        </row>
        <row r="279">
          <cell r="BD279" t="str">
            <v>.</v>
          </cell>
        </row>
        <row r="280">
          <cell r="BD280" t="str">
            <v>.</v>
          </cell>
        </row>
        <row r="281">
          <cell r="BD281" t="str">
            <v>.</v>
          </cell>
        </row>
        <row r="282">
          <cell r="BD282" t="str">
            <v>.</v>
          </cell>
        </row>
        <row r="283">
          <cell r="BD283" t="str">
            <v>.</v>
          </cell>
        </row>
        <row r="284">
          <cell r="BD284" t="str">
            <v>.</v>
          </cell>
        </row>
        <row r="285">
          <cell r="BD285" t="str">
            <v>.</v>
          </cell>
        </row>
        <row r="286">
          <cell r="BD286" t="str">
            <v>.</v>
          </cell>
        </row>
        <row r="287">
          <cell r="BD287" t="str">
            <v>.</v>
          </cell>
        </row>
        <row r="288">
          <cell r="BD288" t="str">
            <v>.</v>
          </cell>
        </row>
        <row r="289">
          <cell r="BD289" t="str">
            <v>.</v>
          </cell>
        </row>
        <row r="290">
          <cell r="BD290" t="str">
            <v>.</v>
          </cell>
        </row>
        <row r="291">
          <cell r="BD291" t="str">
            <v>.</v>
          </cell>
        </row>
        <row r="292">
          <cell r="BD292" t="str">
            <v>.</v>
          </cell>
        </row>
        <row r="293">
          <cell r="BD293" t="str">
            <v>.</v>
          </cell>
        </row>
        <row r="294">
          <cell r="BD294" t="str">
            <v>.</v>
          </cell>
        </row>
        <row r="295">
          <cell r="BD295" t="str">
            <v>.</v>
          </cell>
        </row>
        <row r="296">
          <cell r="BD296" t="str">
            <v>.</v>
          </cell>
        </row>
        <row r="297">
          <cell r="BD297" t="str">
            <v>.</v>
          </cell>
        </row>
        <row r="298">
          <cell r="BD298" t="str">
            <v>.</v>
          </cell>
        </row>
        <row r="299">
          <cell r="BD299" t="str">
            <v>.</v>
          </cell>
        </row>
        <row r="300">
          <cell r="BD300" t="str">
            <v>.</v>
          </cell>
        </row>
        <row r="301">
          <cell r="BD301" t="str">
            <v>.</v>
          </cell>
        </row>
        <row r="302">
          <cell r="BD302" t="str">
            <v>.</v>
          </cell>
        </row>
        <row r="303">
          <cell r="BD303" t="str">
            <v>.</v>
          </cell>
        </row>
        <row r="304">
          <cell r="BD304" t="str">
            <v>.</v>
          </cell>
        </row>
        <row r="305">
          <cell r="BD305" t="str">
            <v>.</v>
          </cell>
        </row>
        <row r="306">
          <cell r="BD306" t="str">
            <v>.</v>
          </cell>
        </row>
        <row r="307">
          <cell r="BD307" t="str">
            <v>.</v>
          </cell>
        </row>
        <row r="308">
          <cell r="BD308" t="str">
            <v>.</v>
          </cell>
        </row>
        <row r="309">
          <cell r="BD309" t="str">
            <v>.</v>
          </cell>
        </row>
        <row r="310">
          <cell r="BD310" t="str">
            <v>.</v>
          </cell>
        </row>
        <row r="311">
          <cell r="BD311" t="str">
            <v>.</v>
          </cell>
        </row>
        <row r="312">
          <cell r="BD312" t="str">
            <v>.</v>
          </cell>
        </row>
        <row r="313">
          <cell r="BD313" t="str">
            <v>.</v>
          </cell>
        </row>
        <row r="314">
          <cell r="BD314" t="str">
            <v>.</v>
          </cell>
        </row>
        <row r="315">
          <cell r="BD315" t="str">
            <v>.</v>
          </cell>
        </row>
        <row r="316">
          <cell r="BD316" t="str">
            <v>.</v>
          </cell>
        </row>
        <row r="317">
          <cell r="BD317" t="str">
            <v>.</v>
          </cell>
        </row>
        <row r="318">
          <cell r="BD318" t="str">
            <v>.</v>
          </cell>
        </row>
        <row r="319">
          <cell r="BD319" t="str">
            <v>.</v>
          </cell>
        </row>
        <row r="320">
          <cell r="BD320" t="str">
            <v>.</v>
          </cell>
        </row>
        <row r="321">
          <cell r="BD321" t="str">
            <v>.</v>
          </cell>
        </row>
        <row r="322">
          <cell r="BD322" t="str">
            <v>.</v>
          </cell>
        </row>
        <row r="323">
          <cell r="BD323" t="str">
            <v>.</v>
          </cell>
        </row>
        <row r="324">
          <cell r="BD324" t="str">
            <v>.</v>
          </cell>
        </row>
        <row r="325">
          <cell r="BD325" t="str">
            <v>.</v>
          </cell>
        </row>
        <row r="326">
          <cell r="BD326" t="str">
            <v>.</v>
          </cell>
        </row>
        <row r="327">
          <cell r="BD327" t="str">
            <v>.</v>
          </cell>
        </row>
        <row r="328">
          <cell r="BD328" t="str">
            <v>.</v>
          </cell>
        </row>
        <row r="329">
          <cell r="BD329" t="str">
            <v>.</v>
          </cell>
        </row>
        <row r="330">
          <cell r="BD330" t="str">
            <v>.</v>
          </cell>
        </row>
        <row r="331">
          <cell r="BD331" t="str">
            <v>.</v>
          </cell>
        </row>
        <row r="332">
          <cell r="BD332" t="str">
            <v>.</v>
          </cell>
        </row>
        <row r="333">
          <cell r="BD333" t="str">
            <v>.</v>
          </cell>
        </row>
        <row r="334">
          <cell r="BD334" t="str">
            <v>.</v>
          </cell>
        </row>
        <row r="335">
          <cell r="BD335" t="str">
            <v>.</v>
          </cell>
        </row>
        <row r="336">
          <cell r="BD336" t="str">
            <v>.</v>
          </cell>
        </row>
        <row r="337">
          <cell r="BD337" t="str">
            <v>.</v>
          </cell>
        </row>
        <row r="338">
          <cell r="BD338" t="str">
            <v>.</v>
          </cell>
        </row>
        <row r="339">
          <cell r="BD339" t="str">
            <v>.</v>
          </cell>
        </row>
        <row r="340">
          <cell r="BD340" t="str">
            <v>.</v>
          </cell>
        </row>
        <row r="341">
          <cell r="BD341" t="str">
            <v>.</v>
          </cell>
        </row>
        <row r="342">
          <cell r="BD342" t="str">
            <v>.</v>
          </cell>
        </row>
        <row r="343">
          <cell r="BD343" t="str">
            <v>.</v>
          </cell>
        </row>
        <row r="344">
          <cell r="BD344" t="str">
            <v>.</v>
          </cell>
        </row>
        <row r="345">
          <cell r="BD345" t="str">
            <v>.</v>
          </cell>
        </row>
        <row r="346">
          <cell r="BD346" t="str">
            <v>.</v>
          </cell>
        </row>
        <row r="347">
          <cell r="BD347" t="str">
            <v>.</v>
          </cell>
        </row>
        <row r="348">
          <cell r="BD348" t="str">
            <v>.</v>
          </cell>
        </row>
        <row r="349">
          <cell r="BD349" t="str">
            <v>.</v>
          </cell>
        </row>
        <row r="350">
          <cell r="BD350" t="str">
            <v>.</v>
          </cell>
        </row>
        <row r="351">
          <cell r="BD351" t="str">
            <v>.</v>
          </cell>
        </row>
        <row r="352">
          <cell r="BD352" t="str">
            <v>.</v>
          </cell>
        </row>
        <row r="353">
          <cell r="BD353" t="str">
            <v>.</v>
          </cell>
        </row>
        <row r="354">
          <cell r="BD354" t="str">
            <v>.</v>
          </cell>
        </row>
        <row r="355">
          <cell r="BD355" t="str">
            <v>.</v>
          </cell>
        </row>
        <row r="356">
          <cell r="BD356" t="str">
            <v>.</v>
          </cell>
        </row>
        <row r="357">
          <cell r="BD357" t="str">
            <v>.</v>
          </cell>
        </row>
        <row r="358">
          <cell r="BD358" t="str">
            <v>.</v>
          </cell>
        </row>
        <row r="359">
          <cell r="BD359" t="str">
            <v>.</v>
          </cell>
        </row>
        <row r="360">
          <cell r="BD360" t="str">
            <v>.</v>
          </cell>
        </row>
        <row r="361">
          <cell r="BD361" t="str">
            <v>.</v>
          </cell>
        </row>
        <row r="362">
          <cell r="BD362" t="str">
            <v>.</v>
          </cell>
        </row>
        <row r="363">
          <cell r="BD363" t="str">
            <v>.</v>
          </cell>
        </row>
        <row r="364">
          <cell r="BD364" t="str">
            <v>.</v>
          </cell>
        </row>
        <row r="365">
          <cell r="BD365" t="str">
            <v>.</v>
          </cell>
        </row>
        <row r="366">
          <cell r="BD366" t="str">
            <v>.</v>
          </cell>
        </row>
        <row r="367">
          <cell r="BD367" t="str">
            <v>.</v>
          </cell>
        </row>
        <row r="368">
          <cell r="BD368" t="str">
            <v>.</v>
          </cell>
        </row>
        <row r="369">
          <cell r="BD369" t="str">
            <v>.</v>
          </cell>
        </row>
        <row r="370">
          <cell r="BD370" t="str">
            <v>.</v>
          </cell>
        </row>
        <row r="371">
          <cell r="BD371" t="str">
            <v>.</v>
          </cell>
        </row>
        <row r="372">
          <cell r="BD372" t="str">
            <v>.</v>
          </cell>
        </row>
        <row r="373">
          <cell r="BD373" t="str">
            <v>.</v>
          </cell>
        </row>
        <row r="374">
          <cell r="BD374" t="str">
            <v>.</v>
          </cell>
        </row>
        <row r="375">
          <cell r="BD375" t="str">
            <v>.</v>
          </cell>
        </row>
        <row r="376">
          <cell r="BD376" t="str">
            <v>.</v>
          </cell>
        </row>
        <row r="377">
          <cell r="BD377" t="str">
            <v>.</v>
          </cell>
        </row>
        <row r="378">
          <cell r="BD378" t="str">
            <v>.</v>
          </cell>
        </row>
        <row r="379">
          <cell r="BD379" t="str">
            <v>.</v>
          </cell>
        </row>
        <row r="380">
          <cell r="BD380" t="str">
            <v>.</v>
          </cell>
        </row>
        <row r="381">
          <cell r="BD381" t="str">
            <v>.</v>
          </cell>
        </row>
        <row r="382">
          <cell r="BD382" t="str">
            <v>.</v>
          </cell>
        </row>
        <row r="383">
          <cell r="BD383" t="str">
            <v>.</v>
          </cell>
        </row>
        <row r="384">
          <cell r="BD384" t="str">
            <v>.</v>
          </cell>
        </row>
        <row r="385">
          <cell r="BD385" t="str">
            <v>.</v>
          </cell>
        </row>
        <row r="386">
          <cell r="BD386" t="str">
            <v>.</v>
          </cell>
        </row>
        <row r="387">
          <cell r="BD387" t="str">
            <v>.</v>
          </cell>
        </row>
        <row r="388">
          <cell r="BD388" t="str">
            <v>.</v>
          </cell>
        </row>
        <row r="389">
          <cell r="BD389" t="str">
            <v>.</v>
          </cell>
        </row>
        <row r="390">
          <cell r="BD390" t="str">
            <v>.</v>
          </cell>
        </row>
        <row r="391">
          <cell r="BD391" t="str">
            <v>.</v>
          </cell>
        </row>
        <row r="392">
          <cell r="BD392" t="str">
            <v>.</v>
          </cell>
        </row>
        <row r="393">
          <cell r="BD393" t="str">
            <v>.</v>
          </cell>
        </row>
        <row r="394">
          <cell r="BD394" t="str">
            <v>.</v>
          </cell>
        </row>
        <row r="395">
          <cell r="BD395" t="str">
            <v>.</v>
          </cell>
        </row>
        <row r="396">
          <cell r="BD396" t="str">
            <v>.</v>
          </cell>
        </row>
        <row r="397">
          <cell r="BD397" t="str">
            <v>.</v>
          </cell>
        </row>
        <row r="398">
          <cell r="BD398" t="str">
            <v>.</v>
          </cell>
        </row>
        <row r="399">
          <cell r="BD399" t="str">
            <v>.</v>
          </cell>
        </row>
        <row r="400">
          <cell r="BD400" t="str">
            <v>.</v>
          </cell>
        </row>
        <row r="401">
          <cell r="BD401" t="str">
            <v>.</v>
          </cell>
        </row>
        <row r="402">
          <cell r="BD402" t="str">
            <v>.</v>
          </cell>
        </row>
        <row r="403">
          <cell r="BD403" t="str">
            <v>.</v>
          </cell>
        </row>
        <row r="404">
          <cell r="BD404" t="str">
            <v>.</v>
          </cell>
        </row>
        <row r="405">
          <cell r="BD405" t="str">
            <v>.</v>
          </cell>
        </row>
        <row r="406">
          <cell r="BD406" t="str">
            <v>.</v>
          </cell>
        </row>
        <row r="407">
          <cell r="BD407" t="str">
            <v>.</v>
          </cell>
        </row>
        <row r="408">
          <cell r="BD408" t="str">
            <v>.</v>
          </cell>
        </row>
        <row r="409">
          <cell r="BD409" t="str">
            <v>.</v>
          </cell>
        </row>
        <row r="410">
          <cell r="BD410" t="str">
            <v>.</v>
          </cell>
        </row>
        <row r="411">
          <cell r="BD411" t="str">
            <v>.</v>
          </cell>
        </row>
        <row r="412">
          <cell r="BD412" t="str">
            <v>.</v>
          </cell>
        </row>
        <row r="413">
          <cell r="BD413" t="str">
            <v>.</v>
          </cell>
        </row>
        <row r="414">
          <cell r="BD414" t="str">
            <v>.</v>
          </cell>
        </row>
        <row r="415">
          <cell r="BD415" t="str">
            <v>.</v>
          </cell>
        </row>
        <row r="416">
          <cell r="BD416" t="str">
            <v>.</v>
          </cell>
        </row>
        <row r="417">
          <cell r="BD417" t="str">
            <v>.</v>
          </cell>
        </row>
        <row r="418">
          <cell r="BD418" t="str">
            <v>.</v>
          </cell>
        </row>
        <row r="419">
          <cell r="BD419" t="str">
            <v>.</v>
          </cell>
        </row>
        <row r="420">
          <cell r="BD420" t="str">
            <v>.</v>
          </cell>
        </row>
        <row r="421">
          <cell r="BD421" t="str">
            <v>.</v>
          </cell>
        </row>
        <row r="422">
          <cell r="BD422" t="str">
            <v>.</v>
          </cell>
        </row>
        <row r="423">
          <cell r="BD423" t="str">
            <v>.</v>
          </cell>
        </row>
        <row r="424">
          <cell r="BD424" t="str">
            <v>.</v>
          </cell>
        </row>
        <row r="425">
          <cell r="BD425" t="str">
            <v>.</v>
          </cell>
        </row>
        <row r="426">
          <cell r="BD426" t="str">
            <v>.</v>
          </cell>
        </row>
        <row r="427">
          <cell r="BD427" t="str">
            <v>.</v>
          </cell>
        </row>
        <row r="428">
          <cell r="BD428" t="str">
            <v>.</v>
          </cell>
        </row>
        <row r="429">
          <cell r="BD429" t="str">
            <v>.</v>
          </cell>
        </row>
        <row r="430">
          <cell r="BD430" t="str">
            <v>.</v>
          </cell>
        </row>
        <row r="431">
          <cell r="BD431" t="str">
            <v>.</v>
          </cell>
        </row>
        <row r="432">
          <cell r="BD432" t="str">
            <v>.</v>
          </cell>
        </row>
        <row r="433">
          <cell r="BD433" t="str">
            <v>.</v>
          </cell>
        </row>
        <row r="434">
          <cell r="BD434" t="str">
            <v>.</v>
          </cell>
        </row>
        <row r="435">
          <cell r="BD435" t="str">
            <v>.</v>
          </cell>
        </row>
        <row r="436">
          <cell r="BD436" t="str">
            <v>.</v>
          </cell>
        </row>
        <row r="437">
          <cell r="BD437" t="str">
            <v>.</v>
          </cell>
        </row>
        <row r="438">
          <cell r="BD438" t="str">
            <v>.</v>
          </cell>
        </row>
        <row r="439">
          <cell r="BD439" t="str">
            <v>.</v>
          </cell>
        </row>
        <row r="440">
          <cell r="BD440" t="str">
            <v>.</v>
          </cell>
        </row>
        <row r="441">
          <cell r="BD441" t="str">
            <v>.</v>
          </cell>
        </row>
        <row r="442">
          <cell r="BD442" t="str">
            <v>.</v>
          </cell>
        </row>
        <row r="443">
          <cell r="BD443" t="str">
            <v>.</v>
          </cell>
        </row>
        <row r="444">
          <cell r="BD444" t="str">
            <v>.</v>
          </cell>
        </row>
        <row r="445">
          <cell r="BD445" t="str">
            <v>.</v>
          </cell>
        </row>
        <row r="446">
          <cell r="BD446" t="str">
            <v>.</v>
          </cell>
        </row>
        <row r="447">
          <cell r="BD447" t="str">
            <v>.</v>
          </cell>
        </row>
        <row r="448">
          <cell r="BD448" t="str">
            <v>.</v>
          </cell>
        </row>
        <row r="449">
          <cell r="BD449" t="str">
            <v>.</v>
          </cell>
        </row>
        <row r="450">
          <cell r="BD450" t="str">
            <v>.</v>
          </cell>
        </row>
        <row r="451">
          <cell r="BD451" t="str">
            <v>.</v>
          </cell>
        </row>
        <row r="452">
          <cell r="BD452" t="str">
            <v>.</v>
          </cell>
        </row>
        <row r="453">
          <cell r="BD453" t="str">
            <v>.</v>
          </cell>
        </row>
        <row r="454">
          <cell r="BD454" t="str">
            <v>.</v>
          </cell>
        </row>
        <row r="455">
          <cell r="BD455" t="str">
            <v>.</v>
          </cell>
        </row>
        <row r="456">
          <cell r="BD456" t="str">
            <v>.</v>
          </cell>
        </row>
        <row r="457">
          <cell r="BD457" t="str">
            <v>.</v>
          </cell>
        </row>
        <row r="458">
          <cell r="BD458" t="str">
            <v>.</v>
          </cell>
        </row>
        <row r="459">
          <cell r="BD459" t="str">
            <v>.</v>
          </cell>
        </row>
        <row r="460">
          <cell r="BD460" t="str">
            <v>.</v>
          </cell>
        </row>
        <row r="461">
          <cell r="BD461" t="str">
            <v>.</v>
          </cell>
        </row>
        <row r="462">
          <cell r="BD462" t="str">
            <v>.</v>
          </cell>
        </row>
        <row r="463">
          <cell r="BD463" t="str">
            <v>.</v>
          </cell>
        </row>
        <row r="464">
          <cell r="BD464" t="str">
            <v>.</v>
          </cell>
        </row>
        <row r="465">
          <cell r="BD465" t="str">
            <v>.</v>
          </cell>
        </row>
        <row r="466">
          <cell r="BD466" t="str">
            <v>.</v>
          </cell>
        </row>
        <row r="467">
          <cell r="BD467" t="str">
            <v>.</v>
          </cell>
        </row>
        <row r="468">
          <cell r="BD468" t="str">
            <v>.</v>
          </cell>
        </row>
        <row r="469">
          <cell r="BD469" t="str">
            <v>.</v>
          </cell>
        </row>
        <row r="470">
          <cell r="BD470" t="str">
            <v>.</v>
          </cell>
        </row>
        <row r="471">
          <cell r="BD471" t="str">
            <v>.</v>
          </cell>
        </row>
        <row r="472">
          <cell r="BD472" t="str">
            <v>.</v>
          </cell>
        </row>
        <row r="473">
          <cell r="BD473" t="str">
            <v>.</v>
          </cell>
        </row>
        <row r="474">
          <cell r="BD474" t="str">
            <v>.</v>
          </cell>
        </row>
        <row r="475">
          <cell r="BD475" t="str">
            <v>.</v>
          </cell>
        </row>
        <row r="476">
          <cell r="BD476" t="str">
            <v>.</v>
          </cell>
        </row>
        <row r="477">
          <cell r="BD477" t="str">
            <v>.</v>
          </cell>
        </row>
        <row r="478">
          <cell r="BD478" t="str">
            <v>.</v>
          </cell>
        </row>
        <row r="479">
          <cell r="BD479" t="str">
            <v>.</v>
          </cell>
        </row>
        <row r="480">
          <cell r="BD480" t="str">
            <v>.</v>
          </cell>
        </row>
        <row r="481">
          <cell r="BD481" t="str">
            <v>.</v>
          </cell>
        </row>
        <row r="482">
          <cell r="BD482" t="str">
            <v>.</v>
          </cell>
        </row>
        <row r="483">
          <cell r="BD483" t="str">
            <v>.</v>
          </cell>
        </row>
        <row r="484">
          <cell r="BD484" t="str">
            <v>.</v>
          </cell>
        </row>
        <row r="485">
          <cell r="BD485" t="str">
            <v>.</v>
          </cell>
        </row>
        <row r="486">
          <cell r="BD486" t="str">
            <v>.</v>
          </cell>
        </row>
        <row r="487">
          <cell r="BD487" t="str">
            <v>.</v>
          </cell>
        </row>
        <row r="488">
          <cell r="BD488" t="str">
            <v>.</v>
          </cell>
        </row>
        <row r="489">
          <cell r="BD489" t="str">
            <v>.</v>
          </cell>
        </row>
        <row r="490">
          <cell r="BD490" t="str">
            <v>.</v>
          </cell>
        </row>
        <row r="491">
          <cell r="BD491" t="str">
            <v>.</v>
          </cell>
        </row>
        <row r="492">
          <cell r="BD492" t="str">
            <v>.</v>
          </cell>
        </row>
        <row r="493">
          <cell r="BD493" t="str">
            <v>.</v>
          </cell>
        </row>
        <row r="494">
          <cell r="BD494" t="str">
            <v>.</v>
          </cell>
        </row>
        <row r="495">
          <cell r="BD495" t="str">
            <v>.</v>
          </cell>
        </row>
        <row r="496">
          <cell r="BD496" t="str">
            <v>.</v>
          </cell>
        </row>
        <row r="497">
          <cell r="BD497" t="str">
            <v>.</v>
          </cell>
        </row>
        <row r="498">
          <cell r="BD498" t="str">
            <v>.</v>
          </cell>
        </row>
        <row r="499">
          <cell r="BD499" t="str">
            <v>.</v>
          </cell>
        </row>
        <row r="500">
          <cell r="BD500" t="str">
            <v>.</v>
          </cell>
        </row>
        <row r="501">
          <cell r="BD501" t="str">
            <v>.</v>
          </cell>
        </row>
        <row r="502">
          <cell r="BD502" t="str">
            <v>.</v>
          </cell>
        </row>
        <row r="503">
          <cell r="BD503" t="str">
            <v>.</v>
          </cell>
        </row>
        <row r="504">
          <cell r="BD504" t="str">
            <v>.</v>
          </cell>
        </row>
        <row r="505">
          <cell r="BD505" t="str">
            <v>.</v>
          </cell>
        </row>
        <row r="506">
          <cell r="BD506" t="str">
            <v>.</v>
          </cell>
        </row>
        <row r="507">
          <cell r="BD507" t="str">
            <v>.</v>
          </cell>
        </row>
        <row r="508">
          <cell r="BD508" t="str">
            <v>.</v>
          </cell>
        </row>
        <row r="509">
          <cell r="BD509" t="str">
            <v>.</v>
          </cell>
        </row>
        <row r="510">
          <cell r="BD510" t="str">
            <v>.</v>
          </cell>
        </row>
        <row r="511">
          <cell r="BD511" t="str">
            <v>.</v>
          </cell>
        </row>
        <row r="512">
          <cell r="BD512" t="str">
            <v>.</v>
          </cell>
        </row>
        <row r="513">
          <cell r="BD513" t="str">
            <v>.</v>
          </cell>
        </row>
        <row r="514">
          <cell r="BD514" t="str">
            <v>.</v>
          </cell>
        </row>
        <row r="515">
          <cell r="BD515" t="str">
            <v>.</v>
          </cell>
        </row>
        <row r="516">
          <cell r="BD516" t="str">
            <v>.</v>
          </cell>
        </row>
        <row r="517">
          <cell r="BD517" t="str">
            <v>.</v>
          </cell>
        </row>
        <row r="518">
          <cell r="BD518" t="str">
            <v>.</v>
          </cell>
        </row>
        <row r="519">
          <cell r="BD519" t="str">
            <v>.</v>
          </cell>
        </row>
        <row r="520">
          <cell r="BD520" t="str">
            <v>.</v>
          </cell>
        </row>
        <row r="521">
          <cell r="BD521" t="str">
            <v>.</v>
          </cell>
        </row>
        <row r="522">
          <cell r="BD522" t="str">
            <v>.</v>
          </cell>
        </row>
        <row r="523">
          <cell r="BD523" t="str">
            <v>.</v>
          </cell>
        </row>
        <row r="524">
          <cell r="BD524" t="str">
            <v>.</v>
          </cell>
        </row>
        <row r="525">
          <cell r="BD525" t="str">
            <v>.</v>
          </cell>
        </row>
        <row r="526">
          <cell r="BD526" t="str">
            <v>.</v>
          </cell>
        </row>
        <row r="527">
          <cell r="BD527" t="str">
            <v>.</v>
          </cell>
        </row>
        <row r="528">
          <cell r="BD528" t="str">
            <v>.</v>
          </cell>
        </row>
        <row r="529">
          <cell r="BD529" t="str">
            <v>.</v>
          </cell>
        </row>
        <row r="530">
          <cell r="BD530" t="str">
            <v>.</v>
          </cell>
        </row>
        <row r="531">
          <cell r="BD531" t="str">
            <v>.</v>
          </cell>
        </row>
        <row r="532">
          <cell r="BD532" t="str">
            <v>.</v>
          </cell>
        </row>
        <row r="533">
          <cell r="BD533" t="str">
            <v>.</v>
          </cell>
        </row>
        <row r="534">
          <cell r="BD534" t="str">
            <v>.</v>
          </cell>
        </row>
        <row r="535">
          <cell r="BD535" t="str">
            <v>.</v>
          </cell>
        </row>
        <row r="536">
          <cell r="BD536" t="str">
            <v>.</v>
          </cell>
        </row>
        <row r="537">
          <cell r="BD537" t="str">
            <v>.</v>
          </cell>
        </row>
        <row r="538">
          <cell r="BD538" t="str">
            <v>.</v>
          </cell>
        </row>
        <row r="539">
          <cell r="BD539" t="str">
            <v>.</v>
          </cell>
        </row>
        <row r="540">
          <cell r="BD540" t="str">
            <v>.</v>
          </cell>
        </row>
        <row r="541">
          <cell r="BD541" t="str">
            <v>.</v>
          </cell>
        </row>
        <row r="542">
          <cell r="BD542" t="str">
            <v>.</v>
          </cell>
        </row>
        <row r="543">
          <cell r="BD543" t="str">
            <v>.</v>
          </cell>
        </row>
        <row r="544">
          <cell r="BD544" t="str">
            <v>.</v>
          </cell>
        </row>
        <row r="545">
          <cell r="BD545" t="str">
            <v>.</v>
          </cell>
        </row>
        <row r="546">
          <cell r="BD546" t="str">
            <v>.</v>
          </cell>
        </row>
        <row r="547">
          <cell r="BD547" t="str">
            <v>.</v>
          </cell>
        </row>
        <row r="548">
          <cell r="BD548" t="str">
            <v>.</v>
          </cell>
        </row>
        <row r="549">
          <cell r="BD549" t="str">
            <v>.</v>
          </cell>
        </row>
        <row r="550">
          <cell r="BD550" t="str">
            <v>.</v>
          </cell>
        </row>
        <row r="551">
          <cell r="BD551" t="str">
            <v>.</v>
          </cell>
        </row>
        <row r="552">
          <cell r="BD552" t="str">
            <v>.</v>
          </cell>
        </row>
        <row r="553">
          <cell r="BD553" t="str">
            <v>.</v>
          </cell>
        </row>
        <row r="554">
          <cell r="BD554" t="str">
            <v>.</v>
          </cell>
        </row>
        <row r="555">
          <cell r="BD555" t="str">
            <v>.</v>
          </cell>
        </row>
        <row r="556">
          <cell r="BD556" t="str">
            <v>.</v>
          </cell>
        </row>
        <row r="557">
          <cell r="BD557" t="str">
            <v>.</v>
          </cell>
        </row>
        <row r="558">
          <cell r="BD558" t="str">
            <v>.</v>
          </cell>
        </row>
        <row r="559">
          <cell r="BD559" t="str">
            <v>.</v>
          </cell>
        </row>
        <row r="560">
          <cell r="BD560" t="str">
            <v>.</v>
          </cell>
        </row>
        <row r="561">
          <cell r="BD561" t="str">
            <v>.</v>
          </cell>
        </row>
        <row r="562">
          <cell r="BD562" t="str">
            <v>.</v>
          </cell>
        </row>
        <row r="563">
          <cell r="BD563" t="str">
            <v>.</v>
          </cell>
        </row>
        <row r="564">
          <cell r="BD564" t="str">
            <v>.</v>
          </cell>
        </row>
        <row r="565">
          <cell r="BD565" t="str">
            <v>.</v>
          </cell>
        </row>
        <row r="566">
          <cell r="BD566" t="str">
            <v>.</v>
          </cell>
        </row>
        <row r="567">
          <cell r="BD567" t="str">
            <v>.</v>
          </cell>
        </row>
        <row r="568">
          <cell r="BD568" t="str">
            <v>.</v>
          </cell>
        </row>
        <row r="569">
          <cell r="BD569" t="str">
            <v>.</v>
          </cell>
        </row>
        <row r="570">
          <cell r="BD570" t="str">
            <v>.</v>
          </cell>
        </row>
        <row r="571">
          <cell r="BD571" t="str">
            <v>.</v>
          </cell>
        </row>
        <row r="572">
          <cell r="BD572" t="str">
            <v>.</v>
          </cell>
        </row>
        <row r="573">
          <cell r="BD573" t="str">
            <v>.</v>
          </cell>
        </row>
        <row r="574">
          <cell r="BD574" t="str">
            <v>.</v>
          </cell>
        </row>
        <row r="575">
          <cell r="BD575" t="str">
            <v>.</v>
          </cell>
        </row>
        <row r="576">
          <cell r="BD576" t="str">
            <v>.</v>
          </cell>
        </row>
        <row r="577">
          <cell r="BD577" t="str">
            <v>.</v>
          </cell>
        </row>
        <row r="578">
          <cell r="BD578" t="str">
            <v>.</v>
          </cell>
        </row>
        <row r="579">
          <cell r="BD579" t="str">
            <v>.</v>
          </cell>
        </row>
        <row r="580">
          <cell r="BD580" t="str">
            <v>.</v>
          </cell>
        </row>
        <row r="581">
          <cell r="BD581" t="str">
            <v>.</v>
          </cell>
        </row>
        <row r="582">
          <cell r="BD582" t="str">
            <v>.</v>
          </cell>
        </row>
        <row r="583">
          <cell r="BD583" t="str">
            <v>.</v>
          </cell>
        </row>
        <row r="584">
          <cell r="BD584" t="str">
            <v>.</v>
          </cell>
        </row>
        <row r="585">
          <cell r="BD585" t="str">
            <v>.</v>
          </cell>
        </row>
        <row r="586">
          <cell r="BD586" t="str">
            <v>.</v>
          </cell>
        </row>
        <row r="587">
          <cell r="BD587" t="str">
            <v>.</v>
          </cell>
        </row>
        <row r="588">
          <cell r="BD588" t="str">
            <v>.</v>
          </cell>
        </row>
        <row r="589">
          <cell r="BD589" t="str">
            <v>.</v>
          </cell>
        </row>
        <row r="590">
          <cell r="BD590" t="str">
            <v>.</v>
          </cell>
        </row>
        <row r="591">
          <cell r="BD591" t="str">
            <v>.</v>
          </cell>
        </row>
        <row r="592">
          <cell r="BD592" t="str">
            <v>.</v>
          </cell>
        </row>
        <row r="593">
          <cell r="BD593" t="str">
            <v>.</v>
          </cell>
        </row>
        <row r="594">
          <cell r="BD594" t="str">
            <v>.</v>
          </cell>
        </row>
        <row r="595">
          <cell r="BD595" t="str">
            <v>.</v>
          </cell>
        </row>
        <row r="596">
          <cell r="BD596" t="str">
            <v>.</v>
          </cell>
        </row>
        <row r="597">
          <cell r="BD597" t="str">
            <v>.</v>
          </cell>
        </row>
        <row r="598">
          <cell r="BD598" t="str">
            <v>.</v>
          </cell>
        </row>
        <row r="599">
          <cell r="BD599" t="str">
            <v>.</v>
          </cell>
        </row>
        <row r="600">
          <cell r="BD600" t="str">
            <v>.</v>
          </cell>
        </row>
        <row r="601">
          <cell r="BD601" t="str">
            <v>.</v>
          </cell>
        </row>
        <row r="602">
          <cell r="BD602" t="str">
            <v>.</v>
          </cell>
        </row>
        <row r="603">
          <cell r="BD603" t="str">
            <v>.</v>
          </cell>
        </row>
        <row r="604">
          <cell r="BD604" t="str">
            <v>.</v>
          </cell>
        </row>
        <row r="605">
          <cell r="BD605" t="str">
            <v>.</v>
          </cell>
        </row>
        <row r="606">
          <cell r="BD606" t="str">
            <v>.</v>
          </cell>
        </row>
        <row r="607">
          <cell r="BD607" t="str">
            <v>.</v>
          </cell>
        </row>
        <row r="608">
          <cell r="BD608" t="str">
            <v>.</v>
          </cell>
        </row>
        <row r="609">
          <cell r="BD609" t="str">
            <v>.</v>
          </cell>
        </row>
        <row r="610">
          <cell r="BD610" t="str">
            <v>.</v>
          </cell>
        </row>
        <row r="611">
          <cell r="BD611" t="str">
            <v>.</v>
          </cell>
        </row>
        <row r="612">
          <cell r="BD612" t="str">
            <v>.</v>
          </cell>
        </row>
        <row r="613">
          <cell r="BD613" t="str">
            <v>.</v>
          </cell>
        </row>
        <row r="614">
          <cell r="BD614" t="str">
            <v>.</v>
          </cell>
        </row>
        <row r="615">
          <cell r="BD615" t="str">
            <v>.</v>
          </cell>
        </row>
        <row r="616">
          <cell r="BD616" t="str">
            <v>.</v>
          </cell>
        </row>
        <row r="617">
          <cell r="BD617" t="str">
            <v>.</v>
          </cell>
        </row>
        <row r="618">
          <cell r="BD618" t="str">
            <v>.</v>
          </cell>
        </row>
        <row r="619">
          <cell r="BD619" t="str">
            <v>.</v>
          </cell>
        </row>
        <row r="620">
          <cell r="BD620" t="str">
            <v>.</v>
          </cell>
        </row>
        <row r="621">
          <cell r="BD621" t="str">
            <v>.</v>
          </cell>
        </row>
        <row r="622">
          <cell r="BD622" t="str">
            <v>.</v>
          </cell>
        </row>
        <row r="623">
          <cell r="BD623" t="str">
            <v>.</v>
          </cell>
        </row>
        <row r="624">
          <cell r="BD624" t="str">
            <v>.</v>
          </cell>
        </row>
        <row r="625">
          <cell r="BD625" t="str">
            <v>.</v>
          </cell>
        </row>
        <row r="626">
          <cell r="BD626" t="str">
            <v>.</v>
          </cell>
        </row>
        <row r="627">
          <cell r="BD627" t="str">
            <v>.</v>
          </cell>
        </row>
        <row r="628">
          <cell r="BD628" t="str">
            <v>.</v>
          </cell>
        </row>
        <row r="629">
          <cell r="BD629" t="str">
            <v>.</v>
          </cell>
        </row>
        <row r="630">
          <cell r="BD630" t="str">
            <v>.</v>
          </cell>
        </row>
        <row r="631">
          <cell r="BD631" t="str">
            <v>.</v>
          </cell>
        </row>
        <row r="632">
          <cell r="BD632" t="str">
            <v>.</v>
          </cell>
        </row>
        <row r="633">
          <cell r="BD633" t="str">
            <v>.</v>
          </cell>
        </row>
        <row r="634">
          <cell r="BD634" t="str">
            <v>.</v>
          </cell>
        </row>
        <row r="635">
          <cell r="BD635" t="str">
            <v>.</v>
          </cell>
        </row>
        <row r="636">
          <cell r="BD636" t="str">
            <v>.</v>
          </cell>
        </row>
        <row r="637">
          <cell r="BD637" t="str">
            <v>.</v>
          </cell>
        </row>
        <row r="638">
          <cell r="BD638" t="str">
            <v>.</v>
          </cell>
        </row>
        <row r="639">
          <cell r="BD639" t="str">
            <v>.</v>
          </cell>
        </row>
        <row r="640">
          <cell r="BD640" t="str">
            <v>.</v>
          </cell>
        </row>
        <row r="641">
          <cell r="BD641" t="str">
            <v>.</v>
          </cell>
        </row>
        <row r="642">
          <cell r="BD642" t="str">
            <v>.</v>
          </cell>
        </row>
        <row r="643">
          <cell r="BD643" t="str">
            <v>.</v>
          </cell>
        </row>
        <row r="644">
          <cell r="BD644" t="str">
            <v>.</v>
          </cell>
        </row>
        <row r="645">
          <cell r="BD645" t="str">
            <v>.</v>
          </cell>
        </row>
        <row r="646">
          <cell r="BD646" t="str">
            <v>.</v>
          </cell>
        </row>
        <row r="647">
          <cell r="BD647" t="str">
            <v>.</v>
          </cell>
        </row>
        <row r="648">
          <cell r="BD648" t="str">
            <v>.</v>
          </cell>
        </row>
        <row r="649">
          <cell r="BD649" t="str">
            <v>.</v>
          </cell>
        </row>
        <row r="650">
          <cell r="BD650" t="str">
            <v>.</v>
          </cell>
        </row>
        <row r="651">
          <cell r="BD651" t="str">
            <v>.</v>
          </cell>
        </row>
        <row r="652">
          <cell r="BD652" t="str">
            <v>.</v>
          </cell>
        </row>
        <row r="653">
          <cell r="BD653" t="str">
            <v>.</v>
          </cell>
        </row>
        <row r="654">
          <cell r="BD654" t="str">
            <v>.</v>
          </cell>
        </row>
        <row r="655">
          <cell r="BD655" t="str">
            <v>.</v>
          </cell>
        </row>
        <row r="656">
          <cell r="BD656" t="str">
            <v>.</v>
          </cell>
        </row>
        <row r="657">
          <cell r="BD657" t="str">
            <v>.</v>
          </cell>
        </row>
        <row r="658">
          <cell r="BD658" t="str">
            <v>.</v>
          </cell>
        </row>
        <row r="659">
          <cell r="BD659" t="str">
            <v>.</v>
          </cell>
        </row>
        <row r="660">
          <cell r="BD660" t="str">
            <v>.</v>
          </cell>
        </row>
        <row r="661">
          <cell r="BD661" t="str">
            <v>.</v>
          </cell>
        </row>
        <row r="662">
          <cell r="BD662" t="str">
            <v>.</v>
          </cell>
        </row>
        <row r="663">
          <cell r="BD663" t="str">
            <v>.</v>
          </cell>
        </row>
        <row r="664">
          <cell r="BD664" t="str">
            <v>.</v>
          </cell>
        </row>
        <row r="665">
          <cell r="BD665" t="str">
            <v>.</v>
          </cell>
        </row>
        <row r="666">
          <cell r="BD666" t="str">
            <v>.</v>
          </cell>
        </row>
        <row r="667">
          <cell r="BD667" t="str">
            <v>.</v>
          </cell>
        </row>
        <row r="668">
          <cell r="BD668" t="str">
            <v>.</v>
          </cell>
        </row>
        <row r="669">
          <cell r="BD669" t="str">
            <v>.</v>
          </cell>
        </row>
        <row r="670">
          <cell r="BD670" t="str">
            <v>.</v>
          </cell>
        </row>
        <row r="671">
          <cell r="BD671" t="str">
            <v>.</v>
          </cell>
        </row>
        <row r="672">
          <cell r="BD672" t="str">
            <v>.</v>
          </cell>
        </row>
        <row r="673">
          <cell r="BD673" t="str">
            <v>.</v>
          </cell>
        </row>
        <row r="674">
          <cell r="BD674" t="str">
            <v>.</v>
          </cell>
        </row>
        <row r="675">
          <cell r="BD675" t="str">
            <v>.</v>
          </cell>
        </row>
        <row r="676">
          <cell r="BD676" t="str">
            <v>.</v>
          </cell>
        </row>
        <row r="677">
          <cell r="BD677" t="str">
            <v>.</v>
          </cell>
        </row>
        <row r="678">
          <cell r="BD678" t="str">
            <v>.</v>
          </cell>
        </row>
        <row r="679">
          <cell r="BD679" t="str">
            <v>.</v>
          </cell>
        </row>
        <row r="680">
          <cell r="BD680" t="str">
            <v>.</v>
          </cell>
        </row>
        <row r="681">
          <cell r="BD681" t="str">
            <v>.</v>
          </cell>
        </row>
        <row r="682">
          <cell r="BD682" t="str">
            <v>.</v>
          </cell>
        </row>
        <row r="683">
          <cell r="BD683" t="str">
            <v>.</v>
          </cell>
        </row>
        <row r="684">
          <cell r="BD684" t="str">
            <v>.</v>
          </cell>
        </row>
        <row r="685">
          <cell r="BD685" t="str">
            <v>.</v>
          </cell>
        </row>
        <row r="686">
          <cell r="BD686" t="str">
            <v>.</v>
          </cell>
        </row>
        <row r="687">
          <cell r="BD687" t="str">
            <v>.</v>
          </cell>
        </row>
        <row r="688">
          <cell r="BD688" t="str">
            <v>.</v>
          </cell>
        </row>
        <row r="689">
          <cell r="BD689" t="str">
            <v>.</v>
          </cell>
        </row>
        <row r="690">
          <cell r="BD690" t="str">
            <v>.</v>
          </cell>
        </row>
        <row r="691">
          <cell r="BD691" t="str">
            <v>.</v>
          </cell>
        </row>
        <row r="692">
          <cell r="BD692" t="str">
            <v>.</v>
          </cell>
        </row>
        <row r="693">
          <cell r="BD693" t="str">
            <v>.</v>
          </cell>
        </row>
        <row r="694">
          <cell r="BD694" t="str">
            <v>.</v>
          </cell>
        </row>
        <row r="695">
          <cell r="BD695" t="str">
            <v>.</v>
          </cell>
        </row>
        <row r="696">
          <cell r="BD696" t="str">
            <v>.</v>
          </cell>
        </row>
        <row r="697">
          <cell r="BD697" t="str">
            <v>.</v>
          </cell>
        </row>
        <row r="698">
          <cell r="BD698" t="str">
            <v>.</v>
          </cell>
        </row>
        <row r="699">
          <cell r="BD699" t="str">
            <v>.</v>
          </cell>
        </row>
        <row r="700">
          <cell r="BD700" t="str">
            <v>.</v>
          </cell>
        </row>
        <row r="701">
          <cell r="BD701" t="str">
            <v>.</v>
          </cell>
        </row>
        <row r="702">
          <cell r="BD702" t="str">
            <v>.</v>
          </cell>
        </row>
        <row r="703">
          <cell r="BD703" t="str">
            <v>.</v>
          </cell>
        </row>
        <row r="704">
          <cell r="BD704" t="str">
            <v>.</v>
          </cell>
        </row>
        <row r="705">
          <cell r="BD705" t="str">
            <v>.</v>
          </cell>
        </row>
        <row r="706">
          <cell r="BD706" t="str">
            <v>.</v>
          </cell>
        </row>
        <row r="707">
          <cell r="BD707" t="str">
            <v>.</v>
          </cell>
        </row>
        <row r="708">
          <cell r="BD708" t="str">
            <v>.</v>
          </cell>
        </row>
        <row r="709">
          <cell r="BD709" t="str">
            <v>.</v>
          </cell>
        </row>
        <row r="710">
          <cell r="BD710" t="str">
            <v>.</v>
          </cell>
        </row>
        <row r="711">
          <cell r="BD711" t="str">
            <v>.</v>
          </cell>
        </row>
        <row r="712">
          <cell r="BD712" t="str">
            <v>.</v>
          </cell>
        </row>
        <row r="713">
          <cell r="BD713" t="str">
            <v>.</v>
          </cell>
        </row>
        <row r="714">
          <cell r="BD714" t="str">
            <v>.</v>
          </cell>
        </row>
        <row r="715">
          <cell r="BD715" t="str">
            <v>.</v>
          </cell>
        </row>
        <row r="716">
          <cell r="BD716" t="str">
            <v>.</v>
          </cell>
        </row>
        <row r="717">
          <cell r="BD717" t="str">
            <v>.</v>
          </cell>
        </row>
        <row r="718">
          <cell r="BD718" t="str">
            <v>.</v>
          </cell>
        </row>
        <row r="719">
          <cell r="BD719" t="str">
            <v>.</v>
          </cell>
        </row>
        <row r="720">
          <cell r="BD720" t="str">
            <v>.</v>
          </cell>
        </row>
        <row r="721">
          <cell r="BD721" t="str">
            <v>.</v>
          </cell>
        </row>
        <row r="722">
          <cell r="BD722" t="str">
            <v>.</v>
          </cell>
        </row>
        <row r="723">
          <cell r="BD723" t="str">
            <v>.</v>
          </cell>
        </row>
        <row r="724">
          <cell r="BD724" t="str">
            <v>.</v>
          </cell>
        </row>
        <row r="725">
          <cell r="BD725" t="str">
            <v>.</v>
          </cell>
        </row>
        <row r="726">
          <cell r="BD726" t="str">
            <v>.</v>
          </cell>
        </row>
        <row r="727">
          <cell r="BD727" t="str">
            <v>.</v>
          </cell>
        </row>
        <row r="728">
          <cell r="BD728" t="str">
            <v>.</v>
          </cell>
        </row>
        <row r="729">
          <cell r="BD729" t="str">
            <v>.</v>
          </cell>
        </row>
        <row r="730">
          <cell r="BD730" t="str">
            <v>.</v>
          </cell>
        </row>
        <row r="731">
          <cell r="BD731" t="str">
            <v>.</v>
          </cell>
        </row>
        <row r="732">
          <cell r="BD732" t="str">
            <v>.</v>
          </cell>
        </row>
        <row r="733">
          <cell r="BD733" t="str">
            <v>.</v>
          </cell>
        </row>
        <row r="734">
          <cell r="BD734" t="str">
            <v>.</v>
          </cell>
        </row>
        <row r="735">
          <cell r="BD735" t="str">
            <v>.</v>
          </cell>
        </row>
        <row r="736">
          <cell r="BD736" t="str">
            <v>.</v>
          </cell>
        </row>
        <row r="737">
          <cell r="BD737" t="str">
            <v>.</v>
          </cell>
        </row>
        <row r="738">
          <cell r="BD738" t="str">
            <v>.</v>
          </cell>
        </row>
        <row r="739">
          <cell r="BD739" t="str">
            <v>.</v>
          </cell>
        </row>
        <row r="740">
          <cell r="BD740" t="str">
            <v>.</v>
          </cell>
        </row>
        <row r="741">
          <cell r="BD741" t="str">
            <v>.</v>
          </cell>
        </row>
        <row r="742">
          <cell r="BD742" t="str">
            <v>.</v>
          </cell>
        </row>
        <row r="743">
          <cell r="BD743" t="str">
            <v>.</v>
          </cell>
        </row>
        <row r="744">
          <cell r="BD744" t="str">
            <v>.</v>
          </cell>
        </row>
        <row r="745">
          <cell r="BD745" t="str">
            <v>.</v>
          </cell>
        </row>
        <row r="746">
          <cell r="BD746" t="str">
            <v>.</v>
          </cell>
        </row>
        <row r="747">
          <cell r="BD747" t="str">
            <v>.</v>
          </cell>
        </row>
        <row r="748">
          <cell r="BD748" t="str">
            <v>.</v>
          </cell>
        </row>
        <row r="749">
          <cell r="BD749" t="str">
            <v>.</v>
          </cell>
        </row>
        <row r="750">
          <cell r="BD750" t="str">
            <v>.</v>
          </cell>
        </row>
        <row r="751">
          <cell r="BD751" t="str">
            <v>.</v>
          </cell>
        </row>
        <row r="752">
          <cell r="BD752" t="str">
            <v>.</v>
          </cell>
        </row>
        <row r="753">
          <cell r="BD753" t="str">
            <v>.</v>
          </cell>
        </row>
        <row r="754">
          <cell r="BD754" t="str">
            <v>.</v>
          </cell>
        </row>
        <row r="755">
          <cell r="BD755" t="str">
            <v>.</v>
          </cell>
        </row>
        <row r="756">
          <cell r="BD756" t="str">
            <v>.</v>
          </cell>
        </row>
        <row r="757">
          <cell r="BD757" t="str">
            <v>.</v>
          </cell>
        </row>
        <row r="758">
          <cell r="BD758" t="str">
            <v>.</v>
          </cell>
        </row>
        <row r="759">
          <cell r="BD759" t="str">
            <v>.</v>
          </cell>
        </row>
        <row r="760">
          <cell r="BD760" t="str">
            <v>.</v>
          </cell>
        </row>
        <row r="761">
          <cell r="BD761" t="str">
            <v>.</v>
          </cell>
        </row>
        <row r="762">
          <cell r="BD762" t="str">
            <v>.</v>
          </cell>
        </row>
        <row r="763">
          <cell r="BD763" t="str">
            <v>.</v>
          </cell>
        </row>
        <row r="764">
          <cell r="BD764" t="str">
            <v>.</v>
          </cell>
        </row>
        <row r="765">
          <cell r="BD765" t="str">
            <v>.</v>
          </cell>
        </row>
        <row r="766">
          <cell r="BD766" t="str">
            <v>.</v>
          </cell>
        </row>
        <row r="767">
          <cell r="BD767" t="str">
            <v>.</v>
          </cell>
        </row>
        <row r="768">
          <cell r="BD768" t="str">
            <v>.</v>
          </cell>
        </row>
        <row r="769">
          <cell r="BD769" t="str">
            <v>.</v>
          </cell>
        </row>
        <row r="770">
          <cell r="BD770" t="str">
            <v>.</v>
          </cell>
        </row>
        <row r="771">
          <cell r="BD771" t="str">
            <v>.</v>
          </cell>
        </row>
        <row r="772">
          <cell r="BD772" t="str">
            <v>.</v>
          </cell>
        </row>
        <row r="773">
          <cell r="BD773" t="str">
            <v>.</v>
          </cell>
        </row>
        <row r="774">
          <cell r="BD774" t="str">
            <v>.</v>
          </cell>
        </row>
        <row r="775">
          <cell r="BD775" t="str">
            <v>.</v>
          </cell>
        </row>
        <row r="776">
          <cell r="BD776" t="str">
            <v>.</v>
          </cell>
        </row>
        <row r="777">
          <cell r="BD777" t="str">
            <v>.</v>
          </cell>
        </row>
        <row r="778">
          <cell r="BD778" t="str">
            <v>.</v>
          </cell>
        </row>
        <row r="779">
          <cell r="BD779" t="str">
            <v>.</v>
          </cell>
        </row>
        <row r="780">
          <cell r="BD780" t="str">
            <v>.</v>
          </cell>
        </row>
        <row r="781">
          <cell r="BD781" t="str">
            <v>.</v>
          </cell>
        </row>
        <row r="782">
          <cell r="BD782" t="str">
            <v>.</v>
          </cell>
        </row>
        <row r="783">
          <cell r="BD783" t="str">
            <v>.</v>
          </cell>
        </row>
        <row r="784">
          <cell r="BD784" t="str">
            <v>.</v>
          </cell>
        </row>
        <row r="785">
          <cell r="BD785" t="str">
            <v>.</v>
          </cell>
        </row>
        <row r="786">
          <cell r="BD786" t="str">
            <v>.</v>
          </cell>
        </row>
        <row r="787">
          <cell r="BD787" t="str">
            <v>.</v>
          </cell>
        </row>
        <row r="788">
          <cell r="BD788" t="str">
            <v>.</v>
          </cell>
        </row>
        <row r="789">
          <cell r="BD789" t="str">
            <v>.</v>
          </cell>
        </row>
        <row r="790">
          <cell r="BD790" t="str">
            <v>.</v>
          </cell>
        </row>
        <row r="791">
          <cell r="BD791" t="str">
            <v>.</v>
          </cell>
        </row>
        <row r="792">
          <cell r="BD792" t="str">
            <v>.</v>
          </cell>
        </row>
        <row r="793">
          <cell r="BD793" t="str">
            <v>.</v>
          </cell>
        </row>
        <row r="794">
          <cell r="BD794" t="str">
            <v>.</v>
          </cell>
        </row>
        <row r="795">
          <cell r="BD795" t="str">
            <v>.</v>
          </cell>
        </row>
        <row r="796">
          <cell r="BD796" t="str">
            <v>.</v>
          </cell>
        </row>
        <row r="797">
          <cell r="BD797" t="str">
            <v>.</v>
          </cell>
        </row>
        <row r="798">
          <cell r="BD798" t="str">
            <v>.</v>
          </cell>
        </row>
        <row r="799">
          <cell r="BD799" t="str">
            <v>.</v>
          </cell>
        </row>
        <row r="800">
          <cell r="BD800" t="str">
            <v>.</v>
          </cell>
        </row>
        <row r="801">
          <cell r="BD801" t="str">
            <v>.</v>
          </cell>
        </row>
        <row r="802">
          <cell r="BD802" t="str">
            <v>.</v>
          </cell>
        </row>
        <row r="803">
          <cell r="BD803" t="str">
            <v>.</v>
          </cell>
        </row>
        <row r="804">
          <cell r="BD804" t="str">
            <v>.</v>
          </cell>
        </row>
        <row r="805">
          <cell r="BD805" t="str">
            <v>.</v>
          </cell>
        </row>
        <row r="806">
          <cell r="BD806" t="str">
            <v>.</v>
          </cell>
        </row>
        <row r="807">
          <cell r="BD807" t="str">
            <v>.</v>
          </cell>
        </row>
        <row r="808">
          <cell r="BD808" t="str">
            <v>.</v>
          </cell>
        </row>
        <row r="809">
          <cell r="BD809" t="str">
            <v>.</v>
          </cell>
        </row>
        <row r="810">
          <cell r="BD810" t="str">
            <v>.</v>
          </cell>
        </row>
        <row r="811">
          <cell r="BD811" t="str">
            <v>.</v>
          </cell>
        </row>
        <row r="812">
          <cell r="BD812" t="str">
            <v>.</v>
          </cell>
        </row>
        <row r="813">
          <cell r="BD813" t="str">
            <v>.</v>
          </cell>
        </row>
        <row r="814">
          <cell r="BD814" t="str">
            <v>.</v>
          </cell>
        </row>
        <row r="815">
          <cell r="BD815" t="str">
            <v>.</v>
          </cell>
        </row>
        <row r="816">
          <cell r="BD816" t="str">
            <v>.</v>
          </cell>
        </row>
        <row r="817">
          <cell r="BD817" t="str">
            <v>.</v>
          </cell>
        </row>
        <row r="818">
          <cell r="BD818" t="str">
            <v>.</v>
          </cell>
        </row>
        <row r="819">
          <cell r="BD819" t="str">
            <v>.</v>
          </cell>
        </row>
        <row r="820">
          <cell r="BD820" t="str">
            <v>.</v>
          </cell>
        </row>
        <row r="821">
          <cell r="BD821" t="str">
            <v>.</v>
          </cell>
        </row>
        <row r="822">
          <cell r="BD822" t="str">
            <v>.</v>
          </cell>
        </row>
        <row r="823">
          <cell r="BD823" t="str">
            <v>.</v>
          </cell>
        </row>
        <row r="824">
          <cell r="BD824" t="str">
            <v>.</v>
          </cell>
        </row>
        <row r="825">
          <cell r="BD825" t="str">
            <v>.</v>
          </cell>
        </row>
        <row r="826">
          <cell r="BD826" t="str">
            <v>.</v>
          </cell>
        </row>
        <row r="827">
          <cell r="BD827" t="str">
            <v>.</v>
          </cell>
        </row>
        <row r="828">
          <cell r="BD828" t="str">
            <v>.</v>
          </cell>
        </row>
        <row r="829">
          <cell r="BD829" t="str">
            <v>.</v>
          </cell>
        </row>
        <row r="830">
          <cell r="BD830" t="str">
            <v>.</v>
          </cell>
        </row>
        <row r="831">
          <cell r="BD831" t="str">
            <v>.</v>
          </cell>
        </row>
        <row r="832">
          <cell r="BD832" t="str">
            <v>.</v>
          </cell>
        </row>
        <row r="833">
          <cell r="BD833" t="str">
            <v>.</v>
          </cell>
        </row>
        <row r="834">
          <cell r="BD834" t="str">
            <v>.</v>
          </cell>
        </row>
        <row r="835">
          <cell r="BD835" t="str">
            <v>.</v>
          </cell>
        </row>
        <row r="836">
          <cell r="BD836" t="str">
            <v>.</v>
          </cell>
        </row>
        <row r="837">
          <cell r="BD837" t="str">
            <v>.</v>
          </cell>
        </row>
        <row r="838">
          <cell r="BD838" t="str">
            <v>.</v>
          </cell>
        </row>
        <row r="839">
          <cell r="BD839" t="str">
            <v>.</v>
          </cell>
        </row>
        <row r="840">
          <cell r="BD840" t="str">
            <v>.</v>
          </cell>
        </row>
        <row r="841">
          <cell r="BD841" t="str">
            <v>.</v>
          </cell>
        </row>
        <row r="842">
          <cell r="BD842" t="str">
            <v>.</v>
          </cell>
        </row>
        <row r="843">
          <cell r="BD843" t="str">
            <v>.</v>
          </cell>
        </row>
        <row r="844">
          <cell r="BD844" t="str">
            <v>.</v>
          </cell>
        </row>
        <row r="845">
          <cell r="BD845" t="str">
            <v>.</v>
          </cell>
        </row>
        <row r="846">
          <cell r="BD846" t="str">
            <v>.</v>
          </cell>
        </row>
        <row r="847">
          <cell r="BD847" t="str">
            <v>.</v>
          </cell>
        </row>
        <row r="848">
          <cell r="BD848" t="str">
            <v>.</v>
          </cell>
        </row>
        <row r="849">
          <cell r="BD849" t="str">
            <v>.</v>
          </cell>
        </row>
        <row r="850">
          <cell r="BD850" t="str">
            <v>.</v>
          </cell>
        </row>
        <row r="851">
          <cell r="BD851" t="str">
            <v>.</v>
          </cell>
        </row>
        <row r="852">
          <cell r="BD852" t="str">
            <v>.</v>
          </cell>
        </row>
        <row r="853">
          <cell r="BD853" t="str">
            <v>.</v>
          </cell>
        </row>
        <row r="854">
          <cell r="BD854" t="str">
            <v>.</v>
          </cell>
        </row>
        <row r="855">
          <cell r="BD855" t="str">
            <v>.</v>
          </cell>
        </row>
        <row r="856">
          <cell r="BD856" t="str">
            <v>.</v>
          </cell>
        </row>
        <row r="857">
          <cell r="BD857" t="str">
            <v>.</v>
          </cell>
        </row>
        <row r="858">
          <cell r="BD858" t="str">
            <v>.</v>
          </cell>
        </row>
        <row r="859">
          <cell r="BD859" t="str">
            <v>.</v>
          </cell>
        </row>
        <row r="860">
          <cell r="BD860" t="str">
            <v>.</v>
          </cell>
        </row>
        <row r="861">
          <cell r="BD861" t="str">
            <v>.</v>
          </cell>
        </row>
        <row r="862">
          <cell r="BD862" t="str">
            <v>.</v>
          </cell>
        </row>
        <row r="863">
          <cell r="BD863" t="str">
            <v>.</v>
          </cell>
        </row>
        <row r="864">
          <cell r="BD864" t="str">
            <v>.</v>
          </cell>
        </row>
        <row r="865">
          <cell r="BD865" t="str">
            <v>.</v>
          </cell>
        </row>
        <row r="866">
          <cell r="BD866" t="str">
            <v>.</v>
          </cell>
        </row>
        <row r="867">
          <cell r="BD867" t="str">
            <v>.</v>
          </cell>
        </row>
        <row r="868">
          <cell r="BD868" t="str">
            <v>.</v>
          </cell>
        </row>
        <row r="869">
          <cell r="BD869" t="str">
            <v>.</v>
          </cell>
        </row>
        <row r="870">
          <cell r="BD870" t="str">
            <v>.</v>
          </cell>
        </row>
        <row r="871">
          <cell r="BD871" t="str">
            <v>.</v>
          </cell>
        </row>
        <row r="872">
          <cell r="BD872" t="str">
            <v>.</v>
          </cell>
        </row>
        <row r="873">
          <cell r="BD873" t="str">
            <v>.</v>
          </cell>
        </row>
        <row r="874">
          <cell r="BD874" t="str">
            <v>.</v>
          </cell>
        </row>
        <row r="875">
          <cell r="BD875" t="str">
            <v>.</v>
          </cell>
        </row>
        <row r="876">
          <cell r="BD876" t="str">
            <v>.</v>
          </cell>
        </row>
        <row r="877">
          <cell r="BD877" t="str">
            <v>.</v>
          </cell>
        </row>
        <row r="878">
          <cell r="BD878" t="str">
            <v>.</v>
          </cell>
        </row>
        <row r="879">
          <cell r="BD879" t="str">
            <v>.</v>
          </cell>
        </row>
        <row r="880">
          <cell r="BD880" t="str">
            <v>.</v>
          </cell>
        </row>
        <row r="881">
          <cell r="BD881" t="str">
            <v>.</v>
          </cell>
        </row>
        <row r="882">
          <cell r="BD882" t="str">
            <v>.</v>
          </cell>
        </row>
        <row r="883">
          <cell r="BD883" t="str">
            <v>.</v>
          </cell>
        </row>
        <row r="884">
          <cell r="BD884" t="str">
            <v>.</v>
          </cell>
        </row>
        <row r="885">
          <cell r="BD885" t="str">
            <v>.</v>
          </cell>
        </row>
        <row r="886">
          <cell r="BD886" t="str">
            <v>.</v>
          </cell>
        </row>
        <row r="887">
          <cell r="BD887" t="str">
            <v>.</v>
          </cell>
        </row>
        <row r="888">
          <cell r="BD888" t="str">
            <v>.</v>
          </cell>
        </row>
        <row r="889">
          <cell r="BD889" t="str">
            <v>.</v>
          </cell>
        </row>
        <row r="890">
          <cell r="BD890" t="str">
            <v>.</v>
          </cell>
        </row>
        <row r="891">
          <cell r="BD891" t="str">
            <v>.</v>
          </cell>
        </row>
        <row r="892">
          <cell r="BD892" t="str">
            <v>.</v>
          </cell>
        </row>
        <row r="893">
          <cell r="BD893" t="str">
            <v>.</v>
          </cell>
        </row>
        <row r="894">
          <cell r="BD894" t="str">
            <v>.</v>
          </cell>
        </row>
        <row r="895">
          <cell r="BD895" t="str">
            <v>.</v>
          </cell>
        </row>
        <row r="896">
          <cell r="BD896" t="str">
            <v>.</v>
          </cell>
        </row>
        <row r="897">
          <cell r="BD897" t="str">
            <v>.</v>
          </cell>
        </row>
        <row r="898">
          <cell r="BD898" t="str">
            <v>.</v>
          </cell>
        </row>
        <row r="899">
          <cell r="BD899" t="str">
            <v>.</v>
          </cell>
        </row>
        <row r="900">
          <cell r="BD900" t="str">
            <v>.</v>
          </cell>
        </row>
        <row r="901">
          <cell r="BD901" t="str">
            <v>.</v>
          </cell>
        </row>
        <row r="902">
          <cell r="BD902" t="str">
            <v>.</v>
          </cell>
        </row>
        <row r="903">
          <cell r="BD903" t="str">
            <v>.</v>
          </cell>
        </row>
        <row r="904">
          <cell r="BD904" t="str">
            <v>.</v>
          </cell>
        </row>
        <row r="905">
          <cell r="BD905" t="str">
            <v>.</v>
          </cell>
        </row>
        <row r="906">
          <cell r="BD906" t="str">
            <v>.</v>
          </cell>
        </row>
        <row r="907">
          <cell r="BD907" t="str">
            <v>.</v>
          </cell>
        </row>
        <row r="908">
          <cell r="BD908" t="str">
            <v>.</v>
          </cell>
        </row>
        <row r="909">
          <cell r="BD909" t="str">
            <v>.</v>
          </cell>
        </row>
        <row r="910">
          <cell r="BD910" t="str">
            <v>.</v>
          </cell>
        </row>
        <row r="911">
          <cell r="BD911" t="str">
            <v>.</v>
          </cell>
        </row>
        <row r="912">
          <cell r="BD912" t="str">
            <v>.</v>
          </cell>
        </row>
        <row r="913">
          <cell r="BD913" t="str">
            <v>.</v>
          </cell>
        </row>
        <row r="914">
          <cell r="BD914" t="str">
            <v>.</v>
          </cell>
        </row>
        <row r="915">
          <cell r="BD915" t="str">
            <v>.</v>
          </cell>
        </row>
        <row r="916">
          <cell r="BD916" t="str">
            <v>.</v>
          </cell>
        </row>
        <row r="917">
          <cell r="BD917" t="str">
            <v>.</v>
          </cell>
        </row>
        <row r="918">
          <cell r="BD918" t="str">
            <v>.</v>
          </cell>
        </row>
        <row r="919">
          <cell r="BD919" t="str">
            <v>.</v>
          </cell>
        </row>
        <row r="920">
          <cell r="BD920" t="str">
            <v>.</v>
          </cell>
        </row>
        <row r="921">
          <cell r="BD921" t="str">
            <v>.</v>
          </cell>
        </row>
        <row r="922">
          <cell r="BD922" t="str">
            <v>.</v>
          </cell>
        </row>
        <row r="923">
          <cell r="BD923" t="str">
            <v>.</v>
          </cell>
        </row>
        <row r="924">
          <cell r="BD924" t="str">
            <v>.</v>
          </cell>
        </row>
        <row r="925">
          <cell r="BD925" t="str">
            <v>.</v>
          </cell>
        </row>
        <row r="926">
          <cell r="BD926" t="str">
            <v>.</v>
          </cell>
        </row>
        <row r="927">
          <cell r="BD927" t="str">
            <v>.</v>
          </cell>
        </row>
        <row r="928">
          <cell r="BD928" t="str">
            <v>.</v>
          </cell>
        </row>
        <row r="929">
          <cell r="BD929" t="str">
            <v>.</v>
          </cell>
        </row>
        <row r="930">
          <cell r="BD930" t="str">
            <v>.</v>
          </cell>
        </row>
        <row r="931">
          <cell r="BD931" t="str">
            <v>.</v>
          </cell>
        </row>
        <row r="932">
          <cell r="BD932" t="str">
            <v>.</v>
          </cell>
        </row>
        <row r="933">
          <cell r="BD933" t="str">
            <v>.</v>
          </cell>
        </row>
        <row r="934">
          <cell r="BD934" t="str">
            <v>.</v>
          </cell>
        </row>
        <row r="935">
          <cell r="BD935" t="str">
            <v>.</v>
          </cell>
        </row>
        <row r="936">
          <cell r="BD936" t="str">
            <v>.</v>
          </cell>
        </row>
        <row r="937">
          <cell r="BD937" t="str">
            <v>.</v>
          </cell>
        </row>
        <row r="938">
          <cell r="BD938" t="str">
            <v>.</v>
          </cell>
        </row>
        <row r="939">
          <cell r="BD939" t="str">
            <v>.</v>
          </cell>
        </row>
        <row r="940">
          <cell r="BD940" t="str">
            <v>.</v>
          </cell>
        </row>
        <row r="941">
          <cell r="BD941" t="str">
            <v>.</v>
          </cell>
        </row>
        <row r="942">
          <cell r="BD942" t="str">
            <v>.</v>
          </cell>
        </row>
        <row r="943">
          <cell r="BD943" t="str">
            <v>.</v>
          </cell>
        </row>
        <row r="944">
          <cell r="BD944" t="str">
            <v>.</v>
          </cell>
        </row>
        <row r="945">
          <cell r="BD945" t="str">
            <v>.</v>
          </cell>
        </row>
        <row r="946">
          <cell r="BD946" t="str">
            <v>.</v>
          </cell>
        </row>
        <row r="947">
          <cell r="BD947" t="str">
            <v>.</v>
          </cell>
        </row>
        <row r="948">
          <cell r="BD948" t="str">
            <v>.</v>
          </cell>
        </row>
        <row r="949">
          <cell r="BD949" t="str">
            <v>.</v>
          </cell>
        </row>
        <row r="950">
          <cell r="BD950" t="str">
            <v>.</v>
          </cell>
        </row>
        <row r="951">
          <cell r="BD951" t="str">
            <v>.</v>
          </cell>
        </row>
        <row r="952">
          <cell r="BD952" t="str">
            <v>.</v>
          </cell>
        </row>
        <row r="953">
          <cell r="BD953" t="str">
            <v>.</v>
          </cell>
        </row>
        <row r="954">
          <cell r="BD954" t="str">
            <v>.</v>
          </cell>
        </row>
        <row r="955">
          <cell r="BD955" t="str">
            <v>.</v>
          </cell>
        </row>
        <row r="956">
          <cell r="BD956" t="str">
            <v>.</v>
          </cell>
        </row>
        <row r="957">
          <cell r="BD957" t="str">
            <v>.</v>
          </cell>
        </row>
        <row r="958">
          <cell r="BD958" t="str">
            <v>.</v>
          </cell>
        </row>
        <row r="959">
          <cell r="BD959" t="str">
            <v>.</v>
          </cell>
        </row>
        <row r="960">
          <cell r="BD960" t="str">
            <v>.</v>
          </cell>
        </row>
        <row r="961">
          <cell r="BD961" t="str">
            <v>.</v>
          </cell>
        </row>
        <row r="962">
          <cell r="BD962" t="str">
            <v>.</v>
          </cell>
        </row>
        <row r="963">
          <cell r="BD963" t="str">
            <v>.</v>
          </cell>
        </row>
        <row r="964">
          <cell r="BD964" t="str">
            <v>.</v>
          </cell>
        </row>
        <row r="965">
          <cell r="BD965" t="str">
            <v>.</v>
          </cell>
        </row>
        <row r="966">
          <cell r="BD966" t="str">
            <v>.</v>
          </cell>
        </row>
        <row r="967">
          <cell r="BD967" t="str">
            <v>.</v>
          </cell>
        </row>
        <row r="968">
          <cell r="BD968" t="str">
            <v>.</v>
          </cell>
        </row>
        <row r="969">
          <cell r="BD969" t="str">
            <v>.</v>
          </cell>
        </row>
        <row r="970">
          <cell r="BD970" t="str">
            <v>.</v>
          </cell>
        </row>
        <row r="971">
          <cell r="BD971" t="str">
            <v>.</v>
          </cell>
        </row>
        <row r="972">
          <cell r="BD972" t="str">
            <v>.</v>
          </cell>
        </row>
        <row r="973">
          <cell r="BD973" t="str">
            <v>.</v>
          </cell>
        </row>
        <row r="974">
          <cell r="BD974" t="str">
            <v>.</v>
          </cell>
        </row>
        <row r="975">
          <cell r="BD975" t="str">
            <v>.</v>
          </cell>
        </row>
        <row r="976">
          <cell r="BD976" t="str">
            <v>.</v>
          </cell>
        </row>
        <row r="977">
          <cell r="BD977" t="str">
            <v>.</v>
          </cell>
        </row>
        <row r="978">
          <cell r="BD978" t="str">
            <v>.</v>
          </cell>
        </row>
        <row r="979">
          <cell r="BD979" t="str">
            <v>.</v>
          </cell>
        </row>
        <row r="980">
          <cell r="BD980" t="str">
            <v>.</v>
          </cell>
        </row>
        <row r="981">
          <cell r="BD981" t="str">
            <v>.</v>
          </cell>
        </row>
        <row r="982">
          <cell r="BD982" t="str">
            <v>.</v>
          </cell>
        </row>
        <row r="983">
          <cell r="BD983" t="str">
            <v>.</v>
          </cell>
        </row>
        <row r="984">
          <cell r="BD984" t="str">
            <v>.</v>
          </cell>
        </row>
        <row r="985">
          <cell r="BD985" t="str">
            <v>.</v>
          </cell>
        </row>
        <row r="986">
          <cell r="BD986" t="str">
            <v>.</v>
          </cell>
        </row>
        <row r="987">
          <cell r="BD987" t="str">
            <v>.</v>
          </cell>
        </row>
        <row r="988">
          <cell r="BD988" t="str">
            <v>.</v>
          </cell>
        </row>
        <row r="989">
          <cell r="BD989" t="str">
            <v>.</v>
          </cell>
        </row>
        <row r="990">
          <cell r="BD990" t="str">
            <v>.</v>
          </cell>
        </row>
        <row r="991">
          <cell r="BD991" t="str">
            <v>.</v>
          </cell>
        </row>
        <row r="992">
          <cell r="BD992" t="str">
            <v>.</v>
          </cell>
        </row>
        <row r="993">
          <cell r="BD993" t="str">
            <v>.</v>
          </cell>
        </row>
        <row r="994">
          <cell r="BD994" t="str">
            <v>.</v>
          </cell>
        </row>
        <row r="995">
          <cell r="BD995" t="str">
            <v>.</v>
          </cell>
        </row>
        <row r="996">
          <cell r="C996" t="str">
            <v>.</v>
          </cell>
          <cell r="D996" t="str">
            <v>.</v>
          </cell>
          <cell r="E996" t="str">
            <v>.</v>
          </cell>
          <cell r="F996" t="str">
            <v>.</v>
          </cell>
          <cell r="G996" t="str">
            <v>.</v>
          </cell>
          <cell r="H996" t="str">
            <v>.</v>
          </cell>
          <cell r="BD996" t="str">
            <v>.</v>
          </cell>
        </row>
        <row r="997">
          <cell r="A997" t="str">
            <v>.</v>
          </cell>
          <cell r="B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  <cell r="BB997" t="str">
            <v>.</v>
          </cell>
          <cell r="BC997" t="str">
            <v>.</v>
          </cell>
          <cell r="BD997" t="str">
            <v>.</v>
          </cell>
        </row>
      </sheetData>
      <sheetData sheetId="26"/>
      <sheetData sheetId="27">
        <row r="1">
          <cell r="A1" t="str">
            <v>RRS-5.10</v>
          </cell>
          <cell r="D1" t="str">
            <v>RISK-REWARD SNAPSHOT
(You must upload your model to ModelWare to capture changes to your scenario values and NOT delete this worksheet.)</v>
          </cell>
          <cell r="I1" t="str">
            <v>Select Language</v>
          </cell>
          <cell r="N1" t="str">
            <v>http://ChartGallery</v>
          </cell>
          <cell r="O1" t="str">
            <v>http://ChartGallery</v>
          </cell>
          <cell r="AA1" t="str">
            <v>ElementName</v>
          </cell>
          <cell r="AB1" t="str">
            <v>ScaleOverride</v>
          </cell>
          <cell r="AC1" t="str">
            <v>UnitOverride</v>
          </cell>
          <cell r="AD1" t="str">
            <v>ReverseSign</v>
          </cell>
          <cell r="AE1" t="str">
            <v>IsDrivingAssumption</v>
          </cell>
          <cell r="AF1" t="str">
            <v>SegmentID</v>
          </cell>
        </row>
        <row r="2">
          <cell r="B2" t="str">
            <v>Instructions:</v>
          </cell>
        </row>
        <row r="4">
          <cell r="B4" t="str">
            <v>Ticker:</v>
          </cell>
          <cell r="C4" t="str">
            <v>LLY.N</v>
          </cell>
          <cell r="E4" t="str">
            <v>Company Name:</v>
          </cell>
          <cell r="F4" t="str">
            <v>Eli Lilly &amp; Co.</v>
          </cell>
          <cell r="I4" t="str">
            <v>Sedol:</v>
          </cell>
          <cell r="J4">
            <v>2516152</v>
          </cell>
          <cell r="K4" t="str">
            <v>#Refresh#</v>
          </cell>
        </row>
        <row r="5">
          <cell r="B5" t="str">
            <v xml:space="preserve">Chart Data Inputs (decimal formats will reflect on chart): </v>
          </cell>
          <cell r="H5" t="str">
            <v>Risk Reward Chart Gallery 
(Click on the below image for other Risk-Reward Charts)</v>
          </cell>
        </row>
        <row r="6">
          <cell r="B6" t="str">
            <v>Bull Case</v>
          </cell>
          <cell r="C6">
            <v>42</v>
          </cell>
          <cell r="AA6" t="str">
            <v>mstag:bullCaseValueEstimatePerShare</v>
          </cell>
          <cell r="AB6">
            <v>0</v>
          </cell>
          <cell r="AC6" t="str">
            <v>ISO4217:USD</v>
          </cell>
          <cell r="AD6" t="b">
            <v>0</v>
          </cell>
        </row>
        <row r="7">
          <cell r="B7" t="str">
            <v>Base Case</v>
          </cell>
          <cell r="C7">
            <v>37</v>
          </cell>
          <cell r="AA7" t="str">
            <v>mstag:met_12monthIntrinsicValueEstimate</v>
          </cell>
          <cell r="AB7">
            <v>0</v>
          </cell>
          <cell r="AC7" t="str">
            <v>ISO4217:USD</v>
          </cell>
          <cell r="AD7" t="b">
            <v>0</v>
          </cell>
        </row>
        <row r="8">
          <cell r="B8" t="str">
            <v>Bear Case</v>
          </cell>
          <cell r="C8">
            <v>32</v>
          </cell>
          <cell r="K8" t="str">
            <v>日本語</v>
          </cell>
          <cell r="M8" t="str">
            <v>-</v>
          </cell>
          <cell r="AA8" t="str">
            <v>mstag:bearCaseValueEstimatePerShare</v>
          </cell>
          <cell r="AB8">
            <v>0</v>
          </cell>
          <cell r="AC8" t="str">
            <v>ISO4217:USD</v>
          </cell>
          <cell r="AD8" t="b">
            <v>0</v>
          </cell>
        </row>
        <row r="9">
          <cell r="B9" t="str">
            <v>Extreme Upside</v>
          </cell>
          <cell r="K9" t="str">
            <v>English</v>
          </cell>
          <cell r="L9" t="str">
            <v>年</v>
          </cell>
          <cell r="M9" t="str">
            <v>月</v>
          </cell>
          <cell r="N9" t="str">
            <v>-</v>
          </cell>
          <cell r="AA9" t="str">
            <v>mstag:extremeBullCaseValueEstimatePerShare</v>
          </cell>
          <cell r="AB9">
            <v>0</v>
          </cell>
          <cell r="AC9" t="str">
            <v>ISO4217:USD</v>
          </cell>
          <cell r="AD9" t="b">
            <v>0</v>
          </cell>
          <cell r="AH9" t="str">
            <v>Other Refresh Chart Option</v>
          </cell>
        </row>
        <row r="10">
          <cell r="B10" t="str">
            <v>Extreme Downside</v>
          </cell>
          <cell r="O10" t="b">
            <v>0</v>
          </cell>
          <cell r="AA10" t="str">
            <v>mstag:extremeBearCaseValueEstimatePerShare</v>
          </cell>
          <cell r="AB10">
            <v>0</v>
          </cell>
          <cell r="AC10" t="str">
            <v>ISO4217:USD</v>
          </cell>
          <cell r="AD10" t="b">
            <v>0</v>
          </cell>
        </row>
        <row r="11">
          <cell r="B11" t="str">
            <v>Price Target</v>
          </cell>
          <cell r="C11">
            <v>37</v>
          </cell>
          <cell r="O11" t="b">
            <v>1</v>
          </cell>
        </row>
        <row r="12">
          <cell r="B12" t="str">
            <v>Currency</v>
          </cell>
          <cell r="C12" t="str">
            <v>USD American Dollar</v>
          </cell>
          <cell r="F12">
            <v>0</v>
          </cell>
        </row>
        <row r="13">
          <cell r="B13" t="str">
            <v>Currency Symbol</v>
          </cell>
          <cell r="C13" t="str">
            <v>$</v>
          </cell>
          <cell r="F13">
            <v>0</v>
          </cell>
        </row>
        <row r="14">
          <cell r="B14" t="str">
            <v>"Refresh RR Chart" updates chart dates below, as of today. If your PT time horizon is &gt; 1yr. or price history is &lt; 2yrs., adjust Start/End dates and select "Apply Manually Adjusted Dates" option.</v>
          </cell>
        </row>
        <row r="15">
          <cell r="B15" t="str">
            <v>Start Date (-2 Yrs)</v>
          </cell>
          <cell r="C15">
            <v>39231</v>
          </cell>
          <cell r="E15" t="str">
            <v>#Refresh#</v>
          </cell>
          <cell r="F15" t="str">
            <v>USD</v>
          </cell>
        </row>
        <row r="16">
          <cell r="B16" t="str">
            <v>End Date (+1 Yr)</v>
          </cell>
          <cell r="C16">
            <v>40327</v>
          </cell>
          <cell r="E16" t="str">
            <v>#Refresh#</v>
          </cell>
          <cell r="F16" t="str">
            <v>USD</v>
          </cell>
        </row>
        <row r="17">
          <cell r="B17">
            <v>34.57</v>
          </cell>
          <cell r="C17" t="str">
            <v>Hand entert Share Price</v>
          </cell>
          <cell r="H17" t="str">
            <v>2007-FY</v>
          </cell>
        </row>
        <row r="18">
          <cell r="B18" t="b">
            <v>0</v>
          </cell>
          <cell r="C18">
            <v>39962</v>
          </cell>
        </row>
        <row r="19">
          <cell r="C19" t="str">
            <v>2009-FY</v>
          </cell>
        </row>
        <row r="34">
          <cell r="A34" t="str">
            <v>BullCase</v>
          </cell>
        </row>
        <row r="52">
          <cell r="A52">
            <v>40327</v>
          </cell>
          <cell r="B52">
            <v>758</v>
          </cell>
          <cell r="N52" t="str">
            <v>May-10</v>
          </cell>
          <cell r="R52" t="b">
            <v>0</v>
          </cell>
        </row>
        <row r="53">
          <cell r="A53" t="str">
            <v>Header</v>
          </cell>
          <cell r="B53" t="str">
            <v>Date</v>
          </cell>
          <cell r="C53" t="str">
            <v>Past/Future</v>
          </cell>
          <cell r="D53" t="str">
            <v>Historical Stock Performance</v>
          </cell>
          <cell r="E53" t="str">
            <v>Extreme Upside Cone</v>
          </cell>
          <cell r="F53" t="str">
            <v>Blue Cone</v>
          </cell>
          <cell r="G53" t="str">
            <v>Extreme Downside Cone</v>
          </cell>
          <cell r="H53" t="str">
            <v>White Mask</v>
          </cell>
          <cell r="I53" t="str">
            <v>Current Stock Price</v>
          </cell>
          <cell r="J53" t="str">
            <v>Extreme Upside Price(May-10)</v>
          </cell>
          <cell r="K53" t="str">
            <v>Bull Price(May-10)</v>
          </cell>
          <cell r="L53" t="str">
            <v>Bear Price(May-10)</v>
          </cell>
          <cell r="M53" t="str">
            <v>Extreme Downside Price(May-10)</v>
          </cell>
          <cell r="N53" t="str">
            <v>Price Target (May-10)</v>
          </cell>
          <cell r="O53" t="str">
            <v>Gray Line</v>
          </cell>
          <cell r="P53" t="str">
            <v>Prices</v>
          </cell>
          <cell r="Q53" t="str">
            <v>Volume</v>
          </cell>
          <cell r="R53" t="str">
            <v>Base Case(May-10)</v>
          </cell>
          <cell r="S53" t="str">
            <v>Header Row</v>
          </cell>
          <cell r="T53">
            <v>53</v>
          </cell>
          <cell r="U53">
            <v>0</v>
          </cell>
          <cell r="AI53" t="str">
            <v xml:space="preserve">Display </v>
          </cell>
          <cell r="AJ53" t="str">
            <v>Symbol</v>
          </cell>
          <cell r="AK53" t="str">
            <v>Unit</v>
          </cell>
          <cell r="AL53" t="str">
            <v>FactsetUnit</v>
          </cell>
          <cell r="AM53" t="str">
            <v>Right alligned</v>
          </cell>
          <cell r="AN53" t="str">
            <v>Display 2 Decimal Places for Currency Amount</v>
          </cell>
        </row>
        <row r="54">
          <cell r="A54">
            <v>39231</v>
          </cell>
          <cell r="B54">
            <v>39231</v>
          </cell>
          <cell r="C54" t="str">
            <v>Past</v>
          </cell>
          <cell r="D54">
            <v>59.46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 t="e">
            <v>#N/A</v>
          </cell>
          <cell r="J54" t="e">
            <v>#N/A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  <cell r="O54" t="e">
            <v>#N/A</v>
          </cell>
          <cell r="P54">
            <v>59.46</v>
          </cell>
          <cell r="Q54">
            <v>3.2017000000000002</v>
          </cell>
          <cell r="R54" t="e">
            <v>#N/A</v>
          </cell>
          <cell r="S54" t="str">
            <v>Count</v>
          </cell>
          <cell r="T54">
            <v>758</v>
          </cell>
          <cell r="U54">
            <v>42</v>
          </cell>
          <cell r="AI54" t="str">
            <v>AED UAE Dirham</v>
          </cell>
          <cell r="AJ54" t="str">
            <v>AED</v>
          </cell>
          <cell r="AK54" t="str">
            <v>AED</v>
          </cell>
          <cell r="AL54" t="str">
            <v>AED</v>
          </cell>
          <cell r="AM54">
            <v>0</v>
          </cell>
          <cell r="AN54">
            <v>2</v>
          </cell>
        </row>
        <row r="55">
          <cell r="A55">
            <v>39232</v>
          </cell>
          <cell r="B55">
            <v>39232</v>
          </cell>
          <cell r="C55" t="str">
            <v>Past</v>
          </cell>
          <cell r="D55">
            <v>59.24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 t="e">
            <v>#N/A</v>
          </cell>
          <cell r="J55" t="e">
            <v>#N/A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  <cell r="O55" t="e">
            <v>#N/A</v>
          </cell>
          <cell r="P55">
            <v>59.24</v>
          </cell>
          <cell r="Q55">
            <v>5.1042869999999994</v>
          </cell>
          <cell r="R55" t="e">
            <v>#N/A</v>
          </cell>
          <cell r="S55" t="str">
            <v>Curr Price</v>
          </cell>
          <cell r="T55">
            <v>34.57</v>
          </cell>
          <cell r="U55">
            <v>506</v>
          </cell>
          <cell r="V55">
            <v>114.16500000000001</v>
          </cell>
          <cell r="AI55" t="str">
            <v>ARS Argentinian Pesos</v>
          </cell>
          <cell r="AJ55" t="str">
            <v>Ar$</v>
          </cell>
          <cell r="AK55" t="str">
            <v>ARS</v>
          </cell>
          <cell r="AL55" t="str">
            <v>ARS</v>
          </cell>
          <cell r="AM55">
            <v>0</v>
          </cell>
          <cell r="AN55">
            <v>2</v>
          </cell>
        </row>
        <row r="56">
          <cell r="A56">
            <v>39233</v>
          </cell>
          <cell r="B56">
            <v>39233</v>
          </cell>
          <cell r="C56" t="str">
            <v>Past</v>
          </cell>
          <cell r="D56">
            <v>58.62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>
            <v>58.62</v>
          </cell>
          <cell r="Q56">
            <v>5.3824379999999996</v>
          </cell>
          <cell r="R56" t="e">
            <v>#N/A</v>
          </cell>
          <cell r="S56" t="str">
            <v>Curr Price Date</v>
          </cell>
          <cell r="T56">
            <v>39962</v>
          </cell>
          <cell r="U56">
            <v>39951.672118055554</v>
          </cell>
          <cell r="AI56" t="str">
            <v>AUD Australian Dollar</v>
          </cell>
          <cell r="AJ56" t="str">
            <v>A$</v>
          </cell>
          <cell r="AK56" t="str">
            <v>AUD</v>
          </cell>
          <cell r="AL56" t="str">
            <v>AUD</v>
          </cell>
          <cell r="AM56">
            <v>0</v>
          </cell>
          <cell r="AN56">
            <v>2</v>
          </cell>
        </row>
        <row r="57">
          <cell r="A57">
            <v>39234</v>
          </cell>
          <cell r="B57">
            <v>39234</v>
          </cell>
          <cell r="C57" t="str">
            <v>Past</v>
          </cell>
          <cell r="D57">
            <v>58.94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>
            <v>58.94</v>
          </cell>
          <cell r="Q57">
            <v>3.8512389999999996</v>
          </cell>
          <cell r="R57" t="e">
            <v>#N/A</v>
          </cell>
          <cell r="S57" t="str">
            <v>Bull-Curr</v>
          </cell>
          <cell r="T57">
            <v>7.43</v>
          </cell>
          <cell r="U57">
            <v>2.9367588932806322E-2</v>
          </cell>
          <cell r="AI57" t="str">
            <v>BGL Bulgarian levs</v>
          </cell>
          <cell r="AJ57" t="str">
            <v>BGL</v>
          </cell>
          <cell r="AK57" t="str">
            <v>BGL</v>
          </cell>
          <cell r="AL57" t="str">
            <v>BGN</v>
          </cell>
          <cell r="AM57">
            <v>0</v>
          </cell>
          <cell r="AN57">
            <v>2</v>
          </cell>
        </row>
        <row r="58">
          <cell r="A58">
            <v>39237</v>
          </cell>
          <cell r="B58">
            <v>39237</v>
          </cell>
          <cell r="C58" t="str">
            <v>Past</v>
          </cell>
          <cell r="D58">
            <v>59.16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>
            <v>59.16</v>
          </cell>
          <cell r="Q58">
            <v>4.8737000000000004</v>
          </cell>
          <cell r="R58" t="e">
            <v>#N/A</v>
          </cell>
          <cell r="S58" t="str">
            <v>Upp-Cur</v>
          </cell>
          <cell r="T58">
            <v>-34.57</v>
          </cell>
          <cell r="U58">
            <v>-0.1366403162055336</v>
          </cell>
          <cell r="AI58" t="str">
            <v>BMD Bermudan Dollars</v>
          </cell>
          <cell r="AJ58" t="str">
            <v>BMD</v>
          </cell>
          <cell r="AK58" t="str">
            <v>BMD</v>
          </cell>
          <cell r="AL58" t="str">
            <v>BMD</v>
          </cell>
          <cell r="AM58">
            <v>0</v>
          </cell>
          <cell r="AN58">
            <v>2</v>
          </cell>
        </row>
        <row r="59">
          <cell r="A59">
            <v>39238</v>
          </cell>
          <cell r="B59">
            <v>39238</v>
          </cell>
          <cell r="C59" t="str">
            <v>Past</v>
          </cell>
          <cell r="D59">
            <v>59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>
            <v>59</v>
          </cell>
          <cell r="Q59">
            <v>5.2781000000000002</v>
          </cell>
          <cell r="R59" t="e">
            <v>#N/A</v>
          </cell>
          <cell r="S59" t="str">
            <v>Curr-Bear</v>
          </cell>
          <cell r="T59">
            <v>2.5700000000000003</v>
          </cell>
          <cell r="U59">
            <v>1.015810276679842E-2</v>
          </cell>
          <cell r="AI59" t="str">
            <v>BRL Brazilian Real</v>
          </cell>
          <cell r="AJ59" t="str">
            <v>R$</v>
          </cell>
          <cell r="AK59" t="str">
            <v>BRL</v>
          </cell>
          <cell r="AL59" t="str">
            <v>BRL</v>
          </cell>
          <cell r="AM59">
            <v>0</v>
          </cell>
          <cell r="AN59">
            <v>2</v>
          </cell>
        </row>
        <row r="60">
          <cell r="A60">
            <v>39239</v>
          </cell>
          <cell r="B60">
            <v>39239</v>
          </cell>
          <cell r="C60" t="str">
            <v>Past</v>
          </cell>
          <cell r="D60">
            <v>58.29</v>
          </cell>
          <cell r="E60" t="e">
            <v>#N/A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>
            <v>58.29</v>
          </cell>
          <cell r="Q60">
            <v>5.9253260000000001</v>
          </cell>
          <cell r="R60" t="e">
            <v>#N/A</v>
          </cell>
          <cell r="S60" t="str">
            <v>Curr-Lower</v>
          </cell>
          <cell r="T60">
            <v>34.57</v>
          </cell>
          <cell r="U60">
            <v>0.1366403162055336</v>
          </cell>
          <cell r="AI60" t="str">
            <v>CAD Canadian Dollars</v>
          </cell>
          <cell r="AJ60" t="str">
            <v>C$</v>
          </cell>
          <cell r="AK60" t="str">
            <v>CAD</v>
          </cell>
          <cell r="AL60" t="str">
            <v>CAD</v>
          </cell>
          <cell r="AM60">
            <v>0</v>
          </cell>
          <cell r="AN60">
            <v>2</v>
          </cell>
        </row>
        <row r="61">
          <cell r="A61">
            <v>39240</v>
          </cell>
          <cell r="B61">
            <v>39240</v>
          </cell>
          <cell r="C61" t="str">
            <v>Past</v>
          </cell>
          <cell r="D61">
            <v>56.93</v>
          </cell>
          <cell r="E61" t="e">
            <v>#N/A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>
            <v>56.93</v>
          </cell>
          <cell r="Q61">
            <v>12.169370000000001</v>
          </cell>
          <cell r="R61" t="e">
            <v>#N/A</v>
          </cell>
          <cell r="S61" t="str">
            <v>PriceFoundAt</v>
          </cell>
          <cell r="T61">
            <v>506</v>
          </cell>
          <cell r="AI61" t="str">
            <v>CHF Swiss Francs</v>
          </cell>
          <cell r="AJ61" t="str">
            <v>SFr</v>
          </cell>
          <cell r="AK61" t="str">
            <v>CHF</v>
          </cell>
          <cell r="AL61" t="str">
            <v>CHF</v>
          </cell>
          <cell r="AM61">
            <v>0</v>
          </cell>
          <cell r="AN61">
            <v>2</v>
          </cell>
        </row>
        <row r="62">
          <cell r="A62">
            <v>39241</v>
          </cell>
          <cell r="B62">
            <v>39241</v>
          </cell>
          <cell r="C62" t="str">
            <v>Past</v>
          </cell>
          <cell r="D62">
            <v>57.02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>
            <v>57.02</v>
          </cell>
          <cell r="Q62">
            <v>6.9949000000000003</v>
          </cell>
          <cell r="R62" t="e">
            <v>#N/A</v>
          </cell>
          <cell r="S62" t="str">
            <v>Starting Point</v>
          </cell>
          <cell r="T62">
            <v>559</v>
          </cell>
          <cell r="AI62" t="str">
            <v>CLP Chilean Pesos</v>
          </cell>
          <cell r="AJ62" t="str">
            <v>CLP</v>
          </cell>
          <cell r="AK62" t="str">
            <v>CLP</v>
          </cell>
          <cell r="AL62" t="str">
            <v>CLP</v>
          </cell>
          <cell r="AM62">
            <v>0</v>
          </cell>
          <cell r="AN62">
            <v>2</v>
          </cell>
        </row>
        <row r="63">
          <cell r="A63">
            <v>39244</v>
          </cell>
          <cell r="B63">
            <v>39244</v>
          </cell>
          <cell r="C63" t="str">
            <v>Past</v>
          </cell>
          <cell r="D63">
            <v>57.31</v>
          </cell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>
            <v>57.31</v>
          </cell>
          <cell r="Q63">
            <v>4.9519529999999996</v>
          </cell>
          <cell r="R63" t="e">
            <v>#N/A</v>
          </cell>
          <cell r="S63" t="str">
            <v>Saved</v>
          </cell>
          <cell r="T63">
            <v>253</v>
          </cell>
          <cell r="AI63" t="str">
            <v>CNY Chinese Renminbi Yuan</v>
          </cell>
          <cell r="AJ63" t="str">
            <v>Rmb</v>
          </cell>
          <cell r="AK63" t="str">
            <v>CNY</v>
          </cell>
          <cell r="AL63" t="str">
            <v>CNY</v>
          </cell>
          <cell r="AM63">
            <v>0</v>
          </cell>
          <cell r="AN63">
            <v>2</v>
          </cell>
        </row>
        <row r="64">
          <cell r="A64">
            <v>39245</v>
          </cell>
          <cell r="B64">
            <v>39245</v>
          </cell>
          <cell r="C64" t="str">
            <v>Past</v>
          </cell>
          <cell r="D64">
            <v>56.78</v>
          </cell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>
            <v>56.78</v>
          </cell>
          <cell r="Q64">
            <v>4.3268789999999999</v>
          </cell>
          <cell r="R64" t="e">
            <v>#N/A</v>
          </cell>
          <cell r="S64" t="str">
            <v>Right alligned</v>
          </cell>
          <cell r="T64">
            <v>0</v>
          </cell>
          <cell r="AI64" t="str">
            <v>COP Colombian Peso</v>
          </cell>
          <cell r="AJ64" t="str">
            <v>COP</v>
          </cell>
          <cell r="AK64" t="str">
            <v>COP</v>
          </cell>
          <cell r="AL64" t="str">
            <v>COP</v>
          </cell>
          <cell r="AM64">
            <v>0</v>
          </cell>
          <cell r="AN64">
            <v>2</v>
          </cell>
        </row>
        <row r="65">
          <cell r="A65">
            <v>39246</v>
          </cell>
          <cell r="B65">
            <v>39246</v>
          </cell>
          <cell r="C65" t="str">
            <v>Past</v>
          </cell>
          <cell r="D65">
            <v>56.94</v>
          </cell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>
            <v>56.94</v>
          </cell>
          <cell r="Q65">
            <v>5.7039999999999997</v>
          </cell>
          <cell r="R65" t="e">
            <v>#N/A</v>
          </cell>
          <cell r="S65" t="str">
            <v>Decimal</v>
          </cell>
          <cell r="T65">
            <v>2</v>
          </cell>
          <cell r="AI65" t="str">
            <v>CZK Czech Krona</v>
          </cell>
          <cell r="AJ65" t="str">
            <v>Kcs</v>
          </cell>
          <cell r="AK65" t="str">
            <v>CZK</v>
          </cell>
          <cell r="AL65" t="str">
            <v>CZK</v>
          </cell>
          <cell r="AM65">
            <v>0</v>
          </cell>
          <cell r="AN65">
            <v>2</v>
          </cell>
        </row>
        <row r="66">
          <cell r="A66">
            <v>39247</v>
          </cell>
          <cell r="B66">
            <v>39247</v>
          </cell>
          <cell r="C66" t="str">
            <v>Past</v>
          </cell>
          <cell r="D66">
            <v>57.38</v>
          </cell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  <cell r="O66" t="e">
            <v>#N/A</v>
          </cell>
          <cell r="P66">
            <v>57.38</v>
          </cell>
          <cell r="Q66">
            <v>4.8296600000000005</v>
          </cell>
          <cell r="R66" t="e">
            <v>#N/A</v>
          </cell>
          <cell r="S66" t="str">
            <v>default StartDate</v>
          </cell>
          <cell r="T66">
            <v>39231</v>
          </cell>
          <cell r="AI66" t="str">
            <v>DKK Danish Krone</v>
          </cell>
          <cell r="AJ66" t="str">
            <v>DKr</v>
          </cell>
          <cell r="AK66" t="str">
            <v>DKK</v>
          </cell>
          <cell r="AL66" t="str">
            <v>DKK</v>
          </cell>
          <cell r="AM66">
            <v>0</v>
          </cell>
          <cell r="AN66">
            <v>2</v>
          </cell>
        </row>
        <row r="67">
          <cell r="A67">
            <v>39248</v>
          </cell>
          <cell r="B67">
            <v>39248</v>
          </cell>
          <cell r="C67" t="str">
            <v>Past</v>
          </cell>
          <cell r="D67">
            <v>57.72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  <cell r="O67" t="e">
            <v>#N/A</v>
          </cell>
          <cell r="P67">
            <v>57.72</v>
          </cell>
          <cell r="Q67">
            <v>4.9392000000000005</v>
          </cell>
          <cell r="R67" t="e">
            <v>#N/A</v>
          </cell>
          <cell r="S67" t="str">
            <v>default EndDate</v>
          </cell>
          <cell r="T67">
            <v>40327</v>
          </cell>
          <cell r="AI67" t="str">
            <v>DZD Algerian Dinar</v>
          </cell>
          <cell r="AJ67" t="str">
            <v>DZD</v>
          </cell>
          <cell r="AK67" t="str">
            <v>DZD</v>
          </cell>
          <cell r="AL67" t="str">
            <v>DZD</v>
          </cell>
          <cell r="AM67">
            <v>0</v>
          </cell>
          <cell r="AN67">
            <v>2</v>
          </cell>
        </row>
        <row r="68">
          <cell r="A68">
            <v>39251</v>
          </cell>
          <cell r="B68">
            <v>39251</v>
          </cell>
          <cell r="C68" t="str">
            <v>Past</v>
          </cell>
          <cell r="D68">
            <v>57.41</v>
          </cell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  <cell r="O68" t="e">
            <v>#N/A</v>
          </cell>
          <cell r="P68">
            <v>57.41</v>
          </cell>
          <cell r="Q68">
            <v>3.0452239999999997</v>
          </cell>
          <cell r="R68" t="e">
            <v>#N/A</v>
          </cell>
          <cell r="S68" t="str">
            <v>Max sharePrice</v>
          </cell>
          <cell r="T68">
            <v>59.47</v>
          </cell>
          <cell r="AI68" t="str">
            <v>EGP Egyptian Pound</v>
          </cell>
          <cell r="AJ68" t="str">
            <v>EGP</v>
          </cell>
          <cell r="AK68" t="str">
            <v>EGP</v>
          </cell>
          <cell r="AL68" t="str">
            <v>EGP</v>
          </cell>
          <cell r="AM68">
            <v>0</v>
          </cell>
          <cell r="AN68">
            <v>2</v>
          </cell>
        </row>
        <row r="69">
          <cell r="A69">
            <v>39252</v>
          </cell>
          <cell r="B69">
            <v>39252</v>
          </cell>
          <cell r="C69" t="str">
            <v>Past</v>
          </cell>
          <cell r="D69">
            <v>57.75</v>
          </cell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 t="e">
            <v>#N/A</v>
          </cell>
          <cell r="J69" t="e">
            <v>#N/A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  <cell r="O69" t="e">
            <v>#N/A</v>
          </cell>
          <cell r="P69">
            <v>57.75</v>
          </cell>
          <cell r="Q69">
            <v>4.1207600000000006</v>
          </cell>
          <cell r="R69" t="e">
            <v>#N/A</v>
          </cell>
          <cell r="AI69" t="str">
            <v>EUR Euro</v>
          </cell>
          <cell r="AJ69" t="str">
            <v>€</v>
          </cell>
          <cell r="AK69" t="str">
            <v>EUR</v>
          </cell>
          <cell r="AL69" t="str">
            <v>EUR</v>
          </cell>
          <cell r="AM69">
            <v>0</v>
          </cell>
          <cell r="AN69">
            <v>2</v>
          </cell>
        </row>
        <row r="70">
          <cell r="A70">
            <v>39253</v>
          </cell>
          <cell r="B70">
            <v>39253</v>
          </cell>
          <cell r="C70" t="str">
            <v>Past</v>
          </cell>
          <cell r="D70">
            <v>56.77</v>
          </cell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  <cell r="O70" t="e">
            <v>#N/A</v>
          </cell>
          <cell r="P70">
            <v>56.77</v>
          </cell>
          <cell r="Q70">
            <v>4.8172000000000006</v>
          </cell>
          <cell r="R70" t="e">
            <v>#N/A</v>
          </cell>
          <cell r="AI70" t="str">
            <v>GBp British Pence</v>
          </cell>
          <cell r="AJ70" t="str">
            <v>p</v>
          </cell>
          <cell r="AK70" t="str">
            <v>GBp</v>
          </cell>
          <cell r="AL70" t="str">
            <v>GBX</v>
          </cell>
          <cell r="AM70">
            <v>1</v>
          </cell>
          <cell r="AN70">
            <v>0</v>
          </cell>
        </row>
        <row r="71">
          <cell r="A71">
            <v>39254</v>
          </cell>
          <cell r="B71">
            <v>39254</v>
          </cell>
          <cell r="C71" t="str">
            <v>Past</v>
          </cell>
          <cell r="D71">
            <v>56.81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>
            <v>56.81</v>
          </cell>
          <cell r="Q71">
            <v>4.1069849999999999</v>
          </cell>
          <cell r="R71" t="e">
            <v>#N/A</v>
          </cell>
          <cell r="AI71" t="str">
            <v>GBP British Pound</v>
          </cell>
          <cell r="AJ71" t="str">
            <v>₤</v>
          </cell>
          <cell r="AK71" t="str">
            <v>GBP</v>
          </cell>
          <cell r="AL71" t="str">
            <v>GBP</v>
          </cell>
          <cell r="AM71">
            <v>0</v>
          </cell>
          <cell r="AN71">
            <v>2</v>
          </cell>
        </row>
        <row r="72">
          <cell r="A72">
            <v>39255</v>
          </cell>
          <cell r="B72">
            <v>39255</v>
          </cell>
          <cell r="C72" t="str">
            <v>Past</v>
          </cell>
          <cell r="D72">
            <v>55.8</v>
          </cell>
          <cell r="E72" t="e">
            <v>#N/A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>
            <v>55.8</v>
          </cell>
          <cell r="Q72">
            <v>5.7042630000000001</v>
          </cell>
          <cell r="R72" t="e">
            <v>#N/A</v>
          </cell>
          <cell r="AI72" t="str">
            <v>HKD Hong Kong Dollar</v>
          </cell>
          <cell r="AJ72" t="str">
            <v>HK$</v>
          </cell>
          <cell r="AK72" t="str">
            <v>HKD</v>
          </cell>
          <cell r="AL72" t="str">
            <v>HKD</v>
          </cell>
          <cell r="AM72">
            <v>0</v>
          </cell>
          <cell r="AN72">
            <v>2</v>
          </cell>
        </row>
        <row r="73">
          <cell r="A73">
            <v>39258</v>
          </cell>
          <cell r="B73">
            <v>39258</v>
          </cell>
          <cell r="C73" t="str">
            <v>Past</v>
          </cell>
          <cell r="D73">
            <v>55.48</v>
          </cell>
          <cell r="E73" t="e">
            <v>#N/A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>
            <v>55.48</v>
          </cell>
          <cell r="Q73">
            <v>5.9312959999999997</v>
          </cell>
          <cell r="R73" t="e">
            <v>#N/A</v>
          </cell>
          <cell r="AI73" t="str">
            <v>HUF Hungarian forint</v>
          </cell>
          <cell r="AJ73" t="str">
            <v>Ft</v>
          </cell>
          <cell r="AK73" t="str">
            <v>HUF</v>
          </cell>
          <cell r="AL73" t="str">
            <v>HUF</v>
          </cell>
          <cell r="AM73">
            <v>0</v>
          </cell>
          <cell r="AN73">
            <v>2</v>
          </cell>
        </row>
        <row r="74">
          <cell r="A74">
            <v>39259</v>
          </cell>
          <cell r="B74">
            <v>39259</v>
          </cell>
          <cell r="C74" t="str">
            <v>Past</v>
          </cell>
          <cell r="D74">
            <v>55.87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>
            <v>55.87</v>
          </cell>
          <cell r="Q74">
            <v>4.9879259999999999</v>
          </cell>
          <cell r="R74" t="e">
            <v>#N/A</v>
          </cell>
          <cell r="AI74" t="str">
            <v>IDR Indonesian Rupiah</v>
          </cell>
          <cell r="AJ74" t="str">
            <v>Rp</v>
          </cell>
          <cell r="AK74" t="str">
            <v>IDR</v>
          </cell>
          <cell r="AL74" t="str">
            <v>IDR</v>
          </cell>
          <cell r="AM74">
            <v>0</v>
          </cell>
          <cell r="AN74">
            <v>0</v>
          </cell>
        </row>
        <row r="75">
          <cell r="A75">
            <v>39260</v>
          </cell>
          <cell r="B75">
            <v>39260</v>
          </cell>
          <cell r="C75" t="str">
            <v>Past</v>
          </cell>
          <cell r="D75">
            <v>56.32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>
            <v>56.32</v>
          </cell>
          <cell r="Q75">
            <v>5.0994830000000002</v>
          </cell>
          <cell r="R75" t="e">
            <v>#N/A</v>
          </cell>
          <cell r="AI75" t="str">
            <v>ILS Israeli shekel</v>
          </cell>
          <cell r="AJ75" t="str">
            <v>ILS</v>
          </cell>
          <cell r="AK75" t="str">
            <v>ILS</v>
          </cell>
          <cell r="AL75" t="str">
            <v>ILS</v>
          </cell>
          <cell r="AM75">
            <v>0</v>
          </cell>
          <cell r="AN75">
            <v>2</v>
          </cell>
        </row>
        <row r="76">
          <cell r="A76">
            <v>39261</v>
          </cell>
          <cell r="B76">
            <v>39261</v>
          </cell>
          <cell r="C76" t="str">
            <v>Past</v>
          </cell>
          <cell r="D76">
            <v>56.18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>
            <v>56.18</v>
          </cell>
          <cell r="Q76">
            <v>3.4167700000000001</v>
          </cell>
          <cell r="R76" t="e">
            <v>#N/A</v>
          </cell>
          <cell r="AI76" t="str">
            <v>INR Indian Rupee</v>
          </cell>
          <cell r="AJ76" t="str">
            <v>Rs.</v>
          </cell>
          <cell r="AK76" t="str">
            <v>INR</v>
          </cell>
          <cell r="AL76" t="str">
            <v>INR</v>
          </cell>
          <cell r="AM76">
            <v>0</v>
          </cell>
          <cell r="AN76">
            <v>2</v>
          </cell>
        </row>
        <row r="77">
          <cell r="A77">
            <v>39262</v>
          </cell>
          <cell r="B77">
            <v>39262</v>
          </cell>
          <cell r="C77" t="str">
            <v>Past</v>
          </cell>
          <cell r="D77">
            <v>55.88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>
            <v>55.88</v>
          </cell>
          <cell r="Q77">
            <v>4.4103110000000001</v>
          </cell>
          <cell r="R77" t="e">
            <v>#N/A</v>
          </cell>
          <cell r="AI77" t="str">
            <v>IQD Iraqi Dinar</v>
          </cell>
          <cell r="AJ77" t="str">
            <v>IQD</v>
          </cell>
          <cell r="AK77" t="str">
            <v>IQD</v>
          </cell>
          <cell r="AL77" t="str">
            <v>IQD</v>
          </cell>
          <cell r="AM77">
            <v>0</v>
          </cell>
          <cell r="AN77">
            <v>2</v>
          </cell>
        </row>
        <row r="78">
          <cell r="A78">
            <v>39265</v>
          </cell>
          <cell r="B78">
            <v>39265</v>
          </cell>
          <cell r="C78" t="str">
            <v>Past</v>
          </cell>
          <cell r="D78">
            <v>56.73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>
            <v>56.73</v>
          </cell>
          <cell r="Q78">
            <v>3.6108500000000001</v>
          </cell>
          <cell r="R78" t="e">
            <v>#N/A</v>
          </cell>
          <cell r="AI78" t="str">
            <v>IRR Iranian Rial</v>
          </cell>
          <cell r="AJ78" t="str">
            <v>IRR</v>
          </cell>
          <cell r="AK78" t="str">
            <v>IRR</v>
          </cell>
          <cell r="AL78" t="str">
            <v>IRR</v>
          </cell>
          <cell r="AM78">
            <v>0</v>
          </cell>
          <cell r="AN78">
            <v>2</v>
          </cell>
        </row>
        <row r="79">
          <cell r="A79">
            <v>39266</v>
          </cell>
          <cell r="B79">
            <v>39266</v>
          </cell>
          <cell r="C79" t="str">
            <v>Past</v>
          </cell>
          <cell r="D79">
            <v>56.79</v>
          </cell>
          <cell r="E79" t="e">
            <v>#N/A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>
            <v>56.79</v>
          </cell>
          <cell r="Q79">
            <v>1.4956779999999998</v>
          </cell>
          <cell r="R79" t="e">
            <v>#N/A</v>
          </cell>
          <cell r="AI79" t="str">
            <v>ISK Iceland Krona</v>
          </cell>
          <cell r="AJ79" t="str">
            <v>kr</v>
          </cell>
          <cell r="AK79" t="str">
            <v>ISK</v>
          </cell>
          <cell r="AL79" t="str">
            <v>ISK</v>
          </cell>
          <cell r="AM79">
            <v>0</v>
          </cell>
          <cell r="AN79">
            <v>2</v>
          </cell>
        </row>
        <row r="80">
          <cell r="A80">
            <v>39268</v>
          </cell>
          <cell r="B80">
            <v>39268</v>
          </cell>
          <cell r="C80" t="str">
            <v>Past</v>
          </cell>
          <cell r="D80">
            <v>56.56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>
            <v>56.56</v>
          </cell>
          <cell r="Q80">
            <v>2.675608</v>
          </cell>
          <cell r="R80" t="e">
            <v>#N/A</v>
          </cell>
          <cell r="AI80" t="str">
            <v>JMD Jamaican Dollars</v>
          </cell>
          <cell r="AJ80" t="str">
            <v>JMD</v>
          </cell>
          <cell r="AK80" t="str">
            <v>JMD</v>
          </cell>
          <cell r="AL80" t="str">
            <v>JMD</v>
          </cell>
          <cell r="AM80">
            <v>0</v>
          </cell>
          <cell r="AN80">
            <v>2</v>
          </cell>
        </row>
        <row r="81">
          <cell r="A81">
            <v>39269</v>
          </cell>
          <cell r="B81">
            <v>39269</v>
          </cell>
          <cell r="C81" t="str">
            <v>Past</v>
          </cell>
          <cell r="D81">
            <v>56.64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>
            <v>56.64</v>
          </cell>
          <cell r="Q81">
            <v>3.3121</v>
          </cell>
          <cell r="R81" t="e">
            <v>#N/A</v>
          </cell>
          <cell r="AI81" t="str">
            <v>JPY Japanese Yen</v>
          </cell>
          <cell r="AJ81" t="str">
            <v>¥</v>
          </cell>
          <cell r="AK81" t="str">
            <v>JPY</v>
          </cell>
          <cell r="AL81" t="str">
            <v>JPY</v>
          </cell>
          <cell r="AM81">
            <v>0</v>
          </cell>
          <cell r="AN81">
            <v>0</v>
          </cell>
        </row>
        <row r="82">
          <cell r="A82">
            <v>39272</v>
          </cell>
          <cell r="B82">
            <v>39272</v>
          </cell>
          <cell r="C82" t="str">
            <v>Past</v>
          </cell>
          <cell r="D82">
            <v>56.04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>
            <v>56.04</v>
          </cell>
          <cell r="Q82">
            <v>5.2831489999999999</v>
          </cell>
          <cell r="R82" t="e">
            <v>#N/A</v>
          </cell>
          <cell r="AI82" t="str">
            <v>KES Kenyan Shilling</v>
          </cell>
          <cell r="AJ82" t="str">
            <v>KES</v>
          </cell>
          <cell r="AK82" t="str">
            <v>KES</v>
          </cell>
          <cell r="AL82" t="str">
            <v>KES</v>
          </cell>
          <cell r="AM82">
            <v>0</v>
          </cell>
          <cell r="AN82">
            <v>0</v>
          </cell>
        </row>
        <row r="83">
          <cell r="A83">
            <v>39273</v>
          </cell>
          <cell r="B83">
            <v>39273</v>
          </cell>
          <cell r="C83" t="str">
            <v>Past</v>
          </cell>
          <cell r="D83">
            <v>55.44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  <cell r="O83" t="e">
            <v>#N/A</v>
          </cell>
          <cell r="P83">
            <v>55.44</v>
          </cell>
          <cell r="Q83">
            <v>4.202</v>
          </cell>
          <cell r="R83" t="e">
            <v>#N/A</v>
          </cell>
          <cell r="AI83" t="str">
            <v>KRW South Korean Won</v>
          </cell>
          <cell r="AJ83" t="str">
            <v>₩</v>
          </cell>
          <cell r="AK83" t="str">
            <v>KRW</v>
          </cell>
          <cell r="AL83" t="str">
            <v>KRW</v>
          </cell>
          <cell r="AM83">
            <v>0</v>
          </cell>
          <cell r="AN83">
            <v>0</v>
          </cell>
        </row>
        <row r="84">
          <cell r="A84">
            <v>39274</v>
          </cell>
          <cell r="B84">
            <v>39274</v>
          </cell>
          <cell r="C84" t="str">
            <v>Past</v>
          </cell>
          <cell r="D84">
            <v>55.76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  <cell r="O84" t="e">
            <v>#N/A</v>
          </cell>
          <cell r="P84">
            <v>55.76</v>
          </cell>
          <cell r="Q84">
            <v>3.5052000000000003</v>
          </cell>
          <cell r="R84" t="e">
            <v>#N/A</v>
          </cell>
          <cell r="AI84" t="str">
            <v>KWD Kuwaiti Dinar</v>
          </cell>
          <cell r="AJ84" t="str">
            <v>KWD</v>
          </cell>
          <cell r="AK84" t="str">
            <v>KWD</v>
          </cell>
          <cell r="AL84" t="str">
            <v>KWD</v>
          </cell>
          <cell r="AM84">
            <v>0</v>
          </cell>
          <cell r="AN84">
            <v>2</v>
          </cell>
        </row>
        <row r="85">
          <cell r="A85">
            <v>39275</v>
          </cell>
          <cell r="B85">
            <v>39275</v>
          </cell>
          <cell r="C85" t="str">
            <v>Past</v>
          </cell>
          <cell r="D85">
            <v>56.79</v>
          </cell>
          <cell r="E85" t="e">
            <v>#N/A</v>
          </cell>
          <cell r="F85" t="e">
            <v>#N/A</v>
          </cell>
          <cell r="G85" t="e">
            <v>#N/A</v>
          </cell>
          <cell r="H85" t="e">
            <v>#N/A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  <cell r="O85" t="e">
            <v>#N/A</v>
          </cell>
          <cell r="P85">
            <v>56.79</v>
          </cell>
          <cell r="Q85">
            <v>4.2929500000000003</v>
          </cell>
          <cell r="R85" t="e">
            <v>#N/A</v>
          </cell>
          <cell r="AI85" t="str">
            <v>KYD Cayman Dollars</v>
          </cell>
          <cell r="AJ85" t="str">
            <v>KYD</v>
          </cell>
          <cell r="AK85" t="str">
            <v>KYD</v>
          </cell>
          <cell r="AL85" t="str">
            <v>KYD</v>
          </cell>
          <cell r="AM85">
            <v>0</v>
          </cell>
          <cell r="AN85">
            <v>2</v>
          </cell>
        </row>
        <row r="86">
          <cell r="A86">
            <v>39276</v>
          </cell>
          <cell r="B86">
            <v>39276</v>
          </cell>
          <cell r="C86" t="str">
            <v>Past</v>
          </cell>
          <cell r="D86">
            <v>56.92</v>
          </cell>
          <cell r="E86" t="e">
            <v>#N/A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>
            <v>56.92</v>
          </cell>
          <cell r="Q86">
            <v>2.8940379999999997</v>
          </cell>
          <cell r="R86" t="e">
            <v>#N/A</v>
          </cell>
          <cell r="AI86" t="str">
            <v>LKR Sri Lankan Rupee</v>
          </cell>
          <cell r="AJ86" t="str">
            <v>LKR</v>
          </cell>
          <cell r="AK86" t="str">
            <v>LKR</v>
          </cell>
          <cell r="AL86" t="str">
            <v>LKR</v>
          </cell>
          <cell r="AM86">
            <v>0</v>
          </cell>
          <cell r="AN86">
            <v>2</v>
          </cell>
        </row>
        <row r="87">
          <cell r="A87">
            <v>39279</v>
          </cell>
          <cell r="B87">
            <v>39279</v>
          </cell>
          <cell r="C87" t="str">
            <v>Past</v>
          </cell>
          <cell r="D87">
            <v>56.89</v>
          </cell>
          <cell r="E87" t="e">
            <v>#N/A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>
            <v>56.89</v>
          </cell>
          <cell r="Q87">
            <v>3.6032000000000002</v>
          </cell>
          <cell r="R87" t="e">
            <v>#N/A</v>
          </cell>
          <cell r="AI87" t="str">
            <v>MAD Moroccan Dirham</v>
          </cell>
          <cell r="AJ87" t="str">
            <v>MAD</v>
          </cell>
          <cell r="AK87" t="str">
            <v>MAD</v>
          </cell>
          <cell r="AL87" t="str">
            <v>MAD</v>
          </cell>
          <cell r="AM87">
            <v>0</v>
          </cell>
          <cell r="AN87">
            <v>2</v>
          </cell>
        </row>
        <row r="88">
          <cell r="A88">
            <v>39280</v>
          </cell>
          <cell r="B88">
            <v>39280</v>
          </cell>
          <cell r="C88" t="str">
            <v>Past</v>
          </cell>
          <cell r="D88">
            <v>56.4</v>
          </cell>
          <cell r="E88" t="e">
            <v>#N/A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>
            <v>56.4</v>
          </cell>
          <cell r="Q88">
            <v>4.2957900000000002</v>
          </cell>
          <cell r="R88" t="e">
            <v>#N/A</v>
          </cell>
          <cell r="AI88" t="str">
            <v>MXN Mexican Pesos (new)</v>
          </cell>
          <cell r="AJ88" t="str">
            <v>M$</v>
          </cell>
          <cell r="AK88" t="str">
            <v>MXN</v>
          </cell>
          <cell r="AL88" t="str">
            <v>MXN</v>
          </cell>
          <cell r="AM88">
            <v>0</v>
          </cell>
          <cell r="AN88">
            <v>2</v>
          </cell>
        </row>
        <row r="89">
          <cell r="A89">
            <v>39281</v>
          </cell>
          <cell r="B89">
            <v>39281</v>
          </cell>
          <cell r="C89" t="str">
            <v>Past</v>
          </cell>
          <cell r="D89">
            <v>56.05</v>
          </cell>
          <cell r="E89" t="e">
            <v>#N/A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>
            <v>56.05</v>
          </cell>
          <cell r="Q89">
            <v>5.4182290000000002</v>
          </cell>
          <cell r="R89" t="e">
            <v>#N/A</v>
          </cell>
          <cell r="AI89" t="str">
            <v>MYR Malaysian Ringgit</v>
          </cell>
          <cell r="AJ89" t="str">
            <v>RM</v>
          </cell>
          <cell r="AK89" t="str">
            <v>MYR</v>
          </cell>
          <cell r="AL89" t="str">
            <v>MYR</v>
          </cell>
          <cell r="AM89">
            <v>0</v>
          </cell>
          <cell r="AN89">
            <v>2</v>
          </cell>
        </row>
        <row r="90">
          <cell r="A90">
            <v>39282</v>
          </cell>
          <cell r="B90">
            <v>39282</v>
          </cell>
          <cell r="C90" t="str">
            <v>Past</v>
          </cell>
          <cell r="D90">
            <v>56.38</v>
          </cell>
          <cell r="E90" t="e">
            <v>#N/A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>
            <v>56.38</v>
          </cell>
          <cell r="Q90">
            <v>4.6968559999999995</v>
          </cell>
          <cell r="R90" t="e">
            <v>#N/A</v>
          </cell>
          <cell r="AI90" t="str">
            <v>NOK Norwegian Krone</v>
          </cell>
          <cell r="AJ90" t="str">
            <v>NKr</v>
          </cell>
          <cell r="AK90" t="str">
            <v>NOK</v>
          </cell>
          <cell r="AL90" t="str">
            <v>NOK</v>
          </cell>
          <cell r="AM90">
            <v>0</v>
          </cell>
          <cell r="AN90">
            <v>2</v>
          </cell>
        </row>
        <row r="91">
          <cell r="A91">
            <v>39283</v>
          </cell>
          <cell r="B91">
            <v>39283</v>
          </cell>
          <cell r="C91" t="str">
            <v>Past</v>
          </cell>
          <cell r="D91">
            <v>56.03</v>
          </cell>
          <cell r="E91" t="e">
            <v>#N/A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>
            <v>56.03</v>
          </cell>
          <cell r="Q91">
            <v>6.8578999999999999</v>
          </cell>
          <cell r="R91" t="e">
            <v>#N/A</v>
          </cell>
          <cell r="AI91" t="str">
            <v>NZD New Zealand Dollars</v>
          </cell>
          <cell r="AJ91" t="str">
            <v>NZ$</v>
          </cell>
          <cell r="AK91" t="str">
            <v>NZD</v>
          </cell>
          <cell r="AL91" t="str">
            <v>NZD</v>
          </cell>
          <cell r="AM91">
            <v>0</v>
          </cell>
          <cell r="AN91">
            <v>2</v>
          </cell>
        </row>
        <row r="92">
          <cell r="A92">
            <v>39286</v>
          </cell>
          <cell r="B92">
            <v>39286</v>
          </cell>
          <cell r="C92" t="str">
            <v>Past</v>
          </cell>
          <cell r="D92">
            <v>57.17</v>
          </cell>
          <cell r="E92" t="e">
            <v>#N/A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>
            <v>57.17</v>
          </cell>
          <cell r="Q92">
            <v>5.8880949999999999</v>
          </cell>
          <cell r="R92" t="e">
            <v>#N/A</v>
          </cell>
          <cell r="AI92" t="str">
            <v>OMR Rial Omani</v>
          </cell>
          <cell r="AJ92" t="str">
            <v>OMR</v>
          </cell>
          <cell r="AK92" t="str">
            <v>OMR</v>
          </cell>
          <cell r="AL92" t="str">
            <v>OMR</v>
          </cell>
          <cell r="AM92">
            <v>0</v>
          </cell>
          <cell r="AN92">
            <v>2</v>
          </cell>
        </row>
        <row r="93">
          <cell r="A93">
            <v>39287</v>
          </cell>
          <cell r="B93">
            <v>39287</v>
          </cell>
          <cell r="C93" t="str">
            <v>Past</v>
          </cell>
          <cell r="D93">
            <v>57.17</v>
          </cell>
          <cell r="E93" t="e">
            <v>#N/A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>
            <v>57.17</v>
          </cell>
          <cell r="Q93">
            <v>10.90849</v>
          </cell>
          <cell r="R93" t="e">
            <v>#N/A</v>
          </cell>
          <cell r="AI93" t="str">
            <v>PAB Panamanian Balboa</v>
          </cell>
          <cell r="AJ93" t="str">
            <v>PAB</v>
          </cell>
          <cell r="AK93" t="str">
            <v>PAB</v>
          </cell>
          <cell r="AL93" t="str">
            <v>PAB</v>
          </cell>
          <cell r="AM93">
            <v>0</v>
          </cell>
          <cell r="AN93">
            <v>2</v>
          </cell>
        </row>
        <row r="94">
          <cell r="A94">
            <v>39288</v>
          </cell>
          <cell r="B94">
            <v>39288</v>
          </cell>
          <cell r="C94" t="str">
            <v>Past</v>
          </cell>
          <cell r="D94">
            <v>58.44</v>
          </cell>
          <cell r="E94" t="e">
            <v>#N/A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>
            <v>58.44</v>
          </cell>
          <cell r="Q94">
            <v>7.3154709999999996</v>
          </cell>
          <cell r="R94" t="e">
            <v>#N/A</v>
          </cell>
          <cell r="AI94" t="str">
            <v>PEN Peruvian PEN</v>
          </cell>
          <cell r="AJ94" t="str">
            <v>PEN</v>
          </cell>
          <cell r="AK94" t="str">
            <v>PEN</v>
          </cell>
          <cell r="AL94" t="str">
            <v>PEN</v>
          </cell>
          <cell r="AM94">
            <v>0</v>
          </cell>
          <cell r="AN94">
            <v>2</v>
          </cell>
        </row>
        <row r="95">
          <cell r="A95">
            <v>39289</v>
          </cell>
          <cell r="B95">
            <v>39289</v>
          </cell>
          <cell r="C95" t="str">
            <v>Past</v>
          </cell>
          <cell r="D95">
            <v>56.7</v>
          </cell>
          <cell r="E95" t="e">
            <v>#N/A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>
            <v>56.7</v>
          </cell>
          <cell r="Q95">
            <v>8.3653529999999989</v>
          </cell>
          <cell r="R95" t="e">
            <v>#N/A</v>
          </cell>
          <cell r="AI95" t="str">
            <v>PHP Philippino Peso</v>
          </cell>
          <cell r="AJ95" t="str">
            <v>PP</v>
          </cell>
          <cell r="AK95" t="str">
            <v>PHP</v>
          </cell>
          <cell r="AL95" t="str">
            <v>PHP</v>
          </cell>
          <cell r="AM95">
            <v>0</v>
          </cell>
          <cell r="AN95">
            <v>2</v>
          </cell>
        </row>
        <row r="96">
          <cell r="A96">
            <v>39290</v>
          </cell>
          <cell r="B96">
            <v>39290</v>
          </cell>
          <cell r="C96" t="str">
            <v>Past</v>
          </cell>
          <cell r="D96">
            <v>55.02</v>
          </cell>
          <cell r="E96" t="e">
            <v>#N/A</v>
          </cell>
          <cell r="F96" t="e">
            <v>#N/A</v>
          </cell>
          <cell r="G96" t="e">
            <v>#N/A</v>
          </cell>
          <cell r="H96" t="e">
            <v>#N/A</v>
          </cell>
          <cell r="I96" t="e">
            <v>#N/A</v>
          </cell>
          <cell r="J96" t="e">
            <v>#N/A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  <cell r="O96" t="e">
            <v>#N/A</v>
          </cell>
          <cell r="P96">
            <v>55.02</v>
          </cell>
          <cell r="Q96">
            <v>6.3537309999999998</v>
          </cell>
          <cell r="R96" t="e">
            <v>#N/A</v>
          </cell>
          <cell r="AI96" t="str">
            <v>PKR Pakistani Rupee</v>
          </cell>
          <cell r="AJ96" t="str">
            <v>Rs.</v>
          </cell>
          <cell r="AK96" t="str">
            <v>PKR</v>
          </cell>
          <cell r="AL96" t="str">
            <v>PKR</v>
          </cell>
          <cell r="AM96">
            <v>0</v>
          </cell>
          <cell r="AN96">
            <v>2</v>
          </cell>
        </row>
        <row r="97">
          <cell r="A97">
            <v>39293</v>
          </cell>
          <cell r="B97">
            <v>39293</v>
          </cell>
          <cell r="C97" t="str">
            <v>Past</v>
          </cell>
          <cell r="D97">
            <v>54.77</v>
          </cell>
          <cell r="E97" t="e">
            <v>#N/A</v>
          </cell>
          <cell r="F97" t="e">
            <v>#N/A</v>
          </cell>
          <cell r="G97" t="e">
            <v>#N/A</v>
          </cell>
          <cell r="H97" t="e">
            <v>#N/A</v>
          </cell>
          <cell r="I97" t="e">
            <v>#N/A</v>
          </cell>
          <cell r="J97" t="e">
            <v>#N/A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  <cell r="O97" t="e">
            <v>#N/A</v>
          </cell>
          <cell r="P97">
            <v>54.77</v>
          </cell>
          <cell r="Q97">
            <v>5.8481889999999996</v>
          </cell>
          <cell r="R97" t="e">
            <v>#N/A</v>
          </cell>
          <cell r="AI97" t="str">
            <v>PLN Polish Zloty</v>
          </cell>
          <cell r="AJ97" t="str">
            <v>zł</v>
          </cell>
          <cell r="AK97" t="str">
            <v>PLN</v>
          </cell>
          <cell r="AL97" t="str">
            <v>PLN</v>
          </cell>
          <cell r="AM97">
            <v>0</v>
          </cell>
          <cell r="AN97">
            <v>2</v>
          </cell>
        </row>
        <row r="98">
          <cell r="A98">
            <v>39294</v>
          </cell>
          <cell r="B98">
            <v>39294</v>
          </cell>
          <cell r="C98" t="str">
            <v>Past</v>
          </cell>
          <cell r="D98">
            <v>54.09</v>
          </cell>
          <cell r="E98" t="e">
            <v>#N/A</v>
          </cell>
          <cell r="F98" t="e">
            <v>#N/A</v>
          </cell>
          <cell r="G98" t="e">
            <v>#N/A</v>
          </cell>
          <cell r="H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  <cell r="O98" t="e">
            <v>#N/A</v>
          </cell>
          <cell r="P98">
            <v>54.09</v>
          </cell>
          <cell r="Q98">
            <v>8.2728470000000005</v>
          </cell>
          <cell r="R98" t="e">
            <v>#N/A</v>
          </cell>
          <cell r="AI98" t="str">
            <v>QAR Qatari Riyal</v>
          </cell>
          <cell r="AJ98" t="str">
            <v>QAR</v>
          </cell>
          <cell r="AK98" t="str">
            <v>QAR</v>
          </cell>
          <cell r="AL98" t="str">
            <v>QAR</v>
          </cell>
          <cell r="AM98">
            <v>0</v>
          </cell>
          <cell r="AN98">
            <v>2</v>
          </cell>
        </row>
        <row r="99">
          <cell r="A99">
            <v>39295</v>
          </cell>
          <cell r="B99">
            <v>39295</v>
          </cell>
          <cell r="C99" t="str">
            <v>Past</v>
          </cell>
          <cell r="D99">
            <v>54.2</v>
          </cell>
          <cell r="E99" t="e">
            <v>#N/A</v>
          </cell>
          <cell r="F99" t="e">
            <v>#N/A</v>
          </cell>
          <cell r="G99" t="e">
            <v>#N/A</v>
          </cell>
          <cell r="H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  <cell r="O99" t="e">
            <v>#N/A</v>
          </cell>
          <cell r="P99">
            <v>54.2</v>
          </cell>
          <cell r="Q99">
            <v>6.2463220000000002</v>
          </cell>
          <cell r="R99" t="e">
            <v>#N/A</v>
          </cell>
          <cell r="AI99" t="str">
            <v>RUB Russian Rouble</v>
          </cell>
          <cell r="AJ99" t="str">
            <v>RUB</v>
          </cell>
          <cell r="AK99" t="str">
            <v>RUB</v>
          </cell>
          <cell r="AL99" t="str">
            <v>RUB</v>
          </cell>
          <cell r="AM99">
            <v>0</v>
          </cell>
          <cell r="AN99">
            <v>2</v>
          </cell>
        </row>
        <row r="100">
          <cell r="A100">
            <v>39296</v>
          </cell>
          <cell r="B100">
            <v>39296</v>
          </cell>
          <cell r="C100" t="str">
            <v>Past</v>
          </cell>
          <cell r="D100">
            <v>54.6</v>
          </cell>
          <cell r="E100" t="e">
            <v>#N/A</v>
          </cell>
          <cell r="F100" t="e">
            <v>#N/A</v>
          </cell>
          <cell r="G100" t="e">
            <v>#N/A</v>
          </cell>
          <cell r="H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  <cell r="O100" t="e">
            <v>#N/A</v>
          </cell>
          <cell r="P100">
            <v>54.6</v>
          </cell>
          <cell r="Q100">
            <v>5.1132840000000002</v>
          </cell>
          <cell r="R100" t="e">
            <v>#N/A</v>
          </cell>
          <cell r="AI100" t="str">
            <v>SAR Saudi Riyal</v>
          </cell>
          <cell r="AJ100" t="str">
            <v>SAR</v>
          </cell>
          <cell r="AK100" t="str">
            <v>SAR</v>
          </cell>
          <cell r="AL100" t="str">
            <v>SAR</v>
          </cell>
          <cell r="AM100">
            <v>0</v>
          </cell>
          <cell r="AN100">
            <v>2</v>
          </cell>
        </row>
        <row r="101">
          <cell r="A101">
            <v>39297</v>
          </cell>
          <cell r="B101">
            <v>39297</v>
          </cell>
          <cell r="C101" t="str">
            <v>Past</v>
          </cell>
          <cell r="D101">
            <v>54.13</v>
          </cell>
          <cell r="E101" t="e">
            <v>#N/A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>
            <v>54.13</v>
          </cell>
          <cell r="Q101">
            <v>5.5839489999999996</v>
          </cell>
          <cell r="R101" t="e">
            <v>#N/A</v>
          </cell>
          <cell r="AI101" t="str">
            <v>SEK Swedish Krona</v>
          </cell>
          <cell r="AJ101" t="str">
            <v>SKr</v>
          </cell>
          <cell r="AK101" t="str">
            <v>SEK</v>
          </cell>
          <cell r="AL101" t="str">
            <v>SEK</v>
          </cell>
          <cell r="AM101">
            <v>0</v>
          </cell>
          <cell r="AN101">
            <v>2</v>
          </cell>
        </row>
        <row r="102">
          <cell r="A102">
            <v>39300</v>
          </cell>
          <cell r="B102">
            <v>39300</v>
          </cell>
          <cell r="C102" t="str">
            <v>Past</v>
          </cell>
          <cell r="D102">
            <v>56.22</v>
          </cell>
          <cell r="E102" t="e">
            <v>#N/A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>
            <v>56.22</v>
          </cell>
          <cell r="Q102">
            <v>7.3999939999999995</v>
          </cell>
          <cell r="R102" t="e">
            <v>#N/A</v>
          </cell>
          <cell r="AI102" t="str">
            <v>SGD Singapore Dollar</v>
          </cell>
          <cell r="AJ102" t="str">
            <v>S$</v>
          </cell>
          <cell r="AK102" t="str">
            <v>SGD</v>
          </cell>
          <cell r="AL102" t="str">
            <v>SGD</v>
          </cell>
          <cell r="AM102">
            <v>0</v>
          </cell>
          <cell r="AN102">
            <v>2</v>
          </cell>
        </row>
        <row r="103">
          <cell r="A103">
            <v>39301</v>
          </cell>
          <cell r="B103">
            <v>39301</v>
          </cell>
          <cell r="C103" t="str">
            <v>Past</v>
          </cell>
          <cell r="D103">
            <v>56.52</v>
          </cell>
          <cell r="E103" t="e">
            <v>#N/A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>
            <v>56.52</v>
          </cell>
          <cell r="Q103">
            <v>7.5100069999999999</v>
          </cell>
          <cell r="R103" t="e">
            <v>#N/A</v>
          </cell>
          <cell r="AI103" t="str">
            <v>THB Thailand Baht</v>
          </cell>
          <cell r="AJ103" t="str">
            <v>Bt</v>
          </cell>
          <cell r="AK103" t="str">
            <v>THB</v>
          </cell>
          <cell r="AL103" t="str">
            <v>THB</v>
          </cell>
          <cell r="AM103">
            <v>0</v>
          </cell>
          <cell r="AN103">
            <v>2</v>
          </cell>
        </row>
        <row r="104">
          <cell r="A104">
            <v>39302</v>
          </cell>
          <cell r="B104">
            <v>39302</v>
          </cell>
          <cell r="C104" t="str">
            <v>Past</v>
          </cell>
          <cell r="D104">
            <v>58.4</v>
          </cell>
          <cell r="E104" t="e">
            <v>#N/A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>
            <v>58.4</v>
          </cell>
          <cell r="Q104">
            <v>6.7241919999999995</v>
          </cell>
          <cell r="R104" t="e">
            <v>#N/A</v>
          </cell>
          <cell r="AI104" t="str">
            <v>TND Tunisian Dinar</v>
          </cell>
          <cell r="AJ104" t="str">
            <v>TND</v>
          </cell>
          <cell r="AK104" t="str">
            <v>TND</v>
          </cell>
          <cell r="AL104" t="str">
            <v>TND</v>
          </cell>
          <cell r="AM104">
            <v>0</v>
          </cell>
          <cell r="AN104">
            <v>2</v>
          </cell>
        </row>
        <row r="105">
          <cell r="A105">
            <v>39303</v>
          </cell>
          <cell r="B105">
            <v>39303</v>
          </cell>
          <cell r="C105" t="str">
            <v>Past</v>
          </cell>
          <cell r="D105">
            <v>57.85</v>
          </cell>
          <cell r="E105" t="e">
            <v>#N/A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>
            <v>57.85</v>
          </cell>
          <cell r="Q105">
            <v>8.5117840000000005</v>
          </cell>
          <cell r="R105" t="e">
            <v>#N/A</v>
          </cell>
          <cell r="AI105" t="str">
            <v>TRY Turkish Lira</v>
          </cell>
          <cell r="AJ105" t="str">
            <v>TL</v>
          </cell>
          <cell r="AK105" t="str">
            <v>TRY</v>
          </cell>
          <cell r="AL105" t="str">
            <v>TRY</v>
          </cell>
          <cell r="AM105">
            <v>0</v>
          </cell>
          <cell r="AN105">
            <v>2</v>
          </cell>
        </row>
        <row r="106">
          <cell r="A106">
            <v>39304</v>
          </cell>
          <cell r="B106">
            <v>39304</v>
          </cell>
          <cell r="C106" t="str">
            <v>Past</v>
          </cell>
          <cell r="D106">
            <v>57.16</v>
          </cell>
          <cell r="E106" t="e">
            <v>#N/A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>
            <v>57.16</v>
          </cell>
          <cell r="Q106">
            <v>8.0407329999999995</v>
          </cell>
          <cell r="R106" t="e">
            <v>#N/A</v>
          </cell>
          <cell r="AI106" t="str">
            <v>TWD New Taiwan Dollar</v>
          </cell>
          <cell r="AJ106" t="str">
            <v>NT$</v>
          </cell>
          <cell r="AK106" t="str">
            <v>TWD</v>
          </cell>
          <cell r="AL106" t="str">
            <v>TWD</v>
          </cell>
          <cell r="AM106">
            <v>0</v>
          </cell>
          <cell r="AN106">
            <v>2</v>
          </cell>
        </row>
        <row r="107">
          <cell r="A107">
            <v>39307</v>
          </cell>
          <cell r="B107">
            <v>39307</v>
          </cell>
          <cell r="C107" t="str">
            <v>Past</v>
          </cell>
          <cell r="D107">
            <v>56.93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>
            <v>56.93</v>
          </cell>
          <cell r="Q107">
            <v>4.0047000000000006</v>
          </cell>
          <cell r="R107" t="e">
            <v>#N/A</v>
          </cell>
          <cell r="AI107" t="str">
            <v>UAH Ukrainian Hryvnia</v>
          </cell>
          <cell r="AJ107" t="str">
            <v>UAH</v>
          </cell>
          <cell r="AK107" t="str">
            <v>UAH</v>
          </cell>
          <cell r="AL107" t="str">
            <v>UAH</v>
          </cell>
          <cell r="AM107">
            <v>0</v>
          </cell>
          <cell r="AN107">
            <v>2</v>
          </cell>
        </row>
        <row r="108">
          <cell r="A108">
            <v>39308</v>
          </cell>
          <cell r="B108">
            <v>39308</v>
          </cell>
          <cell r="C108" t="str">
            <v>Past</v>
          </cell>
          <cell r="D108">
            <v>55.44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>
            <v>55.44</v>
          </cell>
          <cell r="Q108">
            <v>5.3788500000000008</v>
          </cell>
          <cell r="R108" t="e">
            <v>#N/A</v>
          </cell>
          <cell r="AI108" t="str">
            <v>USD American Dollar</v>
          </cell>
          <cell r="AJ108" t="str">
            <v>$</v>
          </cell>
          <cell r="AK108" t="str">
            <v>USD</v>
          </cell>
          <cell r="AL108" t="str">
            <v>USD</v>
          </cell>
          <cell r="AM108">
            <v>0</v>
          </cell>
          <cell r="AN108">
            <v>2</v>
          </cell>
        </row>
        <row r="109">
          <cell r="A109">
            <v>39309</v>
          </cell>
          <cell r="B109">
            <v>39309</v>
          </cell>
          <cell r="C109" t="str">
            <v>Past</v>
          </cell>
          <cell r="D109">
            <v>55.18</v>
          </cell>
          <cell r="E109" t="e">
            <v>#N/A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>
            <v>55.18</v>
          </cell>
          <cell r="Q109">
            <v>4.9745500000000007</v>
          </cell>
          <cell r="R109" t="e">
            <v>#N/A</v>
          </cell>
          <cell r="AI109" t="str">
            <v>VEB Venezuelan Bolivar</v>
          </cell>
          <cell r="AJ109" t="str">
            <v>VEB</v>
          </cell>
          <cell r="AK109" t="str">
            <v>VEB</v>
          </cell>
          <cell r="AL109" t="str">
            <v>VEB</v>
          </cell>
          <cell r="AM109">
            <v>0</v>
          </cell>
          <cell r="AN109">
            <v>2</v>
          </cell>
        </row>
        <row r="110">
          <cell r="A110">
            <v>39310</v>
          </cell>
          <cell r="B110">
            <v>39310</v>
          </cell>
          <cell r="C110" t="str">
            <v>Past</v>
          </cell>
          <cell r="D110">
            <v>54.83</v>
          </cell>
          <cell r="E110" t="e">
            <v>#N/A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>
            <v>54.83</v>
          </cell>
          <cell r="Q110">
            <v>8.8786000000000005</v>
          </cell>
          <cell r="R110" t="e">
            <v>#N/A</v>
          </cell>
          <cell r="AI110" t="str">
            <v>ZAc South African Cent</v>
          </cell>
          <cell r="AJ110" t="str">
            <v>ZAc</v>
          </cell>
          <cell r="AK110" t="str">
            <v>ZAc</v>
          </cell>
          <cell r="AL110" t="str">
            <v>ZAc</v>
          </cell>
          <cell r="AM110">
            <v>0</v>
          </cell>
          <cell r="AN110">
            <v>0</v>
          </cell>
        </row>
        <row r="111">
          <cell r="A111">
            <v>39311</v>
          </cell>
          <cell r="B111">
            <v>39311</v>
          </cell>
          <cell r="C111" t="str">
            <v>Past</v>
          </cell>
          <cell r="D111">
            <v>55.81</v>
          </cell>
          <cell r="E111" t="e">
            <v>#N/A</v>
          </cell>
          <cell r="F111" t="e">
            <v>#N/A</v>
          </cell>
          <cell r="G111" t="e">
            <v>#N/A</v>
          </cell>
          <cell r="H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  <cell r="O111" t="e">
            <v>#N/A</v>
          </cell>
          <cell r="P111">
            <v>55.81</v>
          </cell>
          <cell r="Q111">
            <v>6.8274999999999997</v>
          </cell>
          <cell r="R111" t="e">
            <v>#N/A</v>
          </cell>
          <cell r="AI111" t="str">
            <v>ZAR South African rand</v>
          </cell>
          <cell r="AJ111" t="str">
            <v>ZAR</v>
          </cell>
          <cell r="AK111" t="str">
            <v>ZAR</v>
          </cell>
          <cell r="AL111" t="str">
            <v>ZAR</v>
          </cell>
          <cell r="AM111">
            <v>0</v>
          </cell>
          <cell r="AN111">
            <v>2</v>
          </cell>
        </row>
        <row r="112">
          <cell r="A112">
            <v>39314</v>
          </cell>
          <cell r="B112">
            <v>39314</v>
          </cell>
          <cell r="C112" t="str">
            <v>Past</v>
          </cell>
          <cell r="D112">
            <v>55.63</v>
          </cell>
          <cell r="E112" t="e">
            <v>#N/A</v>
          </cell>
          <cell r="F112" t="e">
            <v>#N/A</v>
          </cell>
          <cell r="G112" t="e">
            <v>#N/A</v>
          </cell>
          <cell r="H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  <cell r="O112" t="e">
            <v>#N/A</v>
          </cell>
          <cell r="P112">
            <v>55.63</v>
          </cell>
          <cell r="Q112">
            <v>4.8591000000000006</v>
          </cell>
          <cell r="R112" t="e">
            <v>#N/A</v>
          </cell>
          <cell r="AI112" t="str">
            <v xml:space="preserve">ZMK Zambian Kwacha </v>
          </cell>
          <cell r="AJ112" t="str">
            <v>ZMK</v>
          </cell>
          <cell r="AK112" t="str">
            <v>ZMK</v>
          </cell>
          <cell r="AL112" t="str">
            <v>ZMK</v>
          </cell>
          <cell r="AM112">
            <v>0</v>
          </cell>
          <cell r="AN112">
            <v>2</v>
          </cell>
        </row>
        <row r="113">
          <cell r="A113">
            <v>39315</v>
          </cell>
          <cell r="B113">
            <v>39315</v>
          </cell>
          <cell r="C113" t="str">
            <v>Past</v>
          </cell>
          <cell r="D113">
            <v>55.28</v>
          </cell>
          <cell r="E113" t="e">
            <v>#N/A</v>
          </cell>
          <cell r="F113" t="e">
            <v>#N/A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  <cell r="O113" t="e">
            <v>#N/A</v>
          </cell>
          <cell r="P113">
            <v>55.28</v>
          </cell>
          <cell r="Q113">
            <v>3.3652000000000002</v>
          </cell>
          <cell r="R113" t="e">
            <v>#N/A</v>
          </cell>
        </row>
        <row r="114">
          <cell r="A114">
            <v>39316</v>
          </cell>
          <cell r="B114">
            <v>39316</v>
          </cell>
          <cell r="C114" t="str">
            <v>Past</v>
          </cell>
          <cell r="D114">
            <v>55.74</v>
          </cell>
          <cell r="E114" t="e">
            <v>#N/A</v>
          </cell>
          <cell r="F114" t="e">
            <v>#N/A</v>
          </cell>
          <cell r="G114" t="e">
            <v>#N/A</v>
          </cell>
          <cell r="H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  <cell r="O114" t="e">
            <v>#N/A</v>
          </cell>
          <cell r="P114">
            <v>55.74</v>
          </cell>
          <cell r="Q114">
            <v>4.6797000000000004</v>
          </cell>
          <cell r="R114" t="e">
            <v>#N/A</v>
          </cell>
        </row>
        <row r="115">
          <cell r="A115">
            <v>39317</v>
          </cell>
          <cell r="B115">
            <v>39317</v>
          </cell>
          <cell r="C115" t="str">
            <v>Past</v>
          </cell>
          <cell r="D115">
            <v>55.87</v>
          </cell>
          <cell r="E115" t="e">
            <v>#N/A</v>
          </cell>
          <cell r="F115" t="e">
            <v>#N/A</v>
          </cell>
          <cell r="G115" t="e">
            <v>#N/A</v>
          </cell>
          <cell r="H115" t="e">
            <v>#N/A</v>
          </cell>
          <cell r="I115" t="e">
            <v>#N/A</v>
          </cell>
          <cell r="J115" t="e">
            <v>#N/A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  <cell r="O115" t="e">
            <v>#N/A</v>
          </cell>
          <cell r="P115">
            <v>55.87</v>
          </cell>
          <cell r="Q115">
            <v>2.7577000000000003</v>
          </cell>
          <cell r="R115" t="e">
            <v>#N/A</v>
          </cell>
        </row>
        <row r="116">
          <cell r="A116">
            <v>39318</v>
          </cell>
          <cell r="B116">
            <v>39318</v>
          </cell>
          <cell r="C116" t="str">
            <v>Past</v>
          </cell>
          <cell r="D116">
            <v>56.61</v>
          </cell>
          <cell r="E116" t="e">
            <v>#N/A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>
            <v>56.61</v>
          </cell>
          <cell r="Q116">
            <v>5.5994999999999999</v>
          </cell>
          <cell r="R116" t="e">
            <v>#N/A</v>
          </cell>
        </row>
        <row r="117">
          <cell r="A117">
            <v>39321</v>
          </cell>
          <cell r="B117">
            <v>39321</v>
          </cell>
          <cell r="C117" t="str">
            <v>Past</v>
          </cell>
          <cell r="D117">
            <v>56.39</v>
          </cell>
          <cell r="E117" t="e">
            <v>#N/A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>
            <v>56.39</v>
          </cell>
          <cell r="Q117">
            <v>3.1044</v>
          </cell>
          <cell r="R117" t="e">
            <v>#N/A</v>
          </cell>
        </row>
        <row r="118">
          <cell r="A118">
            <v>39322</v>
          </cell>
          <cell r="B118">
            <v>39322</v>
          </cell>
          <cell r="C118" t="str">
            <v>Past</v>
          </cell>
          <cell r="D118">
            <v>56.1</v>
          </cell>
          <cell r="E118" t="e">
            <v>#N/A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>
            <v>56.1</v>
          </cell>
          <cell r="Q118">
            <v>5.4973999999999998</v>
          </cell>
          <cell r="R118" t="e">
            <v>#N/A</v>
          </cell>
        </row>
        <row r="119">
          <cell r="A119">
            <v>39323</v>
          </cell>
          <cell r="B119">
            <v>39323</v>
          </cell>
          <cell r="C119" t="str">
            <v>Past</v>
          </cell>
          <cell r="D119">
            <v>56.32</v>
          </cell>
          <cell r="E119" t="e">
            <v>#N/A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>
            <v>56.32</v>
          </cell>
          <cell r="Q119">
            <v>5.9315000000000007</v>
          </cell>
          <cell r="R119" t="e">
            <v>#N/A</v>
          </cell>
        </row>
        <row r="120">
          <cell r="A120">
            <v>39324</v>
          </cell>
          <cell r="B120">
            <v>39324</v>
          </cell>
          <cell r="C120" t="str">
            <v>Past</v>
          </cell>
          <cell r="D120">
            <v>56.67</v>
          </cell>
          <cell r="E120" t="e">
            <v>#N/A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>
            <v>56.67</v>
          </cell>
          <cell r="Q120">
            <v>4.6493000000000002</v>
          </cell>
          <cell r="R120" t="e">
            <v>#N/A</v>
          </cell>
        </row>
        <row r="121">
          <cell r="A121">
            <v>39325</v>
          </cell>
          <cell r="B121">
            <v>39325</v>
          </cell>
          <cell r="C121" t="str">
            <v>Past</v>
          </cell>
          <cell r="D121">
            <v>57.35</v>
          </cell>
          <cell r="E121" t="e">
            <v>#N/A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>
            <v>57.35</v>
          </cell>
          <cell r="Q121">
            <v>5.6558999999999999</v>
          </cell>
          <cell r="R121" t="e">
            <v>#N/A</v>
          </cell>
        </row>
        <row r="122">
          <cell r="A122">
            <v>39329</v>
          </cell>
          <cell r="B122">
            <v>39329</v>
          </cell>
          <cell r="C122" t="str">
            <v>Past</v>
          </cell>
          <cell r="D122">
            <v>58.13</v>
          </cell>
          <cell r="E122" t="e">
            <v>#N/A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>
            <v>58.13</v>
          </cell>
          <cell r="Q122">
            <v>5.6059000000000001</v>
          </cell>
          <cell r="R122" t="e">
            <v>#N/A</v>
          </cell>
        </row>
        <row r="123">
          <cell r="A123">
            <v>39330</v>
          </cell>
          <cell r="B123">
            <v>39330</v>
          </cell>
          <cell r="C123" t="str">
            <v>Past</v>
          </cell>
          <cell r="D123">
            <v>57.29</v>
          </cell>
          <cell r="E123" t="e">
            <v>#N/A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>
            <v>57.29</v>
          </cell>
          <cell r="Q123">
            <v>4.7473000000000001</v>
          </cell>
          <cell r="R123" t="e">
            <v>#N/A</v>
          </cell>
        </row>
        <row r="124">
          <cell r="A124">
            <v>39331</v>
          </cell>
          <cell r="B124">
            <v>39331</v>
          </cell>
          <cell r="C124" t="str">
            <v>Past</v>
          </cell>
          <cell r="D124">
            <v>57.45</v>
          </cell>
          <cell r="E124" t="e">
            <v>#N/A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>
            <v>57.45</v>
          </cell>
          <cell r="Q124">
            <v>4.0737000000000005</v>
          </cell>
          <cell r="R124" t="e">
            <v>#N/A</v>
          </cell>
        </row>
        <row r="125">
          <cell r="A125">
            <v>39332</v>
          </cell>
          <cell r="B125">
            <v>39332</v>
          </cell>
          <cell r="C125" t="str">
            <v>Past</v>
          </cell>
          <cell r="D125">
            <v>56.17</v>
          </cell>
          <cell r="E125" t="e">
            <v>#N/A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>
            <v>56.17</v>
          </cell>
          <cell r="Q125">
            <v>5.9727000000000006</v>
          </cell>
          <cell r="R125" t="e">
            <v>#N/A</v>
          </cell>
        </row>
        <row r="126">
          <cell r="A126">
            <v>39335</v>
          </cell>
          <cell r="B126">
            <v>39335</v>
          </cell>
          <cell r="C126" t="str">
            <v>Past</v>
          </cell>
          <cell r="D126">
            <v>56.14</v>
          </cell>
          <cell r="E126" t="e">
            <v>#N/A</v>
          </cell>
          <cell r="F126" t="e">
            <v>#N/A</v>
          </cell>
          <cell r="G126" t="e">
            <v>#N/A</v>
          </cell>
          <cell r="H126" t="e">
            <v>#N/A</v>
          </cell>
          <cell r="I126" t="e">
            <v>#N/A</v>
          </cell>
          <cell r="J126" t="e">
            <v>#N/A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  <cell r="O126" t="e">
            <v>#N/A</v>
          </cell>
          <cell r="P126">
            <v>56.14</v>
          </cell>
          <cell r="Q126">
            <v>4.4197000000000006</v>
          </cell>
          <cell r="R126" t="e">
            <v>#N/A</v>
          </cell>
        </row>
        <row r="127">
          <cell r="A127">
            <v>39336</v>
          </cell>
          <cell r="B127">
            <v>39336</v>
          </cell>
          <cell r="C127" t="str">
            <v>Past</v>
          </cell>
          <cell r="D127">
            <v>56.6</v>
          </cell>
          <cell r="E127" t="e">
            <v>#N/A</v>
          </cell>
          <cell r="F127" t="e">
            <v>#N/A</v>
          </cell>
          <cell r="G127" t="e">
            <v>#N/A</v>
          </cell>
          <cell r="H127" t="e">
            <v>#N/A</v>
          </cell>
          <cell r="I127" t="e">
            <v>#N/A</v>
          </cell>
          <cell r="J127" t="e">
            <v>#N/A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  <cell r="O127" t="e">
            <v>#N/A</v>
          </cell>
          <cell r="P127">
            <v>56.6</v>
          </cell>
          <cell r="Q127">
            <v>4.0674000000000001</v>
          </cell>
          <cell r="R127" t="e">
            <v>#N/A</v>
          </cell>
        </row>
        <row r="128">
          <cell r="A128">
            <v>39337</v>
          </cell>
          <cell r="B128">
            <v>39337</v>
          </cell>
          <cell r="C128" t="str">
            <v>Past</v>
          </cell>
          <cell r="D128">
            <v>57.05</v>
          </cell>
          <cell r="E128" t="e">
            <v>#N/A</v>
          </cell>
          <cell r="F128" t="e">
            <v>#N/A</v>
          </cell>
          <cell r="G128" t="e">
            <v>#N/A</v>
          </cell>
          <cell r="H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  <cell r="O128" t="e">
            <v>#N/A</v>
          </cell>
          <cell r="P128">
            <v>57.05</v>
          </cell>
          <cell r="Q128">
            <v>4.3474000000000004</v>
          </cell>
          <cell r="R128" t="e">
            <v>#N/A</v>
          </cell>
        </row>
        <row r="129">
          <cell r="A129">
            <v>39338</v>
          </cell>
          <cell r="B129">
            <v>39338</v>
          </cell>
          <cell r="C129" t="str">
            <v>Past</v>
          </cell>
          <cell r="D129">
            <v>57.18</v>
          </cell>
          <cell r="E129" t="e">
            <v>#N/A</v>
          </cell>
          <cell r="F129" t="e">
            <v>#N/A</v>
          </cell>
          <cell r="G129" t="e">
            <v>#N/A</v>
          </cell>
          <cell r="H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  <cell r="O129" t="e">
            <v>#N/A</v>
          </cell>
          <cell r="P129">
            <v>57.18</v>
          </cell>
          <cell r="Q129">
            <v>4.7561</v>
          </cell>
          <cell r="R129" t="e">
            <v>#N/A</v>
          </cell>
        </row>
        <row r="130">
          <cell r="A130">
            <v>39339</v>
          </cell>
          <cell r="B130">
            <v>39339</v>
          </cell>
          <cell r="C130" t="str">
            <v>Past</v>
          </cell>
          <cell r="D130">
            <v>56.82</v>
          </cell>
          <cell r="E130" t="e">
            <v>#N/A</v>
          </cell>
          <cell r="F130" t="e">
            <v>#N/A</v>
          </cell>
          <cell r="G130" t="e">
            <v>#N/A</v>
          </cell>
          <cell r="H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  <cell r="O130" t="e">
            <v>#N/A</v>
          </cell>
          <cell r="P130">
            <v>56.82</v>
          </cell>
          <cell r="Q130">
            <v>4.9930000000000003</v>
          </cell>
          <cell r="R130" t="e">
            <v>#N/A</v>
          </cell>
        </row>
        <row r="131">
          <cell r="A131">
            <v>39342</v>
          </cell>
          <cell r="B131">
            <v>39342</v>
          </cell>
          <cell r="C131" t="str">
            <v>Past</v>
          </cell>
          <cell r="D131">
            <v>55.95</v>
          </cell>
          <cell r="E131" t="e">
            <v>#N/A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>
            <v>55.95</v>
          </cell>
          <cell r="Q131">
            <v>4.3845000000000001</v>
          </cell>
          <cell r="R131" t="e">
            <v>#N/A</v>
          </cell>
        </row>
        <row r="132">
          <cell r="A132">
            <v>39343</v>
          </cell>
          <cell r="B132">
            <v>39343</v>
          </cell>
          <cell r="C132" t="str">
            <v>Past</v>
          </cell>
          <cell r="D132">
            <v>57.14</v>
          </cell>
          <cell r="E132" t="e">
            <v>#N/A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>
            <v>57.14</v>
          </cell>
          <cell r="Q132">
            <v>4.0749000000000004</v>
          </cell>
          <cell r="R132" t="e">
            <v>#N/A</v>
          </cell>
        </row>
        <row r="133">
          <cell r="A133">
            <v>39344</v>
          </cell>
          <cell r="B133">
            <v>39344</v>
          </cell>
          <cell r="C133" t="str">
            <v>Past</v>
          </cell>
          <cell r="D133">
            <v>57.53</v>
          </cell>
          <cell r="E133" t="e">
            <v>#N/A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>
            <v>57.53</v>
          </cell>
          <cell r="Q133">
            <v>5.4957000000000003</v>
          </cell>
          <cell r="R133" t="e">
            <v>#N/A</v>
          </cell>
        </row>
        <row r="134">
          <cell r="A134">
            <v>39345</v>
          </cell>
          <cell r="B134">
            <v>39345</v>
          </cell>
          <cell r="C134" t="str">
            <v>Past</v>
          </cell>
          <cell r="D134">
            <v>57.08</v>
          </cell>
          <cell r="E134" t="e">
            <v>#N/A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>
            <v>57.08</v>
          </cell>
          <cell r="Q134">
            <v>3.6789000000000001</v>
          </cell>
          <cell r="R134" t="e">
            <v>#N/A</v>
          </cell>
        </row>
        <row r="135">
          <cell r="A135">
            <v>39346</v>
          </cell>
          <cell r="B135">
            <v>39346</v>
          </cell>
          <cell r="C135" t="str">
            <v>Past</v>
          </cell>
          <cell r="D135">
            <v>57.62</v>
          </cell>
          <cell r="E135" t="e">
            <v>#N/A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>
            <v>57.62</v>
          </cell>
          <cell r="Q135">
            <v>4.8921000000000001</v>
          </cell>
          <cell r="R135" t="e">
            <v>#N/A</v>
          </cell>
        </row>
        <row r="136">
          <cell r="A136">
            <v>39349</v>
          </cell>
          <cell r="B136">
            <v>39349</v>
          </cell>
          <cell r="C136" t="str">
            <v>Past</v>
          </cell>
          <cell r="D136">
            <v>57.53</v>
          </cell>
          <cell r="E136" t="e">
            <v>#N/A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>
            <v>57.53</v>
          </cell>
          <cell r="Q136">
            <v>3.286476</v>
          </cell>
          <cell r="R136" t="e">
            <v>#N/A</v>
          </cell>
        </row>
        <row r="137">
          <cell r="A137">
            <v>39350</v>
          </cell>
          <cell r="B137">
            <v>39350</v>
          </cell>
          <cell r="C137" t="str">
            <v>Past</v>
          </cell>
          <cell r="D137">
            <v>57.21</v>
          </cell>
          <cell r="E137" t="e">
            <v>#N/A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>
            <v>57.21</v>
          </cell>
          <cell r="Q137">
            <v>4.5377999999999998</v>
          </cell>
          <cell r="R137" t="e">
            <v>#N/A</v>
          </cell>
        </row>
        <row r="138">
          <cell r="A138">
            <v>39351</v>
          </cell>
          <cell r="B138">
            <v>39351</v>
          </cell>
          <cell r="C138" t="str">
            <v>Past</v>
          </cell>
          <cell r="D138">
            <v>57.4</v>
          </cell>
          <cell r="E138" t="e">
            <v>#N/A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>
            <v>57.4</v>
          </cell>
          <cell r="Q138">
            <v>5.3738659999999996</v>
          </cell>
          <cell r="R138" t="e">
            <v>#N/A</v>
          </cell>
        </row>
        <row r="139">
          <cell r="A139">
            <v>39352</v>
          </cell>
          <cell r="B139">
            <v>39352</v>
          </cell>
          <cell r="C139" t="str">
            <v>Past</v>
          </cell>
          <cell r="D139">
            <v>57.37</v>
          </cell>
          <cell r="E139" t="e">
            <v>#N/A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>
            <v>57.37</v>
          </cell>
          <cell r="Q139">
            <v>4.0761000000000003</v>
          </cell>
          <cell r="R139" t="e">
            <v>#N/A</v>
          </cell>
        </row>
        <row r="140">
          <cell r="A140">
            <v>39353</v>
          </cell>
          <cell r="B140">
            <v>39353</v>
          </cell>
          <cell r="C140" t="str">
            <v>Past</v>
          </cell>
          <cell r="D140">
            <v>56.93</v>
          </cell>
          <cell r="E140" t="e">
            <v>#N/A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>
            <v>56.93</v>
          </cell>
          <cell r="Q140">
            <v>4.3292000000000002</v>
          </cell>
          <cell r="R140" t="e">
            <v>#N/A</v>
          </cell>
        </row>
        <row r="141">
          <cell r="A141">
            <v>39356</v>
          </cell>
          <cell r="B141">
            <v>39356</v>
          </cell>
          <cell r="C141" t="str">
            <v>Past</v>
          </cell>
          <cell r="D141">
            <v>58.29</v>
          </cell>
          <cell r="E141" t="e">
            <v>#N/A</v>
          </cell>
          <cell r="F141" t="e">
            <v>#N/A</v>
          </cell>
          <cell r="G141" t="e">
            <v>#N/A</v>
          </cell>
          <cell r="H141" t="e">
            <v>#N/A</v>
          </cell>
          <cell r="I141" t="e">
            <v>#N/A</v>
          </cell>
          <cell r="J141" t="e">
            <v>#N/A</v>
          </cell>
          <cell r="K141" t="e">
            <v>#N/A</v>
          </cell>
          <cell r="L141" t="e">
            <v>#N/A</v>
          </cell>
          <cell r="M141" t="e">
            <v>#N/A</v>
          </cell>
          <cell r="N141" t="e">
            <v>#N/A</v>
          </cell>
          <cell r="O141" t="e">
            <v>#N/A</v>
          </cell>
          <cell r="P141">
            <v>58.29</v>
          </cell>
          <cell r="Q141">
            <v>5.6298800000000009</v>
          </cell>
          <cell r="R141" t="e">
            <v>#N/A</v>
          </cell>
        </row>
        <row r="142">
          <cell r="A142">
            <v>39357</v>
          </cell>
          <cell r="B142">
            <v>39357</v>
          </cell>
          <cell r="C142" t="str">
            <v>Past</v>
          </cell>
          <cell r="D142">
            <v>58.42</v>
          </cell>
          <cell r="E142" t="e">
            <v>#N/A</v>
          </cell>
          <cell r="F142" t="e">
            <v>#N/A</v>
          </cell>
          <cell r="G142" t="e">
            <v>#N/A</v>
          </cell>
          <cell r="H142" t="e">
            <v>#N/A</v>
          </cell>
          <cell r="I142" t="e">
            <v>#N/A</v>
          </cell>
          <cell r="J142" t="e">
            <v>#N/A</v>
          </cell>
          <cell r="K142" t="e">
            <v>#N/A</v>
          </cell>
          <cell r="L142" t="e">
            <v>#N/A</v>
          </cell>
          <cell r="M142" t="e">
            <v>#N/A</v>
          </cell>
          <cell r="N142" t="e">
            <v>#N/A</v>
          </cell>
          <cell r="O142" t="e">
            <v>#N/A</v>
          </cell>
          <cell r="P142">
            <v>58.42</v>
          </cell>
          <cell r="Q142">
            <v>2.8894000000000002</v>
          </cell>
          <cell r="R142" t="e">
            <v>#N/A</v>
          </cell>
        </row>
        <row r="143">
          <cell r="A143">
            <v>39358</v>
          </cell>
          <cell r="B143">
            <v>39358</v>
          </cell>
          <cell r="C143" t="str">
            <v>Past</v>
          </cell>
          <cell r="D143">
            <v>58.88</v>
          </cell>
          <cell r="E143" t="e">
            <v>#N/A</v>
          </cell>
          <cell r="F143" t="e">
            <v>#N/A</v>
          </cell>
          <cell r="G143" t="e">
            <v>#N/A</v>
          </cell>
          <cell r="H143" t="e">
            <v>#N/A</v>
          </cell>
          <cell r="I143" t="e">
            <v>#N/A</v>
          </cell>
          <cell r="J143" t="e">
            <v>#N/A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  <cell r="O143" t="e">
            <v>#N/A</v>
          </cell>
          <cell r="P143">
            <v>58.88</v>
          </cell>
          <cell r="Q143">
            <v>4.1013000000000002</v>
          </cell>
          <cell r="R143" t="e">
            <v>#N/A</v>
          </cell>
        </row>
        <row r="144">
          <cell r="A144">
            <v>39359</v>
          </cell>
          <cell r="B144">
            <v>39359</v>
          </cell>
          <cell r="C144" t="str">
            <v>Past</v>
          </cell>
          <cell r="D144">
            <v>58.96</v>
          </cell>
          <cell r="E144" t="e">
            <v>#N/A</v>
          </cell>
          <cell r="F144" t="e">
            <v>#N/A</v>
          </cell>
          <cell r="G144" t="e">
            <v>#N/A</v>
          </cell>
          <cell r="H144" t="e">
            <v>#N/A</v>
          </cell>
          <cell r="I144" t="e">
            <v>#N/A</v>
          </cell>
          <cell r="J144" t="e">
            <v>#N/A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  <cell r="O144" t="e">
            <v>#N/A</v>
          </cell>
          <cell r="P144">
            <v>58.96</v>
          </cell>
          <cell r="Q144">
            <v>4.8692000000000002</v>
          </cell>
          <cell r="R144" t="e">
            <v>#N/A</v>
          </cell>
        </row>
        <row r="145">
          <cell r="A145">
            <v>39360</v>
          </cell>
          <cell r="B145">
            <v>39360</v>
          </cell>
          <cell r="C145" t="str">
            <v>Past</v>
          </cell>
          <cell r="D145">
            <v>59.47</v>
          </cell>
          <cell r="E145" t="e">
            <v>#N/A</v>
          </cell>
          <cell r="F145" t="e">
            <v>#N/A</v>
          </cell>
          <cell r="G145" t="e">
            <v>#N/A</v>
          </cell>
          <cell r="H145" t="e">
            <v>#N/A</v>
          </cell>
          <cell r="I145" t="e">
            <v>#N/A</v>
          </cell>
          <cell r="J145" t="e">
            <v>#N/A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  <cell r="O145" t="e">
            <v>#N/A</v>
          </cell>
          <cell r="P145">
            <v>59.47</v>
          </cell>
          <cell r="Q145">
            <v>3.7002000000000002</v>
          </cell>
          <cell r="R145" t="e">
            <v>#N/A</v>
          </cell>
        </row>
        <row r="146">
          <cell r="A146">
            <v>39363</v>
          </cell>
          <cell r="B146">
            <v>39363</v>
          </cell>
          <cell r="C146" t="str">
            <v>Past</v>
          </cell>
          <cell r="D146">
            <v>59</v>
          </cell>
          <cell r="E146" t="e">
            <v>#N/A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>
            <v>59</v>
          </cell>
          <cell r="Q146">
            <v>2.6903000000000001</v>
          </cell>
          <cell r="R146" t="e">
            <v>#N/A</v>
          </cell>
        </row>
        <row r="147">
          <cell r="A147">
            <v>39364</v>
          </cell>
          <cell r="B147">
            <v>39364</v>
          </cell>
          <cell r="C147" t="str">
            <v>Past</v>
          </cell>
          <cell r="D147">
            <v>58.55</v>
          </cell>
          <cell r="E147" t="e">
            <v>#N/A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>
            <v>58.55</v>
          </cell>
          <cell r="Q147">
            <v>4.1751000000000005</v>
          </cell>
          <cell r="R147" t="e">
            <v>#N/A</v>
          </cell>
        </row>
        <row r="148">
          <cell r="A148">
            <v>39365</v>
          </cell>
          <cell r="B148">
            <v>39365</v>
          </cell>
          <cell r="C148" t="str">
            <v>Past</v>
          </cell>
          <cell r="D148">
            <v>58.4</v>
          </cell>
          <cell r="E148" t="e">
            <v>#N/A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>
            <v>58.4</v>
          </cell>
          <cell r="Q148">
            <v>4.3499999999999996</v>
          </cell>
          <cell r="R148" t="e">
            <v>#N/A</v>
          </cell>
        </row>
        <row r="149">
          <cell r="A149">
            <v>39366</v>
          </cell>
          <cell r="B149">
            <v>39366</v>
          </cell>
          <cell r="C149" t="str">
            <v>Past</v>
          </cell>
          <cell r="D149">
            <v>58.35</v>
          </cell>
          <cell r="E149" t="e">
            <v>#N/A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>
            <v>58.35</v>
          </cell>
          <cell r="Q149">
            <v>5.1157000000000004</v>
          </cell>
          <cell r="R149" t="e">
            <v>#N/A</v>
          </cell>
        </row>
        <row r="150">
          <cell r="A150">
            <v>39367</v>
          </cell>
          <cell r="B150">
            <v>39367</v>
          </cell>
          <cell r="C150" t="str">
            <v>Past</v>
          </cell>
          <cell r="D150">
            <v>58.53</v>
          </cell>
          <cell r="E150" t="e">
            <v>#N/A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>
            <v>58.53</v>
          </cell>
          <cell r="Q150">
            <v>2.8653300000000002</v>
          </cell>
          <cell r="R150" t="e">
            <v>#N/A</v>
          </cell>
        </row>
        <row r="151">
          <cell r="A151">
            <v>39370</v>
          </cell>
          <cell r="B151">
            <v>39370</v>
          </cell>
          <cell r="C151" t="str">
            <v>Past</v>
          </cell>
          <cell r="D151">
            <v>57.94</v>
          </cell>
          <cell r="E151" t="e">
            <v>#N/A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>
            <v>57.94</v>
          </cell>
          <cell r="Q151">
            <v>5.585</v>
          </cell>
          <cell r="R151" t="e">
            <v>#N/A</v>
          </cell>
        </row>
        <row r="152">
          <cell r="A152">
            <v>39371</v>
          </cell>
          <cell r="B152">
            <v>39371</v>
          </cell>
          <cell r="C152" t="str">
            <v>Past</v>
          </cell>
          <cell r="D152">
            <v>57.15</v>
          </cell>
          <cell r="E152" t="e">
            <v>#N/A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>
            <v>57.15</v>
          </cell>
          <cell r="Q152">
            <v>6.5124000000000004</v>
          </cell>
          <cell r="R152" t="e">
            <v>#N/A</v>
          </cell>
        </row>
        <row r="153">
          <cell r="A153">
            <v>39372</v>
          </cell>
          <cell r="B153">
            <v>39372</v>
          </cell>
          <cell r="C153" t="str">
            <v>Past</v>
          </cell>
          <cell r="D153">
            <v>56.95</v>
          </cell>
          <cell r="E153" t="e">
            <v>#N/A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>
            <v>56.95</v>
          </cell>
          <cell r="Q153">
            <v>6.0697000000000001</v>
          </cell>
          <cell r="R153" t="e">
            <v>#N/A</v>
          </cell>
        </row>
        <row r="154">
          <cell r="A154">
            <v>39373</v>
          </cell>
          <cell r="B154">
            <v>39373</v>
          </cell>
          <cell r="C154" t="str">
            <v>Past</v>
          </cell>
          <cell r="D154">
            <v>56.65</v>
          </cell>
          <cell r="E154" t="e">
            <v>#N/A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>
            <v>56.65</v>
          </cell>
          <cell r="Q154">
            <v>8.3421000000000003</v>
          </cell>
          <cell r="R154" t="e">
            <v>#N/A</v>
          </cell>
        </row>
        <row r="155">
          <cell r="A155">
            <v>39374</v>
          </cell>
          <cell r="B155">
            <v>39374</v>
          </cell>
          <cell r="C155" t="str">
            <v>Past</v>
          </cell>
          <cell r="D155">
            <v>56.06</v>
          </cell>
          <cell r="E155" t="e">
            <v>#N/A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>
            <v>56.06</v>
          </cell>
          <cell r="Q155">
            <v>5.6345000000000001</v>
          </cell>
          <cell r="R155" t="e">
            <v>#N/A</v>
          </cell>
        </row>
        <row r="156">
          <cell r="A156">
            <v>39377</v>
          </cell>
          <cell r="B156">
            <v>39377</v>
          </cell>
          <cell r="C156" t="str">
            <v>Past</v>
          </cell>
          <cell r="D156">
            <v>56.08</v>
          </cell>
          <cell r="E156" t="e">
            <v>#N/A</v>
          </cell>
          <cell r="F156" t="e">
            <v>#N/A</v>
          </cell>
          <cell r="G156" t="e">
            <v>#N/A</v>
          </cell>
          <cell r="H156" t="e">
            <v>#N/A</v>
          </cell>
          <cell r="I156" t="e">
            <v>#N/A</v>
          </cell>
          <cell r="J156" t="e">
            <v>#N/A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  <cell r="O156" t="e">
            <v>#N/A</v>
          </cell>
          <cell r="P156">
            <v>56.08</v>
          </cell>
          <cell r="Q156">
            <v>5.1609249999999998</v>
          </cell>
          <cell r="R156" t="e">
            <v>#N/A</v>
          </cell>
        </row>
        <row r="157">
          <cell r="A157">
            <v>39378</v>
          </cell>
          <cell r="B157">
            <v>39378</v>
          </cell>
          <cell r="C157" t="str">
            <v>Past</v>
          </cell>
          <cell r="D157">
            <v>57.13</v>
          </cell>
          <cell r="E157" t="e">
            <v>#N/A</v>
          </cell>
          <cell r="F157" t="e">
            <v>#N/A</v>
          </cell>
          <cell r="G157" t="e">
            <v>#N/A</v>
          </cell>
          <cell r="H157" t="e">
            <v>#N/A</v>
          </cell>
          <cell r="I157" t="e">
            <v>#N/A</v>
          </cell>
          <cell r="J157" t="e">
            <v>#N/A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  <cell r="O157" t="e">
            <v>#N/A</v>
          </cell>
          <cell r="P157">
            <v>57.13</v>
          </cell>
          <cell r="Q157">
            <v>4.4173</v>
          </cell>
          <cell r="R157" t="e">
            <v>#N/A</v>
          </cell>
        </row>
        <row r="158">
          <cell r="A158">
            <v>39379</v>
          </cell>
          <cell r="B158">
            <v>39379</v>
          </cell>
          <cell r="C158" t="str">
            <v>Past</v>
          </cell>
          <cell r="D158">
            <v>56.15</v>
          </cell>
          <cell r="E158" t="e">
            <v>#N/A</v>
          </cell>
          <cell r="F158" t="e">
            <v>#N/A</v>
          </cell>
          <cell r="G158" t="e">
            <v>#N/A</v>
          </cell>
          <cell r="H158" t="e">
            <v>#N/A</v>
          </cell>
          <cell r="I158" t="e">
            <v>#N/A</v>
          </cell>
          <cell r="J158" t="e">
            <v>#N/A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  <cell r="O158" t="e">
            <v>#N/A</v>
          </cell>
          <cell r="P158">
            <v>56.15</v>
          </cell>
          <cell r="Q158">
            <v>5.9507000000000003</v>
          </cell>
          <cell r="R158" t="e">
            <v>#N/A</v>
          </cell>
        </row>
        <row r="159">
          <cell r="A159">
            <v>39380</v>
          </cell>
          <cell r="B159">
            <v>39380</v>
          </cell>
          <cell r="C159" t="str">
            <v>Past</v>
          </cell>
          <cell r="D159">
            <v>52.43</v>
          </cell>
          <cell r="E159" t="e">
            <v>#N/A</v>
          </cell>
          <cell r="F159" t="e">
            <v>#N/A</v>
          </cell>
          <cell r="G159" t="e">
            <v>#N/A</v>
          </cell>
          <cell r="H159" t="e">
            <v>#N/A</v>
          </cell>
          <cell r="I159" t="e">
            <v>#N/A</v>
          </cell>
          <cell r="J159" t="e">
            <v>#N/A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  <cell r="O159" t="e">
            <v>#N/A</v>
          </cell>
          <cell r="P159">
            <v>52.43</v>
          </cell>
          <cell r="Q159">
            <v>22.833000000000002</v>
          </cell>
          <cell r="R159" t="e">
            <v>#N/A</v>
          </cell>
        </row>
        <row r="160">
          <cell r="A160">
            <v>39381</v>
          </cell>
          <cell r="B160">
            <v>39381</v>
          </cell>
          <cell r="C160" t="str">
            <v>Past</v>
          </cell>
          <cell r="D160">
            <v>52.68</v>
          </cell>
          <cell r="E160" t="e">
            <v>#N/A</v>
          </cell>
          <cell r="F160" t="e">
            <v>#N/A</v>
          </cell>
          <cell r="G160" t="e">
            <v>#N/A</v>
          </cell>
          <cell r="H160" t="e">
            <v>#N/A</v>
          </cell>
          <cell r="I160" t="e">
            <v>#N/A</v>
          </cell>
          <cell r="J160" t="e">
            <v>#N/A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  <cell r="O160" t="e">
            <v>#N/A</v>
          </cell>
          <cell r="P160">
            <v>52.68</v>
          </cell>
          <cell r="Q160">
            <v>9.4371000000000009</v>
          </cell>
          <cell r="R160" t="e">
            <v>#N/A</v>
          </cell>
        </row>
        <row r="161">
          <cell r="A161">
            <v>39384</v>
          </cell>
          <cell r="B161">
            <v>39384</v>
          </cell>
          <cell r="C161" t="str">
            <v>Past</v>
          </cell>
          <cell r="D161">
            <v>53.52</v>
          </cell>
          <cell r="E161" t="e">
            <v>#N/A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>
            <v>53.52</v>
          </cell>
          <cell r="Q161">
            <v>9.7986000000000004</v>
          </cell>
          <cell r="R161" t="e">
            <v>#N/A</v>
          </cell>
        </row>
        <row r="162">
          <cell r="A162">
            <v>39385</v>
          </cell>
          <cell r="B162">
            <v>39385</v>
          </cell>
          <cell r="C162" t="str">
            <v>Past</v>
          </cell>
          <cell r="D162">
            <v>53.69</v>
          </cell>
          <cell r="E162" t="e">
            <v>#N/A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>
            <v>53.69</v>
          </cell>
          <cell r="Q162">
            <v>5.8564000000000007</v>
          </cell>
          <cell r="R162" t="e">
            <v>#N/A</v>
          </cell>
        </row>
        <row r="163">
          <cell r="A163">
            <v>39386</v>
          </cell>
          <cell r="B163">
            <v>39386</v>
          </cell>
          <cell r="C163" t="str">
            <v>Past</v>
          </cell>
          <cell r="D163">
            <v>54.15</v>
          </cell>
          <cell r="E163" t="e">
            <v>#N/A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>
            <v>54.15</v>
          </cell>
          <cell r="Q163">
            <v>9.7141999999999999</v>
          </cell>
          <cell r="R163" t="e">
            <v>#N/A</v>
          </cell>
        </row>
        <row r="164">
          <cell r="A164">
            <v>39387</v>
          </cell>
          <cell r="B164">
            <v>39387</v>
          </cell>
          <cell r="C164" t="str">
            <v>Past</v>
          </cell>
          <cell r="D164">
            <v>52.77</v>
          </cell>
          <cell r="E164" t="e">
            <v>#N/A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>
            <v>52.77</v>
          </cell>
          <cell r="Q164">
            <v>8.0312999999999999</v>
          </cell>
          <cell r="R164" t="e">
            <v>#N/A</v>
          </cell>
        </row>
        <row r="165">
          <cell r="A165">
            <v>39388</v>
          </cell>
          <cell r="B165">
            <v>39388</v>
          </cell>
          <cell r="C165" t="str">
            <v>Past</v>
          </cell>
          <cell r="D165">
            <v>52.67</v>
          </cell>
          <cell r="E165" t="e">
            <v>#N/A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>
            <v>52.67</v>
          </cell>
          <cell r="Q165">
            <v>11.8513</v>
          </cell>
          <cell r="R165" t="e">
            <v>#N/A</v>
          </cell>
        </row>
        <row r="166">
          <cell r="A166">
            <v>39391</v>
          </cell>
          <cell r="B166">
            <v>39391</v>
          </cell>
          <cell r="C166" t="str">
            <v>Past</v>
          </cell>
          <cell r="D166">
            <v>52.16</v>
          </cell>
          <cell r="E166" t="e">
            <v>#N/A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>
            <v>52.16</v>
          </cell>
          <cell r="Q166">
            <v>12.31057</v>
          </cell>
          <cell r="R166" t="e">
            <v>#N/A</v>
          </cell>
        </row>
        <row r="167">
          <cell r="A167">
            <v>39392</v>
          </cell>
          <cell r="B167">
            <v>39392</v>
          </cell>
          <cell r="C167" t="str">
            <v>Past</v>
          </cell>
          <cell r="D167">
            <v>52.48</v>
          </cell>
          <cell r="E167" t="e">
            <v>#N/A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>
            <v>52.48</v>
          </cell>
          <cell r="Q167">
            <v>7.184342</v>
          </cell>
          <cell r="R167" t="e">
            <v>#N/A</v>
          </cell>
        </row>
        <row r="168">
          <cell r="A168">
            <v>39393</v>
          </cell>
          <cell r="B168">
            <v>39393</v>
          </cell>
          <cell r="C168" t="str">
            <v>Past</v>
          </cell>
          <cell r="D168">
            <v>51.53</v>
          </cell>
          <cell r="E168" t="e">
            <v>#N/A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>
            <v>51.53</v>
          </cell>
          <cell r="Q168">
            <v>5.9616600000000002</v>
          </cell>
          <cell r="R168" t="e">
            <v>#N/A</v>
          </cell>
        </row>
        <row r="169">
          <cell r="A169">
            <v>39394</v>
          </cell>
          <cell r="B169">
            <v>39394</v>
          </cell>
          <cell r="C169" t="str">
            <v>Past</v>
          </cell>
          <cell r="D169">
            <v>51.62</v>
          </cell>
          <cell r="E169" t="e">
            <v>#N/A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>
            <v>51.62</v>
          </cell>
          <cell r="Q169">
            <v>8.3388410000000004</v>
          </cell>
          <cell r="R169" t="e">
            <v>#N/A</v>
          </cell>
        </row>
        <row r="170">
          <cell r="A170">
            <v>39395</v>
          </cell>
          <cell r="B170">
            <v>39395</v>
          </cell>
          <cell r="C170" t="str">
            <v>Past</v>
          </cell>
          <cell r="D170">
            <v>51.51</v>
          </cell>
          <cell r="E170" t="e">
            <v>#N/A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>
            <v>51.51</v>
          </cell>
          <cell r="Q170">
            <v>6.8331679999999997</v>
          </cell>
          <cell r="R170" t="e">
            <v>#N/A</v>
          </cell>
        </row>
        <row r="171">
          <cell r="A171">
            <v>39398</v>
          </cell>
          <cell r="B171">
            <v>39398</v>
          </cell>
          <cell r="C171" t="str">
            <v>Past</v>
          </cell>
          <cell r="D171">
            <v>52.5</v>
          </cell>
          <cell r="E171" t="e">
            <v>#N/A</v>
          </cell>
          <cell r="F171" t="e">
            <v>#N/A</v>
          </cell>
          <cell r="G171" t="e">
            <v>#N/A</v>
          </cell>
          <cell r="H171" t="e">
            <v>#N/A</v>
          </cell>
          <cell r="I171" t="e">
            <v>#N/A</v>
          </cell>
          <cell r="J171" t="e">
            <v>#N/A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  <cell r="O171" t="e">
            <v>#N/A</v>
          </cell>
          <cell r="P171">
            <v>52.5</v>
          </cell>
          <cell r="Q171">
            <v>6.6622859999999999</v>
          </cell>
          <cell r="R171" t="e">
            <v>#N/A</v>
          </cell>
        </row>
        <row r="172">
          <cell r="A172">
            <v>39399</v>
          </cell>
          <cell r="B172">
            <v>39399</v>
          </cell>
          <cell r="C172" t="str">
            <v>Past</v>
          </cell>
          <cell r="D172">
            <v>52.64</v>
          </cell>
          <cell r="E172" t="e">
            <v>#N/A</v>
          </cell>
          <cell r="F172" t="e">
            <v>#N/A</v>
          </cell>
          <cell r="G172" t="e">
            <v>#N/A</v>
          </cell>
          <cell r="H172" t="e">
            <v>#N/A</v>
          </cell>
          <cell r="I172" t="e">
            <v>#N/A</v>
          </cell>
          <cell r="J172" t="e">
            <v>#N/A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  <cell r="O172" t="e">
            <v>#N/A</v>
          </cell>
          <cell r="P172">
            <v>52.64</v>
          </cell>
          <cell r="Q172">
            <v>8.5277119999999993</v>
          </cell>
          <cell r="R172" t="e">
            <v>#N/A</v>
          </cell>
        </row>
        <row r="173">
          <cell r="A173">
            <v>39400</v>
          </cell>
          <cell r="B173">
            <v>39400</v>
          </cell>
          <cell r="C173" t="str">
            <v>Past</v>
          </cell>
          <cell r="D173">
            <v>53.03</v>
          </cell>
          <cell r="E173" t="e">
            <v>#N/A</v>
          </cell>
          <cell r="F173" t="e">
            <v>#N/A</v>
          </cell>
          <cell r="G173" t="e">
            <v>#N/A</v>
          </cell>
          <cell r="H173" t="e">
            <v>#N/A</v>
          </cell>
          <cell r="I173" t="e">
            <v>#N/A</v>
          </cell>
          <cell r="J173" t="e">
            <v>#N/A</v>
          </cell>
          <cell r="K173" t="e">
            <v>#N/A</v>
          </cell>
          <cell r="L173" t="e">
            <v>#N/A</v>
          </cell>
          <cell r="M173" t="e">
            <v>#N/A</v>
          </cell>
          <cell r="N173" t="e">
            <v>#N/A</v>
          </cell>
          <cell r="O173" t="e">
            <v>#N/A</v>
          </cell>
          <cell r="P173">
            <v>53.03</v>
          </cell>
          <cell r="Q173">
            <v>6.5612000000000004</v>
          </cell>
          <cell r="R173" t="e">
            <v>#N/A</v>
          </cell>
        </row>
        <row r="174">
          <cell r="A174">
            <v>39401</v>
          </cell>
          <cell r="B174">
            <v>39401</v>
          </cell>
          <cell r="C174" t="str">
            <v>Past</v>
          </cell>
          <cell r="D174">
            <v>52.06</v>
          </cell>
          <cell r="E174" t="e">
            <v>#N/A</v>
          </cell>
          <cell r="F174" t="e">
            <v>#N/A</v>
          </cell>
          <cell r="G174" t="e">
            <v>#N/A</v>
          </cell>
          <cell r="H174" t="e">
            <v>#N/A</v>
          </cell>
          <cell r="I174" t="e">
            <v>#N/A</v>
          </cell>
          <cell r="J174" t="e">
            <v>#N/A</v>
          </cell>
          <cell r="K174" t="e">
            <v>#N/A</v>
          </cell>
          <cell r="L174" t="e">
            <v>#N/A</v>
          </cell>
          <cell r="M174" t="e">
            <v>#N/A</v>
          </cell>
          <cell r="N174" t="e">
            <v>#N/A</v>
          </cell>
          <cell r="O174" t="e">
            <v>#N/A</v>
          </cell>
          <cell r="P174">
            <v>52.06</v>
          </cell>
          <cell r="Q174">
            <v>5.8742300000000007</v>
          </cell>
          <cell r="R174" t="e">
            <v>#N/A</v>
          </cell>
        </row>
        <row r="175">
          <cell r="A175">
            <v>39402</v>
          </cell>
          <cell r="B175">
            <v>39402</v>
          </cell>
          <cell r="C175" t="str">
            <v>Past</v>
          </cell>
          <cell r="D175">
            <v>51.81</v>
          </cell>
          <cell r="E175" t="e">
            <v>#N/A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>
            <v>51.81</v>
          </cell>
          <cell r="Q175">
            <v>6.7527569999999999</v>
          </cell>
          <cell r="R175" t="e">
            <v>#N/A</v>
          </cell>
        </row>
        <row r="176">
          <cell r="A176">
            <v>39405</v>
          </cell>
          <cell r="B176">
            <v>39405</v>
          </cell>
          <cell r="C176" t="str">
            <v>Past</v>
          </cell>
          <cell r="D176">
            <v>50.77</v>
          </cell>
          <cell r="E176" t="e">
            <v>#N/A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>
            <v>50.77</v>
          </cell>
          <cell r="Q176">
            <v>8.6474580000000003</v>
          </cell>
          <cell r="R176" t="e">
            <v>#N/A</v>
          </cell>
        </row>
        <row r="177">
          <cell r="A177">
            <v>39406</v>
          </cell>
          <cell r="B177">
            <v>39406</v>
          </cell>
          <cell r="C177" t="str">
            <v>Past</v>
          </cell>
          <cell r="D177">
            <v>50.35</v>
          </cell>
          <cell r="E177" t="e">
            <v>#N/A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>
            <v>50.35</v>
          </cell>
          <cell r="Q177">
            <v>6.0834000000000001</v>
          </cell>
          <cell r="R177" t="e">
            <v>#N/A</v>
          </cell>
        </row>
        <row r="178">
          <cell r="A178">
            <v>39407</v>
          </cell>
          <cell r="B178">
            <v>39407</v>
          </cell>
          <cell r="C178" t="str">
            <v>Past</v>
          </cell>
          <cell r="D178">
            <v>49.09</v>
          </cell>
          <cell r="E178" t="e">
            <v>#N/A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>
            <v>49.09</v>
          </cell>
          <cell r="Q178">
            <v>5.9949200000000005</v>
          </cell>
          <cell r="R178" t="e">
            <v>#N/A</v>
          </cell>
        </row>
        <row r="179">
          <cell r="A179">
            <v>39409</v>
          </cell>
          <cell r="B179">
            <v>39409</v>
          </cell>
          <cell r="C179" t="str">
            <v>Past</v>
          </cell>
          <cell r="D179">
            <v>50.79</v>
          </cell>
          <cell r="E179" t="e">
            <v>#N/A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>
            <v>50.79</v>
          </cell>
          <cell r="Q179">
            <v>2.8371400000000002</v>
          </cell>
          <cell r="R179" t="e">
            <v>#N/A</v>
          </cell>
        </row>
        <row r="180">
          <cell r="A180">
            <v>39412</v>
          </cell>
          <cell r="B180">
            <v>39412</v>
          </cell>
          <cell r="C180" t="str">
            <v>Past</v>
          </cell>
          <cell r="D180">
            <v>49.67</v>
          </cell>
          <cell r="E180" t="e">
            <v>#N/A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>
            <v>49.67</v>
          </cell>
          <cell r="Q180">
            <v>4.9809609999999997</v>
          </cell>
          <cell r="R180" t="e">
            <v>#N/A</v>
          </cell>
        </row>
        <row r="181">
          <cell r="A181">
            <v>39413</v>
          </cell>
          <cell r="B181">
            <v>39413</v>
          </cell>
          <cell r="C181" t="str">
            <v>Past</v>
          </cell>
          <cell r="D181">
            <v>50.91</v>
          </cell>
          <cell r="E181" t="e">
            <v>#N/A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>
            <v>50.91</v>
          </cell>
          <cell r="Q181">
            <v>6.4337459999999993</v>
          </cell>
          <cell r="R181" t="e">
            <v>#N/A</v>
          </cell>
        </row>
        <row r="182">
          <cell r="A182">
            <v>39414</v>
          </cell>
          <cell r="B182">
            <v>39414</v>
          </cell>
          <cell r="C182" t="str">
            <v>Past</v>
          </cell>
          <cell r="D182">
            <v>52.26</v>
          </cell>
          <cell r="E182" t="e">
            <v>#N/A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>
            <v>52.26</v>
          </cell>
          <cell r="Q182">
            <v>6.0850039999999996</v>
          </cell>
          <cell r="R182" t="e">
            <v>#N/A</v>
          </cell>
        </row>
        <row r="183">
          <cell r="A183">
            <v>39415</v>
          </cell>
          <cell r="B183">
            <v>39415</v>
          </cell>
          <cell r="C183" t="str">
            <v>Past</v>
          </cell>
          <cell r="D183">
            <v>52.79</v>
          </cell>
          <cell r="E183" t="e">
            <v>#N/A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>
            <v>52.79</v>
          </cell>
          <cell r="Q183">
            <v>6.5835209999999993</v>
          </cell>
          <cell r="R183" t="e">
            <v>#N/A</v>
          </cell>
        </row>
        <row r="184">
          <cell r="A184">
            <v>39416</v>
          </cell>
          <cell r="B184">
            <v>39416</v>
          </cell>
          <cell r="C184" t="str">
            <v>Past</v>
          </cell>
          <cell r="D184">
            <v>52.95</v>
          </cell>
          <cell r="E184" t="e">
            <v>#N/A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>
            <v>52.95</v>
          </cell>
          <cell r="Q184">
            <v>5.9264969999999995</v>
          </cell>
          <cell r="R184" t="e">
            <v>#N/A</v>
          </cell>
        </row>
        <row r="185">
          <cell r="A185">
            <v>39419</v>
          </cell>
          <cell r="B185">
            <v>39419</v>
          </cell>
          <cell r="C185" t="str">
            <v>Past</v>
          </cell>
          <cell r="D185">
            <v>52.53</v>
          </cell>
          <cell r="E185" t="e">
            <v>#N/A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>
            <v>52.53</v>
          </cell>
          <cell r="Q185">
            <v>4.885675</v>
          </cell>
          <cell r="R185" t="e">
            <v>#N/A</v>
          </cell>
        </row>
        <row r="186">
          <cell r="A186">
            <v>39420</v>
          </cell>
          <cell r="B186">
            <v>39420</v>
          </cell>
          <cell r="C186" t="str">
            <v>Past</v>
          </cell>
          <cell r="D186">
            <v>52.11</v>
          </cell>
          <cell r="E186" t="e">
            <v>#N/A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>
            <v>52.11</v>
          </cell>
          <cell r="Q186">
            <v>5.4505400000000002</v>
          </cell>
          <cell r="R186" t="e">
            <v>#N/A</v>
          </cell>
        </row>
        <row r="187">
          <cell r="A187">
            <v>39421</v>
          </cell>
          <cell r="B187">
            <v>39421</v>
          </cell>
          <cell r="C187" t="str">
            <v>Past</v>
          </cell>
          <cell r="D187">
            <v>53.49</v>
          </cell>
          <cell r="E187" t="e">
            <v>#N/A</v>
          </cell>
          <cell r="F187" t="e">
            <v>#N/A</v>
          </cell>
          <cell r="G187" t="e">
            <v>#N/A</v>
          </cell>
          <cell r="H187" t="e">
            <v>#N/A</v>
          </cell>
          <cell r="I187" t="e">
            <v>#N/A</v>
          </cell>
          <cell r="J187" t="e">
            <v>#N/A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  <cell r="O187" t="e">
            <v>#N/A</v>
          </cell>
          <cell r="P187">
            <v>53.49</v>
          </cell>
          <cell r="Q187">
            <v>4.8627000000000002</v>
          </cell>
          <cell r="R187" t="e">
            <v>#N/A</v>
          </cell>
        </row>
        <row r="188">
          <cell r="A188">
            <v>39422</v>
          </cell>
          <cell r="B188">
            <v>39422</v>
          </cell>
          <cell r="C188" t="str">
            <v>Past</v>
          </cell>
          <cell r="D188">
            <v>53.93</v>
          </cell>
          <cell r="E188" t="e">
            <v>#N/A</v>
          </cell>
          <cell r="F188" t="e">
            <v>#N/A</v>
          </cell>
          <cell r="G188" t="e">
            <v>#N/A</v>
          </cell>
          <cell r="H188" t="e">
            <v>#N/A</v>
          </cell>
          <cell r="I188" t="e">
            <v>#N/A</v>
          </cell>
          <cell r="J188" t="e">
            <v>#N/A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  <cell r="O188" t="e">
            <v>#N/A</v>
          </cell>
          <cell r="P188">
            <v>53.93</v>
          </cell>
          <cell r="Q188">
            <v>6.5228649999999995</v>
          </cell>
          <cell r="R188" t="e">
            <v>#N/A</v>
          </cell>
        </row>
        <row r="189">
          <cell r="A189">
            <v>39423</v>
          </cell>
          <cell r="B189">
            <v>39423</v>
          </cell>
          <cell r="C189" t="str">
            <v>Past</v>
          </cell>
          <cell r="D189">
            <v>54.3</v>
          </cell>
          <cell r="E189" t="e">
            <v>#N/A</v>
          </cell>
          <cell r="F189" t="e">
            <v>#N/A</v>
          </cell>
          <cell r="G189" t="e">
            <v>#N/A</v>
          </cell>
          <cell r="H189" t="e">
            <v>#N/A</v>
          </cell>
          <cell r="I189" t="e">
            <v>#N/A</v>
          </cell>
          <cell r="J189" t="e">
            <v>#N/A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  <cell r="O189" t="e">
            <v>#N/A</v>
          </cell>
          <cell r="P189">
            <v>54.3</v>
          </cell>
          <cell r="Q189">
            <v>4.4646129999999999</v>
          </cell>
          <cell r="R189" t="e">
            <v>#N/A</v>
          </cell>
        </row>
        <row r="190">
          <cell r="A190">
            <v>39426</v>
          </cell>
          <cell r="B190">
            <v>39426</v>
          </cell>
          <cell r="C190" t="str">
            <v>Past</v>
          </cell>
          <cell r="D190">
            <v>54.78</v>
          </cell>
          <cell r="E190" t="e">
            <v>#N/A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>
            <v>54.78</v>
          </cell>
          <cell r="Q190">
            <v>4.6066440000000002</v>
          </cell>
          <cell r="R190" t="e">
            <v>#N/A</v>
          </cell>
        </row>
        <row r="191">
          <cell r="A191">
            <v>39427</v>
          </cell>
          <cell r="B191">
            <v>39427</v>
          </cell>
          <cell r="C191" t="str">
            <v>Past</v>
          </cell>
          <cell r="D191">
            <v>54.06</v>
          </cell>
          <cell r="E191" t="e">
            <v>#N/A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>
            <v>54.06</v>
          </cell>
          <cell r="Q191">
            <v>5.7134960000000001</v>
          </cell>
          <cell r="R191" t="e">
            <v>#N/A</v>
          </cell>
        </row>
        <row r="192">
          <cell r="A192">
            <v>39428</v>
          </cell>
          <cell r="B192">
            <v>39428</v>
          </cell>
          <cell r="C192" t="str">
            <v>Past</v>
          </cell>
          <cell r="D192">
            <v>54.08</v>
          </cell>
          <cell r="E192" t="e">
            <v>#N/A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>
            <v>54.08</v>
          </cell>
          <cell r="Q192">
            <v>7.2993449999999998</v>
          </cell>
          <cell r="R192" t="e">
            <v>#N/A</v>
          </cell>
        </row>
        <row r="193">
          <cell r="A193">
            <v>39429</v>
          </cell>
          <cell r="B193">
            <v>39429</v>
          </cell>
          <cell r="C193" t="str">
            <v>Past</v>
          </cell>
          <cell r="D193">
            <v>54.18</v>
          </cell>
          <cell r="E193" t="e">
            <v>#N/A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>
            <v>54.18</v>
          </cell>
          <cell r="Q193">
            <v>5.670229</v>
          </cell>
          <cell r="R193" t="e">
            <v>#N/A</v>
          </cell>
        </row>
        <row r="194">
          <cell r="A194">
            <v>39430</v>
          </cell>
          <cell r="B194">
            <v>39430</v>
          </cell>
          <cell r="C194" t="str">
            <v>Past</v>
          </cell>
          <cell r="D194">
            <v>53.71</v>
          </cell>
          <cell r="E194" t="e">
            <v>#N/A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>
            <v>53.71</v>
          </cell>
          <cell r="Q194">
            <v>5.0293600000000005</v>
          </cell>
          <cell r="R194" t="e">
            <v>#N/A</v>
          </cell>
        </row>
        <row r="195">
          <cell r="A195">
            <v>39433</v>
          </cell>
          <cell r="B195">
            <v>39433</v>
          </cell>
          <cell r="C195" t="str">
            <v>Past</v>
          </cell>
          <cell r="D195">
            <v>53.18</v>
          </cell>
          <cell r="E195" t="e">
            <v>#N/A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>
            <v>53.18</v>
          </cell>
          <cell r="Q195">
            <v>4.7989839999999999</v>
          </cell>
          <cell r="R195" t="e">
            <v>#N/A</v>
          </cell>
        </row>
        <row r="196">
          <cell r="A196">
            <v>39434</v>
          </cell>
          <cell r="B196">
            <v>39434</v>
          </cell>
          <cell r="C196" t="str">
            <v>Past</v>
          </cell>
          <cell r="D196">
            <v>53.49</v>
          </cell>
          <cell r="E196" t="e">
            <v>#N/A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>
            <v>53.49</v>
          </cell>
          <cell r="Q196">
            <v>9.4068189999999987</v>
          </cell>
          <cell r="R196" t="e">
            <v>#N/A</v>
          </cell>
        </row>
        <row r="197">
          <cell r="A197">
            <v>39435</v>
          </cell>
          <cell r="B197">
            <v>39435</v>
          </cell>
          <cell r="C197" t="str">
            <v>Past</v>
          </cell>
          <cell r="D197">
            <v>53.18</v>
          </cell>
          <cell r="E197" t="e">
            <v>#N/A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>
            <v>53.18</v>
          </cell>
          <cell r="Q197">
            <v>6.3503749999999997</v>
          </cell>
          <cell r="R197" t="e">
            <v>#N/A</v>
          </cell>
        </row>
        <row r="198">
          <cell r="A198">
            <v>39436</v>
          </cell>
          <cell r="B198">
            <v>39436</v>
          </cell>
          <cell r="C198" t="str">
            <v>Past</v>
          </cell>
          <cell r="D198">
            <v>53.23</v>
          </cell>
          <cell r="E198" t="e">
            <v>#N/A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>
            <v>53.23</v>
          </cell>
          <cell r="Q198">
            <v>5.5566759999999995</v>
          </cell>
          <cell r="R198" t="e">
            <v>#N/A</v>
          </cell>
        </row>
        <row r="199">
          <cell r="A199">
            <v>39437</v>
          </cell>
          <cell r="B199">
            <v>39437</v>
          </cell>
          <cell r="C199" t="str">
            <v>Past</v>
          </cell>
          <cell r="D199">
            <v>54.23</v>
          </cell>
          <cell r="E199" t="e">
            <v>#N/A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>
            <v>54.23</v>
          </cell>
          <cell r="Q199">
            <v>7.5032889999999997</v>
          </cell>
          <cell r="R199" t="e">
            <v>#N/A</v>
          </cell>
        </row>
        <row r="200">
          <cell r="A200">
            <v>39440</v>
          </cell>
          <cell r="B200">
            <v>39440</v>
          </cell>
          <cell r="C200" t="str">
            <v>Past</v>
          </cell>
          <cell r="D200">
            <v>54.49</v>
          </cell>
          <cell r="E200" t="e">
            <v>#N/A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>
            <v>54.49</v>
          </cell>
          <cell r="Q200">
            <v>1.468871</v>
          </cell>
          <cell r="R200" t="e">
            <v>#N/A</v>
          </cell>
        </row>
        <row r="201">
          <cell r="A201">
            <v>39442</v>
          </cell>
          <cell r="B201">
            <v>39442</v>
          </cell>
          <cell r="C201" t="str">
            <v>Past</v>
          </cell>
          <cell r="D201">
            <v>54.31</v>
          </cell>
          <cell r="E201" t="e">
            <v>#N/A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>
            <v>54.31</v>
          </cell>
          <cell r="Q201">
            <v>2.5081150000000001</v>
          </cell>
          <cell r="R201" t="e">
            <v>#N/A</v>
          </cell>
        </row>
        <row r="202">
          <cell r="A202">
            <v>39443</v>
          </cell>
          <cell r="B202">
            <v>39443</v>
          </cell>
          <cell r="C202" t="str">
            <v>Past</v>
          </cell>
          <cell r="D202">
            <v>53.88</v>
          </cell>
          <cell r="E202" t="e">
            <v>#N/A</v>
          </cell>
          <cell r="F202" t="e">
            <v>#N/A</v>
          </cell>
          <cell r="G202" t="e">
            <v>#N/A</v>
          </cell>
          <cell r="H202" t="e">
            <v>#N/A</v>
          </cell>
          <cell r="I202" t="e">
            <v>#N/A</v>
          </cell>
          <cell r="J202" t="e">
            <v>#N/A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  <cell r="O202" t="e">
            <v>#N/A</v>
          </cell>
          <cell r="P202">
            <v>53.88</v>
          </cell>
          <cell r="Q202">
            <v>3.3693939999999998</v>
          </cell>
          <cell r="R202" t="e">
            <v>#N/A</v>
          </cell>
        </row>
        <row r="203">
          <cell r="A203">
            <v>39444</v>
          </cell>
          <cell r="B203">
            <v>39444</v>
          </cell>
          <cell r="C203" t="str">
            <v>Past</v>
          </cell>
          <cell r="D203">
            <v>54.05</v>
          </cell>
          <cell r="E203" t="e">
            <v>#N/A</v>
          </cell>
          <cell r="F203" t="e">
            <v>#N/A</v>
          </cell>
          <cell r="G203" t="e">
            <v>#N/A</v>
          </cell>
          <cell r="H203" t="e">
            <v>#N/A</v>
          </cell>
          <cell r="I203" t="e">
            <v>#N/A</v>
          </cell>
          <cell r="J203" t="e">
            <v>#N/A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  <cell r="O203" t="e">
            <v>#N/A</v>
          </cell>
          <cell r="P203">
            <v>54.05</v>
          </cell>
          <cell r="Q203">
            <v>3.0262359999999999</v>
          </cell>
          <cell r="R203" t="e">
            <v>#N/A</v>
          </cell>
        </row>
        <row r="204">
          <cell r="A204">
            <v>39447</v>
          </cell>
          <cell r="B204">
            <v>39447</v>
          </cell>
          <cell r="C204" t="str">
            <v>Past</v>
          </cell>
          <cell r="D204">
            <v>53.39</v>
          </cell>
          <cell r="E204" t="e">
            <v>#N/A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>
            <v>53.39</v>
          </cell>
          <cell r="Q204">
            <v>3.9101249999999999</v>
          </cell>
          <cell r="R204" t="e">
            <v>#N/A</v>
          </cell>
        </row>
        <row r="205">
          <cell r="A205">
            <v>39449</v>
          </cell>
          <cell r="B205">
            <v>39449</v>
          </cell>
          <cell r="C205" t="str">
            <v>Past</v>
          </cell>
          <cell r="D205">
            <v>52.55</v>
          </cell>
          <cell r="E205" t="e">
            <v>#N/A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>
            <v>52.55</v>
          </cell>
          <cell r="Q205">
            <v>5.5567800000000007</v>
          </cell>
          <cell r="R205" t="e">
            <v>#N/A</v>
          </cell>
        </row>
        <row r="206">
          <cell r="A206">
            <v>39450</v>
          </cell>
          <cell r="B206">
            <v>39450</v>
          </cell>
          <cell r="C206" t="str">
            <v>Past</v>
          </cell>
          <cell r="D206">
            <v>52.99</v>
          </cell>
          <cell r="E206" t="e">
            <v>#N/A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>
            <v>52.99</v>
          </cell>
          <cell r="Q206">
            <v>4.5123329999999999</v>
          </cell>
          <cell r="R206" t="e">
            <v>#N/A</v>
          </cell>
        </row>
        <row r="207">
          <cell r="A207">
            <v>39451</v>
          </cell>
          <cell r="B207">
            <v>39451</v>
          </cell>
          <cell r="C207" t="str">
            <v>Past</v>
          </cell>
          <cell r="D207">
            <v>51.8</v>
          </cell>
          <cell r="E207" t="e">
            <v>#N/A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>
            <v>51.8</v>
          </cell>
          <cell r="Q207">
            <v>6.1864909999999993</v>
          </cell>
          <cell r="R207" t="e">
            <v>#N/A</v>
          </cell>
        </row>
        <row r="208">
          <cell r="A208">
            <v>39454</v>
          </cell>
          <cell r="B208">
            <v>39454</v>
          </cell>
          <cell r="C208" t="str">
            <v>Past</v>
          </cell>
          <cell r="D208">
            <v>54.55</v>
          </cell>
          <cell r="E208" t="e">
            <v>#N/A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>
            <v>54.55</v>
          </cell>
          <cell r="Q208">
            <v>10.376010000000001</v>
          </cell>
          <cell r="R208" t="e">
            <v>#N/A</v>
          </cell>
        </row>
        <row r="209">
          <cell r="A209">
            <v>39455</v>
          </cell>
          <cell r="B209">
            <v>39455</v>
          </cell>
          <cell r="C209" t="str">
            <v>Past</v>
          </cell>
          <cell r="D209">
            <v>56.06</v>
          </cell>
          <cell r="E209" t="e">
            <v>#N/A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>
            <v>56.06</v>
          </cell>
          <cell r="Q209">
            <v>12.197900000000001</v>
          </cell>
          <cell r="R209" t="e">
            <v>#N/A</v>
          </cell>
        </row>
        <row r="210">
          <cell r="A210">
            <v>39456</v>
          </cell>
          <cell r="B210">
            <v>39456</v>
          </cell>
          <cell r="C210" t="str">
            <v>Past</v>
          </cell>
          <cell r="D210">
            <v>56.86</v>
          </cell>
          <cell r="E210" t="e">
            <v>#N/A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>
            <v>56.86</v>
          </cell>
          <cell r="Q210">
            <v>9.5773159999999997</v>
          </cell>
          <cell r="R210" t="e">
            <v>#N/A</v>
          </cell>
        </row>
        <row r="211">
          <cell r="A211">
            <v>39457</v>
          </cell>
          <cell r="B211">
            <v>39457</v>
          </cell>
          <cell r="C211" t="str">
            <v>Past</v>
          </cell>
          <cell r="D211">
            <v>56.85</v>
          </cell>
          <cell r="E211" t="e">
            <v>#N/A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>
            <v>56.85</v>
          </cell>
          <cell r="Q211">
            <v>6.2881279999999995</v>
          </cell>
          <cell r="R211" t="e">
            <v>#N/A</v>
          </cell>
        </row>
        <row r="212">
          <cell r="A212">
            <v>39458</v>
          </cell>
          <cell r="B212">
            <v>39458</v>
          </cell>
          <cell r="C212" t="str">
            <v>Past</v>
          </cell>
          <cell r="D212">
            <v>56.81</v>
          </cell>
          <cell r="E212" t="e">
            <v>#N/A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>
            <v>56.81</v>
          </cell>
          <cell r="Q212">
            <v>5.3605770000000001</v>
          </cell>
          <cell r="R212" t="e">
            <v>#N/A</v>
          </cell>
        </row>
        <row r="213">
          <cell r="A213">
            <v>39461</v>
          </cell>
          <cell r="B213">
            <v>39461</v>
          </cell>
          <cell r="C213" t="str">
            <v>Past</v>
          </cell>
          <cell r="D213">
            <v>57.18</v>
          </cell>
          <cell r="E213" t="e">
            <v>#N/A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>
            <v>57.18</v>
          </cell>
          <cell r="Q213">
            <v>5.5638000000000005</v>
          </cell>
          <cell r="R213" t="e">
            <v>#N/A</v>
          </cell>
        </row>
        <row r="214">
          <cell r="A214">
            <v>39462</v>
          </cell>
          <cell r="B214">
            <v>39462</v>
          </cell>
          <cell r="C214" t="str">
            <v>Past</v>
          </cell>
          <cell r="D214">
            <v>56.59</v>
          </cell>
          <cell r="E214" t="e">
            <v>#N/A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>
            <v>56.59</v>
          </cell>
          <cell r="Q214">
            <v>5.8839459999999999</v>
          </cell>
          <cell r="R214" t="e">
            <v>#N/A</v>
          </cell>
        </row>
        <row r="215">
          <cell r="A215">
            <v>39463</v>
          </cell>
          <cell r="B215">
            <v>39463</v>
          </cell>
          <cell r="C215" t="str">
            <v>Past</v>
          </cell>
          <cell r="D215">
            <v>56.07</v>
          </cell>
          <cell r="E215" t="e">
            <v>#N/A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>
            <v>56.07</v>
          </cell>
          <cell r="Q215">
            <v>7.9743740000000001</v>
          </cell>
          <cell r="R215" t="e">
            <v>#N/A</v>
          </cell>
        </row>
        <row r="216">
          <cell r="A216">
            <v>39464</v>
          </cell>
          <cell r="B216">
            <v>39464</v>
          </cell>
          <cell r="C216" t="str">
            <v>Past</v>
          </cell>
          <cell r="D216">
            <v>54.84</v>
          </cell>
          <cell r="E216" t="e">
            <v>#N/A</v>
          </cell>
          <cell r="F216" t="e">
            <v>#N/A</v>
          </cell>
          <cell r="G216" t="e">
            <v>#N/A</v>
          </cell>
          <cell r="H216" t="e">
            <v>#N/A</v>
          </cell>
          <cell r="I216" t="e">
            <v>#N/A</v>
          </cell>
          <cell r="J216" t="e">
            <v>#N/A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  <cell r="O216" t="e">
            <v>#N/A</v>
          </cell>
          <cell r="P216">
            <v>54.84</v>
          </cell>
          <cell r="Q216">
            <v>9.6793959999999988</v>
          </cell>
          <cell r="R216" t="e">
            <v>#N/A</v>
          </cell>
        </row>
        <row r="217">
          <cell r="A217">
            <v>39465</v>
          </cell>
          <cell r="B217">
            <v>39465</v>
          </cell>
          <cell r="C217" t="str">
            <v>Past</v>
          </cell>
          <cell r="D217">
            <v>53.71</v>
          </cell>
          <cell r="E217" t="e">
            <v>#N/A</v>
          </cell>
          <cell r="F217" t="e">
            <v>#N/A</v>
          </cell>
          <cell r="G217" t="e">
            <v>#N/A</v>
          </cell>
          <cell r="H217" t="e">
            <v>#N/A</v>
          </cell>
          <cell r="I217" t="e">
            <v>#N/A</v>
          </cell>
          <cell r="J217" t="e">
            <v>#N/A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  <cell r="O217" t="e">
            <v>#N/A</v>
          </cell>
          <cell r="P217">
            <v>53.71</v>
          </cell>
          <cell r="Q217">
            <v>10.013580000000001</v>
          </cell>
          <cell r="R217" t="e">
            <v>#N/A</v>
          </cell>
        </row>
        <row r="218">
          <cell r="A218">
            <v>39469</v>
          </cell>
          <cell r="B218">
            <v>39469</v>
          </cell>
          <cell r="C218" t="str">
            <v>Past</v>
          </cell>
          <cell r="D218">
            <v>52.17</v>
          </cell>
          <cell r="E218" t="e">
            <v>#N/A</v>
          </cell>
          <cell r="F218" t="e">
            <v>#N/A</v>
          </cell>
          <cell r="G218" t="e">
            <v>#N/A</v>
          </cell>
          <cell r="H218" t="e">
            <v>#N/A</v>
          </cell>
          <cell r="I218" t="e">
            <v>#N/A</v>
          </cell>
          <cell r="J218" t="e">
            <v>#N/A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  <cell r="O218" t="e">
            <v>#N/A</v>
          </cell>
          <cell r="P218">
            <v>52.17</v>
          </cell>
          <cell r="Q218">
            <v>10.932950000000002</v>
          </cell>
          <cell r="R218" t="e">
            <v>#N/A</v>
          </cell>
        </row>
        <row r="219">
          <cell r="A219">
            <v>39470</v>
          </cell>
          <cell r="B219">
            <v>39470</v>
          </cell>
          <cell r="C219" t="str">
            <v>Past</v>
          </cell>
          <cell r="D219">
            <v>52.18</v>
          </cell>
          <cell r="E219" t="e">
            <v>#N/A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>
            <v>52.18</v>
          </cell>
          <cell r="Q219">
            <v>8.778276</v>
          </cell>
          <cell r="R219" t="e">
            <v>#N/A</v>
          </cell>
        </row>
        <row r="220">
          <cell r="A220">
            <v>39471</v>
          </cell>
          <cell r="B220">
            <v>39471</v>
          </cell>
          <cell r="C220" t="str">
            <v>Past</v>
          </cell>
          <cell r="D220">
            <v>51.32</v>
          </cell>
          <cell r="E220" t="e">
            <v>#N/A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>
            <v>51.32</v>
          </cell>
          <cell r="Q220">
            <v>12.998130000000002</v>
          </cell>
          <cell r="R220" t="e">
            <v>#N/A</v>
          </cell>
        </row>
        <row r="221">
          <cell r="A221">
            <v>39472</v>
          </cell>
          <cell r="B221">
            <v>39472</v>
          </cell>
          <cell r="C221" t="str">
            <v>Past</v>
          </cell>
          <cell r="D221">
            <v>50.74</v>
          </cell>
          <cell r="E221" t="e">
            <v>#N/A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>
            <v>50.74</v>
          </cell>
          <cell r="Q221">
            <v>9.5241689999999988</v>
          </cell>
          <cell r="R221" t="e">
            <v>#N/A</v>
          </cell>
        </row>
        <row r="222">
          <cell r="A222">
            <v>39475</v>
          </cell>
          <cell r="B222">
            <v>39475</v>
          </cell>
          <cell r="C222" t="str">
            <v>Past</v>
          </cell>
          <cell r="D222">
            <v>51.4</v>
          </cell>
          <cell r="E222" t="e">
            <v>#N/A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>
            <v>51.4</v>
          </cell>
          <cell r="Q222">
            <v>7.0740200000000009</v>
          </cell>
          <cell r="R222" t="e">
            <v>#N/A</v>
          </cell>
        </row>
        <row r="223">
          <cell r="A223">
            <v>39476</v>
          </cell>
          <cell r="B223">
            <v>39476</v>
          </cell>
          <cell r="C223" t="str">
            <v>Past</v>
          </cell>
          <cell r="D223">
            <v>52.31</v>
          </cell>
          <cell r="E223" t="e">
            <v>#N/A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>
            <v>52.31</v>
          </cell>
          <cell r="Q223">
            <v>9.2642879999999987</v>
          </cell>
          <cell r="R223" t="e">
            <v>#N/A</v>
          </cell>
        </row>
        <row r="224">
          <cell r="A224">
            <v>39477</v>
          </cell>
          <cell r="B224">
            <v>39477</v>
          </cell>
          <cell r="C224" t="str">
            <v>Past</v>
          </cell>
          <cell r="D224">
            <v>51.35</v>
          </cell>
          <cell r="E224" t="e">
            <v>#N/A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>
            <v>51.35</v>
          </cell>
          <cell r="Q224">
            <v>7.3581029999999998</v>
          </cell>
          <cell r="R224" t="e">
            <v>#N/A</v>
          </cell>
        </row>
        <row r="225">
          <cell r="A225">
            <v>39478</v>
          </cell>
          <cell r="B225">
            <v>39478</v>
          </cell>
          <cell r="C225" t="str">
            <v>Past</v>
          </cell>
          <cell r="D225">
            <v>51.39</v>
          </cell>
          <cell r="E225" t="e">
            <v>#N/A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>
            <v>51.39</v>
          </cell>
          <cell r="Q225">
            <v>9.9696859999999994</v>
          </cell>
          <cell r="R225" t="e">
            <v>#N/A</v>
          </cell>
        </row>
        <row r="226">
          <cell r="A226">
            <v>39479</v>
          </cell>
          <cell r="B226">
            <v>39479</v>
          </cell>
          <cell r="C226" t="str">
            <v>Past</v>
          </cell>
          <cell r="D226">
            <v>51.66</v>
          </cell>
          <cell r="E226" t="e">
            <v>#N/A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>
            <v>51.66</v>
          </cell>
          <cell r="Q226">
            <v>7.3747679999999995</v>
          </cell>
          <cell r="R226" t="e">
            <v>#N/A</v>
          </cell>
        </row>
        <row r="227">
          <cell r="A227">
            <v>39482</v>
          </cell>
          <cell r="B227">
            <v>39482</v>
          </cell>
          <cell r="C227" t="str">
            <v>Past</v>
          </cell>
          <cell r="D227">
            <v>52.08</v>
          </cell>
          <cell r="E227" t="e">
            <v>#N/A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>
            <v>52.08</v>
          </cell>
          <cell r="Q227">
            <v>4.8363800000000001</v>
          </cell>
          <cell r="R227" t="e">
            <v>#N/A</v>
          </cell>
        </row>
        <row r="228">
          <cell r="A228">
            <v>39483</v>
          </cell>
          <cell r="B228">
            <v>39483</v>
          </cell>
          <cell r="C228" t="str">
            <v>Past</v>
          </cell>
          <cell r="D228">
            <v>51.24</v>
          </cell>
          <cell r="E228" t="e">
            <v>#N/A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>
            <v>51.24</v>
          </cell>
          <cell r="Q228">
            <v>5.4406659999999993</v>
          </cell>
          <cell r="R228" t="e">
            <v>#N/A</v>
          </cell>
        </row>
        <row r="229">
          <cell r="A229">
            <v>39484</v>
          </cell>
          <cell r="B229">
            <v>39484</v>
          </cell>
          <cell r="C229" t="str">
            <v>Past</v>
          </cell>
          <cell r="D229">
            <v>51.4</v>
          </cell>
          <cell r="E229" t="e">
            <v>#N/A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>
            <v>51.4</v>
          </cell>
          <cell r="Q229">
            <v>4.1012500000000003</v>
          </cell>
          <cell r="R229" t="e">
            <v>#N/A</v>
          </cell>
        </row>
        <row r="230">
          <cell r="A230">
            <v>39485</v>
          </cell>
          <cell r="B230">
            <v>39485</v>
          </cell>
          <cell r="C230" t="str">
            <v>Past</v>
          </cell>
          <cell r="D230">
            <v>51.22</v>
          </cell>
          <cell r="E230" t="e">
            <v>#N/A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>
            <v>51.22</v>
          </cell>
          <cell r="Q230">
            <v>7.1532549999999997</v>
          </cell>
          <cell r="R230" t="e">
            <v>#N/A</v>
          </cell>
        </row>
        <row r="231">
          <cell r="A231">
            <v>39486</v>
          </cell>
          <cell r="B231">
            <v>39486</v>
          </cell>
          <cell r="C231" t="str">
            <v>Past</v>
          </cell>
          <cell r="D231">
            <v>50.23</v>
          </cell>
          <cell r="E231" t="e">
            <v>#N/A</v>
          </cell>
          <cell r="F231" t="e">
            <v>#N/A</v>
          </cell>
          <cell r="G231" t="e">
            <v>#N/A</v>
          </cell>
          <cell r="H231" t="e">
            <v>#N/A</v>
          </cell>
          <cell r="I231" t="e">
            <v>#N/A</v>
          </cell>
          <cell r="J231" t="e">
            <v>#N/A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  <cell r="O231" t="e">
            <v>#N/A</v>
          </cell>
          <cell r="P231">
            <v>50.23</v>
          </cell>
          <cell r="Q231">
            <v>4.5241039999999995</v>
          </cell>
          <cell r="R231" t="e">
            <v>#N/A</v>
          </cell>
        </row>
        <row r="232">
          <cell r="A232">
            <v>39489</v>
          </cell>
          <cell r="B232">
            <v>39489</v>
          </cell>
          <cell r="C232" t="str">
            <v>Past</v>
          </cell>
          <cell r="D232">
            <v>50.23</v>
          </cell>
          <cell r="E232" t="e">
            <v>#N/A</v>
          </cell>
          <cell r="F232" t="e">
            <v>#N/A</v>
          </cell>
          <cell r="G232" t="e">
            <v>#N/A</v>
          </cell>
          <cell r="H232" t="e">
            <v>#N/A</v>
          </cell>
          <cell r="I232" t="e">
            <v>#N/A</v>
          </cell>
          <cell r="J232" t="e">
            <v>#N/A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  <cell r="O232" t="e">
            <v>#N/A</v>
          </cell>
          <cell r="P232">
            <v>50.23</v>
          </cell>
          <cell r="Q232">
            <v>4.2224079999999997</v>
          </cell>
          <cell r="R232" t="e">
            <v>#N/A</v>
          </cell>
        </row>
        <row r="233">
          <cell r="A233">
            <v>39490</v>
          </cell>
          <cell r="B233">
            <v>39490</v>
          </cell>
          <cell r="C233" t="str">
            <v>Past</v>
          </cell>
          <cell r="D233">
            <v>51.02</v>
          </cell>
          <cell r="E233" t="e">
            <v>#N/A</v>
          </cell>
          <cell r="F233" t="e">
            <v>#N/A</v>
          </cell>
          <cell r="G233" t="e">
            <v>#N/A</v>
          </cell>
          <cell r="H233" t="e">
            <v>#N/A</v>
          </cell>
          <cell r="I233" t="e">
            <v>#N/A</v>
          </cell>
          <cell r="J233" t="e">
            <v>#N/A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  <cell r="O233" t="e">
            <v>#N/A</v>
          </cell>
          <cell r="P233">
            <v>51.02</v>
          </cell>
          <cell r="Q233">
            <v>5.2176679999999998</v>
          </cell>
          <cell r="R233" t="e">
            <v>#N/A</v>
          </cell>
        </row>
        <row r="234">
          <cell r="A234">
            <v>39491</v>
          </cell>
          <cell r="B234">
            <v>39491</v>
          </cell>
          <cell r="C234" t="str">
            <v>Past</v>
          </cell>
          <cell r="D234">
            <v>50.34</v>
          </cell>
          <cell r="E234" t="e">
            <v>#N/A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>
            <v>50.34</v>
          </cell>
          <cell r="Q234">
            <v>6.5031339999999993</v>
          </cell>
          <cell r="R234" t="e">
            <v>#N/A</v>
          </cell>
        </row>
        <row r="235">
          <cell r="A235">
            <v>39492</v>
          </cell>
          <cell r="B235">
            <v>39492</v>
          </cell>
          <cell r="C235" t="str">
            <v>Past</v>
          </cell>
          <cell r="D235">
            <v>49.98</v>
          </cell>
          <cell r="E235" t="e">
            <v>#N/A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>
            <v>49.98</v>
          </cell>
          <cell r="Q235">
            <v>5.2135579999999999</v>
          </cell>
          <cell r="R235" t="e">
            <v>#N/A</v>
          </cell>
        </row>
        <row r="236">
          <cell r="A236">
            <v>39493</v>
          </cell>
          <cell r="B236">
            <v>39493</v>
          </cell>
          <cell r="C236" t="str">
            <v>Past</v>
          </cell>
          <cell r="D236">
            <v>50.82</v>
          </cell>
          <cell r="E236" t="e">
            <v>#N/A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>
            <v>50.82</v>
          </cell>
          <cell r="Q236">
            <v>6.4792709999999998</v>
          </cell>
          <cell r="R236" t="e">
            <v>#N/A</v>
          </cell>
        </row>
        <row r="237">
          <cell r="A237">
            <v>39497</v>
          </cell>
          <cell r="B237">
            <v>39497</v>
          </cell>
          <cell r="C237" t="str">
            <v>Past</v>
          </cell>
          <cell r="D237">
            <v>50.3</v>
          </cell>
          <cell r="E237" t="e">
            <v>#N/A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>
            <v>50.3</v>
          </cell>
          <cell r="Q237">
            <v>5.9148000000000005</v>
          </cell>
          <cell r="R237" t="e">
            <v>#N/A</v>
          </cell>
        </row>
        <row r="238">
          <cell r="A238">
            <v>39498</v>
          </cell>
          <cell r="B238">
            <v>39498</v>
          </cell>
          <cell r="C238" t="str">
            <v>Past</v>
          </cell>
          <cell r="D238">
            <v>50.37</v>
          </cell>
          <cell r="E238" t="e">
            <v>#N/A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>
            <v>50.37</v>
          </cell>
          <cell r="Q238">
            <v>4.2902149999999999</v>
          </cell>
          <cell r="R238" t="e">
            <v>#N/A</v>
          </cell>
        </row>
        <row r="239">
          <cell r="A239">
            <v>39499</v>
          </cell>
          <cell r="B239">
            <v>39499</v>
          </cell>
          <cell r="C239" t="str">
            <v>Past</v>
          </cell>
          <cell r="D239">
            <v>49.82</v>
          </cell>
          <cell r="E239" t="e">
            <v>#N/A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>
            <v>49.82</v>
          </cell>
          <cell r="Q239">
            <v>5.4567869999999994</v>
          </cell>
          <cell r="R239" t="e">
            <v>#N/A</v>
          </cell>
        </row>
        <row r="240">
          <cell r="A240">
            <v>39500</v>
          </cell>
          <cell r="B240">
            <v>39500</v>
          </cell>
          <cell r="C240" t="str">
            <v>Past</v>
          </cell>
          <cell r="D240">
            <v>50.51</v>
          </cell>
          <cell r="E240" t="e">
            <v>#N/A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>
            <v>50.51</v>
          </cell>
          <cell r="Q240">
            <v>9.058940999999999</v>
          </cell>
          <cell r="R240" t="e">
            <v>#N/A</v>
          </cell>
        </row>
        <row r="241">
          <cell r="A241">
            <v>39503</v>
          </cell>
          <cell r="B241">
            <v>39503</v>
          </cell>
          <cell r="C241" t="str">
            <v>Past</v>
          </cell>
          <cell r="D241">
            <v>51.3</v>
          </cell>
          <cell r="E241" t="e">
            <v>#N/A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>
            <v>51.3</v>
          </cell>
          <cell r="Q241">
            <v>5.266845</v>
          </cell>
          <cell r="R241" t="e">
            <v>#N/A</v>
          </cell>
        </row>
        <row r="242">
          <cell r="A242">
            <v>39504</v>
          </cell>
          <cell r="B242">
            <v>39504</v>
          </cell>
          <cell r="C242" t="str">
            <v>Past</v>
          </cell>
          <cell r="D242">
            <v>52.45</v>
          </cell>
          <cell r="E242" t="e">
            <v>#N/A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>
            <v>52.45</v>
          </cell>
          <cell r="Q242">
            <v>8.0599000000000007</v>
          </cell>
          <cell r="R242" t="e">
            <v>#N/A</v>
          </cell>
        </row>
        <row r="243">
          <cell r="A243">
            <v>39505</v>
          </cell>
          <cell r="B243">
            <v>39505</v>
          </cell>
          <cell r="C243" t="str">
            <v>Past</v>
          </cell>
          <cell r="D243">
            <v>51.83</v>
          </cell>
          <cell r="E243" t="e">
            <v>#N/A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>
            <v>51.83</v>
          </cell>
          <cell r="Q243">
            <v>3.6485909999999997</v>
          </cell>
          <cell r="R243" t="e">
            <v>#N/A</v>
          </cell>
        </row>
        <row r="244">
          <cell r="A244">
            <v>39506</v>
          </cell>
          <cell r="B244">
            <v>39506</v>
          </cell>
          <cell r="C244" t="str">
            <v>Past</v>
          </cell>
          <cell r="D244">
            <v>50.93</v>
          </cell>
          <cell r="E244" t="e">
            <v>#N/A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>
            <v>50.93</v>
          </cell>
          <cell r="Q244">
            <v>4.396744</v>
          </cell>
          <cell r="R244" t="e">
            <v>#N/A</v>
          </cell>
        </row>
        <row r="245">
          <cell r="A245">
            <v>39507</v>
          </cell>
          <cell r="B245">
            <v>39507</v>
          </cell>
          <cell r="C245" t="str">
            <v>Past</v>
          </cell>
          <cell r="D245">
            <v>50.02</v>
          </cell>
          <cell r="E245" t="e">
            <v>#N/A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>
            <v>50.02</v>
          </cell>
          <cell r="Q245">
            <v>6.9025270000000001</v>
          </cell>
          <cell r="R245" t="e">
            <v>#N/A</v>
          </cell>
        </row>
        <row r="246">
          <cell r="A246">
            <v>39510</v>
          </cell>
          <cell r="B246">
            <v>39510</v>
          </cell>
          <cell r="C246" t="str">
            <v>Past</v>
          </cell>
          <cell r="D246">
            <v>50.19</v>
          </cell>
          <cell r="E246" t="e">
            <v>#N/A</v>
          </cell>
          <cell r="F246" t="e">
            <v>#N/A</v>
          </cell>
          <cell r="G246" t="e">
            <v>#N/A</v>
          </cell>
          <cell r="H246" t="e">
            <v>#N/A</v>
          </cell>
          <cell r="I246" t="e">
            <v>#N/A</v>
          </cell>
          <cell r="J246" t="e">
            <v>#N/A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  <cell r="O246" t="e">
            <v>#N/A</v>
          </cell>
          <cell r="P246">
            <v>50.19</v>
          </cell>
          <cell r="Q246">
            <v>4.0996920000000001</v>
          </cell>
          <cell r="R246" t="e">
            <v>#N/A</v>
          </cell>
        </row>
        <row r="247">
          <cell r="A247">
            <v>39511</v>
          </cell>
          <cell r="B247">
            <v>39511</v>
          </cell>
          <cell r="C247" t="str">
            <v>Past</v>
          </cell>
          <cell r="D247">
            <v>50.01</v>
          </cell>
          <cell r="E247" t="e">
            <v>#N/A</v>
          </cell>
          <cell r="F247" t="e">
            <v>#N/A</v>
          </cell>
          <cell r="G247" t="e">
            <v>#N/A</v>
          </cell>
          <cell r="H247" t="e">
            <v>#N/A</v>
          </cell>
          <cell r="I247" t="e">
            <v>#N/A</v>
          </cell>
          <cell r="J247" t="e">
            <v>#N/A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  <cell r="O247" t="e">
            <v>#N/A</v>
          </cell>
          <cell r="P247">
            <v>50.01</v>
          </cell>
          <cell r="Q247">
            <v>5.8622290000000001</v>
          </cell>
          <cell r="R247" t="e">
            <v>#N/A</v>
          </cell>
        </row>
        <row r="248">
          <cell r="A248">
            <v>39512</v>
          </cell>
          <cell r="B248">
            <v>39512</v>
          </cell>
          <cell r="C248" t="str">
            <v>Past</v>
          </cell>
          <cell r="D248">
            <v>50.42</v>
          </cell>
          <cell r="E248" t="e">
            <v>#N/A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>
            <v>50.42</v>
          </cell>
          <cell r="Q248">
            <v>4.5204360000000001</v>
          </cell>
          <cell r="R248" t="e">
            <v>#N/A</v>
          </cell>
        </row>
        <row r="249">
          <cell r="A249">
            <v>39513</v>
          </cell>
          <cell r="B249">
            <v>39513</v>
          </cell>
          <cell r="C249" t="str">
            <v>Past</v>
          </cell>
          <cell r="D249">
            <v>49.68</v>
          </cell>
          <cell r="E249" t="e">
            <v>#N/A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>
            <v>49.68</v>
          </cell>
          <cell r="Q249">
            <v>4.4463159999999995</v>
          </cell>
          <cell r="R249" t="e">
            <v>#N/A</v>
          </cell>
        </row>
        <row r="250">
          <cell r="A250">
            <v>39514</v>
          </cell>
          <cell r="B250">
            <v>39514</v>
          </cell>
          <cell r="C250" t="str">
            <v>Past</v>
          </cell>
          <cell r="D250">
            <v>49.7</v>
          </cell>
          <cell r="E250" t="e">
            <v>#N/A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>
            <v>49.7</v>
          </cell>
          <cell r="Q250">
            <v>7.2755619999999999</v>
          </cell>
          <cell r="R250" t="e">
            <v>#N/A</v>
          </cell>
        </row>
        <row r="251">
          <cell r="A251">
            <v>39517</v>
          </cell>
          <cell r="B251">
            <v>39517</v>
          </cell>
          <cell r="C251" t="str">
            <v>Past</v>
          </cell>
          <cell r="D251">
            <v>49.42</v>
          </cell>
          <cell r="E251" t="e">
            <v>#N/A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>
            <v>49.42</v>
          </cell>
          <cell r="Q251">
            <v>7.0326489999999993</v>
          </cell>
          <cell r="R251" t="e">
            <v>#N/A</v>
          </cell>
        </row>
        <row r="252">
          <cell r="A252">
            <v>39518</v>
          </cell>
          <cell r="B252">
            <v>39518</v>
          </cell>
          <cell r="C252" t="str">
            <v>Past</v>
          </cell>
          <cell r="D252">
            <v>50.59</v>
          </cell>
          <cell r="E252" t="e">
            <v>#N/A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>
            <v>50.59</v>
          </cell>
          <cell r="Q252">
            <v>7.4423949999999994</v>
          </cell>
          <cell r="R252" t="e">
            <v>#N/A</v>
          </cell>
        </row>
        <row r="253">
          <cell r="A253">
            <v>39519</v>
          </cell>
          <cell r="B253">
            <v>39519</v>
          </cell>
          <cell r="C253" t="str">
            <v>Past</v>
          </cell>
          <cell r="D253">
            <v>49.78</v>
          </cell>
          <cell r="E253" t="e">
            <v>#N/A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>
            <v>49.78</v>
          </cell>
          <cell r="Q253">
            <v>5.8788689999999999</v>
          </cell>
          <cell r="R253" t="e">
            <v>#N/A</v>
          </cell>
        </row>
        <row r="254">
          <cell r="A254">
            <v>39520</v>
          </cell>
          <cell r="B254">
            <v>39520</v>
          </cell>
          <cell r="C254" t="str">
            <v>Past</v>
          </cell>
          <cell r="D254">
            <v>49.16</v>
          </cell>
          <cell r="E254" t="e">
            <v>#N/A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>
            <v>49.16</v>
          </cell>
          <cell r="Q254">
            <v>6.654693</v>
          </cell>
          <cell r="R254" t="e">
            <v>#N/A</v>
          </cell>
        </row>
        <row r="255">
          <cell r="A255">
            <v>39521</v>
          </cell>
          <cell r="B255">
            <v>39521</v>
          </cell>
          <cell r="C255" t="str">
            <v>Past</v>
          </cell>
          <cell r="D255">
            <v>47.81</v>
          </cell>
          <cell r="E255" t="e">
            <v>#N/A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>
            <v>47.81</v>
          </cell>
          <cell r="Q255">
            <v>8.4282450000000004</v>
          </cell>
          <cell r="R255" t="e">
            <v>#N/A</v>
          </cell>
        </row>
        <row r="256">
          <cell r="A256">
            <v>39524</v>
          </cell>
          <cell r="B256">
            <v>39524</v>
          </cell>
          <cell r="C256" t="str">
            <v>Past</v>
          </cell>
          <cell r="D256">
            <v>48.87</v>
          </cell>
          <cell r="E256" t="e">
            <v>#N/A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>
            <v>48.87</v>
          </cell>
          <cell r="Q256">
            <v>6.8472469999999994</v>
          </cell>
          <cell r="R256" t="e">
            <v>#N/A</v>
          </cell>
        </row>
        <row r="257">
          <cell r="A257">
            <v>39525</v>
          </cell>
          <cell r="B257">
            <v>39525</v>
          </cell>
          <cell r="C257" t="str">
            <v>Past</v>
          </cell>
          <cell r="D257">
            <v>49.92</v>
          </cell>
          <cell r="E257" t="e">
            <v>#N/A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>
            <v>49.92</v>
          </cell>
          <cell r="Q257">
            <v>5.3921999999999999</v>
          </cell>
          <cell r="R257" t="e">
            <v>#N/A</v>
          </cell>
        </row>
        <row r="258">
          <cell r="A258">
            <v>39526</v>
          </cell>
          <cell r="B258">
            <v>39526</v>
          </cell>
          <cell r="C258" t="str">
            <v>Past</v>
          </cell>
          <cell r="D258">
            <v>49.97</v>
          </cell>
          <cell r="E258" t="e">
            <v>#N/A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>
            <v>49.97</v>
          </cell>
          <cell r="Q258">
            <v>5.7588840000000001</v>
          </cell>
          <cell r="R258" t="e">
            <v>#N/A</v>
          </cell>
        </row>
        <row r="259">
          <cell r="A259">
            <v>39527</v>
          </cell>
          <cell r="B259">
            <v>39527</v>
          </cell>
          <cell r="C259" t="str">
            <v>Past</v>
          </cell>
          <cell r="D259">
            <v>49.84</v>
          </cell>
          <cell r="E259" t="e">
            <v>#N/A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>
            <v>49.84</v>
          </cell>
          <cell r="Q259">
            <v>9.1662759999999999</v>
          </cell>
          <cell r="R259" t="e">
            <v>#N/A</v>
          </cell>
        </row>
        <row r="260">
          <cell r="A260">
            <v>39531</v>
          </cell>
          <cell r="B260">
            <v>39531</v>
          </cell>
          <cell r="C260" t="str">
            <v>Past</v>
          </cell>
          <cell r="D260">
            <v>50.1</v>
          </cell>
          <cell r="E260" t="e">
            <v>#N/A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>
            <v>50.1</v>
          </cell>
          <cell r="Q260">
            <v>5.7913179999999995</v>
          </cell>
          <cell r="R260" t="e">
            <v>#N/A</v>
          </cell>
        </row>
        <row r="261">
          <cell r="A261">
            <v>39532</v>
          </cell>
          <cell r="B261">
            <v>39532</v>
          </cell>
          <cell r="C261" t="str">
            <v>Past</v>
          </cell>
          <cell r="D261">
            <v>50.17</v>
          </cell>
          <cell r="E261" t="e">
            <v>#N/A</v>
          </cell>
          <cell r="F261" t="e">
            <v>#N/A</v>
          </cell>
          <cell r="G261" t="e">
            <v>#N/A</v>
          </cell>
          <cell r="H261" t="e">
            <v>#N/A</v>
          </cell>
          <cell r="I261" t="e">
            <v>#N/A</v>
          </cell>
          <cell r="J261" t="e">
            <v>#N/A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  <cell r="O261" t="e">
            <v>#N/A</v>
          </cell>
          <cell r="P261">
            <v>50.17</v>
          </cell>
          <cell r="Q261">
            <v>4.5670100000000007</v>
          </cell>
          <cell r="R261" t="e">
            <v>#N/A</v>
          </cell>
        </row>
        <row r="262">
          <cell r="A262">
            <v>39533</v>
          </cell>
          <cell r="B262">
            <v>39533</v>
          </cell>
          <cell r="C262" t="str">
            <v>Past</v>
          </cell>
          <cell r="D262">
            <v>50.19</v>
          </cell>
          <cell r="E262" t="e">
            <v>#N/A</v>
          </cell>
          <cell r="F262" t="e">
            <v>#N/A</v>
          </cell>
          <cell r="G262" t="e">
            <v>#N/A</v>
          </cell>
          <cell r="H262" t="e">
            <v>#N/A</v>
          </cell>
          <cell r="I262" t="e">
            <v>#N/A</v>
          </cell>
          <cell r="J262" t="e">
            <v>#N/A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  <cell r="O262" t="e">
            <v>#N/A</v>
          </cell>
          <cell r="P262">
            <v>50.19</v>
          </cell>
          <cell r="Q262">
            <v>6.3212000000000002</v>
          </cell>
          <cell r="R262" t="e">
            <v>#N/A</v>
          </cell>
        </row>
        <row r="263">
          <cell r="A263">
            <v>39534</v>
          </cell>
          <cell r="B263">
            <v>39534</v>
          </cell>
          <cell r="C263" t="str">
            <v>Past</v>
          </cell>
          <cell r="D263">
            <v>50.43</v>
          </cell>
          <cell r="E263" t="e">
            <v>#N/A</v>
          </cell>
          <cell r="F263" t="e">
            <v>#N/A</v>
          </cell>
          <cell r="G263" t="e">
            <v>#N/A</v>
          </cell>
          <cell r="H263" t="e">
            <v>#N/A</v>
          </cell>
          <cell r="I263" t="e">
            <v>#N/A</v>
          </cell>
          <cell r="J263" t="e">
            <v>#N/A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  <cell r="O263" t="e">
            <v>#N/A</v>
          </cell>
          <cell r="P263">
            <v>50.43</v>
          </cell>
          <cell r="Q263">
            <v>4.9405919999999997</v>
          </cell>
          <cell r="R263" t="e">
            <v>#N/A</v>
          </cell>
        </row>
        <row r="264">
          <cell r="A264">
            <v>39535</v>
          </cell>
          <cell r="B264">
            <v>39535</v>
          </cell>
          <cell r="C264" t="str">
            <v>Past</v>
          </cell>
          <cell r="D264">
            <v>50.29</v>
          </cell>
          <cell r="E264" t="e">
            <v>#N/A</v>
          </cell>
          <cell r="F264" t="e">
            <v>#N/A</v>
          </cell>
          <cell r="G264" t="e">
            <v>#N/A</v>
          </cell>
          <cell r="H264" t="e">
            <v>#N/A</v>
          </cell>
          <cell r="I264" t="e">
            <v>#N/A</v>
          </cell>
          <cell r="J264" t="e">
            <v>#N/A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  <cell r="O264" t="e">
            <v>#N/A</v>
          </cell>
          <cell r="P264">
            <v>50.29</v>
          </cell>
          <cell r="Q264">
            <v>5.3374350000000002</v>
          </cell>
          <cell r="R264" t="e">
            <v>#N/A</v>
          </cell>
        </row>
        <row r="265">
          <cell r="A265">
            <v>39538</v>
          </cell>
          <cell r="B265">
            <v>39538</v>
          </cell>
          <cell r="C265" t="str">
            <v>Past</v>
          </cell>
          <cell r="D265">
            <v>51.59</v>
          </cell>
          <cell r="E265" t="e">
            <v>#N/A</v>
          </cell>
          <cell r="F265" t="e">
            <v>#N/A</v>
          </cell>
          <cell r="G265" t="e">
            <v>#N/A</v>
          </cell>
          <cell r="H265" t="e">
            <v>#N/A</v>
          </cell>
          <cell r="I265" t="e">
            <v>#N/A</v>
          </cell>
          <cell r="J265" t="e">
            <v>#N/A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  <cell r="O265" t="e">
            <v>#N/A</v>
          </cell>
          <cell r="P265">
            <v>51.59</v>
          </cell>
          <cell r="Q265">
            <v>8.4783720000000002</v>
          </cell>
          <cell r="R265" t="e">
            <v>#N/A</v>
          </cell>
        </row>
        <row r="266">
          <cell r="A266">
            <v>39539</v>
          </cell>
          <cell r="B266">
            <v>39539</v>
          </cell>
          <cell r="C266" t="str">
            <v>Past</v>
          </cell>
          <cell r="D266">
            <v>52.03</v>
          </cell>
          <cell r="E266" t="e">
            <v>#N/A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>
            <v>52.03</v>
          </cell>
          <cell r="Q266">
            <v>7.230181</v>
          </cell>
          <cell r="R266" t="e">
            <v>#N/A</v>
          </cell>
        </row>
        <row r="267">
          <cell r="A267">
            <v>39540</v>
          </cell>
          <cell r="B267">
            <v>39540</v>
          </cell>
          <cell r="C267" t="str">
            <v>Past</v>
          </cell>
          <cell r="D267">
            <v>51.76</v>
          </cell>
          <cell r="E267" t="e">
            <v>#N/A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>
            <v>51.76</v>
          </cell>
          <cell r="Q267">
            <v>5.5314839999999998</v>
          </cell>
          <cell r="R267" t="e">
            <v>#N/A</v>
          </cell>
        </row>
        <row r="268">
          <cell r="A268">
            <v>39541</v>
          </cell>
          <cell r="B268">
            <v>39541</v>
          </cell>
          <cell r="C268" t="str">
            <v>Past</v>
          </cell>
          <cell r="D268">
            <v>51.8</v>
          </cell>
          <cell r="E268" t="e">
            <v>#N/A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>
            <v>51.8</v>
          </cell>
          <cell r="Q268">
            <v>5.0750000000000002</v>
          </cell>
          <cell r="R268" t="e">
            <v>#N/A</v>
          </cell>
        </row>
        <row r="269">
          <cell r="A269">
            <v>39542</v>
          </cell>
          <cell r="B269">
            <v>39542</v>
          </cell>
          <cell r="C269" t="str">
            <v>Past</v>
          </cell>
          <cell r="D269">
            <v>52.28</v>
          </cell>
          <cell r="E269" t="e">
            <v>#N/A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>
            <v>52.28</v>
          </cell>
          <cell r="Q269">
            <v>5.583723</v>
          </cell>
          <cell r="R269" t="e">
            <v>#N/A</v>
          </cell>
        </row>
        <row r="270">
          <cell r="A270">
            <v>39545</v>
          </cell>
          <cell r="B270">
            <v>39545</v>
          </cell>
          <cell r="C270" t="str">
            <v>Past</v>
          </cell>
          <cell r="D270">
            <v>53.06</v>
          </cell>
          <cell r="E270" t="e">
            <v>#N/A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>
            <v>53.06</v>
          </cell>
          <cell r="Q270">
            <v>6.1278569999999997</v>
          </cell>
          <cell r="R270" t="e">
            <v>#N/A</v>
          </cell>
        </row>
        <row r="271">
          <cell r="A271">
            <v>39546</v>
          </cell>
          <cell r="B271">
            <v>39546</v>
          </cell>
          <cell r="C271" t="str">
            <v>Past</v>
          </cell>
          <cell r="D271">
            <v>52.3</v>
          </cell>
          <cell r="E271" t="e">
            <v>#N/A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>
            <v>52.3</v>
          </cell>
          <cell r="Q271">
            <v>4.8953959999999999</v>
          </cell>
          <cell r="R271" t="e">
            <v>#N/A</v>
          </cell>
        </row>
        <row r="272">
          <cell r="A272">
            <v>39547</v>
          </cell>
          <cell r="B272">
            <v>39547</v>
          </cell>
          <cell r="C272" t="str">
            <v>Past</v>
          </cell>
          <cell r="D272">
            <v>51.77</v>
          </cell>
          <cell r="E272" t="e">
            <v>#N/A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>
            <v>51.77</v>
          </cell>
          <cell r="Q272">
            <v>5.0903510000000001</v>
          </cell>
          <cell r="R272" t="e">
            <v>#N/A</v>
          </cell>
        </row>
        <row r="273">
          <cell r="A273">
            <v>39548</v>
          </cell>
          <cell r="B273">
            <v>39548</v>
          </cell>
          <cell r="C273" t="str">
            <v>Past</v>
          </cell>
          <cell r="D273">
            <v>52.39</v>
          </cell>
          <cell r="E273" t="e">
            <v>#N/A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>
            <v>52.39</v>
          </cell>
          <cell r="Q273">
            <v>5.4585059999999999</v>
          </cell>
          <cell r="R273" t="e">
            <v>#N/A</v>
          </cell>
        </row>
        <row r="274">
          <cell r="A274">
            <v>39549</v>
          </cell>
          <cell r="B274">
            <v>39549</v>
          </cell>
          <cell r="C274" t="str">
            <v>Past</v>
          </cell>
          <cell r="D274">
            <v>51.93</v>
          </cell>
          <cell r="E274" t="e">
            <v>#N/A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>
            <v>51.93</v>
          </cell>
          <cell r="Q274">
            <v>5.3465759999999998</v>
          </cell>
          <cell r="R274" t="e">
            <v>#N/A</v>
          </cell>
        </row>
        <row r="275">
          <cell r="A275">
            <v>39552</v>
          </cell>
          <cell r="B275">
            <v>39552</v>
          </cell>
          <cell r="C275" t="str">
            <v>Past</v>
          </cell>
          <cell r="D275">
            <v>51.82</v>
          </cell>
          <cell r="E275" t="e">
            <v>#N/A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>
            <v>51.82</v>
          </cell>
          <cell r="Q275">
            <v>4.8003</v>
          </cell>
          <cell r="R275" t="e">
            <v>#N/A</v>
          </cell>
        </row>
        <row r="276">
          <cell r="A276">
            <v>39553</v>
          </cell>
          <cell r="B276">
            <v>39553</v>
          </cell>
          <cell r="C276" t="str">
            <v>Past</v>
          </cell>
          <cell r="D276">
            <v>51.55</v>
          </cell>
          <cell r="E276" t="e">
            <v>#N/A</v>
          </cell>
          <cell r="F276" t="e">
            <v>#N/A</v>
          </cell>
          <cell r="G276" t="e">
            <v>#N/A</v>
          </cell>
          <cell r="H276" t="e">
            <v>#N/A</v>
          </cell>
          <cell r="I276" t="e">
            <v>#N/A</v>
          </cell>
          <cell r="J276" t="e">
            <v>#N/A</v>
          </cell>
          <cell r="K276" t="e">
            <v>#N/A</v>
          </cell>
          <cell r="L276" t="e">
            <v>#N/A</v>
          </cell>
          <cell r="M276" t="e">
            <v>#N/A</v>
          </cell>
          <cell r="N276" t="e">
            <v>#N/A</v>
          </cell>
          <cell r="O276" t="e">
            <v>#N/A</v>
          </cell>
          <cell r="P276">
            <v>51.55</v>
          </cell>
          <cell r="Q276">
            <v>5.6022179999999997</v>
          </cell>
          <cell r="R276" t="e">
            <v>#N/A</v>
          </cell>
        </row>
        <row r="277">
          <cell r="A277">
            <v>39554</v>
          </cell>
          <cell r="B277">
            <v>39554</v>
          </cell>
          <cell r="C277" t="str">
            <v>Past</v>
          </cell>
          <cell r="D277">
            <v>52.55</v>
          </cell>
          <cell r="E277" t="e">
            <v>#N/A</v>
          </cell>
          <cell r="F277" t="e">
            <v>#N/A</v>
          </cell>
          <cell r="G277" t="e">
            <v>#N/A</v>
          </cell>
          <cell r="H277" t="e">
            <v>#N/A</v>
          </cell>
          <cell r="I277" t="e">
            <v>#N/A</v>
          </cell>
          <cell r="J277" t="e">
            <v>#N/A</v>
          </cell>
          <cell r="K277" t="e">
            <v>#N/A</v>
          </cell>
          <cell r="L277" t="e">
            <v>#N/A</v>
          </cell>
          <cell r="M277" t="e">
            <v>#N/A</v>
          </cell>
          <cell r="N277" t="e">
            <v>#N/A</v>
          </cell>
          <cell r="O277" t="e">
            <v>#N/A</v>
          </cell>
          <cell r="P277">
            <v>52.55</v>
          </cell>
          <cell r="Q277">
            <v>4.3013560000000002</v>
          </cell>
          <cell r="R277" t="e">
            <v>#N/A</v>
          </cell>
        </row>
        <row r="278">
          <cell r="A278">
            <v>39555</v>
          </cell>
          <cell r="B278">
            <v>39555</v>
          </cell>
          <cell r="C278" t="str">
            <v>Past</v>
          </cell>
          <cell r="D278">
            <v>51.39</v>
          </cell>
          <cell r="E278" t="e">
            <v>#N/A</v>
          </cell>
          <cell r="F278" t="e">
            <v>#N/A</v>
          </cell>
          <cell r="G278" t="e">
            <v>#N/A</v>
          </cell>
          <cell r="H278" t="e">
            <v>#N/A</v>
          </cell>
          <cell r="I278" t="e">
            <v>#N/A</v>
          </cell>
          <cell r="J278" t="e">
            <v>#N/A</v>
          </cell>
          <cell r="K278" t="e">
            <v>#N/A</v>
          </cell>
          <cell r="L278" t="e">
            <v>#N/A</v>
          </cell>
          <cell r="M278" t="e">
            <v>#N/A</v>
          </cell>
          <cell r="N278" t="e">
            <v>#N/A</v>
          </cell>
          <cell r="O278" t="e">
            <v>#N/A</v>
          </cell>
          <cell r="P278">
            <v>51.39</v>
          </cell>
          <cell r="Q278">
            <v>6.9287829999999992</v>
          </cell>
          <cell r="R278" t="e">
            <v>#N/A</v>
          </cell>
        </row>
        <row r="279">
          <cell r="A279">
            <v>39556</v>
          </cell>
          <cell r="B279">
            <v>39556</v>
          </cell>
          <cell r="C279" t="str">
            <v>Past</v>
          </cell>
          <cell r="D279">
            <v>52.07</v>
          </cell>
          <cell r="E279" t="e">
            <v>#N/A</v>
          </cell>
          <cell r="F279" t="e">
            <v>#N/A</v>
          </cell>
          <cell r="G279" t="e">
            <v>#N/A</v>
          </cell>
          <cell r="H279" t="e">
            <v>#N/A</v>
          </cell>
          <cell r="I279" t="e">
            <v>#N/A</v>
          </cell>
          <cell r="J279" t="e">
            <v>#N/A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  <cell r="O279" t="e">
            <v>#N/A</v>
          </cell>
          <cell r="P279">
            <v>52.07</v>
          </cell>
          <cell r="Q279">
            <v>6.2235579999999997</v>
          </cell>
          <cell r="R279" t="e">
            <v>#N/A</v>
          </cell>
        </row>
        <row r="280">
          <cell r="A280">
            <v>39559</v>
          </cell>
          <cell r="B280">
            <v>39559</v>
          </cell>
          <cell r="C280" t="str">
            <v>Past</v>
          </cell>
          <cell r="D280">
            <v>49.59</v>
          </cell>
          <cell r="E280" t="e">
            <v>#N/A</v>
          </cell>
          <cell r="F280" t="e">
            <v>#N/A</v>
          </cell>
          <cell r="G280" t="e">
            <v>#N/A</v>
          </cell>
          <cell r="H280" t="e">
            <v>#N/A</v>
          </cell>
          <cell r="I280" t="e">
            <v>#N/A</v>
          </cell>
          <cell r="J280" t="e">
            <v>#N/A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  <cell r="O280" t="e">
            <v>#N/A</v>
          </cell>
          <cell r="P280">
            <v>49.59</v>
          </cell>
          <cell r="Q280">
            <v>10.13949</v>
          </cell>
          <cell r="R280" t="e">
            <v>#N/A</v>
          </cell>
        </row>
        <row r="281">
          <cell r="A281">
            <v>39560</v>
          </cell>
          <cell r="B281">
            <v>39560</v>
          </cell>
          <cell r="C281" t="str">
            <v>Past</v>
          </cell>
          <cell r="D281">
            <v>49.05</v>
          </cell>
          <cell r="E281" t="e">
            <v>#N/A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>
            <v>49.05</v>
          </cell>
          <cell r="Q281">
            <v>8.5261739999999993</v>
          </cell>
          <cell r="R281" t="e">
            <v>#N/A</v>
          </cell>
        </row>
        <row r="282">
          <cell r="A282">
            <v>39561</v>
          </cell>
          <cell r="B282">
            <v>39561</v>
          </cell>
          <cell r="C282" t="str">
            <v>Past</v>
          </cell>
          <cell r="D282">
            <v>49.19</v>
          </cell>
          <cell r="E282" t="e">
            <v>#N/A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>
            <v>49.19</v>
          </cell>
          <cell r="Q282">
            <v>6.5452360000000001</v>
          </cell>
          <cell r="R282" t="e">
            <v>#N/A</v>
          </cell>
        </row>
        <row r="283">
          <cell r="A283">
            <v>39562</v>
          </cell>
          <cell r="B283">
            <v>39562</v>
          </cell>
          <cell r="C283" t="str">
            <v>Past</v>
          </cell>
          <cell r="D283">
            <v>49.04</v>
          </cell>
          <cell r="E283" t="e">
            <v>#N/A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>
            <v>49.04</v>
          </cell>
          <cell r="Q283">
            <v>4.4469729999999998</v>
          </cell>
          <cell r="R283" t="e">
            <v>#N/A</v>
          </cell>
        </row>
        <row r="284">
          <cell r="A284">
            <v>39563</v>
          </cell>
          <cell r="B284">
            <v>39563</v>
          </cell>
          <cell r="C284" t="str">
            <v>Past</v>
          </cell>
          <cell r="D284">
            <v>49.36</v>
          </cell>
          <cell r="E284" t="e">
            <v>#N/A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>
            <v>49.36</v>
          </cell>
          <cell r="Q284">
            <v>4.609451</v>
          </cell>
          <cell r="R284" t="e">
            <v>#N/A</v>
          </cell>
        </row>
        <row r="285">
          <cell r="A285">
            <v>39566</v>
          </cell>
          <cell r="B285">
            <v>39566</v>
          </cell>
          <cell r="C285" t="str">
            <v>Past</v>
          </cell>
          <cell r="D285">
            <v>49.36</v>
          </cell>
          <cell r="E285" t="e">
            <v>#N/A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>
            <v>49.36</v>
          </cell>
          <cell r="Q285">
            <v>4.9131529999999994</v>
          </cell>
          <cell r="R285" t="e">
            <v>#N/A</v>
          </cell>
        </row>
        <row r="286">
          <cell r="A286">
            <v>39567</v>
          </cell>
          <cell r="B286">
            <v>39567</v>
          </cell>
          <cell r="C286" t="str">
            <v>Past</v>
          </cell>
          <cell r="D286">
            <v>48.11</v>
          </cell>
          <cell r="E286" t="e">
            <v>#N/A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>
            <v>48.11</v>
          </cell>
          <cell r="Q286">
            <v>8.5598390000000002</v>
          </cell>
          <cell r="R286" t="e">
            <v>#N/A</v>
          </cell>
        </row>
        <row r="287">
          <cell r="A287">
            <v>39568</v>
          </cell>
          <cell r="B287">
            <v>39568</v>
          </cell>
          <cell r="C287" t="str">
            <v>Past</v>
          </cell>
          <cell r="D287">
            <v>48.14</v>
          </cell>
          <cell r="E287" t="e">
            <v>#N/A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>
            <v>48.14</v>
          </cell>
          <cell r="Q287">
            <v>6.1428139999999996</v>
          </cell>
          <cell r="R287" t="e">
            <v>#N/A</v>
          </cell>
        </row>
        <row r="288">
          <cell r="A288">
            <v>39569</v>
          </cell>
          <cell r="B288">
            <v>39569</v>
          </cell>
          <cell r="C288" t="str">
            <v>Past</v>
          </cell>
          <cell r="D288">
            <v>49.72</v>
          </cell>
          <cell r="E288" t="e">
            <v>#N/A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>
            <v>49.72</v>
          </cell>
          <cell r="Q288">
            <v>6.2675000000000001</v>
          </cell>
          <cell r="R288" t="e">
            <v>#N/A</v>
          </cell>
        </row>
        <row r="289">
          <cell r="A289">
            <v>39570</v>
          </cell>
          <cell r="B289">
            <v>39570</v>
          </cell>
          <cell r="C289" t="str">
            <v>Past</v>
          </cell>
          <cell r="D289">
            <v>49.38</v>
          </cell>
          <cell r="E289" t="e">
            <v>#N/A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>
            <v>49.38</v>
          </cell>
          <cell r="Q289">
            <v>3.6564389999999998</v>
          </cell>
          <cell r="R289" t="e">
            <v>#N/A</v>
          </cell>
        </row>
        <row r="290">
          <cell r="A290">
            <v>39573</v>
          </cell>
          <cell r="B290">
            <v>39573</v>
          </cell>
          <cell r="C290" t="str">
            <v>Past</v>
          </cell>
          <cell r="D290">
            <v>48.99</v>
          </cell>
          <cell r="E290" t="e">
            <v>#N/A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>
            <v>48.99</v>
          </cell>
          <cell r="Q290">
            <v>3.4593929999999999</v>
          </cell>
          <cell r="R290" t="e">
            <v>#N/A</v>
          </cell>
        </row>
        <row r="291">
          <cell r="A291">
            <v>39574</v>
          </cell>
          <cell r="B291">
            <v>39574</v>
          </cell>
          <cell r="C291" t="str">
            <v>Past</v>
          </cell>
          <cell r="D291">
            <v>48.75</v>
          </cell>
          <cell r="E291" t="e">
            <v>#N/A</v>
          </cell>
          <cell r="F291" t="e">
            <v>#N/A</v>
          </cell>
          <cell r="G291" t="e">
            <v>#N/A</v>
          </cell>
          <cell r="H291" t="e">
            <v>#N/A</v>
          </cell>
          <cell r="I291" t="e">
            <v>#N/A</v>
          </cell>
          <cell r="J291" t="e">
            <v>#N/A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  <cell r="O291" t="e">
            <v>#N/A</v>
          </cell>
          <cell r="P291">
            <v>48.75</v>
          </cell>
          <cell r="Q291">
            <v>4.2778359999999997</v>
          </cell>
          <cell r="R291" t="e">
            <v>#N/A</v>
          </cell>
        </row>
        <row r="292">
          <cell r="A292">
            <v>39575</v>
          </cell>
          <cell r="B292">
            <v>39575</v>
          </cell>
          <cell r="C292" t="str">
            <v>Past</v>
          </cell>
          <cell r="D292">
            <v>48.65</v>
          </cell>
          <cell r="E292" t="e">
            <v>#N/A</v>
          </cell>
          <cell r="F292" t="e">
            <v>#N/A</v>
          </cell>
          <cell r="G292" t="e">
            <v>#N/A</v>
          </cell>
          <cell r="H292" t="e">
            <v>#N/A</v>
          </cell>
          <cell r="I292" t="e">
            <v>#N/A</v>
          </cell>
          <cell r="J292" t="e">
            <v>#N/A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  <cell r="O292" t="e">
            <v>#N/A</v>
          </cell>
          <cell r="P292">
            <v>48.65</v>
          </cell>
          <cell r="Q292">
            <v>5.5046119999999998</v>
          </cell>
          <cell r="R292" t="e">
            <v>#N/A</v>
          </cell>
        </row>
        <row r="293">
          <cell r="A293">
            <v>39576</v>
          </cell>
          <cell r="B293">
            <v>39576</v>
          </cell>
          <cell r="C293" t="str">
            <v>Past</v>
          </cell>
          <cell r="D293">
            <v>48.43</v>
          </cell>
          <cell r="E293" t="e">
            <v>#N/A</v>
          </cell>
          <cell r="F293" t="e">
            <v>#N/A</v>
          </cell>
          <cell r="G293" t="e">
            <v>#N/A</v>
          </cell>
          <cell r="H293" t="e">
            <v>#N/A</v>
          </cell>
          <cell r="I293" t="e">
            <v>#N/A</v>
          </cell>
          <cell r="J293" t="e">
            <v>#N/A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  <cell r="O293" t="e">
            <v>#N/A</v>
          </cell>
          <cell r="P293">
            <v>48.43</v>
          </cell>
          <cell r="Q293">
            <v>5.3023039999999995</v>
          </cell>
          <cell r="R293" t="e">
            <v>#N/A</v>
          </cell>
        </row>
        <row r="294">
          <cell r="A294">
            <v>39577</v>
          </cell>
          <cell r="B294">
            <v>39577</v>
          </cell>
          <cell r="C294" t="str">
            <v>Past</v>
          </cell>
          <cell r="D294">
            <v>48.25</v>
          </cell>
          <cell r="E294" t="e">
            <v>#N/A</v>
          </cell>
          <cell r="F294" t="e">
            <v>#N/A</v>
          </cell>
          <cell r="G294" t="e">
            <v>#N/A</v>
          </cell>
          <cell r="H294" t="e">
            <v>#N/A</v>
          </cell>
          <cell r="I294" t="e">
            <v>#N/A</v>
          </cell>
          <cell r="J294" t="e">
            <v>#N/A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  <cell r="O294" t="e">
            <v>#N/A</v>
          </cell>
          <cell r="P294">
            <v>48.25</v>
          </cell>
          <cell r="Q294">
            <v>4.2933690000000002</v>
          </cell>
          <cell r="R294" t="e">
            <v>#N/A</v>
          </cell>
        </row>
        <row r="295">
          <cell r="A295">
            <v>39580</v>
          </cell>
          <cell r="B295">
            <v>39580</v>
          </cell>
          <cell r="C295" t="str">
            <v>Past</v>
          </cell>
          <cell r="D295">
            <v>48.76</v>
          </cell>
          <cell r="E295" t="e">
            <v>#N/A</v>
          </cell>
          <cell r="F295" t="e">
            <v>#N/A</v>
          </cell>
          <cell r="G295" t="e">
            <v>#N/A</v>
          </cell>
          <cell r="H295" t="e">
            <v>#N/A</v>
          </cell>
          <cell r="I295" t="e">
            <v>#N/A</v>
          </cell>
          <cell r="J295" t="e">
            <v>#N/A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  <cell r="O295" t="e">
            <v>#N/A</v>
          </cell>
          <cell r="P295">
            <v>48.76</v>
          </cell>
          <cell r="Q295">
            <v>3.5420409999999998</v>
          </cell>
          <cell r="R295" t="e">
            <v>#N/A</v>
          </cell>
        </row>
        <row r="296">
          <cell r="A296">
            <v>39581</v>
          </cell>
          <cell r="B296">
            <v>39581</v>
          </cell>
          <cell r="C296" t="str">
            <v>Past</v>
          </cell>
          <cell r="D296">
            <v>47.55</v>
          </cell>
          <cell r="E296" t="e">
            <v>#N/A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>
            <v>47.55</v>
          </cell>
          <cell r="Q296">
            <v>5.3672779999999998</v>
          </cell>
          <cell r="R296" t="e">
            <v>#N/A</v>
          </cell>
        </row>
        <row r="297">
          <cell r="A297">
            <v>39582</v>
          </cell>
          <cell r="B297">
            <v>39582</v>
          </cell>
          <cell r="C297" t="str">
            <v>Past</v>
          </cell>
          <cell r="D297">
            <v>48.3</v>
          </cell>
          <cell r="E297" t="e">
            <v>#N/A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>
            <v>48.3</v>
          </cell>
          <cell r="Q297">
            <v>4.3714700000000004</v>
          </cell>
          <cell r="R297" t="e">
            <v>#N/A</v>
          </cell>
        </row>
        <row r="298">
          <cell r="A298">
            <v>39583</v>
          </cell>
          <cell r="B298">
            <v>39583</v>
          </cell>
          <cell r="C298" t="str">
            <v>Past</v>
          </cell>
          <cell r="D298">
            <v>48.67</v>
          </cell>
          <cell r="E298" t="e">
            <v>#N/A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>
            <v>48.67</v>
          </cell>
          <cell r="Q298">
            <v>5.1942259999999996</v>
          </cell>
          <cell r="R298" t="e">
            <v>#N/A</v>
          </cell>
        </row>
        <row r="299">
          <cell r="A299">
            <v>39584</v>
          </cell>
          <cell r="B299">
            <v>39584</v>
          </cell>
          <cell r="C299" t="str">
            <v>Past</v>
          </cell>
          <cell r="D299">
            <v>48.95</v>
          </cell>
          <cell r="E299" t="e">
            <v>#N/A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>
            <v>48.95</v>
          </cell>
          <cell r="Q299">
            <v>5.1961449999999996</v>
          </cell>
          <cell r="R299" t="e">
            <v>#N/A</v>
          </cell>
        </row>
        <row r="300">
          <cell r="A300">
            <v>39587</v>
          </cell>
          <cell r="B300">
            <v>39587</v>
          </cell>
          <cell r="C300" t="str">
            <v>Past</v>
          </cell>
          <cell r="D300">
            <v>49.53</v>
          </cell>
          <cell r="E300" t="e">
            <v>#N/A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>
            <v>49.53</v>
          </cell>
          <cell r="Q300">
            <v>3.7795079999999999</v>
          </cell>
          <cell r="R300" t="e">
            <v>#N/A</v>
          </cell>
        </row>
        <row r="301">
          <cell r="A301">
            <v>39588</v>
          </cell>
          <cell r="B301">
            <v>39588</v>
          </cell>
          <cell r="C301" t="str">
            <v>Past</v>
          </cell>
          <cell r="D301">
            <v>48.96</v>
          </cell>
          <cell r="E301" t="e">
            <v>#N/A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>
            <v>48.96</v>
          </cell>
          <cell r="Q301">
            <v>4.1332800000000001</v>
          </cell>
          <cell r="R301" t="e">
            <v>#N/A</v>
          </cell>
        </row>
        <row r="302">
          <cell r="A302">
            <v>39589</v>
          </cell>
          <cell r="B302">
            <v>39589</v>
          </cell>
          <cell r="C302" t="str">
            <v>Past</v>
          </cell>
          <cell r="D302">
            <v>48.1</v>
          </cell>
          <cell r="E302" t="e">
            <v>#N/A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>
            <v>48.1</v>
          </cell>
          <cell r="Q302">
            <v>4.6815200000000008</v>
          </cell>
          <cell r="R302" t="e">
            <v>#N/A</v>
          </cell>
        </row>
        <row r="303">
          <cell r="A303">
            <v>39590</v>
          </cell>
          <cell r="B303">
            <v>39590</v>
          </cell>
          <cell r="C303" t="str">
            <v>Past</v>
          </cell>
          <cell r="D303">
            <v>48.48</v>
          </cell>
          <cell r="E303" t="e">
            <v>#N/A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>
            <v>48.48</v>
          </cell>
          <cell r="Q303">
            <v>3.1060369999999997</v>
          </cell>
          <cell r="R303" t="e">
            <v>#N/A</v>
          </cell>
        </row>
        <row r="304">
          <cell r="A304">
            <v>39591</v>
          </cell>
          <cell r="B304">
            <v>39591</v>
          </cell>
          <cell r="C304" t="str">
            <v>Past</v>
          </cell>
          <cell r="D304">
            <v>47.57</v>
          </cell>
          <cell r="E304" t="e">
            <v>#N/A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>
            <v>47.57</v>
          </cell>
          <cell r="Q304">
            <v>3.602738</v>
          </cell>
          <cell r="R304" t="e">
            <v>#N/A</v>
          </cell>
        </row>
        <row r="305">
          <cell r="A305">
            <v>39595</v>
          </cell>
          <cell r="B305">
            <v>39595</v>
          </cell>
          <cell r="C305" t="str">
            <v>Past</v>
          </cell>
          <cell r="D305">
            <v>47.94</v>
          </cell>
          <cell r="E305" t="e">
            <v>#N/A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>
            <v>47.94</v>
          </cell>
          <cell r="Q305">
            <v>2.9895320000000001</v>
          </cell>
          <cell r="R305" t="e">
            <v>#N/A</v>
          </cell>
        </row>
        <row r="306">
          <cell r="A306">
            <v>39596</v>
          </cell>
          <cell r="B306">
            <v>39596</v>
          </cell>
          <cell r="C306" t="str">
            <v>Past</v>
          </cell>
          <cell r="D306">
            <v>47.85</v>
          </cell>
          <cell r="E306" t="e">
            <v>#N/A</v>
          </cell>
          <cell r="F306" t="e">
            <v>#N/A</v>
          </cell>
          <cell r="G306" t="e">
            <v>#N/A</v>
          </cell>
          <cell r="H306" t="e">
            <v>#N/A</v>
          </cell>
          <cell r="I306" t="e">
            <v>#N/A</v>
          </cell>
          <cell r="J306" t="e">
            <v>#N/A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  <cell r="O306" t="e">
            <v>#N/A</v>
          </cell>
          <cell r="P306">
            <v>47.85</v>
          </cell>
          <cell r="Q306">
            <v>3.5206619999999997</v>
          </cell>
          <cell r="R306" t="e">
            <v>#N/A</v>
          </cell>
        </row>
        <row r="307">
          <cell r="A307">
            <v>39597</v>
          </cell>
          <cell r="B307">
            <v>39597</v>
          </cell>
          <cell r="C307" t="str">
            <v>Past</v>
          </cell>
          <cell r="D307">
            <v>48.6</v>
          </cell>
          <cell r="E307" t="e">
            <v>#N/A</v>
          </cell>
          <cell r="F307" t="e">
            <v>#N/A</v>
          </cell>
          <cell r="G307" t="e">
            <v>#N/A</v>
          </cell>
          <cell r="H307" t="e">
            <v>#N/A</v>
          </cell>
          <cell r="I307" t="e">
            <v>#N/A</v>
          </cell>
          <cell r="J307" t="e">
            <v>#N/A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  <cell r="O307" t="e">
            <v>#N/A</v>
          </cell>
          <cell r="P307">
            <v>48.6</v>
          </cell>
          <cell r="Q307">
            <v>6.289917</v>
          </cell>
          <cell r="R307" t="e">
            <v>#N/A</v>
          </cell>
        </row>
        <row r="308">
          <cell r="A308">
            <v>39598</v>
          </cell>
          <cell r="B308">
            <v>39598</v>
          </cell>
          <cell r="C308" t="str">
            <v>Past</v>
          </cell>
          <cell r="D308">
            <v>48.14</v>
          </cell>
          <cell r="E308" t="e">
            <v>#N/A</v>
          </cell>
          <cell r="F308" t="e">
            <v>#N/A</v>
          </cell>
          <cell r="G308" t="e">
            <v>#N/A</v>
          </cell>
          <cell r="H308" t="e">
            <v>#N/A</v>
          </cell>
          <cell r="I308" t="e">
            <v>#N/A</v>
          </cell>
          <cell r="J308" t="e">
            <v>#N/A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  <cell r="O308" t="e">
            <v>#N/A</v>
          </cell>
          <cell r="P308">
            <v>48.14</v>
          </cell>
          <cell r="Q308">
            <v>4.0569929999999994</v>
          </cell>
          <cell r="R308" t="e">
            <v>#N/A</v>
          </cell>
        </row>
        <row r="309">
          <cell r="A309">
            <v>39601</v>
          </cell>
          <cell r="B309">
            <v>39601</v>
          </cell>
          <cell r="C309" t="str">
            <v>Past</v>
          </cell>
          <cell r="D309">
            <v>47.59</v>
          </cell>
          <cell r="E309" t="e">
            <v>#N/A</v>
          </cell>
          <cell r="F309" t="e">
            <v>#N/A</v>
          </cell>
          <cell r="G309" t="e">
            <v>#N/A</v>
          </cell>
          <cell r="H309" t="e">
            <v>#N/A</v>
          </cell>
          <cell r="I309" t="e">
            <v>#N/A</v>
          </cell>
          <cell r="J309" t="e">
            <v>#N/A</v>
          </cell>
          <cell r="K309" t="e">
            <v>#N/A</v>
          </cell>
          <cell r="L309" t="e">
            <v>#N/A</v>
          </cell>
          <cell r="M309" t="e">
            <v>#N/A</v>
          </cell>
          <cell r="N309" t="e">
            <v>#N/A</v>
          </cell>
          <cell r="O309" t="e">
            <v>#N/A</v>
          </cell>
          <cell r="P309">
            <v>47.59</v>
          </cell>
          <cell r="Q309">
            <v>5.9305129999999995</v>
          </cell>
          <cell r="R309" t="e">
            <v>#N/A</v>
          </cell>
        </row>
        <row r="310">
          <cell r="A310">
            <v>39602</v>
          </cell>
          <cell r="B310">
            <v>39602</v>
          </cell>
          <cell r="C310" t="str">
            <v>Past</v>
          </cell>
          <cell r="D310">
            <v>48.28</v>
          </cell>
          <cell r="E310" t="e">
            <v>#N/A</v>
          </cell>
          <cell r="F310" t="e">
            <v>#N/A</v>
          </cell>
          <cell r="G310" t="e">
            <v>#N/A</v>
          </cell>
          <cell r="H310" t="e">
            <v>#N/A</v>
          </cell>
          <cell r="I310" t="e">
            <v>#N/A</v>
          </cell>
          <cell r="J310" t="e">
            <v>#N/A</v>
          </cell>
          <cell r="K310" t="e">
            <v>#N/A</v>
          </cell>
          <cell r="L310" t="e">
            <v>#N/A</v>
          </cell>
          <cell r="M310" t="e">
            <v>#N/A</v>
          </cell>
          <cell r="N310" t="e">
            <v>#N/A</v>
          </cell>
          <cell r="O310" t="e">
            <v>#N/A</v>
          </cell>
          <cell r="P310">
            <v>48.28</v>
          </cell>
          <cell r="Q310">
            <v>7.2632879999999993</v>
          </cell>
          <cell r="R310" t="e">
            <v>#N/A</v>
          </cell>
        </row>
        <row r="311">
          <cell r="A311">
            <v>39603</v>
          </cell>
          <cell r="B311">
            <v>39603</v>
          </cell>
          <cell r="C311" t="str">
            <v>Past</v>
          </cell>
          <cell r="D311">
            <v>49.04</v>
          </cell>
          <cell r="E311" t="e">
            <v>#N/A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>
            <v>49.04</v>
          </cell>
          <cell r="Q311">
            <v>7.4087769999999997</v>
          </cell>
          <cell r="R311" t="e">
            <v>#N/A</v>
          </cell>
        </row>
        <row r="312">
          <cell r="A312">
            <v>39604</v>
          </cell>
          <cell r="B312">
            <v>39604</v>
          </cell>
          <cell r="C312" t="str">
            <v>Past</v>
          </cell>
          <cell r="D312">
            <v>49.46</v>
          </cell>
          <cell r="E312" t="e">
            <v>#N/A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>
            <v>49.46</v>
          </cell>
          <cell r="Q312">
            <v>7.8629619999999996</v>
          </cell>
          <cell r="R312" t="e">
            <v>#N/A</v>
          </cell>
        </row>
        <row r="313">
          <cell r="A313">
            <v>39605</v>
          </cell>
          <cell r="B313">
            <v>39605</v>
          </cell>
          <cell r="C313" t="str">
            <v>Past</v>
          </cell>
          <cell r="D313">
            <v>48.42</v>
          </cell>
          <cell r="E313" t="e">
            <v>#N/A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>
            <v>48.42</v>
          </cell>
          <cell r="Q313">
            <v>7.8118429999999996</v>
          </cell>
          <cell r="R313" t="e">
            <v>#N/A</v>
          </cell>
        </row>
        <row r="314">
          <cell r="A314">
            <v>39608</v>
          </cell>
          <cell r="B314">
            <v>39608</v>
          </cell>
          <cell r="C314" t="str">
            <v>Past</v>
          </cell>
          <cell r="D314">
            <v>48.18</v>
          </cell>
          <cell r="E314" t="e">
            <v>#N/A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>
            <v>48.18</v>
          </cell>
          <cell r="Q314">
            <v>6.4204279999999994</v>
          </cell>
          <cell r="R314" t="e">
            <v>#N/A</v>
          </cell>
        </row>
        <row r="315">
          <cell r="A315">
            <v>39609</v>
          </cell>
          <cell r="B315">
            <v>39609</v>
          </cell>
          <cell r="C315" t="str">
            <v>Past</v>
          </cell>
          <cell r="D315">
            <v>47.94</v>
          </cell>
          <cell r="E315" t="e">
            <v>#N/A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>
            <v>47.94</v>
          </cell>
          <cell r="Q315">
            <v>5.1661869999999999</v>
          </cell>
          <cell r="R315" t="e">
            <v>#N/A</v>
          </cell>
        </row>
        <row r="316">
          <cell r="A316">
            <v>39610</v>
          </cell>
          <cell r="B316">
            <v>39610</v>
          </cell>
          <cell r="C316" t="str">
            <v>Past</v>
          </cell>
          <cell r="D316">
            <v>47.43</v>
          </cell>
          <cell r="E316" t="e">
            <v>#N/A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>
            <v>47.43</v>
          </cell>
          <cell r="Q316">
            <v>4.0563459999999996</v>
          </cell>
          <cell r="R316" t="e">
            <v>#N/A</v>
          </cell>
        </row>
        <row r="317">
          <cell r="A317">
            <v>39611</v>
          </cell>
          <cell r="B317">
            <v>39611</v>
          </cell>
          <cell r="C317" t="str">
            <v>Past</v>
          </cell>
          <cell r="D317">
            <v>47.7</v>
          </cell>
          <cell r="E317" t="e">
            <v>#N/A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>
            <v>47.7</v>
          </cell>
          <cell r="Q317">
            <v>4.5953330000000001</v>
          </cell>
          <cell r="R317" t="e">
            <v>#N/A</v>
          </cell>
        </row>
        <row r="318">
          <cell r="A318">
            <v>39612</v>
          </cell>
          <cell r="B318">
            <v>39612</v>
          </cell>
          <cell r="C318" t="str">
            <v>Past</v>
          </cell>
          <cell r="D318">
            <v>48.33</v>
          </cell>
          <cell r="E318" t="e">
            <v>#N/A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>
            <v>48.33</v>
          </cell>
          <cell r="Q318">
            <v>4.2988210000000002</v>
          </cell>
          <cell r="R318" t="e">
            <v>#N/A</v>
          </cell>
        </row>
        <row r="319">
          <cell r="A319">
            <v>39615</v>
          </cell>
          <cell r="B319">
            <v>39615</v>
          </cell>
          <cell r="C319" t="str">
            <v>Past</v>
          </cell>
          <cell r="D319">
            <v>47.85</v>
          </cell>
          <cell r="E319" t="e">
            <v>#N/A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>
            <v>47.85</v>
          </cell>
          <cell r="Q319">
            <v>5.5685279999999997</v>
          </cell>
          <cell r="R319" t="e">
            <v>#N/A</v>
          </cell>
        </row>
        <row r="320">
          <cell r="A320">
            <v>39616</v>
          </cell>
          <cell r="B320">
            <v>39616</v>
          </cell>
          <cell r="C320" t="str">
            <v>Past</v>
          </cell>
          <cell r="D320">
            <v>47.78</v>
          </cell>
          <cell r="E320" t="e">
            <v>#N/A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>
            <v>47.78</v>
          </cell>
          <cell r="Q320">
            <v>3.4322689999999998</v>
          </cell>
          <cell r="R320" t="e">
            <v>#N/A</v>
          </cell>
        </row>
        <row r="321">
          <cell r="A321">
            <v>39617</v>
          </cell>
          <cell r="B321">
            <v>39617</v>
          </cell>
          <cell r="C321" t="str">
            <v>Past</v>
          </cell>
          <cell r="D321">
            <v>46.97</v>
          </cell>
          <cell r="E321" t="e">
            <v>#N/A</v>
          </cell>
          <cell r="F321" t="e">
            <v>#N/A</v>
          </cell>
          <cell r="G321" t="e">
            <v>#N/A</v>
          </cell>
          <cell r="H321" t="e">
            <v>#N/A</v>
          </cell>
          <cell r="I321" t="e">
            <v>#N/A</v>
          </cell>
          <cell r="J321" t="e">
            <v>#N/A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  <cell r="O321" t="e">
            <v>#N/A</v>
          </cell>
          <cell r="P321">
            <v>46.97</v>
          </cell>
          <cell r="Q321">
            <v>4.2175900000000004</v>
          </cell>
          <cell r="R321" t="e">
            <v>#N/A</v>
          </cell>
        </row>
        <row r="322">
          <cell r="A322">
            <v>39618</v>
          </cell>
          <cell r="B322">
            <v>39618</v>
          </cell>
          <cell r="C322" t="str">
            <v>Past</v>
          </cell>
          <cell r="D322">
            <v>47.79</v>
          </cell>
          <cell r="E322" t="e">
            <v>#N/A</v>
          </cell>
          <cell r="F322" t="e">
            <v>#N/A</v>
          </cell>
          <cell r="G322" t="e">
            <v>#N/A</v>
          </cell>
          <cell r="H322" t="e">
            <v>#N/A</v>
          </cell>
          <cell r="I322" t="e">
            <v>#N/A</v>
          </cell>
          <cell r="J322" t="e">
            <v>#N/A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  <cell r="O322" t="e">
            <v>#N/A</v>
          </cell>
          <cell r="P322">
            <v>47.79</v>
          </cell>
          <cell r="Q322">
            <v>8.2233280000000004</v>
          </cell>
          <cell r="R322" t="e">
            <v>#N/A</v>
          </cell>
        </row>
        <row r="323">
          <cell r="A323">
            <v>39619</v>
          </cell>
          <cell r="B323">
            <v>39619</v>
          </cell>
          <cell r="C323" t="str">
            <v>Past</v>
          </cell>
          <cell r="D323">
            <v>46.93</v>
          </cell>
          <cell r="E323" t="e">
            <v>#N/A</v>
          </cell>
          <cell r="F323" t="e">
            <v>#N/A</v>
          </cell>
          <cell r="G323" t="e">
            <v>#N/A</v>
          </cell>
          <cell r="H323" t="e">
            <v>#N/A</v>
          </cell>
          <cell r="I323" t="e">
            <v>#N/A</v>
          </cell>
          <cell r="J323" t="e">
            <v>#N/A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  <cell r="O323" t="e">
            <v>#N/A</v>
          </cell>
          <cell r="P323">
            <v>46.93</v>
          </cell>
          <cell r="Q323">
            <v>7.4238809999999997</v>
          </cell>
          <cell r="R323" t="e">
            <v>#N/A</v>
          </cell>
        </row>
        <row r="324">
          <cell r="A324">
            <v>39622</v>
          </cell>
          <cell r="B324">
            <v>39622</v>
          </cell>
          <cell r="C324" t="str">
            <v>Past</v>
          </cell>
          <cell r="D324">
            <v>47.6</v>
          </cell>
          <cell r="E324" t="e">
            <v>#N/A</v>
          </cell>
          <cell r="F324" t="e">
            <v>#N/A</v>
          </cell>
          <cell r="G324" t="e">
            <v>#N/A</v>
          </cell>
          <cell r="H324" t="e">
            <v>#N/A</v>
          </cell>
          <cell r="I324" t="e">
            <v>#N/A</v>
          </cell>
          <cell r="J324" t="e">
            <v>#N/A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  <cell r="O324" t="e">
            <v>#N/A</v>
          </cell>
          <cell r="P324">
            <v>47.6</v>
          </cell>
          <cell r="Q324">
            <v>5.4291179999999999</v>
          </cell>
          <cell r="R324" t="e">
            <v>#N/A</v>
          </cell>
        </row>
        <row r="325">
          <cell r="A325">
            <v>39623</v>
          </cell>
          <cell r="B325">
            <v>39623</v>
          </cell>
          <cell r="C325" t="str">
            <v>Past</v>
          </cell>
          <cell r="D325">
            <v>46.94</v>
          </cell>
          <cell r="E325" t="e">
            <v>#N/A</v>
          </cell>
          <cell r="F325" t="e">
            <v>#N/A</v>
          </cell>
          <cell r="G325" t="e">
            <v>#N/A</v>
          </cell>
          <cell r="H325" t="e">
            <v>#N/A</v>
          </cell>
          <cell r="I325" t="e">
            <v>#N/A</v>
          </cell>
          <cell r="J325" t="e">
            <v>#N/A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  <cell r="O325" t="e">
            <v>#N/A</v>
          </cell>
          <cell r="P325">
            <v>46.94</v>
          </cell>
          <cell r="Q325">
            <v>9.2603100000000005</v>
          </cell>
          <cell r="R325" t="e">
            <v>#N/A</v>
          </cell>
        </row>
        <row r="326">
          <cell r="A326">
            <v>39624</v>
          </cell>
          <cell r="B326">
            <v>39624</v>
          </cell>
          <cell r="C326" t="str">
            <v>Past</v>
          </cell>
          <cell r="D326">
            <v>47</v>
          </cell>
          <cell r="E326" t="e">
            <v>#N/A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>
            <v>47</v>
          </cell>
          <cell r="Q326">
            <v>6.0174319999999994</v>
          </cell>
          <cell r="R326" t="e">
            <v>#N/A</v>
          </cell>
        </row>
        <row r="327">
          <cell r="A327">
            <v>39625</v>
          </cell>
          <cell r="B327">
            <v>39625</v>
          </cell>
          <cell r="C327" t="str">
            <v>Past</v>
          </cell>
          <cell r="D327">
            <v>46.02</v>
          </cell>
          <cell r="E327" t="e">
            <v>#N/A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>
            <v>46.02</v>
          </cell>
          <cell r="Q327">
            <v>6.5172559999999997</v>
          </cell>
          <cell r="R327" t="e">
            <v>#N/A</v>
          </cell>
        </row>
        <row r="328">
          <cell r="A328">
            <v>39626</v>
          </cell>
          <cell r="B328">
            <v>39626</v>
          </cell>
          <cell r="C328" t="str">
            <v>Past</v>
          </cell>
          <cell r="D328">
            <v>45.61</v>
          </cell>
          <cell r="E328" t="e">
            <v>#N/A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>
            <v>45.61</v>
          </cell>
          <cell r="Q328">
            <v>7.4178179999999996</v>
          </cell>
          <cell r="R328" t="e">
            <v>#N/A</v>
          </cell>
        </row>
        <row r="329">
          <cell r="A329">
            <v>39629</v>
          </cell>
          <cell r="B329">
            <v>39629</v>
          </cell>
          <cell r="C329" t="str">
            <v>Past</v>
          </cell>
          <cell r="D329">
            <v>46.16</v>
          </cell>
          <cell r="E329" t="e">
            <v>#N/A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>
            <v>46.16</v>
          </cell>
          <cell r="Q329">
            <v>5.4170349999999994</v>
          </cell>
          <cell r="R329" t="e">
            <v>#N/A</v>
          </cell>
        </row>
        <row r="330">
          <cell r="A330">
            <v>39630</v>
          </cell>
          <cell r="B330">
            <v>39630</v>
          </cell>
          <cell r="C330" t="str">
            <v>Past</v>
          </cell>
          <cell r="D330">
            <v>46.1</v>
          </cell>
          <cell r="E330" t="e">
            <v>#N/A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>
            <v>46.1</v>
          </cell>
          <cell r="Q330">
            <v>6.4543559999999998</v>
          </cell>
          <cell r="R330" t="e">
            <v>#N/A</v>
          </cell>
        </row>
        <row r="331">
          <cell r="A331">
            <v>39631</v>
          </cell>
          <cell r="B331">
            <v>39631</v>
          </cell>
          <cell r="C331" t="str">
            <v>Past</v>
          </cell>
          <cell r="D331">
            <v>46.09</v>
          </cell>
          <cell r="E331" t="e">
            <v>#N/A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>
            <v>46.09</v>
          </cell>
          <cell r="Q331">
            <v>4.656085</v>
          </cell>
          <cell r="R331" t="e">
            <v>#N/A</v>
          </cell>
        </row>
        <row r="332">
          <cell r="A332">
            <v>39632</v>
          </cell>
          <cell r="B332">
            <v>39632</v>
          </cell>
          <cell r="C332" t="str">
            <v>Past</v>
          </cell>
          <cell r="D332">
            <v>46.98</v>
          </cell>
          <cell r="E332" t="e">
            <v>#N/A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>
            <v>46.98</v>
          </cell>
          <cell r="Q332">
            <v>4.531256</v>
          </cell>
          <cell r="R332" t="e">
            <v>#N/A</v>
          </cell>
        </row>
        <row r="333">
          <cell r="A333">
            <v>39636</v>
          </cell>
          <cell r="B333">
            <v>39636</v>
          </cell>
          <cell r="C333" t="str">
            <v>Past</v>
          </cell>
          <cell r="D333">
            <v>46.21</v>
          </cell>
          <cell r="E333" t="e">
            <v>#N/A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>
            <v>46.21</v>
          </cell>
          <cell r="Q333">
            <v>6.0968329999999993</v>
          </cell>
          <cell r="R333" t="e">
            <v>#N/A</v>
          </cell>
        </row>
        <row r="334">
          <cell r="A334">
            <v>39637</v>
          </cell>
          <cell r="B334">
            <v>39637</v>
          </cell>
          <cell r="C334" t="str">
            <v>Past</v>
          </cell>
          <cell r="D334">
            <v>48.46</v>
          </cell>
          <cell r="E334" t="e">
            <v>#N/A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>
            <v>48.46</v>
          </cell>
          <cell r="Q334">
            <v>9.3727459999999994</v>
          </cell>
          <cell r="R334" t="e">
            <v>#N/A</v>
          </cell>
        </row>
        <row r="335">
          <cell r="A335">
            <v>39638</v>
          </cell>
          <cell r="B335">
            <v>39638</v>
          </cell>
          <cell r="C335" t="str">
            <v>Past</v>
          </cell>
          <cell r="D335">
            <v>48.37</v>
          </cell>
          <cell r="E335" t="e">
            <v>#N/A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>
            <v>48.37</v>
          </cell>
          <cell r="Q335">
            <v>6.5000749999999998</v>
          </cell>
          <cell r="R335" t="e">
            <v>#N/A</v>
          </cell>
        </row>
        <row r="336">
          <cell r="A336">
            <v>39639</v>
          </cell>
          <cell r="B336">
            <v>39639</v>
          </cell>
          <cell r="C336" t="str">
            <v>Past</v>
          </cell>
          <cell r="D336">
            <v>48.16</v>
          </cell>
          <cell r="E336" t="e">
            <v>#N/A</v>
          </cell>
          <cell r="F336" t="e">
            <v>#N/A</v>
          </cell>
          <cell r="G336" t="e">
            <v>#N/A</v>
          </cell>
          <cell r="H336" t="e">
            <v>#N/A</v>
          </cell>
          <cell r="I336" t="e">
            <v>#N/A</v>
          </cell>
          <cell r="J336" t="e">
            <v>#N/A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  <cell r="O336" t="e">
            <v>#N/A</v>
          </cell>
          <cell r="P336">
            <v>48.16</v>
          </cell>
          <cell r="Q336">
            <v>7.3747479999999994</v>
          </cell>
          <cell r="R336" t="e">
            <v>#N/A</v>
          </cell>
        </row>
        <row r="337">
          <cell r="A337">
            <v>39640</v>
          </cell>
          <cell r="B337">
            <v>39640</v>
          </cell>
          <cell r="C337" t="str">
            <v>Past</v>
          </cell>
          <cell r="D337">
            <v>47.67</v>
          </cell>
          <cell r="E337" t="e">
            <v>#N/A</v>
          </cell>
          <cell r="F337" t="e">
            <v>#N/A</v>
          </cell>
          <cell r="G337" t="e">
            <v>#N/A</v>
          </cell>
          <cell r="H337" t="e">
            <v>#N/A</v>
          </cell>
          <cell r="I337" t="e">
            <v>#N/A</v>
          </cell>
          <cell r="J337" t="e">
            <v>#N/A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  <cell r="O337" t="e">
            <v>#N/A</v>
          </cell>
          <cell r="P337">
            <v>47.67</v>
          </cell>
          <cell r="Q337">
            <v>4.5388700000000002</v>
          </cell>
          <cell r="R337" t="e">
            <v>#N/A</v>
          </cell>
        </row>
        <row r="338">
          <cell r="A338">
            <v>39643</v>
          </cell>
          <cell r="B338">
            <v>39643</v>
          </cell>
          <cell r="C338" t="str">
            <v>Past</v>
          </cell>
          <cell r="D338">
            <v>48.01</v>
          </cell>
          <cell r="E338" t="e">
            <v>#N/A</v>
          </cell>
          <cell r="F338" t="e">
            <v>#N/A</v>
          </cell>
          <cell r="G338" t="e">
            <v>#N/A</v>
          </cell>
          <cell r="H338" t="e">
            <v>#N/A</v>
          </cell>
          <cell r="I338" t="e">
            <v>#N/A</v>
          </cell>
          <cell r="J338" t="e">
            <v>#N/A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  <cell r="O338" t="e">
            <v>#N/A</v>
          </cell>
          <cell r="P338">
            <v>48.01</v>
          </cell>
          <cell r="Q338">
            <v>5.7160969999999995</v>
          </cell>
          <cell r="R338" t="e">
            <v>#N/A</v>
          </cell>
        </row>
        <row r="339">
          <cell r="A339">
            <v>39644</v>
          </cell>
          <cell r="B339">
            <v>39644</v>
          </cell>
          <cell r="C339" t="str">
            <v>Past</v>
          </cell>
          <cell r="D339">
            <v>48.11</v>
          </cell>
          <cell r="E339" t="e">
            <v>#N/A</v>
          </cell>
          <cell r="F339" t="e">
            <v>#N/A</v>
          </cell>
          <cell r="G339" t="e">
            <v>#N/A</v>
          </cell>
          <cell r="H339" t="e">
            <v>#N/A</v>
          </cell>
          <cell r="I339" t="e">
            <v>#N/A</v>
          </cell>
          <cell r="J339" t="e">
            <v>#N/A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  <cell r="O339" t="e">
            <v>#N/A</v>
          </cell>
          <cell r="P339">
            <v>48.11</v>
          </cell>
          <cell r="Q339">
            <v>8.1845389999999991</v>
          </cell>
          <cell r="R339" t="e">
            <v>#N/A</v>
          </cell>
        </row>
        <row r="340">
          <cell r="A340">
            <v>39645</v>
          </cell>
          <cell r="B340">
            <v>39645</v>
          </cell>
          <cell r="C340" t="str">
            <v>Past</v>
          </cell>
          <cell r="D340">
            <v>48.28</v>
          </cell>
          <cell r="E340" t="e">
            <v>#N/A</v>
          </cell>
          <cell r="F340" t="e">
            <v>#N/A</v>
          </cell>
          <cell r="G340" t="e">
            <v>#N/A</v>
          </cell>
          <cell r="H340" t="e">
            <v>#N/A</v>
          </cell>
          <cell r="I340" t="e">
            <v>#N/A</v>
          </cell>
          <cell r="J340" t="e">
            <v>#N/A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  <cell r="O340" t="e">
            <v>#N/A</v>
          </cell>
          <cell r="P340">
            <v>48.28</v>
          </cell>
          <cell r="Q340">
            <v>6.356236</v>
          </cell>
          <cell r="R340" t="e">
            <v>#N/A</v>
          </cell>
        </row>
        <row r="341">
          <cell r="A341">
            <v>39646</v>
          </cell>
          <cell r="B341">
            <v>39646</v>
          </cell>
          <cell r="C341" t="str">
            <v>Past</v>
          </cell>
          <cell r="D341">
            <v>48.38</v>
          </cell>
          <cell r="E341" t="e">
            <v>#N/A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>
            <v>48.38</v>
          </cell>
          <cell r="Q341">
            <v>6.514837</v>
          </cell>
          <cell r="R341" t="e">
            <v>#N/A</v>
          </cell>
        </row>
        <row r="342">
          <cell r="A342">
            <v>39647</v>
          </cell>
          <cell r="B342">
            <v>39647</v>
          </cell>
          <cell r="C342" t="str">
            <v>Past</v>
          </cell>
          <cell r="D342">
            <v>47.91</v>
          </cell>
          <cell r="E342" t="e">
            <v>#N/A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>
            <v>47.91</v>
          </cell>
          <cell r="Q342">
            <v>6.4213829999999996</v>
          </cell>
          <cell r="R342" t="e">
            <v>#N/A</v>
          </cell>
        </row>
        <row r="343">
          <cell r="A343">
            <v>39650</v>
          </cell>
          <cell r="B343">
            <v>39650</v>
          </cell>
          <cell r="C343" t="str">
            <v>Past</v>
          </cell>
          <cell r="D343">
            <v>47.18</v>
          </cell>
          <cell r="E343" t="e">
            <v>#N/A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>
            <v>47.18</v>
          </cell>
          <cell r="Q343">
            <v>4.7416919999999996</v>
          </cell>
          <cell r="R343" t="e">
            <v>#N/A</v>
          </cell>
        </row>
        <row r="344">
          <cell r="A344">
            <v>39651</v>
          </cell>
          <cell r="B344">
            <v>39651</v>
          </cell>
          <cell r="C344" t="str">
            <v>Past</v>
          </cell>
          <cell r="D344">
            <v>46.73</v>
          </cell>
          <cell r="E344" t="e">
            <v>#N/A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>
            <v>46.73</v>
          </cell>
          <cell r="Q344">
            <v>6.6683329999999996</v>
          </cell>
          <cell r="R344" t="e">
            <v>#N/A</v>
          </cell>
        </row>
        <row r="345">
          <cell r="A345">
            <v>39652</v>
          </cell>
          <cell r="B345">
            <v>39652</v>
          </cell>
          <cell r="C345" t="str">
            <v>Past</v>
          </cell>
          <cell r="D345">
            <v>47.62</v>
          </cell>
          <cell r="E345" t="e">
            <v>#N/A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>
            <v>47.62</v>
          </cell>
          <cell r="Q345">
            <v>5.6084069999999997</v>
          </cell>
          <cell r="R345" t="e">
            <v>#N/A</v>
          </cell>
        </row>
        <row r="346">
          <cell r="A346">
            <v>39653</v>
          </cell>
          <cell r="B346">
            <v>39653</v>
          </cell>
          <cell r="C346" t="str">
            <v>Past</v>
          </cell>
          <cell r="D346">
            <v>48</v>
          </cell>
          <cell r="E346" t="e">
            <v>#N/A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>
            <v>48</v>
          </cell>
          <cell r="Q346">
            <v>4.9491429999999994</v>
          </cell>
          <cell r="R346" t="e">
            <v>#N/A</v>
          </cell>
        </row>
        <row r="347">
          <cell r="A347">
            <v>39654</v>
          </cell>
          <cell r="B347">
            <v>39654</v>
          </cell>
          <cell r="C347" t="str">
            <v>Past</v>
          </cell>
          <cell r="D347">
            <v>47.81</v>
          </cell>
          <cell r="E347" t="e">
            <v>#N/A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>
            <v>47.81</v>
          </cell>
          <cell r="Q347">
            <v>4.2006809999999994</v>
          </cell>
          <cell r="R347" t="e">
            <v>#N/A</v>
          </cell>
        </row>
        <row r="348">
          <cell r="A348">
            <v>39657</v>
          </cell>
          <cell r="B348">
            <v>39657</v>
          </cell>
          <cell r="C348" t="str">
            <v>Past</v>
          </cell>
          <cell r="D348">
            <v>47.62</v>
          </cell>
          <cell r="E348" t="e">
            <v>#N/A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>
            <v>47.62</v>
          </cell>
          <cell r="Q348">
            <v>5.1311879999999999</v>
          </cell>
          <cell r="R348" t="e">
            <v>#N/A</v>
          </cell>
        </row>
        <row r="349">
          <cell r="A349">
            <v>39658</v>
          </cell>
          <cell r="B349">
            <v>39658</v>
          </cell>
          <cell r="C349" t="str">
            <v>Past</v>
          </cell>
          <cell r="D349">
            <v>48.26</v>
          </cell>
          <cell r="E349" t="e">
            <v>#N/A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>
            <v>48.26</v>
          </cell>
          <cell r="Q349">
            <v>5.5355879999999997</v>
          </cell>
          <cell r="R349" t="e">
            <v>#N/A</v>
          </cell>
        </row>
        <row r="350">
          <cell r="A350">
            <v>39659</v>
          </cell>
          <cell r="B350">
            <v>39659</v>
          </cell>
          <cell r="C350" t="str">
            <v>Past</v>
          </cell>
          <cell r="D350">
            <v>47.41</v>
          </cell>
          <cell r="E350" t="e">
            <v>#N/A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>
            <v>47.41</v>
          </cell>
          <cell r="Q350">
            <v>7.4262059999999996</v>
          </cell>
          <cell r="R350" t="e">
            <v>#N/A</v>
          </cell>
        </row>
        <row r="351">
          <cell r="A351">
            <v>39660</v>
          </cell>
          <cell r="B351">
            <v>39660</v>
          </cell>
          <cell r="C351" t="str">
            <v>Past</v>
          </cell>
          <cell r="D351">
            <v>47.11</v>
          </cell>
          <cell r="E351" t="e">
            <v>#N/A</v>
          </cell>
          <cell r="F351" t="e">
            <v>#N/A</v>
          </cell>
          <cell r="G351" t="e">
            <v>#N/A</v>
          </cell>
          <cell r="H351" t="e">
            <v>#N/A</v>
          </cell>
          <cell r="I351" t="e">
            <v>#N/A</v>
          </cell>
          <cell r="J351" t="e">
            <v>#N/A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  <cell r="O351" t="e">
            <v>#N/A</v>
          </cell>
          <cell r="P351">
            <v>47.11</v>
          </cell>
          <cell r="Q351">
            <v>4.9318520000000001</v>
          </cell>
          <cell r="R351" t="e">
            <v>#N/A</v>
          </cell>
        </row>
        <row r="352">
          <cell r="A352">
            <v>39661</v>
          </cell>
          <cell r="B352">
            <v>39661</v>
          </cell>
          <cell r="C352" t="str">
            <v>Past</v>
          </cell>
          <cell r="D352">
            <v>47.04</v>
          </cell>
          <cell r="E352" t="e">
            <v>#N/A</v>
          </cell>
          <cell r="F352" t="e">
            <v>#N/A</v>
          </cell>
          <cell r="G352" t="e">
            <v>#N/A</v>
          </cell>
          <cell r="H352" t="e">
            <v>#N/A</v>
          </cell>
          <cell r="I352" t="e">
            <v>#N/A</v>
          </cell>
          <cell r="J352" t="e">
            <v>#N/A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  <cell r="O352" t="e">
            <v>#N/A</v>
          </cell>
          <cell r="P352">
            <v>47.04</v>
          </cell>
          <cell r="Q352">
            <v>4.3291810000000002</v>
          </cell>
          <cell r="R352" t="e">
            <v>#N/A</v>
          </cell>
        </row>
        <row r="353">
          <cell r="A353">
            <v>39664</v>
          </cell>
          <cell r="B353">
            <v>39664</v>
          </cell>
          <cell r="C353" t="str">
            <v>Past</v>
          </cell>
          <cell r="D353">
            <v>47.37</v>
          </cell>
          <cell r="E353" t="e">
            <v>#N/A</v>
          </cell>
          <cell r="F353" t="e">
            <v>#N/A</v>
          </cell>
          <cell r="G353" t="e">
            <v>#N/A</v>
          </cell>
          <cell r="H353" t="e">
            <v>#N/A</v>
          </cell>
          <cell r="I353" t="e">
            <v>#N/A</v>
          </cell>
          <cell r="J353" t="e">
            <v>#N/A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  <cell r="O353" t="e">
            <v>#N/A</v>
          </cell>
          <cell r="P353">
            <v>47.37</v>
          </cell>
          <cell r="Q353">
            <v>4.7518129999999994</v>
          </cell>
          <cell r="R353" t="e">
            <v>#N/A</v>
          </cell>
        </row>
        <row r="354">
          <cell r="A354">
            <v>39665</v>
          </cell>
          <cell r="B354">
            <v>39665</v>
          </cell>
          <cell r="C354" t="str">
            <v>Past</v>
          </cell>
          <cell r="D354">
            <v>47.79</v>
          </cell>
          <cell r="E354" t="e">
            <v>#N/A</v>
          </cell>
          <cell r="F354" t="e">
            <v>#N/A</v>
          </cell>
          <cell r="G354" t="e">
            <v>#N/A</v>
          </cell>
          <cell r="H354" t="e">
            <v>#N/A</v>
          </cell>
          <cell r="I354" t="e">
            <v>#N/A</v>
          </cell>
          <cell r="J354" t="e">
            <v>#N/A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  <cell r="O354" t="e">
            <v>#N/A</v>
          </cell>
          <cell r="P354">
            <v>47.79</v>
          </cell>
          <cell r="Q354">
            <v>6.4860509999999998</v>
          </cell>
          <cell r="R354" t="e">
            <v>#N/A</v>
          </cell>
        </row>
        <row r="355">
          <cell r="A355">
            <v>39666</v>
          </cell>
          <cell r="B355">
            <v>39666</v>
          </cell>
          <cell r="C355" t="str">
            <v>Past</v>
          </cell>
          <cell r="D355">
            <v>48</v>
          </cell>
          <cell r="E355" t="e">
            <v>#N/A</v>
          </cell>
          <cell r="F355" t="e">
            <v>#N/A</v>
          </cell>
          <cell r="G355" t="e">
            <v>#N/A</v>
          </cell>
          <cell r="H355" t="e">
            <v>#N/A</v>
          </cell>
          <cell r="I355" t="e">
            <v>#N/A</v>
          </cell>
          <cell r="J355" t="e">
            <v>#N/A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  <cell r="O355" t="e">
            <v>#N/A</v>
          </cell>
          <cell r="P355">
            <v>48</v>
          </cell>
          <cell r="Q355">
            <v>3.5196000000000001</v>
          </cell>
          <cell r="R355" t="e">
            <v>#N/A</v>
          </cell>
        </row>
        <row r="356">
          <cell r="A356">
            <v>39667</v>
          </cell>
          <cell r="B356">
            <v>39667</v>
          </cell>
          <cell r="C356" t="str">
            <v>Past</v>
          </cell>
          <cell r="D356">
            <v>47.58</v>
          </cell>
          <cell r="E356" t="e">
            <v>#N/A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>
            <v>47.58</v>
          </cell>
          <cell r="Q356">
            <v>4.5968609999999996</v>
          </cell>
          <cell r="R356" t="e">
            <v>#N/A</v>
          </cell>
        </row>
        <row r="357">
          <cell r="A357">
            <v>39668</v>
          </cell>
          <cell r="B357">
            <v>39668</v>
          </cell>
          <cell r="C357" t="str">
            <v>Past</v>
          </cell>
          <cell r="D357">
            <v>48.51</v>
          </cell>
          <cell r="E357" t="e">
            <v>#N/A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>
            <v>48.51</v>
          </cell>
          <cell r="Q357">
            <v>4.1587300000000003</v>
          </cell>
          <cell r="R357" t="e">
            <v>#N/A</v>
          </cell>
        </row>
        <row r="358">
          <cell r="A358">
            <v>39671</v>
          </cell>
          <cell r="B358">
            <v>39671</v>
          </cell>
          <cell r="C358" t="str">
            <v>Past</v>
          </cell>
          <cell r="D358">
            <v>49.05</v>
          </cell>
          <cell r="E358" t="e">
            <v>#N/A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>
            <v>49.05</v>
          </cell>
          <cell r="Q358">
            <v>6.1157829999999995</v>
          </cell>
          <cell r="R358" t="e">
            <v>#N/A</v>
          </cell>
        </row>
        <row r="359">
          <cell r="A359">
            <v>39672</v>
          </cell>
          <cell r="B359">
            <v>39672</v>
          </cell>
          <cell r="C359" t="str">
            <v>Past</v>
          </cell>
          <cell r="D359">
            <v>49.25</v>
          </cell>
          <cell r="E359" t="e">
            <v>#N/A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>
            <v>49.25</v>
          </cell>
          <cell r="Q359">
            <v>6.038087</v>
          </cell>
          <cell r="R359" t="e">
            <v>#N/A</v>
          </cell>
        </row>
        <row r="360">
          <cell r="A360">
            <v>39673</v>
          </cell>
          <cell r="B360">
            <v>39673</v>
          </cell>
          <cell r="C360" t="str">
            <v>Past</v>
          </cell>
          <cell r="D360">
            <v>48.38</v>
          </cell>
          <cell r="E360" t="e">
            <v>#N/A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>
            <v>48.38</v>
          </cell>
          <cell r="Q360">
            <v>4.9549279999999998</v>
          </cell>
          <cell r="R360" t="e">
            <v>#N/A</v>
          </cell>
        </row>
        <row r="361">
          <cell r="A361">
            <v>39674</v>
          </cell>
          <cell r="B361">
            <v>39674</v>
          </cell>
          <cell r="C361" t="str">
            <v>Past</v>
          </cell>
          <cell r="D361">
            <v>48.34</v>
          </cell>
          <cell r="E361" t="e">
            <v>#N/A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>
            <v>48.34</v>
          </cell>
          <cell r="Q361">
            <v>4.7061489999999999</v>
          </cell>
          <cell r="R361" t="e">
            <v>#N/A</v>
          </cell>
        </row>
        <row r="362">
          <cell r="A362">
            <v>39675</v>
          </cell>
          <cell r="B362">
            <v>39675</v>
          </cell>
          <cell r="C362" t="str">
            <v>Past</v>
          </cell>
          <cell r="D362">
            <v>48.78</v>
          </cell>
          <cell r="E362" t="e">
            <v>#N/A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>
            <v>48.78</v>
          </cell>
          <cell r="Q362">
            <v>4.6113580000000001</v>
          </cell>
          <cell r="R362" t="e">
            <v>#N/A</v>
          </cell>
        </row>
        <row r="363">
          <cell r="A363">
            <v>39678</v>
          </cell>
          <cell r="B363">
            <v>39678</v>
          </cell>
          <cell r="C363" t="str">
            <v>Past</v>
          </cell>
          <cell r="D363">
            <v>48.05</v>
          </cell>
          <cell r="E363" t="e">
            <v>#N/A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>
            <v>48.05</v>
          </cell>
          <cell r="Q363">
            <v>6.2457180000000001</v>
          </cell>
          <cell r="R363" t="e">
            <v>#N/A</v>
          </cell>
        </row>
        <row r="364">
          <cell r="A364">
            <v>39679</v>
          </cell>
          <cell r="B364">
            <v>39679</v>
          </cell>
          <cell r="C364" t="str">
            <v>Past</v>
          </cell>
          <cell r="D364">
            <v>47.8</v>
          </cell>
          <cell r="E364" t="e">
            <v>#N/A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>
            <v>47.8</v>
          </cell>
          <cell r="Q364">
            <v>5.4486829999999999</v>
          </cell>
          <cell r="R364" t="e">
            <v>#N/A</v>
          </cell>
        </row>
        <row r="365">
          <cell r="A365">
            <v>39680</v>
          </cell>
          <cell r="B365">
            <v>39680</v>
          </cell>
          <cell r="C365" t="str">
            <v>Past</v>
          </cell>
          <cell r="D365">
            <v>47.41</v>
          </cell>
          <cell r="E365" t="e">
            <v>#N/A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>
            <v>47.41</v>
          </cell>
          <cell r="Q365">
            <v>4.5450109999999997</v>
          </cell>
          <cell r="R365" t="e">
            <v>#N/A</v>
          </cell>
        </row>
        <row r="366">
          <cell r="A366">
            <v>39681</v>
          </cell>
          <cell r="B366">
            <v>39681</v>
          </cell>
          <cell r="C366" t="str">
            <v>Past</v>
          </cell>
          <cell r="D366">
            <v>47.17</v>
          </cell>
          <cell r="E366" t="e">
            <v>#N/A</v>
          </cell>
          <cell r="F366" t="e">
            <v>#N/A</v>
          </cell>
          <cell r="G366" t="e">
            <v>#N/A</v>
          </cell>
          <cell r="H366" t="e">
            <v>#N/A</v>
          </cell>
          <cell r="I366" t="e">
            <v>#N/A</v>
          </cell>
          <cell r="J366" t="e">
            <v>#N/A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  <cell r="O366" t="e">
            <v>#N/A</v>
          </cell>
          <cell r="P366">
            <v>47.17</v>
          </cell>
          <cell r="Q366">
            <v>4.1615440000000001</v>
          </cell>
          <cell r="R366" t="e">
            <v>#N/A</v>
          </cell>
        </row>
        <row r="367">
          <cell r="A367">
            <v>39682</v>
          </cell>
          <cell r="B367">
            <v>39682</v>
          </cell>
          <cell r="C367" t="str">
            <v>Past</v>
          </cell>
          <cell r="D367">
            <v>48.03</v>
          </cell>
          <cell r="E367" t="e">
            <v>#N/A</v>
          </cell>
          <cell r="F367" t="e">
            <v>#N/A</v>
          </cell>
          <cell r="G367" t="e">
            <v>#N/A</v>
          </cell>
          <cell r="H367" t="e">
            <v>#N/A</v>
          </cell>
          <cell r="I367" t="e">
            <v>#N/A</v>
          </cell>
          <cell r="J367" t="e">
            <v>#N/A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  <cell r="O367" t="e">
            <v>#N/A</v>
          </cell>
          <cell r="P367">
            <v>48.03</v>
          </cell>
          <cell r="Q367">
            <v>5.1343179999999995</v>
          </cell>
          <cell r="R367" t="e">
            <v>#N/A</v>
          </cell>
        </row>
        <row r="368">
          <cell r="A368">
            <v>39685</v>
          </cell>
          <cell r="B368">
            <v>39685</v>
          </cell>
          <cell r="C368" t="str">
            <v>Past</v>
          </cell>
          <cell r="D368">
            <v>47.52</v>
          </cell>
          <cell r="E368" t="e">
            <v>#N/A</v>
          </cell>
          <cell r="F368" t="e">
            <v>#N/A</v>
          </cell>
          <cell r="G368" t="e">
            <v>#N/A</v>
          </cell>
          <cell r="H368" t="e">
            <v>#N/A</v>
          </cell>
          <cell r="I368" t="e">
            <v>#N/A</v>
          </cell>
          <cell r="J368" t="e">
            <v>#N/A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  <cell r="O368" t="e">
            <v>#N/A</v>
          </cell>
          <cell r="P368">
            <v>47.52</v>
          </cell>
          <cell r="Q368">
            <v>3.9402059999999999</v>
          </cell>
          <cell r="R368" t="e">
            <v>#N/A</v>
          </cell>
        </row>
        <row r="369">
          <cell r="A369">
            <v>39686</v>
          </cell>
          <cell r="B369">
            <v>39686</v>
          </cell>
          <cell r="C369" t="str">
            <v>Past</v>
          </cell>
          <cell r="D369">
            <v>47.02</v>
          </cell>
          <cell r="E369" t="e">
            <v>#N/A</v>
          </cell>
          <cell r="F369" t="e">
            <v>#N/A</v>
          </cell>
          <cell r="G369" t="e">
            <v>#N/A</v>
          </cell>
          <cell r="H369" t="e">
            <v>#N/A</v>
          </cell>
          <cell r="I369" t="e">
            <v>#N/A</v>
          </cell>
          <cell r="J369" t="e">
            <v>#N/A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  <cell r="O369" t="e">
            <v>#N/A</v>
          </cell>
          <cell r="P369">
            <v>47.02</v>
          </cell>
          <cell r="Q369">
            <v>3.3715219999999997</v>
          </cell>
          <cell r="R369" t="e">
            <v>#N/A</v>
          </cell>
        </row>
        <row r="370">
          <cell r="A370">
            <v>39687</v>
          </cell>
          <cell r="B370">
            <v>39687</v>
          </cell>
          <cell r="C370" t="str">
            <v>Past</v>
          </cell>
          <cell r="D370">
            <v>46.87</v>
          </cell>
          <cell r="E370" t="e">
            <v>#N/A</v>
          </cell>
          <cell r="F370" t="e">
            <v>#N/A</v>
          </cell>
          <cell r="G370" t="e">
            <v>#N/A</v>
          </cell>
          <cell r="H370" t="e">
            <v>#N/A</v>
          </cell>
          <cell r="I370" t="e">
            <v>#N/A</v>
          </cell>
          <cell r="J370" t="e">
            <v>#N/A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  <cell r="O370" t="e">
            <v>#N/A</v>
          </cell>
          <cell r="P370">
            <v>46.87</v>
          </cell>
          <cell r="Q370">
            <v>5.5200829999999996</v>
          </cell>
          <cell r="R370" t="e">
            <v>#N/A</v>
          </cell>
        </row>
        <row r="371">
          <cell r="A371">
            <v>39688</v>
          </cell>
          <cell r="B371">
            <v>39688</v>
          </cell>
          <cell r="C371" t="str">
            <v>Past</v>
          </cell>
          <cell r="D371">
            <v>46.91</v>
          </cell>
          <cell r="E371" t="e">
            <v>#N/A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>
            <v>46.91</v>
          </cell>
          <cell r="Q371">
            <v>4.285463</v>
          </cell>
          <cell r="R371" t="e">
            <v>#N/A</v>
          </cell>
        </row>
        <row r="372">
          <cell r="A372">
            <v>39689</v>
          </cell>
          <cell r="B372">
            <v>39689</v>
          </cell>
          <cell r="C372" t="str">
            <v>Past</v>
          </cell>
          <cell r="D372">
            <v>46.65</v>
          </cell>
          <cell r="E372" t="e">
            <v>#N/A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>
            <v>46.65</v>
          </cell>
          <cell r="Q372">
            <v>4.7651479999999999</v>
          </cell>
          <cell r="R372" t="e">
            <v>#N/A</v>
          </cell>
        </row>
        <row r="373">
          <cell r="A373">
            <v>39693</v>
          </cell>
          <cell r="B373">
            <v>39693</v>
          </cell>
          <cell r="C373" t="str">
            <v>Past</v>
          </cell>
          <cell r="D373">
            <v>46.66</v>
          </cell>
          <cell r="E373" t="e">
            <v>#N/A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>
            <v>46.66</v>
          </cell>
          <cell r="Q373">
            <v>5.2418079999999998</v>
          </cell>
          <cell r="R373" t="e">
            <v>#N/A</v>
          </cell>
        </row>
        <row r="374">
          <cell r="A374">
            <v>39694</v>
          </cell>
          <cell r="B374">
            <v>39694</v>
          </cell>
          <cell r="C374" t="str">
            <v>Past</v>
          </cell>
          <cell r="D374">
            <v>46.91</v>
          </cell>
          <cell r="E374" t="e">
            <v>#N/A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>
            <v>46.91</v>
          </cell>
          <cell r="Q374">
            <v>4.4258259999999998</v>
          </cell>
          <cell r="R374" t="e">
            <v>#N/A</v>
          </cell>
        </row>
        <row r="375">
          <cell r="A375">
            <v>39695</v>
          </cell>
          <cell r="B375">
            <v>39695</v>
          </cell>
          <cell r="C375" t="str">
            <v>Past</v>
          </cell>
          <cell r="D375">
            <v>46.09</v>
          </cell>
          <cell r="E375" t="e">
            <v>#N/A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>
            <v>46.09</v>
          </cell>
          <cell r="Q375">
            <v>4.7143489999999995</v>
          </cell>
          <cell r="R375" t="e">
            <v>#N/A</v>
          </cell>
        </row>
        <row r="376">
          <cell r="A376">
            <v>39696</v>
          </cell>
          <cell r="B376">
            <v>39696</v>
          </cell>
          <cell r="C376" t="str">
            <v>Past</v>
          </cell>
          <cell r="D376">
            <v>45.44</v>
          </cell>
          <cell r="E376" t="e">
            <v>#N/A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>
            <v>45.44</v>
          </cell>
          <cell r="Q376">
            <v>5.1277609999999996</v>
          </cell>
          <cell r="R376" t="e">
            <v>#N/A</v>
          </cell>
        </row>
        <row r="377">
          <cell r="A377">
            <v>39699</v>
          </cell>
          <cell r="B377">
            <v>39699</v>
          </cell>
          <cell r="C377" t="str">
            <v>Past</v>
          </cell>
          <cell r="D377">
            <v>46.67</v>
          </cell>
          <cell r="E377" t="e">
            <v>#N/A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>
            <v>46.67</v>
          </cell>
          <cell r="Q377">
            <v>5.791283</v>
          </cell>
          <cell r="R377" t="e">
            <v>#N/A</v>
          </cell>
        </row>
        <row r="378">
          <cell r="A378">
            <v>39700</v>
          </cell>
          <cell r="B378">
            <v>39700</v>
          </cell>
          <cell r="C378" t="str">
            <v>Past</v>
          </cell>
          <cell r="D378">
            <v>46.46</v>
          </cell>
          <cell r="E378" t="e">
            <v>#N/A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>
            <v>46.46</v>
          </cell>
          <cell r="Q378">
            <v>7.8215509999999995</v>
          </cell>
          <cell r="R378" t="e">
            <v>#N/A</v>
          </cell>
        </row>
        <row r="379">
          <cell r="A379">
            <v>39701</v>
          </cell>
          <cell r="B379">
            <v>39701</v>
          </cell>
          <cell r="C379" t="str">
            <v>Past</v>
          </cell>
          <cell r="D379">
            <v>46.73</v>
          </cell>
          <cell r="E379" t="e">
            <v>#N/A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>
            <v>46.73</v>
          </cell>
          <cell r="Q379">
            <v>6.1061689999999995</v>
          </cell>
          <cell r="R379" t="e">
            <v>#N/A</v>
          </cell>
        </row>
        <row r="380">
          <cell r="A380">
            <v>39702</v>
          </cell>
          <cell r="B380">
            <v>39702</v>
          </cell>
          <cell r="C380" t="str">
            <v>Past</v>
          </cell>
          <cell r="D380">
            <v>46.72</v>
          </cell>
          <cell r="E380" t="e">
            <v>#N/A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>
            <v>46.72</v>
          </cell>
          <cell r="Q380">
            <v>4.7126969999999995</v>
          </cell>
          <cell r="R380" t="e">
            <v>#N/A</v>
          </cell>
        </row>
        <row r="381">
          <cell r="A381">
            <v>39703</v>
          </cell>
          <cell r="B381">
            <v>39703</v>
          </cell>
          <cell r="C381" t="str">
            <v>Past</v>
          </cell>
          <cell r="D381">
            <v>46.6</v>
          </cell>
          <cell r="E381" t="e">
            <v>#N/A</v>
          </cell>
          <cell r="F381" t="e">
            <v>#N/A</v>
          </cell>
          <cell r="G381" t="e">
            <v>#N/A</v>
          </cell>
          <cell r="H381" t="e">
            <v>#N/A</v>
          </cell>
          <cell r="I381" t="e">
            <v>#N/A</v>
          </cell>
          <cell r="J381" t="e">
            <v>#N/A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  <cell r="O381" t="e">
            <v>#N/A</v>
          </cell>
          <cell r="P381">
            <v>46.6</v>
          </cell>
          <cell r="Q381">
            <v>4.2716479999999999</v>
          </cell>
          <cell r="R381" t="e">
            <v>#N/A</v>
          </cell>
        </row>
        <row r="382">
          <cell r="A382">
            <v>39706</v>
          </cell>
          <cell r="B382">
            <v>39706</v>
          </cell>
          <cell r="C382" t="str">
            <v>Past</v>
          </cell>
          <cell r="D382">
            <v>46.04</v>
          </cell>
          <cell r="E382" t="e">
            <v>#N/A</v>
          </cell>
          <cell r="F382" t="e">
            <v>#N/A</v>
          </cell>
          <cell r="G382" t="e">
            <v>#N/A</v>
          </cell>
          <cell r="H382" t="e">
            <v>#N/A</v>
          </cell>
          <cell r="I382" t="e">
            <v>#N/A</v>
          </cell>
          <cell r="J382" t="e">
            <v>#N/A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  <cell r="O382" t="e">
            <v>#N/A</v>
          </cell>
          <cell r="P382">
            <v>46.04</v>
          </cell>
          <cell r="Q382">
            <v>5.3281909999999995</v>
          </cell>
          <cell r="R382" t="e">
            <v>#N/A</v>
          </cell>
        </row>
        <row r="383">
          <cell r="A383">
            <v>39707</v>
          </cell>
          <cell r="B383">
            <v>39707</v>
          </cell>
          <cell r="C383" t="str">
            <v>Past</v>
          </cell>
          <cell r="D383">
            <v>45.26</v>
          </cell>
          <cell r="E383" t="e">
            <v>#N/A</v>
          </cell>
          <cell r="F383" t="e">
            <v>#N/A</v>
          </cell>
          <cell r="G383" t="e">
            <v>#N/A</v>
          </cell>
          <cell r="H383" t="e">
            <v>#N/A</v>
          </cell>
          <cell r="I383" t="e">
            <v>#N/A</v>
          </cell>
          <cell r="J383" t="e">
            <v>#N/A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  <cell r="O383" t="e">
            <v>#N/A</v>
          </cell>
          <cell r="P383">
            <v>45.26</v>
          </cell>
          <cell r="Q383">
            <v>10.0488</v>
          </cell>
          <cell r="R383" t="e">
            <v>#N/A</v>
          </cell>
        </row>
        <row r="384">
          <cell r="A384">
            <v>39708</v>
          </cell>
          <cell r="B384">
            <v>39708</v>
          </cell>
          <cell r="C384" t="str">
            <v>Past</v>
          </cell>
          <cell r="D384">
            <v>43.92</v>
          </cell>
          <cell r="E384" t="e">
            <v>#N/A</v>
          </cell>
          <cell r="F384" t="e">
            <v>#N/A</v>
          </cell>
          <cell r="G384" t="e">
            <v>#N/A</v>
          </cell>
          <cell r="H384" t="e">
            <v>#N/A</v>
          </cell>
          <cell r="I384" t="e">
            <v>#N/A</v>
          </cell>
          <cell r="J384" t="e">
            <v>#N/A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  <cell r="O384" t="e">
            <v>#N/A</v>
          </cell>
          <cell r="P384">
            <v>43.92</v>
          </cell>
          <cell r="Q384">
            <v>7.1758479999999993</v>
          </cell>
          <cell r="R384" t="e">
            <v>#N/A</v>
          </cell>
        </row>
        <row r="385">
          <cell r="A385">
            <v>39709</v>
          </cell>
          <cell r="B385">
            <v>39709</v>
          </cell>
          <cell r="C385" t="str">
            <v>Past</v>
          </cell>
          <cell r="D385">
            <v>45.42</v>
          </cell>
          <cell r="E385" t="e">
            <v>#N/A</v>
          </cell>
          <cell r="F385" t="e">
            <v>#N/A</v>
          </cell>
          <cell r="G385" t="e">
            <v>#N/A</v>
          </cell>
          <cell r="H385" t="e">
            <v>#N/A</v>
          </cell>
          <cell r="I385" t="e">
            <v>#N/A</v>
          </cell>
          <cell r="J385" t="e">
            <v>#N/A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  <cell r="O385" t="e">
            <v>#N/A</v>
          </cell>
          <cell r="P385">
            <v>45.42</v>
          </cell>
          <cell r="Q385">
            <v>9.9173390000000001</v>
          </cell>
          <cell r="R385" t="e">
            <v>#N/A</v>
          </cell>
        </row>
        <row r="386">
          <cell r="A386">
            <v>39710</v>
          </cell>
          <cell r="B386">
            <v>39710</v>
          </cell>
          <cell r="C386" t="str">
            <v>Past</v>
          </cell>
          <cell r="D386">
            <v>46.69</v>
          </cell>
          <cell r="E386" t="e">
            <v>#N/A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>
            <v>46.69</v>
          </cell>
          <cell r="Q386">
            <v>12.047700000000001</v>
          </cell>
          <cell r="R386" t="e">
            <v>#N/A</v>
          </cell>
        </row>
        <row r="387">
          <cell r="A387">
            <v>39713</v>
          </cell>
          <cell r="B387">
            <v>39713</v>
          </cell>
          <cell r="C387" t="str">
            <v>Past</v>
          </cell>
          <cell r="D387">
            <v>45.9</v>
          </cell>
          <cell r="E387" t="e">
            <v>#N/A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>
            <v>45.9</v>
          </cell>
          <cell r="Q387">
            <v>5.7838919999999998</v>
          </cell>
          <cell r="R387" t="e">
            <v>#N/A</v>
          </cell>
        </row>
        <row r="388">
          <cell r="A388">
            <v>39714</v>
          </cell>
          <cell r="B388">
            <v>39714</v>
          </cell>
          <cell r="C388" t="str">
            <v>Past</v>
          </cell>
          <cell r="D388">
            <v>45.73</v>
          </cell>
          <cell r="E388" t="e">
            <v>#N/A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>
            <v>45.73</v>
          </cell>
          <cell r="Q388">
            <v>7.8780429999999999</v>
          </cell>
          <cell r="R388" t="e">
            <v>#N/A</v>
          </cell>
        </row>
        <row r="389">
          <cell r="A389">
            <v>39715</v>
          </cell>
          <cell r="B389">
            <v>39715</v>
          </cell>
          <cell r="C389" t="str">
            <v>Past</v>
          </cell>
          <cell r="D389">
            <v>46.34</v>
          </cell>
          <cell r="E389" t="e">
            <v>#N/A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>
            <v>46.34</v>
          </cell>
          <cell r="Q389">
            <v>7.2406400000000009</v>
          </cell>
          <cell r="R389" t="e">
            <v>#N/A</v>
          </cell>
        </row>
        <row r="390">
          <cell r="A390">
            <v>39716</v>
          </cell>
          <cell r="B390">
            <v>39716</v>
          </cell>
          <cell r="C390" t="str">
            <v>Past</v>
          </cell>
          <cell r="D390">
            <v>46.6</v>
          </cell>
          <cell r="E390" t="e">
            <v>#N/A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>
            <v>46.6</v>
          </cell>
          <cell r="Q390">
            <v>9.338139</v>
          </cell>
          <cell r="R390" t="e">
            <v>#N/A</v>
          </cell>
        </row>
        <row r="391">
          <cell r="A391">
            <v>39717</v>
          </cell>
          <cell r="B391">
            <v>39717</v>
          </cell>
          <cell r="C391" t="str">
            <v>Past</v>
          </cell>
          <cell r="D391">
            <v>46.82</v>
          </cell>
          <cell r="E391" t="e">
            <v>#N/A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>
            <v>46.82</v>
          </cell>
          <cell r="Q391">
            <v>5.7698029999999996</v>
          </cell>
          <cell r="R391" t="e">
            <v>#N/A</v>
          </cell>
        </row>
        <row r="392">
          <cell r="A392">
            <v>39720</v>
          </cell>
          <cell r="B392">
            <v>39720</v>
          </cell>
          <cell r="C392" t="str">
            <v>Past</v>
          </cell>
          <cell r="D392">
            <v>43.92</v>
          </cell>
          <cell r="E392" t="e">
            <v>#N/A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>
            <v>43.92</v>
          </cell>
          <cell r="Q392">
            <v>9.7914779999999997</v>
          </cell>
          <cell r="R392" t="e">
            <v>#N/A</v>
          </cell>
        </row>
        <row r="393">
          <cell r="A393">
            <v>39721</v>
          </cell>
          <cell r="B393">
            <v>39721</v>
          </cell>
          <cell r="C393" t="str">
            <v>Past</v>
          </cell>
          <cell r="D393">
            <v>44.03</v>
          </cell>
          <cell r="E393" t="e">
            <v>#N/A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>
            <v>44.03</v>
          </cell>
          <cell r="Q393">
            <v>8.43872</v>
          </cell>
          <cell r="R393" t="e">
            <v>#N/A</v>
          </cell>
        </row>
        <row r="394">
          <cell r="A394">
            <v>39722</v>
          </cell>
          <cell r="B394">
            <v>39722</v>
          </cell>
          <cell r="C394" t="str">
            <v>Past</v>
          </cell>
          <cell r="D394">
            <v>43.69</v>
          </cell>
          <cell r="E394" t="e">
            <v>#N/A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>
            <v>43.69</v>
          </cell>
          <cell r="Q394">
            <v>6.3403209999999994</v>
          </cell>
          <cell r="R394" t="e">
            <v>#N/A</v>
          </cell>
        </row>
        <row r="395">
          <cell r="A395">
            <v>39723</v>
          </cell>
          <cell r="B395">
            <v>39723</v>
          </cell>
          <cell r="C395" t="str">
            <v>Past</v>
          </cell>
          <cell r="D395">
            <v>42.55</v>
          </cell>
          <cell r="E395" t="e">
            <v>#N/A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>
            <v>42.55</v>
          </cell>
          <cell r="Q395">
            <v>6.5659789999999996</v>
          </cell>
          <cell r="R395" t="e">
            <v>#N/A</v>
          </cell>
        </row>
        <row r="396">
          <cell r="A396">
            <v>39724</v>
          </cell>
          <cell r="B396">
            <v>39724</v>
          </cell>
          <cell r="C396" t="str">
            <v>Past</v>
          </cell>
          <cell r="D396">
            <v>41.31</v>
          </cell>
          <cell r="E396" t="e">
            <v>#N/A</v>
          </cell>
          <cell r="F396" t="e">
            <v>#N/A</v>
          </cell>
          <cell r="G396" t="e">
            <v>#N/A</v>
          </cell>
          <cell r="H396" t="e">
            <v>#N/A</v>
          </cell>
          <cell r="I396" t="e">
            <v>#N/A</v>
          </cell>
          <cell r="J396" t="e">
            <v>#N/A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  <cell r="O396" t="e">
            <v>#N/A</v>
          </cell>
          <cell r="P396">
            <v>41.31</v>
          </cell>
          <cell r="Q396">
            <v>9.4462289999999989</v>
          </cell>
          <cell r="R396" t="e">
            <v>#N/A</v>
          </cell>
        </row>
        <row r="397">
          <cell r="A397">
            <v>39727</v>
          </cell>
          <cell r="B397">
            <v>39727</v>
          </cell>
          <cell r="C397" t="str">
            <v>Past</v>
          </cell>
          <cell r="D397">
            <v>38.42</v>
          </cell>
          <cell r="E397" t="e">
            <v>#N/A</v>
          </cell>
          <cell r="F397" t="e">
            <v>#N/A</v>
          </cell>
          <cell r="G397" t="e">
            <v>#N/A</v>
          </cell>
          <cell r="H397" t="e">
            <v>#N/A</v>
          </cell>
          <cell r="I397" t="e">
            <v>#N/A</v>
          </cell>
          <cell r="J397" t="e">
            <v>#N/A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  <cell r="O397" t="e">
            <v>#N/A</v>
          </cell>
          <cell r="P397">
            <v>38.42</v>
          </cell>
          <cell r="Q397">
            <v>18.989150000000002</v>
          </cell>
          <cell r="R397" t="e">
            <v>#N/A</v>
          </cell>
        </row>
        <row r="398">
          <cell r="A398">
            <v>39728</v>
          </cell>
          <cell r="B398">
            <v>39728</v>
          </cell>
          <cell r="C398" t="str">
            <v>Past</v>
          </cell>
          <cell r="D398">
            <v>38.61</v>
          </cell>
          <cell r="E398" t="e">
            <v>#N/A</v>
          </cell>
          <cell r="F398" t="e">
            <v>#N/A</v>
          </cell>
          <cell r="G398" t="e">
            <v>#N/A</v>
          </cell>
          <cell r="H398" t="e">
            <v>#N/A</v>
          </cell>
          <cell r="I398" t="e">
            <v>#N/A</v>
          </cell>
          <cell r="J398" t="e">
            <v>#N/A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  <cell r="O398" t="e">
            <v>#N/A</v>
          </cell>
          <cell r="P398">
            <v>38.61</v>
          </cell>
          <cell r="Q398">
            <v>12.466280000000001</v>
          </cell>
          <cell r="R398" t="e">
            <v>#N/A</v>
          </cell>
        </row>
        <row r="399">
          <cell r="A399">
            <v>39729</v>
          </cell>
          <cell r="B399">
            <v>39729</v>
          </cell>
          <cell r="C399" t="str">
            <v>Past</v>
          </cell>
          <cell r="D399">
            <v>37.9</v>
          </cell>
          <cell r="E399" t="e">
            <v>#N/A</v>
          </cell>
          <cell r="F399" t="e">
            <v>#N/A</v>
          </cell>
          <cell r="G399" t="e">
            <v>#N/A</v>
          </cell>
          <cell r="H399" t="e">
            <v>#N/A</v>
          </cell>
          <cell r="I399" t="e">
            <v>#N/A</v>
          </cell>
          <cell r="J399" t="e">
            <v>#N/A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  <cell r="O399" t="e">
            <v>#N/A</v>
          </cell>
          <cell r="P399">
            <v>37.9</v>
          </cell>
          <cell r="Q399">
            <v>8.946200000000001</v>
          </cell>
          <cell r="R399" t="e">
            <v>#N/A</v>
          </cell>
        </row>
        <row r="400">
          <cell r="A400">
            <v>39730</v>
          </cell>
          <cell r="B400">
            <v>39730</v>
          </cell>
          <cell r="C400" t="str">
            <v>Past</v>
          </cell>
          <cell r="D400">
            <v>33.22</v>
          </cell>
          <cell r="E400" t="e">
            <v>#N/A</v>
          </cell>
          <cell r="F400" t="e">
            <v>#N/A</v>
          </cell>
          <cell r="G400" t="e">
            <v>#N/A</v>
          </cell>
          <cell r="H400" t="e">
            <v>#N/A</v>
          </cell>
          <cell r="I400" t="e">
            <v>#N/A</v>
          </cell>
          <cell r="J400" t="e">
            <v>#N/A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  <cell r="O400" t="e">
            <v>#N/A</v>
          </cell>
          <cell r="P400">
            <v>33.22</v>
          </cell>
          <cell r="Q400">
            <v>13.833860000000001</v>
          </cell>
          <cell r="R400" t="e">
            <v>#N/A</v>
          </cell>
        </row>
        <row r="401">
          <cell r="A401">
            <v>39731</v>
          </cell>
          <cell r="B401">
            <v>39731</v>
          </cell>
          <cell r="C401" t="str">
            <v>Past</v>
          </cell>
          <cell r="D401">
            <v>31.36</v>
          </cell>
          <cell r="E401" t="e">
            <v>#N/A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>
            <v>31.36</v>
          </cell>
          <cell r="Q401">
            <v>15.866700000000002</v>
          </cell>
          <cell r="R401" t="e">
            <v>#N/A</v>
          </cell>
        </row>
        <row r="402">
          <cell r="A402">
            <v>39734</v>
          </cell>
          <cell r="B402">
            <v>39734</v>
          </cell>
          <cell r="C402" t="str">
            <v>Past</v>
          </cell>
          <cell r="D402">
            <v>35.86</v>
          </cell>
          <cell r="E402" t="e">
            <v>#N/A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>
            <v>35.86</v>
          </cell>
          <cell r="Q402">
            <v>8.2861390000000004</v>
          </cell>
          <cell r="R402" t="e">
            <v>#N/A</v>
          </cell>
        </row>
        <row r="403">
          <cell r="A403">
            <v>39735</v>
          </cell>
          <cell r="B403">
            <v>39735</v>
          </cell>
          <cell r="C403" t="str">
            <v>Past</v>
          </cell>
          <cell r="D403">
            <v>34.94</v>
          </cell>
          <cell r="E403" t="e">
            <v>#N/A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>
            <v>34.94</v>
          </cell>
          <cell r="Q403">
            <v>10.643370000000001</v>
          </cell>
          <cell r="R403" t="e">
            <v>#N/A</v>
          </cell>
        </row>
        <row r="404">
          <cell r="A404">
            <v>39736</v>
          </cell>
          <cell r="B404">
            <v>39736</v>
          </cell>
          <cell r="C404" t="str">
            <v>Past</v>
          </cell>
          <cell r="D404">
            <v>32.54</v>
          </cell>
          <cell r="E404" t="e">
            <v>#N/A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>
            <v>32.54</v>
          </cell>
          <cell r="Q404">
            <v>10.602690000000001</v>
          </cell>
          <cell r="R404" t="e">
            <v>#N/A</v>
          </cell>
        </row>
        <row r="405">
          <cell r="A405">
            <v>39737</v>
          </cell>
          <cell r="B405">
            <v>39737</v>
          </cell>
          <cell r="C405" t="str">
            <v>Past</v>
          </cell>
          <cell r="D405">
            <v>34.380000000000003</v>
          </cell>
          <cell r="E405" t="e">
            <v>#N/A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>
            <v>34.380000000000003</v>
          </cell>
          <cell r="Q405">
            <v>10.297870000000001</v>
          </cell>
          <cell r="R405" t="e">
            <v>#N/A</v>
          </cell>
        </row>
        <row r="406">
          <cell r="A406">
            <v>39738</v>
          </cell>
          <cell r="B406">
            <v>39738</v>
          </cell>
          <cell r="C406" t="str">
            <v>Past</v>
          </cell>
          <cell r="D406">
            <v>32.200000000000003</v>
          </cell>
          <cell r="E406" t="e">
            <v>#N/A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>
            <v>32.200000000000003</v>
          </cell>
          <cell r="Q406">
            <v>9.1611349999999998</v>
          </cell>
          <cell r="R406" t="e">
            <v>#N/A</v>
          </cell>
        </row>
        <row r="407">
          <cell r="A407">
            <v>39741</v>
          </cell>
          <cell r="B407">
            <v>39741</v>
          </cell>
          <cell r="C407" t="str">
            <v>Past</v>
          </cell>
          <cell r="D407">
            <v>34.1</v>
          </cell>
          <cell r="E407" t="e">
            <v>#N/A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>
            <v>34.1</v>
          </cell>
          <cell r="Q407">
            <v>9.0492119999999989</v>
          </cell>
          <cell r="R407" t="e">
            <v>#N/A</v>
          </cell>
        </row>
        <row r="408">
          <cell r="A408">
            <v>39742</v>
          </cell>
          <cell r="B408">
            <v>39742</v>
          </cell>
          <cell r="C408" t="str">
            <v>Past</v>
          </cell>
          <cell r="D408">
            <v>33.68</v>
          </cell>
          <cell r="E408" t="e">
            <v>#N/A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>
            <v>33.68</v>
          </cell>
          <cell r="Q408">
            <v>7.7329600000000003</v>
          </cell>
          <cell r="R408" t="e">
            <v>#N/A</v>
          </cell>
        </row>
        <row r="409">
          <cell r="A409">
            <v>39743</v>
          </cell>
          <cell r="B409">
            <v>39743</v>
          </cell>
          <cell r="C409" t="str">
            <v>Past</v>
          </cell>
          <cell r="D409">
            <v>32.11</v>
          </cell>
          <cell r="E409" t="e">
            <v>#N/A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>
            <v>32.11</v>
          </cell>
          <cell r="Q409">
            <v>6.6719949999999999</v>
          </cell>
          <cell r="R409" t="e">
            <v>#N/A</v>
          </cell>
        </row>
        <row r="410">
          <cell r="A410">
            <v>39744</v>
          </cell>
          <cell r="B410">
            <v>39744</v>
          </cell>
          <cell r="C410" t="str">
            <v>Past</v>
          </cell>
          <cell r="D410">
            <v>33.479999999999997</v>
          </cell>
          <cell r="E410" t="e">
            <v>#N/A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>
            <v>33.479999999999997</v>
          </cell>
          <cell r="Q410">
            <v>8.7292550000000002</v>
          </cell>
          <cell r="R410" t="e">
            <v>#N/A</v>
          </cell>
        </row>
        <row r="411">
          <cell r="A411">
            <v>39745</v>
          </cell>
          <cell r="B411">
            <v>39745</v>
          </cell>
          <cell r="C411" t="str">
            <v>Past</v>
          </cell>
          <cell r="D411">
            <v>31.73</v>
          </cell>
          <cell r="E411" t="e">
            <v>#N/A</v>
          </cell>
          <cell r="F411" t="e">
            <v>#N/A</v>
          </cell>
          <cell r="G411" t="e">
            <v>#N/A</v>
          </cell>
          <cell r="H411" t="e">
            <v>#N/A</v>
          </cell>
          <cell r="I411" t="e">
            <v>#N/A</v>
          </cell>
          <cell r="J411" t="e">
            <v>#N/A</v>
          </cell>
          <cell r="K411" t="e">
            <v>#N/A</v>
          </cell>
          <cell r="L411" t="e">
            <v>#N/A</v>
          </cell>
          <cell r="M411" t="e">
            <v>#N/A</v>
          </cell>
          <cell r="N411" t="e">
            <v>#N/A</v>
          </cell>
          <cell r="O411" t="e">
            <v>#N/A</v>
          </cell>
          <cell r="P411">
            <v>31.73</v>
          </cell>
          <cell r="Q411">
            <v>7.2242579999999998</v>
          </cell>
          <cell r="R411" t="e">
            <v>#N/A</v>
          </cell>
        </row>
        <row r="412">
          <cell r="A412">
            <v>39748</v>
          </cell>
          <cell r="B412">
            <v>39748</v>
          </cell>
          <cell r="C412" t="str">
            <v>Past</v>
          </cell>
          <cell r="D412">
            <v>30.4</v>
          </cell>
          <cell r="E412" t="e">
            <v>#N/A</v>
          </cell>
          <cell r="F412" t="e">
            <v>#N/A</v>
          </cell>
          <cell r="G412" t="e">
            <v>#N/A</v>
          </cell>
          <cell r="H412" t="e">
            <v>#N/A</v>
          </cell>
          <cell r="I412" t="e">
            <v>#N/A</v>
          </cell>
          <cell r="J412" t="e">
            <v>#N/A</v>
          </cell>
          <cell r="K412" t="e">
            <v>#N/A</v>
          </cell>
          <cell r="L412" t="e">
            <v>#N/A</v>
          </cell>
          <cell r="M412" t="e">
            <v>#N/A</v>
          </cell>
          <cell r="N412" t="e">
            <v>#N/A</v>
          </cell>
          <cell r="O412" t="e">
            <v>#N/A</v>
          </cell>
          <cell r="P412">
            <v>30.4</v>
          </cell>
          <cell r="Q412">
            <v>7.5269170000000001</v>
          </cell>
          <cell r="R412" t="e">
            <v>#N/A</v>
          </cell>
        </row>
        <row r="413">
          <cell r="A413">
            <v>39749</v>
          </cell>
          <cell r="B413">
            <v>39749</v>
          </cell>
          <cell r="C413" t="str">
            <v>Past</v>
          </cell>
          <cell r="D413">
            <v>33.380000000000003</v>
          </cell>
          <cell r="E413" t="e">
            <v>#N/A</v>
          </cell>
          <cell r="F413" t="e">
            <v>#N/A</v>
          </cell>
          <cell r="G413" t="e">
            <v>#N/A</v>
          </cell>
          <cell r="H413" t="e">
            <v>#N/A</v>
          </cell>
          <cell r="I413" t="e">
            <v>#N/A</v>
          </cell>
          <cell r="J413" t="e">
            <v>#N/A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  <cell r="O413" t="e">
            <v>#N/A</v>
          </cell>
          <cell r="P413">
            <v>33.380000000000003</v>
          </cell>
          <cell r="Q413">
            <v>8.3281400000000012</v>
          </cell>
          <cell r="R413" t="e">
            <v>#N/A</v>
          </cell>
        </row>
        <row r="414">
          <cell r="A414">
            <v>39750</v>
          </cell>
          <cell r="B414">
            <v>39750</v>
          </cell>
          <cell r="C414" t="str">
            <v>Past</v>
          </cell>
          <cell r="D414">
            <v>32.03</v>
          </cell>
          <cell r="E414" t="e">
            <v>#N/A</v>
          </cell>
          <cell r="F414" t="e">
            <v>#N/A</v>
          </cell>
          <cell r="G414" t="e">
            <v>#N/A</v>
          </cell>
          <cell r="H414" t="e">
            <v>#N/A</v>
          </cell>
          <cell r="I414" t="e">
            <v>#N/A</v>
          </cell>
          <cell r="J414" t="e">
            <v>#N/A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  <cell r="O414" t="e">
            <v>#N/A</v>
          </cell>
          <cell r="P414">
            <v>32.03</v>
          </cell>
          <cell r="Q414">
            <v>9.1801659999999998</v>
          </cell>
          <cell r="R414" t="e">
            <v>#N/A</v>
          </cell>
        </row>
        <row r="415">
          <cell r="A415">
            <v>39751</v>
          </cell>
          <cell r="B415">
            <v>39751</v>
          </cell>
          <cell r="C415" t="str">
            <v>Past</v>
          </cell>
          <cell r="D415">
            <v>32.83</v>
          </cell>
          <cell r="E415" t="e">
            <v>#N/A</v>
          </cell>
          <cell r="F415" t="e">
            <v>#N/A</v>
          </cell>
          <cell r="G415" t="e">
            <v>#N/A</v>
          </cell>
          <cell r="H415" t="e">
            <v>#N/A</v>
          </cell>
          <cell r="I415" t="e">
            <v>#N/A</v>
          </cell>
          <cell r="J415" t="e">
            <v>#N/A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  <cell r="O415" t="e">
            <v>#N/A</v>
          </cell>
          <cell r="P415">
            <v>32.83</v>
          </cell>
          <cell r="Q415">
            <v>7.3632809999999997</v>
          </cell>
          <cell r="R415" t="e">
            <v>#N/A</v>
          </cell>
        </row>
        <row r="416">
          <cell r="A416">
            <v>39752</v>
          </cell>
          <cell r="B416">
            <v>39752</v>
          </cell>
          <cell r="C416" t="str">
            <v>Past</v>
          </cell>
          <cell r="D416">
            <v>33.82</v>
          </cell>
          <cell r="E416" t="e">
            <v>#N/A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>
            <v>33.82</v>
          </cell>
          <cell r="Q416">
            <v>6.8747219999999993</v>
          </cell>
          <cell r="R416" t="e">
            <v>#N/A</v>
          </cell>
        </row>
        <row r="417">
          <cell r="A417">
            <v>39755</v>
          </cell>
          <cell r="B417">
            <v>39755</v>
          </cell>
          <cell r="C417" t="str">
            <v>Past</v>
          </cell>
          <cell r="D417">
            <v>34.01</v>
          </cell>
          <cell r="E417" t="e">
            <v>#N/A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>
            <v>34.01</v>
          </cell>
          <cell r="Q417">
            <v>4.8018919999999996</v>
          </cell>
          <cell r="R417" t="e">
            <v>#N/A</v>
          </cell>
        </row>
        <row r="418">
          <cell r="A418">
            <v>39756</v>
          </cell>
          <cell r="B418">
            <v>39756</v>
          </cell>
          <cell r="C418" t="str">
            <v>Past</v>
          </cell>
          <cell r="D418">
            <v>35.15</v>
          </cell>
          <cell r="E418" t="e">
            <v>#N/A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>
            <v>35.15</v>
          </cell>
          <cell r="Q418">
            <v>7.7893819999999998</v>
          </cell>
          <cell r="R418" t="e">
            <v>#N/A</v>
          </cell>
        </row>
        <row r="419">
          <cell r="A419">
            <v>39757</v>
          </cell>
          <cell r="B419">
            <v>39757</v>
          </cell>
          <cell r="C419" t="str">
            <v>Past</v>
          </cell>
          <cell r="D419">
            <v>33.76</v>
          </cell>
          <cell r="E419" t="e">
            <v>#N/A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>
            <v>33.76</v>
          </cell>
          <cell r="Q419">
            <v>5.8583129999999999</v>
          </cell>
          <cell r="R419" t="e">
            <v>#N/A</v>
          </cell>
        </row>
        <row r="420">
          <cell r="A420">
            <v>39758</v>
          </cell>
          <cell r="B420">
            <v>39758</v>
          </cell>
          <cell r="C420" t="str">
            <v>Past</v>
          </cell>
          <cell r="D420">
            <v>32.869999999999997</v>
          </cell>
          <cell r="E420" t="e">
            <v>#N/A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>
            <v>32.869999999999997</v>
          </cell>
          <cell r="Q420">
            <v>6.4474269999999994</v>
          </cell>
          <cell r="R420" t="e">
            <v>#N/A</v>
          </cell>
        </row>
        <row r="421">
          <cell r="A421">
            <v>39759</v>
          </cell>
          <cell r="B421">
            <v>39759</v>
          </cell>
          <cell r="C421" t="str">
            <v>Past</v>
          </cell>
          <cell r="D421">
            <v>34.200000000000003</v>
          </cell>
          <cell r="E421" t="e">
            <v>#N/A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>
            <v>34.200000000000003</v>
          </cell>
          <cell r="Q421">
            <v>4.023854</v>
          </cell>
          <cell r="R421" t="e">
            <v>#N/A</v>
          </cell>
        </row>
        <row r="422">
          <cell r="A422">
            <v>39762</v>
          </cell>
          <cell r="B422">
            <v>39762</v>
          </cell>
          <cell r="C422" t="str">
            <v>Past</v>
          </cell>
          <cell r="D422">
            <v>34.869999999999997</v>
          </cell>
          <cell r="E422" t="e">
            <v>#N/A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>
            <v>34.869999999999997</v>
          </cell>
          <cell r="Q422">
            <v>5.9272800000000005</v>
          </cell>
          <cell r="R422" t="e">
            <v>#N/A</v>
          </cell>
        </row>
        <row r="423">
          <cell r="A423">
            <v>39763</v>
          </cell>
          <cell r="B423">
            <v>39763</v>
          </cell>
          <cell r="C423" t="str">
            <v>Past</v>
          </cell>
          <cell r="D423">
            <v>33.97</v>
          </cell>
          <cell r="E423" t="e">
            <v>#N/A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>
            <v>33.97</v>
          </cell>
          <cell r="Q423">
            <v>4.9625000000000004</v>
          </cell>
          <cell r="R423" t="e">
            <v>#N/A</v>
          </cell>
        </row>
        <row r="424">
          <cell r="A424">
            <v>39764</v>
          </cell>
          <cell r="B424">
            <v>39764</v>
          </cell>
          <cell r="C424" t="str">
            <v>Past</v>
          </cell>
          <cell r="D424">
            <v>31.99</v>
          </cell>
          <cell r="E424" t="e">
            <v>#N/A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>
            <v>31.99</v>
          </cell>
          <cell r="Q424">
            <v>6.1608130000000001</v>
          </cell>
          <cell r="R424" t="e">
            <v>#N/A</v>
          </cell>
        </row>
        <row r="425">
          <cell r="A425">
            <v>39765</v>
          </cell>
          <cell r="B425">
            <v>39765</v>
          </cell>
          <cell r="C425" t="str">
            <v>Past</v>
          </cell>
          <cell r="D425">
            <v>34.119999999999997</v>
          </cell>
          <cell r="E425" t="e">
            <v>#N/A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>
            <v>34.119999999999997</v>
          </cell>
          <cell r="Q425">
            <v>13.039400000000001</v>
          </cell>
          <cell r="R425" t="e">
            <v>#N/A</v>
          </cell>
        </row>
        <row r="426">
          <cell r="A426">
            <v>39766</v>
          </cell>
          <cell r="B426">
            <v>39766</v>
          </cell>
          <cell r="C426" t="str">
            <v>Past</v>
          </cell>
          <cell r="D426">
            <v>32.06</v>
          </cell>
          <cell r="E426" t="e">
            <v>#N/A</v>
          </cell>
          <cell r="F426" t="e">
            <v>#N/A</v>
          </cell>
          <cell r="G426" t="e">
            <v>#N/A</v>
          </cell>
          <cell r="H426" t="e">
            <v>#N/A</v>
          </cell>
          <cell r="I426" t="e">
            <v>#N/A</v>
          </cell>
          <cell r="J426" t="e">
            <v>#N/A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  <cell r="O426" t="e">
            <v>#N/A</v>
          </cell>
          <cell r="P426">
            <v>32.06</v>
          </cell>
          <cell r="Q426">
            <v>8.1136920000000003</v>
          </cell>
          <cell r="R426" t="e">
            <v>#N/A</v>
          </cell>
        </row>
        <row r="427">
          <cell r="A427">
            <v>39769</v>
          </cell>
          <cell r="B427">
            <v>39769</v>
          </cell>
          <cell r="C427" t="str">
            <v>Past</v>
          </cell>
          <cell r="D427">
            <v>32.130000000000003</v>
          </cell>
          <cell r="E427" t="e">
            <v>#N/A</v>
          </cell>
          <cell r="F427" t="e">
            <v>#N/A</v>
          </cell>
          <cell r="G427" t="e">
            <v>#N/A</v>
          </cell>
          <cell r="H427" t="e">
            <v>#N/A</v>
          </cell>
          <cell r="I427" t="e">
            <v>#N/A</v>
          </cell>
          <cell r="J427" t="e">
            <v>#N/A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  <cell r="O427" t="e">
            <v>#N/A</v>
          </cell>
          <cell r="P427">
            <v>32.130000000000003</v>
          </cell>
          <cell r="Q427">
            <v>6.4393359999999999</v>
          </cell>
          <cell r="R427" t="e">
            <v>#N/A</v>
          </cell>
        </row>
        <row r="428">
          <cell r="A428">
            <v>39770</v>
          </cell>
          <cell r="B428">
            <v>39770</v>
          </cell>
          <cell r="C428" t="str">
            <v>Past</v>
          </cell>
          <cell r="D428">
            <v>33.340000000000003</v>
          </cell>
          <cell r="E428" t="e">
            <v>#N/A</v>
          </cell>
          <cell r="F428" t="e">
            <v>#N/A</v>
          </cell>
          <cell r="G428" t="e">
            <v>#N/A</v>
          </cell>
          <cell r="H428" t="e">
            <v>#N/A</v>
          </cell>
          <cell r="I428" t="e">
            <v>#N/A</v>
          </cell>
          <cell r="J428" t="e">
            <v>#N/A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  <cell r="O428" t="e">
            <v>#N/A</v>
          </cell>
          <cell r="P428">
            <v>33.340000000000003</v>
          </cell>
          <cell r="Q428">
            <v>6.5812459999999993</v>
          </cell>
          <cell r="R428" t="e">
            <v>#N/A</v>
          </cell>
        </row>
        <row r="429">
          <cell r="A429">
            <v>39771</v>
          </cell>
          <cell r="B429">
            <v>39771</v>
          </cell>
          <cell r="C429" t="str">
            <v>Past</v>
          </cell>
          <cell r="D429">
            <v>31.41</v>
          </cell>
          <cell r="E429" t="e">
            <v>#N/A</v>
          </cell>
          <cell r="F429" t="e">
            <v>#N/A</v>
          </cell>
          <cell r="G429" t="e">
            <v>#N/A</v>
          </cell>
          <cell r="H429" t="e">
            <v>#N/A</v>
          </cell>
          <cell r="I429" t="e">
            <v>#N/A</v>
          </cell>
          <cell r="J429" t="e">
            <v>#N/A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  <cell r="O429" t="e">
            <v>#N/A</v>
          </cell>
          <cell r="P429">
            <v>31.41</v>
          </cell>
          <cell r="Q429">
            <v>7.1641959999999996</v>
          </cell>
          <cell r="R429" t="e">
            <v>#N/A</v>
          </cell>
        </row>
        <row r="430">
          <cell r="A430">
            <v>39772</v>
          </cell>
          <cell r="B430">
            <v>39772</v>
          </cell>
          <cell r="C430" t="str">
            <v>Past</v>
          </cell>
          <cell r="D430">
            <v>29.91</v>
          </cell>
          <cell r="E430" t="e">
            <v>#N/A</v>
          </cell>
          <cell r="F430" t="e">
            <v>#N/A</v>
          </cell>
          <cell r="G430" t="e">
            <v>#N/A</v>
          </cell>
          <cell r="H430" t="e">
            <v>#N/A</v>
          </cell>
          <cell r="I430" t="e">
            <v>#N/A</v>
          </cell>
          <cell r="J430" t="e">
            <v>#N/A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  <cell r="O430" t="e">
            <v>#N/A</v>
          </cell>
          <cell r="P430">
            <v>29.91</v>
          </cell>
          <cell r="Q430">
            <v>7.9666109999999994</v>
          </cell>
          <cell r="R430" t="e">
            <v>#N/A</v>
          </cell>
        </row>
        <row r="431">
          <cell r="A431">
            <v>39773</v>
          </cell>
          <cell r="B431">
            <v>39773</v>
          </cell>
          <cell r="C431" t="str">
            <v>Past</v>
          </cell>
          <cell r="D431">
            <v>30.43</v>
          </cell>
          <cell r="E431" t="e">
            <v>#N/A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>
            <v>30.43</v>
          </cell>
          <cell r="Q431">
            <v>9.9475600000000011</v>
          </cell>
          <cell r="R431" t="e">
            <v>#N/A</v>
          </cell>
        </row>
        <row r="432">
          <cell r="A432">
            <v>39776</v>
          </cell>
          <cell r="B432">
            <v>39776</v>
          </cell>
          <cell r="C432" t="str">
            <v>Past</v>
          </cell>
          <cell r="D432">
            <v>32.08</v>
          </cell>
          <cell r="E432" t="e">
            <v>#N/A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>
            <v>32.08</v>
          </cell>
          <cell r="Q432">
            <v>7.845186</v>
          </cell>
          <cell r="R432" t="e">
            <v>#N/A</v>
          </cell>
        </row>
        <row r="433">
          <cell r="A433">
            <v>39777</v>
          </cell>
          <cell r="B433">
            <v>39777</v>
          </cell>
          <cell r="C433" t="str">
            <v>Past</v>
          </cell>
          <cell r="D433">
            <v>32.799999999999997</v>
          </cell>
          <cell r="E433" t="e">
            <v>#N/A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>
            <v>32.799999999999997</v>
          </cell>
          <cell r="Q433">
            <v>6.4954510000000001</v>
          </cell>
          <cell r="R433" t="e">
            <v>#N/A</v>
          </cell>
        </row>
        <row r="434">
          <cell r="A434">
            <v>39778</v>
          </cell>
          <cell r="B434">
            <v>39778</v>
          </cell>
          <cell r="C434" t="str">
            <v>Past</v>
          </cell>
          <cell r="D434">
            <v>32.869999999999997</v>
          </cell>
          <cell r="E434" t="e">
            <v>#N/A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>
            <v>32.869999999999997</v>
          </cell>
          <cell r="Q434">
            <v>5.8867069999999995</v>
          </cell>
          <cell r="R434" t="e">
            <v>#N/A</v>
          </cell>
        </row>
        <row r="435">
          <cell r="A435">
            <v>39780</v>
          </cell>
          <cell r="B435">
            <v>39780</v>
          </cell>
          <cell r="C435" t="str">
            <v>Past</v>
          </cell>
          <cell r="D435">
            <v>34.15</v>
          </cell>
          <cell r="E435" t="e">
            <v>#N/A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>
            <v>34.15</v>
          </cell>
          <cell r="Q435">
            <v>2.7362479999999998</v>
          </cell>
          <cell r="R435" t="e">
            <v>#N/A</v>
          </cell>
        </row>
        <row r="436">
          <cell r="A436">
            <v>39783</v>
          </cell>
          <cell r="B436">
            <v>39783</v>
          </cell>
          <cell r="C436" t="str">
            <v>Past</v>
          </cell>
          <cell r="D436">
            <v>31.12</v>
          </cell>
          <cell r="E436" t="e">
            <v>#N/A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>
            <v>31.12</v>
          </cell>
          <cell r="Q436">
            <v>6.3300539999999996</v>
          </cell>
          <cell r="R436" t="e">
            <v>#N/A</v>
          </cell>
        </row>
        <row r="437">
          <cell r="A437">
            <v>39784</v>
          </cell>
          <cell r="B437">
            <v>39784</v>
          </cell>
          <cell r="C437" t="str">
            <v>Past</v>
          </cell>
          <cell r="D437">
            <v>33.19</v>
          </cell>
          <cell r="E437" t="e">
            <v>#N/A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>
            <v>33.19</v>
          </cell>
          <cell r="Q437">
            <v>6.817895</v>
          </cell>
          <cell r="R437" t="e">
            <v>#N/A</v>
          </cell>
        </row>
        <row r="438">
          <cell r="A438">
            <v>39785</v>
          </cell>
          <cell r="B438">
            <v>39785</v>
          </cell>
          <cell r="C438" t="str">
            <v>Past</v>
          </cell>
          <cell r="D438">
            <v>34.97</v>
          </cell>
          <cell r="E438" t="e">
            <v>#N/A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>
            <v>34.97</v>
          </cell>
          <cell r="Q438">
            <v>7.7707500000000005</v>
          </cell>
          <cell r="R438" t="e">
            <v>#N/A</v>
          </cell>
        </row>
        <row r="439">
          <cell r="A439">
            <v>39786</v>
          </cell>
          <cell r="B439">
            <v>39786</v>
          </cell>
          <cell r="C439" t="str">
            <v>Past</v>
          </cell>
          <cell r="D439">
            <v>33.89</v>
          </cell>
          <cell r="E439" t="e">
            <v>#N/A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>
            <v>33.89</v>
          </cell>
          <cell r="Q439">
            <v>6.8564449999999999</v>
          </cell>
          <cell r="R439" t="e">
            <v>#N/A</v>
          </cell>
        </row>
        <row r="440">
          <cell r="A440">
            <v>39787</v>
          </cell>
          <cell r="B440">
            <v>39787</v>
          </cell>
          <cell r="C440" t="str">
            <v>Past</v>
          </cell>
          <cell r="D440">
            <v>34.94</v>
          </cell>
          <cell r="E440" t="e">
            <v>#N/A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>
            <v>34.94</v>
          </cell>
          <cell r="Q440">
            <v>7.5709859999999995</v>
          </cell>
          <cell r="R440" t="e">
            <v>#N/A</v>
          </cell>
        </row>
        <row r="441">
          <cell r="A441">
            <v>39790</v>
          </cell>
          <cell r="B441">
            <v>39790</v>
          </cell>
          <cell r="C441" t="str">
            <v>Past</v>
          </cell>
          <cell r="D441">
            <v>34.86</v>
          </cell>
          <cell r="E441" t="e">
            <v>#N/A</v>
          </cell>
          <cell r="F441" t="e">
            <v>#N/A</v>
          </cell>
          <cell r="G441" t="e">
            <v>#N/A</v>
          </cell>
          <cell r="H441" t="e">
            <v>#N/A</v>
          </cell>
          <cell r="I441" t="e">
            <v>#N/A</v>
          </cell>
          <cell r="J441" t="e">
            <v>#N/A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  <cell r="O441" t="e">
            <v>#N/A</v>
          </cell>
          <cell r="P441">
            <v>34.86</v>
          </cell>
          <cell r="Q441">
            <v>6.8849669999999996</v>
          </cell>
          <cell r="R441" t="e">
            <v>#N/A</v>
          </cell>
        </row>
        <row r="442">
          <cell r="A442">
            <v>39791</v>
          </cell>
          <cell r="B442">
            <v>39791</v>
          </cell>
          <cell r="C442" t="str">
            <v>Past</v>
          </cell>
          <cell r="D442">
            <v>34.57</v>
          </cell>
          <cell r="E442" t="e">
            <v>#N/A</v>
          </cell>
          <cell r="F442" t="e">
            <v>#N/A</v>
          </cell>
          <cell r="G442" t="e">
            <v>#N/A</v>
          </cell>
          <cell r="H442" t="e">
            <v>#N/A</v>
          </cell>
          <cell r="I442" t="e">
            <v>#N/A</v>
          </cell>
          <cell r="J442" t="e">
            <v>#N/A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  <cell r="O442" t="e">
            <v>#N/A</v>
          </cell>
          <cell r="P442">
            <v>34.57</v>
          </cell>
          <cell r="Q442">
            <v>4.4716059999999995</v>
          </cell>
          <cell r="R442" t="e">
            <v>#N/A</v>
          </cell>
        </row>
        <row r="443">
          <cell r="A443">
            <v>39792</v>
          </cell>
          <cell r="B443">
            <v>39792</v>
          </cell>
          <cell r="C443" t="str">
            <v>Past</v>
          </cell>
          <cell r="D443">
            <v>35.01</v>
          </cell>
          <cell r="E443" t="e">
            <v>#N/A</v>
          </cell>
          <cell r="F443" t="e">
            <v>#N/A</v>
          </cell>
          <cell r="G443" t="e">
            <v>#N/A</v>
          </cell>
          <cell r="H443" t="e">
            <v>#N/A</v>
          </cell>
          <cell r="I443" t="e">
            <v>#N/A</v>
          </cell>
          <cell r="J443" t="e">
            <v>#N/A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  <cell r="O443" t="e">
            <v>#N/A</v>
          </cell>
          <cell r="P443">
            <v>35.01</v>
          </cell>
          <cell r="Q443">
            <v>4.8541800000000004</v>
          </cell>
          <cell r="R443" t="e">
            <v>#N/A</v>
          </cell>
        </row>
        <row r="444">
          <cell r="A444">
            <v>39793</v>
          </cell>
          <cell r="B444">
            <v>39793</v>
          </cell>
          <cell r="C444" t="str">
            <v>Past</v>
          </cell>
          <cell r="D444">
            <v>35.619999999999997</v>
          </cell>
          <cell r="E444" t="e">
            <v>#N/A</v>
          </cell>
          <cell r="F444" t="e">
            <v>#N/A</v>
          </cell>
          <cell r="G444" t="e">
            <v>#N/A</v>
          </cell>
          <cell r="H444" t="e">
            <v>#N/A</v>
          </cell>
          <cell r="I444" t="e">
            <v>#N/A</v>
          </cell>
          <cell r="J444" t="e">
            <v>#N/A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  <cell r="O444" t="e">
            <v>#N/A</v>
          </cell>
          <cell r="P444">
            <v>35.619999999999997</v>
          </cell>
          <cell r="Q444">
            <v>8.0255299999999998</v>
          </cell>
          <cell r="R444" t="e">
            <v>#N/A</v>
          </cell>
        </row>
        <row r="445">
          <cell r="A445">
            <v>39794</v>
          </cell>
          <cell r="B445">
            <v>39794</v>
          </cell>
          <cell r="C445" t="str">
            <v>Past</v>
          </cell>
          <cell r="D445">
            <v>36.409999999999997</v>
          </cell>
          <cell r="E445" t="e">
            <v>#N/A</v>
          </cell>
          <cell r="F445" t="e">
            <v>#N/A</v>
          </cell>
          <cell r="G445" t="e">
            <v>#N/A</v>
          </cell>
          <cell r="H445" t="e">
            <v>#N/A</v>
          </cell>
          <cell r="I445" t="e">
            <v>#N/A</v>
          </cell>
          <cell r="J445" t="e">
            <v>#N/A</v>
          </cell>
          <cell r="K445" t="e">
            <v>#N/A</v>
          </cell>
          <cell r="L445" t="e">
            <v>#N/A</v>
          </cell>
          <cell r="M445" t="e">
            <v>#N/A</v>
          </cell>
          <cell r="N445" t="e">
            <v>#N/A</v>
          </cell>
          <cell r="O445" t="e">
            <v>#N/A</v>
          </cell>
          <cell r="P445">
            <v>36.409999999999997</v>
          </cell>
          <cell r="Q445">
            <v>6.6373489999999995</v>
          </cell>
          <cell r="R445" t="e">
            <v>#N/A</v>
          </cell>
        </row>
        <row r="446">
          <cell r="A446">
            <v>39797</v>
          </cell>
          <cell r="B446">
            <v>39797</v>
          </cell>
          <cell r="C446" t="str">
            <v>Past</v>
          </cell>
          <cell r="D446">
            <v>35.32</v>
          </cell>
          <cell r="E446" t="e">
            <v>#N/A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>
            <v>35.32</v>
          </cell>
          <cell r="Q446">
            <v>5.7284609999999994</v>
          </cell>
          <cell r="R446" t="e">
            <v>#N/A</v>
          </cell>
        </row>
        <row r="447">
          <cell r="A447">
            <v>39798</v>
          </cell>
          <cell r="B447">
            <v>39798</v>
          </cell>
          <cell r="C447" t="str">
            <v>Past</v>
          </cell>
          <cell r="D447">
            <v>37.21</v>
          </cell>
          <cell r="E447" t="e">
            <v>#N/A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>
            <v>37.21</v>
          </cell>
          <cell r="Q447">
            <v>6.1563619999999997</v>
          </cell>
          <cell r="R447" t="e">
            <v>#N/A</v>
          </cell>
        </row>
        <row r="448">
          <cell r="A448">
            <v>39799</v>
          </cell>
          <cell r="B448">
            <v>39799</v>
          </cell>
          <cell r="C448" t="str">
            <v>Past</v>
          </cell>
          <cell r="D448">
            <v>36.94</v>
          </cell>
          <cell r="E448" t="e">
            <v>#N/A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>
            <v>36.94</v>
          </cell>
          <cell r="Q448">
            <v>5.2769369999999993</v>
          </cell>
          <cell r="R448" t="e">
            <v>#N/A</v>
          </cell>
        </row>
        <row r="449">
          <cell r="A449">
            <v>39800</v>
          </cell>
          <cell r="B449">
            <v>39800</v>
          </cell>
          <cell r="C449" t="str">
            <v>Past</v>
          </cell>
          <cell r="D449">
            <v>36.869999999999997</v>
          </cell>
          <cell r="E449" t="e">
            <v>#N/A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>
            <v>36.869999999999997</v>
          </cell>
          <cell r="Q449">
            <v>6.6499489999999994</v>
          </cell>
          <cell r="R449" t="e">
            <v>#N/A</v>
          </cell>
        </row>
        <row r="450">
          <cell r="A450">
            <v>39801</v>
          </cell>
          <cell r="B450">
            <v>39801</v>
          </cell>
          <cell r="C450" t="str">
            <v>Past</v>
          </cell>
          <cell r="D450">
            <v>38.26</v>
          </cell>
          <cell r="E450" t="e">
            <v>#N/A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>
            <v>38.26</v>
          </cell>
          <cell r="Q450">
            <v>10.252540000000002</v>
          </cell>
          <cell r="R450" t="e">
            <v>#N/A</v>
          </cell>
        </row>
        <row r="451">
          <cell r="A451">
            <v>39804</v>
          </cell>
          <cell r="B451">
            <v>39804</v>
          </cell>
          <cell r="C451" t="str">
            <v>Past</v>
          </cell>
          <cell r="D451">
            <v>37.340000000000003</v>
          </cell>
          <cell r="E451" t="e">
            <v>#N/A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>
            <v>37.340000000000003</v>
          </cell>
          <cell r="Q451">
            <v>5.0688139999999997</v>
          </cell>
          <cell r="R451" t="e">
            <v>#N/A</v>
          </cell>
        </row>
        <row r="452">
          <cell r="A452">
            <v>39805</v>
          </cell>
          <cell r="B452">
            <v>39805</v>
          </cell>
          <cell r="C452" t="str">
            <v>Past</v>
          </cell>
          <cell r="D452">
            <v>37.49</v>
          </cell>
          <cell r="E452" t="e">
            <v>#N/A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>
            <v>37.49</v>
          </cell>
          <cell r="Q452">
            <v>4.2378779999999994</v>
          </cell>
          <cell r="R452" t="e">
            <v>#N/A</v>
          </cell>
        </row>
        <row r="453">
          <cell r="A453">
            <v>39806</v>
          </cell>
          <cell r="B453">
            <v>39806</v>
          </cell>
          <cell r="C453" t="str">
            <v>Past</v>
          </cell>
          <cell r="D453">
            <v>37.799999999999997</v>
          </cell>
          <cell r="E453" t="e">
            <v>#N/A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>
            <v>37.799999999999997</v>
          </cell>
          <cell r="Q453">
            <v>1.2376589999999998</v>
          </cell>
          <cell r="R453" t="e">
            <v>#N/A</v>
          </cell>
        </row>
        <row r="454">
          <cell r="A454">
            <v>39808</v>
          </cell>
          <cell r="B454">
            <v>39808</v>
          </cell>
          <cell r="C454" t="str">
            <v>Past</v>
          </cell>
          <cell r="D454">
            <v>37.979999999999997</v>
          </cell>
          <cell r="E454" t="e">
            <v>#N/A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>
            <v>37.979999999999997</v>
          </cell>
          <cell r="Q454">
            <v>1.6140219999999998</v>
          </cell>
          <cell r="R454" t="e">
            <v>#N/A</v>
          </cell>
        </row>
        <row r="455">
          <cell r="A455">
            <v>39811</v>
          </cell>
          <cell r="B455">
            <v>39811</v>
          </cell>
          <cell r="C455" t="str">
            <v>Past</v>
          </cell>
          <cell r="D455">
            <v>38.479999999999997</v>
          </cell>
          <cell r="E455" t="e">
            <v>#N/A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>
            <v>38.479999999999997</v>
          </cell>
          <cell r="Q455">
            <v>4.0112319999999997</v>
          </cell>
          <cell r="R455" t="e">
            <v>#N/A</v>
          </cell>
        </row>
        <row r="456">
          <cell r="A456">
            <v>39812</v>
          </cell>
          <cell r="B456">
            <v>39812</v>
          </cell>
          <cell r="C456" t="str">
            <v>Past</v>
          </cell>
          <cell r="D456">
            <v>39.67</v>
          </cell>
          <cell r="E456" t="e">
            <v>#N/A</v>
          </cell>
          <cell r="F456" t="e">
            <v>#N/A</v>
          </cell>
          <cell r="G456" t="e">
            <v>#N/A</v>
          </cell>
          <cell r="H456" t="e">
            <v>#N/A</v>
          </cell>
          <cell r="I456" t="e">
            <v>#N/A</v>
          </cell>
          <cell r="J456" t="e">
            <v>#N/A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  <cell r="O456" t="e">
            <v>#N/A</v>
          </cell>
          <cell r="P456">
            <v>39.67</v>
          </cell>
          <cell r="Q456">
            <v>4.7436539999999994</v>
          </cell>
          <cell r="R456" t="e">
            <v>#N/A</v>
          </cell>
        </row>
        <row r="457">
          <cell r="A457">
            <v>39813</v>
          </cell>
          <cell r="B457">
            <v>39813</v>
          </cell>
          <cell r="C457" t="str">
            <v>Past</v>
          </cell>
          <cell r="D457">
            <v>40.270000000000003</v>
          </cell>
          <cell r="E457" t="e">
            <v>#N/A</v>
          </cell>
          <cell r="F457" t="e">
            <v>#N/A</v>
          </cell>
          <cell r="G457" t="e">
            <v>#N/A</v>
          </cell>
          <cell r="H457" t="e">
            <v>#N/A</v>
          </cell>
          <cell r="I457" t="e">
            <v>#N/A</v>
          </cell>
          <cell r="J457" t="e">
            <v>#N/A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  <cell r="O457" t="e">
            <v>#N/A</v>
          </cell>
          <cell r="P457">
            <v>40.270000000000003</v>
          </cell>
          <cell r="Q457">
            <v>4.7353500000000004</v>
          </cell>
          <cell r="R457" t="e">
            <v>#N/A</v>
          </cell>
        </row>
        <row r="458">
          <cell r="A458">
            <v>39815</v>
          </cell>
          <cell r="B458">
            <v>39815</v>
          </cell>
          <cell r="C458" t="str">
            <v>Past</v>
          </cell>
          <cell r="D458">
            <v>40.57</v>
          </cell>
          <cell r="E458" t="e">
            <v>#N/A</v>
          </cell>
          <cell r="F458" t="e">
            <v>#N/A</v>
          </cell>
          <cell r="G458" t="e">
            <v>#N/A</v>
          </cell>
          <cell r="H458" t="e">
            <v>#N/A</v>
          </cell>
          <cell r="I458" t="e">
            <v>#N/A</v>
          </cell>
          <cell r="J458" t="e">
            <v>#N/A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  <cell r="O458" t="e">
            <v>#N/A</v>
          </cell>
          <cell r="P458">
            <v>40.57</v>
          </cell>
          <cell r="Q458">
            <v>6.0319430000000001</v>
          </cell>
          <cell r="R458" t="e">
            <v>#N/A</v>
          </cell>
        </row>
        <row r="459">
          <cell r="A459">
            <v>39818</v>
          </cell>
          <cell r="B459">
            <v>39818</v>
          </cell>
          <cell r="C459" t="str">
            <v>Past</v>
          </cell>
          <cell r="D459">
            <v>39.46</v>
          </cell>
          <cell r="E459" t="e">
            <v>#N/A</v>
          </cell>
          <cell r="F459" t="e">
            <v>#N/A</v>
          </cell>
          <cell r="G459" t="e">
            <v>#N/A</v>
          </cell>
          <cell r="H459" t="e">
            <v>#N/A</v>
          </cell>
          <cell r="I459" t="e">
            <v>#N/A</v>
          </cell>
          <cell r="J459" t="e">
            <v>#N/A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  <cell r="O459" t="e">
            <v>#N/A</v>
          </cell>
          <cell r="P459">
            <v>39.46</v>
          </cell>
          <cell r="Q459">
            <v>6.8690400000000009</v>
          </cell>
          <cell r="R459" t="e">
            <v>#N/A</v>
          </cell>
        </row>
        <row r="460">
          <cell r="A460">
            <v>39819</v>
          </cell>
          <cell r="B460">
            <v>39819</v>
          </cell>
          <cell r="C460" t="str">
            <v>Past</v>
          </cell>
          <cell r="D460">
            <v>39.57</v>
          </cell>
          <cell r="E460" t="e">
            <v>#N/A</v>
          </cell>
          <cell r="F460" t="e">
            <v>#N/A</v>
          </cell>
          <cell r="G460" t="e">
            <v>#N/A</v>
          </cell>
          <cell r="H460" t="e">
            <v>#N/A</v>
          </cell>
          <cell r="I460" t="e">
            <v>#N/A</v>
          </cell>
          <cell r="J460" t="e">
            <v>#N/A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  <cell r="O460" t="e">
            <v>#N/A</v>
          </cell>
          <cell r="P460">
            <v>39.57</v>
          </cell>
          <cell r="Q460">
            <v>9.0501200000000015</v>
          </cell>
          <cell r="R460" t="e">
            <v>#N/A</v>
          </cell>
        </row>
        <row r="461">
          <cell r="A461">
            <v>39820</v>
          </cell>
          <cell r="B461">
            <v>39820</v>
          </cell>
          <cell r="C461" t="str">
            <v>Past</v>
          </cell>
          <cell r="D461">
            <v>38.619999999999997</v>
          </cell>
          <cell r="E461" t="e">
            <v>#N/A</v>
          </cell>
          <cell r="F461" t="e">
            <v>#N/A</v>
          </cell>
          <cell r="G461" t="e">
            <v>#N/A</v>
          </cell>
          <cell r="H461" t="e">
            <v>#N/A</v>
          </cell>
          <cell r="I461" t="e">
            <v>#N/A</v>
          </cell>
          <cell r="J461" t="e">
            <v>#N/A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  <cell r="O461" t="e">
            <v>#N/A</v>
          </cell>
          <cell r="P461">
            <v>38.619999999999997</v>
          </cell>
          <cell r="Q461">
            <v>6.3655789999999994</v>
          </cell>
          <cell r="R461" t="e">
            <v>#N/A</v>
          </cell>
        </row>
        <row r="462">
          <cell r="A462">
            <v>39821</v>
          </cell>
          <cell r="B462">
            <v>39821</v>
          </cell>
          <cell r="C462" t="str">
            <v>Past</v>
          </cell>
          <cell r="D462">
            <v>38.81</v>
          </cell>
          <cell r="E462" t="e">
            <v>#N/A</v>
          </cell>
          <cell r="F462" t="e">
            <v>#N/A</v>
          </cell>
          <cell r="G462" t="e">
            <v>#N/A</v>
          </cell>
          <cell r="H462" t="e">
            <v>#N/A</v>
          </cell>
          <cell r="I462" t="e">
            <v>#N/A</v>
          </cell>
          <cell r="J462" t="e">
            <v>#N/A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  <cell r="O462" t="e">
            <v>#N/A</v>
          </cell>
          <cell r="P462">
            <v>38.81</v>
          </cell>
          <cell r="Q462">
            <v>5.6269049999999998</v>
          </cell>
          <cell r="R462" t="e">
            <v>#N/A</v>
          </cell>
        </row>
        <row r="463">
          <cell r="A463">
            <v>39822</v>
          </cell>
          <cell r="B463">
            <v>39822</v>
          </cell>
          <cell r="C463" t="str">
            <v>Past</v>
          </cell>
          <cell r="D463">
            <v>38.479999999999997</v>
          </cell>
          <cell r="E463" t="e">
            <v>#N/A</v>
          </cell>
          <cell r="F463" t="e">
            <v>#N/A</v>
          </cell>
          <cell r="G463" t="e">
            <v>#N/A</v>
          </cell>
          <cell r="H463" t="e">
            <v>#N/A</v>
          </cell>
          <cell r="I463" t="e">
            <v>#N/A</v>
          </cell>
          <cell r="J463" t="e">
            <v>#N/A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  <cell r="O463" t="e">
            <v>#N/A</v>
          </cell>
          <cell r="P463">
            <v>38.479999999999997</v>
          </cell>
          <cell r="Q463">
            <v>5.9375529999999994</v>
          </cell>
          <cell r="R463" t="e">
            <v>#N/A</v>
          </cell>
        </row>
        <row r="464">
          <cell r="A464">
            <v>39825</v>
          </cell>
          <cell r="B464">
            <v>39825</v>
          </cell>
          <cell r="C464" t="str">
            <v>Past</v>
          </cell>
          <cell r="D464">
            <v>38.130000000000003</v>
          </cell>
          <cell r="E464" t="e">
            <v>#N/A</v>
          </cell>
          <cell r="F464" t="e">
            <v>#N/A</v>
          </cell>
          <cell r="G464" t="e">
            <v>#N/A</v>
          </cell>
          <cell r="H464" t="e">
            <v>#N/A</v>
          </cell>
          <cell r="I464" t="e">
            <v>#N/A</v>
          </cell>
          <cell r="J464" t="e">
            <v>#N/A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  <cell r="O464" t="e">
            <v>#N/A</v>
          </cell>
          <cell r="P464">
            <v>38.130000000000003</v>
          </cell>
          <cell r="Q464">
            <v>5.1992759999999993</v>
          </cell>
          <cell r="R464" t="e">
            <v>#N/A</v>
          </cell>
        </row>
        <row r="465">
          <cell r="A465">
            <v>39826</v>
          </cell>
          <cell r="B465">
            <v>39826</v>
          </cell>
          <cell r="C465" t="str">
            <v>Past</v>
          </cell>
          <cell r="D465">
            <v>38.520000000000003</v>
          </cell>
          <cell r="E465" t="e">
            <v>#N/A</v>
          </cell>
          <cell r="F465" t="e">
            <v>#N/A</v>
          </cell>
          <cell r="G465" t="e">
            <v>#N/A</v>
          </cell>
          <cell r="H465" t="e">
            <v>#N/A</v>
          </cell>
          <cell r="I465" t="e">
            <v>#N/A</v>
          </cell>
          <cell r="J465" t="e">
            <v>#N/A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  <cell r="O465" t="e">
            <v>#N/A</v>
          </cell>
          <cell r="P465">
            <v>38.520000000000003</v>
          </cell>
          <cell r="Q465">
            <v>5.3014000000000001</v>
          </cell>
          <cell r="R465" t="e">
            <v>#N/A</v>
          </cell>
        </row>
        <row r="466">
          <cell r="A466">
            <v>39827</v>
          </cell>
          <cell r="B466">
            <v>39827</v>
          </cell>
          <cell r="C466" t="str">
            <v>Past</v>
          </cell>
          <cell r="D466">
            <v>37.47</v>
          </cell>
          <cell r="E466" t="e">
            <v>#N/A</v>
          </cell>
          <cell r="F466" t="e">
            <v>#N/A</v>
          </cell>
          <cell r="G466" t="e">
            <v>#N/A</v>
          </cell>
          <cell r="H466" t="e">
            <v>#N/A</v>
          </cell>
          <cell r="I466" t="e">
            <v>#N/A</v>
          </cell>
          <cell r="J466" t="e">
            <v>#N/A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  <cell r="O466" t="e">
            <v>#N/A</v>
          </cell>
          <cell r="P466">
            <v>37.47</v>
          </cell>
          <cell r="Q466">
            <v>6.5570919999999999</v>
          </cell>
          <cell r="R466" t="e">
            <v>#N/A</v>
          </cell>
        </row>
        <row r="467">
          <cell r="A467">
            <v>39828</v>
          </cell>
          <cell r="B467">
            <v>39828</v>
          </cell>
          <cell r="C467" t="str">
            <v>Past</v>
          </cell>
          <cell r="D467">
            <v>37.549999999999997</v>
          </cell>
          <cell r="E467" t="e">
            <v>#N/A</v>
          </cell>
          <cell r="F467" t="e">
            <v>#N/A</v>
          </cell>
          <cell r="G467" t="e">
            <v>#N/A</v>
          </cell>
          <cell r="H467" t="e">
            <v>#N/A</v>
          </cell>
          <cell r="I467" t="e">
            <v>#N/A</v>
          </cell>
          <cell r="J467" t="e">
            <v>#N/A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  <cell r="O467" t="e">
            <v>#N/A</v>
          </cell>
          <cell r="P467">
            <v>37.549999999999997</v>
          </cell>
          <cell r="Q467">
            <v>4.9573479999999996</v>
          </cell>
          <cell r="R467" t="e">
            <v>#N/A</v>
          </cell>
        </row>
        <row r="468">
          <cell r="A468">
            <v>39829</v>
          </cell>
          <cell r="B468">
            <v>39829</v>
          </cell>
          <cell r="C468" t="str">
            <v>Past</v>
          </cell>
          <cell r="D468">
            <v>38.130000000000003</v>
          </cell>
          <cell r="E468" t="e">
            <v>#N/A</v>
          </cell>
          <cell r="F468" t="e">
            <v>#N/A</v>
          </cell>
          <cell r="G468" t="e">
            <v>#N/A</v>
          </cell>
          <cell r="H468" t="e">
            <v>#N/A</v>
          </cell>
          <cell r="I468" t="e">
            <v>#N/A</v>
          </cell>
          <cell r="J468" t="e">
            <v>#N/A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  <cell r="O468" t="e">
            <v>#N/A</v>
          </cell>
          <cell r="P468">
            <v>38.130000000000003</v>
          </cell>
          <cell r="Q468">
            <v>5.4438930000000001</v>
          </cell>
          <cell r="R468" t="e">
            <v>#N/A</v>
          </cell>
        </row>
        <row r="469">
          <cell r="A469">
            <v>39833</v>
          </cell>
          <cell r="B469">
            <v>39833</v>
          </cell>
          <cell r="C469" t="str">
            <v>Past</v>
          </cell>
          <cell r="D469">
            <v>37.39</v>
          </cell>
          <cell r="E469" t="e">
            <v>#N/A</v>
          </cell>
          <cell r="F469" t="e">
            <v>#N/A</v>
          </cell>
          <cell r="G469" t="e">
            <v>#N/A</v>
          </cell>
          <cell r="H469" t="e">
            <v>#N/A</v>
          </cell>
          <cell r="I469" t="e">
            <v>#N/A</v>
          </cell>
          <cell r="J469" t="e">
            <v>#N/A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  <cell r="O469" t="e">
            <v>#N/A</v>
          </cell>
          <cell r="P469">
            <v>37.39</v>
          </cell>
          <cell r="Q469">
            <v>9.4422870000000003</v>
          </cell>
          <cell r="R469" t="e">
            <v>#N/A</v>
          </cell>
        </row>
        <row r="470">
          <cell r="A470">
            <v>39834</v>
          </cell>
          <cell r="B470">
            <v>39834</v>
          </cell>
          <cell r="C470" t="str">
            <v>Past</v>
          </cell>
          <cell r="D470">
            <v>38.24</v>
          </cell>
          <cell r="E470" t="e">
            <v>#N/A</v>
          </cell>
          <cell r="F470" t="e">
            <v>#N/A</v>
          </cell>
          <cell r="G470" t="e">
            <v>#N/A</v>
          </cell>
          <cell r="H470" t="e">
            <v>#N/A</v>
          </cell>
          <cell r="I470" t="e">
            <v>#N/A</v>
          </cell>
          <cell r="J470" t="e">
            <v>#N/A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  <cell r="O470" t="e">
            <v>#N/A</v>
          </cell>
          <cell r="P470">
            <v>38.24</v>
          </cell>
          <cell r="Q470">
            <v>6.8359109999999994</v>
          </cell>
          <cell r="R470" t="e">
            <v>#N/A</v>
          </cell>
        </row>
        <row r="471">
          <cell r="A471">
            <v>39835</v>
          </cell>
          <cell r="B471">
            <v>39835</v>
          </cell>
          <cell r="C471" t="str">
            <v>Past</v>
          </cell>
          <cell r="D471">
            <v>37.799999999999997</v>
          </cell>
          <cell r="E471" t="e">
            <v>#N/A</v>
          </cell>
          <cell r="F471" t="e">
            <v>#N/A</v>
          </cell>
          <cell r="G471" t="e">
            <v>#N/A</v>
          </cell>
          <cell r="H471" t="e">
            <v>#N/A</v>
          </cell>
          <cell r="I471" t="e">
            <v>#N/A</v>
          </cell>
          <cell r="J471" t="e">
            <v>#N/A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  <cell r="O471" t="e">
            <v>#N/A</v>
          </cell>
          <cell r="P471">
            <v>37.799999999999997</v>
          </cell>
          <cell r="Q471">
            <v>5.5477039999999995</v>
          </cell>
          <cell r="R471" t="e">
            <v>#N/A</v>
          </cell>
        </row>
        <row r="472">
          <cell r="A472">
            <v>39836</v>
          </cell>
          <cell r="B472">
            <v>39836</v>
          </cell>
          <cell r="C472" t="str">
            <v>Past</v>
          </cell>
          <cell r="D472">
            <v>37.42</v>
          </cell>
          <cell r="E472" t="e">
            <v>#N/A</v>
          </cell>
          <cell r="F472" t="e">
            <v>#N/A</v>
          </cell>
          <cell r="G472" t="e">
            <v>#N/A</v>
          </cell>
          <cell r="H472" t="e">
            <v>#N/A</v>
          </cell>
          <cell r="I472" t="e">
            <v>#N/A</v>
          </cell>
          <cell r="J472" t="e">
            <v>#N/A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  <cell r="O472" t="e">
            <v>#N/A</v>
          </cell>
          <cell r="P472">
            <v>37.42</v>
          </cell>
          <cell r="Q472">
            <v>6.2286000000000001</v>
          </cell>
          <cell r="R472" t="e">
            <v>#N/A</v>
          </cell>
        </row>
        <row r="473">
          <cell r="A473">
            <v>39839</v>
          </cell>
          <cell r="B473">
            <v>39839</v>
          </cell>
          <cell r="C473" t="str">
            <v>Past</v>
          </cell>
          <cell r="D473">
            <v>37.57</v>
          </cell>
          <cell r="E473" t="e">
            <v>#N/A</v>
          </cell>
          <cell r="F473" t="e">
            <v>#N/A</v>
          </cell>
          <cell r="G473" t="e">
            <v>#N/A</v>
          </cell>
          <cell r="H473" t="e">
            <v>#N/A</v>
          </cell>
          <cell r="I473" t="e">
            <v>#N/A</v>
          </cell>
          <cell r="J473" t="e">
            <v>#N/A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  <cell r="O473" t="e">
            <v>#N/A</v>
          </cell>
          <cell r="P473">
            <v>37.57</v>
          </cell>
          <cell r="Q473">
            <v>6.7665639999999998</v>
          </cell>
          <cell r="R473" t="e">
            <v>#N/A</v>
          </cell>
        </row>
        <row r="474">
          <cell r="A474">
            <v>39840</v>
          </cell>
          <cell r="B474">
            <v>39840</v>
          </cell>
          <cell r="C474" t="str">
            <v>Past</v>
          </cell>
          <cell r="D474">
            <v>38.61</v>
          </cell>
          <cell r="E474" t="e">
            <v>#N/A</v>
          </cell>
          <cell r="F474" t="e">
            <v>#N/A</v>
          </cell>
          <cell r="G474" t="e">
            <v>#N/A</v>
          </cell>
          <cell r="H474" t="e">
            <v>#N/A</v>
          </cell>
          <cell r="I474" t="e">
            <v>#N/A</v>
          </cell>
          <cell r="J474" t="e">
            <v>#N/A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  <cell r="O474" t="e">
            <v>#N/A</v>
          </cell>
          <cell r="P474">
            <v>38.61</v>
          </cell>
          <cell r="Q474">
            <v>5.4036520000000001</v>
          </cell>
          <cell r="R474" t="e">
            <v>#N/A</v>
          </cell>
        </row>
        <row r="475">
          <cell r="A475">
            <v>39841</v>
          </cell>
          <cell r="B475">
            <v>39841</v>
          </cell>
          <cell r="C475" t="str">
            <v>Past</v>
          </cell>
          <cell r="D475">
            <v>39.090000000000003</v>
          </cell>
          <cell r="E475" t="e">
            <v>#N/A</v>
          </cell>
          <cell r="F475" t="e">
            <v>#N/A</v>
          </cell>
          <cell r="G475" t="e">
            <v>#N/A</v>
          </cell>
          <cell r="H475" t="e">
            <v>#N/A</v>
          </cell>
          <cell r="I475" t="e">
            <v>#N/A</v>
          </cell>
          <cell r="J475" t="e">
            <v>#N/A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  <cell r="O475" t="e">
            <v>#N/A</v>
          </cell>
          <cell r="P475">
            <v>39.090000000000003</v>
          </cell>
          <cell r="Q475">
            <v>5.3712</v>
          </cell>
          <cell r="R475" t="e">
            <v>#N/A</v>
          </cell>
        </row>
        <row r="476">
          <cell r="A476">
            <v>39842</v>
          </cell>
          <cell r="B476">
            <v>39842</v>
          </cell>
          <cell r="C476" t="str">
            <v>Past</v>
          </cell>
          <cell r="D476">
            <v>37.97</v>
          </cell>
          <cell r="E476" t="e">
            <v>#N/A</v>
          </cell>
          <cell r="F476" t="e">
            <v>#N/A</v>
          </cell>
          <cell r="G476" t="e">
            <v>#N/A</v>
          </cell>
          <cell r="H476" t="e">
            <v>#N/A</v>
          </cell>
          <cell r="I476" t="e">
            <v>#N/A</v>
          </cell>
          <cell r="J476" t="e">
            <v>#N/A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  <cell r="O476" t="e">
            <v>#N/A</v>
          </cell>
          <cell r="P476">
            <v>37.97</v>
          </cell>
          <cell r="Q476">
            <v>6.4738359999999995</v>
          </cell>
          <cell r="R476" t="e">
            <v>#N/A</v>
          </cell>
        </row>
        <row r="477">
          <cell r="A477">
            <v>39843</v>
          </cell>
          <cell r="B477">
            <v>39843</v>
          </cell>
          <cell r="C477" t="str">
            <v>Past</v>
          </cell>
          <cell r="D477">
            <v>36.82</v>
          </cell>
          <cell r="E477" t="e">
            <v>#N/A</v>
          </cell>
          <cell r="F477" t="e">
            <v>#N/A</v>
          </cell>
          <cell r="G477" t="e">
            <v>#N/A</v>
          </cell>
          <cell r="H477" t="e">
            <v>#N/A</v>
          </cell>
          <cell r="I477" t="e">
            <v>#N/A</v>
          </cell>
          <cell r="J477" t="e">
            <v>#N/A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  <cell r="O477" t="e">
            <v>#N/A</v>
          </cell>
          <cell r="P477">
            <v>36.82</v>
          </cell>
          <cell r="Q477">
            <v>9.5991330000000001</v>
          </cell>
          <cell r="R477" t="e">
            <v>#N/A</v>
          </cell>
        </row>
        <row r="478">
          <cell r="A478">
            <v>39846</v>
          </cell>
          <cell r="B478">
            <v>39846</v>
          </cell>
          <cell r="C478" t="str">
            <v>Past</v>
          </cell>
          <cell r="D478">
            <v>37.270000000000003</v>
          </cell>
          <cell r="E478" t="e">
            <v>#N/A</v>
          </cell>
          <cell r="F478" t="e">
            <v>#N/A</v>
          </cell>
          <cell r="G478" t="e">
            <v>#N/A</v>
          </cell>
          <cell r="H478" t="e">
            <v>#N/A</v>
          </cell>
          <cell r="I478" t="e">
            <v>#N/A</v>
          </cell>
          <cell r="J478" t="e">
            <v>#N/A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  <cell r="O478" t="e">
            <v>#N/A</v>
          </cell>
          <cell r="P478">
            <v>37.270000000000003</v>
          </cell>
          <cell r="Q478">
            <v>5.5051160000000001</v>
          </cell>
          <cell r="R478" t="e">
            <v>#N/A</v>
          </cell>
        </row>
        <row r="479">
          <cell r="A479">
            <v>39847</v>
          </cell>
          <cell r="B479">
            <v>39847</v>
          </cell>
          <cell r="C479" t="str">
            <v>Past</v>
          </cell>
          <cell r="D479">
            <v>38.69</v>
          </cell>
          <cell r="E479" t="e">
            <v>#N/A</v>
          </cell>
          <cell r="F479" t="e">
            <v>#N/A</v>
          </cell>
          <cell r="G479" t="e">
            <v>#N/A</v>
          </cell>
          <cell r="H479" t="e">
            <v>#N/A</v>
          </cell>
          <cell r="I479" t="e">
            <v>#N/A</v>
          </cell>
          <cell r="J479" t="e">
            <v>#N/A</v>
          </cell>
          <cell r="K479" t="e">
            <v>#N/A</v>
          </cell>
          <cell r="L479" t="e">
            <v>#N/A</v>
          </cell>
          <cell r="M479" t="e">
            <v>#N/A</v>
          </cell>
          <cell r="N479" t="e">
            <v>#N/A</v>
          </cell>
          <cell r="O479" t="e">
            <v>#N/A</v>
          </cell>
          <cell r="P479">
            <v>38.69</v>
          </cell>
          <cell r="Q479">
            <v>10.013140000000002</v>
          </cell>
          <cell r="R479" t="e">
            <v>#N/A</v>
          </cell>
        </row>
        <row r="480">
          <cell r="A480">
            <v>39848</v>
          </cell>
          <cell r="B480">
            <v>39848</v>
          </cell>
          <cell r="C480" t="str">
            <v>Past</v>
          </cell>
          <cell r="D480">
            <v>38.01</v>
          </cell>
          <cell r="E480" t="e">
            <v>#N/A</v>
          </cell>
          <cell r="F480" t="e">
            <v>#N/A</v>
          </cell>
          <cell r="G480" t="e">
            <v>#N/A</v>
          </cell>
          <cell r="H480" t="e">
            <v>#N/A</v>
          </cell>
          <cell r="I480" t="e">
            <v>#N/A</v>
          </cell>
          <cell r="J480" t="e">
            <v>#N/A</v>
          </cell>
          <cell r="K480" t="e">
            <v>#N/A</v>
          </cell>
          <cell r="L480" t="e">
            <v>#N/A</v>
          </cell>
          <cell r="M480" t="e">
            <v>#N/A</v>
          </cell>
          <cell r="N480" t="e">
            <v>#N/A</v>
          </cell>
          <cell r="O480" t="e">
            <v>#N/A</v>
          </cell>
          <cell r="P480">
            <v>38.01</v>
          </cell>
          <cell r="Q480">
            <v>7.4171279999999999</v>
          </cell>
          <cell r="R480" t="e">
            <v>#N/A</v>
          </cell>
        </row>
        <row r="481">
          <cell r="A481">
            <v>39849</v>
          </cell>
          <cell r="B481">
            <v>39849</v>
          </cell>
          <cell r="C481" t="str">
            <v>Past</v>
          </cell>
          <cell r="D481">
            <v>38.159999999999997</v>
          </cell>
          <cell r="E481" t="e">
            <v>#N/A</v>
          </cell>
          <cell r="F481" t="e">
            <v>#N/A</v>
          </cell>
          <cell r="G481" t="e">
            <v>#N/A</v>
          </cell>
          <cell r="H481" t="e">
            <v>#N/A</v>
          </cell>
          <cell r="I481" t="e">
            <v>#N/A</v>
          </cell>
          <cell r="J481" t="e">
            <v>#N/A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  <cell r="O481" t="e">
            <v>#N/A</v>
          </cell>
          <cell r="P481">
            <v>38.159999999999997</v>
          </cell>
          <cell r="Q481">
            <v>5.0512559999999995</v>
          </cell>
          <cell r="R481" t="e">
            <v>#N/A</v>
          </cell>
        </row>
        <row r="482">
          <cell r="A482">
            <v>39850</v>
          </cell>
          <cell r="B482">
            <v>39850</v>
          </cell>
          <cell r="C482" t="str">
            <v>Past</v>
          </cell>
          <cell r="D482">
            <v>38.18</v>
          </cell>
          <cell r="E482" t="e">
            <v>#N/A</v>
          </cell>
          <cell r="F482" t="e">
            <v>#N/A</v>
          </cell>
          <cell r="G482" t="e">
            <v>#N/A</v>
          </cell>
          <cell r="H482" t="e">
            <v>#N/A</v>
          </cell>
          <cell r="I482" t="e">
            <v>#N/A</v>
          </cell>
          <cell r="J482" t="e">
            <v>#N/A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  <cell r="O482" t="e">
            <v>#N/A</v>
          </cell>
          <cell r="P482">
            <v>38.18</v>
          </cell>
          <cell r="Q482">
            <v>4.9782630000000001</v>
          </cell>
          <cell r="R482" t="e">
            <v>#N/A</v>
          </cell>
        </row>
        <row r="483">
          <cell r="A483">
            <v>39853</v>
          </cell>
          <cell r="B483">
            <v>39853</v>
          </cell>
          <cell r="C483" t="str">
            <v>Past</v>
          </cell>
          <cell r="D483">
            <v>38.119999999999997</v>
          </cell>
          <cell r="E483" t="e">
            <v>#N/A</v>
          </cell>
          <cell r="F483" t="e">
            <v>#N/A</v>
          </cell>
          <cell r="G483" t="e">
            <v>#N/A</v>
          </cell>
          <cell r="H483" t="e">
            <v>#N/A</v>
          </cell>
          <cell r="I483" t="e">
            <v>#N/A</v>
          </cell>
          <cell r="J483" t="e">
            <v>#N/A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  <cell r="O483" t="e">
            <v>#N/A</v>
          </cell>
          <cell r="P483">
            <v>38.119999999999997</v>
          </cell>
          <cell r="Q483">
            <v>4.1329539999999998</v>
          </cell>
          <cell r="R483" t="e">
            <v>#N/A</v>
          </cell>
        </row>
        <row r="484">
          <cell r="A484">
            <v>39854</v>
          </cell>
          <cell r="B484">
            <v>39854</v>
          </cell>
          <cell r="C484" t="str">
            <v>Past</v>
          </cell>
          <cell r="D484">
            <v>36.94</v>
          </cell>
          <cell r="E484" t="e">
            <v>#N/A</v>
          </cell>
          <cell r="F484" t="e">
            <v>#N/A</v>
          </cell>
          <cell r="G484" t="e">
            <v>#N/A</v>
          </cell>
          <cell r="H484" t="e">
            <v>#N/A</v>
          </cell>
          <cell r="I484" t="e">
            <v>#N/A</v>
          </cell>
          <cell r="J484" t="e">
            <v>#N/A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  <cell r="O484" t="e">
            <v>#N/A</v>
          </cell>
          <cell r="P484">
            <v>36.94</v>
          </cell>
          <cell r="Q484">
            <v>5.7219000000000007</v>
          </cell>
          <cell r="R484" t="e">
            <v>#N/A</v>
          </cell>
        </row>
        <row r="485">
          <cell r="A485">
            <v>39855</v>
          </cell>
          <cell r="B485">
            <v>39855</v>
          </cell>
          <cell r="C485" t="str">
            <v>Past</v>
          </cell>
          <cell r="D485">
            <v>36.72</v>
          </cell>
          <cell r="E485" t="e">
            <v>#N/A</v>
          </cell>
          <cell r="F485" t="e">
            <v>#N/A</v>
          </cell>
          <cell r="G485" t="e">
            <v>#N/A</v>
          </cell>
          <cell r="H485" t="e">
            <v>#N/A</v>
          </cell>
          <cell r="I485" t="e">
            <v>#N/A</v>
          </cell>
          <cell r="J485" t="e">
            <v>#N/A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  <cell r="O485" t="e">
            <v>#N/A</v>
          </cell>
          <cell r="P485">
            <v>36.72</v>
          </cell>
          <cell r="Q485">
            <v>4.2443919999999995</v>
          </cell>
          <cell r="R485" t="e">
            <v>#N/A</v>
          </cell>
        </row>
        <row r="486">
          <cell r="A486">
            <v>39856</v>
          </cell>
          <cell r="B486">
            <v>39856</v>
          </cell>
          <cell r="C486" t="str">
            <v>Past</v>
          </cell>
          <cell r="D486">
            <v>36.340000000000003</v>
          </cell>
          <cell r="E486" t="e">
            <v>#N/A</v>
          </cell>
          <cell r="F486" t="e">
            <v>#N/A</v>
          </cell>
          <cell r="G486" t="e">
            <v>#N/A</v>
          </cell>
          <cell r="H486" t="e">
            <v>#N/A</v>
          </cell>
          <cell r="I486" t="e">
            <v>#N/A</v>
          </cell>
          <cell r="J486" t="e">
            <v>#N/A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  <cell r="O486" t="e">
            <v>#N/A</v>
          </cell>
          <cell r="P486">
            <v>36.340000000000003</v>
          </cell>
          <cell r="Q486">
            <v>6.0982659999999997</v>
          </cell>
          <cell r="R486" t="e">
            <v>#N/A</v>
          </cell>
        </row>
        <row r="487">
          <cell r="A487">
            <v>39857</v>
          </cell>
          <cell r="B487">
            <v>39857</v>
          </cell>
          <cell r="C487" t="str">
            <v>Past</v>
          </cell>
          <cell r="D487">
            <v>35.43</v>
          </cell>
          <cell r="E487" t="e">
            <v>#N/A</v>
          </cell>
          <cell r="F487" t="e">
            <v>#N/A</v>
          </cell>
          <cell r="G487" t="e">
            <v>#N/A</v>
          </cell>
          <cell r="H487" t="e">
            <v>#N/A</v>
          </cell>
          <cell r="I487" t="e">
            <v>#N/A</v>
          </cell>
          <cell r="J487" t="e">
            <v>#N/A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  <cell r="O487" t="e">
            <v>#N/A</v>
          </cell>
          <cell r="P487">
            <v>35.43</v>
          </cell>
          <cell r="Q487">
            <v>6.0230549999999994</v>
          </cell>
          <cell r="R487" t="e">
            <v>#N/A</v>
          </cell>
        </row>
        <row r="488">
          <cell r="A488">
            <v>39861</v>
          </cell>
          <cell r="B488">
            <v>39861</v>
          </cell>
          <cell r="C488" t="str">
            <v>Past</v>
          </cell>
          <cell r="D488">
            <v>34.58</v>
          </cell>
          <cell r="E488" t="e">
            <v>#N/A</v>
          </cell>
          <cell r="F488" t="e">
            <v>#N/A</v>
          </cell>
          <cell r="G488" t="e">
            <v>#N/A</v>
          </cell>
          <cell r="H488" t="e">
            <v>#N/A</v>
          </cell>
          <cell r="I488" t="e">
            <v>#N/A</v>
          </cell>
          <cell r="J488" t="e">
            <v>#N/A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  <cell r="O488" t="e">
            <v>#N/A</v>
          </cell>
          <cell r="P488">
            <v>34.58</v>
          </cell>
          <cell r="Q488">
            <v>7.4004500000000002</v>
          </cell>
          <cell r="R488" t="e">
            <v>#N/A</v>
          </cell>
        </row>
        <row r="489">
          <cell r="A489">
            <v>39862</v>
          </cell>
          <cell r="B489">
            <v>39862</v>
          </cell>
          <cell r="C489" t="str">
            <v>Past</v>
          </cell>
          <cell r="D489">
            <v>34.4</v>
          </cell>
          <cell r="E489" t="e">
            <v>#N/A</v>
          </cell>
          <cell r="F489" t="e">
            <v>#N/A</v>
          </cell>
          <cell r="G489" t="e">
            <v>#N/A</v>
          </cell>
          <cell r="H489" t="e">
            <v>#N/A</v>
          </cell>
          <cell r="I489" t="e">
            <v>#N/A</v>
          </cell>
          <cell r="J489" t="e">
            <v>#N/A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  <cell r="O489" t="e">
            <v>#N/A</v>
          </cell>
          <cell r="P489">
            <v>34.4</v>
          </cell>
          <cell r="Q489">
            <v>5.9168149999999997</v>
          </cell>
          <cell r="R489" t="e">
            <v>#N/A</v>
          </cell>
        </row>
        <row r="490">
          <cell r="A490">
            <v>39863</v>
          </cell>
          <cell r="B490">
            <v>39863</v>
          </cell>
          <cell r="C490" t="str">
            <v>Past</v>
          </cell>
          <cell r="D490">
            <v>34.479999999999997</v>
          </cell>
          <cell r="E490" t="e">
            <v>#N/A</v>
          </cell>
          <cell r="F490" t="e">
            <v>#N/A</v>
          </cell>
          <cell r="G490" t="e">
            <v>#N/A</v>
          </cell>
          <cell r="H490" t="e">
            <v>#N/A</v>
          </cell>
          <cell r="I490" t="e">
            <v>#N/A</v>
          </cell>
          <cell r="J490" t="e">
            <v>#N/A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  <cell r="O490" t="e">
            <v>#N/A</v>
          </cell>
          <cell r="P490">
            <v>34.479999999999997</v>
          </cell>
          <cell r="Q490">
            <v>4.241352</v>
          </cell>
          <cell r="R490" t="e">
            <v>#N/A</v>
          </cell>
        </row>
        <row r="491">
          <cell r="A491">
            <v>39864</v>
          </cell>
          <cell r="B491">
            <v>39864</v>
          </cell>
          <cell r="C491" t="str">
            <v>Past</v>
          </cell>
          <cell r="D491">
            <v>33.24</v>
          </cell>
          <cell r="E491" t="e">
            <v>#N/A</v>
          </cell>
          <cell r="F491" t="e">
            <v>#N/A</v>
          </cell>
          <cell r="G491" t="e">
            <v>#N/A</v>
          </cell>
          <cell r="H491" t="e">
            <v>#N/A</v>
          </cell>
          <cell r="I491" t="e">
            <v>#N/A</v>
          </cell>
          <cell r="J491" t="e">
            <v>#N/A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  <cell r="O491" t="e">
            <v>#N/A</v>
          </cell>
          <cell r="P491">
            <v>33.24</v>
          </cell>
          <cell r="Q491">
            <v>8.3610439999999997</v>
          </cell>
          <cell r="R491" t="e">
            <v>#N/A</v>
          </cell>
        </row>
        <row r="492">
          <cell r="A492">
            <v>39867</v>
          </cell>
          <cell r="B492">
            <v>39867</v>
          </cell>
          <cell r="C492" t="str">
            <v>Past</v>
          </cell>
          <cell r="D492">
            <v>32.31</v>
          </cell>
          <cell r="E492" t="e">
            <v>#N/A</v>
          </cell>
          <cell r="F492" t="e">
            <v>#N/A</v>
          </cell>
          <cell r="G492" t="e">
            <v>#N/A</v>
          </cell>
          <cell r="H492" t="e">
            <v>#N/A</v>
          </cell>
          <cell r="I492" t="e">
            <v>#N/A</v>
          </cell>
          <cell r="J492" t="e">
            <v>#N/A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  <cell r="O492" t="e">
            <v>#N/A</v>
          </cell>
          <cell r="P492">
            <v>32.31</v>
          </cell>
          <cell r="Q492">
            <v>5.5451389999999998</v>
          </cell>
          <cell r="R492" t="e">
            <v>#N/A</v>
          </cell>
        </row>
        <row r="493">
          <cell r="A493">
            <v>39868</v>
          </cell>
          <cell r="B493">
            <v>39868</v>
          </cell>
          <cell r="C493" t="str">
            <v>Past</v>
          </cell>
          <cell r="D493">
            <v>32.909999999999997</v>
          </cell>
          <cell r="E493" t="e">
            <v>#N/A</v>
          </cell>
          <cell r="F493" t="e">
            <v>#N/A</v>
          </cell>
          <cell r="G493" t="e">
            <v>#N/A</v>
          </cell>
          <cell r="H493" t="e">
            <v>#N/A</v>
          </cell>
          <cell r="I493" t="e">
            <v>#N/A</v>
          </cell>
          <cell r="J493" t="e">
            <v>#N/A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  <cell r="O493" t="e">
            <v>#N/A</v>
          </cell>
          <cell r="P493">
            <v>32.909999999999997</v>
          </cell>
          <cell r="Q493">
            <v>7.3455969999999997</v>
          </cell>
          <cell r="R493" t="e">
            <v>#N/A</v>
          </cell>
        </row>
        <row r="494">
          <cell r="A494">
            <v>39869</v>
          </cell>
          <cell r="B494">
            <v>39869</v>
          </cell>
          <cell r="C494" t="str">
            <v>Past</v>
          </cell>
          <cell r="D494">
            <v>32.56</v>
          </cell>
          <cell r="E494" t="e">
            <v>#N/A</v>
          </cell>
          <cell r="F494" t="e">
            <v>#N/A</v>
          </cell>
          <cell r="G494" t="e">
            <v>#N/A</v>
          </cell>
          <cell r="H494" t="e">
            <v>#N/A</v>
          </cell>
          <cell r="I494" t="e">
            <v>#N/A</v>
          </cell>
          <cell r="J494" t="e">
            <v>#N/A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  <cell r="O494" t="e">
            <v>#N/A</v>
          </cell>
          <cell r="P494">
            <v>32.56</v>
          </cell>
          <cell r="Q494">
            <v>6.9441649999999999</v>
          </cell>
          <cell r="R494" t="e">
            <v>#N/A</v>
          </cell>
        </row>
        <row r="495">
          <cell r="A495">
            <v>39870</v>
          </cell>
          <cell r="B495">
            <v>39870</v>
          </cell>
          <cell r="C495" t="str">
            <v>Past</v>
          </cell>
          <cell r="D495">
            <v>31.04</v>
          </cell>
          <cell r="E495" t="e">
            <v>#N/A</v>
          </cell>
          <cell r="F495" t="e">
            <v>#N/A</v>
          </cell>
          <cell r="G495" t="e">
            <v>#N/A</v>
          </cell>
          <cell r="H495" t="e">
            <v>#N/A</v>
          </cell>
          <cell r="I495" t="e">
            <v>#N/A</v>
          </cell>
          <cell r="J495" t="e">
            <v>#N/A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  <cell r="O495" t="e">
            <v>#N/A</v>
          </cell>
          <cell r="P495">
            <v>31.04</v>
          </cell>
          <cell r="Q495">
            <v>12.1358</v>
          </cell>
          <cell r="R495" t="e">
            <v>#N/A</v>
          </cell>
        </row>
        <row r="496">
          <cell r="A496">
            <v>39871</v>
          </cell>
          <cell r="B496">
            <v>39871</v>
          </cell>
          <cell r="C496" t="str">
            <v>Past</v>
          </cell>
          <cell r="D496">
            <v>29.38</v>
          </cell>
          <cell r="E496" t="e">
            <v>#N/A</v>
          </cell>
          <cell r="F496" t="e">
            <v>#N/A</v>
          </cell>
          <cell r="G496" t="e">
            <v>#N/A</v>
          </cell>
          <cell r="H496" t="e">
            <v>#N/A</v>
          </cell>
          <cell r="I496" t="e">
            <v>#N/A</v>
          </cell>
          <cell r="J496" t="e">
            <v>#N/A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  <cell r="O496" t="e">
            <v>#N/A</v>
          </cell>
          <cell r="P496">
            <v>29.38</v>
          </cell>
          <cell r="Q496">
            <v>9.5235319999999994</v>
          </cell>
          <cell r="R496" t="e">
            <v>#N/A</v>
          </cell>
        </row>
        <row r="497">
          <cell r="A497">
            <v>39874</v>
          </cell>
          <cell r="B497">
            <v>39874</v>
          </cell>
          <cell r="C497" t="str">
            <v>Past</v>
          </cell>
          <cell r="D497">
            <v>27.75</v>
          </cell>
          <cell r="E497" t="e">
            <v>#N/A</v>
          </cell>
          <cell r="F497" t="e">
            <v>#N/A</v>
          </cell>
          <cell r="G497" t="e">
            <v>#N/A</v>
          </cell>
          <cell r="H497" t="e">
            <v>#N/A</v>
          </cell>
          <cell r="I497" t="e">
            <v>#N/A</v>
          </cell>
          <cell r="J497" t="e">
            <v>#N/A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  <cell r="O497" t="e">
            <v>#N/A</v>
          </cell>
          <cell r="P497">
            <v>27.75</v>
          </cell>
          <cell r="Q497">
            <v>13.436470000000002</v>
          </cell>
          <cell r="R497" t="e">
            <v>#N/A</v>
          </cell>
        </row>
        <row r="498">
          <cell r="A498">
            <v>39875</v>
          </cell>
          <cell r="B498">
            <v>39875</v>
          </cell>
          <cell r="C498" t="str">
            <v>Past</v>
          </cell>
          <cell r="D498">
            <v>27.49</v>
          </cell>
          <cell r="E498" t="e">
            <v>#N/A</v>
          </cell>
          <cell r="F498" t="e">
            <v>#N/A</v>
          </cell>
          <cell r="G498" t="e">
            <v>#N/A</v>
          </cell>
          <cell r="H498" t="e">
            <v>#N/A</v>
          </cell>
          <cell r="I498" t="e">
            <v>#N/A</v>
          </cell>
          <cell r="J498" t="e">
            <v>#N/A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  <cell r="O498" t="e">
            <v>#N/A</v>
          </cell>
          <cell r="P498">
            <v>27.49</v>
          </cell>
          <cell r="Q498">
            <v>9.490162999999999</v>
          </cell>
          <cell r="R498" t="e">
            <v>#N/A</v>
          </cell>
        </row>
        <row r="499">
          <cell r="A499">
            <v>39876</v>
          </cell>
          <cell r="B499">
            <v>39876</v>
          </cell>
          <cell r="C499" t="str">
            <v>Past</v>
          </cell>
          <cell r="D499">
            <v>28.5</v>
          </cell>
          <cell r="E499" t="e">
            <v>#N/A</v>
          </cell>
          <cell r="F499" t="e">
            <v>#N/A</v>
          </cell>
          <cell r="G499" t="e">
            <v>#N/A</v>
          </cell>
          <cell r="H499" t="e">
            <v>#N/A</v>
          </cell>
          <cell r="I499" t="e">
            <v>#N/A</v>
          </cell>
          <cell r="J499" t="e">
            <v>#N/A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  <cell r="O499" t="e">
            <v>#N/A</v>
          </cell>
          <cell r="P499">
            <v>28.5</v>
          </cell>
          <cell r="Q499">
            <v>8.8650219999999997</v>
          </cell>
          <cell r="R499" t="e">
            <v>#N/A</v>
          </cell>
        </row>
        <row r="500">
          <cell r="A500">
            <v>39877</v>
          </cell>
          <cell r="B500">
            <v>39877</v>
          </cell>
          <cell r="C500" t="str">
            <v>Past</v>
          </cell>
          <cell r="D500">
            <v>27.47</v>
          </cell>
          <cell r="E500" t="e">
            <v>#N/A</v>
          </cell>
          <cell r="F500" t="e">
            <v>#N/A</v>
          </cell>
          <cell r="G500" t="e">
            <v>#N/A</v>
          </cell>
          <cell r="H500" t="e">
            <v>#N/A</v>
          </cell>
          <cell r="I500" t="e">
            <v>#N/A</v>
          </cell>
          <cell r="J500" t="e">
            <v>#N/A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  <cell r="O500" t="e">
            <v>#N/A</v>
          </cell>
          <cell r="P500">
            <v>27.47</v>
          </cell>
          <cell r="Q500">
            <v>9.0288579999999996</v>
          </cell>
          <cell r="R500" t="e">
            <v>#N/A</v>
          </cell>
        </row>
        <row r="501">
          <cell r="A501">
            <v>39878</v>
          </cell>
          <cell r="B501">
            <v>39878</v>
          </cell>
          <cell r="C501" t="str">
            <v>Past</v>
          </cell>
          <cell r="D501">
            <v>27.98</v>
          </cell>
          <cell r="E501" t="e">
            <v>#N/A</v>
          </cell>
          <cell r="F501" t="e">
            <v>#N/A</v>
          </cell>
          <cell r="G501" t="e">
            <v>#N/A</v>
          </cell>
          <cell r="H501" t="e">
            <v>#N/A</v>
          </cell>
          <cell r="I501" t="e">
            <v>#N/A</v>
          </cell>
          <cell r="J501" t="e">
            <v>#N/A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  <cell r="O501" t="e">
            <v>#N/A</v>
          </cell>
          <cell r="P501">
            <v>27.98</v>
          </cell>
          <cell r="Q501">
            <v>8.7001270000000002</v>
          </cell>
          <cell r="R501" t="e">
            <v>#N/A</v>
          </cell>
        </row>
        <row r="502">
          <cell r="A502">
            <v>39881</v>
          </cell>
          <cell r="B502">
            <v>39881</v>
          </cell>
          <cell r="C502" t="str">
            <v>Past</v>
          </cell>
          <cell r="D502">
            <v>27.97</v>
          </cell>
          <cell r="E502" t="e">
            <v>#N/A</v>
          </cell>
          <cell r="F502" t="e">
            <v>#N/A</v>
          </cell>
          <cell r="G502" t="e">
            <v>#N/A</v>
          </cell>
          <cell r="H502" t="e">
            <v>#N/A</v>
          </cell>
          <cell r="I502" t="e">
            <v>#N/A</v>
          </cell>
          <cell r="J502" t="e">
            <v>#N/A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  <cell r="O502" t="e">
            <v>#N/A</v>
          </cell>
          <cell r="P502">
            <v>27.97</v>
          </cell>
          <cell r="Q502">
            <v>8.6357489999999988</v>
          </cell>
          <cell r="R502" t="e">
            <v>#N/A</v>
          </cell>
        </row>
        <row r="503">
          <cell r="A503">
            <v>39882</v>
          </cell>
          <cell r="B503">
            <v>39882</v>
          </cell>
          <cell r="C503" t="str">
            <v>Past</v>
          </cell>
          <cell r="D503">
            <v>29.72</v>
          </cell>
          <cell r="E503" t="e">
            <v>#N/A</v>
          </cell>
          <cell r="F503" t="e">
            <v>#N/A</v>
          </cell>
          <cell r="G503" t="e">
            <v>#N/A</v>
          </cell>
          <cell r="H503" t="e">
            <v>#N/A</v>
          </cell>
          <cell r="I503" t="e">
            <v>#N/A</v>
          </cell>
          <cell r="J503" t="e">
            <v>#N/A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  <cell r="O503" t="e">
            <v>#N/A</v>
          </cell>
          <cell r="P503">
            <v>29.72</v>
          </cell>
          <cell r="Q503">
            <v>10.124770000000002</v>
          </cell>
          <cell r="R503" t="e">
            <v>#N/A</v>
          </cell>
        </row>
        <row r="504">
          <cell r="A504">
            <v>39883</v>
          </cell>
          <cell r="B504">
            <v>39883</v>
          </cell>
          <cell r="C504" t="str">
            <v>Past</v>
          </cell>
          <cell r="D504">
            <v>28.85</v>
          </cell>
          <cell r="E504" t="e">
            <v>#N/A</v>
          </cell>
          <cell r="F504" t="e">
            <v>#N/A</v>
          </cell>
          <cell r="G504" t="e">
            <v>#N/A</v>
          </cell>
          <cell r="H504" t="e">
            <v>#N/A</v>
          </cell>
          <cell r="I504" t="e">
            <v>#N/A</v>
          </cell>
          <cell r="J504" t="e">
            <v>#N/A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  <cell r="O504" t="e">
            <v>#N/A</v>
          </cell>
          <cell r="P504">
            <v>28.85</v>
          </cell>
          <cell r="Q504">
            <v>9.624606</v>
          </cell>
          <cell r="R504" t="e">
            <v>#N/A</v>
          </cell>
        </row>
        <row r="505">
          <cell r="A505">
            <v>39884</v>
          </cell>
          <cell r="B505">
            <v>39884</v>
          </cell>
          <cell r="C505" t="str">
            <v>Past</v>
          </cell>
          <cell r="D505">
            <v>30.03</v>
          </cell>
          <cell r="E505" t="e">
            <v>#N/A</v>
          </cell>
          <cell r="F505" t="e">
            <v>#N/A</v>
          </cell>
          <cell r="G505" t="e">
            <v>#N/A</v>
          </cell>
          <cell r="H505" t="e">
            <v>#N/A</v>
          </cell>
          <cell r="I505" t="e">
            <v>#N/A</v>
          </cell>
          <cell r="J505" t="e">
            <v>#N/A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  <cell r="O505" t="e">
            <v>#N/A</v>
          </cell>
          <cell r="P505">
            <v>30.03</v>
          </cell>
          <cell r="Q505">
            <v>6.3600959999999995</v>
          </cell>
          <cell r="R505" t="e">
            <v>#N/A</v>
          </cell>
        </row>
        <row r="506">
          <cell r="A506">
            <v>39885</v>
          </cell>
          <cell r="B506">
            <v>39885</v>
          </cell>
          <cell r="C506" t="str">
            <v>Past</v>
          </cell>
          <cell r="D506">
            <v>30.64</v>
          </cell>
          <cell r="E506" t="e">
            <v>#N/A</v>
          </cell>
          <cell r="F506" t="e">
            <v>#N/A</v>
          </cell>
          <cell r="G506" t="e">
            <v>#N/A</v>
          </cell>
          <cell r="H506" t="e">
            <v>#N/A</v>
          </cell>
          <cell r="I506" t="e">
            <v>#N/A</v>
          </cell>
          <cell r="J506" t="e">
            <v>#N/A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  <cell r="O506" t="e">
            <v>#N/A</v>
          </cell>
          <cell r="P506">
            <v>30.64</v>
          </cell>
          <cell r="Q506">
            <v>6.790419</v>
          </cell>
          <cell r="R506" t="e">
            <v>#N/A</v>
          </cell>
        </row>
        <row r="507">
          <cell r="A507">
            <v>39888</v>
          </cell>
          <cell r="B507">
            <v>39888</v>
          </cell>
          <cell r="C507" t="str">
            <v>Past</v>
          </cell>
          <cell r="D507">
            <v>30.81</v>
          </cell>
          <cell r="E507" t="e">
            <v>#N/A</v>
          </cell>
          <cell r="F507" t="e">
            <v>#N/A</v>
          </cell>
          <cell r="G507" t="e">
            <v>#N/A</v>
          </cell>
          <cell r="H507" t="e">
            <v>#N/A</v>
          </cell>
          <cell r="I507" t="e">
            <v>#N/A</v>
          </cell>
          <cell r="J507" t="e">
            <v>#N/A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  <cell r="O507" t="e">
            <v>#N/A</v>
          </cell>
          <cell r="P507">
            <v>30.81</v>
          </cell>
          <cell r="Q507">
            <v>6.6244000000000005</v>
          </cell>
          <cell r="R507" t="e">
            <v>#N/A</v>
          </cell>
        </row>
        <row r="508">
          <cell r="A508">
            <v>39889</v>
          </cell>
          <cell r="B508">
            <v>39889</v>
          </cell>
          <cell r="C508" t="str">
            <v>Past</v>
          </cell>
          <cell r="D508">
            <v>31.76</v>
          </cell>
          <cell r="E508" t="e">
            <v>#N/A</v>
          </cell>
          <cell r="F508" t="e">
            <v>#N/A</v>
          </cell>
          <cell r="G508" t="e">
            <v>#N/A</v>
          </cell>
          <cell r="H508" t="e">
            <v>#N/A</v>
          </cell>
          <cell r="I508" t="e">
            <v>#N/A</v>
          </cell>
          <cell r="J508" t="e">
            <v>#N/A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  <cell r="O508" t="e">
            <v>#N/A</v>
          </cell>
          <cell r="P508">
            <v>31.76</v>
          </cell>
          <cell r="Q508">
            <v>5.0318000000000005</v>
          </cell>
          <cell r="R508" t="e">
            <v>#N/A</v>
          </cell>
        </row>
        <row r="509">
          <cell r="A509">
            <v>39890</v>
          </cell>
          <cell r="B509">
            <v>39890</v>
          </cell>
          <cell r="C509" t="str">
            <v>Past</v>
          </cell>
          <cell r="D509">
            <v>32.5</v>
          </cell>
          <cell r="E509" t="e">
            <v>#N/A</v>
          </cell>
          <cell r="F509" t="e">
            <v>#N/A</v>
          </cell>
          <cell r="G509" t="e">
            <v>#N/A</v>
          </cell>
          <cell r="H509" t="e">
            <v>#N/A</v>
          </cell>
          <cell r="I509" t="e">
            <v>#N/A</v>
          </cell>
          <cell r="J509" t="e">
            <v>#N/A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  <cell r="O509" t="e">
            <v>#N/A</v>
          </cell>
          <cell r="P509">
            <v>32.5</v>
          </cell>
          <cell r="Q509">
            <v>6.5189179999999993</v>
          </cell>
          <cell r="R509" t="e">
            <v>#N/A</v>
          </cell>
        </row>
        <row r="510">
          <cell r="A510">
            <v>39891</v>
          </cell>
          <cell r="B510">
            <v>39891</v>
          </cell>
          <cell r="C510" t="str">
            <v>Past</v>
          </cell>
          <cell r="D510">
            <v>31.83</v>
          </cell>
          <cell r="E510" t="e">
            <v>#N/A</v>
          </cell>
          <cell r="F510" t="e">
            <v>#N/A</v>
          </cell>
          <cell r="G510" t="e">
            <v>#N/A</v>
          </cell>
          <cell r="H510" t="e">
            <v>#N/A</v>
          </cell>
          <cell r="I510" t="e">
            <v>#N/A</v>
          </cell>
          <cell r="J510" t="e">
            <v>#N/A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  <cell r="O510" t="e">
            <v>#N/A</v>
          </cell>
          <cell r="P510">
            <v>31.83</v>
          </cell>
          <cell r="Q510">
            <v>5.1708379999999998</v>
          </cell>
          <cell r="R510" t="e">
            <v>#N/A</v>
          </cell>
        </row>
        <row r="511">
          <cell r="A511">
            <v>39892</v>
          </cell>
          <cell r="B511">
            <v>39892</v>
          </cell>
          <cell r="C511" t="str">
            <v>Past</v>
          </cell>
          <cell r="D511">
            <v>32.549999999999997</v>
          </cell>
          <cell r="E511" t="e">
            <v>#N/A</v>
          </cell>
          <cell r="F511" t="e">
            <v>#N/A</v>
          </cell>
          <cell r="G511" t="e">
            <v>#N/A</v>
          </cell>
          <cell r="H511" t="e">
            <v>#N/A</v>
          </cell>
          <cell r="I511" t="e">
            <v>#N/A</v>
          </cell>
          <cell r="J511" t="e">
            <v>#N/A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  <cell r="O511" t="e">
            <v>#N/A</v>
          </cell>
          <cell r="P511">
            <v>32.549999999999997</v>
          </cell>
          <cell r="Q511">
            <v>10.262180000000001</v>
          </cell>
          <cell r="R511" t="e">
            <v>#N/A</v>
          </cell>
        </row>
        <row r="512">
          <cell r="A512">
            <v>39895</v>
          </cell>
          <cell r="B512">
            <v>39895</v>
          </cell>
          <cell r="C512" t="str">
            <v>Past</v>
          </cell>
          <cell r="D512">
            <v>34.090000000000003</v>
          </cell>
          <cell r="E512" t="e">
            <v>#N/A</v>
          </cell>
          <cell r="F512" t="e">
            <v>#N/A</v>
          </cell>
          <cell r="G512" t="e">
            <v>#N/A</v>
          </cell>
          <cell r="H512" t="e">
            <v>#N/A</v>
          </cell>
          <cell r="I512" t="e">
            <v>#N/A</v>
          </cell>
          <cell r="J512" t="e">
            <v>#N/A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  <cell r="O512" t="e">
            <v>#N/A</v>
          </cell>
          <cell r="P512">
            <v>34.090000000000003</v>
          </cell>
          <cell r="Q512">
            <v>6.6119249999999994</v>
          </cell>
          <cell r="R512" t="e">
            <v>#N/A</v>
          </cell>
        </row>
        <row r="513">
          <cell r="A513">
            <v>39896</v>
          </cell>
          <cell r="B513">
            <v>39896</v>
          </cell>
          <cell r="C513" t="str">
            <v>Past</v>
          </cell>
          <cell r="D513">
            <v>33.17</v>
          </cell>
          <cell r="E513" t="e">
            <v>#N/A</v>
          </cell>
          <cell r="F513" t="e">
            <v>#N/A</v>
          </cell>
          <cell r="G513" t="e">
            <v>#N/A</v>
          </cell>
          <cell r="H513" t="e">
            <v>#N/A</v>
          </cell>
          <cell r="I513" t="e">
            <v>#N/A</v>
          </cell>
          <cell r="J513" t="e">
            <v>#N/A</v>
          </cell>
          <cell r="K513" t="e">
            <v>#N/A</v>
          </cell>
          <cell r="L513" t="e">
            <v>#N/A</v>
          </cell>
          <cell r="M513" t="e">
            <v>#N/A</v>
          </cell>
          <cell r="N513" t="e">
            <v>#N/A</v>
          </cell>
          <cell r="O513" t="e">
            <v>#N/A</v>
          </cell>
          <cell r="P513">
            <v>33.17</v>
          </cell>
          <cell r="Q513">
            <v>8.4878</v>
          </cell>
          <cell r="R513" t="e">
            <v>#N/A</v>
          </cell>
        </row>
        <row r="514">
          <cell r="A514">
            <v>39897</v>
          </cell>
          <cell r="B514">
            <v>39897</v>
          </cell>
          <cell r="C514" t="str">
            <v>Past</v>
          </cell>
          <cell r="D514">
            <v>33.53</v>
          </cell>
          <cell r="E514" t="e">
            <v>#N/A</v>
          </cell>
          <cell r="F514" t="e">
            <v>#N/A</v>
          </cell>
          <cell r="G514" t="e">
            <v>#N/A</v>
          </cell>
          <cell r="H514" t="e">
            <v>#N/A</v>
          </cell>
          <cell r="I514" t="e">
            <v>#N/A</v>
          </cell>
          <cell r="J514" t="e">
            <v>#N/A</v>
          </cell>
          <cell r="K514" t="e">
            <v>#N/A</v>
          </cell>
          <cell r="L514" t="e">
            <v>#N/A</v>
          </cell>
          <cell r="M514" t="e">
            <v>#N/A</v>
          </cell>
          <cell r="N514" t="e">
            <v>#N/A</v>
          </cell>
          <cell r="O514" t="e">
            <v>#N/A</v>
          </cell>
          <cell r="P514">
            <v>33.53</v>
          </cell>
          <cell r="Q514">
            <v>7.747814</v>
          </cell>
          <cell r="R514" t="e">
            <v>#N/A</v>
          </cell>
        </row>
        <row r="515">
          <cell r="A515">
            <v>39898</v>
          </cell>
          <cell r="B515">
            <v>39898</v>
          </cell>
          <cell r="C515" t="str">
            <v>Past</v>
          </cell>
          <cell r="D515">
            <v>34.22</v>
          </cell>
          <cell r="E515" t="e">
            <v>#N/A</v>
          </cell>
          <cell r="F515" t="e">
            <v>#N/A</v>
          </cell>
          <cell r="G515" t="e">
            <v>#N/A</v>
          </cell>
          <cell r="H515" t="e">
            <v>#N/A</v>
          </cell>
          <cell r="I515" t="e">
            <v>#N/A</v>
          </cell>
          <cell r="J515" t="e">
            <v>#N/A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  <cell r="O515" t="e">
            <v>#N/A</v>
          </cell>
          <cell r="P515">
            <v>34.22</v>
          </cell>
          <cell r="Q515">
            <v>7.406955</v>
          </cell>
          <cell r="R515" t="e">
            <v>#N/A</v>
          </cell>
        </row>
        <row r="516">
          <cell r="A516">
            <v>39899</v>
          </cell>
          <cell r="B516">
            <v>39899</v>
          </cell>
          <cell r="C516" t="str">
            <v>Past</v>
          </cell>
          <cell r="D516">
            <v>33.75</v>
          </cell>
          <cell r="E516" t="e">
            <v>#N/A</v>
          </cell>
          <cell r="F516" t="e">
            <v>#N/A</v>
          </cell>
          <cell r="G516" t="e">
            <v>#N/A</v>
          </cell>
          <cell r="H516" t="e">
            <v>#N/A</v>
          </cell>
          <cell r="I516" t="e">
            <v>#N/A</v>
          </cell>
          <cell r="J516" t="e">
            <v>#N/A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  <cell r="O516" t="e">
            <v>#N/A</v>
          </cell>
          <cell r="P516">
            <v>33.75</v>
          </cell>
          <cell r="Q516">
            <v>5.4617819999999995</v>
          </cell>
          <cell r="R516" t="e">
            <v>#N/A</v>
          </cell>
        </row>
        <row r="517">
          <cell r="A517">
            <v>39902</v>
          </cell>
          <cell r="B517">
            <v>39902</v>
          </cell>
          <cell r="C517" t="str">
            <v>Past</v>
          </cell>
          <cell r="D517">
            <v>32.840000000000003</v>
          </cell>
          <cell r="E517" t="e">
            <v>#N/A</v>
          </cell>
          <cell r="F517" t="e">
            <v>#N/A</v>
          </cell>
          <cell r="G517" t="e">
            <v>#N/A</v>
          </cell>
          <cell r="H517" t="e">
            <v>#N/A</v>
          </cell>
          <cell r="I517" t="e">
            <v>#N/A</v>
          </cell>
          <cell r="J517" t="e">
            <v>#N/A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  <cell r="O517" t="e">
            <v>#N/A</v>
          </cell>
          <cell r="P517">
            <v>32.840000000000003</v>
          </cell>
          <cell r="Q517">
            <v>7.1063069999999993</v>
          </cell>
          <cell r="R517" t="e">
            <v>#N/A</v>
          </cell>
        </row>
        <row r="518">
          <cell r="A518">
            <v>39903</v>
          </cell>
          <cell r="B518">
            <v>39903</v>
          </cell>
          <cell r="C518" t="str">
            <v>Past</v>
          </cell>
          <cell r="D518">
            <v>33.409999999999997</v>
          </cell>
          <cell r="E518" t="e">
            <v>#N/A</v>
          </cell>
          <cell r="F518" t="e">
            <v>#N/A</v>
          </cell>
          <cell r="G518" t="e">
            <v>#N/A</v>
          </cell>
          <cell r="H518" t="e">
            <v>#N/A</v>
          </cell>
          <cell r="I518" t="e">
            <v>#N/A</v>
          </cell>
          <cell r="J518" t="e">
            <v>#N/A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  <cell r="O518" t="e">
            <v>#N/A</v>
          </cell>
          <cell r="P518">
            <v>33.409999999999997</v>
          </cell>
          <cell r="Q518">
            <v>6.7019339999999996</v>
          </cell>
          <cell r="R518" t="e">
            <v>#N/A</v>
          </cell>
        </row>
        <row r="519">
          <cell r="A519">
            <v>39904</v>
          </cell>
          <cell r="B519">
            <v>39904</v>
          </cell>
          <cell r="C519" t="str">
            <v>Past</v>
          </cell>
          <cell r="D519">
            <v>33.78</v>
          </cell>
          <cell r="E519" t="e">
            <v>#N/A</v>
          </cell>
          <cell r="F519" t="e">
            <v>#N/A</v>
          </cell>
          <cell r="G519" t="e">
            <v>#N/A</v>
          </cell>
          <cell r="H519" t="e">
            <v>#N/A</v>
          </cell>
          <cell r="I519" t="e">
            <v>#N/A</v>
          </cell>
          <cell r="J519" t="e">
            <v>#N/A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  <cell r="O519" t="e">
            <v>#N/A</v>
          </cell>
          <cell r="P519">
            <v>33.78</v>
          </cell>
          <cell r="Q519">
            <v>5.4834000000000005</v>
          </cell>
          <cell r="R519" t="e">
            <v>#N/A</v>
          </cell>
        </row>
        <row r="520">
          <cell r="A520">
            <v>39905</v>
          </cell>
          <cell r="B520">
            <v>39905</v>
          </cell>
          <cell r="C520" t="str">
            <v>Past</v>
          </cell>
          <cell r="D520">
            <v>33.9</v>
          </cell>
          <cell r="E520" t="e">
            <v>#N/A</v>
          </cell>
          <cell r="F520" t="e">
            <v>#N/A</v>
          </cell>
          <cell r="G520" t="e">
            <v>#N/A</v>
          </cell>
          <cell r="H520" t="e">
            <v>#N/A</v>
          </cell>
          <cell r="I520" t="e">
            <v>#N/A</v>
          </cell>
          <cell r="J520" t="e">
            <v>#N/A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  <cell r="O520" t="e">
            <v>#N/A</v>
          </cell>
          <cell r="P520">
            <v>33.9</v>
          </cell>
          <cell r="Q520">
            <v>6.6657339999999996</v>
          </cell>
          <cell r="R520" t="e">
            <v>#N/A</v>
          </cell>
        </row>
        <row r="521">
          <cell r="A521">
            <v>39906</v>
          </cell>
          <cell r="B521">
            <v>39906</v>
          </cell>
          <cell r="C521" t="str">
            <v>Past</v>
          </cell>
          <cell r="D521">
            <v>33.01</v>
          </cell>
          <cell r="E521" t="e">
            <v>#N/A</v>
          </cell>
          <cell r="F521" t="e">
            <v>#N/A</v>
          </cell>
          <cell r="G521" t="e">
            <v>#N/A</v>
          </cell>
          <cell r="H521" t="e">
            <v>#N/A</v>
          </cell>
          <cell r="I521" t="e">
            <v>#N/A</v>
          </cell>
          <cell r="J521" t="e">
            <v>#N/A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  <cell r="O521" t="e">
            <v>#N/A</v>
          </cell>
          <cell r="P521">
            <v>33.01</v>
          </cell>
          <cell r="Q521">
            <v>7.124409</v>
          </cell>
          <cell r="R521" t="e">
            <v>#N/A</v>
          </cell>
        </row>
        <row r="522">
          <cell r="A522">
            <v>39909</v>
          </cell>
          <cell r="B522">
            <v>39909</v>
          </cell>
          <cell r="C522" t="str">
            <v>Past</v>
          </cell>
          <cell r="D522">
            <v>32.840000000000003</v>
          </cell>
          <cell r="E522" t="e">
            <v>#N/A</v>
          </cell>
          <cell r="F522" t="e">
            <v>#N/A</v>
          </cell>
          <cell r="G522" t="e">
            <v>#N/A</v>
          </cell>
          <cell r="H522" t="e">
            <v>#N/A</v>
          </cell>
          <cell r="I522" t="e">
            <v>#N/A</v>
          </cell>
          <cell r="J522" t="e">
            <v>#N/A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  <cell r="O522" t="e">
            <v>#N/A</v>
          </cell>
          <cell r="P522">
            <v>32.840000000000003</v>
          </cell>
          <cell r="Q522">
            <v>6.6188349999999998</v>
          </cell>
          <cell r="R522" t="e">
            <v>#N/A</v>
          </cell>
        </row>
        <row r="523">
          <cell r="A523">
            <v>39910</v>
          </cell>
          <cell r="B523">
            <v>39910</v>
          </cell>
          <cell r="C523" t="str">
            <v>Past</v>
          </cell>
          <cell r="D523">
            <v>31.88</v>
          </cell>
          <cell r="E523" t="e">
            <v>#N/A</v>
          </cell>
          <cell r="F523" t="e">
            <v>#N/A</v>
          </cell>
          <cell r="G523" t="e">
            <v>#N/A</v>
          </cell>
          <cell r="H523" t="e">
            <v>#N/A</v>
          </cell>
          <cell r="I523" t="e">
            <v>#N/A</v>
          </cell>
          <cell r="J523" t="e">
            <v>#N/A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  <cell r="O523" t="e">
            <v>#N/A</v>
          </cell>
          <cell r="P523">
            <v>31.88</v>
          </cell>
          <cell r="Q523">
            <v>6.0334700000000003</v>
          </cell>
          <cell r="R523" t="e">
            <v>#N/A</v>
          </cell>
        </row>
        <row r="524">
          <cell r="A524">
            <v>39911</v>
          </cell>
          <cell r="B524">
            <v>39911</v>
          </cell>
          <cell r="C524" t="str">
            <v>Past</v>
          </cell>
          <cell r="D524">
            <v>32.340000000000003</v>
          </cell>
          <cell r="E524" t="e">
            <v>#N/A</v>
          </cell>
          <cell r="F524" t="e">
            <v>#N/A</v>
          </cell>
          <cell r="G524" t="e">
            <v>#N/A</v>
          </cell>
          <cell r="H524" t="e">
            <v>#N/A</v>
          </cell>
          <cell r="I524" t="e">
            <v>#N/A</v>
          </cell>
          <cell r="J524" t="e">
            <v>#N/A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  <cell r="O524" t="e">
            <v>#N/A</v>
          </cell>
          <cell r="P524">
            <v>32.340000000000003</v>
          </cell>
          <cell r="Q524">
            <v>5.2268109999999997</v>
          </cell>
          <cell r="R524" t="e">
            <v>#N/A</v>
          </cell>
        </row>
        <row r="525">
          <cell r="A525">
            <v>39912</v>
          </cell>
          <cell r="B525">
            <v>39912</v>
          </cell>
          <cell r="C525" t="str">
            <v>Past</v>
          </cell>
          <cell r="D525">
            <v>32.64</v>
          </cell>
          <cell r="E525" t="e">
            <v>#N/A</v>
          </cell>
          <cell r="F525" t="e">
            <v>#N/A</v>
          </cell>
          <cell r="G525" t="e">
            <v>#N/A</v>
          </cell>
          <cell r="H525" t="e">
            <v>#N/A</v>
          </cell>
          <cell r="I525" t="e">
            <v>#N/A</v>
          </cell>
          <cell r="J525" t="e">
            <v>#N/A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  <cell r="O525" t="e">
            <v>#N/A</v>
          </cell>
          <cell r="P525">
            <v>32.64</v>
          </cell>
          <cell r="Q525">
            <v>4.9841300000000004</v>
          </cell>
          <cell r="R525" t="e">
            <v>#N/A</v>
          </cell>
        </row>
        <row r="526">
          <cell r="A526">
            <v>39916</v>
          </cell>
          <cell r="B526">
            <v>39916</v>
          </cell>
          <cell r="C526" t="str">
            <v>Past</v>
          </cell>
          <cell r="D526">
            <v>32.57</v>
          </cell>
          <cell r="E526" t="e">
            <v>#N/A</v>
          </cell>
          <cell r="F526" t="e">
            <v>#N/A</v>
          </cell>
          <cell r="G526" t="e">
            <v>#N/A</v>
          </cell>
          <cell r="H526" t="e">
            <v>#N/A</v>
          </cell>
          <cell r="I526" t="e">
            <v>#N/A</v>
          </cell>
          <cell r="J526" t="e">
            <v>#N/A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  <cell r="O526" t="e">
            <v>#N/A</v>
          </cell>
          <cell r="P526">
            <v>32.57</v>
          </cell>
          <cell r="Q526">
            <v>3.405227</v>
          </cell>
          <cell r="R526" t="e">
            <v>#N/A</v>
          </cell>
        </row>
        <row r="527">
          <cell r="A527">
            <v>39917</v>
          </cell>
          <cell r="B527">
            <v>39917</v>
          </cell>
          <cell r="C527" t="str">
            <v>Past</v>
          </cell>
          <cell r="D527">
            <v>32.15</v>
          </cell>
          <cell r="E527" t="e">
            <v>#N/A</v>
          </cell>
          <cell r="F527" t="e">
            <v>#N/A</v>
          </cell>
          <cell r="G527" t="e">
            <v>#N/A</v>
          </cell>
          <cell r="H527" t="e">
            <v>#N/A</v>
          </cell>
          <cell r="I527" t="e">
            <v>#N/A</v>
          </cell>
          <cell r="J527" t="e">
            <v>#N/A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  <cell r="O527" t="e">
            <v>#N/A</v>
          </cell>
          <cell r="P527">
            <v>32.15</v>
          </cell>
          <cell r="Q527">
            <v>5.2493910000000001</v>
          </cell>
          <cell r="R527" t="e">
            <v>#N/A</v>
          </cell>
        </row>
        <row r="528">
          <cell r="A528">
            <v>39918</v>
          </cell>
          <cell r="B528">
            <v>39918</v>
          </cell>
          <cell r="C528" t="str">
            <v>Past</v>
          </cell>
          <cell r="D528">
            <v>32.81</v>
          </cell>
          <cell r="E528" t="e">
            <v>#N/A</v>
          </cell>
          <cell r="F528" t="e">
            <v>#N/A</v>
          </cell>
          <cell r="G528" t="e">
            <v>#N/A</v>
          </cell>
          <cell r="H528" t="e">
            <v>#N/A</v>
          </cell>
          <cell r="I528" t="e">
            <v>#N/A</v>
          </cell>
          <cell r="J528" t="e">
            <v>#N/A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  <cell r="O528" t="e">
            <v>#N/A</v>
          </cell>
          <cell r="P528">
            <v>32.81</v>
          </cell>
          <cell r="Q528">
            <v>6.1552609999999994</v>
          </cell>
          <cell r="R528" t="e">
            <v>#N/A</v>
          </cell>
        </row>
        <row r="529">
          <cell r="A529">
            <v>39919</v>
          </cell>
          <cell r="B529">
            <v>39919</v>
          </cell>
          <cell r="C529" t="str">
            <v>Past</v>
          </cell>
          <cell r="D529">
            <v>33.270000000000003</v>
          </cell>
          <cell r="E529" t="e">
            <v>#N/A</v>
          </cell>
          <cell r="F529" t="e">
            <v>#N/A</v>
          </cell>
          <cell r="G529" t="e">
            <v>#N/A</v>
          </cell>
          <cell r="H529" t="e">
            <v>#N/A</v>
          </cell>
          <cell r="I529" t="e">
            <v>#N/A</v>
          </cell>
          <cell r="J529" t="e">
            <v>#N/A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  <cell r="O529" t="e">
            <v>#N/A</v>
          </cell>
          <cell r="P529">
            <v>33.270000000000003</v>
          </cell>
          <cell r="Q529">
            <v>4.9672969999999994</v>
          </cell>
          <cell r="R529" t="e">
            <v>#N/A</v>
          </cell>
        </row>
        <row r="530">
          <cell r="A530">
            <v>39920</v>
          </cell>
          <cell r="B530">
            <v>39920</v>
          </cell>
          <cell r="C530" t="str">
            <v>Past</v>
          </cell>
          <cell r="D530">
            <v>33.75</v>
          </cell>
          <cell r="E530" t="e">
            <v>#N/A</v>
          </cell>
          <cell r="F530" t="e">
            <v>#N/A</v>
          </cell>
          <cell r="G530" t="e">
            <v>#N/A</v>
          </cell>
          <cell r="H530" t="e">
            <v>#N/A</v>
          </cell>
          <cell r="I530" t="e">
            <v>#N/A</v>
          </cell>
          <cell r="J530" t="e">
            <v>#N/A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  <cell r="O530" t="e">
            <v>#N/A</v>
          </cell>
          <cell r="P530">
            <v>33.75</v>
          </cell>
          <cell r="Q530">
            <v>6.6703789999999996</v>
          </cell>
          <cell r="R530" t="e">
            <v>#N/A</v>
          </cell>
        </row>
        <row r="531">
          <cell r="A531">
            <v>39923</v>
          </cell>
          <cell r="B531">
            <v>39923</v>
          </cell>
          <cell r="C531" t="str">
            <v>Past</v>
          </cell>
          <cell r="D531">
            <v>32.99</v>
          </cell>
          <cell r="E531" t="e">
            <v>#N/A</v>
          </cell>
          <cell r="F531" t="e">
            <v>#N/A</v>
          </cell>
          <cell r="G531" t="e">
            <v>#N/A</v>
          </cell>
          <cell r="H531" t="e">
            <v>#N/A</v>
          </cell>
          <cell r="I531" t="e">
            <v>#N/A</v>
          </cell>
          <cell r="J531" t="e">
            <v>#N/A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  <cell r="O531" t="e">
            <v>#N/A</v>
          </cell>
          <cell r="P531">
            <v>32.99</v>
          </cell>
          <cell r="Q531">
            <v>9.7992270000000001</v>
          </cell>
          <cell r="R531" t="e">
            <v>#N/A</v>
          </cell>
        </row>
        <row r="532">
          <cell r="A532">
            <v>39924</v>
          </cell>
          <cell r="B532">
            <v>39924</v>
          </cell>
          <cell r="C532" t="str">
            <v>Past</v>
          </cell>
          <cell r="D532">
            <v>33.340000000000003</v>
          </cell>
          <cell r="E532" t="e">
            <v>#N/A</v>
          </cell>
          <cell r="F532" t="e">
            <v>#N/A</v>
          </cell>
          <cell r="G532" t="e">
            <v>#N/A</v>
          </cell>
          <cell r="H532" t="e">
            <v>#N/A</v>
          </cell>
          <cell r="I532" t="e">
            <v>#N/A</v>
          </cell>
          <cell r="J532" t="e">
            <v>#N/A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  <cell r="O532" t="e">
            <v>#N/A</v>
          </cell>
          <cell r="P532">
            <v>33.340000000000003</v>
          </cell>
          <cell r="Q532">
            <v>6.4096329999999995</v>
          </cell>
          <cell r="R532" t="e">
            <v>#N/A</v>
          </cell>
        </row>
        <row r="533">
          <cell r="A533">
            <v>39925</v>
          </cell>
          <cell r="B533">
            <v>39925</v>
          </cell>
          <cell r="C533" t="str">
            <v>Past</v>
          </cell>
          <cell r="D533">
            <v>32.74</v>
          </cell>
          <cell r="E533" t="e">
            <v>#N/A</v>
          </cell>
          <cell r="F533" t="e">
            <v>#N/A</v>
          </cell>
          <cell r="G533" t="e">
            <v>#N/A</v>
          </cell>
          <cell r="H533" t="e">
            <v>#N/A</v>
          </cell>
          <cell r="I533" t="e">
            <v>#N/A</v>
          </cell>
          <cell r="J533" t="e">
            <v>#N/A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  <cell r="O533" t="e">
            <v>#N/A</v>
          </cell>
          <cell r="P533">
            <v>32.74</v>
          </cell>
          <cell r="Q533">
            <v>11.130370000000001</v>
          </cell>
          <cell r="R533" t="e">
            <v>#N/A</v>
          </cell>
        </row>
        <row r="534">
          <cell r="A534">
            <v>39926</v>
          </cell>
          <cell r="B534">
            <v>39926</v>
          </cell>
          <cell r="C534" t="str">
            <v>Past</v>
          </cell>
          <cell r="D534">
            <v>32.880000000000003</v>
          </cell>
          <cell r="E534" t="e">
            <v>#N/A</v>
          </cell>
          <cell r="F534" t="e">
            <v>#N/A</v>
          </cell>
          <cell r="G534" t="e">
            <v>#N/A</v>
          </cell>
          <cell r="H534" t="e">
            <v>#N/A</v>
          </cell>
          <cell r="I534" t="e">
            <v>#N/A</v>
          </cell>
          <cell r="J534" t="e">
            <v>#N/A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  <cell r="O534" t="e">
            <v>#N/A</v>
          </cell>
          <cell r="P534">
            <v>32.880000000000003</v>
          </cell>
          <cell r="Q534">
            <v>8.591372999999999</v>
          </cell>
          <cell r="R534" t="e">
            <v>#N/A</v>
          </cell>
        </row>
        <row r="535">
          <cell r="A535">
            <v>39927</v>
          </cell>
          <cell r="B535">
            <v>39927</v>
          </cell>
          <cell r="C535" t="str">
            <v>Past</v>
          </cell>
          <cell r="D535">
            <v>33.01</v>
          </cell>
          <cell r="E535" t="e">
            <v>#N/A</v>
          </cell>
          <cell r="F535" t="e">
            <v>#N/A</v>
          </cell>
          <cell r="G535" t="e">
            <v>#N/A</v>
          </cell>
          <cell r="H535" t="e">
            <v>#N/A</v>
          </cell>
          <cell r="I535" t="e">
            <v>#N/A</v>
          </cell>
          <cell r="J535" t="e">
            <v>#N/A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  <cell r="O535" t="e">
            <v>#N/A</v>
          </cell>
          <cell r="P535">
            <v>33.01</v>
          </cell>
          <cell r="Q535">
            <v>8.328225999999999</v>
          </cell>
          <cell r="R535" t="e">
            <v>#N/A</v>
          </cell>
        </row>
        <row r="536">
          <cell r="A536">
            <v>39930</v>
          </cell>
          <cell r="B536">
            <v>39930</v>
          </cell>
          <cell r="C536" t="str">
            <v>Past</v>
          </cell>
          <cell r="D536">
            <v>33.130000000000003</v>
          </cell>
          <cell r="E536" t="e">
            <v>#N/A</v>
          </cell>
          <cell r="F536" t="e">
            <v>#N/A</v>
          </cell>
          <cell r="G536" t="e">
            <v>#N/A</v>
          </cell>
          <cell r="H536" t="e">
            <v>#N/A</v>
          </cell>
          <cell r="I536" t="e">
            <v>#N/A</v>
          </cell>
          <cell r="J536" t="e">
            <v>#N/A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  <cell r="O536" t="e">
            <v>#N/A</v>
          </cell>
          <cell r="P536">
            <v>33.130000000000003</v>
          </cell>
          <cell r="Q536">
            <v>4.16866</v>
          </cell>
          <cell r="R536" t="e">
            <v>#N/A</v>
          </cell>
        </row>
        <row r="537">
          <cell r="A537">
            <v>39931</v>
          </cell>
          <cell r="B537">
            <v>39931</v>
          </cell>
          <cell r="C537" t="str">
            <v>Past</v>
          </cell>
          <cell r="D537">
            <v>33.200000000000003</v>
          </cell>
          <cell r="E537" t="e">
            <v>#N/A</v>
          </cell>
          <cell r="F537" t="e">
            <v>#N/A</v>
          </cell>
          <cell r="G537" t="e">
            <v>#N/A</v>
          </cell>
          <cell r="H537" t="e">
            <v>#N/A</v>
          </cell>
          <cell r="I537" t="e">
            <v>#N/A</v>
          </cell>
          <cell r="J537" t="e">
            <v>#N/A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  <cell r="O537" t="e">
            <v>#N/A</v>
          </cell>
          <cell r="P537">
            <v>33.200000000000003</v>
          </cell>
          <cell r="Q537">
            <v>7.6634069999999994</v>
          </cell>
          <cell r="R537" t="e">
            <v>#N/A</v>
          </cell>
        </row>
        <row r="538">
          <cell r="A538">
            <v>39932</v>
          </cell>
          <cell r="B538">
            <v>39932</v>
          </cell>
          <cell r="C538" t="str">
            <v>Past</v>
          </cell>
          <cell r="D538">
            <v>33.36</v>
          </cell>
          <cell r="E538" t="e">
            <v>#N/A</v>
          </cell>
          <cell r="F538" t="e">
            <v>#N/A</v>
          </cell>
          <cell r="G538" t="e">
            <v>#N/A</v>
          </cell>
          <cell r="H538" t="e">
            <v>#N/A</v>
          </cell>
          <cell r="I538" t="e">
            <v>#N/A</v>
          </cell>
          <cell r="J538" t="e">
            <v>#N/A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  <cell r="O538" t="e">
            <v>#N/A</v>
          </cell>
          <cell r="P538">
            <v>33.36</v>
          </cell>
          <cell r="Q538">
            <v>6.7499750000000001</v>
          </cell>
          <cell r="R538" t="e">
            <v>#N/A</v>
          </cell>
        </row>
        <row r="539">
          <cell r="A539">
            <v>39933</v>
          </cell>
          <cell r="B539">
            <v>39933</v>
          </cell>
          <cell r="C539" t="str">
            <v>Past</v>
          </cell>
          <cell r="D539">
            <v>32.92</v>
          </cell>
          <cell r="E539" t="e">
            <v>#N/A</v>
          </cell>
          <cell r="F539" t="e">
            <v>#N/A</v>
          </cell>
          <cell r="G539" t="e">
            <v>#N/A</v>
          </cell>
          <cell r="H539" t="e">
            <v>#N/A</v>
          </cell>
          <cell r="I539" t="e">
            <v>#N/A</v>
          </cell>
          <cell r="J539" t="e">
            <v>#N/A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  <cell r="O539" t="e">
            <v>#N/A</v>
          </cell>
          <cell r="P539">
            <v>32.92</v>
          </cell>
          <cell r="Q539">
            <v>8.2910430000000002</v>
          </cell>
          <cell r="R539" t="e">
            <v>#N/A</v>
          </cell>
        </row>
        <row r="540">
          <cell r="A540">
            <v>39934</v>
          </cell>
          <cell r="B540">
            <v>39934</v>
          </cell>
          <cell r="C540" t="str">
            <v>Past</v>
          </cell>
          <cell r="D540">
            <v>33.49</v>
          </cell>
          <cell r="E540" t="e">
            <v>#N/A</v>
          </cell>
          <cell r="F540" t="e">
            <v>#N/A</v>
          </cell>
          <cell r="G540" t="e">
            <v>#N/A</v>
          </cell>
          <cell r="H540" t="e">
            <v>#N/A</v>
          </cell>
          <cell r="I540" t="e">
            <v>#N/A</v>
          </cell>
          <cell r="J540" t="e">
            <v>#N/A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  <cell r="O540" t="e">
            <v>#N/A</v>
          </cell>
          <cell r="P540">
            <v>33.49</v>
          </cell>
          <cell r="Q540">
            <v>5.4118600000000008</v>
          </cell>
          <cell r="R540" t="e">
            <v>#N/A</v>
          </cell>
        </row>
        <row r="541">
          <cell r="A541">
            <v>39937</v>
          </cell>
          <cell r="B541">
            <v>39937</v>
          </cell>
          <cell r="C541" t="str">
            <v>Past</v>
          </cell>
          <cell r="D541">
            <v>33.81</v>
          </cell>
          <cell r="E541" t="e">
            <v>#N/A</v>
          </cell>
          <cell r="F541" t="e">
            <v>#N/A</v>
          </cell>
          <cell r="G541" t="e">
            <v>#N/A</v>
          </cell>
          <cell r="H541" t="e">
            <v>#N/A</v>
          </cell>
          <cell r="I541" t="e">
            <v>#N/A</v>
          </cell>
          <cell r="J541" t="e">
            <v>#N/A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  <cell r="O541" t="e">
            <v>#N/A</v>
          </cell>
          <cell r="P541">
            <v>33.81</v>
          </cell>
          <cell r="Q541">
            <v>5.3630269999999998</v>
          </cell>
          <cell r="R541" t="e">
            <v>#N/A</v>
          </cell>
        </row>
        <row r="542">
          <cell r="A542">
            <v>39938</v>
          </cell>
          <cell r="B542">
            <v>39938</v>
          </cell>
          <cell r="C542" t="str">
            <v>Past</v>
          </cell>
          <cell r="D542">
            <v>34.54</v>
          </cell>
          <cell r="E542" t="e">
            <v>#N/A</v>
          </cell>
          <cell r="F542" t="e">
            <v>#N/A</v>
          </cell>
          <cell r="G542" t="e">
            <v>#N/A</v>
          </cell>
          <cell r="H542" t="e">
            <v>#N/A</v>
          </cell>
          <cell r="I542" t="e">
            <v>#N/A</v>
          </cell>
          <cell r="J542" t="e">
            <v>#N/A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  <cell r="O542" t="e">
            <v>#N/A</v>
          </cell>
          <cell r="P542">
            <v>34.54</v>
          </cell>
          <cell r="Q542">
            <v>8.3934090000000001</v>
          </cell>
          <cell r="R542" t="e">
            <v>#N/A</v>
          </cell>
        </row>
        <row r="543">
          <cell r="A543">
            <v>39939</v>
          </cell>
          <cell r="B543">
            <v>39939</v>
          </cell>
          <cell r="C543" t="str">
            <v>Past</v>
          </cell>
          <cell r="D543">
            <v>34.43</v>
          </cell>
          <cell r="E543" t="e">
            <v>#N/A</v>
          </cell>
          <cell r="F543" t="e">
            <v>#N/A</v>
          </cell>
          <cell r="G543" t="e">
            <v>#N/A</v>
          </cell>
          <cell r="H543" t="e">
            <v>#N/A</v>
          </cell>
          <cell r="I543" t="e">
            <v>#N/A</v>
          </cell>
          <cell r="J543" t="e">
            <v>#N/A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  <cell r="O543" t="e">
            <v>#N/A</v>
          </cell>
          <cell r="P543">
            <v>34.43</v>
          </cell>
          <cell r="Q543">
            <v>5.6968429999999994</v>
          </cell>
          <cell r="R543" t="e">
            <v>#N/A</v>
          </cell>
        </row>
        <row r="544">
          <cell r="A544">
            <v>39940</v>
          </cell>
          <cell r="B544">
            <v>39940</v>
          </cell>
          <cell r="C544" t="str">
            <v>Past</v>
          </cell>
          <cell r="D544">
            <v>35.85</v>
          </cell>
          <cell r="E544" t="e">
            <v>#N/A</v>
          </cell>
          <cell r="F544" t="e">
            <v>#N/A</v>
          </cell>
          <cell r="G544" t="e">
            <v>#N/A</v>
          </cell>
          <cell r="H544" t="e">
            <v>#N/A</v>
          </cell>
          <cell r="I544" t="e">
            <v>#N/A</v>
          </cell>
          <cell r="J544" t="e">
            <v>#N/A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  <cell r="O544" t="e">
            <v>#N/A</v>
          </cell>
          <cell r="P544">
            <v>35.85</v>
          </cell>
          <cell r="Q544">
            <v>11.239310000000001</v>
          </cell>
          <cell r="R544" t="e">
            <v>#N/A</v>
          </cell>
        </row>
        <row r="545">
          <cell r="A545">
            <v>39941</v>
          </cell>
          <cell r="B545">
            <v>39941</v>
          </cell>
          <cell r="C545" t="str">
            <v>Past</v>
          </cell>
          <cell r="D545">
            <v>35.950000000000003</v>
          </cell>
          <cell r="E545" t="e">
            <v>#N/A</v>
          </cell>
          <cell r="F545" t="e">
            <v>#N/A</v>
          </cell>
          <cell r="G545" t="e">
            <v>#N/A</v>
          </cell>
          <cell r="H545" t="e">
            <v>#N/A</v>
          </cell>
          <cell r="I545" t="e">
            <v>#N/A</v>
          </cell>
          <cell r="J545" t="e">
            <v>#N/A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  <cell r="O545" t="e">
            <v>#N/A</v>
          </cell>
          <cell r="P545">
            <v>35.950000000000003</v>
          </cell>
          <cell r="Q545">
            <v>7.1747929999999993</v>
          </cell>
          <cell r="R545" t="e">
            <v>#N/A</v>
          </cell>
        </row>
        <row r="546">
          <cell r="A546">
            <v>39944</v>
          </cell>
          <cell r="B546">
            <v>39944</v>
          </cell>
          <cell r="C546" t="str">
            <v>Past</v>
          </cell>
          <cell r="D546">
            <v>35.35</v>
          </cell>
          <cell r="E546" t="e">
            <v>#N/A</v>
          </cell>
          <cell r="F546" t="e">
            <v>#N/A</v>
          </cell>
          <cell r="G546" t="e">
            <v>#N/A</v>
          </cell>
          <cell r="H546" t="e">
            <v>#N/A</v>
          </cell>
          <cell r="I546" t="e">
            <v>#N/A</v>
          </cell>
          <cell r="J546" t="e">
            <v>#N/A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  <cell r="O546" t="e">
            <v>#N/A</v>
          </cell>
          <cell r="P546">
            <v>35.35</v>
          </cell>
          <cell r="Q546">
            <v>6.3392400000000002</v>
          </cell>
          <cell r="R546" t="e">
            <v>#N/A</v>
          </cell>
        </row>
        <row r="547">
          <cell r="A547">
            <v>39945</v>
          </cell>
          <cell r="B547">
            <v>39945</v>
          </cell>
          <cell r="C547" t="str">
            <v>Past</v>
          </cell>
          <cell r="D547">
            <v>35.9</v>
          </cell>
          <cell r="E547" t="e">
            <v>#N/A</v>
          </cell>
          <cell r="F547" t="e">
            <v>#N/A</v>
          </cell>
          <cell r="G547" t="e">
            <v>#N/A</v>
          </cell>
          <cell r="H547" t="e">
            <v>#N/A</v>
          </cell>
          <cell r="I547" t="e">
            <v>#N/A</v>
          </cell>
          <cell r="J547" t="e">
            <v>#N/A</v>
          </cell>
          <cell r="K547" t="e">
            <v>#N/A</v>
          </cell>
          <cell r="L547" t="e">
            <v>#N/A</v>
          </cell>
          <cell r="M547" t="e">
            <v>#N/A</v>
          </cell>
          <cell r="N547" t="e">
            <v>#N/A</v>
          </cell>
          <cell r="O547" t="e">
            <v>#N/A</v>
          </cell>
          <cell r="P547">
            <v>35.9</v>
          </cell>
          <cell r="Q547">
            <v>6.4275129999999994</v>
          </cell>
          <cell r="R547" t="e">
            <v>#N/A</v>
          </cell>
        </row>
        <row r="548">
          <cell r="A548">
            <v>39946</v>
          </cell>
          <cell r="B548">
            <v>39946</v>
          </cell>
          <cell r="C548" t="str">
            <v>Past</v>
          </cell>
          <cell r="D548">
            <v>35.15</v>
          </cell>
          <cell r="E548" t="e">
            <v>#N/A</v>
          </cell>
          <cell r="F548" t="e">
            <v>#N/A</v>
          </cell>
          <cell r="G548" t="e">
            <v>#N/A</v>
          </cell>
          <cell r="H548" t="e">
            <v>#N/A</v>
          </cell>
          <cell r="I548" t="e">
            <v>#N/A</v>
          </cell>
          <cell r="J548" t="e">
            <v>#N/A</v>
          </cell>
          <cell r="K548" t="e">
            <v>#N/A</v>
          </cell>
          <cell r="L548" t="e">
            <v>#N/A</v>
          </cell>
          <cell r="M548" t="e">
            <v>#N/A</v>
          </cell>
          <cell r="N548" t="e">
            <v>#N/A</v>
          </cell>
          <cell r="O548" t="e">
            <v>#N/A</v>
          </cell>
          <cell r="P548">
            <v>35.15</v>
          </cell>
          <cell r="Q548">
            <v>6.0419159999999996</v>
          </cell>
          <cell r="R548" t="e">
            <v>#N/A</v>
          </cell>
        </row>
        <row r="549">
          <cell r="A549">
            <v>39947</v>
          </cell>
          <cell r="B549">
            <v>39947</v>
          </cell>
          <cell r="C549" t="str">
            <v>Past</v>
          </cell>
          <cell r="D549">
            <v>35.119999999999997</v>
          </cell>
          <cell r="E549" t="e">
            <v>#N/A</v>
          </cell>
          <cell r="F549" t="e">
            <v>#N/A</v>
          </cell>
          <cell r="G549" t="e">
            <v>#N/A</v>
          </cell>
          <cell r="H549" t="e">
            <v>#N/A</v>
          </cell>
          <cell r="I549" t="e">
            <v>#N/A</v>
          </cell>
          <cell r="J549" t="e">
            <v>#N/A</v>
          </cell>
          <cell r="K549" t="e">
            <v>#N/A</v>
          </cell>
          <cell r="L549" t="e">
            <v>#N/A</v>
          </cell>
          <cell r="M549" t="e">
            <v>#N/A</v>
          </cell>
          <cell r="N549" t="e">
            <v>#N/A</v>
          </cell>
          <cell r="O549" t="e">
            <v>#N/A</v>
          </cell>
          <cell r="P549">
            <v>35.119999999999997</v>
          </cell>
          <cell r="Q549">
            <v>4.6474060000000001</v>
          </cell>
          <cell r="R549" t="e">
            <v>#N/A</v>
          </cell>
        </row>
        <row r="550">
          <cell r="A550">
            <v>39948</v>
          </cell>
          <cell r="B550">
            <v>39948</v>
          </cell>
          <cell r="C550" t="str">
            <v>Past</v>
          </cell>
          <cell r="D550">
            <v>34.17</v>
          </cell>
          <cell r="E550" t="e">
            <v>#N/A</v>
          </cell>
          <cell r="F550" t="e">
            <v>#N/A</v>
          </cell>
          <cell r="G550" t="e">
            <v>#N/A</v>
          </cell>
          <cell r="H550" t="e">
            <v>#N/A</v>
          </cell>
          <cell r="I550" t="e">
            <v>#N/A</v>
          </cell>
          <cell r="J550" t="e">
            <v>#N/A</v>
          </cell>
          <cell r="K550" t="e">
            <v>#N/A</v>
          </cell>
          <cell r="L550" t="e">
            <v>#N/A</v>
          </cell>
          <cell r="M550" t="e">
            <v>#N/A</v>
          </cell>
          <cell r="N550" t="e">
            <v>#N/A</v>
          </cell>
          <cell r="O550" t="e">
            <v>#N/A</v>
          </cell>
          <cell r="P550">
            <v>34.17</v>
          </cell>
          <cell r="Q550">
            <v>6.1764999999999999</v>
          </cell>
          <cell r="R550" t="e">
            <v>#N/A</v>
          </cell>
        </row>
        <row r="551">
          <cell r="A551">
            <v>39951</v>
          </cell>
          <cell r="B551">
            <v>39951</v>
          </cell>
          <cell r="C551" t="str">
            <v>Past</v>
          </cell>
          <cell r="D551">
            <v>34.67</v>
          </cell>
          <cell r="E551" t="e">
            <v>#N/A</v>
          </cell>
          <cell r="F551" t="e">
            <v>#N/A</v>
          </cell>
          <cell r="G551" t="e">
            <v>#N/A</v>
          </cell>
          <cell r="H551" t="e">
            <v>#N/A</v>
          </cell>
          <cell r="I551" t="e">
            <v>#N/A</v>
          </cell>
          <cell r="J551" t="e">
            <v>#N/A</v>
          </cell>
          <cell r="K551" t="e">
            <v>#N/A</v>
          </cell>
          <cell r="L551" t="e">
            <v>#N/A</v>
          </cell>
          <cell r="M551" t="e">
            <v>#N/A</v>
          </cell>
          <cell r="N551" t="e">
            <v>#N/A</v>
          </cell>
          <cell r="O551" t="e">
            <v>#N/A</v>
          </cell>
          <cell r="P551">
            <v>34.67</v>
          </cell>
          <cell r="Q551">
            <v>5.5593709999999996</v>
          </cell>
          <cell r="R551" t="e">
            <v>#N/A</v>
          </cell>
        </row>
        <row r="552">
          <cell r="A552">
            <v>39952</v>
          </cell>
          <cell r="B552">
            <v>39952</v>
          </cell>
          <cell r="C552" t="str">
            <v>Past</v>
          </cell>
          <cell r="D552">
            <v>34.53</v>
          </cell>
          <cell r="E552" t="e">
            <v>#N/A</v>
          </cell>
          <cell r="F552" t="e">
            <v>#N/A</v>
          </cell>
          <cell r="G552" t="e">
            <v>#N/A</v>
          </cell>
          <cell r="H552" t="e">
            <v>#N/A</v>
          </cell>
          <cell r="I552" t="e">
            <v>#N/A</v>
          </cell>
          <cell r="J552" t="e">
            <v>#N/A</v>
          </cell>
          <cell r="K552" t="e">
            <v>#N/A</v>
          </cell>
          <cell r="L552" t="e">
            <v>#N/A</v>
          </cell>
          <cell r="M552" t="e">
            <v>#N/A</v>
          </cell>
          <cell r="N552" t="e">
            <v>#N/A</v>
          </cell>
          <cell r="O552" t="e">
            <v>#N/A</v>
          </cell>
          <cell r="P552">
            <v>34.53</v>
          </cell>
          <cell r="Q552">
            <v>4.3698869999999994</v>
          </cell>
          <cell r="R552" t="e">
            <v>#N/A</v>
          </cell>
        </row>
        <row r="553">
          <cell r="A553">
            <v>39953</v>
          </cell>
          <cell r="B553">
            <v>39953</v>
          </cell>
          <cell r="C553" t="str">
            <v>Past</v>
          </cell>
          <cell r="D553">
            <v>34.729999999999997</v>
          </cell>
          <cell r="E553" t="e">
            <v>#N/A</v>
          </cell>
          <cell r="F553" t="e">
            <v>#N/A</v>
          </cell>
          <cell r="G553" t="e">
            <v>#N/A</v>
          </cell>
          <cell r="H553" t="e">
            <v>#N/A</v>
          </cell>
          <cell r="I553" t="e">
            <v>#N/A</v>
          </cell>
          <cell r="J553" t="e">
            <v>#N/A</v>
          </cell>
          <cell r="K553" t="e">
            <v>#N/A</v>
          </cell>
          <cell r="L553" t="e">
            <v>#N/A</v>
          </cell>
          <cell r="M553" t="e">
            <v>#N/A</v>
          </cell>
          <cell r="N553" t="e">
            <v>#N/A</v>
          </cell>
          <cell r="O553" t="e">
            <v>#N/A</v>
          </cell>
          <cell r="P553">
            <v>34.729999999999997</v>
          </cell>
          <cell r="Q553">
            <v>4.7807459999999997</v>
          </cell>
          <cell r="R553" t="e">
            <v>#N/A</v>
          </cell>
        </row>
        <row r="554">
          <cell r="A554">
            <v>39954</v>
          </cell>
          <cell r="B554">
            <v>39954</v>
          </cell>
          <cell r="C554" t="str">
            <v>Past</v>
          </cell>
          <cell r="D554">
            <v>34.619999999999997</v>
          </cell>
          <cell r="E554" t="e">
            <v>#N/A</v>
          </cell>
          <cell r="F554" t="e">
            <v>#N/A</v>
          </cell>
          <cell r="G554" t="e">
            <v>#N/A</v>
          </cell>
          <cell r="H554" t="e">
            <v>#N/A</v>
          </cell>
          <cell r="I554" t="e">
            <v>#N/A</v>
          </cell>
          <cell r="J554" t="e">
            <v>#N/A</v>
          </cell>
          <cell r="K554" t="e">
            <v>#N/A</v>
          </cell>
          <cell r="L554" t="e">
            <v>#N/A</v>
          </cell>
          <cell r="M554" t="e">
            <v>#N/A</v>
          </cell>
          <cell r="N554" t="e">
            <v>#N/A</v>
          </cell>
          <cell r="O554" t="e">
            <v>#N/A</v>
          </cell>
          <cell r="P554">
            <v>34.619999999999997</v>
          </cell>
          <cell r="Q554">
            <v>5.2200850000000001</v>
          </cell>
          <cell r="R554" t="e">
            <v>#N/A</v>
          </cell>
        </row>
        <row r="555">
          <cell r="A555">
            <v>39955</v>
          </cell>
          <cell r="B555">
            <v>39955</v>
          </cell>
          <cell r="C555" t="str">
            <v>Past</v>
          </cell>
          <cell r="D555">
            <v>34.340000000000003</v>
          </cell>
          <cell r="E555" t="e">
            <v>#N/A</v>
          </cell>
          <cell r="F555" t="e">
            <v>#N/A</v>
          </cell>
          <cell r="G555" t="e">
            <v>#N/A</v>
          </cell>
          <cell r="H555" t="e">
            <v>#N/A</v>
          </cell>
          <cell r="I555" t="e">
            <v>#N/A</v>
          </cell>
          <cell r="J555" t="e">
            <v>#N/A</v>
          </cell>
          <cell r="K555" t="e">
            <v>#N/A</v>
          </cell>
          <cell r="L555" t="e">
            <v>#N/A</v>
          </cell>
          <cell r="M555" t="e">
            <v>#N/A</v>
          </cell>
          <cell r="N555" t="e">
            <v>#N/A</v>
          </cell>
          <cell r="O555" t="e">
            <v>#N/A</v>
          </cell>
          <cell r="P555">
            <v>34.340000000000003</v>
          </cell>
          <cell r="Q555">
            <v>3.3391259999999998</v>
          </cell>
          <cell r="R555" t="e">
            <v>#N/A</v>
          </cell>
        </row>
        <row r="556">
          <cell r="A556">
            <v>39959</v>
          </cell>
          <cell r="B556">
            <v>39959</v>
          </cell>
          <cell r="C556" t="str">
            <v>Past</v>
          </cell>
          <cell r="D556">
            <v>34.85</v>
          </cell>
          <cell r="E556" t="e">
            <v>#N/A</v>
          </cell>
          <cell r="F556" t="e">
            <v>#N/A</v>
          </cell>
          <cell r="G556" t="e">
            <v>#N/A</v>
          </cell>
          <cell r="H556" t="e">
            <v>#N/A</v>
          </cell>
          <cell r="I556" t="e">
            <v>#N/A</v>
          </cell>
          <cell r="J556" t="e">
            <v>#N/A</v>
          </cell>
          <cell r="K556" t="e">
            <v>#N/A</v>
          </cell>
          <cell r="L556" t="e">
            <v>#N/A</v>
          </cell>
          <cell r="M556" t="e">
            <v>#N/A</v>
          </cell>
          <cell r="N556" t="e">
            <v>#N/A</v>
          </cell>
          <cell r="O556" t="e">
            <v>#N/A</v>
          </cell>
          <cell r="P556">
            <v>34.85</v>
          </cell>
          <cell r="Q556">
            <v>3.953217</v>
          </cell>
          <cell r="R556" t="e">
            <v>#N/A</v>
          </cell>
        </row>
        <row r="557">
          <cell r="A557">
            <v>39960</v>
          </cell>
          <cell r="B557">
            <v>39960</v>
          </cell>
          <cell r="C557" t="str">
            <v>Past</v>
          </cell>
          <cell r="D557">
            <v>33.67</v>
          </cell>
          <cell r="E557" t="e">
            <v>#N/A</v>
          </cell>
          <cell r="F557" t="e">
            <v>#N/A</v>
          </cell>
          <cell r="G557" t="e">
            <v>#N/A</v>
          </cell>
          <cell r="H557" t="e">
            <v>#N/A</v>
          </cell>
          <cell r="I557" t="e">
            <v>#N/A</v>
          </cell>
          <cell r="J557" t="e">
            <v>#N/A</v>
          </cell>
          <cell r="K557" t="e">
            <v>#N/A</v>
          </cell>
          <cell r="L557" t="e">
            <v>#N/A</v>
          </cell>
          <cell r="M557" t="e">
            <v>#N/A</v>
          </cell>
          <cell r="N557" t="e">
            <v>#N/A</v>
          </cell>
          <cell r="O557" t="e">
            <v>#N/A</v>
          </cell>
          <cell r="P557">
            <v>33.67</v>
          </cell>
          <cell r="Q557">
            <v>5.1936239999999998</v>
          </cell>
          <cell r="R557" t="e">
            <v>#N/A</v>
          </cell>
        </row>
        <row r="558">
          <cell r="A558">
            <v>39961</v>
          </cell>
          <cell r="B558">
            <v>39961</v>
          </cell>
          <cell r="C558" t="str">
            <v>Past</v>
          </cell>
          <cell r="D558">
            <v>33.78</v>
          </cell>
          <cell r="E558" t="e">
            <v>#N/A</v>
          </cell>
          <cell r="F558" t="e">
            <v>#N/A</v>
          </cell>
          <cell r="G558" t="e">
            <v>#N/A</v>
          </cell>
          <cell r="H558" t="e">
            <v>#N/A</v>
          </cell>
          <cell r="I558" t="e">
            <v>#N/A</v>
          </cell>
          <cell r="J558" t="e">
            <v>#N/A</v>
          </cell>
          <cell r="K558" t="e">
            <v>#N/A</v>
          </cell>
          <cell r="L558" t="e">
            <v>#N/A</v>
          </cell>
          <cell r="M558" t="e">
            <v>#N/A</v>
          </cell>
          <cell r="N558" t="e">
            <v>#N/A</v>
          </cell>
          <cell r="O558">
            <v>0</v>
          </cell>
          <cell r="P558">
            <v>33.78</v>
          </cell>
          <cell r="Q558">
            <v>4.4986489999999995</v>
          </cell>
          <cell r="R558" t="e">
            <v>#N/A</v>
          </cell>
        </row>
        <row r="559">
          <cell r="A559">
            <v>39962</v>
          </cell>
          <cell r="B559">
            <v>39962</v>
          </cell>
          <cell r="C559" t="str">
            <v>Current</v>
          </cell>
          <cell r="D559">
            <v>34.57</v>
          </cell>
          <cell r="E559">
            <v>34.57</v>
          </cell>
          <cell r="F559">
            <v>34.57</v>
          </cell>
          <cell r="G559">
            <v>34.57</v>
          </cell>
          <cell r="H559">
            <v>34.57</v>
          </cell>
          <cell r="I559">
            <v>34.57</v>
          </cell>
          <cell r="J559" t="e">
            <v>#N/A</v>
          </cell>
          <cell r="K559" t="e">
            <v>#N/A</v>
          </cell>
          <cell r="L559" t="e">
            <v>#N/A</v>
          </cell>
          <cell r="M559" t="e">
            <v>#N/A</v>
          </cell>
          <cell r="N559" t="e">
            <v>#N/A</v>
          </cell>
          <cell r="O559">
            <v>114.16500000000001</v>
          </cell>
          <cell r="P559">
            <v>34.57</v>
          </cell>
          <cell r="Q559">
            <v>4.873189</v>
          </cell>
          <cell r="R559" t="e">
            <v>#N/A</v>
          </cell>
        </row>
        <row r="560">
          <cell r="A560">
            <v>39965</v>
          </cell>
          <cell r="B560">
            <v>39965</v>
          </cell>
          <cell r="C560" t="str">
            <v>Future</v>
          </cell>
          <cell r="D560" t="e">
            <v>#N/A</v>
          </cell>
          <cell r="E560">
            <v>34.433359683794464</v>
          </cell>
          <cell r="F560">
            <v>34.599367588932807</v>
          </cell>
          <cell r="G560">
            <v>34.559841897233198</v>
          </cell>
          <cell r="H560">
            <v>34.559841897233198</v>
          </cell>
          <cell r="I560" t="e">
            <v>#N/A</v>
          </cell>
          <cell r="J560" t="e">
            <v>#N/A</v>
          </cell>
          <cell r="K560" t="e">
            <v>#N/A</v>
          </cell>
          <cell r="L560" t="e">
            <v>#N/A</v>
          </cell>
          <cell r="M560" t="e">
            <v>#N/A</v>
          </cell>
          <cell r="N560" t="e">
            <v>#N/A</v>
          </cell>
          <cell r="O560" t="e">
            <v>#N/A</v>
          </cell>
          <cell r="P560">
            <v>34.65</v>
          </cell>
          <cell r="Q560">
            <v>5.3196200000000005</v>
          </cell>
          <cell r="R560" t="e">
            <v>#N/A</v>
          </cell>
        </row>
        <row r="561">
          <cell r="A561">
            <v>39966</v>
          </cell>
          <cell r="B561">
            <v>39966</v>
          </cell>
          <cell r="C561" t="str">
            <v>Future</v>
          </cell>
          <cell r="D561" t="e">
            <v>#N/A</v>
          </cell>
          <cell r="E561">
            <v>34.296719367588928</v>
          </cell>
          <cell r="F561">
            <v>34.628735177865615</v>
          </cell>
          <cell r="G561">
            <v>34.549683794466397</v>
          </cell>
          <cell r="H561">
            <v>34.549683794466397</v>
          </cell>
          <cell r="I561" t="e">
            <v>#N/A</v>
          </cell>
          <cell r="J561" t="e">
            <v>#N/A</v>
          </cell>
          <cell r="K561" t="e">
            <v>#N/A</v>
          </cell>
          <cell r="L561" t="e">
            <v>#N/A</v>
          </cell>
          <cell r="M561" t="e">
            <v>#N/A</v>
          </cell>
          <cell r="N561" t="e">
            <v>#N/A</v>
          </cell>
          <cell r="O561" t="e">
            <v>#N/A</v>
          </cell>
          <cell r="P561">
            <v>34.65</v>
          </cell>
          <cell r="Q561" t="str">
            <v/>
          </cell>
          <cell r="R561" t="e">
            <v>#N/A</v>
          </cell>
        </row>
        <row r="562">
          <cell r="A562">
            <v>39967</v>
          </cell>
          <cell r="B562">
            <v>39967</v>
          </cell>
          <cell r="C562" t="str">
            <v>Future</v>
          </cell>
          <cell r="D562" t="e">
            <v>#N/A</v>
          </cell>
          <cell r="E562">
            <v>34.160079051383391</v>
          </cell>
          <cell r="F562">
            <v>34.658102766798422</v>
          </cell>
          <cell r="G562">
            <v>34.539525691699595</v>
          </cell>
          <cell r="H562">
            <v>34.539525691699595</v>
          </cell>
          <cell r="I562" t="e">
            <v>#N/A</v>
          </cell>
          <cell r="J562" t="e">
            <v>#N/A</v>
          </cell>
          <cell r="K562" t="e">
            <v>#N/A</v>
          </cell>
          <cell r="L562" t="e">
            <v>#N/A</v>
          </cell>
          <cell r="M562" t="e">
            <v>#N/A</v>
          </cell>
          <cell r="N562" t="e">
            <v>#N/A</v>
          </cell>
          <cell r="O562" t="e">
            <v>#N/A</v>
          </cell>
          <cell r="P562">
            <v>34.65</v>
          </cell>
          <cell r="Q562" t="str">
            <v/>
          </cell>
          <cell r="R562" t="e">
            <v>#N/A</v>
          </cell>
        </row>
        <row r="563">
          <cell r="A563">
            <v>39968</v>
          </cell>
          <cell r="B563">
            <v>39968</v>
          </cell>
          <cell r="C563" t="str">
            <v>Future</v>
          </cell>
          <cell r="D563" t="e">
            <v>#N/A</v>
          </cell>
          <cell r="E563">
            <v>34.023438735177855</v>
          </cell>
          <cell r="F563">
            <v>34.687470355731229</v>
          </cell>
          <cell r="G563">
            <v>34.529367588932793</v>
          </cell>
          <cell r="H563">
            <v>34.529367588932793</v>
          </cell>
          <cell r="I563" t="e">
            <v>#N/A</v>
          </cell>
          <cell r="J563" t="e">
            <v>#N/A</v>
          </cell>
          <cell r="K563" t="e">
            <v>#N/A</v>
          </cell>
          <cell r="L563" t="e">
            <v>#N/A</v>
          </cell>
          <cell r="M563" t="e">
            <v>#N/A</v>
          </cell>
          <cell r="N563" t="e">
            <v>#N/A</v>
          </cell>
          <cell r="O563" t="e">
            <v>#N/A</v>
          </cell>
          <cell r="P563">
            <v>34.65</v>
          </cell>
          <cell r="Q563" t="str">
            <v/>
          </cell>
          <cell r="R563" t="e">
            <v>#N/A</v>
          </cell>
        </row>
        <row r="564">
          <cell r="A564">
            <v>39969</v>
          </cell>
          <cell r="B564">
            <v>39969</v>
          </cell>
          <cell r="C564" t="str">
            <v>Future</v>
          </cell>
          <cell r="D564" t="e">
            <v>#N/A</v>
          </cell>
          <cell r="E564">
            <v>33.886798418972319</v>
          </cell>
          <cell r="F564">
            <v>34.716837944664036</v>
          </cell>
          <cell r="G564">
            <v>34.519209486165991</v>
          </cell>
          <cell r="H564">
            <v>34.519209486165991</v>
          </cell>
          <cell r="I564" t="e">
            <v>#N/A</v>
          </cell>
          <cell r="J564" t="e">
            <v>#N/A</v>
          </cell>
          <cell r="K564" t="e">
            <v>#N/A</v>
          </cell>
          <cell r="L564" t="e">
            <v>#N/A</v>
          </cell>
          <cell r="M564" t="e">
            <v>#N/A</v>
          </cell>
          <cell r="N564" t="e">
            <v>#N/A</v>
          </cell>
          <cell r="O564" t="e">
            <v>#N/A</v>
          </cell>
          <cell r="P564">
            <v>34.65</v>
          </cell>
          <cell r="Q564" t="str">
            <v/>
          </cell>
          <cell r="R564" t="e">
            <v>#N/A</v>
          </cell>
        </row>
        <row r="565">
          <cell r="A565">
            <v>39972</v>
          </cell>
          <cell r="B565">
            <v>39972</v>
          </cell>
          <cell r="C565" t="str">
            <v>Future</v>
          </cell>
          <cell r="D565" t="e">
            <v>#N/A</v>
          </cell>
          <cell r="E565">
            <v>33.750158102766783</v>
          </cell>
          <cell r="F565">
            <v>34.746205533596843</v>
          </cell>
          <cell r="G565">
            <v>34.509051383399189</v>
          </cell>
          <cell r="H565">
            <v>34.509051383399189</v>
          </cell>
          <cell r="I565" t="e">
            <v>#N/A</v>
          </cell>
          <cell r="J565" t="e">
            <v>#N/A</v>
          </cell>
          <cell r="K565" t="e">
            <v>#N/A</v>
          </cell>
          <cell r="L565" t="e">
            <v>#N/A</v>
          </cell>
          <cell r="M565" t="e">
            <v>#N/A</v>
          </cell>
          <cell r="N565" t="e">
            <v>#N/A</v>
          </cell>
          <cell r="O565" t="e">
            <v>#N/A</v>
          </cell>
          <cell r="P565">
            <v>34.65</v>
          </cell>
          <cell r="Q565" t="str">
            <v/>
          </cell>
          <cell r="R565" t="e">
            <v>#N/A</v>
          </cell>
        </row>
        <row r="566">
          <cell r="A566">
            <v>39973</v>
          </cell>
          <cell r="B566">
            <v>39973</v>
          </cell>
          <cell r="C566" t="str">
            <v>Future</v>
          </cell>
          <cell r="D566" t="e">
            <v>#N/A</v>
          </cell>
          <cell r="E566">
            <v>33.613517786561246</v>
          </cell>
          <cell r="F566">
            <v>34.77557312252965</v>
          </cell>
          <cell r="G566">
            <v>34.498893280632387</v>
          </cell>
          <cell r="H566">
            <v>34.498893280632387</v>
          </cell>
          <cell r="I566" t="e">
            <v>#N/A</v>
          </cell>
          <cell r="J566" t="e">
            <v>#N/A</v>
          </cell>
          <cell r="K566" t="e">
            <v>#N/A</v>
          </cell>
          <cell r="L566" t="e">
            <v>#N/A</v>
          </cell>
          <cell r="M566" t="e">
            <v>#N/A</v>
          </cell>
          <cell r="N566" t="e">
            <v>#N/A</v>
          </cell>
          <cell r="O566" t="e">
            <v>#N/A</v>
          </cell>
          <cell r="P566">
            <v>34.65</v>
          </cell>
          <cell r="Q566" t="str">
            <v/>
          </cell>
          <cell r="R566" t="e">
            <v>#N/A</v>
          </cell>
        </row>
        <row r="567">
          <cell r="A567">
            <v>39974</v>
          </cell>
          <cell r="B567">
            <v>39974</v>
          </cell>
          <cell r="C567" t="str">
            <v>Future</v>
          </cell>
          <cell r="D567" t="e">
            <v>#N/A</v>
          </cell>
          <cell r="E567">
            <v>33.47687747035571</v>
          </cell>
          <cell r="F567">
            <v>34.804940711462457</v>
          </cell>
          <cell r="G567">
            <v>34.488735177865586</v>
          </cell>
          <cell r="H567">
            <v>34.488735177865586</v>
          </cell>
          <cell r="I567" t="e">
            <v>#N/A</v>
          </cell>
          <cell r="J567" t="e">
            <v>#N/A</v>
          </cell>
          <cell r="K567" t="e">
            <v>#N/A</v>
          </cell>
          <cell r="L567" t="e">
            <v>#N/A</v>
          </cell>
          <cell r="M567" t="e">
            <v>#N/A</v>
          </cell>
          <cell r="N567" t="e">
            <v>#N/A</v>
          </cell>
          <cell r="O567" t="e">
            <v>#N/A</v>
          </cell>
          <cell r="P567">
            <v>34.65</v>
          </cell>
          <cell r="Q567" t="str">
            <v/>
          </cell>
          <cell r="R567" t="e">
            <v>#N/A</v>
          </cell>
        </row>
        <row r="568">
          <cell r="A568">
            <v>39975</v>
          </cell>
          <cell r="B568">
            <v>39975</v>
          </cell>
          <cell r="C568" t="str">
            <v>Future</v>
          </cell>
          <cell r="D568" t="e">
            <v>#N/A</v>
          </cell>
          <cell r="E568">
            <v>33.340237154150174</v>
          </cell>
          <cell r="F568">
            <v>34.834308300395264</v>
          </cell>
          <cell r="G568">
            <v>34.478577075098784</v>
          </cell>
          <cell r="H568">
            <v>34.478577075098784</v>
          </cell>
          <cell r="I568" t="e">
            <v>#N/A</v>
          </cell>
          <cell r="J568" t="e">
            <v>#N/A</v>
          </cell>
          <cell r="K568" t="e">
            <v>#N/A</v>
          </cell>
          <cell r="L568" t="e">
            <v>#N/A</v>
          </cell>
          <cell r="M568" t="e">
            <v>#N/A</v>
          </cell>
          <cell r="N568" t="e">
            <v>#N/A</v>
          </cell>
          <cell r="O568" t="e">
            <v>#N/A</v>
          </cell>
          <cell r="P568">
            <v>34.65</v>
          </cell>
          <cell r="Q568" t="str">
            <v/>
          </cell>
          <cell r="R568" t="e">
            <v>#N/A</v>
          </cell>
        </row>
        <row r="569">
          <cell r="A569">
            <v>39976</v>
          </cell>
          <cell r="B569">
            <v>39976</v>
          </cell>
          <cell r="C569" t="str">
            <v>Future</v>
          </cell>
          <cell r="D569" t="e">
            <v>#N/A</v>
          </cell>
          <cell r="E569">
            <v>33.203596837944637</v>
          </cell>
          <cell r="F569">
            <v>34.863675889328071</v>
          </cell>
          <cell r="G569">
            <v>34.468418972331982</v>
          </cell>
          <cell r="H569">
            <v>34.468418972331982</v>
          </cell>
          <cell r="I569" t="e">
            <v>#N/A</v>
          </cell>
          <cell r="J569" t="e">
            <v>#N/A</v>
          </cell>
          <cell r="K569" t="e">
            <v>#N/A</v>
          </cell>
          <cell r="L569" t="e">
            <v>#N/A</v>
          </cell>
          <cell r="M569" t="e">
            <v>#N/A</v>
          </cell>
          <cell r="N569" t="e">
            <v>#N/A</v>
          </cell>
          <cell r="O569" t="e">
            <v>#N/A</v>
          </cell>
          <cell r="P569">
            <v>34.65</v>
          </cell>
          <cell r="Q569" t="str">
            <v/>
          </cell>
          <cell r="R569" t="e">
            <v>#N/A</v>
          </cell>
        </row>
        <row r="570">
          <cell r="A570">
            <v>39979</v>
          </cell>
          <cell r="B570">
            <v>39979</v>
          </cell>
          <cell r="C570" t="str">
            <v>Future</v>
          </cell>
          <cell r="D570" t="e">
            <v>#N/A</v>
          </cell>
          <cell r="E570">
            <v>33.066956521739101</v>
          </cell>
          <cell r="F570">
            <v>34.893043478260878</v>
          </cell>
          <cell r="G570">
            <v>34.45826086956518</v>
          </cell>
          <cell r="H570">
            <v>34.45826086956518</v>
          </cell>
          <cell r="I570" t="e">
            <v>#N/A</v>
          </cell>
          <cell r="J570" t="e">
            <v>#N/A</v>
          </cell>
          <cell r="K570" t="e">
            <v>#N/A</v>
          </cell>
          <cell r="L570" t="e">
            <v>#N/A</v>
          </cell>
          <cell r="M570" t="e">
            <v>#N/A</v>
          </cell>
          <cell r="N570" t="e">
            <v>#N/A</v>
          </cell>
          <cell r="O570" t="e">
            <v>#N/A</v>
          </cell>
          <cell r="P570">
            <v>34.65</v>
          </cell>
          <cell r="Q570" t="str">
            <v/>
          </cell>
          <cell r="R570" t="e">
            <v>#N/A</v>
          </cell>
        </row>
        <row r="571">
          <cell r="A571">
            <v>39980</v>
          </cell>
          <cell r="B571">
            <v>39980</v>
          </cell>
          <cell r="C571" t="str">
            <v>Future</v>
          </cell>
          <cell r="D571" t="e">
            <v>#N/A</v>
          </cell>
          <cell r="E571">
            <v>32.930316205533565</v>
          </cell>
          <cell r="F571">
            <v>34.922411067193686</v>
          </cell>
          <cell r="G571">
            <v>34.448102766798378</v>
          </cell>
          <cell r="H571">
            <v>34.448102766798378</v>
          </cell>
          <cell r="I571" t="e">
            <v>#N/A</v>
          </cell>
          <cell r="J571" t="e">
            <v>#N/A</v>
          </cell>
          <cell r="K571" t="e">
            <v>#N/A</v>
          </cell>
          <cell r="L571" t="e">
            <v>#N/A</v>
          </cell>
          <cell r="M571" t="e">
            <v>#N/A</v>
          </cell>
          <cell r="N571" t="e">
            <v>#N/A</v>
          </cell>
          <cell r="O571" t="e">
            <v>#N/A</v>
          </cell>
          <cell r="P571">
            <v>34.65</v>
          </cell>
          <cell r="Q571" t="str">
            <v/>
          </cell>
          <cell r="R571" t="e">
            <v>#N/A</v>
          </cell>
        </row>
        <row r="572">
          <cell r="A572">
            <v>39981</v>
          </cell>
          <cell r="B572">
            <v>39981</v>
          </cell>
          <cell r="C572" t="str">
            <v>Future</v>
          </cell>
          <cell r="D572" t="e">
            <v>#N/A</v>
          </cell>
          <cell r="E572">
            <v>32.793675889328028</v>
          </cell>
          <cell r="F572">
            <v>34.951778656126493</v>
          </cell>
          <cell r="G572">
            <v>34.437944664031576</v>
          </cell>
          <cell r="H572">
            <v>34.437944664031576</v>
          </cell>
          <cell r="I572" t="e">
            <v>#N/A</v>
          </cell>
          <cell r="J572" t="e">
            <v>#N/A</v>
          </cell>
          <cell r="K572" t="e">
            <v>#N/A</v>
          </cell>
          <cell r="L572" t="e">
            <v>#N/A</v>
          </cell>
          <cell r="M572" t="e">
            <v>#N/A</v>
          </cell>
          <cell r="N572" t="e">
            <v>#N/A</v>
          </cell>
          <cell r="O572" t="e">
            <v>#N/A</v>
          </cell>
          <cell r="P572">
            <v>34.65</v>
          </cell>
          <cell r="Q572" t="str">
            <v/>
          </cell>
          <cell r="R572" t="e">
            <v>#N/A</v>
          </cell>
        </row>
        <row r="573">
          <cell r="A573">
            <v>39982</v>
          </cell>
          <cell r="B573">
            <v>39982</v>
          </cell>
          <cell r="C573" t="str">
            <v>Future</v>
          </cell>
          <cell r="D573" t="e">
            <v>#N/A</v>
          </cell>
          <cell r="E573">
            <v>32.657035573122492</v>
          </cell>
          <cell r="F573">
            <v>34.9811462450593</v>
          </cell>
          <cell r="G573">
            <v>34.427786561264774</v>
          </cell>
          <cell r="H573">
            <v>34.427786561264774</v>
          </cell>
          <cell r="I573" t="e">
            <v>#N/A</v>
          </cell>
          <cell r="J573" t="e">
            <v>#N/A</v>
          </cell>
          <cell r="K573" t="e">
            <v>#N/A</v>
          </cell>
          <cell r="L573" t="e">
            <v>#N/A</v>
          </cell>
          <cell r="M573" t="e">
            <v>#N/A</v>
          </cell>
          <cell r="N573" t="e">
            <v>#N/A</v>
          </cell>
          <cell r="O573" t="e">
            <v>#N/A</v>
          </cell>
          <cell r="P573">
            <v>34.65</v>
          </cell>
          <cell r="Q573" t="str">
            <v/>
          </cell>
          <cell r="R573" t="e">
            <v>#N/A</v>
          </cell>
        </row>
        <row r="574">
          <cell r="A574">
            <v>39983</v>
          </cell>
          <cell r="B574">
            <v>39983</v>
          </cell>
          <cell r="C574" t="str">
            <v>Future</v>
          </cell>
          <cell r="D574" t="e">
            <v>#N/A</v>
          </cell>
          <cell r="E574">
            <v>32.520395256916956</v>
          </cell>
          <cell r="F574">
            <v>35.010513833992107</v>
          </cell>
          <cell r="G574">
            <v>34.417628458497973</v>
          </cell>
          <cell r="H574">
            <v>34.417628458497973</v>
          </cell>
          <cell r="I574" t="e">
            <v>#N/A</v>
          </cell>
          <cell r="J574" t="e">
            <v>#N/A</v>
          </cell>
          <cell r="K574" t="e">
            <v>#N/A</v>
          </cell>
          <cell r="L574" t="e">
            <v>#N/A</v>
          </cell>
          <cell r="M574" t="e">
            <v>#N/A</v>
          </cell>
          <cell r="N574" t="e">
            <v>#N/A</v>
          </cell>
          <cell r="O574" t="e">
            <v>#N/A</v>
          </cell>
          <cell r="P574">
            <v>34.65</v>
          </cell>
          <cell r="Q574" t="str">
            <v/>
          </cell>
          <cell r="R574" t="e">
            <v>#N/A</v>
          </cell>
        </row>
        <row r="575">
          <cell r="A575">
            <v>39986</v>
          </cell>
          <cell r="B575">
            <v>39986</v>
          </cell>
          <cell r="C575" t="str">
            <v>Future</v>
          </cell>
          <cell r="D575" t="e">
            <v>#N/A</v>
          </cell>
          <cell r="E575">
            <v>32.38375494071142</v>
          </cell>
          <cell r="F575">
            <v>35.039881422924914</v>
          </cell>
          <cell r="G575">
            <v>34.407470355731171</v>
          </cell>
          <cell r="H575">
            <v>34.407470355731171</v>
          </cell>
          <cell r="I575" t="e">
            <v>#N/A</v>
          </cell>
          <cell r="J575" t="e">
            <v>#N/A</v>
          </cell>
          <cell r="K575" t="e">
            <v>#N/A</v>
          </cell>
          <cell r="L575" t="e">
            <v>#N/A</v>
          </cell>
          <cell r="M575" t="e">
            <v>#N/A</v>
          </cell>
          <cell r="N575" t="e">
            <v>#N/A</v>
          </cell>
          <cell r="O575" t="e">
            <v>#N/A</v>
          </cell>
          <cell r="P575">
            <v>34.65</v>
          </cell>
          <cell r="Q575" t="str">
            <v/>
          </cell>
          <cell r="R575" t="e">
            <v>#N/A</v>
          </cell>
        </row>
        <row r="576">
          <cell r="A576">
            <v>39987</v>
          </cell>
          <cell r="B576">
            <v>39987</v>
          </cell>
          <cell r="C576" t="str">
            <v>Future</v>
          </cell>
          <cell r="D576" t="e">
            <v>#N/A</v>
          </cell>
          <cell r="E576">
            <v>32.247114624505883</v>
          </cell>
          <cell r="F576">
            <v>35.069249011857721</v>
          </cell>
          <cell r="G576">
            <v>34.397312252964369</v>
          </cell>
          <cell r="H576">
            <v>34.397312252964369</v>
          </cell>
          <cell r="I576" t="e">
            <v>#N/A</v>
          </cell>
          <cell r="J576" t="e">
            <v>#N/A</v>
          </cell>
          <cell r="K576" t="e">
            <v>#N/A</v>
          </cell>
          <cell r="L576" t="e">
            <v>#N/A</v>
          </cell>
          <cell r="M576" t="e">
            <v>#N/A</v>
          </cell>
          <cell r="N576" t="e">
            <v>#N/A</v>
          </cell>
          <cell r="O576" t="e">
            <v>#N/A</v>
          </cell>
          <cell r="P576">
            <v>34.65</v>
          </cell>
          <cell r="Q576" t="str">
            <v/>
          </cell>
          <cell r="R576" t="e">
            <v>#N/A</v>
          </cell>
        </row>
        <row r="577">
          <cell r="A577">
            <v>39988</v>
          </cell>
          <cell r="B577">
            <v>39988</v>
          </cell>
          <cell r="C577" t="str">
            <v>Future</v>
          </cell>
          <cell r="D577" t="e">
            <v>#N/A</v>
          </cell>
          <cell r="E577">
            <v>32.110474308300347</v>
          </cell>
          <cell r="F577">
            <v>35.098616600790528</v>
          </cell>
          <cell r="G577">
            <v>34.387154150197567</v>
          </cell>
          <cell r="H577">
            <v>34.387154150197567</v>
          </cell>
          <cell r="I577" t="e">
            <v>#N/A</v>
          </cell>
          <cell r="J577" t="e">
            <v>#N/A</v>
          </cell>
          <cell r="K577" t="e">
            <v>#N/A</v>
          </cell>
          <cell r="L577" t="e">
            <v>#N/A</v>
          </cell>
          <cell r="M577" t="e">
            <v>#N/A</v>
          </cell>
          <cell r="N577" t="e">
            <v>#N/A</v>
          </cell>
          <cell r="O577" t="e">
            <v>#N/A</v>
          </cell>
          <cell r="P577">
            <v>34.65</v>
          </cell>
          <cell r="Q577" t="str">
            <v/>
          </cell>
          <cell r="R577" t="e">
            <v>#N/A</v>
          </cell>
        </row>
        <row r="578">
          <cell r="A578">
            <v>39989</v>
          </cell>
          <cell r="B578">
            <v>39989</v>
          </cell>
          <cell r="C578" t="str">
            <v>Future</v>
          </cell>
          <cell r="D578" t="e">
            <v>#N/A</v>
          </cell>
          <cell r="E578">
            <v>31.973833992094814</v>
          </cell>
          <cell r="F578">
            <v>35.127984189723335</v>
          </cell>
          <cell r="G578">
            <v>34.376996047430765</v>
          </cell>
          <cell r="H578">
            <v>34.376996047430765</v>
          </cell>
          <cell r="I578" t="e">
            <v>#N/A</v>
          </cell>
          <cell r="J578" t="e">
            <v>#N/A</v>
          </cell>
          <cell r="K578" t="e">
            <v>#N/A</v>
          </cell>
          <cell r="L578" t="e">
            <v>#N/A</v>
          </cell>
          <cell r="M578" t="e">
            <v>#N/A</v>
          </cell>
          <cell r="N578" t="e">
            <v>#N/A</v>
          </cell>
          <cell r="O578" t="e">
            <v>#N/A</v>
          </cell>
          <cell r="P578">
            <v>34.65</v>
          </cell>
          <cell r="Q578" t="str">
            <v/>
          </cell>
          <cell r="R578" t="e">
            <v>#N/A</v>
          </cell>
        </row>
        <row r="579">
          <cell r="A579">
            <v>39990</v>
          </cell>
          <cell r="B579">
            <v>39990</v>
          </cell>
          <cell r="C579" t="str">
            <v>Future</v>
          </cell>
          <cell r="D579" t="e">
            <v>#N/A</v>
          </cell>
          <cell r="E579">
            <v>31.837193675889282</v>
          </cell>
          <cell r="F579">
            <v>35.157351778656142</v>
          </cell>
          <cell r="G579">
            <v>34.366837944663963</v>
          </cell>
          <cell r="H579">
            <v>34.366837944663963</v>
          </cell>
          <cell r="I579" t="e">
            <v>#N/A</v>
          </cell>
          <cell r="J579" t="e">
            <v>#N/A</v>
          </cell>
          <cell r="K579" t="e">
            <v>#N/A</v>
          </cell>
          <cell r="L579" t="e">
            <v>#N/A</v>
          </cell>
          <cell r="M579" t="e">
            <v>#N/A</v>
          </cell>
          <cell r="N579" t="e">
            <v>#N/A</v>
          </cell>
          <cell r="O579" t="e">
            <v>#N/A</v>
          </cell>
          <cell r="P579">
            <v>34.65</v>
          </cell>
          <cell r="Q579" t="str">
            <v/>
          </cell>
          <cell r="R579" t="e">
            <v>#N/A</v>
          </cell>
        </row>
        <row r="580">
          <cell r="A580">
            <v>39993</v>
          </cell>
          <cell r="B580">
            <v>39993</v>
          </cell>
          <cell r="C580" t="str">
            <v>Future</v>
          </cell>
          <cell r="D580" t="e">
            <v>#N/A</v>
          </cell>
          <cell r="E580">
            <v>31.700553359683749</v>
          </cell>
          <cell r="F580">
            <v>35.18671936758895</v>
          </cell>
          <cell r="G580">
            <v>34.356679841897162</v>
          </cell>
          <cell r="H580">
            <v>34.356679841897162</v>
          </cell>
          <cell r="I580" t="e">
            <v>#N/A</v>
          </cell>
          <cell r="J580" t="e">
            <v>#N/A</v>
          </cell>
          <cell r="K580" t="e">
            <v>#N/A</v>
          </cell>
          <cell r="L580" t="e">
            <v>#N/A</v>
          </cell>
          <cell r="M580" t="e">
            <v>#N/A</v>
          </cell>
          <cell r="N580" t="e">
            <v>#N/A</v>
          </cell>
          <cell r="O580" t="e">
            <v>#N/A</v>
          </cell>
          <cell r="P580">
            <v>34.65</v>
          </cell>
          <cell r="Q580" t="str">
            <v/>
          </cell>
          <cell r="R580" t="e">
            <v>#N/A</v>
          </cell>
        </row>
        <row r="581">
          <cell r="A581">
            <v>39994</v>
          </cell>
          <cell r="B581">
            <v>39994</v>
          </cell>
          <cell r="C581" t="str">
            <v>Future</v>
          </cell>
          <cell r="D581" t="e">
            <v>#N/A</v>
          </cell>
          <cell r="E581">
            <v>31.563913043478216</v>
          </cell>
          <cell r="F581">
            <v>35.216086956521757</v>
          </cell>
          <cell r="G581">
            <v>34.34652173913036</v>
          </cell>
          <cell r="H581">
            <v>34.34652173913036</v>
          </cell>
          <cell r="I581" t="e">
            <v>#N/A</v>
          </cell>
          <cell r="J581" t="e">
            <v>#N/A</v>
          </cell>
          <cell r="K581" t="e">
            <v>#N/A</v>
          </cell>
          <cell r="L581" t="e">
            <v>#N/A</v>
          </cell>
          <cell r="M581" t="e">
            <v>#N/A</v>
          </cell>
          <cell r="N581" t="e">
            <v>#N/A</v>
          </cell>
          <cell r="O581" t="e">
            <v>#N/A</v>
          </cell>
          <cell r="P581">
            <v>34.65</v>
          </cell>
          <cell r="Q581" t="str">
            <v/>
          </cell>
          <cell r="R581" t="e">
            <v>#N/A</v>
          </cell>
        </row>
        <row r="582">
          <cell r="A582">
            <v>39995</v>
          </cell>
          <cell r="B582">
            <v>39995</v>
          </cell>
          <cell r="C582" t="str">
            <v>Future</v>
          </cell>
          <cell r="D582" t="e">
            <v>#N/A</v>
          </cell>
          <cell r="E582">
            <v>31.427272727272683</v>
          </cell>
          <cell r="F582">
            <v>35.245454545454564</v>
          </cell>
          <cell r="G582">
            <v>34.336363636363558</v>
          </cell>
          <cell r="H582">
            <v>34.336363636363558</v>
          </cell>
          <cell r="I582" t="e">
            <v>#N/A</v>
          </cell>
          <cell r="J582" t="e">
            <v>#N/A</v>
          </cell>
          <cell r="K582" t="e">
            <v>#N/A</v>
          </cell>
          <cell r="L582" t="e">
            <v>#N/A</v>
          </cell>
          <cell r="M582" t="e">
            <v>#N/A</v>
          </cell>
          <cell r="N582" t="e">
            <v>#N/A</v>
          </cell>
          <cell r="O582" t="e">
            <v>#N/A</v>
          </cell>
          <cell r="P582">
            <v>34.65</v>
          </cell>
          <cell r="Q582" t="str">
            <v/>
          </cell>
          <cell r="R582" t="e">
            <v>#N/A</v>
          </cell>
        </row>
        <row r="583">
          <cell r="A583">
            <v>39996</v>
          </cell>
          <cell r="B583">
            <v>39996</v>
          </cell>
          <cell r="C583" t="str">
            <v>Future</v>
          </cell>
          <cell r="D583" t="e">
            <v>#N/A</v>
          </cell>
          <cell r="E583">
            <v>31.290632411067151</v>
          </cell>
          <cell r="F583">
            <v>35.274822134387371</v>
          </cell>
          <cell r="G583">
            <v>34.326205533596756</v>
          </cell>
          <cell r="H583">
            <v>34.326205533596756</v>
          </cell>
          <cell r="I583" t="e">
            <v>#N/A</v>
          </cell>
          <cell r="J583" t="e">
            <v>#N/A</v>
          </cell>
          <cell r="K583" t="e">
            <v>#N/A</v>
          </cell>
          <cell r="L583" t="e">
            <v>#N/A</v>
          </cell>
          <cell r="M583" t="e">
            <v>#N/A</v>
          </cell>
          <cell r="N583" t="e">
            <v>#N/A</v>
          </cell>
          <cell r="O583" t="e">
            <v>#N/A</v>
          </cell>
          <cell r="P583">
            <v>34.65</v>
          </cell>
          <cell r="Q583" t="str">
            <v/>
          </cell>
          <cell r="R583" t="e">
            <v>#N/A</v>
          </cell>
        </row>
        <row r="584">
          <cell r="A584">
            <v>40000</v>
          </cell>
          <cell r="B584">
            <v>40000</v>
          </cell>
          <cell r="C584" t="str">
            <v>Future</v>
          </cell>
          <cell r="D584" t="e">
            <v>#N/A</v>
          </cell>
          <cell r="E584">
            <v>31.153992094861618</v>
          </cell>
          <cell r="F584">
            <v>35.304189723320178</v>
          </cell>
          <cell r="G584">
            <v>34.316047430829954</v>
          </cell>
          <cell r="H584">
            <v>34.316047430829954</v>
          </cell>
          <cell r="I584" t="e">
            <v>#N/A</v>
          </cell>
          <cell r="J584" t="e">
            <v>#N/A</v>
          </cell>
          <cell r="K584" t="e">
            <v>#N/A</v>
          </cell>
          <cell r="L584" t="e">
            <v>#N/A</v>
          </cell>
          <cell r="M584" t="e">
            <v>#N/A</v>
          </cell>
          <cell r="N584" t="e">
            <v>#N/A</v>
          </cell>
          <cell r="O584" t="e">
            <v>#N/A</v>
          </cell>
          <cell r="P584">
            <v>34.65</v>
          </cell>
          <cell r="Q584" t="str">
            <v/>
          </cell>
          <cell r="R584" t="e">
            <v>#N/A</v>
          </cell>
        </row>
        <row r="585">
          <cell r="A585">
            <v>40001</v>
          </cell>
          <cell r="B585">
            <v>40001</v>
          </cell>
          <cell r="C585" t="str">
            <v>Future</v>
          </cell>
          <cell r="D585" t="e">
            <v>#N/A</v>
          </cell>
          <cell r="E585">
            <v>31.017351778656085</v>
          </cell>
          <cell r="F585">
            <v>35.333557312252985</v>
          </cell>
          <cell r="G585">
            <v>34.305889328063152</v>
          </cell>
          <cell r="H585">
            <v>34.305889328063152</v>
          </cell>
          <cell r="I585" t="e">
            <v>#N/A</v>
          </cell>
          <cell r="J585" t="e">
            <v>#N/A</v>
          </cell>
          <cell r="K585" t="e">
            <v>#N/A</v>
          </cell>
          <cell r="L585" t="e">
            <v>#N/A</v>
          </cell>
          <cell r="M585" t="e">
            <v>#N/A</v>
          </cell>
          <cell r="N585" t="e">
            <v>#N/A</v>
          </cell>
          <cell r="O585" t="e">
            <v>#N/A</v>
          </cell>
          <cell r="P585">
            <v>34.65</v>
          </cell>
          <cell r="Q585" t="str">
            <v/>
          </cell>
          <cell r="R585" t="e">
            <v>#N/A</v>
          </cell>
        </row>
        <row r="586">
          <cell r="A586">
            <v>40002</v>
          </cell>
          <cell r="B586">
            <v>40002</v>
          </cell>
          <cell r="C586" t="str">
            <v>Future</v>
          </cell>
          <cell r="D586" t="e">
            <v>#N/A</v>
          </cell>
          <cell r="E586">
            <v>30.880711462450552</v>
          </cell>
          <cell r="F586">
            <v>35.362924901185792</v>
          </cell>
          <cell r="G586">
            <v>34.29573122529635</v>
          </cell>
          <cell r="H586">
            <v>34.29573122529635</v>
          </cell>
          <cell r="I586" t="e">
            <v>#N/A</v>
          </cell>
          <cell r="J586" t="e">
            <v>#N/A</v>
          </cell>
          <cell r="K586" t="e">
            <v>#N/A</v>
          </cell>
          <cell r="L586" t="e">
            <v>#N/A</v>
          </cell>
          <cell r="M586" t="e">
            <v>#N/A</v>
          </cell>
          <cell r="N586" t="e">
            <v>#N/A</v>
          </cell>
          <cell r="O586" t="e">
            <v>#N/A</v>
          </cell>
          <cell r="P586">
            <v>34.65</v>
          </cell>
          <cell r="Q586" t="str">
            <v/>
          </cell>
          <cell r="R586" t="e">
            <v>#N/A</v>
          </cell>
        </row>
        <row r="587">
          <cell r="A587">
            <v>40003</v>
          </cell>
          <cell r="B587">
            <v>40003</v>
          </cell>
          <cell r="C587" t="str">
            <v>Future</v>
          </cell>
          <cell r="D587" t="e">
            <v>#N/A</v>
          </cell>
          <cell r="E587">
            <v>30.74407114624502</v>
          </cell>
          <cell r="F587">
            <v>35.392292490118599</v>
          </cell>
          <cell r="G587">
            <v>34.285573122529549</v>
          </cell>
          <cell r="H587">
            <v>34.285573122529549</v>
          </cell>
          <cell r="I587" t="e">
            <v>#N/A</v>
          </cell>
          <cell r="J587" t="e">
            <v>#N/A</v>
          </cell>
          <cell r="K587" t="e">
            <v>#N/A</v>
          </cell>
          <cell r="L587" t="e">
            <v>#N/A</v>
          </cell>
          <cell r="M587" t="e">
            <v>#N/A</v>
          </cell>
          <cell r="N587" t="e">
            <v>#N/A</v>
          </cell>
          <cell r="O587" t="e">
            <v>#N/A</v>
          </cell>
          <cell r="P587">
            <v>34.65</v>
          </cell>
          <cell r="Q587" t="str">
            <v/>
          </cell>
          <cell r="R587" t="e">
            <v>#N/A</v>
          </cell>
        </row>
        <row r="588">
          <cell r="A588">
            <v>40004</v>
          </cell>
          <cell r="B588">
            <v>40004</v>
          </cell>
          <cell r="C588" t="str">
            <v>Future</v>
          </cell>
          <cell r="D588" t="e">
            <v>#N/A</v>
          </cell>
          <cell r="E588">
            <v>30.607430830039487</v>
          </cell>
          <cell r="F588">
            <v>35.421660079051406</v>
          </cell>
          <cell r="G588">
            <v>34.275415019762747</v>
          </cell>
          <cell r="H588">
            <v>34.275415019762747</v>
          </cell>
          <cell r="I588" t="e">
            <v>#N/A</v>
          </cell>
          <cell r="J588" t="e">
            <v>#N/A</v>
          </cell>
          <cell r="K588" t="e">
            <v>#N/A</v>
          </cell>
          <cell r="L588" t="e">
            <v>#N/A</v>
          </cell>
          <cell r="M588" t="e">
            <v>#N/A</v>
          </cell>
          <cell r="N588" t="e">
            <v>#N/A</v>
          </cell>
          <cell r="O588" t="e">
            <v>#N/A</v>
          </cell>
          <cell r="P588">
            <v>34.65</v>
          </cell>
          <cell r="Q588" t="str">
            <v/>
          </cell>
          <cell r="R588" t="e">
            <v>#N/A</v>
          </cell>
        </row>
        <row r="589">
          <cell r="A589">
            <v>40007</v>
          </cell>
          <cell r="B589">
            <v>40007</v>
          </cell>
          <cell r="C589" t="str">
            <v>Future</v>
          </cell>
          <cell r="D589" t="e">
            <v>#N/A</v>
          </cell>
          <cell r="E589">
            <v>30.470790513833954</v>
          </cell>
          <cell r="F589">
            <v>35.451027667984214</v>
          </cell>
          <cell r="G589">
            <v>34.265256916995945</v>
          </cell>
          <cell r="H589">
            <v>34.265256916995945</v>
          </cell>
          <cell r="I589" t="e">
            <v>#N/A</v>
          </cell>
          <cell r="J589" t="e">
            <v>#N/A</v>
          </cell>
          <cell r="K589" t="e">
            <v>#N/A</v>
          </cell>
          <cell r="L589" t="e">
            <v>#N/A</v>
          </cell>
          <cell r="M589" t="e">
            <v>#N/A</v>
          </cell>
          <cell r="N589" t="e">
            <v>#N/A</v>
          </cell>
          <cell r="O589" t="e">
            <v>#N/A</v>
          </cell>
          <cell r="P589">
            <v>34.65</v>
          </cell>
          <cell r="Q589" t="str">
            <v/>
          </cell>
          <cell r="R589" t="e">
            <v>#N/A</v>
          </cell>
        </row>
        <row r="590">
          <cell r="A590">
            <v>40008</v>
          </cell>
          <cell r="B590">
            <v>40008</v>
          </cell>
          <cell r="C590" t="str">
            <v>Future</v>
          </cell>
          <cell r="D590" t="e">
            <v>#N/A</v>
          </cell>
          <cell r="E590">
            <v>30.334150197628421</v>
          </cell>
          <cell r="F590">
            <v>35.480395256917021</v>
          </cell>
          <cell r="G590">
            <v>34.255098814229143</v>
          </cell>
          <cell r="H590">
            <v>34.255098814229143</v>
          </cell>
          <cell r="I590" t="e">
            <v>#N/A</v>
          </cell>
          <cell r="J590" t="e">
            <v>#N/A</v>
          </cell>
          <cell r="K590" t="e">
            <v>#N/A</v>
          </cell>
          <cell r="L590" t="e">
            <v>#N/A</v>
          </cell>
          <cell r="M590" t="e">
            <v>#N/A</v>
          </cell>
          <cell r="N590" t="e">
            <v>#N/A</v>
          </cell>
          <cell r="O590" t="e">
            <v>#N/A</v>
          </cell>
          <cell r="P590">
            <v>34.65</v>
          </cell>
          <cell r="Q590" t="str">
            <v/>
          </cell>
          <cell r="R590" t="e">
            <v>#N/A</v>
          </cell>
        </row>
        <row r="591">
          <cell r="A591">
            <v>40009</v>
          </cell>
          <cell r="B591">
            <v>40009</v>
          </cell>
          <cell r="C591" t="str">
            <v>Future</v>
          </cell>
          <cell r="D591" t="e">
            <v>#N/A</v>
          </cell>
          <cell r="E591">
            <v>30.197509881422889</v>
          </cell>
          <cell r="F591">
            <v>35.509762845849828</v>
          </cell>
          <cell r="G591">
            <v>34.244940711462341</v>
          </cell>
          <cell r="H591">
            <v>34.244940711462341</v>
          </cell>
          <cell r="I591" t="e">
            <v>#N/A</v>
          </cell>
          <cell r="J591" t="e">
            <v>#N/A</v>
          </cell>
          <cell r="K591" t="e">
            <v>#N/A</v>
          </cell>
          <cell r="L591" t="e">
            <v>#N/A</v>
          </cell>
          <cell r="M591" t="e">
            <v>#N/A</v>
          </cell>
          <cell r="N591" t="e">
            <v>#N/A</v>
          </cell>
          <cell r="O591" t="e">
            <v>#N/A</v>
          </cell>
          <cell r="P591">
            <v>34.65</v>
          </cell>
          <cell r="Q591" t="str">
            <v/>
          </cell>
          <cell r="R591" t="e">
            <v>#N/A</v>
          </cell>
        </row>
        <row r="592">
          <cell r="A592">
            <v>40010</v>
          </cell>
          <cell r="B592">
            <v>40010</v>
          </cell>
          <cell r="C592" t="str">
            <v>Future</v>
          </cell>
          <cell r="D592" t="e">
            <v>#N/A</v>
          </cell>
          <cell r="E592">
            <v>30.060869565217356</v>
          </cell>
          <cell r="F592">
            <v>35.539130434782635</v>
          </cell>
          <cell r="G592">
            <v>34.234782608695539</v>
          </cell>
          <cell r="H592">
            <v>34.234782608695539</v>
          </cell>
          <cell r="I592" t="e">
            <v>#N/A</v>
          </cell>
          <cell r="J592" t="e">
            <v>#N/A</v>
          </cell>
          <cell r="K592" t="e">
            <v>#N/A</v>
          </cell>
          <cell r="L592" t="e">
            <v>#N/A</v>
          </cell>
          <cell r="M592" t="e">
            <v>#N/A</v>
          </cell>
          <cell r="N592" t="e">
            <v>#N/A</v>
          </cell>
          <cell r="O592" t="e">
            <v>#N/A</v>
          </cell>
          <cell r="P592">
            <v>34.65</v>
          </cell>
          <cell r="Q592" t="str">
            <v/>
          </cell>
          <cell r="R592" t="e">
            <v>#N/A</v>
          </cell>
        </row>
        <row r="593">
          <cell r="A593">
            <v>40011</v>
          </cell>
          <cell r="B593">
            <v>40011</v>
          </cell>
          <cell r="C593" t="str">
            <v>Future</v>
          </cell>
          <cell r="D593" t="e">
            <v>#N/A</v>
          </cell>
          <cell r="E593">
            <v>29.924229249011823</v>
          </cell>
          <cell r="F593">
            <v>35.568498023715442</v>
          </cell>
          <cell r="G593">
            <v>34.224624505928738</v>
          </cell>
          <cell r="H593">
            <v>34.224624505928738</v>
          </cell>
          <cell r="I593" t="e">
            <v>#N/A</v>
          </cell>
          <cell r="J593" t="e">
            <v>#N/A</v>
          </cell>
          <cell r="K593" t="e">
            <v>#N/A</v>
          </cell>
          <cell r="L593" t="e">
            <v>#N/A</v>
          </cell>
          <cell r="M593" t="e">
            <v>#N/A</v>
          </cell>
          <cell r="N593" t="e">
            <v>#N/A</v>
          </cell>
          <cell r="O593" t="e">
            <v>#N/A</v>
          </cell>
          <cell r="P593">
            <v>34.65</v>
          </cell>
          <cell r="Q593" t="str">
            <v/>
          </cell>
          <cell r="R593" t="e">
            <v>#N/A</v>
          </cell>
        </row>
        <row r="594">
          <cell r="A594">
            <v>40014</v>
          </cell>
          <cell r="B594">
            <v>40014</v>
          </cell>
          <cell r="C594" t="str">
            <v>Future</v>
          </cell>
          <cell r="D594" t="e">
            <v>#N/A</v>
          </cell>
          <cell r="E594">
            <v>29.78758893280629</v>
          </cell>
          <cell r="F594">
            <v>35.597865612648249</v>
          </cell>
          <cell r="G594">
            <v>34.214466403161936</v>
          </cell>
          <cell r="H594">
            <v>34.214466403161936</v>
          </cell>
          <cell r="I594" t="e">
            <v>#N/A</v>
          </cell>
          <cell r="J594" t="e">
            <v>#N/A</v>
          </cell>
          <cell r="K594" t="e">
            <v>#N/A</v>
          </cell>
          <cell r="L594" t="e">
            <v>#N/A</v>
          </cell>
          <cell r="M594" t="e">
            <v>#N/A</v>
          </cell>
          <cell r="N594" t="e">
            <v>#N/A</v>
          </cell>
          <cell r="O594" t="e">
            <v>#N/A</v>
          </cell>
          <cell r="P594">
            <v>34.65</v>
          </cell>
          <cell r="Q594" t="str">
            <v/>
          </cell>
          <cell r="R594" t="e">
            <v>#N/A</v>
          </cell>
        </row>
        <row r="595">
          <cell r="A595">
            <v>40015</v>
          </cell>
          <cell r="B595">
            <v>40015</v>
          </cell>
          <cell r="C595" t="str">
            <v>Future</v>
          </cell>
          <cell r="D595" t="e">
            <v>#N/A</v>
          </cell>
          <cell r="E595">
            <v>29.650948616600758</v>
          </cell>
          <cell r="F595">
            <v>35.627233201581056</v>
          </cell>
          <cell r="G595">
            <v>34.204308300395134</v>
          </cell>
          <cell r="H595">
            <v>34.204308300395134</v>
          </cell>
          <cell r="I595" t="e">
            <v>#N/A</v>
          </cell>
          <cell r="J595" t="e">
            <v>#N/A</v>
          </cell>
          <cell r="K595" t="e">
            <v>#N/A</v>
          </cell>
          <cell r="L595" t="e">
            <v>#N/A</v>
          </cell>
          <cell r="M595" t="e">
            <v>#N/A</v>
          </cell>
          <cell r="N595" t="e">
            <v>#N/A</v>
          </cell>
          <cell r="O595" t="e">
            <v>#N/A</v>
          </cell>
          <cell r="P595">
            <v>34.65</v>
          </cell>
          <cell r="Q595" t="str">
            <v/>
          </cell>
          <cell r="R595" t="e">
            <v>#N/A</v>
          </cell>
        </row>
        <row r="596">
          <cell r="A596">
            <v>40016</v>
          </cell>
          <cell r="B596">
            <v>40016</v>
          </cell>
          <cell r="C596" t="str">
            <v>Future</v>
          </cell>
          <cell r="D596" t="e">
            <v>#N/A</v>
          </cell>
          <cell r="E596">
            <v>29.514308300395225</v>
          </cell>
          <cell r="F596">
            <v>35.656600790513863</v>
          </cell>
          <cell r="G596">
            <v>34.194150197628332</v>
          </cell>
          <cell r="H596">
            <v>34.194150197628332</v>
          </cell>
          <cell r="I596" t="e">
            <v>#N/A</v>
          </cell>
          <cell r="J596" t="e">
            <v>#N/A</v>
          </cell>
          <cell r="K596" t="e">
            <v>#N/A</v>
          </cell>
          <cell r="L596" t="e">
            <v>#N/A</v>
          </cell>
          <cell r="M596" t="e">
            <v>#N/A</v>
          </cell>
          <cell r="N596" t="e">
            <v>#N/A</v>
          </cell>
          <cell r="O596" t="e">
            <v>#N/A</v>
          </cell>
          <cell r="P596">
            <v>34.65</v>
          </cell>
          <cell r="Q596" t="str">
            <v/>
          </cell>
          <cell r="R596" t="e">
            <v>#N/A</v>
          </cell>
        </row>
        <row r="597">
          <cell r="A597">
            <v>40017</v>
          </cell>
          <cell r="B597">
            <v>40017</v>
          </cell>
          <cell r="C597" t="str">
            <v>Future</v>
          </cell>
          <cell r="D597" t="e">
            <v>#N/A</v>
          </cell>
          <cell r="E597">
            <v>29.377667984189692</v>
          </cell>
          <cell r="F597">
            <v>35.68596837944667</v>
          </cell>
          <cell r="G597">
            <v>34.18399209486153</v>
          </cell>
          <cell r="H597">
            <v>34.18399209486153</v>
          </cell>
          <cell r="I597" t="e">
            <v>#N/A</v>
          </cell>
          <cell r="J597" t="e">
            <v>#N/A</v>
          </cell>
          <cell r="K597" t="e">
            <v>#N/A</v>
          </cell>
          <cell r="L597" t="e">
            <v>#N/A</v>
          </cell>
          <cell r="M597" t="e">
            <v>#N/A</v>
          </cell>
          <cell r="N597" t="e">
            <v>#N/A</v>
          </cell>
          <cell r="O597" t="e">
            <v>#N/A</v>
          </cell>
          <cell r="P597">
            <v>34.65</v>
          </cell>
          <cell r="Q597" t="str">
            <v/>
          </cell>
          <cell r="R597" t="e">
            <v>#N/A</v>
          </cell>
        </row>
        <row r="598">
          <cell r="A598">
            <v>40018</v>
          </cell>
          <cell r="B598">
            <v>40018</v>
          </cell>
          <cell r="C598" t="str">
            <v>Future</v>
          </cell>
          <cell r="D598" t="e">
            <v>#N/A</v>
          </cell>
          <cell r="E598">
            <v>29.241027667984159</v>
          </cell>
          <cell r="F598">
            <v>35.715335968379478</v>
          </cell>
          <cell r="G598">
            <v>34.173833992094728</v>
          </cell>
          <cell r="H598">
            <v>34.173833992094728</v>
          </cell>
          <cell r="I598" t="e">
            <v>#N/A</v>
          </cell>
          <cell r="J598" t="e">
            <v>#N/A</v>
          </cell>
          <cell r="K598" t="e">
            <v>#N/A</v>
          </cell>
          <cell r="L598" t="e">
            <v>#N/A</v>
          </cell>
          <cell r="M598" t="e">
            <v>#N/A</v>
          </cell>
          <cell r="N598" t="e">
            <v>#N/A</v>
          </cell>
          <cell r="O598" t="e">
            <v>#N/A</v>
          </cell>
          <cell r="P598">
            <v>34.65</v>
          </cell>
          <cell r="Q598" t="str">
            <v/>
          </cell>
          <cell r="R598" t="e">
            <v>#N/A</v>
          </cell>
        </row>
        <row r="599">
          <cell r="A599">
            <v>40021</v>
          </cell>
          <cell r="B599">
            <v>40021</v>
          </cell>
          <cell r="C599" t="str">
            <v>Future</v>
          </cell>
          <cell r="D599" t="e">
            <v>#N/A</v>
          </cell>
          <cell r="E599">
            <v>29.104387351778627</v>
          </cell>
          <cell r="F599">
            <v>35.744703557312285</v>
          </cell>
          <cell r="G599">
            <v>34.163675889327926</v>
          </cell>
          <cell r="H599">
            <v>34.163675889327926</v>
          </cell>
          <cell r="I599" t="e">
            <v>#N/A</v>
          </cell>
          <cell r="J599" t="e">
            <v>#N/A</v>
          </cell>
          <cell r="K599" t="e">
            <v>#N/A</v>
          </cell>
          <cell r="L599" t="e">
            <v>#N/A</v>
          </cell>
          <cell r="M599" t="e">
            <v>#N/A</v>
          </cell>
          <cell r="N599" t="e">
            <v>#N/A</v>
          </cell>
          <cell r="O599" t="e">
            <v>#N/A</v>
          </cell>
          <cell r="P599">
            <v>34.65</v>
          </cell>
          <cell r="Q599" t="str">
            <v/>
          </cell>
          <cell r="R599" t="e">
            <v>#N/A</v>
          </cell>
        </row>
        <row r="600">
          <cell r="A600">
            <v>40022</v>
          </cell>
          <cell r="B600">
            <v>40022</v>
          </cell>
          <cell r="C600" t="str">
            <v>Future</v>
          </cell>
          <cell r="D600" t="e">
            <v>#N/A</v>
          </cell>
          <cell r="E600">
            <v>28.967747035573094</v>
          </cell>
          <cell r="F600">
            <v>35.774071146245092</v>
          </cell>
          <cell r="G600">
            <v>34.153517786561125</v>
          </cell>
          <cell r="H600">
            <v>34.153517786561125</v>
          </cell>
          <cell r="I600" t="e">
            <v>#N/A</v>
          </cell>
          <cell r="J600" t="e">
            <v>#N/A</v>
          </cell>
          <cell r="K600" t="e">
            <v>#N/A</v>
          </cell>
          <cell r="L600" t="e">
            <v>#N/A</v>
          </cell>
          <cell r="M600" t="e">
            <v>#N/A</v>
          </cell>
          <cell r="N600" t="e">
            <v>#N/A</v>
          </cell>
          <cell r="O600" t="e">
            <v>#N/A</v>
          </cell>
          <cell r="P600">
            <v>34.65</v>
          </cell>
          <cell r="Q600" t="str">
            <v/>
          </cell>
          <cell r="R600" t="e">
            <v>#N/A</v>
          </cell>
        </row>
        <row r="601">
          <cell r="A601">
            <v>40023</v>
          </cell>
          <cell r="B601">
            <v>40023</v>
          </cell>
          <cell r="C601" t="str">
            <v>Future</v>
          </cell>
          <cell r="D601" t="e">
            <v>#N/A</v>
          </cell>
          <cell r="E601">
            <v>28.831106719367561</v>
          </cell>
          <cell r="F601">
            <v>35.803438735177899</v>
          </cell>
          <cell r="G601">
            <v>34.143359683794323</v>
          </cell>
          <cell r="H601">
            <v>34.143359683794323</v>
          </cell>
          <cell r="I601" t="e">
            <v>#N/A</v>
          </cell>
          <cell r="J601" t="e">
            <v>#N/A</v>
          </cell>
          <cell r="K601" t="e">
            <v>#N/A</v>
          </cell>
          <cell r="L601" t="e">
            <v>#N/A</v>
          </cell>
          <cell r="M601" t="e">
            <v>#N/A</v>
          </cell>
          <cell r="N601" t="e">
            <v>#N/A</v>
          </cell>
          <cell r="O601" t="e">
            <v>#N/A</v>
          </cell>
          <cell r="P601">
            <v>34.65</v>
          </cell>
          <cell r="Q601" t="str">
            <v/>
          </cell>
          <cell r="R601" t="e">
            <v>#N/A</v>
          </cell>
        </row>
        <row r="602">
          <cell r="A602">
            <v>40024</v>
          </cell>
          <cell r="B602">
            <v>40024</v>
          </cell>
          <cell r="C602" t="str">
            <v>Future</v>
          </cell>
          <cell r="D602" t="e">
            <v>#N/A</v>
          </cell>
          <cell r="E602">
            <v>28.694466403162028</v>
          </cell>
          <cell r="F602">
            <v>35.832806324110706</v>
          </cell>
          <cell r="G602">
            <v>34.133201581027521</v>
          </cell>
          <cell r="H602">
            <v>34.133201581027521</v>
          </cell>
          <cell r="I602" t="e">
            <v>#N/A</v>
          </cell>
          <cell r="J602" t="e">
            <v>#N/A</v>
          </cell>
          <cell r="K602" t="e">
            <v>#N/A</v>
          </cell>
          <cell r="L602" t="e">
            <v>#N/A</v>
          </cell>
          <cell r="M602" t="e">
            <v>#N/A</v>
          </cell>
          <cell r="N602" t="e">
            <v>#N/A</v>
          </cell>
          <cell r="O602" t="e">
            <v>#N/A</v>
          </cell>
          <cell r="P602">
            <v>34.65</v>
          </cell>
          <cell r="Q602" t="str">
            <v/>
          </cell>
          <cell r="R602" t="e">
            <v>#N/A</v>
          </cell>
        </row>
        <row r="603">
          <cell r="A603">
            <v>40025</v>
          </cell>
          <cell r="B603">
            <v>40025</v>
          </cell>
          <cell r="C603" t="str">
            <v>Future</v>
          </cell>
          <cell r="D603" t="e">
            <v>#N/A</v>
          </cell>
          <cell r="E603">
            <v>28.557826086956496</v>
          </cell>
          <cell r="F603">
            <v>35.862173913043513</v>
          </cell>
          <cell r="G603">
            <v>34.123043478260719</v>
          </cell>
          <cell r="H603">
            <v>34.123043478260719</v>
          </cell>
          <cell r="I603" t="e">
            <v>#N/A</v>
          </cell>
          <cell r="J603" t="e">
            <v>#N/A</v>
          </cell>
          <cell r="K603" t="e">
            <v>#N/A</v>
          </cell>
          <cell r="L603" t="e">
            <v>#N/A</v>
          </cell>
          <cell r="M603" t="e">
            <v>#N/A</v>
          </cell>
          <cell r="N603" t="e">
            <v>#N/A</v>
          </cell>
          <cell r="O603" t="e">
            <v>#N/A</v>
          </cell>
          <cell r="P603">
            <v>34.65</v>
          </cell>
          <cell r="Q603" t="str">
            <v/>
          </cell>
          <cell r="R603" t="e">
            <v>#N/A</v>
          </cell>
        </row>
        <row r="604">
          <cell r="A604">
            <v>40028</v>
          </cell>
          <cell r="B604">
            <v>40028</v>
          </cell>
          <cell r="C604" t="str">
            <v>Future</v>
          </cell>
          <cell r="D604" t="e">
            <v>#N/A</v>
          </cell>
          <cell r="E604">
            <v>28.421185770750963</v>
          </cell>
          <cell r="F604">
            <v>35.89154150197632</v>
          </cell>
          <cell r="G604">
            <v>34.112885375493917</v>
          </cell>
          <cell r="H604">
            <v>34.112885375493917</v>
          </cell>
          <cell r="I604" t="e">
            <v>#N/A</v>
          </cell>
          <cell r="J604" t="e">
            <v>#N/A</v>
          </cell>
          <cell r="K604" t="e">
            <v>#N/A</v>
          </cell>
          <cell r="L604" t="e">
            <v>#N/A</v>
          </cell>
          <cell r="M604" t="e">
            <v>#N/A</v>
          </cell>
          <cell r="N604" t="e">
            <v>#N/A</v>
          </cell>
          <cell r="O604" t="e">
            <v>#N/A</v>
          </cell>
          <cell r="P604">
            <v>34.65</v>
          </cell>
          <cell r="Q604" t="str">
            <v/>
          </cell>
          <cell r="R604" t="e">
            <v>#N/A</v>
          </cell>
        </row>
        <row r="605">
          <cell r="A605">
            <v>40029</v>
          </cell>
          <cell r="B605">
            <v>40029</v>
          </cell>
          <cell r="C605" t="str">
            <v>Future</v>
          </cell>
          <cell r="D605" t="e">
            <v>#N/A</v>
          </cell>
          <cell r="E605">
            <v>28.28454545454543</v>
          </cell>
          <cell r="F605">
            <v>35.920909090909127</v>
          </cell>
          <cell r="G605">
            <v>34.102727272727115</v>
          </cell>
          <cell r="H605">
            <v>34.102727272727115</v>
          </cell>
          <cell r="I605" t="e">
            <v>#N/A</v>
          </cell>
          <cell r="J605" t="e">
            <v>#N/A</v>
          </cell>
          <cell r="K605" t="e">
            <v>#N/A</v>
          </cell>
          <cell r="L605" t="e">
            <v>#N/A</v>
          </cell>
          <cell r="M605" t="e">
            <v>#N/A</v>
          </cell>
          <cell r="N605" t="e">
            <v>#N/A</v>
          </cell>
          <cell r="O605" t="e">
            <v>#N/A</v>
          </cell>
          <cell r="P605">
            <v>34.65</v>
          </cell>
          <cell r="Q605" t="str">
            <v/>
          </cell>
          <cell r="R605" t="e">
            <v>#N/A</v>
          </cell>
        </row>
        <row r="606">
          <cell r="A606">
            <v>40030</v>
          </cell>
          <cell r="B606">
            <v>40030</v>
          </cell>
          <cell r="C606" t="str">
            <v>Future</v>
          </cell>
          <cell r="D606" t="e">
            <v>#N/A</v>
          </cell>
          <cell r="E606">
            <v>28.147905138339897</v>
          </cell>
          <cell r="F606">
            <v>35.950276679841934</v>
          </cell>
          <cell r="G606">
            <v>34.092569169960314</v>
          </cell>
          <cell r="H606">
            <v>34.092569169960314</v>
          </cell>
          <cell r="I606" t="e">
            <v>#N/A</v>
          </cell>
          <cell r="J606" t="e">
            <v>#N/A</v>
          </cell>
          <cell r="K606" t="e">
            <v>#N/A</v>
          </cell>
          <cell r="L606" t="e">
            <v>#N/A</v>
          </cell>
          <cell r="M606" t="e">
            <v>#N/A</v>
          </cell>
          <cell r="N606" t="e">
            <v>#N/A</v>
          </cell>
          <cell r="O606" t="e">
            <v>#N/A</v>
          </cell>
          <cell r="P606">
            <v>34.65</v>
          </cell>
          <cell r="Q606" t="str">
            <v/>
          </cell>
          <cell r="R606" t="e">
            <v>#N/A</v>
          </cell>
        </row>
        <row r="607">
          <cell r="A607">
            <v>40031</v>
          </cell>
          <cell r="B607">
            <v>40031</v>
          </cell>
          <cell r="C607" t="str">
            <v>Future</v>
          </cell>
          <cell r="D607" t="e">
            <v>#N/A</v>
          </cell>
          <cell r="E607">
            <v>28.011264822134365</v>
          </cell>
          <cell r="F607">
            <v>35.979644268774742</v>
          </cell>
          <cell r="G607">
            <v>34.082411067193512</v>
          </cell>
          <cell r="H607">
            <v>34.082411067193512</v>
          </cell>
          <cell r="I607" t="e">
            <v>#N/A</v>
          </cell>
          <cell r="J607" t="e">
            <v>#N/A</v>
          </cell>
          <cell r="K607" t="e">
            <v>#N/A</v>
          </cell>
          <cell r="L607" t="e">
            <v>#N/A</v>
          </cell>
          <cell r="M607" t="e">
            <v>#N/A</v>
          </cell>
          <cell r="N607" t="e">
            <v>#N/A</v>
          </cell>
          <cell r="O607" t="e">
            <v>#N/A</v>
          </cell>
          <cell r="P607">
            <v>34.65</v>
          </cell>
          <cell r="Q607" t="str">
            <v/>
          </cell>
          <cell r="R607" t="e">
            <v>#N/A</v>
          </cell>
        </row>
        <row r="608">
          <cell r="A608">
            <v>40032</v>
          </cell>
          <cell r="B608">
            <v>40032</v>
          </cell>
          <cell r="C608" t="str">
            <v>Future</v>
          </cell>
          <cell r="D608" t="e">
            <v>#N/A</v>
          </cell>
          <cell r="E608">
            <v>27.874624505928832</v>
          </cell>
          <cell r="F608">
            <v>36.009011857707549</v>
          </cell>
          <cell r="G608">
            <v>34.07225296442671</v>
          </cell>
          <cell r="H608">
            <v>34.07225296442671</v>
          </cell>
          <cell r="I608" t="e">
            <v>#N/A</v>
          </cell>
          <cell r="J608" t="e">
            <v>#N/A</v>
          </cell>
          <cell r="K608" t="e">
            <v>#N/A</v>
          </cell>
          <cell r="L608" t="e">
            <v>#N/A</v>
          </cell>
          <cell r="M608" t="e">
            <v>#N/A</v>
          </cell>
          <cell r="N608" t="e">
            <v>#N/A</v>
          </cell>
          <cell r="O608" t="e">
            <v>#N/A</v>
          </cell>
          <cell r="P608">
            <v>34.65</v>
          </cell>
          <cell r="Q608" t="str">
            <v/>
          </cell>
          <cell r="R608" t="e">
            <v>#N/A</v>
          </cell>
        </row>
        <row r="609">
          <cell r="A609">
            <v>40035</v>
          </cell>
          <cell r="B609">
            <v>40035</v>
          </cell>
          <cell r="C609" t="str">
            <v>Future</v>
          </cell>
          <cell r="D609" t="e">
            <v>#N/A</v>
          </cell>
          <cell r="E609">
            <v>27.737984189723299</v>
          </cell>
          <cell r="F609">
            <v>36.038379446640356</v>
          </cell>
          <cell r="G609">
            <v>34.062094861659908</v>
          </cell>
          <cell r="H609">
            <v>34.062094861659908</v>
          </cell>
          <cell r="I609" t="e">
            <v>#N/A</v>
          </cell>
          <cell r="J609" t="e">
            <v>#N/A</v>
          </cell>
          <cell r="K609" t="e">
            <v>#N/A</v>
          </cell>
          <cell r="L609" t="e">
            <v>#N/A</v>
          </cell>
          <cell r="M609" t="e">
            <v>#N/A</v>
          </cell>
          <cell r="N609" t="e">
            <v>#N/A</v>
          </cell>
          <cell r="O609" t="e">
            <v>#N/A</v>
          </cell>
          <cell r="P609">
            <v>34.65</v>
          </cell>
          <cell r="Q609" t="str">
            <v/>
          </cell>
          <cell r="R609" t="e">
            <v>#N/A</v>
          </cell>
        </row>
        <row r="610">
          <cell r="A610">
            <v>40036</v>
          </cell>
          <cell r="B610">
            <v>40036</v>
          </cell>
          <cell r="C610" t="str">
            <v>Future</v>
          </cell>
          <cell r="D610" t="e">
            <v>#N/A</v>
          </cell>
          <cell r="E610">
            <v>27.601343873517767</v>
          </cell>
          <cell r="F610">
            <v>36.067747035573163</v>
          </cell>
          <cell r="G610">
            <v>34.051936758893106</v>
          </cell>
          <cell r="H610">
            <v>34.051936758893106</v>
          </cell>
          <cell r="I610" t="e">
            <v>#N/A</v>
          </cell>
          <cell r="J610" t="e">
            <v>#N/A</v>
          </cell>
          <cell r="K610" t="e">
            <v>#N/A</v>
          </cell>
          <cell r="L610" t="e">
            <v>#N/A</v>
          </cell>
          <cell r="M610" t="e">
            <v>#N/A</v>
          </cell>
          <cell r="N610" t="e">
            <v>#N/A</v>
          </cell>
          <cell r="O610" t="e">
            <v>#N/A</v>
          </cell>
          <cell r="P610">
            <v>34.65</v>
          </cell>
          <cell r="Q610" t="str">
            <v/>
          </cell>
          <cell r="R610" t="e">
            <v>#N/A</v>
          </cell>
        </row>
        <row r="611">
          <cell r="A611">
            <v>40037</v>
          </cell>
          <cell r="B611">
            <v>40037</v>
          </cell>
          <cell r="C611" t="str">
            <v>Future</v>
          </cell>
          <cell r="D611" t="e">
            <v>#N/A</v>
          </cell>
          <cell r="E611">
            <v>27.464703557312234</v>
          </cell>
          <cell r="F611">
            <v>36.09711462450597</v>
          </cell>
          <cell r="G611">
            <v>34.041778656126304</v>
          </cell>
          <cell r="H611">
            <v>34.041778656126304</v>
          </cell>
          <cell r="I611" t="e">
            <v>#N/A</v>
          </cell>
          <cell r="J611" t="e">
            <v>#N/A</v>
          </cell>
          <cell r="K611" t="e">
            <v>#N/A</v>
          </cell>
          <cell r="L611" t="e">
            <v>#N/A</v>
          </cell>
          <cell r="M611" t="e">
            <v>#N/A</v>
          </cell>
          <cell r="N611" t="e">
            <v>#N/A</v>
          </cell>
          <cell r="O611" t="e">
            <v>#N/A</v>
          </cell>
          <cell r="P611">
            <v>34.65</v>
          </cell>
          <cell r="Q611" t="str">
            <v/>
          </cell>
          <cell r="R611" t="e">
            <v>#N/A</v>
          </cell>
        </row>
        <row r="612">
          <cell r="A612">
            <v>40038</v>
          </cell>
          <cell r="B612">
            <v>40038</v>
          </cell>
          <cell r="C612" t="str">
            <v>Future</v>
          </cell>
          <cell r="D612" t="e">
            <v>#N/A</v>
          </cell>
          <cell r="E612">
            <v>27.328063241106701</v>
          </cell>
          <cell r="F612">
            <v>36.126482213438777</v>
          </cell>
          <cell r="G612">
            <v>34.031620553359502</v>
          </cell>
          <cell r="H612">
            <v>34.031620553359502</v>
          </cell>
          <cell r="I612" t="e">
            <v>#N/A</v>
          </cell>
          <cell r="J612" t="e">
            <v>#N/A</v>
          </cell>
          <cell r="K612" t="e">
            <v>#N/A</v>
          </cell>
          <cell r="L612" t="e">
            <v>#N/A</v>
          </cell>
          <cell r="M612" t="e">
            <v>#N/A</v>
          </cell>
          <cell r="N612" t="e">
            <v>#N/A</v>
          </cell>
          <cell r="O612" t="e">
            <v>#N/A</v>
          </cell>
          <cell r="P612">
            <v>34.65</v>
          </cell>
          <cell r="Q612" t="str">
            <v/>
          </cell>
          <cell r="R612" t="e">
            <v>#N/A</v>
          </cell>
        </row>
        <row r="613">
          <cell r="A613">
            <v>40039</v>
          </cell>
          <cell r="B613">
            <v>40039</v>
          </cell>
          <cell r="C613" t="str">
            <v>Future</v>
          </cell>
          <cell r="D613" t="e">
            <v>#N/A</v>
          </cell>
          <cell r="E613">
            <v>27.191422924901168</v>
          </cell>
          <cell r="F613">
            <v>36.155849802371584</v>
          </cell>
          <cell r="G613">
            <v>34.021462450592701</v>
          </cell>
          <cell r="H613">
            <v>34.021462450592701</v>
          </cell>
          <cell r="I613" t="e">
            <v>#N/A</v>
          </cell>
          <cell r="J613" t="e">
            <v>#N/A</v>
          </cell>
          <cell r="K613" t="e">
            <v>#N/A</v>
          </cell>
          <cell r="L613" t="e">
            <v>#N/A</v>
          </cell>
          <cell r="M613" t="e">
            <v>#N/A</v>
          </cell>
          <cell r="N613" t="e">
            <v>#N/A</v>
          </cell>
          <cell r="O613" t="e">
            <v>#N/A</v>
          </cell>
          <cell r="P613">
            <v>34.65</v>
          </cell>
          <cell r="Q613" t="str">
            <v/>
          </cell>
          <cell r="R613" t="e">
            <v>#N/A</v>
          </cell>
        </row>
        <row r="614">
          <cell r="A614">
            <v>40042</v>
          </cell>
          <cell r="B614">
            <v>40042</v>
          </cell>
          <cell r="C614" t="str">
            <v>Future</v>
          </cell>
          <cell r="D614" t="e">
            <v>#N/A</v>
          </cell>
          <cell r="E614">
            <v>27.054782608695636</v>
          </cell>
          <cell r="F614">
            <v>36.185217391304391</v>
          </cell>
          <cell r="G614">
            <v>34.011304347825899</v>
          </cell>
          <cell r="H614">
            <v>34.011304347825899</v>
          </cell>
          <cell r="I614" t="e">
            <v>#N/A</v>
          </cell>
          <cell r="J614" t="e">
            <v>#N/A</v>
          </cell>
          <cell r="K614" t="e">
            <v>#N/A</v>
          </cell>
          <cell r="L614" t="e">
            <v>#N/A</v>
          </cell>
          <cell r="M614" t="e">
            <v>#N/A</v>
          </cell>
          <cell r="N614" t="e">
            <v>#N/A</v>
          </cell>
          <cell r="O614" t="e">
            <v>#N/A</v>
          </cell>
          <cell r="P614">
            <v>34.65</v>
          </cell>
          <cell r="Q614" t="str">
            <v/>
          </cell>
          <cell r="R614" t="e">
            <v>#N/A</v>
          </cell>
        </row>
        <row r="615">
          <cell r="A615">
            <v>40043</v>
          </cell>
          <cell r="B615">
            <v>40043</v>
          </cell>
          <cell r="C615" t="str">
            <v>Future</v>
          </cell>
          <cell r="D615" t="e">
            <v>#N/A</v>
          </cell>
          <cell r="E615">
            <v>26.918142292490103</v>
          </cell>
          <cell r="F615">
            <v>36.214584980237198</v>
          </cell>
          <cell r="G615">
            <v>34.001146245059097</v>
          </cell>
          <cell r="H615">
            <v>34.001146245059097</v>
          </cell>
          <cell r="I615" t="e">
            <v>#N/A</v>
          </cell>
          <cell r="J615" t="e">
            <v>#N/A</v>
          </cell>
          <cell r="K615" t="e">
            <v>#N/A</v>
          </cell>
          <cell r="L615" t="e">
            <v>#N/A</v>
          </cell>
          <cell r="M615" t="e">
            <v>#N/A</v>
          </cell>
          <cell r="N615" t="e">
            <v>#N/A</v>
          </cell>
          <cell r="O615" t="e">
            <v>#N/A</v>
          </cell>
          <cell r="P615">
            <v>34.65</v>
          </cell>
          <cell r="Q615" t="str">
            <v/>
          </cell>
          <cell r="R615" t="e">
            <v>#N/A</v>
          </cell>
        </row>
        <row r="616">
          <cell r="A616">
            <v>40044</v>
          </cell>
          <cell r="B616">
            <v>40044</v>
          </cell>
          <cell r="C616" t="str">
            <v>Future</v>
          </cell>
          <cell r="D616" t="e">
            <v>#N/A</v>
          </cell>
          <cell r="E616">
            <v>26.78150197628457</v>
          </cell>
          <cell r="F616">
            <v>36.243952569170006</v>
          </cell>
          <cell r="G616">
            <v>33.990988142292295</v>
          </cell>
          <cell r="H616">
            <v>33.990988142292295</v>
          </cell>
          <cell r="I616" t="e">
            <v>#N/A</v>
          </cell>
          <cell r="J616" t="e">
            <v>#N/A</v>
          </cell>
          <cell r="K616" t="e">
            <v>#N/A</v>
          </cell>
          <cell r="L616" t="e">
            <v>#N/A</v>
          </cell>
          <cell r="M616" t="e">
            <v>#N/A</v>
          </cell>
          <cell r="N616" t="e">
            <v>#N/A</v>
          </cell>
          <cell r="O616" t="e">
            <v>#N/A</v>
          </cell>
          <cell r="P616">
            <v>34.65</v>
          </cell>
          <cell r="Q616" t="str">
            <v/>
          </cell>
          <cell r="R616" t="e">
            <v>#N/A</v>
          </cell>
        </row>
        <row r="617">
          <cell r="A617">
            <v>40045</v>
          </cell>
          <cell r="B617">
            <v>40045</v>
          </cell>
          <cell r="C617" t="str">
            <v>Future</v>
          </cell>
          <cell r="D617" t="e">
            <v>#N/A</v>
          </cell>
          <cell r="E617">
            <v>26.644861660079037</v>
          </cell>
          <cell r="F617">
            <v>36.273320158102813</v>
          </cell>
          <cell r="G617">
            <v>33.980830039525493</v>
          </cell>
          <cell r="H617">
            <v>33.980830039525493</v>
          </cell>
          <cell r="I617" t="e">
            <v>#N/A</v>
          </cell>
          <cell r="J617" t="e">
            <v>#N/A</v>
          </cell>
          <cell r="K617" t="e">
            <v>#N/A</v>
          </cell>
          <cell r="L617" t="e">
            <v>#N/A</v>
          </cell>
          <cell r="M617" t="e">
            <v>#N/A</v>
          </cell>
          <cell r="N617" t="e">
            <v>#N/A</v>
          </cell>
          <cell r="O617" t="e">
            <v>#N/A</v>
          </cell>
          <cell r="P617">
            <v>34.65</v>
          </cell>
          <cell r="Q617" t="str">
            <v/>
          </cell>
          <cell r="R617" t="e">
            <v>#N/A</v>
          </cell>
        </row>
        <row r="618">
          <cell r="A618">
            <v>40046</v>
          </cell>
          <cell r="B618">
            <v>40046</v>
          </cell>
          <cell r="C618" t="str">
            <v>Future</v>
          </cell>
          <cell r="D618" t="e">
            <v>#N/A</v>
          </cell>
          <cell r="E618">
            <v>26.508221343873505</v>
          </cell>
          <cell r="F618">
            <v>36.30268774703562</v>
          </cell>
          <cell r="G618">
            <v>33.970671936758691</v>
          </cell>
          <cell r="H618">
            <v>33.970671936758691</v>
          </cell>
          <cell r="I618" t="e">
            <v>#N/A</v>
          </cell>
          <cell r="J618" t="e">
            <v>#N/A</v>
          </cell>
          <cell r="K618" t="e">
            <v>#N/A</v>
          </cell>
          <cell r="L618" t="e">
            <v>#N/A</v>
          </cell>
          <cell r="M618" t="e">
            <v>#N/A</v>
          </cell>
          <cell r="N618" t="e">
            <v>#N/A</v>
          </cell>
          <cell r="O618" t="e">
            <v>#N/A</v>
          </cell>
          <cell r="P618">
            <v>34.65</v>
          </cell>
          <cell r="Q618" t="str">
            <v/>
          </cell>
          <cell r="R618" t="e">
            <v>#N/A</v>
          </cell>
        </row>
        <row r="619">
          <cell r="A619">
            <v>40049</v>
          </cell>
          <cell r="B619">
            <v>40049</v>
          </cell>
          <cell r="C619" t="str">
            <v>Future</v>
          </cell>
          <cell r="D619" t="e">
            <v>#N/A</v>
          </cell>
          <cell r="E619">
            <v>26.371581027667972</v>
          </cell>
          <cell r="F619">
            <v>36.332055335968427</v>
          </cell>
          <cell r="G619">
            <v>33.960513833991889</v>
          </cell>
          <cell r="H619">
            <v>33.960513833991889</v>
          </cell>
          <cell r="I619" t="e">
            <v>#N/A</v>
          </cell>
          <cell r="J619" t="e">
            <v>#N/A</v>
          </cell>
          <cell r="K619" t="e">
            <v>#N/A</v>
          </cell>
          <cell r="L619" t="e">
            <v>#N/A</v>
          </cell>
          <cell r="M619" t="e">
            <v>#N/A</v>
          </cell>
          <cell r="N619" t="e">
            <v>#N/A</v>
          </cell>
          <cell r="O619" t="e">
            <v>#N/A</v>
          </cell>
          <cell r="P619">
            <v>34.65</v>
          </cell>
          <cell r="Q619" t="str">
            <v/>
          </cell>
          <cell r="R619" t="e">
            <v>#N/A</v>
          </cell>
        </row>
        <row r="620">
          <cell r="A620">
            <v>40050</v>
          </cell>
          <cell r="B620">
            <v>40050</v>
          </cell>
          <cell r="C620" t="str">
            <v>Future</v>
          </cell>
          <cell r="D620" t="e">
            <v>#N/A</v>
          </cell>
          <cell r="E620">
            <v>26.234940711462439</v>
          </cell>
          <cell r="F620">
            <v>36.361422924901234</v>
          </cell>
          <cell r="G620">
            <v>33.950355731225088</v>
          </cell>
          <cell r="H620">
            <v>33.950355731225088</v>
          </cell>
          <cell r="I620" t="e">
            <v>#N/A</v>
          </cell>
          <cell r="J620" t="e">
            <v>#N/A</v>
          </cell>
          <cell r="K620" t="e">
            <v>#N/A</v>
          </cell>
          <cell r="L620" t="e">
            <v>#N/A</v>
          </cell>
          <cell r="M620" t="e">
            <v>#N/A</v>
          </cell>
          <cell r="N620" t="e">
            <v>#N/A</v>
          </cell>
          <cell r="O620" t="e">
            <v>#N/A</v>
          </cell>
          <cell r="P620">
            <v>34.65</v>
          </cell>
          <cell r="Q620" t="str">
            <v/>
          </cell>
          <cell r="R620" t="e">
            <v>#N/A</v>
          </cell>
        </row>
        <row r="621">
          <cell r="A621">
            <v>40051</v>
          </cell>
          <cell r="B621">
            <v>40051</v>
          </cell>
          <cell r="C621" t="str">
            <v>Future</v>
          </cell>
          <cell r="D621" t="e">
            <v>#N/A</v>
          </cell>
          <cell r="E621">
            <v>26.098300395256906</v>
          </cell>
          <cell r="F621">
            <v>36.390790513834041</v>
          </cell>
          <cell r="G621">
            <v>33.940197628458286</v>
          </cell>
          <cell r="H621">
            <v>33.940197628458286</v>
          </cell>
          <cell r="I621" t="e">
            <v>#N/A</v>
          </cell>
          <cell r="J621" t="e">
            <v>#N/A</v>
          </cell>
          <cell r="K621" t="e">
            <v>#N/A</v>
          </cell>
          <cell r="L621" t="e">
            <v>#N/A</v>
          </cell>
          <cell r="M621" t="e">
            <v>#N/A</v>
          </cell>
          <cell r="N621" t="e">
            <v>#N/A</v>
          </cell>
          <cell r="O621" t="e">
            <v>#N/A</v>
          </cell>
          <cell r="P621">
            <v>34.65</v>
          </cell>
          <cell r="Q621" t="str">
            <v/>
          </cell>
          <cell r="R621" t="e">
            <v>#N/A</v>
          </cell>
        </row>
        <row r="622">
          <cell r="A622">
            <v>40052</v>
          </cell>
          <cell r="B622">
            <v>40052</v>
          </cell>
          <cell r="C622" t="str">
            <v>Future</v>
          </cell>
          <cell r="D622" t="e">
            <v>#N/A</v>
          </cell>
          <cell r="E622">
            <v>25.961660079051374</v>
          </cell>
          <cell r="F622">
            <v>36.420158102766848</v>
          </cell>
          <cell r="G622">
            <v>33.930039525691484</v>
          </cell>
          <cell r="H622">
            <v>33.930039525691484</v>
          </cell>
          <cell r="I622" t="e">
            <v>#N/A</v>
          </cell>
          <cell r="J622" t="e">
            <v>#N/A</v>
          </cell>
          <cell r="K622" t="e">
            <v>#N/A</v>
          </cell>
          <cell r="L622" t="e">
            <v>#N/A</v>
          </cell>
          <cell r="M622" t="e">
            <v>#N/A</v>
          </cell>
          <cell r="N622" t="e">
            <v>#N/A</v>
          </cell>
          <cell r="O622" t="e">
            <v>#N/A</v>
          </cell>
          <cell r="P622">
            <v>34.65</v>
          </cell>
          <cell r="Q622" t="str">
            <v/>
          </cell>
          <cell r="R622" t="e">
            <v>#N/A</v>
          </cell>
        </row>
        <row r="623">
          <cell r="A623">
            <v>40053</v>
          </cell>
          <cell r="B623">
            <v>40053</v>
          </cell>
          <cell r="C623" t="str">
            <v>Future</v>
          </cell>
          <cell r="D623" t="e">
            <v>#N/A</v>
          </cell>
          <cell r="E623">
            <v>25.825019762845841</v>
          </cell>
          <cell r="F623">
            <v>36.449525691699655</v>
          </cell>
          <cell r="G623">
            <v>33.919881422924682</v>
          </cell>
          <cell r="H623">
            <v>33.919881422924682</v>
          </cell>
          <cell r="I623" t="e">
            <v>#N/A</v>
          </cell>
          <cell r="J623" t="e">
            <v>#N/A</v>
          </cell>
          <cell r="K623" t="e">
            <v>#N/A</v>
          </cell>
          <cell r="L623" t="e">
            <v>#N/A</v>
          </cell>
          <cell r="M623" t="e">
            <v>#N/A</v>
          </cell>
          <cell r="N623" t="e">
            <v>#N/A</v>
          </cell>
          <cell r="O623" t="e">
            <v>#N/A</v>
          </cell>
          <cell r="P623">
            <v>34.65</v>
          </cell>
          <cell r="Q623" t="str">
            <v/>
          </cell>
          <cell r="R623" t="e">
            <v>#N/A</v>
          </cell>
        </row>
        <row r="624">
          <cell r="A624">
            <v>40056</v>
          </cell>
          <cell r="B624">
            <v>40056</v>
          </cell>
          <cell r="C624" t="str">
            <v>Future</v>
          </cell>
          <cell r="D624" t="e">
            <v>#N/A</v>
          </cell>
          <cell r="E624">
            <v>25.688379446640308</v>
          </cell>
          <cell r="F624">
            <v>36.478893280632462</v>
          </cell>
          <cell r="G624">
            <v>33.90972332015788</v>
          </cell>
          <cell r="H624">
            <v>33.90972332015788</v>
          </cell>
          <cell r="I624" t="e">
            <v>#N/A</v>
          </cell>
          <cell r="J624" t="e">
            <v>#N/A</v>
          </cell>
          <cell r="K624" t="e">
            <v>#N/A</v>
          </cell>
          <cell r="L624" t="e">
            <v>#N/A</v>
          </cell>
          <cell r="M624" t="e">
            <v>#N/A</v>
          </cell>
          <cell r="N624" t="e">
            <v>#N/A</v>
          </cell>
          <cell r="O624" t="e">
            <v>#N/A</v>
          </cell>
          <cell r="P624">
            <v>34.65</v>
          </cell>
          <cell r="Q624" t="str">
            <v/>
          </cell>
          <cell r="R624" t="e">
            <v>#N/A</v>
          </cell>
        </row>
        <row r="625">
          <cell r="A625">
            <v>40057</v>
          </cell>
          <cell r="B625">
            <v>40057</v>
          </cell>
          <cell r="C625" t="str">
            <v>Future</v>
          </cell>
          <cell r="D625" t="e">
            <v>#N/A</v>
          </cell>
          <cell r="E625">
            <v>25.551739130434775</v>
          </cell>
          <cell r="F625">
            <v>36.50826086956527</v>
          </cell>
          <cell r="G625">
            <v>33.899565217391078</v>
          </cell>
          <cell r="H625">
            <v>33.899565217391078</v>
          </cell>
          <cell r="I625" t="e">
            <v>#N/A</v>
          </cell>
          <cell r="J625" t="e">
            <v>#N/A</v>
          </cell>
          <cell r="K625" t="e">
            <v>#N/A</v>
          </cell>
          <cell r="L625" t="e">
            <v>#N/A</v>
          </cell>
          <cell r="M625" t="e">
            <v>#N/A</v>
          </cell>
          <cell r="N625" t="e">
            <v>#N/A</v>
          </cell>
          <cell r="O625" t="e">
            <v>#N/A</v>
          </cell>
          <cell r="P625">
            <v>34.65</v>
          </cell>
          <cell r="Q625" t="str">
            <v/>
          </cell>
          <cell r="R625" t="e">
            <v>#N/A</v>
          </cell>
        </row>
        <row r="626">
          <cell r="A626">
            <v>40058</v>
          </cell>
          <cell r="B626">
            <v>40058</v>
          </cell>
          <cell r="C626" t="str">
            <v>Future</v>
          </cell>
          <cell r="D626" t="e">
            <v>#N/A</v>
          </cell>
          <cell r="E626">
            <v>25.415098814229243</v>
          </cell>
          <cell r="F626">
            <v>36.537628458498077</v>
          </cell>
          <cell r="G626">
            <v>33.889407114624277</v>
          </cell>
          <cell r="H626">
            <v>33.889407114624277</v>
          </cell>
          <cell r="I626" t="e">
            <v>#N/A</v>
          </cell>
          <cell r="J626" t="e">
            <v>#N/A</v>
          </cell>
          <cell r="K626" t="e">
            <v>#N/A</v>
          </cell>
          <cell r="L626" t="e">
            <v>#N/A</v>
          </cell>
          <cell r="M626" t="e">
            <v>#N/A</v>
          </cell>
          <cell r="N626" t="e">
            <v>#N/A</v>
          </cell>
          <cell r="O626" t="e">
            <v>#N/A</v>
          </cell>
          <cell r="P626">
            <v>34.65</v>
          </cell>
          <cell r="Q626" t="str">
            <v/>
          </cell>
          <cell r="R626" t="e">
            <v>#N/A</v>
          </cell>
        </row>
        <row r="627">
          <cell r="A627">
            <v>40059</v>
          </cell>
          <cell r="B627">
            <v>40059</v>
          </cell>
          <cell r="C627" t="str">
            <v>Future</v>
          </cell>
          <cell r="D627" t="e">
            <v>#N/A</v>
          </cell>
          <cell r="E627">
            <v>25.27845849802371</v>
          </cell>
          <cell r="F627">
            <v>36.566996047430884</v>
          </cell>
          <cell r="G627">
            <v>33.879249011857475</v>
          </cell>
          <cell r="H627">
            <v>33.879249011857475</v>
          </cell>
          <cell r="I627" t="e">
            <v>#N/A</v>
          </cell>
          <cell r="J627" t="e">
            <v>#N/A</v>
          </cell>
          <cell r="K627" t="e">
            <v>#N/A</v>
          </cell>
          <cell r="L627" t="e">
            <v>#N/A</v>
          </cell>
          <cell r="M627" t="e">
            <v>#N/A</v>
          </cell>
          <cell r="N627" t="e">
            <v>#N/A</v>
          </cell>
          <cell r="O627" t="e">
            <v>#N/A</v>
          </cell>
          <cell r="P627">
            <v>34.65</v>
          </cell>
          <cell r="Q627" t="str">
            <v/>
          </cell>
          <cell r="R627" t="e">
            <v>#N/A</v>
          </cell>
        </row>
        <row r="628">
          <cell r="A628">
            <v>40060</v>
          </cell>
          <cell r="B628">
            <v>40060</v>
          </cell>
          <cell r="C628" t="str">
            <v>Future</v>
          </cell>
          <cell r="D628" t="e">
            <v>#N/A</v>
          </cell>
          <cell r="E628">
            <v>25.141818181818177</v>
          </cell>
          <cell r="F628">
            <v>36.596363636363691</v>
          </cell>
          <cell r="G628">
            <v>33.869090909090673</v>
          </cell>
          <cell r="H628">
            <v>33.869090909090673</v>
          </cell>
          <cell r="I628" t="e">
            <v>#N/A</v>
          </cell>
          <cell r="J628" t="e">
            <v>#N/A</v>
          </cell>
          <cell r="K628" t="e">
            <v>#N/A</v>
          </cell>
          <cell r="L628" t="e">
            <v>#N/A</v>
          </cell>
          <cell r="M628" t="e">
            <v>#N/A</v>
          </cell>
          <cell r="N628" t="e">
            <v>#N/A</v>
          </cell>
          <cell r="O628" t="e">
            <v>#N/A</v>
          </cell>
          <cell r="P628">
            <v>34.65</v>
          </cell>
          <cell r="Q628" t="str">
            <v/>
          </cell>
          <cell r="R628" t="e">
            <v>#N/A</v>
          </cell>
        </row>
        <row r="629">
          <cell r="A629">
            <v>40064</v>
          </cell>
          <cell r="B629">
            <v>40064</v>
          </cell>
          <cell r="C629" t="str">
            <v>Future</v>
          </cell>
          <cell r="D629" t="e">
            <v>#N/A</v>
          </cell>
          <cell r="E629">
            <v>25.005177865612644</v>
          </cell>
          <cell r="F629">
            <v>36.625731225296498</v>
          </cell>
          <cell r="G629">
            <v>33.858932806323871</v>
          </cell>
          <cell r="H629">
            <v>33.858932806323871</v>
          </cell>
          <cell r="I629" t="e">
            <v>#N/A</v>
          </cell>
          <cell r="J629" t="e">
            <v>#N/A</v>
          </cell>
          <cell r="K629" t="e">
            <v>#N/A</v>
          </cell>
          <cell r="L629" t="e">
            <v>#N/A</v>
          </cell>
          <cell r="M629" t="e">
            <v>#N/A</v>
          </cell>
          <cell r="N629" t="e">
            <v>#N/A</v>
          </cell>
          <cell r="O629" t="e">
            <v>#N/A</v>
          </cell>
          <cell r="P629">
            <v>34.65</v>
          </cell>
          <cell r="Q629" t="str">
            <v/>
          </cell>
          <cell r="R629" t="e">
            <v>#N/A</v>
          </cell>
        </row>
        <row r="630">
          <cell r="A630">
            <v>40065</v>
          </cell>
          <cell r="B630">
            <v>40065</v>
          </cell>
          <cell r="C630" t="str">
            <v>Future</v>
          </cell>
          <cell r="D630" t="e">
            <v>#N/A</v>
          </cell>
          <cell r="E630">
            <v>24.868537549407112</v>
          </cell>
          <cell r="F630">
            <v>36.655098814229305</v>
          </cell>
          <cell r="G630">
            <v>33.848774703557069</v>
          </cell>
          <cell r="H630">
            <v>33.848774703557069</v>
          </cell>
          <cell r="I630" t="e">
            <v>#N/A</v>
          </cell>
          <cell r="J630" t="e">
            <v>#N/A</v>
          </cell>
          <cell r="K630" t="e">
            <v>#N/A</v>
          </cell>
          <cell r="L630" t="e">
            <v>#N/A</v>
          </cell>
          <cell r="M630" t="e">
            <v>#N/A</v>
          </cell>
          <cell r="N630" t="e">
            <v>#N/A</v>
          </cell>
          <cell r="O630" t="e">
            <v>#N/A</v>
          </cell>
          <cell r="P630">
            <v>34.65</v>
          </cell>
          <cell r="Q630" t="str">
            <v/>
          </cell>
          <cell r="R630" t="e">
            <v>#N/A</v>
          </cell>
        </row>
        <row r="631">
          <cell r="A631">
            <v>40066</v>
          </cell>
          <cell r="B631">
            <v>40066</v>
          </cell>
          <cell r="C631" t="str">
            <v>Future</v>
          </cell>
          <cell r="D631" t="e">
            <v>#N/A</v>
          </cell>
          <cell r="E631">
            <v>24.731897233201579</v>
          </cell>
          <cell r="F631">
            <v>36.684466403162112</v>
          </cell>
          <cell r="G631">
            <v>33.838616600790267</v>
          </cell>
          <cell r="H631">
            <v>33.838616600790267</v>
          </cell>
          <cell r="I631" t="e">
            <v>#N/A</v>
          </cell>
          <cell r="J631" t="e">
            <v>#N/A</v>
          </cell>
          <cell r="K631" t="e">
            <v>#N/A</v>
          </cell>
          <cell r="L631" t="e">
            <v>#N/A</v>
          </cell>
          <cell r="M631" t="e">
            <v>#N/A</v>
          </cell>
          <cell r="N631" t="e">
            <v>#N/A</v>
          </cell>
          <cell r="O631" t="e">
            <v>#N/A</v>
          </cell>
          <cell r="P631">
            <v>34.65</v>
          </cell>
          <cell r="Q631" t="str">
            <v/>
          </cell>
          <cell r="R631" t="e">
            <v>#N/A</v>
          </cell>
        </row>
        <row r="632">
          <cell r="A632">
            <v>40067</v>
          </cell>
          <cell r="B632">
            <v>40067</v>
          </cell>
          <cell r="C632" t="str">
            <v>Future</v>
          </cell>
          <cell r="D632" t="e">
            <v>#N/A</v>
          </cell>
          <cell r="E632">
            <v>24.595256916996046</v>
          </cell>
          <cell r="F632">
            <v>36.713833992094919</v>
          </cell>
          <cell r="G632">
            <v>33.828458498023465</v>
          </cell>
          <cell r="H632">
            <v>33.828458498023465</v>
          </cell>
          <cell r="I632" t="e">
            <v>#N/A</v>
          </cell>
          <cell r="J632" t="e">
            <v>#N/A</v>
          </cell>
          <cell r="K632" t="e">
            <v>#N/A</v>
          </cell>
          <cell r="L632" t="e">
            <v>#N/A</v>
          </cell>
          <cell r="M632" t="e">
            <v>#N/A</v>
          </cell>
          <cell r="N632" t="e">
            <v>#N/A</v>
          </cell>
          <cell r="O632" t="e">
            <v>#N/A</v>
          </cell>
          <cell r="P632">
            <v>34.65</v>
          </cell>
          <cell r="Q632" t="str">
            <v/>
          </cell>
          <cell r="R632" t="e">
            <v>#N/A</v>
          </cell>
        </row>
        <row r="633">
          <cell r="A633">
            <v>40070</v>
          </cell>
          <cell r="B633">
            <v>40070</v>
          </cell>
          <cell r="C633" t="str">
            <v>Future</v>
          </cell>
          <cell r="D633" t="e">
            <v>#N/A</v>
          </cell>
          <cell r="E633">
            <v>24.458616600790513</v>
          </cell>
          <cell r="F633">
            <v>36.743201581027726</v>
          </cell>
          <cell r="G633">
            <v>33.818300395256664</v>
          </cell>
          <cell r="H633">
            <v>33.818300395256664</v>
          </cell>
          <cell r="I633" t="e">
            <v>#N/A</v>
          </cell>
          <cell r="J633" t="e">
            <v>#N/A</v>
          </cell>
          <cell r="K633" t="e">
            <v>#N/A</v>
          </cell>
          <cell r="L633" t="e">
            <v>#N/A</v>
          </cell>
          <cell r="M633" t="e">
            <v>#N/A</v>
          </cell>
          <cell r="N633" t="e">
            <v>#N/A</v>
          </cell>
          <cell r="O633" t="e">
            <v>#N/A</v>
          </cell>
          <cell r="P633">
            <v>34.65</v>
          </cell>
          <cell r="Q633" t="str">
            <v/>
          </cell>
          <cell r="R633" t="e">
            <v>#N/A</v>
          </cell>
        </row>
        <row r="634">
          <cell r="A634">
            <v>40071</v>
          </cell>
          <cell r="B634">
            <v>40071</v>
          </cell>
          <cell r="C634" t="str">
            <v>Future</v>
          </cell>
          <cell r="D634" t="e">
            <v>#N/A</v>
          </cell>
          <cell r="E634">
            <v>24.321976284584981</v>
          </cell>
          <cell r="F634">
            <v>36.772569169960533</v>
          </cell>
          <cell r="G634">
            <v>33.808142292489862</v>
          </cell>
          <cell r="H634">
            <v>33.808142292489862</v>
          </cell>
          <cell r="I634" t="e">
            <v>#N/A</v>
          </cell>
          <cell r="J634" t="e">
            <v>#N/A</v>
          </cell>
          <cell r="K634" t="e">
            <v>#N/A</v>
          </cell>
          <cell r="L634" t="e">
            <v>#N/A</v>
          </cell>
          <cell r="M634" t="e">
            <v>#N/A</v>
          </cell>
          <cell r="N634" t="e">
            <v>#N/A</v>
          </cell>
          <cell r="O634" t="e">
            <v>#N/A</v>
          </cell>
          <cell r="P634">
            <v>34.65</v>
          </cell>
          <cell r="Q634" t="str">
            <v/>
          </cell>
          <cell r="R634" t="e">
            <v>#N/A</v>
          </cell>
        </row>
        <row r="635">
          <cell r="A635">
            <v>40072</v>
          </cell>
          <cell r="B635">
            <v>40072</v>
          </cell>
          <cell r="C635" t="str">
            <v>Future</v>
          </cell>
          <cell r="D635" t="e">
            <v>#N/A</v>
          </cell>
          <cell r="E635">
            <v>24.185335968379448</v>
          </cell>
          <cell r="F635">
            <v>36.801936758893341</v>
          </cell>
          <cell r="G635">
            <v>33.79798418972306</v>
          </cell>
          <cell r="H635">
            <v>33.79798418972306</v>
          </cell>
          <cell r="I635" t="e">
            <v>#N/A</v>
          </cell>
          <cell r="J635" t="e">
            <v>#N/A</v>
          </cell>
          <cell r="K635" t="e">
            <v>#N/A</v>
          </cell>
          <cell r="L635" t="e">
            <v>#N/A</v>
          </cell>
          <cell r="M635" t="e">
            <v>#N/A</v>
          </cell>
          <cell r="N635" t="e">
            <v>#N/A</v>
          </cell>
          <cell r="O635" t="e">
            <v>#N/A</v>
          </cell>
          <cell r="P635">
            <v>34.65</v>
          </cell>
          <cell r="Q635" t="str">
            <v/>
          </cell>
          <cell r="R635" t="e">
            <v>#N/A</v>
          </cell>
        </row>
        <row r="636">
          <cell r="A636">
            <v>40073</v>
          </cell>
          <cell r="B636">
            <v>40073</v>
          </cell>
          <cell r="C636" t="str">
            <v>Future</v>
          </cell>
          <cell r="D636" t="e">
            <v>#N/A</v>
          </cell>
          <cell r="E636">
            <v>24.048695652173915</v>
          </cell>
          <cell r="F636">
            <v>36.831304347826148</v>
          </cell>
          <cell r="G636">
            <v>33.787826086956258</v>
          </cell>
          <cell r="H636">
            <v>33.787826086956258</v>
          </cell>
          <cell r="I636" t="e">
            <v>#N/A</v>
          </cell>
          <cell r="J636" t="e">
            <v>#N/A</v>
          </cell>
          <cell r="K636" t="e">
            <v>#N/A</v>
          </cell>
          <cell r="L636" t="e">
            <v>#N/A</v>
          </cell>
          <cell r="M636" t="e">
            <v>#N/A</v>
          </cell>
          <cell r="N636" t="e">
            <v>#N/A</v>
          </cell>
          <cell r="O636" t="e">
            <v>#N/A</v>
          </cell>
          <cell r="P636">
            <v>34.65</v>
          </cell>
          <cell r="Q636" t="str">
            <v/>
          </cell>
          <cell r="R636" t="e">
            <v>#N/A</v>
          </cell>
        </row>
        <row r="637">
          <cell r="A637">
            <v>40074</v>
          </cell>
          <cell r="B637">
            <v>40074</v>
          </cell>
          <cell r="C637" t="str">
            <v>Future</v>
          </cell>
          <cell r="D637" t="e">
            <v>#N/A</v>
          </cell>
          <cell r="E637">
            <v>23.912055335968383</v>
          </cell>
          <cell r="F637">
            <v>36.860671936758955</v>
          </cell>
          <cell r="G637">
            <v>33.777667984189456</v>
          </cell>
          <cell r="H637">
            <v>33.777667984189456</v>
          </cell>
          <cell r="I637" t="e">
            <v>#N/A</v>
          </cell>
          <cell r="J637" t="e">
            <v>#N/A</v>
          </cell>
          <cell r="K637" t="e">
            <v>#N/A</v>
          </cell>
          <cell r="L637" t="e">
            <v>#N/A</v>
          </cell>
          <cell r="M637" t="e">
            <v>#N/A</v>
          </cell>
          <cell r="N637" t="e">
            <v>#N/A</v>
          </cell>
          <cell r="O637" t="e">
            <v>#N/A</v>
          </cell>
          <cell r="P637">
            <v>34.65</v>
          </cell>
          <cell r="Q637" t="str">
            <v/>
          </cell>
          <cell r="R637" t="e">
            <v>#N/A</v>
          </cell>
        </row>
        <row r="638">
          <cell r="A638">
            <v>40077</v>
          </cell>
          <cell r="B638">
            <v>40077</v>
          </cell>
          <cell r="C638" t="str">
            <v>Future</v>
          </cell>
          <cell r="D638" t="e">
            <v>#N/A</v>
          </cell>
          <cell r="E638">
            <v>23.77541501976285</v>
          </cell>
          <cell r="F638">
            <v>36.890039525691762</v>
          </cell>
          <cell r="G638">
            <v>33.767509881422654</v>
          </cell>
          <cell r="H638">
            <v>33.767509881422654</v>
          </cell>
          <cell r="I638" t="e">
            <v>#N/A</v>
          </cell>
          <cell r="J638" t="e">
            <v>#N/A</v>
          </cell>
          <cell r="K638" t="e">
            <v>#N/A</v>
          </cell>
          <cell r="L638" t="e">
            <v>#N/A</v>
          </cell>
          <cell r="M638" t="e">
            <v>#N/A</v>
          </cell>
          <cell r="N638" t="e">
            <v>#N/A</v>
          </cell>
          <cell r="O638" t="e">
            <v>#N/A</v>
          </cell>
          <cell r="P638">
            <v>34.65</v>
          </cell>
          <cell r="Q638" t="str">
            <v/>
          </cell>
          <cell r="R638" t="e">
            <v>#N/A</v>
          </cell>
        </row>
        <row r="639">
          <cell r="A639">
            <v>40078</v>
          </cell>
          <cell r="B639">
            <v>40078</v>
          </cell>
          <cell r="C639" t="str">
            <v>Future</v>
          </cell>
          <cell r="D639" t="e">
            <v>#N/A</v>
          </cell>
          <cell r="E639">
            <v>23.638774703557317</v>
          </cell>
          <cell r="F639">
            <v>36.919407114624569</v>
          </cell>
          <cell r="G639">
            <v>33.757351778655853</v>
          </cell>
          <cell r="H639">
            <v>33.757351778655853</v>
          </cell>
          <cell r="I639" t="e">
            <v>#N/A</v>
          </cell>
          <cell r="J639" t="e">
            <v>#N/A</v>
          </cell>
          <cell r="K639" t="e">
            <v>#N/A</v>
          </cell>
          <cell r="L639" t="e">
            <v>#N/A</v>
          </cell>
          <cell r="M639" t="e">
            <v>#N/A</v>
          </cell>
          <cell r="N639" t="e">
            <v>#N/A</v>
          </cell>
          <cell r="O639" t="e">
            <v>#N/A</v>
          </cell>
          <cell r="P639">
            <v>34.65</v>
          </cell>
          <cell r="Q639" t="str">
            <v/>
          </cell>
          <cell r="R639" t="e">
            <v>#N/A</v>
          </cell>
        </row>
        <row r="640">
          <cell r="A640">
            <v>40079</v>
          </cell>
          <cell r="B640">
            <v>40079</v>
          </cell>
          <cell r="C640" t="str">
            <v>Future</v>
          </cell>
          <cell r="D640" t="e">
            <v>#N/A</v>
          </cell>
          <cell r="E640">
            <v>23.502134387351784</v>
          </cell>
          <cell r="F640">
            <v>36.948774703557376</v>
          </cell>
          <cell r="G640">
            <v>33.747193675889051</v>
          </cell>
          <cell r="H640">
            <v>33.747193675889051</v>
          </cell>
          <cell r="I640" t="e">
            <v>#N/A</v>
          </cell>
          <cell r="J640" t="e">
            <v>#N/A</v>
          </cell>
          <cell r="K640" t="e">
            <v>#N/A</v>
          </cell>
          <cell r="L640" t="e">
            <v>#N/A</v>
          </cell>
          <cell r="M640" t="e">
            <v>#N/A</v>
          </cell>
          <cell r="N640" t="e">
            <v>#N/A</v>
          </cell>
          <cell r="O640" t="e">
            <v>#N/A</v>
          </cell>
          <cell r="P640">
            <v>34.65</v>
          </cell>
          <cell r="Q640" t="str">
            <v/>
          </cell>
          <cell r="R640" t="e">
            <v>#N/A</v>
          </cell>
        </row>
        <row r="641">
          <cell r="A641">
            <v>40080</v>
          </cell>
          <cell r="B641">
            <v>40080</v>
          </cell>
          <cell r="C641" t="str">
            <v>Future</v>
          </cell>
          <cell r="D641" t="e">
            <v>#N/A</v>
          </cell>
          <cell r="E641">
            <v>23.365494071146252</v>
          </cell>
          <cell r="F641">
            <v>36.978142292490183</v>
          </cell>
          <cell r="G641">
            <v>33.737035573122249</v>
          </cell>
          <cell r="H641">
            <v>33.737035573122249</v>
          </cell>
          <cell r="I641" t="e">
            <v>#N/A</v>
          </cell>
          <cell r="J641" t="e">
            <v>#N/A</v>
          </cell>
          <cell r="K641" t="e">
            <v>#N/A</v>
          </cell>
          <cell r="L641" t="e">
            <v>#N/A</v>
          </cell>
          <cell r="M641" t="e">
            <v>#N/A</v>
          </cell>
          <cell r="N641" t="e">
            <v>#N/A</v>
          </cell>
          <cell r="O641" t="e">
            <v>#N/A</v>
          </cell>
          <cell r="P641">
            <v>34.65</v>
          </cell>
          <cell r="Q641" t="str">
            <v/>
          </cell>
          <cell r="R641" t="e">
            <v>#N/A</v>
          </cell>
        </row>
        <row r="642">
          <cell r="A642">
            <v>40081</v>
          </cell>
          <cell r="B642">
            <v>40081</v>
          </cell>
          <cell r="C642" t="str">
            <v>Future</v>
          </cell>
          <cell r="D642" t="e">
            <v>#N/A</v>
          </cell>
          <cell r="E642">
            <v>23.228853754940719</v>
          </cell>
          <cell r="F642">
            <v>37.00750988142299</v>
          </cell>
          <cell r="G642">
            <v>33.726877470355447</v>
          </cell>
          <cell r="H642">
            <v>33.726877470355447</v>
          </cell>
          <cell r="I642" t="e">
            <v>#N/A</v>
          </cell>
          <cell r="J642" t="e">
            <v>#N/A</v>
          </cell>
          <cell r="K642" t="e">
            <v>#N/A</v>
          </cell>
          <cell r="L642" t="e">
            <v>#N/A</v>
          </cell>
          <cell r="M642" t="e">
            <v>#N/A</v>
          </cell>
          <cell r="N642" t="e">
            <v>#N/A</v>
          </cell>
          <cell r="O642" t="e">
            <v>#N/A</v>
          </cell>
          <cell r="P642">
            <v>34.65</v>
          </cell>
          <cell r="Q642" t="str">
            <v/>
          </cell>
          <cell r="R642" t="e">
            <v>#N/A</v>
          </cell>
        </row>
        <row r="643">
          <cell r="A643">
            <v>40084</v>
          </cell>
          <cell r="B643">
            <v>40084</v>
          </cell>
          <cell r="C643" t="str">
            <v>Future</v>
          </cell>
          <cell r="D643" t="e">
            <v>#N/A</v>
          </cell>
          <cell r="E643">
            <v>23.092213438735186</v>
          </cell>
          <cell r="F643">
            <v>37.036877470355797</v>
          </cell>
          <cell r="G643">
            <v>33.716719367588645</v>
          </cell>
          <cell r="H643">
            <v>33.716719367588645</v>
          </cell>
          <cell r="I643" t="e">
            <v>#N/A</v>
          </cell>
          <cell r="J643" t="e">
            <v>#N/A</v>
          </cell>
          <cell r="K643" t="e">
            <v>#N/A</v>
          </cell>
          <cell r="L643" t="e">
            <v>#N/A</v>
          </cell>
          <cell r="M643" t="e">
            <v>#N/A</v>
          </cell>
          <cell r="N643" t="e">
            <v>#N/A</v>
          </cell>
          <cell r="O643" t="e">
            <v>#N/A</v>
          </cell>
          <cell r="P643">
            <v>34.65</v>
          </cell>
          <cell r="Q643" t="str">
            <v/>
          </cell>
          <cell r="R643" t="e">
            <v>#N/A</v>
          </cell>
        </row>
        <row r="644">
          <cell r="A644">
            <v>40085</v>
          </cell>
          <cell r="B644">
            <v>40085</v>
          </cell>
          <cell r="C644" t="str">
            <v>Future</v>
          </cell>
          <cell r="D644" t="e">
            <v>#N/A</v>
          </cell>
          <cell r="E644">
            <v>22.955573122529653</v>
          </cell>
          <cell r="F644">
            <v>37.066245059288605</v>
          </cell>
          <cell r="G644">
            <v>33.706561264821843</v>
          </cell>
          <cell r="H644">
            <v>33.706561264821843</v>
          </cell>
          <cell r="I644" t="e">
            <v>#N/A</v>
          </cell>
          <cell r="J644" t="e">
            <v>#N/A</v>
          </cell>
          <cell r="K644" t="e">
            <v>#N/A</v>
          </cell>
          <cell r="L644" t="e">
            <v>#N/A</v>
          </cell>
          <cell r="M644" t="e">
            <v>#N/A</v>
          </cell>
          <cell r="N644" t="e">
            <v>#N/A</v>
          </cell>
          <cell r="O644" t="e">
            <v>#N/A</v>
          </cell>
          <cell r="P644">
            <v>34.65</v>
          </cell>
          <cell r="Q644" t="str">
            <v/>
          </cell>
          <cell r="R644" t="e">
            <v>#N/A</v>
          </cell>
        </row>
        <row r="645">
          <cell r="A645">
            <v>40086</v>
          </cell>
          <cell r="B645">
            <v>40086</v>
          </cell>
          <cell r="C645" t="str">
            <v>Future</v>
          </cell>
          <cell r="D645" t="e">
            <v>#N/A</v>
          </cell>
          <cell r="E645">
            <v>22.818932806324121</v>
          </cell>
          <cell r="F645">
            <v>37.095612648221412</v>
          </cell>
          <cell r="G645">
            <v>33.696403162055041</v>
          </cell>
          <cell r="H645">
            <v>33.696403162055041</v>
          </cell>
          <cell r="I645" t="e">
            <v>#N/A</v>
          </cell>
          <cell r="J645" t="e">
            <v>#N/A</v>
          </cell>
          <cell r="K645" t="e">
            <v>#N/A</v>
          </cell>
          <cell r="L645" t="e">
            <v>#N/A</v>
          </cell>
          <cell r="M645" t="e">
            <v>#N/A</v>
          </cell>
          <cell r="N645" t="e">
            <v>#N/A</v>
          </cell>
          <cell r="O645" t="e">
            <v>#N/A</v>
          </cell>
          <cell r="P645">
            <v>34.65</v>
          </cell>
          <cell r="Q645" t="str">
            <v/>
          </cell>
          <cell r="R645" t="e">
            <v>#N/A</v>
          </cell>
        </row>
        <row r="646">
          <cell r="A646">
            <v>40087</v>
          </cell>
          <cell r="B646">
            <v>40087</v>
          </cell>
          <cell r="C646" t="str">
            <v>Future</v>
          </cell>
          <cell r="D646" t="e">
            <v>#N/A</v>
          </cell>
          <cell r="E646">
            <v>22.682292490118588</v>
          </cell>
          <cell r="F646">
            <v>37.124980237154219</v>
          </cell>
          <cell r="G646">
            <v>33.68624505928824</v>
          </cell>
          <cell r="H646">
            <v>33.68624505928824</v>
          </cell>
          <cell r="I646" t="e">
            <v>#N/A</v>
          </cell>
          <cell r="J646" t="e">
            <v>#N/A</v>
          </cell>
          <cell r="K646" t="e">
            <v>#N/A</v>
          </cell>
          <cell r="L646" t="e">
            <v>#N/A</v>
          </cell>
          <cell r="M646" t="e">
            <v>#N/A</v>
          </cell>
          <cell r="N646" t="e">
            <v>#N/A</v>
          </cell>
          <cell r="O646" t="e">
            <v>#N/A</v>
          </cell>
          <cell r="P646">
            <v>34.65</v>
          </cell>
          <cell r="Q646" t="str">
            <v/>
          </cell>
          <cell r="R646" t="e">
            <v>#N/A</v>
          </cell>
        </row>
        <row r="647">
          <cell r="A647">
            <v>40088</v>
          </cell>
          <cell r="B647">
            <v>40088</v>
          </cell>
          <cell r="C647" t="str">
            <v>Future</v>
          </cell>
          <cell r="D647" t="e">
            <v>#N/A</v>
          </cell>
          <cell r="E647">
            <v>22.545652173913055</v>
          </cell>
          <cell r="F647">
            <v>37.154347826087026</v>
          </cell>
          <cell r="G647">
            <v>33.676086956521438</v>
          </cell>
          <cell r="H647">
            <v>33.676086956521438</v>
          </cell>
          <cell r="I647" t="e">
            <v>#N/A</v>
          </cell>
          <cell r="J647" t="e">
            <v>#N/A</v>
          </cell>
          <cell r="K647" t="e">
            <v>#N/A</v>
          </cell>
          <cell r="L647" t="e">
            <v>#N/A</v>
          </cell>
          <cell r="M647" t="e">
            <v>#N/A</v>
          </cell>
          <cell r="N647" t="e">
            <v>#N/A</v>
          </cell>
          <cell r="O647" t="e">
            <v>#N/A</v>
          </cell>
          <cell r="P647">
            <v>34.65</v>
          </cell>
          <cell r="Q647" t="str">
            <v/>
          </cell>
          <cell r="R647" t="e">
            <v>#N/A</v>
          </cell>
        </row>
        <row r="648">
          <cell r="A648">
            <v>40091</v>
          </cell>
          <cell r="B648">
            <v>40091</v>
          </cell>
          <cell r="C648" t="str">
            <v>Future</v>
          </cell>
          <cell r="D648" t="e">
            <v>#N/A</v>
          </cell>
          <cell r="E648">
            <v>22.409011857707522</v>
          </cell>
          <cell r="F648">
            <v>37.183715415019833</v>
          </cell>
          <cell r="G648">
            <v>33.665928853754636</v>
          </cell>
          <cell r="H648">
            <v>33.665928853754636</v>
          </cell>
          <cell r="I648" t="e">
            <v>#N/A</v>
          </cell>
          <cell r="J648" t="e">
            <v>#N/A</v>
          </cell>
          <cell r="K648" t="e">
            <v>#N/A</v>
          </cell>
          <cell r="L648" t="e">
            <v>#N/A</v>
          </cell>
          <cell r="M648" t="e">
            <v>#N/A</v>
          </cell>
          <cell r="N648" t="e">
            <v>#N/A</v>
          </cell>
          <cell r="O648" t="e">
            <v>#N/A</v>
          </cell>
          <cell r="P648">
            <v>34.65</v>
          </cell>
          <cell r="Q648" t="str">
            <v/>
          </cell>
          <cell r="R648" t="e">
            <v>#N/A</v>
          </cell>
        </row>
        <row r="649">
          <cell r="A649">
            <v>40092</v>
          </cell>
          <cell r="B649">
            <v>40092</v>
          </cell>
          <cell r="C649" t="str">
            <v>Future</v>
          </cell>
          <cell r="D649" t="e">
            <v>#N/A</v>
          </cell>
          <cell r="E649">
            <v>22.27237154150199</v>
          </cell>
          <cell r="F649">
            <v>37.21308300395264</v>
          </cell>
          <cell r="G649">
            <v>33.655770750987834</v>
          </cell>
          <cell r="H649">
            <v>33.655770750987834</v>
          </cell>
          <cell r="I649" t="e">
            <v>#N/A</v>
          </cell>
          <cell r="J649" t="e">
            <v>#N/A</v>
          </cell>
          <cell r="K649" t="e">
            <v>#N/A</v>
          </cell>
          <cell r="L649" t="e">
            <v>#N/A</v>
          </cell>
          <cell r="M649" t="e">
            <v>#N/A</v>
          </cell>
          <cell r="N649" t="e">
            <v>#N/A</v>
          </cell>
          <cell r="O649" t="e">
            <v>#N/A</v>
          </cell>
          <cell r="P649">
            <v>34.65</v>
          </cell>
          <cell r="Q649" t="str">
            <v/>
          </cell>
          <cell r="R649" t="e">
            <v>#N/A</v>
          </cell>
        </row>
        <row r="650">
          <cell r="A650">
            <v>40093</v>
          </cell>
          <cell r="B650">
            <v>40093</v>
          </cell>
          <cell r="C650" t="str">
            <v>Future</v>
          </cell>
          <cell r="D650" t="e">
            <v>#N/A</v>
          </cell>
          <cell r="E650">
            <v>22.135731225296457</v>
          </cell>
          <cell r="F650">
            <v>37.242450592885447</v>
          </cell>
          <cell r="G650">
            <v>33.645612648221032</v>
          </cell>
          <cell r="H650">
            <v>33.645612648221032</v>
          </cell>
          <cell r="I650" t="e">
            <v>#N/A</v>
          </cell>
          <cell r="J650" t="e">
            <v>#N/A</v>
          </cell>
          <cell r="K650" t="e">
            <v>#N/A</v>
          </cell>
          <cell r="L650" t="e">
            <v>#N/A</v>
          </cell>
          <cell r="M650" t="e">
            <v>#N/A</v>
          </cell>
          <cell r="N650" t="e">
            <v>#N/A</v>
          </cell>
          <cell r="O650" t="e">
            <v>#N/A</v>
          </cell>
          <cell r="P650">
            <v>34.65</v>
          </cell>
          <cell r="Q650" t="str">
            <v/>
          </cell>
          <cell r="R650" t="e">
            <v>#N/A</v>
          </cell>
        </row>
        <row r="651">
          <cell r="A651">
            <v>40094</v>
          </cell>
          <cell r="B651">
            <v>40094</v>
          </cell>
          <cell r="C651" t="str">
            <v>Future</v>
          </cell>
          <cell r="D651" t="e">
            <v>#N/A</v>
          </cell>
          <cell r="E651">
            <v>21.999090909090924</v>
          </cell>
          <cell r="F651">
            <v>37.271818181818254</v>
          </cell>
          <cell r="G651">
            <v>33.63545454545423</v>
          </cell>
          <cell r="H651">
            <v>33.63545454545423</v>
          </cell>
          <cell r="I651" t="e">
            <v>#N/A</v>
          </cell>
          <cell r="J651" t="e">
            <v>#N/A</v>
          </cell>
          <cell r="K651" t="e">
            <v>#N/A</v>
          </cell>
          <cell r="L651" t="e">
            <v>#N/A</v>
          </cell>
          <cell r="M651" t="e">
            <v>#N/A</v>
          </cell>
          <cell r="N651" t="e">
            <v>#N/A</v>
          </cell>
          <cell r="O651" t="e">
            <v>#N/A</v>
          </cell>
          <cell r="P651">
            <v>34.65</v>
          </cell>
          <cell r="Q651" t="str">
            <v/>
          </cell>
          <cell r="R651" t="e">
            <v>#N/A</v>
          </cell>
        </row>
        <row r="652">
          <cell r="A652">
            <v>40095</v>
          </cell>
          <cell r="B652">
            <v>40095</v>
          </cell>
          <cell r="C652" t="str">
            <v>Future</v>
          </cell>
          <cell r="D652" t="e">
            <v>#N/A</v>
          </cell>
          <cell r="E652">
            <v>21.862450592885391</v>
          </cell>
          <cell r="F652">
            <v>37.301185770751061</v>
          </cell>
          <cell r="G652">
            <v>33.625296442687429</v>
          </cell>
          <cell r="H652">
            <v>33.625296442687429</v>
          </cell>
          <cell r="I652" t="e">
            <v>#N/A</v>
          </cell>
          <cell r="J652" t="e">
            <v>#N/A</v>
          </cell>
          <cell r="K652" t="e">
            <v>#N/A</v>
          </cell>
          <cell r="L652" t="e">
            <v>#N/A</v>
          </cell>
          <cell r="M652" t="e">
            <v>#N/A</v>
          </cell>
          <cell r="N652" t="e">
            <v>#N/A</v>
          </cell>
          <cell r="O652" t="e">
            <v>#N/A</v>
          </cell>
          <cell r="P652">
            <v>34.65</v>
          </cell>
          <cell r="Q652" t="str">
            <v/>
          </cell>
          <cell r="R652" t="e">
            <v>#N/A</v>
          </cell>
        </row>
        <row r="653">
          <cell r="A653">
            <v>40098</v>
          </cell>
          <cell r="B653">
            <v>40098</v>
          </cell>
          <cell r="C653" t="str">
            <v>Future</v>
          </cell>
          <cell r="D653" t="e">
            <v>#N/A</v>
          </cell>
          <cell r="E653">
            <v>21.725810276679859</v>
          </cell>
          <cell r="F653">
            <v>37.330553359683869</v>
          </cell>
          <cell r="G653">
            <v>33.615138339920627</v>
          </cell>
          <cell r="H653">
            <v>33.615138339920627</v>
          </cell>
          <cell r="I653" t="e">
            <v>#N/A</v>
          </cell>
          <cell r="J653" t="e">
            <v>#N/A</v>
          </cell>
          <cell r="K653" t="e">
            <v>#N/A</v>
          </cell>
          <cell r="L653" t="e">
            <v>#N/A</v>
          </cell>
          <cell r="M653" t="e">
            <v>#N/A</v>
          </cell>
          <cell r="N653" t="e">
            <v>#N/A</v>
          </cell>
          <cell r="O653" t="e">
            <v>#N/A</v>
          </cell>
          <cell r="P653">
            <v>34.65</v>
          </cell>
          <cell r="Q653" t="str">
            <v/>
          </cell>
          <cell r="R653" t="e">
            <v>#N/A</v>
          </cell>
        </row>
        <row r="654">
          <cell r="A654">
            <v>40099</v>
          </cell>
          <cell r="B654">
            <v>40099</v>
          </cell>
          <cell r="C654" t="str">
            <v>Future</v>
          </cell>
          <cell r="D654" t="e">
            <v>#N/A</v>
          </cell>
          <cell r="E654">
            <v>21.589169960474326</v>
          </cell>
          <cell r="F654">
            <v>37.359920948616676</v>
          </cell>
          <cell r="G654">
            <v>33.604980237153825</v>
          </cell>
          <cell r="H654">
            <v>33.604980237153825</v>
          </cell>
          <cell r="I654" t="e">
            <v>#N/A</v>
          </cell>
          <cell r="J654" t="e">
            <v>#N/A</v>
          </cell>
          <cell r="K654" t="e">
            <v>#N/A</v>
          </cell>
          <cell r="L654" t="e">
            <v>#N/A</v>
          </cell>
          <cell r="M654" t="e">
            <v>#N/A</v>
          </cell>
          <cell r="N654" t="e">
            <v>#N/A</v>
          </cell>
          <cell r="O654" t="e">
            <v>#N/A</v>
          </cell>
          <cell r="P654">
            <v>34.65</v>
          </cell>
          <cell r="Q654" t="str">
            <v/>
          </cell>
          <cell r="R654" t="e">
            <v>#N/A</v>
          </cell>
        </row>
        <row r="655">
          <cell r="A655">
            <v>40100</v>
          </cell>
          <cell r="B655">
            <v>40100</v>
          </cell>
          <cell r="C655" t="str">
            <v>Future</v>
          </cell>
          <cell r="D655" t="e">
            <v>#N/A</v>
          </cell>
          <cell r="E655">
            <v>21.452529644268793</v>
          </cell>
          <cell r="F655">
            <v>37.389288537549483</v>
          </cell>
          <cell r="G655">
            <v>33.594822134387023</v>
          </cell>
          <cell r="H655">
            <v>33.594822134387023</v>
          </cell>
          <cell r="I655" t="e">
            <v>#N/A</v>
          </cell>
          <cell r="J655" t="e">
            <v>#N/A</v>
          </cell>
          <cell r="K655" t="e">
            <v>#N/A</v>
          </cell>
          <cell r="L655" t="e">
            <v>#N/A</v>
          </cell>
          <cell r="M655" t="e">
            <v>#N/A</v>
          </cell>
          <cell r="N655" t="e">
            <v>#N/A</v>
          </cell>
          <cell r="O655" t="e">
            <v>#N/A</v>
          </cell>
          <cell r="P655">
            <v>34.65</v>
          </cell>
          <cell r="Q655" t="str">
            <v/>
          </cell>
          <cell r="R655" t="e">
            <v>#N/A</v>
          </cell>
        </row>
        <row r="656">
          <cell r="A656">
            <v>40101</v>
          </cell>
          <cell r="B656">
            <v>40101</v>
          </cell>
          <cell r="C656" t="str">
            <v>Future</v>
          </cell>
          <cell r="D656" t="e">
            <v>#N/A</v>
          </cell>
          <cell r="E656">
            <v>21.31588932806326</v>
          </cell>
          <cell r="F656">
            <v>37.41865612648229</v>
          </cell>
          <cell r="G656">
            <v>33.584664031620221</v>
          </cell>
          <cell r="H656">
            <v>33.584664031620221</v>
          </cell>
          <cell r="I656" t="e">
            <v>#N/A</v>
          </cell>
          <cell r="J656" t="e">
            <v>#N/A</v>
          </cell>
          <cell r="K656" t="e">
            <v>#N/A</v>
          </cell>
          <cell r="L656" t="e">
            <v>#N/A</v>
          </cell>
          <cell r="M656" t="e">
            <v>#N/A</v>
          </cell>
          <cell r="N656" t="e">
            <v>#N/A</v>
          </cell>
          <cell r="O656" t="e">
            <v>#N/A</v>
          </cell>
          <cell r="P656">
            <v>34.65</v>
          </cell>
          <cell r="Q656" t="str">
            <v/>
          </cell>
          <cell r="R656" t="e">
            <v>#N/A</v>
          </cell>
        </row>
        <row r="657">
          <cell r="A657">
            <v>40102</v>
          </cell>
          <cell r="B657">
            <v>40102</v>
          </cell>
          <cell r="C657" t="str">
            <v>Future</v>
          </cell>
          <cell r="D657" t="e">
            <v>#N/A</v>
          </cell>
          <cell r="E657">
            <v>21.179249011857728</v>
          </cell>
          <cell r="F657">
            <v>37.448023715415097</v>
          </cell>
          <cell r="G657">
            <v>33.574505928853419</v>
          </cell>
          <cell r="H657">
            <v>33.574505928853419</v>
          </cell>
          <cell r="I657" t="e">
            <v>#N/A</v>
          </cell>
          <cell r="J657" t="e">
            <v>#N/A</v>
          </cell>
          <cell r="K657" t="e">
            <v>#N/A</v>
          </cell>
          <cell r="L657" t="e">
            <v>#N/A</v>
          </cell>
          <cell r="M657" t="e">
            <v>#N/A</v>
          </cell>
          <cell r="N657" t="e">
            <v>#N/A</v>
          </cell>
          <cell r="O657" t="e">
            <v>#N/A</v>
          </cell>
          <cell r="P657">
            <v>34.65</v>
          </cell>
          <cell r="Q657" t="str">
            <v/>
          </cell>
          <cell r="R657" t="e">
            <v>#N/A</v>
          </cell>
        </row>
        <row r="658">
          <cell r="A658">
            <v>40105</v>
          </cell>
          <cell r="B658">
            <v>40105</v>
          </cell>
          <cell r="C658" t="str">
            <v>Future</v>
          </cell>
          <cell r="D658" t="e">
            <v>#N/A</v>
          </cell>
          <cell r="E658">
            <v>21.042608695652195</v>
          </cell>
          <cell r="F658">
            <v>37.477391304347904</v>
          </cell>
          <cell r="G658">
            <v>33.564347826086617</v>
          </cell>
          <cell r="H658">
            <v>33.564347826086617</v>
          </cell>
          <cell r="I658" t="e">
            <v>#N/A</v>
          </cell>
          <cell r="J658" t="e">
            <v>#N/A</v>
          </cell>
          <cell r="K658" t="e">
            <v>#N/A</v>
          </cell>
          <cell r="L658" t="e">
            <v>#N/A</v>
          </cell>
          <cell r="M658" t="e">
            <v>#N/A</v>
          </cell>
          <cell r="N658" t="e">
            <v>#N/A</v>
          </cell>
          <cell r="O658" t="e">
            <v>#N/A</v>
          </cell>
          <cell r="P658">
            <v>34.65</v>
          </cell>
          <cell r="Q658" t="str">
            <v/>
          </cell>
          <cell r="R658" t="e">
            <v>#N/A</v>
          </cell>
        </row>
        <row r="659">
          <cell r="A659">
            <v>40106</v>
          </cell>
          <cell r="B659">
            <v>40106</v>
          </cell>
          <cell r="C659" t="str">
            <v>Future</v>
          </cell>
          <cell r="D659" t="e">
            <v>#N/A</v>
          </cell>
          <cell r="E659">
            <v>20.905968379446662</v>
          </cell>
          <cell r="F659">
            <v>37.506758893280711</v>
          </cell>
          <cell r="G659">
            <v>33.554189723319816</v>
          </cell>
          <cell r="H659">
            <v>33.554189723319816</v>
          </cell>
          <cell r="I659" t="e">
            <v>#N/A</v>
          </cell>
          <cell r="J659" t="e">
            <v>#N/A</v>
          </cell>
          <cell r="K659" t="e">
            <v>#N/A</v>
          </cell>
          <cell r="L659" t="e">
            <v>#N/A</v>
          </cell>
          <cell r="M659" t="e">
            <v>#N/A</v>
          </cell>
          <cell r="N659" t="e">
            <v>#N/A</v>
          </cell>
          <cell r="O659" t="e">
            <v>#N/A</v>
          </cell>
          <cell r="P659">
            <v>34.65</v>
          </cell>
          <cell r="Q659" t="str">
            <v/>
          </cell>
          <cell r="R659" t="e">
            <v>#N/A</v>
          </cell>
        </row>
        <row r="660">
          <cell r="A660">
            <v>40107</v>
          </cell>
          <cell r="B660">
            <v>40107</v>
          </cell>
          <cell r="C660" t="str">
            <v>Future</v>
          </cell>
          <cell r="D660" t="e">
            <v>#N/A</v>
          </cell>
          <cell r="E660">
            <v>20.769328063241129</v>
          </cell>
          <cell r="F660">
            <v>37.536126482213518</v>
          </cell>
          <cell r="G660">
            <v>33.544031620553014</v>
          </cell>
          <cell r="H660">
            <v>33.544031620553014</v>
          </cell>
          <cell r="I660" t="e">
            <v>#N/A</v>
          </cell>
          <cell r="J660" t="e">
            <v>#N/A</v>
          </cell>
          <cell r="K660" t="e">
            <v>#N/A</v>
          </cell>
          <cell r="L660" t="e">
            <v>#N/A</v>
          </cell>
          <cell r="M660" t="e">
            <v>#N/A</v>
          </cell>
          <cell r="N660" t="e">
            <v>#N/A</v>
          </cell>
          <cell r="O660" t="e">
            <v>#N/A</v>
          </cell>
          <cell r="P660">
            <v>34.65</v>
          </cell>
          <cell r="Q660" t="str">
            <v/>
          </cell>
          <cell r="R660" t="e">
            <v>#N/A</v>
          </cell>
        </row>
        <row r="661">
          <cell r="A661">
            <v>40108</v>
          </cell>
          <cell r="B661">
            <v>40108</v>
          </cell>
          <cell r="C661" t="str">
            <v>Future</v>
          </cell>
          <cell r="D661" t="e">
            <v>#N/A</v>
          </cell>
          <cell r="E661">
            <v>20.632687747035597</v>
          </cell>
          <cell r="F661">
            <v>37.565494071146325</v>
          </cell>
          <cell r="G661">
            <v>33.533873517786212</v>
          </cell>
          <cell r="H661">
            <v>33.533873517786212</v>
          </cell>
          <cell r="I661" t="e">
            <v>#N/A</v>
          </cell>
          <cell r="J661" t="e">
            <v>#N/A</v>
          </cell>
          <cell r="K661" t="e">
            <v>#N/A</v>
          </cell>
          <cell r="L661" t="e">
            <v>#N/A</v>
          </cell>
          <cell r="M661" t="e">
            <v>#N/A</v>
          </cell>
          <cell r="N661" t="e">
            <v>#N/A</v>
          </cell>
          <cell r="O661" t="e">
            <v>#N/A</v>
          </cell>
          <cell r="P661">
            <v>34.65</v>
          </cell>
          <cell r="Q661" t="str">
            <v/>
          </cell>
          <cell r="R661" t="e">
            <v>#N/A</v>
          </cell>
        </row>
        <row r="662">
          <cell r="A662">
            <v>40109</v>
          </cell>
          <cell r="B662">
            <v>40109</v>
          </cell>
          <cell r="C662" t="str">
            <v>Future</v>
          </cell>
          <cell r="D662" t="e">
            <v>#N/A</v>
          </cell>
          <cell r="E662">
            <v>20.496047430830064</v>
          </cell>
          <cell r="F662">
            <v>37.594861660079133</v>
          </cell>
          <cell r="G662">
            <v>33.52371541501941</v>
          </cell>
          <cell r="H662">
            <v>33.52371541501941</v>
          </cell>
          <cell r="I662" t="e">
            <v>#N/A</v>
          </cell>
          <cell r="J662" t="e">
            <v>#N/A</v>
          </cell>
          <cell r="K662" t="e">
            <v>#N/A</v>
          </cell>
          <cell r="L662" t="e">
            <v>#N/A</v>
          </cell>
          <cell r="M662" t="e">
            <v>#N/A</v>
          </cell>
          <cell r="N662" t="e">
            <v>#N/A</v>
          </cell>
          <cell r="O662" t="e">
            <v>#N/A</v>
          </cell>
          <cell r="P662">
            <v>34.65</v>
          </cell>
          <cell r="Q662" t="str">
            <v/>
          </cell>
          <cell r="R662" t="e">
            <v>#N/A</v>
          </cell>
        </row>
        <row r="663">
          <cell r="A663">
            <v>40112</v>
          </cell>
          <cell r="B663">
            <v>40112</v>
          </cell>
          <cell r="C663" t="str">
            <v>Future</v>
          </cell>
          <cell r="D663" t="e">
            <v>#N/A</v>
          </cell>
          <cell r="E663">
            <v>20.359407114624531</v>
          </cell>
          <cell r="F663">
            <v>37.62422924901194</v>
          </cell>
          <cell r="G663">
            <v>33.513557312252608</v>
          </cell>
          <cell r="H663">
            <v>33.513557312252608</v>
          </cell>
          <cell r="I663" t="e">
            <v>#N/A</v>
          </cell>
          <cell r="J663" t="e">
            <v>#N/A</v>
          </cell>
          <cell r="K663" t="e">
            <v>#N/A</v>
          </cell>
          <cell r="L663" t="e">
            <v>#N/A</v>
          </cell>
          <cell r="M663" t="e">
            <v>#N/A</v>
          </cell>
          <cell r="N663" t="e">
            <v>#N/A</v>
          </cell>
          <cell r="O663" t="e">
            <v>#N/A</v>
          </cell>
          <cell r="P663">
            <v>34.65</v>
          </cell>
          <cell r="Q663" t="str">
            <v/>
          </cell>
          <cell r="R663" t="e">
            <v>#N/A</v>
          </cell>
        </row>
        <row r="664">
          <cell r="A664">
            <v>40113</v>
          </cell>
          <cell r="B664">
            <v>40113</v>
          </cell>
          <cell r="C664" t="str">
            <v>Future</v>
          </cell>
          <cell r="D664" t="e">
            <v>#N/A</v>
          </cell>
          <cell r="E664">
            <v>20.222766798418998</v>
          </cell>
          <cell r="F664">
            <v>37.653596837944747</v>
          </cell>
          <cell r="G664">
            <v>33.503399209485806</v>
          </cell>
          <cell r="H664">
            <v>33.503399209485806</v>
          </cell>
          <cell r="I664" t="e">
            <v>#N/A</v>
          </cell>
          <cell r="J664" t="e">
            <v>#N/A</v>
          </cell>
          <cell r="K664" t="e">
            <v>#N/A</v>
          </cell>
          <cell r="L664" t="e">
            <v>#N/A</v>
          </cell>
          <cell r="M664" t="e">
            <v>#N/A</v>
          </cell>
          <cell r="N664" t="e">
            <v>#N/A</v>
          </cell>
          <cell r="O664" t="e">
            <v>#N/A</v>
          </cell>
          <cell r="P664">
            <v>34.65</v>
          </cell>
          <cell r="Q664" t="str">
            <v/>
          </cell>
          <cell r="R664" t="e">
            <v>#N/A</v>
          </cell>
        </row>
        <row r="665">
          <cell r="A665">
            <v>40114</v>
          </cell>
          <cell r="B665">
            <v>40114</v>
          </cell>
          <cell r="C665" t="str">
            <v>Future</v>
          </cell>
          <cell r="D665" t="e">
            <v>#N/A</v>
          </cell>
          <cell r="E665">
            <v>20.086126482213466</v>
          </cell>
          <cell r="F665">
            <v>37.682964426877554</v>
          </cell>
          <cell r="G665">
            <v>33.493241106719005</v>
          </cell>
          <cell r="H665">
            <v>33.493241106719005</v>
          </cell>
          <cell r="I665" t="e">
            <v>#N/A</v>
          </cell>
          <cell r="J665" t="e">
            <v>#N/A</v>
          </cell>
          <cell r="K665" t="e">
            <v>#N/A</v>
          </cell>
          <cell r="L665" t="e">
            <v>#N/A</v>
          </cell>
          <cell r="M665" t="e">
            <v>#N/A</v>
          </cell>
          <cell r="N665" t="e">
            <v>#N/A</v>
          </cell>
          <cell r="O665" t="e">
            <v>#N/A</v>
          </cell>
          <cell r="P665">
            <v>34.65</v>
          </cell>
          <cell r="Q665" t="str">
            <v/>
          </cell>
          <cell r="R665" t="e">
            <v>#N/A</v>
          </cell>
        </row>
        <row r="666">
          <cell r="A666">
            <v>40115</v>
          </cell>
          <cell r="B666">
            <v>40115</v>
          </cell>
          <cell r="C666" t="str">
            <v>Future</v>
          </cell>
          <cell r="D666" t="e">
            <v>#N/A</v>
          </cell>
          <cell r="E666">
            <v>19.949486166007933</v>
          </cell>
          <cell r="F666">
            <v>37.712332015810361</v>
          </cell>
          <cell r="G666">
            <v>33.483083003952203</v>
          </cell>
          <cell r="H666">
            <v>33.483083003952203</v>
          </cell>
          <cell r="I666" t="e">
            <v>#N/A</v>
          </cell>
          <cell r="J666" t="e">
            <v>#N/A</v>
          </cell>
          <cell r="K666" t="e">
            <v>#N/A</v>
          </cell>
          <cell r="L666" t="e">
            <v>#N/A</v>
          </cell>
          <cell r="M666" t="e">
            <v>#N/A</v>
          </cell>
          <cell r="N666" t="e">
            <v>#N/A</v>
          </cell>
          <cell r="O666" t="e">
            <v>#N/A</v>
          </cell>
          <cell r="P666">
            <v>34.65</v>
          </cell>
          <cell r="Q666" t="str">
            <v/>
          </cell>
          <cell r="R666" t="e">
            <v>#N/A</v>
          </cell>
        </row>
        <row r="667">
          <cell r="A667">
            <v>40116</v>
          </cell>
          <cell r="B667">
            <v>40116</v>
          </cell>
          <cell r="C667" t="str">
            <v>Future</v>
          </cell>
          <cell r="D667" t="e">
            <v>#N/A</v>
          </cell>
          <cell r="E667">
            <v>19.8128458498024</v>
          </cell>
          <cell r="F667">
            <v>37.741699604743168</v>
          </cell>
          <cell r="G667">
            <v>33.472924901185401</v>
          </cell>
          <cell r="H667">
            <v>33.472924901185401</v>
          </cell>
          <cell r="I667" t="e">
            <v>#N/A</v>
          </cell>
          <cell r="J667" t="e">
            <v>#N/A</v>
          </cell>
          <cell r="K667" t="e">
            <v>#N/A</v>
          </cell>
          <cell r="L667" t="e">
            <v>#N/A</v>
          </cell>
          <cell r="M667" t="e">
            <v>#N/A</v>
          </cell>
          <cell r="N667" t="e">
            <v>#N/A</v>
          </cell>
          <cell r="O667" t="e">
            <v>#N/A</v>
          </cell>
          <cell r="P667">
            <v>34.65</v>
          </cell>
          <cell r="Q667" t="str">
            <v/>
          </cell>
          <cell r="R667" t="e">
            <v>#N/A</v>
          </cell>
        </row>
        <row r="668">
          <cell r="A668">
            <v>40119</v>
          </cell>
          <cell r="B668">
            <v>40119</v>
          </cell>
          <cell r="C668" t="str">
            <v>Future</v>
          </cell>
          <cell r="D668" t="e">
            <v>#N/A</v>
          </cell>
          <cell r="E668">
            <v>19.676205533596868</v>
          </cell>
          <cell r="F668">
            <v>37.771067193675975</v>
          </cell>
          <cell r="G668">
            <v>33.462766798418599</v>
          </cell>
          <cell r="H668">
            <v>33.462766798418599</v>
          </cell>
          <cell r="I668" t="e">
            <v>#N/A</v>
          </cell>
          <cell r="J668" t="e">
            <v>#N/A</v>
          </cell>
          <cell r="K668" t="e">
            <v>#N/A</v>
          </cell>
          <cell r="L668" t="e">
            <v>#N/A</v>
          </cell>
          <cell r="M668" t="e">
            <v>#N/A</v>
          </cell>
          <cell r="N668" t="e">
            <v>#N/A</v>
          </cell>
          <cell r="O668" t="e">
            <v>#N/A</v>
          </cell>
          <cell r="P668">
            <v>34.65</v>
          </cell>
          <cell r="Q668" t="str">
            <v/>
          </cell>
          <cell r="R668" t="e">
            <v>#N/A</v>
          </cell>
        </row>
        <row r="669">
          <cell r="A669">
            <v>40120</v>
          </cell>
          <cell r="B669">
            <v>40120</v>
          </cell>
          <cell r="C669" t="str">
            <v>Future</v>
          </cell>
          <cell r="D669" t="e">
            <v>#N/A</v>
          </cell>
          <cell r="E669">
            <v>19.539565217391335</v>
          </cell>
          <cell r="F669">
            <v>37.800434782608782</v>
          </cell>
          <cell r="G669">
            <v>33.452608695651797</v>
          </cell>
          <cell r="H669">
            <v>33.452608695651797</v>
          </cell>
          <cell r="I669" t="e">
            <v>#N/A</v>
          </cell>
          <cell r="J669" t="e">
            <v>#N/A</v>
          </cell>
          <cell r="K669" t="e">
            <v>#N/A</v>
          </cell>
          <cell r="L669" t="e">
            <v>#N/A</v>
          </cell>
          <cell r="M669" t="e">
            <v>#N/A</v>
          </cell>
          <cell r="N669" t="e">
            <v>#N/A</v>
          </cell>
          <cell r="O669" t="e">
            <v>#N/A</v>
          </cell>
          <cell r="P669">
            <v>34.65</v>
          </cell>
          <cell r="Q669" t="str">
            <v/>
          </cell>
          <cell r="R669" t="e">
            <v>#N/A</v>
          </cell>
        </row>
        <row r="670">
          <cell r="A670">
            <v>40121</v>
          </cell>
          <cell r="B670">
            <v>40121</v>
          </cell>
          <cell r="C670" t="str">
            <v>Future</v>
          </cell>
          <cell r="D670" t="e">
            <v>#N/A</v>
          </cell>
          <cell r="E670">
            <v>19.402924901185802</v>
          </cell>
          <cell r="F670">
            <v>37.829802371541589</v>
          </cell>
          <cell r="G670">
            <v>33.442450592884995</v>
          </cell>
          <cell r="H670">
            <v>33.442450592884995</v>
          </cell>
          <cell r="I670" t="e">
            <v>#N/A</v>
          </cell>
          <cell r="J670" t="e">
            <v>#N/A</v>
          </cell>
          <cell r="K670" t="e">
            <v>#N/A</v>
          </cell>
          <cell r="L670" t="e">
            <v>#N/A</v>
          </cell>
          <cell r="M670" t="e">
            <v>#N/A</v>
          </cell>
          <cell r="N670" t="e">
            <v>#N/A</v>
          </cell>
          <cell r="O670" t="e">
            <v>#N/A</v>
          </cell>
          <cell r="P670">
            <v>34.65</v>
          </cell>
          <cell r="Q670" t="str">
            <v/>
          </cell>
          <cell r="R670" t="e">
            <v>#N/A</v>
          </cell>
        </row>
        <row r="671">
          <cell r="A671">
            <v>40122</v>
          </cell>
          <cell r="B671">
            <v>40122</v>
          </cell>
          <cell r="C671" t="str">
            <v>Future</v>
          </cell>
          <cell r="D671" t="e">
            <v>#N/A</v>
          </cell>
          <cell r="E671">
            <v>19.266284584980269</v>
          </cell>
          <cell r="F671">
            <v>37.859169960474397</v>
          </cell>
          <cell r="G671">
            <v>33.432292490118193</v>
          </cell>
          <cell r="H671">
            <v>33.432292490118193</v>
          </cell>
          <cell r="I671" t="e">
            <v>#N/A</v>
          </cell>
          <cell r="J671" t="e">
            <v>#N/A</v>
          </cell>
          <cell r="K671" t="e">
            <v>#N/A</v>
          </cell>
          <cell r="L671" t="e">
            <v>#N/A</v>
          </cell>
          <cell r="M671" t="e">
            <v>#N/A</v>
          </cell>
          <cell r="N671" t="e">
            <v>#N/A</v>
          </cell>
          <cell r="O671" t="e">
            <v>#N/A</v>
          </cell>
          <cell r="P671">
            <v>34.65</v>
          </cell>
          <cell r="Q671" t="str">
            <v/>
          </cell>
          <cell r="R671" t="e">
            <v>#N/A</v>
          </cell>
        </row>
        <row r="672">
          <cell r="A672">
            <v>40123</v>
          </cell>
          <cell r="B672">
            <v>40123</v>
          </cell>
          <cell r="C672" t="str">
            <v>Future</v>
          </cell>
          <cell r="D672" t="e">
            <v>#N/A</v>
          </cell>
          <cell r="E672">
            <v>19.129644268774737</v>
          </cell>
          <cell r="F672">
            <v>37.888537549407204</v>
          </cell>
          <cell r="G672">
            <v>33.422134387351392</v>
          </cell>
          <cell r="H672">
            <v>33.422134387351392</v>
          </cell>
          <cell r="I672" t="e">
            <v>#N/A</v>
          </cell>
          <cell r="J672" t="e">
            <v>#N/A</v>
          </cell>
          <cell r="K672" t="e">
            <v>#N/A</v>
          </cell>
          <cell r="L672" t="e">
            <v>#N/A</v>
          </cell>
          <cell r="M672" t="e">
            <v>#N/A</v>
          </cell>
          <cell r="N672" t="e">
            <v>#N/A</v>
          </cell>
          <cell r="O672" t="e">
            <v>#N/A</v>
          </cell>
          <cell r="P672">
            <v>34.65</v>
          </cell>
          <cell r="Q672" t="str">
            <v/>
          </cell>
          <cell r="R672" t="e">
            <v>#N/A</v>
          </cell>
        </row>
        <row r="673">
          <cell r="A673">
            <v>40126</v>
          </cell>
          <cell r="B673">
            <v>40126</v>
          </cell>
          <cell r="C673" t="str">
            <v>Future</v>
          </cell>
          <cell r="D673" t="e">
            <v>#N/A</v>
          </cell>
          <cell r="E673">
            <v>18.993003952569204</v>
          </cell>
          <cell r="F673">
            <v>37.917905138340011</v>
          </cell>
          <cell r="G673">
            <v>33.41197628458459</v>
          </cell>
          <cell r="H673">
            <v>33.41197628458459</v>
          </cell>
          <cell r="I673" t="e">
            <v>#N/A</v>
          </cell>
          <cell r="J673" t="e">
            <v>#N/A</v>
          </cell>
          <cell r="K673" t="e">
            <v>#N/A</v>
          </cell>
          <cell r="L673" t="e">
            <v>#N/A</v>
          </cell>
          <cell r="M673" t="e">
            <v>#N/A</v>
          </cell>
          <cell r="N673" t="e">
            <v>#N/A</v>
          </cell>
          <cell r="O673" t="e">
            <v>#N/A</v>
          </cell>
          <cell r="P673">
            <v>34.65</v>
          </cell>
          <cell r="Q673" t="str">
            <v/>
          </cell>
          <cell r="R673" t="e">
            <v>#N/A</v>
          </cell>
        </row>
        <row r="674">
          <cell r="A674">
            <v>40127</v>
          </cell>
          <cell r="B674">
            <v>40127</v>
          </cell>
          <cell r="C674" t="str">
            <v>Future</v>
          </cell>
          <cell r="D674" t="e">
            <v>#N/A</v>
          </cell>
          <cell r="E674">
            <v>18.856363636363671</v>
          </cell>
          <cell r="F674">
            <v>37.947272727272818</v>
          </cell>
          <cell r="G674">
            <v>33.401818181817788</v>
          </cell>
          <cell r="H674">
            <v>33.401818181817788</v>
          </cell>
          <cell r="I674" t="e">
            <v>#N/A</v>
          </cell>
          <cell r="J674" t="e">
            <v>#N/A</v>
          </cell>
          <cell r="K674" t="e">
            <v>#N/A</v>
          </cell>
          <cell r="L674" t="e">
            <v>#N/A</v>
          </cell>
          <cell r="M674" t="e">
            <v>#N/A</v>
          </cell>
          <cell r="N674" t="e">
            <v>#N/A</v>
          </cell>
          <cell r="O674" t="e">
            <v>#N/A</v>
          </cell>
          <cell r="P674">
            <v>34.65</v>
          </cell>
          <cell r="Q674" t="str">
            <v/>
          </cell>
          <cell r="R674" t="e">
            <v>#N/A</v>
          </cell>
        </row>
        <row r="675">
          <cell r="A675">
            <v>40128</v>
          </cell>
          <cell r="B675">
            <v>40128</v>
          </cell>
          <cell r="C675" t="str">
            <v>Future</v>
          </cell>
          <cell r="D675" t="e">
            <v>#N/A</v>
          </cell>
          <cell r="E675">
            <v>18.719723320158138</v>
          </cell>
          <cell r="F675">
            <v>37.976640316205625</v>
          </cell>
          <cell r="G675">
            <v>33.391660079050986</v>
          </cell>
          <cell r="H675">
            <v>33.391660079050986</v>
          </cell>
          <cell r="I675" t="e">
            <v>#N/A</v>
          </cell>
          <cell r="J675" t="e">
            <v>#N/A</v>
          </cell>
          <cell r="K675" t="e">
            <v>#N/A</v>
          </cell>
          <cell r="L675" t="e">
            <v>#N/A</v>
          </cell>
          <cell r="M675" t="e">
            <v>#N/A</v>
          </cell>
          <cell r="N675" t="e">
            <v>#N/A</v>
          </cell>
          <cell r="O675" t="e">
            <v>#N/A</v>
          </cell>
          <cell r="P675">
            <v>34.65</v>
          </cell>
          <cell r="Q675" t="str">
            <v/>
          </cell>
          <cell r="R675" t="e">
            <v>#N/A</v>
          </cell>
        </row>
        <row r="676">
          <cell r="A676">
            <v>40129</v>
          </cell>
          <cell r="B676">
            <v>40129</v>
          </cell>
          <cell r="C676" t="str">
            <v>Future</v>
          </cell>
          <cell r="D676" t="e">
            <v>#N/A</v>
          </cell>
          <cell r="E676">
            <v>18.583083003952606</v>
          </cell>
          <cell r="F676">
            <v>38.006007905138432</v>
          </cell>
          <cell r="G676">
            <v>33.381501976284184</v>
          </cell>
          <cell r="H676">
            <v>33.381501976284184</v>
          </cell>
          <cell r="I676" t="e">
            <v>#N/A</v>
          </cell>
          <cell r="J676" t="e">
            <v>#N/A</v>
          </cell>
          <cell r="K676" t="e">
            <v>#N/A</v>
          </cell>
          <cell r="L676" t="e">
            <v>#N/A</v>
          </cell>
          <cell r="M676" t="e">
            <v>#N/A</v>
          </cell>
          <cell r="N676" t="e">
            <v>#N/A</v>
          </cell>
          <cell r="O676" t="e">
            <v>#N/A</v>
          </cell>
          <cell r="P676">
            <v>34.65</v>
          </cell>
          <cell r="Q676" t="str">
            <v/>
          </cell>
          <cell r="R676" t="e">
            <v>#N/A</v>
          </cell>
        </row>
        <row r="677">
          <cell r="A677">
            <v>40130</v>
          </cell>
          <cell r="B677">
            <v>40130</v>
          </cell>
          <cell r="C677" t="str">
            <v>Future</v>
          </cell>
          <cell r="D677" t="e">
            <v>#N/A</v>
          </cell>
          <cell r="E677">
            <v>18.446442687747073</v>
          </cell>
          <cell r="F677">
            <v>38.035375494071239</v>
          </cell>
          <cell r="G677">
            <v>33.371343873517382</v>
          </cell>
          <cell r="H677">
            <v>33.371343873517382</v>
          </cell>
          <cell r="I677" t="e">
            <v>#N/A</v>
          </cell>
          <cell r="J677" t="e">
            <v>#N/A</v>
          </cell>
          <cell r="K677" t="e">
            <v>#N/A</v>
          </cell>
          <cell r="L677" t="e">
            <v>#N/A</v>
          </cell>
          <cell r="M677" t="e">
            <v>#N/A</v>
          </cell>
          <cell r="N677" t="e">
            <v>#N/A</v>
          </cell>
          <cell r="O677" t="e">
            <v>#N/A</v>
          </cell>
          <cell r="P677">
            <v>34.65</v>
          </cell>
          <cell r="Q677" t="str">
            <v/>
          </cell>
          <cell r="R677" t="e">
            <v>#N/A</v>
          </cell>
        </row>
        <row r="678">
          <cell r="A678">
            <v>40133</v>
          </cell>
          <cell r="B678">
            <v>40133</v>
          </cell>
          <cell r="C678" t="str">
            <v>Future</v>
          </cell>
          <cell r="D678" t="e">
            <v>#N/A</v>
          </cell>
          <cell r="E678">
            <v>18.30980237154154</v>
          </cell>
          <cell r="F678">
            <v>38.064743083004046</v>
          </cell>
          <cell r="G678">
            <v>33.361185770750581</v>
          </cell>
          <cell r="H678">
            <v>33.361185770750581</v>
          </cell>
          <cell r="I678" t="e">
            <v>#N/A</v>
          </cell>
          <cell r="J678" t="e">
            <v>#N/A</v>
          </cell>
          <cell r="K678" t="e">
            <v>#N/A</v>
          </cell>
          <cell r="L678" t="e">
            <v>#N/A</v>
          </cell>
          <cell r="M678" t="e">
            <v>#N/A</v>
          </cell>
          <cell r="N678" t="e">
            <v>#N/A</v>
          </cell>
          <cell r="O678" t="e">
            <v>#N/A</v>
          </cell>
          <cell r="P678">
            <v>34.65</v>
          </cell>
          <cell r="Q678" t="str">
            <v/>
          </cell>
          <cell r="R678" t="e">
            <v>#N/A</v>
          </cell>
        </row>
        <row r="679">
          <cell r="A679">
            <v>40134</v>
          </cell>
          <cell r="B679">
            <v>40134</v>
          </cell>
          <cell r="C679" t="str">
            <v>Future</v>
          </cell>
          <cell r="D679" t="e">
            <v>#N/A</v>
          </cell>
          <cell r="E679">
            <v>18.173162055336007</v>
          </cell>
          <cell r="F679">
            <v>38.094110671936853</v>
          </cell>
          <cell r="G679">
            <v>33.351027667983779</v>
          </cell>
          <cell r="H679">
            <v>33.351027667983779</v>
          </cell>
          <cell r="I679" t="e">
            <v>#N/A</v>
          </cell>
          <cell r="J679" t="e">
            <v>#N/A</v>
          </cell>
          <cell r="K679" t="e">
            <v>#N/A</v>
          </cell>
          <cell r="L679" t="e">
            <v>#N/A</v>
          </cell>
          <cell r="M679" t="e">
            <v>#N/A</v>
          </cell>
          <cell r="N679" t="e">
            <v>#N/A</v>
          </cell>
          <cell r="O679" t="e">
            <v>#N/A</v>
          </cell>
          <cell r="P679">
            <v>34.65</v>
          </cell>
          <cell r="Q679" t="str">
            <v/>
          </cell>
          <cell r="R679" t="e">
            <v>#N/A</v>
          </cell>
        </row>
        <row r="680">
          <cell r="A680">
            <v>40135</v>
          </cell>
          <cell r="B680">
            <v>40135</v>
          </cell>
          <cell r="C680" t="str">
            <v>Future</v>
          </cell>
          <cell r="D680" t="e">
            <v>#N/A</v>
          </cell>
          <cell r="E680">
            <v>18.036521739130475</v>
          </cell>
          <cell r="F680">
            <v>38.123478260869661</v>
          </cell>
          <cell r="G680">
            <v>33.340869565216977</v>
          </cell>
          <cell r="H680">
            <v>33.340869565216977</v>
          </cell>
          <cell r="I680" t="e">
            <v>#N/A</v>
          </cell>
          <cell r="J680" t="e">
            <v>#N/A</v>
          </cell>
          <cell r="K680" t="e">
            <v>#N/A</v>
          </cell>
          <cell r="L680" t="e">
            <v>#N/A</v>
          </cell>
          <cell r="M680" t="e">
            <v>#N/A</v>
          </cell>
          <cell r="N680" t="e">
            <v>#N/A</v>
          </cell>
          <cell r="O680" t="e">
            <v>#N/A</v>
          </cell>
          <cell r="P680">
            <v>34.65</v>
          </cell>
          <cell r="Q680" t="str">
            <v/>
          </cell>
          <cell r="R680" t="e">
            <v>#N/A</v>
          </cell>
        </row>
        <row r="681">
          <cell r="A681">
            <v>40136</v>
          </cell>
          <cell r="B681">
            <v>40136</v>
          </cell>
          <cell r="C681" t="str">
            <v>Future</v>
          </cell>
          <cell r="D681" t="e">
            <v>#N/A</v>
          </cell>
          <cell r="E681">
            <v>17.899881422924942</v>
          </cell>
          <cell r="F681">
            <v>38.152845849802468</v>
          </cell>
          <cell r="G681">
            <v>33.330711462450175</v>
          </cell>
          <cell r="H681">
            <v>33.330711462450175</v>
          </cell>
          <cell r="I681" t="e">
            <v>#N/A</v>
          </cell>
          <cell r="J681" t="e">
            <v>#N/A</v>
          </cell>
          <cell r="K681" t="e">
            <v>#N/A</v>
          </cell>
          <cell r="L681" t="e">
            <v>#N/A</v>
          </cell>
          <cell r="M681" t="e">
            <v>#N/A</v>
          </cell>
          <cell r="N681" t="e">
            <v>#N/A</v>
          </cell>
          <cell r="O681" t="e">
            <v>#N/A</v>
          </cell>
          <cell r="P681">
            <v>34.65</v>
          </cell>
          <cell r="Q681" t="str">
            <v/>
          </cell>
          <cell r="R681" t="e">
            <v>#N/A</v>
          </cell>
        </row>
        <row r="682">
          <cell r="A682">
            <v>40137</v>
          </cell>
          <cell r="B682">
            <v>40137</v>
          </cell>
          <cell r="C682" t="str">
            <v>Future</v>
          </cell>
          <cell r="D682" t="e">
            <v>#N/A</v>
          </cell>
          <cell r="E682">
            <v>17.763241106719409</v>
          </cell>
          <cell r="F682">
            <v>38.182213438735275</v>
          </cell>
          <cell r="G682">
            <v>33.320553359683373</v>
          </cell>
          <cell r="H682">
            <v>33.320553359683373</v>
          </cell>
          <cell r="I682" t="e">
            <v>#N/A</v>
          </cell>
          <cell r="J682" t="e">
            <v>#N/A</v>
          </cell>
          <cell r="K682" t="e">
            <v>#N/A</v>
          </cell>
          <cell r="L682" t="e">
            <v>#N/A</v>
          </cell>
          <cell r="M682" t="e">
            <v>#N/A</v>
          </cell>
          <cell r="N682" t="e">
            <v>#N/A</v>
          </cell>
          <cell r="O682" t="e">
            <v>#N/A</v>
          </cell>
          <cell r="P682">
            <v>34.65</v>
          </cell>
          <cell r="Q682" t="str">
            <v/>
          </cell>
          <cell r="R682" t="e">
            <v>#N/A</v>
          </cell>
        </row>
        <row r="683">
          <cell r="A683">
            <v>40140</v>
          </cell>
          <cell r="B683">
            <v>40140</v>
          </cell>
          <cell r="C683" t="str">
            <v>Future</v>
          </cell>
          <cell r="D683" t="e">
            <v>#N/A</v>
          </cell>
          <cell r="E683">
            <v>17.626600790513876</v>
          </cell>
          <cell r="F683">
            <v>38.211581027668082</v>
          </cell>
          <cell r="G683">
            <v>33.310395256916571</v>
          </cell>
          <cell r="H683">
            <v>33.310395256916571</v>
          </cell>
          <cell r="I683" t="e">
            <v>#N/A</v>
          </cell>
          <cell r="J683" t="e">
            <v>#N/A</v>
          </cell>
          <cell r="K683" t="e">
            <v>#N/A</v>
          </cell>
          <cell r="L683" t="e">
            <v>#N/A</v>
          </cell>
          <cell r="M683" t="e">
            <v>#N/A</v>
          </cell>
          <cell r="N683" t="e">
            <v>#N/A</v>
          </cell>
          <cell r="O683" t="e">
            <v>#N/A</v>
          </cell>
          <cell r="P683">
            <v>34.65</v>
          </cell>
          <cell r="Q683" t="str">
            <v/>
          </cell>
          <cell r="R683" t="e">
            <v>#N/A</v>
          </cell>
        </row>
        <row r="684">
          <cell r="A684">
            <v>40141</v>
          </cell>
          <cell r="B684">
            <v>40141</v>
          </cell>
          <cell r="C684" t="str">
            <v>Future</v>
          </cell>
          <cell r="D684" t="e">
            <v>#N/A</v>
          </cell>
          <cell r="E684">
            <v>17.489960474308344</v>
          </cell>
          <cell r="F684">
            <v>38.240948616600889</v>
          </cell>
          <cell r="G684">
            <v>33.300237154149769</v>
          </cell>
          <cell r="H684">
            <v>33.300237154149769</v>
          </cell>
          <cell r="I684" t="e">
            <v>#N/A</v>
          </cell>
          <cell r="J684" t="e">
            <v>#N/A</v>
          </cell>
          <cell r="K684" t="e">
            <v>#N/A</v>
          </cell>
          <cell r="L684" t="e">
            <v>#N/A</v>
          </cell>
          <cell r="M684" t="e">
            <v>#N/A</v>
          </cell>
          <cell r="N684" t="e">
            <v>#N/A</v>
          </cell>
          <cell r="O684" t="e">
            <v>#N/A</v>
          </cell>
          <cell r="P684">
            <v>34.65</v>
          </cell>
          <cell r="Q684" t="str">
            <v/>
          </cell>
          <cell r="R684" t="e">
            <v>#N/A</v>
          </cell>
        </row>
        <row r="685">
          <cell r="A685">
            <v>40142</v>
          </cell>
          <cell r="B685">
            <v>40142</v>
          </cell>
          <cell r="C685" t="str">
            <v>Future</v>
          </cell>
          <cell r="D685" t="e">
            <v>#N/A</v>
          </cell>
          <cell r="E685">
            <v>17.353320158102811</v>
          </cell>
          <cell r="F685">
            <v>38.270316205533696</v>
          </cell>
          <cell r="G685">
            <v>33.290079051382968</v>
          </cell>
          <cell r="H685">
            <v>33.290079051382968</v>
          </cell>
          <cell r="I685" t="e">
            <v>#N/A</v>
          </cell>
          <cell r="J685" t="e">
            <v>#N/A</v>
          </cell>
          <cell r="K685" t="e">
            <v>#N/A</v>
          </cell>
          <cell r="L685" t="e">
            <v>#N/A</v>
          </cell>
          <cell r="M685" t="e">
            <v>#N/A</v>
          </cell>
          <cell r="N685" t="e">
            <v>#N/A</v>
          </cell>
          <cell r="O685" t="e">
            <v>#N/A</v>
          </cell>
          <cell r="P685">
            <v>34.65</v>
          </cell>
          <cell r="Q685" t="str">
            <v/>
          </cell>
          <cell r="R685" t="e">
            <v>#N/A</v>
          </cell>
        </row>
        <row r="686">
          <cell r="A686">
            <v>40144</v>
          </cell>
          <cell r="B686">
            <v>40144</v>
          </cell>
          <cell r="C686" t="str">
            <v>Future</v>
          </cell>
          <cell r="D686" t="e">
            <v>#N/A</v>
          </cell>
          <cell r="E686">
            <v>17.216679841897278</v>
          </cell>
          <cell r="F686">
            <v>38.299683794466503</v>
          </cell>
          <cell r="G686">
            <v>33.279920948616166</v>
          </cell>
          <cell r="H686">
            <v>33.279920948616166</v>
          </cell>
          <cell r="I686" t="e">
            <v>#N/A</v>
          </cell>
          <cell r="J686" t="e">
            <v>#N/A</v>
          </cell>
          <cell r="K686" t="e">
            <v>#N/A</v>
          </cell>
          <cell r="L686" t="e">
            <v>#N/A</v>
          </cell>
          <cell r="M686" t="e">
            <v>#N/A</v>
          </cell>
          <cell r="N686" t="e">
            <v>#N/A</v>
          </cell>
          <cell r="O686" t="e">
            <v>#N/A</v>
          </cell>
          <cell r="P686">
            <v>34.65</v>
          </cell>
          <cell r="Q686" t="str">
            <v/>
          </cell>
          <cell r="R686" t="e">
            <v>#N/A</v>
          </cell>
        </row>
        <row r="687">
          <cell r="A687">
            <v>40147</v>
          </cell>
          <cell r="B687">
            <v>40147</v>
          </cell>
          <cell r="C687" t="str">
            <v>Future</v>
          </cell>
          <cell r="D687" t="e">
            <v>#N/A</v>
          </cell>
          <cell r="E687">
            <v>17.080039525691745</v>
          </cell>
          <cell r="F687">
            <v>38.32905138339931</v>
          </cell>
          <cell r="G687">
            <v>33.269762845849364</v>
          </cell>
          <cell r="H687">
            <v>33.269762845849364</v>
          </cell>
          <cell r="I687" t="e">
            <v>#N/A</v>
          </cell>
          <cell r="J687" t="e">
            <v>#N/A</v>
          </cell>
          <cell r="K687" t="e">
            <v>#N/A</v>
          </cell>
          <cell r="L687" t="e">
            <v>#N/A</v>
          </cell>
          <cell r="M687" t="e">
            <v>#N/A</v>
          </cell>
          <cell r="N687" t="e">
            <v>#N/A</v>
          </cell>
          <cell r="O687" t="e">
            <v>#N/A</v>
          </cell>
          <cell r="P687">
            <v>34.65</v>
          </cell>
          <cell r="Q687" t="str">
            <v/>
          </cell>
          <cell r="R687" t="e">
            <v>#N/A</v>
          </cell>
        </row>
        <row r="688">
          <cell r="A688">
            <v>40148</v>
          </cell>
          <cell r="B688">
            <v>40148</v>
          </cell>
          <cell r="C688" t="str">
            <v>Future</v>
          </cell>
          <cell r="D688" t="e">
            <v>#N/A</v>
          </cell>
          <cell r="E688">
            <v>16.943399209486213</v>
          </cell>
          <cell r="F688">
            <v>38.358418972332117</v>
          </cell>
          <cell r="G688">
            <v>33.259604743082562</v>
          </cell>
          <cell r="H688">
            <v>33.259604743082562</v>
          </cell>
          <cell r="I688" t="e">
            <v>#N/A</v>
          </cell>
          <cell r="J688" t="e">
            <v>#N/A</v>
          </cell>
          <cell r="K688" t="e">
            <v>#N/A</v>
          </cell>
          <cell r="L688" t="e">
            <v>#N/A</v>
          </cell>
          <cell r="M688" t="e">
            <v>#N/A</v>
          </cell>
          <cell r="N688" t="e">
            <v>#N/A</v>
          </cell>
          <cell r="O688" t="e">
            <v>#N/A</v>
          </cell>
          <cell r="P688">
            <v>34.65</v>
          </cell>
          <cell r="Q688" t="str">
            <v/>
          </cell>
          <cell r="R688" t="e">
            <v>#N/A</v>
          </cell>
        </row>
        <row r="689">
          <cell r="A689">
            <v>40149</v>
          </cell>
          <cell r="B689">
            <v>40149</v>
          </cell>
          <cell r="C689" t="str">
            <v>Future</v>
          </cell>
          <cell r="D689" t="e">
            <v>#N/A</v>
          </cell>
          <cell r="E689">
            <v>16.80675889328068</v>
          </cell>
          <cell r="F689">
            <v>38.387786561264925</v>
          </cell>
          <cell r="G689">
            <v>33.24944664031576</v>
          </cell>
          <cell r="H689">
            <v>33.24944664031576</v>
          </cell>
          <cell r="I689" t="e">
            <v>#N/A</v>
          </cell>
          <cell r="J689" t="e">
            <v>#N/A</v>
          </cell>
          <cell r="K689" t="e">
            <v>#N/A</v>
          </cell>
          <cell r="L689" t="e">
            <v>#N/A</v>
          </cell>
          <cell r="M689" t="e">
            <v>#N/A</v>
          </cell>
          <cell r="N689" t="e">
            <v>#N/A</v>
          </cell>
          <cell r="O689" t="e">
            <v>#N/A</v>
          </cell>
          <cell r="P689">
            <v>34.65</v>
          </cell>
          <cell r="Q689" t="str">
            <v/>
          </cell>
          <cell r="R689" t="e">
            <v>#N/A</v>
          </cell>
        </row>
        <row r="690">
          <cell r="A690">
            <v>40150</v>
          </cell>
          <cell r="B690">
            <v>40150</v>
          </cell>
          <cell r="C690" t="str">
            <v>Future</v>
          </cell>
          <cell r="D690" t="e">
            <v>#N/A</v>
          </cell>
          <cell r="E690">
            <v>16.670118577075147</v>
          </cell>
          <cell r="F690">
            <v>38.417154150197732</v>
          </cell>
          <cell r="G690">
            <v>33.239288537548958</v>
          </cell>
          <cell r="H690">
            <v>33.239288537548958</v>
          </cell>
          <cell r="I690" t="e">
            <v>#N/A</v>
          </cell>
          <cell r="J690" t="e">
            <v>#N/A</v>
          </cell>
          <cell r="K690" t="e">
            <v>#N/A</v>
          </cell>
          <cell r="L690" t="e">
            <v>#N/A</v>
          </cell>
          <cell r="M690" t="e">
            <v>#N/A</v>
          </cell>
          <cell r="N690" t="e">
            <v>#N/A</v>
          </cell>
          <cell r="O690" t="e">
            <v>#N/A</v>
          </cell>
          <cell r="P690">
            <v>34.65</v>
          </cell>
          <cell r="Q690" t="str">
            <v/>
          </cell>
          <cell r="R690" t="e">
            <v>#N/A</v>
          </cell>
        </row>
        <row r="691">
          <cell r="A691">
            <v>40151</v>
          </cell>
          <cell r="B691">
            <v>40151</v>
          </cell>
          <cell r="C691" t="str">
            <v>Future</v>
          </cell>
          <cell r="D691" t="e">
            <v>#N/A</v>
          </cell>
          <cell r="E691">
            <v>16.533478260869614</v>
          </cell>
          <cell r="F691">
            <v>38.446521739130539</v>
          </cell>
          <cell r="G691">
            <v>33.229130434782157</v>
          </cell>
          <cell r="H691">
            <v>33.229130434782157</v>
          </cell>
          <cell r="I691" t="e">
            <v>#N/A</v>
          </cell>
          <cell r="J691" t="e">
            <v>#N/A</v>
          </cell>
          <cell r="K691" t="e">
            <v>#N/A</v>
          </cell>
          <cell r="L691" t="e">
            <v>#N/A</v>
          </cell>
          <cell r="M691" t="e">
            <v>#N/A</v>
          </cell>
          <cell r="N691" t="e">
            <v>#N/A</v>
          </cell>
          <cell r="O691" t="e">
            <v>#N/A</v>
          </cell>
          <cell r="P691">
            <v>34.65</v>
          </cell>
          <cell r="Q691" t="str">
            <v/>
          </cell>
          <cell r="R691" t="e">
            <v>#N/A</v>
          </cell>
        </row>
        <row r="692">
          <cell r="A692">
            <v>40154</v>
          </cell>
          <cell r="B692">
            <v>40154</v>
          </cell>
          <cell r="C692" t="str">
            <v>Future</v>
          </cell>
          <cell r="D692" t="e">
            <v>#N/A</v>
          </cell>
          <cell r="E692">
            <v>16.396837944664082</v>
          </cell>
          <cell r="F692">
            <v>38.475889328063346</v>
          </cell>
          <cell r="G692">
            <v>33.218972332015355</v>
          </cell>
          <cell r="H692">
            <v>33.218972332015355</v>
          </cell>
          <cell r="I692" t="e">
            <v>#N/A</v>
          </cell>
          <cell r="J692" t="e">
            <v>#N/A</v>
          </cell>
          <cell r="K692" t="e">
            <v>#N/A</v>
          </cell>
          <cell r="L692" t="e">
            <v>#N/A</v>
          </cell>
          <cell r="M692" t="e">
            <v>#N/A</v>
          </cell>
          <cell r="N692" t="e">
            <v>#N/A</v>
          </cell>
          <cell r="O692" t="e">
            <v>#N/A</v>
          </cell>
          <cell r="P692">
            <v>34.65</v>
          </cell>
          <cell r="Q692" t="str">
            <v/>
          </cell>
          <cell r="R692" t="e">
            <v>#N/A</v>
          </cell>
        </row>
        <row r="693">
          <cell r="A693">
            <v>40155</v>
          </cell>
          <cell r="B693">
            <v>40155</v>
          </cell>
          <cell r="C693" t="str">
            <v>Future</v>
          </cell>
          <cell r="D693" t="e">
            <v>#N/A</v>
          </cell>
          <cell r="E693">
            <v>16.260197628458549</v>
          </cell>
          <cell r="F693">
            <v>38.505256916996153</v>
          </cell>
          <cell r="G693">
            <v>33.208814229248553</v>
          </cell>
          <cell r="H693">
            <v>33.208814229248553</v>
          </cell>
          <cell r="I693" t="e">
            <v>#N/A</v>
          </cell>
          <cell r="J693" t="e">
            <v>#N/A</v>
          </cell>
          <cell r="K693" t="e">
            <v>#N/A</v>
          </cell>
          <cell r="L693" t="e">
            <v>#N/A</v>
          </cell>
          <cell r="M693" t="e">
            <v>#N/A</v>
          </cell>
          <cell r="N693" t="e">
            <v>#N/A</v>
          </cell>
          <cell r="O693" t="e">
            <v>#N/A</v>
          </cell>
          <cell r="P693">
            <v>34.65</v>
          </cell>
          <cell r="Q693" t="str">
            <v/>
          </cell>
          <cell r="R693" t="e">
            <v>#N/A</v>
          </cell>
        </row>
        <row r="694">
          <cell r="A694">
            <v>40156</v>
          </cell>
          <cell r="B694">
            <v>40156</v>
          </cell>
          <cell r="C694" t="str">
            <v>Future</v>
          </cell>
          <cell r="D694" t="e">
            <v>#N/A</v>
          </cell>
          <cell r="E694">
            <v>16.123557312253016</v>
          </cell>
          <cell r="F694">
            <v>38.53462450592896</v>
          </cell>
          <cell r="G694">
            <v>33.198656126481751</v>
          </cell>
          <cell r="H694">
            <v>33.198656126481751</v>
          </cell>
          <cell r="I694" t="e">
            <v>#N/A</v>
          </cell>
          <cell r="J694" t="e">
            <v>#N/A</v>
          </cell>
          <cell r="K694" t="e">
            <v>#N/A</v>
          </cell>
          <cell r="L694" t="e">
            <v>#N/A</v>
          </cell>
          <cell r="M694" t="e">
            <v>#N/A</v>
          </cell>
          <cell r="N694" t="e">
            <v>#N/A</v>
          </cell>
          <cell r="O694" t="e">
            <v>#N/A</v>
          </cell>
          <cell r="P694">
            <v>34.65</v>
          </cell>
          <cell r="Q694" t="str">
            <v/>
          </cell>
          <cell r="R694" t="e">
            <v>#N/A</v>
          </cell>
        </row>
        <row r="695">
          <cell r="A695">
            <v>40157</v>
          </cell>
          <cell r="B695">
            <v>40157</v>
          </cell>
          <cell r="C695" t="str">
            <v>Future</v>
          </cell>
          <cell r="D695" t="e">
            <v>#N/A</v>
          </cell>
          <cell r="E695">
            <v>15.986916996047484</v>
          </cell>
          <cell r="F695">
            <v>38.563992094861767</v>
          </cell>
          <cell r="G695">
            <v>33.188498023714949</v>
          </cell>
          <cell r="H695">
            <v>33.188498023714949</v>
          </cell>
          <cell r="I695" t="e">
            <v>#N/A</v>
          </cell>
          <cell r="J695" t="e">
            <v>#N/A</v>
          </cell>
          <cell r="K695" t="e">
            <v>#N/A</v>
          </cell>
          <cell r="L695" t="e">
            <v>#N/A</v>
          </cell>
          <cell r="M695" t="e">
            <v>#N/A</v>
          </cell>
          <cell r="N695" t="e">
            <v>#N/A</v>
          </cell>
          <cell r="O695" t="e">
            <v>#N/A</v>
          </cell>
          <cell r="P695">
            <v>34.65</v>
          </cell>
          <cell r="Q695" t="str">
            <v/>
          </cell>
          <cell r="R695" t="e">
            <v>#N/A</v>
          </cell>
        </row>
        <row r="696">
          <cell r="A696">
            <v>40158</v>
          </cell>
          <cell r="B696">
            <v>40158</v>
          </cell>
          <cell r="C696" t="str">
            <v>Future</v>
          </cell>
          <cell r="D696" t="e">
            <v>#N/A</v>
          </cell>
          <cell r="E696">
            <v>15.850276679841951</v>
          </cell>
          <cell r="F696">
            <v>38.593359683794574</v>
          </cell>
          <cell r="G696">
            <v>33.178339920948147</v>
          </cell>
          <cell r="H696">
            <v>33.178339920948147</v>
          </cell>
          <cell r="I696" t="e">
            <v>#N/A</v>
          </cell>
          <cell r="J696" t="e">
            <v>#N/A</v>
          </cell>
          <cell r="K696" t="e">
            <v>#N/A</v>
          </cell>
          <cell r="L696" t="e">
            <v>#N/A</v>
          </cell>
          <cell r="M696" t="e">
            <v>#N/A</v>
          </cell>
          <cell r="N696" t="e">
            <v>#N/A</v>
          </cell>
          <cell r="O696" t="e">
            <v>#N/A</v>
          </cell>
          <cell r="P696">
            <v>34.65</v>
          </cell>
          <cell r="Q696" t="str">
            <v/>
          </cell>
          <cell r="R696" t="e">
            <v>#N/A</v>
          </cell>
        </row>
        <row r="697">
          <cell r="A697">
            <v>40161</v>
          </cell>
          <cell r="B697">
            <v>40161</v>
          </cell>
          <cell r="C697" t="str">
            <v>Future</v>
          </cell>
          <cell r="D697" t="e">
            <v>#N/A</v>
          </cell>
          <cell r="E697">
            <v>15.713636363636418</v>
          </cell>
          <cell r="F697">
            <v>38.622727272727381</v>
          </cell>
          <cell r="G697">
            <v>33.168181818181345</v>
          </cell>
          <cell r="H697">
            <v>33.168181818181345</v>
          </cell>
          <cell r="I697" t="e">
            <v>#N/A</v>
          </cell>
          <cell r="J697" t="e">
            <v>#N/A</v>
          </cell>
          <cell r="K697" t="e">
            <v>#N/A</v>
          </cell>
          <cell r="L697" t="e">
            <v>#N/A</v>
          </cell>
          <cell r="M697" t="e">
            <v>#N/A</v>
          </cell>
          <cell r="N697" t="e">
            <v>#N/A</v>
          </cell>
          <cell r="O697" t="e">
            <v>#N/A</v>
          </cell>
          <cell r="P697">
            <v>34.65</v>
          </cell>
          <cell r="Q697" t="str">
            <v/>
          </cell>
          <cell r="R697" t="e">
            <v>#N/A</v>
          </cell>
        </row>
        <row r="698">
          <cell r="A698">
            <v>40162</v>
          </cell>
          <cell r="B698">
            <v>40162</v>
          </cell>
          <cell r="C698" t="str">
            <v>Future</v>
          </cell>
          <cell r="D698" t="e">
            <v>#N/A</v>
          </cell>
          <cell r="E698">
            <v>15.576996047430885</v>
          </cell>
          <cell r="F698">
            <v>38.652094861660188</v>
          </cell>
          <cell r="G698">
            <v>33.158023715414544</v>
          </cell>
          <cell r="H698">
            <v>33.158023715414544</v>
          </cell>
          <cell r="I698" t="e">
            <v>#N/A</v>
          </cell>
          <cell r="J698" t="e">
            <v>#N/A</v>
          </cell>
          <cell r="K698" t="e">
            <v>#N/A</v>
          </cell>
          <cell r="L698" t="e">
            <v>#N/A</v>
          </cell>
          <cell r="M698" t="e">
            <v>#N/A</v>
          </cell>
          <cell r="N698" t="e">
            <v>#N/A</v>
          </cell>
          <cell r="O698" t="e">
            <v>#N/A</v>
          </cell>
          <cell r="P698">
            <v>34.65</v>
          </cell>
          <cell r="Q698" t="str">
            <v/>
          </cell>
          <cell r="R698" t="e">
            <v>#N/A</v>
          </cell>
        </row>
        <row r="699">
          <cell r="A699">
            <v>40163</v>
          </cell>
          <cell r="B699">
            <v>40163</v>
          </cell>
          <cell r="C699" t="str">
            <v>Future</v>
          </cell>
          <cell r="D699" t="e">
            <v>#N/A</v>
          </cell>
          <cell r="E699">
            <v>15.440355731225353</v>
          </cell>
          <cell r="F699">
            <v>38.681462450592996</v>
          </cell>
          <cell r="G699">
            <v>33.147865612647742</v>
          </cell>
          <cell r="H699">
            <v>33.147865612647742</v>
          </cell>
          <cell r="I699" t="e">
            <v>#N/A</v>
          </cell>
          <cell r="J699" t="e">
            <v>#N/A</v>
          </cell>
          <cell r="K699" t="e">
            <v>#N/A</v>
          </cell>
          <cell r="L699" t="e">
            <v>#N/A</v>
          </cell>
          <cell r="M699" t="e">
            <v>#N/A</v>
          </cell>
          <cell r="N699" t="e">
            <v>#N/A</v>
          </cell>
          <cell r="O699" t="e">
            <v>#N/A</v>
          </cell>
          <cell r="P699">
            <v>34.65</v>
          </cell>
          <cell r="Q699" t="str">
            <v/>
          </cell>
          <cell r="R699" t="e">
            <v>#N/A</v>
          </cell>
        </row>
        <row r="700">
          <cell r="A700">
            <v>40164</v>
          </cell>
          <cell r="B700">
            <v>40164</v>
          </cell>
          <cell r="C700" t="str">
            <v>Future</v>
          </cell>
          <cell r="D700" t="e">
            <v>#N/A</v>
          </cell>
          <cell r="E700">
            <v>15.30371541501982</v>
          </cell>
          <cell r="F700">
            <v>38.710830039525803</v>
          </cell>
          <cell r="G700">
            <v>33.13770750988094</v>
          </cell>
          <cell r="H700">
            <v>33.13770750988094</v>
          </cell>
          <cell r="I700" t="e">
            <v>#N/A</v>
          </cell>
          <cell r="J700" t="e">
            <v>#N/A</v>
          </cell>
          <cell r="K700" t="e">
            <v>#N/A</v>
          </cell>
          <cell r="L700" t="e">
            <v>#N/A</v>
          </cell>
          <cell r="M700" t="e">
            <v>#N/A</v>
          </cell>
          <cell r="N700" t="e">
            <v>#N/A</v>
          </cell>
          <cell r="O700" t="e">
            <v>#N/A</v>
          </cell>
          <cell r="P700">
            <v>34.65</v>
          </cell>
          <cell r="Q700" t="str">
            <v/>
          </cell>
          <cell r="R700" t="e">
            <v>#N/A</v>
          </cell>
        </row>
        <row r="701">
          <cell r="A701">
            <v>40165</v>
          </cell>
          <cell r="B701">
            <v>40165</v>
          </cell>
          <cell r="C701" t="str">
            <v>Future</v>
          </cell>
          <cell r="D701" t="e">
            <v>#N/A</v>
          </cell>
          <cell r="E701">
            <v>15.167075098814287</v>
          </cell>
          <cell r="F701">
            <v>38.74019762845861</v>
          </cell>
          <cell r="G701">
            <v>33.127549407114138</v>
          </cell>
          <cell r="H701">
            <v>33.127549407114138</v>
          </cell>
          <cell r="I701" t="e">
            <v>#N/A</v>
          </cell>
          <cell r="J701" t="e">
            <v>#N/A</v>
          </cell>
          <cell r="K701" t="e">
            <v>#N/A</v>
          </cell>
          <cell r="L701" t="e">
            <v>#N/A</v>
          </cell>
          <cell r="M701" t="e">
            <v>#N/A</v>
          </cell>
          <cell r="N701" t="e">
            <v>#N/A</v>
          </cell>
          <cell r="O701" t="e">
            <v>#N/A</v>
          </cell>
          <cell r="P701">
            <v>34.65</v>
          </cell>
          <cell r="Q701" t="str">
            <v/>
          </cell>
          <cell r="R701" t="e">
            <v>#N/A</v>
          </cell>
        </row>
        <row r="702">
          <cell r="A702">
            <v>40168</v>
          </cell>
          <cell r="B702">
            <v>40168</v>
          </cell>
          <cell r="C702" t="str">
            <v>Future</v>
          </cell>
          <cell r="D702" t="e">
            <v>#N/A</v>
          </cell>
          <cell r="E702">
            <v>15.030434782608754</v>
          </cell>
          <cell r="F702">
            <v>38.769565217391417</v>
          </cell>
          <cell r="G702">
            <v>33.117391304347336</v>
          </cell>
          <cell r="H702">
            <v>33.117391304347336</v>
          </cell>
          <cell r="I702" t="e">
            <v>#N/A</v>
          </cell>
          <cell r="J702" t="e">
            <v>#N/A</v>
          </cell>
          <cell r="K702" t="e">
            <v>#N/A</v>
          </cell>
          <cell r="L702" t="e">
            <v>#N/A</v>
          </cell>
          <cell r="M702" t="e">
            <v>#N/A</v>
          </cell>
          <cell r="N702" t="e">
            <v>#N/A</v>
          </cell>
          <cell r="O702" t="e">
            <v>#N/A</v>
          </cell>
          <cell r="P702">
            <v>34.65</v>
          </cell>
          <cell r="Q702" t="str">
            <v/>
          </cell>
          <cell r="R702" t="e">
            <v>#N/A</v>
          </cell>
        </row>
        <row r="703">
          <cell r="A703">
            <v>40169</v>
          </cell>
          <cell r="B703">
            <v>40169</v>
          </cell>
          <cell r="C703" t="str">
            <v>Future</v>
          </cell>
          <cell r="D703" t="e">
            <v>#N/A</v>
          </cell>
          <cell r="E703">
            <v>14.893794466403222</v>
          </cell>
          <cell r="F703">
            <v>38.798932806324224</v>
          </cell>
          <cell r="G703">
            <v>33.107233201580534</v>
          </cell>
          <cell r="H703">
            <v>33.107233201580534</v>
          </cell>
          <cell r="I703" t="e">
            <v>#N/A</v>
          </cell>
          <cell r="J703" t="e">
            <v>#N/A</v>
          </cell>
          <cell r="K703" t="e">
            <v>#N/A</v>
          </cell>
          <cell r="L703" t="e">
            <v>#N/A</v>
          </cell>
          <cell r="M703" t="e">
            <v>#N/A</v>
          </cell>
          <cell r="N703" t="e">
            <v>#N/A</v>
          </cell>
          <cell r="O703" t="e">
            <v>#N/A</v>
          </cell>
          <cell r="P703">
            <v>34.65</v>
          </cell>
          <cell r="Q703" t="str">
            <v/>
          </cell>
          <cell r="R703" t="e">
            <v>#N/A</v>
          </cell>
        </row>
        <row r="704">
          <cell r="A704">
            <v>40170</v>
          </cell>
          <cell r="B704">
            <v>40170</v>
          </cell>
          <cell r="C704" t="str">
            <v>Future</v>
          </cell>
          <cell r="D704" t="e">
            <v>#N/A</v>
          </cell>
          <cell r="E704">
            <v>14.757154150197689</v>
          </cell>
          <cell r="F704">
            <v>38.828300395257031</v>
          </cell>
          <cell r="G704">
            <v>33.097075098813733</v>
          </cell>
          <cell r="H704">
            <v>33.097075098813733</v>
          </cell>
          <cell r="I704" t="e">
            <v>#N/A</v>
          </cell>
          <cell r="J704" t="e">
            <v>#N/A</v>
          </cell>
          <cell r="K704" t="e">
            <v>#N/A</v>
          </cell>
          <cell r="L704" t="e">
            <v>#N/A</v>
          </cell>
          <cell r="M704" t="e">
            <v>#N/A</v>
          </cell>
          <cell r="N704" t="e">
            <v>#N/A</v>
          </cell>
          <cell r="O704" t="e">
            <v>#N/A</v>
          </cell>
          <cell r="P704">
            <v>34.65</v>
          </cell>
          <cell r="Q704" t="str">
            <v/>
          </cell>
          <cell r="R704" t="e">
            <v>#N/A</v>
          </cell>
        </row>
        <row r="705">
          <cell r="A705">
            <v>40171</v>
          </cell>
          <cell r="B705">
            <v>40171</v>
          </cell>
          <cell r="C705" t="str">
            <v>Future</v>
          </cell>
          <cell r="D705" t="e">
            <v>#N/A</v>
          </cell>
          <cell r="E705">
            <v>14.620513833992156</v>
          </cell>
          <cell r="F705">
            <v>38.857667984189838</v>
          </cell>
          <cell r="G705">
            <v>33.086916996046931</v>
          </cell>
          <cell r="H705">
            <v>33.086916996046931</v>
          </cell>
          <cell r="I705" t="e">
            <v>#N/A</v>
          </cell>
          <cell r="J705" t="e">
            <v>#N/A</v>
          </cell>
          <cell r="K705" t="e">
            <v>#N/A</v>
          </cell>
          <cell r="L705" t="e">
            <v>#N/A</v>
          </cell>
          <cell r="M705" t="e">
            <v>#N/A</v>
          </cell>
          <cell r="N705" t="e">
            <v>#N/A</v>
          </cell>
          <cell r="O705" t="e">
            <v>#N/A</v>
          </cell>
          <cell r="P705">
            <v>34.65</v>
          </cell>
          <cell r="Q705" t="str">
            <v/>
          </cell>
          <cell r="R705" t="e">
            <v>#N/A</v>
          </cell>
        </row>
        <row r="706">
          <cell r="A706">
            <v>40175</v>
          </cell>
          <cell r="B706">
            <v>40175</v>
          </cell>
          <cell r="C706" t="str">
            <v>Future</v>
          </cell>
          <cell r="D706" t="e">
            <v>#N/A</v>
          </cell>
          <cell r="E706">
            <v>14.483873517786623</v>
          </cell>
          <cell r="F706">
            <v>38.887035573122645</v>
          </cell>
          <cell r="G706">
            <v>33.076758893280129</v>
          </cell>
          <cell r="H706">
            <v>33.076758893280129</v>
          </cell>
          <cell r="I706" t="e">
            <v>#N/A</v>
          </cell>
          <cell r="J706" t="e">
            <v>#N/A</v>
          </cell>
          <cell r="K706" t="e">
            <v>#N/A</v>
          </cell>
          <cell r="L706" t="e">
            <v>#N/A</v>
          </cell>
          <cell r="M706" t="e">
            <v>#N/A</v>
          </cell>
          <cell r="N706" t="e">
            <v>#N/A</v>
          </cell>
          <cell r="O706" t="e">
            <v>#N/A</v>
          </cell>
          <cell r="P706">
            <v>34.65</v>
          </cell>
          <cell r="Q706" t="str">
            <v/>
          </cell>
          <cell r="R706" t="e">
            <v>#N/A</v>
          </cell>
        </row>
        <row r="707">
          <cell r="A707">
            <v>40176</v>
          </cell>
          <cell r="B707">
            <v>40176</v>
          </cell>
          <cell r="C707" t="str">
            <v>Future</v>
          </cell>
          <cell r="D707" t="e">
            <v>#N/A</v>
          </cell>
          <cell r="E707">
            <v>14.347233201581091</v>
          </cell>
          <cell r="F707">
            <v>38.916403162055452</v>
          </cell>
          <cell r="G707">
            <v>33.066600790513327</v>
          </cell>
          <cell r="H707">
            <v>33.066600790513327</v>
          </cell>
          <cell r="I707" t="e">
            <v>#N/A</v>
          </cell>
          <cell r="J707" t="e">
            <v>#N/A</v>
          </cell>
          <cell r="K707" t="e">
            <v>#N/A</v>
          </cell>
          <cell r="L707" t="e">
            <v>#N/A</v>
          </cell>
          <cell r="M707" t="e">
            <v>#N/A</v>
          </cell>
          <cell r="N707" t="e">
            <v>#N/A</v>
          </cell>
          <cell r="O707" t="e">
            <v>#N/A</v>
          </cell>
          <cell r="P707">
            <v>34.65</v>
          </cell>
          <cell r="Q707" t="str">
            <v/>
          </cell>
          <cell r="R707" t="e">
            <v>#N/A</v>
          </cell>
        </row>
        <row r="708">
          <cell r="A708">
            <v>40177</v>
          </cell>
          <cell r="B708">
            <v>40177</v>
          </cell>
          <cell r="C708" t="str">
            <v>Future</v>
          </cell>
          <cell r="D708" t="e">
            <v>#N/A</v>
          </cell>
          <cell r="E708">
            <v>14.210592885375558</v>
          </cell>
          <cell r="F708">
            <v>38.94577075098826</v>
          </cell>
          <cell r="G708">
            <v>33.056442687746525</v>
          </cell>
          <cell r="H708">
            <v>33.056442687746525</v>
          </cell>
          <cell r="I708" t="e">
            <v>#N/A</v>
          </cell>
          <cell r="J708" t="e">
            <v>#N/A</v>
          </cell>
          <cell r="K708" t="e">
            <v>#N/A</v>
          </cell>
          <cell r="L708" t="e">
            <v>#N/A</v>
          </cell>
          <cell r="M708" t="e">
            <v>#N/A</v>
          </cell>
          <cell r="N708" t="e">
            <v>#N/A</v>
          </cell>
          <cell r="O708" t="e">
            <v>#N/A</v>
          </cell>
          <cell r="P708">
            <v>34.65</v>
          </cell>
          <cell r="Q708" t="str">
            <v/>
          </cell>
          <cell r="R708" t="e">
            <v>#N/A</v>
          </cell>
        </row>
        <row r="709">
          <cell r="A709">
            <v>40178</v>
          </cell>
          <cell r="B709">
            <v>40178</v>
          </cell>
          <cell r="C709" t="str">
            <v>Future</v>
          </cell>
          <cell r="D709" t="e">
            <v>#N/A</v>
          </cell>
          <cell r="E709">
            <v>14.073952569170025</v>
          </cell>
          <cell r="F709">
            <v>38.975138339921067</v>
          </cell>
          <cell r="G709">
            <v>33.046284584979723</v>
          </cell>
          <cell r="H709">
            <v>33.046284584979723</v>
          </cell>
          <cell r="I709" t="e">
            <v>#N/A</v>
          </cell>
          <cell r="J709" t="e">
            <v>#N/A</v>
          </cell>
          <cell r="K709" t="e">
            <v>#N/A</v>
          </cell>
          <cell r="L709" t="e">
            <v>#N/A</v>
          </cell>
          <cell r="M709" t="e">
            <v>#N/A</v>
          </cell>
          <cell r="N709" t="e">
            <v>#N/A</v>
          </cell>
          <cell r="O709" t="e">
            <v>#N/A</v>
          </cell>
          <cell r="P709">
            <v>34.65</v>
          </cell>
          <cell r="Q709" t="str">
            <v/>
          </cell>
          <cell r="R709" t="e">
            <v>#N/A</v>
          </cell>
        </row>
        <row r="710">
          <cell r="A710">
            <v>40182</v>
          </cell>
          <cell r="B710">
            <v>40182</v>
          </cell>
          <cell r="C710" t="str">
            <v>Future</v>
          </cell>
          <cell r="D710" t="e">
            <v>#N/A</v>
          </cell>
          <cell r="E710">
            <v>13.937312252964492</v>
          </cell>
          <cell r="F710">
            <v>39.004505928853874</v>
          </cell>
          <cell r="G710">
            <v>33.036126482212921</v>
          </cell>
          <cell r="H710">
            <v>33.036126482212921</v>
          </cell>
          <cell r="I710" t="e">
            <v>#N/A</v>
          </cell>
          <cell r="J710" t="e">
            <v>#N/A</v>
          </cell>
          <cell r="K710" t="e">
            <v>#N/A</v>
          </cell>
          <cell r="L710" t="e">
            <v>#N/A</v>
          </cell>
          <cell r="M710" t="e">
            <v>#N/A</v>
          </cell>
          <cell r="N710" t="e">
            <v>#N/A</v>
          </cell>
          <cell r="O710" t="e">
            <v>#N/A</v>
          </cell>
          <cell r="P710">
            <v>34.65</v>
          </cell>
          <cell r="Q710" t="str">
            <v/>
          </cell>
          <cell r="R710" t="e">
            <v>#N/A</v>
          </cell>
        </row>
        <row r="711">
          <cell r="A711">
            <v>40183</v>
          </cell>
          <cell r="B711">
            <v>40183</v>
          </cell>
          <cell r="C711" t="str">
            <v>Future</v>
          </cell>
          <cell r="D711" t="e">
            <v>#N/A</v>
          </cell>
          <cell r="E711">
            <v>13.80067193675896</v>
          </cell>
          <cell r="F711">
            <v>39.033873517786681</v>
          </cell>
          <cell r="G711">
            <v>33.02596837944612</v>
          </cell>
          <cell r="H711">
            <v>33.02596837944612</v>
          </cell>
          <cell r="I711" t="e">
            <v>#N/A</v>
          </cell>
          <cell r="J711" t="e">
            <v>#N/A</v>
          </cell>
          <cell r="K711" t="e">
            <v>#N/A</v>
          </cell>
          <cell r="L711" t="e">
            <v>#N/A</v>
          </cell>
          <cell r="M711" t="e">
            <v>#N/A</v>
          </cell>
          <cell r="N711" t="e">
            <v>#N/A</v>
          </cell>
          <cell r="O711" t="e">
            <v>#N/A</v>
          </cell>
          <cell r="P711">
            <v>34.65</v>
          </cell>
          <cell r="Q711" t="str">
            <v/>
          </cell>
          <cell r="R711" t="e">
            <v>#N/A</v>
          </cell>
        </row>
        <row r="712">
          <cell r="A712">
            <v>40184</v>
          </cell>
          <cell r="B712">
            <v>40184</v>
          </cell>
          <cell r="C712" t="str">
            <v>Future</v>
          </cell>
          <cell r="D712" t="e">
            <v>#N/A</v>
          </cell>
          <cell r="E712">
            <v>13.664031620553427</v>
          </cell>
          <cell r="F712">
            <v>39.063241106719488</v>
          </cell>
          <cell r="G712">
            <v>33.015810276679318</v>
          </cell>
          <cell r="H712">
            <v>33.015810276679318</v>
          </cell>
          <cell r="I712" t="e">
            <v>#N/A</v>
          </cell>
          <cell r="J712" t="e">
            <v>#N/A</v>
          </cell>
          <cell r="K712" t="e">
            <v>#N/A</v>
          </cell>
          <cell r="L712" t="e">
            <v>#N/A</v>
          </cell>
          <cell r="M712" t="e">
            <v>#N/A</v>
          </cell>
          <cell r="N712" t="e">
            <v>#N/A</v>
          </cell>
          <cell r="O712" t="e">
            <v>#N/A</v>
          </cell>
          <cell r="P712">
            <v>34.65</v>
          </cell>
          <cell r="Q712" t="str">
            <v/>
          </cell>
          <cell r="R712" t="e">
            <v>#N/A</v>
          </cell>
        </row>
        <row r="713">
          <cell r="A713">
            <v>40185</v>
          </cell>
          <cell r="B713">
            <v>40185</v>
          </cell>
          <cell r="C713" t="str">
            <v>Future</v>
          </cell>
          <cell r="D713" t="e">
            <v>#N/A</v>
          </cell>
          <cell r="E713">
            <v>13.527391304347894</v>
          </cell>
          <cell r="F713">
            <v>39.092608695652295</v>
          </cell>
          <cell r="G713">
            <v>33.005652173912516</v>
          </cell>
          <cell r="H713">
            <v>33.005652173912516</v>
          </cell>
          <cell r="I713" t="e">
            <v>#N/A</v>
          </cell>
          <cell r="J713" t="e">
            <v>#N/A</v>
          </cell>
          <cell r="K713" t="e">
            <v>#N/A</v>
          </cell>
          <cell r="L713" t="e">
            <v>#N/A</v>
          </cell>
          <cell r="M713" t="e">
            <v>#N/A</v>
          </cell>
          <cell r="N713" t="e">
            <v>#N/A</v>
          </cell>
          <cell r="O713" t="e">
            <v>#N/A</v>
          </cell>
          <cell r="P713">
            <v>34.65</v>
          </cell>
          <cell r="Q713" t="str">
            <v/>
          </cell>
          <cell r="R713" t="e">
            <v>#N/A</v>
          </cell>
        </row>
        <row r="714">
          <cell r="A714">
            <v>40186</v>
          </cell>
          <cell r="B714">
            <v>40186</v>
          </cell>
          <cell r="C714" t="str">
            <v>Future</v>
          </cell>
          <cell r="D714" t="e">
            <v>#N/A</v>
          </cell>
          <cell r="E714">
            <v>13.390750988142361</v>
          </cell>
          <cell r="F714">
            <v>39.121976284585102</v>
          </cell>
          <cell r="G714">
            <v>32.995494071145714</v>
          </cell>
          <cell r="H714">
            <v>32.995494071145714</v>
          </cell>
          <cell r="I714" t="e">
            <v>#N/A</v>
          </cell>
          <cell r="J714" t="e">
            <v>#N/A</v>
          </cell>
          <cell r="K714" t="e">
            <v>#N/A</v>
          </cell>
          <cell r="L714" t="e">
            <v>#N/A</v>
          </cell>
          <cell r="M714" t="e">
            <v>#N/A</v>
          </cell>
          <cell r="N714" t="e">
            <v>#N/A</v>
          </cell>
          <cell r="O714" t="e">
            <v>#N/A</v>
          </cell>
          <cell r="P714">
            <v>34.65</v>
          </cell>
          <cell r="Q714" t="str">
            <v/>
          </cell>
          <cell r="R714" t="e">
            <v>#N/A</v>
          </cell>
        </row>
        <row r="715">
          <cell r="A715">
            <v>40189</v>
          </cell>
          <cell r="B715">
            <v>40189</v>
          </cell>
          <cell r="C715" t="str">
            <v>Future</v>
          </cell>
          <cell r="D715" t="e">
            <v>#N/A</v>
          </cell>
          <cell r="E715">
            <v>13.254110671936829</v>
          </cell>
          <cell r="F715">
            <v>39.151343873517909</v>
          </cell>
          <cell r="G715">
            <v>32.985335968378912</v>
          </cell>
          <cell r="H715">
            <v>32.985335968378912</v>
          </cell>
          <cell r="I715" t="e">
            <v>#N/A</v>
          </cell>
          <cell r="J715" t="e">
            <v>#N/A</v>
          </cell>
          <cell r="K715" t="e">
            <v>#N/A</v>
          </cell>
          <cell r="L715" t="e">
            <v>#N/A</v>
          </cell>
          <cell r="M715" t="e">
            <v>#N/A</v>
          </cell>
          <cell r="N715" t="e">
            <v>#N/A</v>
          </cell>
          <cell r="O715" t="e">
            <v>#N/A</v>
          </cell>
          <cell r="P715">
            <v>34.65</v>
          </cell>
          <cell r="Q715" t="str">
            <v/>
          </cell>
          <cell r="R715" t="e">
            <v>#N/A</v>
          </cell>
        </row>
        <row r="716">
          <cell r="A716">
            <v>40190</v>
          </cell>
          <cell r="B716">
            <v>40190</v>
          </cell>
          <cell r="C716" t="str">
            <v>Future</v>
          </cell>
          <cell r="D716" t="e">
            <v>#N/A</v>
          </cell>
          <cell r="E716">
            <v>13.117470355731296</v>
          </cell>
          <cell r="F716">
            <v>39.180711462450716</v>
          </cell>
          <cell r="G716">
            <v>32.97517786561211</v>
          </cell>
          <cell r="H716">
            <v>32.97517786561211</v>
          </cell>
          <cell r="I716" t="e">
            <v>#N/A</v>
          </cell>
          <cell r="J716" t="e">
            <v>#N/A</v>
          </cell>
          <cell r="K716" t="e">
            <v>#N/A</v>
          </cell>
          <cell r="L716" t="e">
            <v>#N/A</v>
          </cell>
          <cell r="M716" t="e">
            <v>#N/A</v>
          </cell>
          <cell r="N716" t="e">
            <v>#N/A</v>
          </cell>
          <cell r="O716" t="e">
            <v>#N/A</v>
          </cell>
          <cell r="P716">
            <v>34.65</v>
          </cell>
          <cell r="Q716" t="str">
            <v/>
          </cell>
          <cell r="R716" t="e">
            <v>#N/A</v>
          </cell>
        </row>
        <row r="717">
          <cell r="A717">
            <v>40191</v>
          </cell>
          <cell r="B717">
            <v>40191</v>
          </cell>
          <cell r="C717" t="str">
            <v>Future</v>
          </cell>
          <cell r="D717" t="e">
            <v>#N/A</v>
          </cell>
          <cell r="E717">
            <v>12.980830039525763</v>
          </cell>
          <cell r="F717">
            <v>39.210079051383524</v>
          </cell>
          <cell r="G717">
            <v>32.965019762845309</v>
          </cell>
          <cell r="H717">
            <v>32.965019762845309</v>
          </cell>
          <cell r="I717" t="e">
            <v>#N/A</v>
          </cell>
          <cell r="J717" t="e">
            <v>#N/A</v>
          </cell>
          <cell r="K717" t="e">
            <v>#N/A</v>
          </cell>
          <cell r="L717" t="e">
            <v>#N/A</v>
          </cell>
          <cell r="M717" t="e">
            <v>#N/A</v>
          </cell>
          <cell r="N717" t="e">
            <v>#N/A</v>
          </cell>
          <cell r="O717" t="e">
            <v>#N/A</v>
          </cell>
          <cell r="P717">
            <v>34.65</v>
          </cell>
          <cell r="Q717" t="str">
            <v/>
          </cell>
          <cell r="R717" t="e">
            <v>#N/A</v>
          </cell>
        </row>
        <row r="718">
          <cell r="A718">
            <v>40192</v>
          </cell>
          <cell r="B718">
            <v>40192</v>
          </cell>
          <cell r="C718" t="str">
            <v>Future</v>
          </cell>
          <cell r="D718" t="e">
            <v>#N/A</v>
          </cell>
          <cell r="E718">
            <v>12.84418972332023</v>
          </cell>
          <cell r="F718">
            <v>39.239446640316331</v>
          </cell>
          <cell r="G718">
            <v>32.954861660078507</v>
          </cell>
          <cell r="H718">
            <v>32.954861660078507</v>
          </cell>
          <cell r="I718" t="e">
            <v>#N/A</v>
          </cell>
          <cell r="J718" t="e">
            <v>#N/A</v>
          </cell>
          <cell r="K718" t="e">
            <v>#N/A</v>
          </cell>
          <cell r="L718" t="e">
            <v>#N/A</v>
          </cell>
          <cell r="M718" t="e">
            <v>#N/A</v>
          </cell>
          <cell r="N718" t="e">
            <v>#N/A</v>
          </cell>
          <cell r="O718" t="e">
            <v>#N/A</v>
          </cell>
          <cell r="P718">
            <v>34.65</v>
          </cell>
          <cell r="Q718" t="str">
            <v/>
          </cell>
          <cell r="R718" t="e">
            <v>#N/A</v>
          </cell>
        </row>
        <row r="719">
          <cell r="A719">
            <v>40193</v>
          </cell>
          <cell r="B719">
            <v>40193</v>
          </cell>
          <cell r="C719" t="str">
            <v>Future</v>
          </cell>
          <cell r="D719" t="e">
            <v>#N/A</v>
          </cell>
          <cell r="E719">
            <v>12.707549407114698</v>
          </cell>
          <cell r="F719">
            <v>39.268814229249138</v>
          </cell>
          <cell r="G719">
            <v>32.944703557311705</v>
          </cell>
          <cell r="H719">
            <v>32.944703557311705</v>
          </cell>
          <cell r="I719" t="e">
            <v>#N/A</v>
          </cell>
          <cell r="J719" t="e">
            <v>#N/A</v>
          </cell>
          <cell r="K719" t="e">
            <v>#N/A</v>
          </cell>
          <cell r="L719" t="e">
            <v>#N/A</v>
          </cell>
          <cell r="M719" t="e">
            <v>#N/A</v>
          </cell>
          <cell r="N719" t="e">
            <v>#N/A</v>
          </cell>
          <cell r="O719" t="e">
            <v>#N/A</v>
          </cell>
          <cell r="P719">
            <v>34.65</v>
          </cell>
          <cell r="Q719" t="str">
            <v/>
          </cell>
          <cell r="R719" t="e">
            <v>#N/A</v>
          </cell>
        </row>
        <row r="720">
          <cell r="A720">
            <v>40197</v>
          </cell>
          <cell r="B720">
            <v>40197</v>
          </cell>
          <cell r="C720" t="str">
            <v>Future</v>
          </cell>
          <cell r="D720" t="e">
            <v>#N/A</v>
          </cell>
          <cell r="E720">
            <v>12.570909090909165</v>
          </cell>
          <cell r="F720">
            <v>39.298181818181945</v>
          </cell>
          <cell r="G720">
            <v>32.934545454544903</v>
          </cell>
          <cell r="H720">
            <v>32.934545454544903</v>
          </cell>
          <cell r="I720" t="e">
            <v>#N/A</v>
          </cell>
          <cell r="J720" t="e">
            <v>#N/A</v>
          </cell>
          <cell r="K720" t="e">
            <v>#N/A</v>
          </cell>
          <cell r="L720" t="e">
            <v>#N/A</v>
          </cell>
          <cell r="M720" t="e">
            <v>#N/A</v>
          </cell>
          <cell r="N720" t="e">
            <v>#N/A</v>
          </cell>
          <cell r="O720" t="e">
            <v>#N/A</v>
          </cell>
          <cell r="P720">
            <v>34.65</v>
          </cell>
          <cell r="Q720" t="str">
            <v/>
          </cell>
          <cell r="R720" t="e">
            <v>#N/A</v>
          </cell>
        </row>
        <row r="721">
          <cell r="A721">
            <v>40198</v>
          </cell>
          <cell r="B721">
            <v>40198</v>
          </cell>
          <cell r="C721" t="str">
            <v>Future</v>
          </cell>
          <cell r="D721" t="e">
            <v>#N/A</v>
          </cell>
          <cell r="E721">
            <v>12.434268774703632</v>
          </cell>
          <cell r="F721">
            <v>39.327549407114752</v>
          </cell>
          <cell r="G721">
            <v>32.924387351778101</v>
          </cell>
          <cell r="H721">
            <v>32.924387351778101</v>
          </cell>
          <cell r="I721" t="e">
            <v>#N/A</v>
          </cell>
          <cell r="J721" t="e">
            <v>#N/A</v>
          </cell>
          <cell r="K721" t="e">
            <v>#N/A</v>
          </cell>
          <cell r="L721" t="e">
            <v>#N/A</v>
          </cell>
          <cell r="M721" t="e">
            <v>#N/A</v>
          </cell>
          <cell r="N721" t="e">
            <v>#N/A</v>
          </cell>
          <cell r="O721" t="e">
            <v>#N/A</v>
          </cell>
          <cell r="P721">
            <v>34.65</v>
          </cell>
          <cell r="Q721" t="str">
            <v/>
          </cell>
          <cell r="R721" t="e">
            <v>#N/A</v>
          </cell>
        </row>
        <row r="722">
          <cell r="A722">
            <v>40199</v>
          </cell>
          <cell r="B722">
            <v>40199</v>
          </cell>
          <cell r="C722" t="str">
            <v>Future</v>
          </cell>
          <cell r="D722" t="e">
            <v>#N/A</v>
          </cell>
          <cell r="E722">
            <v>12.297628458498099</v>
          </cell>
          <cell r="F722">
            <v>39.356916996047559</v>
          </cell>
          <cell r="G722">
            <v>32.914229249011299</v>
          </cell>
          <cell r="H722">
            <v>32.914229249011299</v>
          </cell>
          <cell r="I722" t="e">
            <v>#N/A</v>
          </cell>
          <cell r="J722" t="e">
            <v>#N/A</v>
          </cell>
          <cell r="K722" t="e">
            <v>#N/A</v>
          </cell>
          <cell r="L722" t="e">
            <v>#N/A</v>
          </cell>
          <cell r="M722" t="e">
            <v>#N/A</v>
          </cell>
          <cell r="N722" t="e">
            <v>#N/A</v>
          </cell>
          <cell r="O722" t="e">
            <v>#N/A</v>
          </cell>
          <cell r="P722">
            <v>34.65</v>
          </cell>
          <cell r="Q722" t="str">
            <v/>
          </cell>
          <cell r="R722" t="e">
            <v>#N/A</v>
          </cell>
        </row>
        <row r="723">
          <cell r="A723">
            <v>40200</v>
          </cell>
          <cell r="B723">
            <v>40200</v>
          </cell>
          <cell r="C723" t="str">
            <v>Future</v>
          </cell>
          <cell r="D723" t="e">
            <v>#N/A</v>
          </cell>
          <cell r="E723">
            <v>12.160988142292567</v>
          </cell>
          <cell r="F723">
            <v>39.386284584980366</v>
          </cell>
          <cell r="G723">
            <v>32.904071146244497</v>
          </cell>
          <cell r="H723">
            <v>32.904071146244497</v>
          </cell>
          <cell r="I723" t="e">
            <v>#N/A</v>
          </cell>
          <cell r="J723" t="e">
            <v>#N/A</v>
          </cell>
          <cell r="K723" t="e">
            <v>#N/A</v>
          </cell>
          <cell r="L723" t="e">
            <v>#N/A</v>
          </cell>
          <cell r="M723" t="e">
            <v>#N/A</v>
          </cell>
          <cell r="N723" t="e">
            <v>#N/A</v>
          </cell>
          <cell r="O723" t="e">
            <v>#N/A</v>
          </cell>
          <cell r="P723">
            <v>34.65</v>
          </cell>
          <cell r="Q723" t="str">
            <v/>
          </cell>
          <cell r="R723" t="e">
            <v>#N/A</v>
          </cell>
        </row>
        <row r="724">
          <cell r="A724">
            <v>40203</v>
          </cell>
          <cell r="B724">
            <v>40203</v>
          </cell>
          <cell r="C724" t="str">
            <v>Future</v>
          </cell>
          <cell r="D724" t="e">
            <v>#N/A</v>
          </cell>
          <cell r="E724">
            <v>12.024347826087034</v>
          </cell>
          <cell r="F724">
            <v>39.415652173913173</v>
          </cell>
          <cell r="G724">
            <v>32.893913043477696</v>
          </cell>
          <cell r="H724">
            <v>32.893913043477696</v>
          </cell>
          <cell r="I724" t="e">
            <v>#N/A</v>
          </cell>
          <cell r="J724" t="e">
            <v>#N/A</v>
          </cell>
          <cell r="K724" t="e">
            <v>#N/A</v>
          </cell>
          <cell r="L724" t="e">
            <v>#N/A</v>
          </cell>
          <cell r="M724" t="e">
            <v>#N/A</v>
          </cell>
          <cell r="N724" t="e">
            <v>#N/A</v>
          </cell>
          <cell r="O724" t="e">
            <v>#N/A</v>
          </cell>
          <cell r="P724">
            <v>34.65</v>
          </cell>
          <cell r="Q724" t="str">
            <v/>
          </cell>
          <cell r="R724" t="e">
            <v>#N/A</v>
          </cell>
        </row>
        <row r="725">
          <cell r="A725">
            <v>40204</v>
          </cell>
          <cell r="B725">
            <v>40204</v>
          </cell>
          <cell r="C725" t="str">
            <v>Future</v>
          </cell>
          <cell r="D725" t="e">
            <v>#N/A</v>
          </cell>
          <cell r="E725">
            <v>11.887707509881501</v>
          </cell>
          <cell r="F725">
            <v>39.44501976284598</v>
          </cell>
          <cell r="G725">
            <v>32.883754940710894</v>
          </cell>
          <cell r="H725">
            <v>32.883754940710894</v>
          </cell>
          <cell r="I725" t="e">
            <v>#N/A</v>
          </cell>
          <cell r="J725" t="e">
            <v>#N/A</v>
          </cell>
          <cell r="K725" t="e">
            <v>#N/A</v>
          </cell>
          <cell r="L725" t="e">
            <v>#N/A</v>
          </cell>
          <cell r="M725" t="e">
            <v>#N/A</v>
          </cell>
          <cell r="N725" t="e">
            <v>#N/A</v>
          </cell>
          <cell r="O725" t="e">
            <v>#N/A</v>
          </cell>
          <cell r="P725">
            <v>34.65</v>
          </cell>
          <cell r="Q725" t="str">
            <v/>
          </cell>
          <cell r="R725" t="e">
            <v>#N/A</v>
          </cell>
        </row>
        <row r="726">
          <cell r="A726">
            <v>40205</v>
          </cell>
          <cell r="B726">
            <v>40205</v>
          </cell>
          <cell r="C726" t="str">
            <v>Future</v>
          </cell>
          <cell r="D726" t="e">
            <v>#N/A</v>
          </cell>
          <cell r="E726">
            <v>11.751067193675969</v>
          </cell>
          <cell r="F726">
            <v>39.474387351778788</v>
          </cell>
          <cell r="G726">
            <v>32.873596837944092</v>
          </cell>
          <cell r="H726">
            <v>32.873596837944092</v>
          </cell>
          <cell r="I726" t="e">
            <v>#N/A</v>
          </cell>
          <cell r="J726" t="e">
            <v>#N/A</v>
          </cell>
          <cell r="K726" t="e">
            <v>#N/A</v>
          </cell>
          <cell r="L726" t="e">
            <v>#N/A</v>
          </cell>
          <cell r="M726" t="e">
            <v>#N/A</v>
          </cell>
          <cell r="N726" t="e">
            <v>#N/A</v>
          </cell>
          <cell r="O726" t="e">
            <v>#N/A</v>
          </cell>
          <cell r="P726">
            <v>34.65</v>
          </cell>
          <cell r="Q726" t="str">
            <v/>
          </cell>
          <cell r="R726" t="e">
            <v>#N/A</v>
          </cell>
        </row>
        <row r="727">
          <cell r="A727">
            <v>40206</v>
          </cell>
          <cell r="B727">
            <v>40206</v>
          </cell>
          <cell r="C727" t="str">
            <v>Future</v>
          </cell>
          <cell r="D727" t="e">
            <v>#N/A</v>
          </cell>
          <cell r="E727">
            <v>11.614426877470436</v>
          </cell>
          <cell r="F727">
            <v>39.503754940711595</v>
          </cell>
          <cell r="G727">
            <v>32.86343873517729</v>
          </cell>
          <cell r="H727">
            <v>32.86343873517729</v>
          </cell>
          <cell r="I727" t="e">
            <v>#N/A</v>
          </cell>
          <cell r="J727" t="e">
            <v>#N/A</v>
          </cell>
          <cell r="K727" t="e">
            <v>#N/A</v>
          </cell>
          <cell r="L727" t="e">
            <v>#N/A</v>
          </cell>
          <cell r="M727" t="e">
            <v>#N/A</v>
          </cell>
          <cell r="N727" t="e">
            <v>#N/A</v>
          </cell>
          <cell r="O727" t="e">
            <v>#N/A</v>
          </cell>
          <cell r="P727">
            <v>34.65</v>
          </cell>
          <cell r="Q727" t="str">
            <v/>
          </cell>
          <cell r="R727" t="e">
            <v>#N/A</v>
          </cell>
        </row>
        <row r="728">
          <cell r="A728">
            <v>40207</v>
          </cell>
          <cell r="B728">
            <v>40207</v>
          </cell>
          <cell r="C728" t="str">
            <v>Future</v>
          </cell>
          <cell r="D728" t="e">
            <v>#N/A</v>
          </cell>
          <cell r="E728">
            <v>11.477786561264903</v>
          </cell>
          <cell r="F728">
            <v>39.533122529644402</v>
          </cell>
          <cell r="G728">
            <v>32.853280632410488</v>
          </cell>
          <cell r="H728">
            <v>32.853280632410488</v>
          </cell>
          <cell r="I728" t="e">
            <v>#N/A</v>
          </cell>
          <cell r="J728" t="e">
            <v>#N/A</v>
          </cell>
          <cell r="K728" t="e">
            <v>#N/A</v>
          </cell>
          <cell r="L728" t="e">
            <v>#N/A</v>
          </cell>
          <cell r="M728" t="e">
            <v>#N/A</v>
          </cell>
          <cell r="N728" t="e">
            <v>#N/A</v>
          </cell>
          <cell r="O728" t="e">
            <v>#N/A</v>
          </cell>
          <cell r="P728">
            <v>34.65</v>
          </cell>
          <cell r="Q728" t="str">
            <v/>
          </cell>
          <cell r="R728" t="e">
            <v>#N/A</v>
          </cell>
        </row>
        <row r="729">
          <cell r="A729">
            <v>40210</v>
          </cell>
          <cell r="B729">
            <v>40210</v>
          </cell>
          <cell r="C729" t="str">
            <v>Future</v>
          </cell>
          <cell r="D729" t="e">
            <v>#N/A</v>
          </cell>
          <cell r="E729">
            <v>11.34114624505937</v>
          </cell>
          <cell r="F729">
            <v>39.562490118577209</v>
          </cell>
          <cell r="G729">
            <v>32.843122529643686</v>
          </cell>
          <cell r="H729">
            <v>32.843122529643686</v>
          </cell>
          <cell r="I729" t="e">
            <v>#N/A</v>
          </cell>
          <cell r="J729" t="e">
            <v>#N/A</v>
          </cell>
          <cell r="K729" t="e">
            <v>#N/A</v>
          </cell>
          <cell r="L729" t="e">
            <v>#N/A</v>
          </cell>
          <cell r="M729" t="e">
            <v>#N/A</v>
          </cell>
          <cell r="N729" t="e">
            <v>#N/A</v>
          </cell>
          <cell r="O729" t="e">
            <v>#N/A</v>
          </cell>
          <cell r="P729">
            <v>34.65</v>
          </cell>
          <cell r="Q729" t="str">
            <v/>
          </cell>
          <cell r="R729" t="e">
            <v>#N/A</v>
          </cell>
        </row>
        <row r="730">
          <cell r="A730">
            <v>40211</v>
          </cell>
          <cell r="B730">
            <v>40211</v>
          </cell>
          <cell r="C730" t="str">
            <v>Future</v>
          </cell>
          <cell r="D730" t="e">
            <v>#N/A</v>
          </cell>
          <cell r="E730">
            <v>11.204505928853838</v>
          </cell>
          <cell r="F730">
            <v>39.591857707510016</v>
          </cell>
          <cell r="G730">
            <v>32.832964426876885</v>
          </cell>
          <cell r="H730">
            <v>32.832964426876885</v>
          </cell>
          <cell r="I730" t="e">
            <v>#N/A</v>
          </cell>
          <cell r="J730" t="e">
            <v>#N/A</v>
          </cell>
          <cell r="K730" t="e">
            <v>#N/A</v>
          </cell>
          <cell r="L730" t="e">
            <v>#N/A</v>
          </cell>
          <cell r="M730" t="e">
            <v>#N/A</v>
          </cell>
          <cell r="N730" t="e">
            <v>#N/A</v>
          </cell>
          <cell r="O730" t="e">
            <v>#N/A</v>
          </cell>
          <cell r="P730">
            <v>34.65</v>
          </cell>
          <cell r="Q730" t="str">
            <v/>
          </cell>
          <cell r="R730" t="e">
            <v>#N/A</v>
          </cell>
        </row>
        <row r="731">
          <cell r="A731">
            <v>40212</v>
          </cell>
          <cell r="B731">
            <v>40212</v>
          </cell>
          <cell r="C731" t="str">
            <v>Future</v>
          </cell>
          <cell r="D731" t="e">
            <v>#N/A</v>
          </cell>
          <cell r="E731">
            <v>11.067865612648305</v>
          </cell>
          <cell r="F731">
            <v>39.621225296442823</v>
          </cell>
          <cell r="G731">
            <v>32.822806324110083</v>
          </cell>
          <cell r="H731">
            <v>32.822806324110083</v>
          </cell>
          <cell r="I731" t="e">
            <v>#N/A</v>
          </cell>
          <cell r="J731" t="e">
            <v>#N/A</v>
          </cell>
          <cell r="K731" t="e">
            <v>#N/A</v>
          </cell>
          <cell r="L731" t="e">
            <v>#N/A</v>
          </cell>
          <cell r="M731" t="e">
            <v>#N/A</v>
          </cell>
          <cell r="N731" t="e">
            <v>#N/A</v>
          </cell>
          <cell r="O731" t="e">
            <v>#N/A</v>
          </cell>
          <cell r="P731">
            <v>34.65</v>
          </cell>
          <cell r="Q731" t="str">
            <v/>
          </cell>
          <cell r="R731" t="e">
            <v>#N/A</v>
          </cell>
        </row>
        <row r="732">
          <cell r="A732">
            <v>40213</v>
          </cell>
          <cell r="B732">
            <v>40213</v>
          </cell>
          <cell r="C732" t="str">
            <v>Future</v>
          </cell>
          <cell r="D732" t="e">
            <v>#N/A</v>
          </cell>
          <cell r="E732">
            <v>10.931225296442772</v>
          </cell>
          <cell r="F732">
            <v>39.65059288537563</v>
          </cell>
          <cell r="G732">
            <v>32.812648221343281</v>
          </cell>
          <cell r="H732">
            <v>32.812648221343281</v>
          </cell>
          <cell r="I732" t="e">
            <v>#N/A</v>
          </cell>
          <cell r="J732" t="e">
            <v>#N/A</v>
          </cell>
          <cell r="K732" t="e">
            <v>#N/A</v>
          </cell>
          <cell r="L732" t="e">
            <v>#N/A</v>
          </cell>
          <cell r="M732" t="e">
            <v>#N/A</v>
          </cell>
          <cell r="N732" t="e">
            <v>#N/A</v>
          </cell>
          <cell r="O732" t="e">
            <v>#N/A</v>
          </cell>
          <cell r="P732">
            <v>34.65</v>
          </cell>
          <cell r="Q732" t="str">
            <v/>
          </cell>
          <cell r="R732" t="e">
            <v>#N/A</v>
          </cell>
        </row>
        <row r="733">
          <cell r="A733">
            <v>40214</v>
          </cell>
          <cell r="B733">
            <v>40214</v>
          </cell>
          <cell r="C733" t="str">
            <v>Future</v>
          </cell>
          <cell r="D733" t="e">
            <v>#N/A</v>
          </cell>
          <cell r="E733">
            <v>10.794584980237239</v>
          </cell>
          <cell r="F733">
            <v>39.679960474308437</v>
          </cell>
          <cell r="G733">
            <v>32.802490118576479</v>
          </cell>
          <cell r="H733">
            <v>32.802490118576479</v>
          </cell>
          <cell r="I733" t="e">
            <v>#N/A</v>
          </cell>
          <cell r="J733" t="e">
            <v>#N/A</v>
          </cell>
          <cell r="K733" t="e">
            <v>#N/A</v>
          </cell>
          <cell r="L733" t="e">
            <v>#N/A</v>
          </cell>
          <cell r="M733" t="e">
            <v>#N/A</v>
          </cell>
          <cell r="N733" t="e">
            <v>#N/A</v>
          </cell>
          <cell r="O733" t="e">
            <v>#N/A</v>
          </cell>
          <cell r="P733">
            <v>34.65</v>
          </cell>
          <cell r="Q733" t="str">
            <v/>
          </cell>
          <cell r="R733" t="e">
            <v>#N/A</v>
          </cell>
        </row>
        <row r="734">
          <cell r="A734">
            <v>40217</v>
          </cell>
          <cell r="B734">
            <v>40217</v>
          </cell>
          <cell r="C734" t="str">
            <v>Future</v>
          </cell>
          <cell r="D734" t="e">
            <v>#N/A</v>
          </cell>
          <cell r="E734">
            <v>10.657944664031707</v>
          </cell>
          <cell r="F734">
            <v>39.709328063241244</v>
          </cell>
          <cell r="G734">
            <v>32.792332015809677</v>
          </cell>
          <cell r="H734">
            <v>32.792332015809677</v>
          </cell>
          <cell r="I734" t="e">
            <v>#N/A</v>
          </cell>
          <cell r="J734" t="e">
            <v>#N/A</v>
          </cell>
          <cell r="K734" t="e">
            <v>#N/A</v>
          </cell>
          <cell r="L734" t="e">
            <v>#N/A</v>
          </cell>
          <cell r="M734" t="e">
            <v>#N/A</v>
          </cell>
          <cell r="N734" t="e">
            <v>#N/A</v>
          </cell>
          <cell r="O734" t="e">
            <v>#N/A</v>
          </cell>
          <cell r="P734">
            <v>34.65</v>
          </cell>
          <cell r="Q734" t="str">
            <v/>
          </cell>
          <cell r="R734" t="e">
            <v>#N/A</v>
          </cell>
        </row>
        <row r="735">
          <cell r="A735">
            <v>40218</v>
          </cell>
          <cell r="B735">
            <v>40218</v>
          </cell>
          <cell r="C735" t="str">
            <v>Future</v>
          </cell>
          <cell r="D735" t="e">
            <v>#N/A</v>
          </cell>
          <cell r="E735">
            <v>10.521304347826174</v>
          </cell>
          <cell r="F735">
            <v>39.738695652174052</v>
          </cell>
          <cell r="G735">
            <v>32.782173913042875</v>
          </cell>
          <cell r="H735">
            <v>32.782173913042875</v>
          </cell>
          <cell r="I735" t="e">
            <v>#N/A</v>
          </cell>
          <cell r="J735" t="e">
            <v>#N/A</v>
          </cell>
          <cell r="K735" t="e">
            <v>#N/A</v>
          </cell>
          <cell r="L735" t="e">
            <v>#N/A</v>
          </cell>
          <cell r="M735" t="e">
            <v>#N/A</v>
          </cell>
          <cell r="N735" t="e">
            <v>#N/A</v>
          </cell>
          <cell r="O735" t="e">
            <v>#N/A</v>
          </cell>
          <cell r="P735">
            <v>34.65</v>
          </cell>
          <cell r="Q735" t="str">
            <v/>
          </cell>
          <cell r="R735" t="e">
            <v>#N/A</v>
          </cell>
        </row>
        <row r="736">
          <cell r="A736">
            <v>40219</v>
          </cell>
          <cell r="B736">
            <v>40219</v>
          </cell>
          <cell r="C736" t="str">
            <v>Future</v>
          </cell>
          <cell r="D736" t="e">
            <v>#N/A</v>
          </cell>
          <cell r="E736">
            <v>10.384664031620641</v>
          </cell>
          <cell r="F736">
            <v>39.768063241106859</v>
          </cell>
          <cell r="G736">
            <v>32.772015810276073</v>
          </cell>
          <cell r="H736">
            <v>32.772015810276073</v>
          </cell>
          <cell r="I736" t="e">
            <v>#N/A</v>
          </cell>
          <cell r="J736" t="e">
            <v>#N/A</v>
          </cell>
          <cell r="K736" t="e">
            <v>#N/A</v>
          </cell>
          <cell r="L736" t="e">
            <v>#N/A</v>
          </cell>
          <cell r="M736" t="e">
            <v>#N/A</v>
          </cell>
          <cell r="N736" t="e">
            <v>#N/A</v>
          </cell>
          <cell r="O736" t="e">
            <v>#N/A</v>
          </cell>
          <cell r="P736">
            <v>34.65</v>
          </cell>
          <cell r="Q736" t="str">
            <v/>
          </cell>
          <cell r="R736" t="e">
            <v>#N/A</v>
          </cell>
        </row>
        <row r="737">
          <cell r="A737">
            <v>40220</v>
          </cell>
          <cell r="B737">
            <v>40220</v>
          </cell>
          <cell r="C737" t="str">
            <v>Future</v>
          </cell>
          <cell r="D737" t="e">
            <v>#N/A</v>
          </cell>
          <cell r="E737">
            <v>10.248023715415108</v>
          </cell>
          <cell r="F737">
            <v>39.797430830039666</v>
          </cell>
          <cell r="G737">
            <v>32.761857707509272</v>
          </cell>
          <cell r="H737">
            <v>32.761857707509272</v>
          </cell>
          <cell r="I737" t="e">
            <v>#N/A</v>
          </cell>
          <cell r="J737" t="e">
            <v>#N/A</v>
          </cell>
          <cell r="K737" t="e">
            <v>#N/A</v>
          </cell>
          <cell r="L737" t="e">
            <v>#N/A</v>
          </cell>
          <cell r="M737" t="e">
            <v>#N/A</v>
          </cell>
          <cell r="N737" t="e">
            <v>#N/A</v>
          </cell>
          <cell r="O737" t="e">
            <v>#N/A</v>
          </cell>
          <cell r="P737">
            <v>34.65</v>
          </cell>
          <cell r="Q737" t="str">
            <v/>
          </cell>
          <cell r="R737" t="e">
            <v>#N/A</v>
          </cell>
        </row>
        <row r="738">
          <cell r="A738">
            <v>40221</v>
          </cell>
          <cell r="B738">
            <v>40221</v>
          </cell>
          <cell r="C738" t="str">
            <v>Future</v>
          </cell>
          <cell r="D738" t="e">
            <v>#N/A</v>
          </cell>
          <cell r="E738">
            <v>10.111383399209576</v>
          </cell>
          <cell r="F738">
            <v>39.826798418972473</v>
          </cell>
          <cell r="G738">
            <v>32.75169960474247</v>
          </cell>
          <cell r="H738">
            <v>32.75169960474247</v>
          </cell>
          <cell r="I738" t="e">
            <v>#N/A</v>
          </cell>
          <cell r="J738" t="e">
            <v>#N/A</v>
          </cell>
          <cell r="K738" t="e">
            <v>#N/A</v>
          </cell>
          <cell r="L738" t="e">
            <v>#N/A</v>
          </cell>
          <cell r="M738" t="e">
            <v>#N/A</v>
          </cell>
          <cell r="N738" t="e">
            <v>#N/A</v>
          </cell>
          <cell r="O738" t="e">
            <v>#N/A</v>
          </cell>
          <cell r="P738">
            <v>34.65</v>
          </cell>
          <cell r="Q738" t="str">
            <v/>
          </cell>
          <cell r="R738" t="e">
            <v>#N/A</v>
          </cell>
        </row>
        <row r="739">
          <cell r="A739">
            <v>40225</v>
          </cell>
          <cell r="B739">
            <v>40225</v>
          </cell>
          <cell r="C739" t="str">
            <v>Future</v>
          </cell>
          <cell r="D739" t="e">
            <v>#N/A</v>
          </cell>
          <cell r="E739">
            <v>9.9747430830040429</v>
          </cell>
          <cell r="F739">
            <v>39.85616600790528</v>
          </cell>
          <cell r="G739">
            <v>32.741541501975668</v>
          </cell>
          <cell r="H739">
            <v>32.741541501975668</v>
          </cell>
          <cell r="I739" t="e">
            <v>#N/A</v>
          </cell>
          <cell r="J739" t="e">
            <v>#N/A</v>
          </cell>
          <cell r="K739" t="e">
            <v>#N/A</v>
          </cell>
          <cell r="L739" t="e">
            <v>#N/A</v>
          </cell>
          <cell r="M739" t="e">
            <v>#N/A</v>
          </cell>
          <cell r="N739" t="e">
            <v>#N/A</v>
          </cell>
          <cell r="O739" t="e">
            <v>#N/A</v>
          </cell>
          <cell r="P739">
            <v>34.65</v>
          </cell>
          <cell r="Q739" t="str">
            <v/>
          </cell>
          <cell r="R739" t="e">
            <v>#N/A</v>
          </cell>
        </row>
        <row r="740">
          <cell r="A740">
            <v>40226</v>
          </cell>
          <cell r="B740">
            <v>40226</v>
          </cell>
          <cell r="C740" t="str">
            <v>Future</v>
          </cell>
          <cell r="D740" t="e">
            <v>#N/A</v>
          </cell>
          <cell r="E740">
            <v>9.8381027667985101</v>
          </cell>
          <cell r="F740">
            <v>39.885533596838087</v>
          </cell>
          <cell r="G740">
            <v>32.731383399208866</v>
          </cell>
          <cell r="H740">
            <v>32.731383399208866</v>
          </cell>
          <cell r="I740" t="e">
            <v>#N/A</v>
          </cell>
          <cell r="J740" t="e">
            <v>#N/A</v>
          </cell>
          <cell r="K740" t="e">
            <v>#N/A</v>
          </cell>
          <cell r="L740" t="e">
            <v>#N/A</v>
          </cell>
          <cell r="M740" t="e">
            <v>#N/A</v>
          </cell>
          <cell r="N740" t="e">
            <v>#N/A</v>
          </cell>
          <cell r="O740" t="e">
            <v>#N/A</v>
          </cell>
          <cell r="P740">
            <v>34.65</v>
          </cell>
          <cell r="Q740" t="str">
            <v/>
          </cell>
          <cell r="R740" t="e">
            <v>#N/A</v>
          </cell>
        </row>
        <row r="741">
          <cell r="A741">
            <v>40227</v>
          </cell>
          <cell r="B741">
            <v>40227</v>
          </cell>
          <cell r="C741" t="str">
            <v>Future</v>
          </cell>
          <cell r="D741" t="e">
            <v>#N/A</v>
          </cell>
          <cell r="E741">
            <v>9.7014624505929774</v>
          </cell>
          <cell r="F741">
            <v>39.914901185770894</v>
          </cell>
          <cell r="G741">
            <v>32.721225296442064</v>
          </cell>
          <cell r="H741">
            <v>32.721225296442064</v>
          </cell>
          <cell r="I741" t="e">
            <v>#N/A</v>
          </cell>
          <cell r="J741" t="e">
            <v>#N/A</v>
          </cell>
          <cell r="K741" t="e">
            <v>#N/A</v>
          </cell>
          <cell r="L741" t="e">
            <v>#N/A</v>
          </cell>
          <cell r="M741" t="e">
            <v>#N/A</v>
          </cell>
          <cell r="N741" t="e">
            <v>#N/A</v>
          </cell>
          <cell r="O741" t="e">
            <v>#N/A</v>
          </cell>
          <cell r="P741">
            <v>34.65</v>
          </cell>
          <cell r="Q741" t="str">
            <v/>
          </cell>
          <cell r="R741" t="e">
            <v>#N/A</v>
          </cell>
        </row>
        <row r="742">
          <cell r="A742">
            <v>40228</v>
          </cell>
          <cell r="B742">
            <v>40228</v>
          </cell>
          <cell r="C742" t="str">
            <v>Future</v>
          </cell>
          <cell r="D742" t="e">
            <v>#N/A</v>
          </cell>
          <cell r="E742">
            <v>9.5648221343874447</v>
          </cell>
          <cell r="F742">
            <v>39.944268774703701</v>
          </cell>
          <cell r="G742">
            <v>32.711067193675262</v>
          </cell>
          <cell r="H742">
            <v>32.711067193675262</v>
          </cell>
          <cell r="I742" t="e">
            <v>#N/A</v>
          </cell>
          <cell r="J742" t="e">
            <v>#N/A</v>
          </cell>
          <cell r="K742" t="e">
            <v>#N/A</v>
          </cell>
          <cell r="L742" t="e">
            <v>#N/A</v>
          </cell>
          <cell r="M742" t="e">
            <v>#N/A</v>
          </cell>
          <cell r="N742" t="e">
            <v>#N/A</v>
          </cell>
          <cell r="O742" t="e">
            <v>#N/A</v>
          </cell>
          <cell r="P742">
            <v>34.65</v>
          </cell>
          <cell r="Q742" t="str">
            <v/>
          </cell>
          <cell r="R742" t="e">
            <v>#N/A</v>
          </cell>
        </row>
        <row r="743">
          <cell r="A743">
            <v>40231</v>
          </cell>
          <cell r="B743">
            <v>40231</v>
          </cell>
          <cell r="C743" t="str">
            <v>Future</v>
          </cell>
          <cell r="D743" t="e">
            <v>#N/A</v>
          </cell>
          <cell r="E743">
            <v>9.4281818181819119</v>
          </cell>
          <cell r="F743">
            <v>39.973636363636508</v>
          </cell>
          <cell r="G743">
            <v>32.700909090908461</v>
          </cell>
          <cell r="H743">
            <v>32.700909090908461</v>
          </cell>
          <cell r="I743" t="e">
            <v>#N/A</v>
          </cell>
          <cell r="J743" t="e">
            <v>#N/A</v>
          </cell>
          <cell r="K743" t="e">
            <v>#N/A</v>
          </cell>
          <cell r="L743" t="e">
            <v>#N/A</v>
          </cell>
          <cell r="M743" t="e">
            <v>#N/A</v>
          </cell>
          <cell r="N743" t="e">
            <v>#N/A</v>
          </cell>
          <cell r="O743" t="e">
            <v>#N/A</v>
          </cell>
          <cell r="P743">
            <v>34.65</v>
          </cell>
          <cell r="Q743" t="str">
            <v/>
          </cell>
          <cell r="R743" t="e">
            <v>#N/A</v>
          </cell>
        </row>
        <row r="744">
          <cell r="A744">
            <v>40232</v>
          </cell>
          <cell r="B744">
            <v>40232</v>
          </cell>
          <cell r="C744" t="str">
            <v>Future</v>
          </cell>
          <cell r="D744" t="e">
            <v>#N/A</v>
          </cell>
          <cell r="E744">
            <v>9.2915415019763792</v>
          </cell>
          <cell r="F744">
            <v>40.003003952569316</v>
          </cell>
          <cell r="G744">
            <v>32.690750988141659</v>
          </cell>
          <cell r="H744">
            <v>32.690750988141659</v>
          </cell>
          <cell r="I744" t="e">
            <v>#N/A</v>
          </cell>
          <cell r="J744" t="e">
            <v>#N/A</v>
          </cell>
          <cell r="K744" t="e">
            <v>#N/A</v>
          </cell>
          <cell r="L744" t="e">
            <v>#N/A</v>
          </cell>
          <cell r="M744" t="e">
            <v>#N/A</v>
          </cell>
          <cell r="N744" t="e">
            <v>#N/A</v>
          </cell>
          <cell r="O744" t="e">
            <v>#N/A</v>
          </cell>
          <cell r="P744">
            <v>34.65</v>
          </cell>
          <cell r="Q744" t="str">
            <v/>
          </cell>
          <cell r="R744" t="e">
            <v>#N/A</v>
          </cell>
        </row>
        <row r="745">
          <cell r="A745">
            <v>40233</v>
          </cell>
          <cell r="B745">
            <v>40233</v>
          </cell>
          <cell r="C745" t="str">
            <v>Future</v>
          </cell>
          <cell r="D745" t="e">
            <v>#N/A</v>
          </cell>
          <cell r="E745">
            <v>9.1549011857708464</v>
          </cell>
          <cell r="F745">
            <v>40.032371541502123</v>
          </cell>
          <cell r="G745">
            <v>32.680592885374857</v>
          </cell>
          <cell r="H745">
            <v>32.680592885374857</v>
          </cell>
          <cell r="I745" t="e">
            <v>#N/A</v>
          </cell>
          <cell r="J745" t="e">
            <v>#N/A</v>
          </cell>
          <cell r="K745" t="e">
            <v>#N/A</v>
          </cell>
          <cell r="L745" t="e">
            <v>#N/A</v>
          </cell>
          <cell r="M745" t="e">
            <v>#N/A</v>
          </cell>
          <cell r="N745" t="e">
            <v>#N/A</v>
          </cell>
          <cell r="O745" t="e">
            <v>#N/A</v>
          </cell>
          <cell r="P745">
            <v>34.65</v>
          </cell>
          <cell r="Q745" t="str">
            <v/>
          </cell>
          <cell r="R745" t="e">
            <v>#N/A</v>
          </cell>
        </row>
        <row r="746">
          <cell r="A746">
            <v>40234</v>
          </cell>
          <cell r="B746">
            <v>40234</v>
          </cell>
          <cell r="C746" t="str">
            <v>Future</v>
          </cell>
          <cell r="D746" t="e">
            <v>#N/A</v>
          </cell>
          <cell r="E746">
            <v>9.0182608695653137</v>
          </cell>
          <cell r="F746">
            <v>40.06173913043493</v>
          </cell>
          <cell r="G746">
            <v>32.670434782608055</v>
          </cell>
          <cell r="H746">
            <v>32.670434782608055</v>
          </cell>
          <cell r="I746" t="e">
            <v>#N/A</v>
          </cell>
          <cell r="J746" t="e">
            <v>#N/A</v>
          </cell>
          <cell r="K746" t="e">
            <v>#N/A</v>
          </cell>
          <cell r="L746" t="e">
            <v>#N/A</v>
          </cell>
          <cell r="M746" t="e">
            <v>#N/A</v>
          </cell>
          <cell r="N746" t="e">
            <v>#N/A</v>
          </cell>
          <cell r="O746" t="e">
            <v>#N/A</v>
          </cell>
          <cell r="P746">
            <v>34.65</v>
          </cell>
          <cell r="Q746" t="str">
            <v/>
          </cell>
          <cell r="R746" t="e">
            <v>#N/A</v>
          </cell>
        </row>
        <row r="747">
          <cell r="A747">
            <v>40235</v>
          </cell>
          <cell r="B747">
            <v>40235</v>
          </cell>
          <cell r="C747" t="str">
            <v>Future</v>
          </cell>
          <cell r="D747" t="e">
            <v>#N/A</v>
          </cell>
          <cell r="E747">
            <v>8.881620553359781</v>
          </cell>
          <cell r="F747">
            <v>40.091106719367737</v>
          </cell>
          <cell r="G747">
            <v>32.660276679841253</v>
          </cell>
          <cell r="H747">
            <v>32.660276679841253</v>
          </cell>
          <cell r="I747" t="e">
            <v>#N/A</v>
          </cell>
          <cell r="J747" t="e">
            <v>#N/A</v>
          </cell>
          <cell r="K747" t="e">
            <v>#N/A</v>
          </cell>
          <cell r="L747" t="e">
            <v>#N/A</v>
          </cell>
          <cell r="M747" t="e">
            <v>#N/A</v>
          </cell>
          <cell r="N747" t="e">
            <v>#N/A</v>
          </cell>
          <cell r="O747" t="e">
            <v>#N/A</v>
          </cell>
          <cell r="P747">
            <v>34.65</v>
          </cell>
          <cell r="Q747" t="str">
            <v/>
          </cell>
          <cell r="R747" t="e">
            <v>#N/A</v>
          </cell>
        </row>
        <row r="748">
          <cell r="A748">
            <v>40238</v>
          </cell>
          <cell r="B748">
            <v>40238</v>
          </cell>
          <cell r="C748" t="str">
            <v>Future</v>
          </cell>
          <cell r="D748" t="e">
            <v>#N/A</v>
          </cell>
          <cell r="E748">
            <v>8.7449802371542482</v>
          </cell>
          <cell r="F748">
            <v>40.120474308300544</v>
          </cell>
          <cell r="G748">
            <v>32.650118577074451</v>
          </cell>
          <cell r="H748">
            <v>32.650118577074451</v>
          </cell>
          <cell r="I748" t="e">
            <v>#N/A</v>
          </cell>
          <cell r="J748" t="e">
            <v>#N/A</v>
          </cell>
          <cell r="K748" t="e">
            <v>#N/A</v>
          </cell>
          <cell r="L748" t="e">
            <v>#N/A</v>
          </cell>
          <cell r="M748" t="e">
            <v>#N/A</v>
          </cell>
          <cell r="N748" t="e">
            <v>#N/A</v>
          </cell>
          <cell r="O748" t="e">
            <v>#N/A</v>
          </cell>
          <cell r="P748">
            <v>34.65</v>
          </cell>
          <cell r="Q748" t="str">
            <v/>
          </cell>
          <cell r="R748" t="e">
            <v>#N/A</v>
          </cell>
        </row>
        <row r="749">
          <cell r="A749">
            <v>40239</v>
          </cell>
          <cell r="B749">
            <v>40239</v>
          </cell>
          <cell r="C749" t="str">
            <v>Future</v>
          </cell>
          <cell r="D749" t="e">
            <v>#N/A</v>
          </cell>
          <cell r="E749">
            <v>8.6083399209487155</v>
          </cell>
          <cell r="F749">
            <v>40.149841897233351</v>
          </cell>
          <cell r="G749">
            <v>32.639960474307649</v>
          </cell>
          <cell r="H749">
            <v>32.639960474307649</v>
          </cell>
          <cell r="I749" t="e">
            <v>#N/A</v>
          </cell>
          <cell r="J749" t="e">
            <v>#N/A</v>
          </cell>
          <cell r="K749" t="e">
            <v>#N/A</v>
          </cell>
          <cell r="L749" t="e">
            <v>#N/A</v>
          </cell>
          <cell r="M749" t="e">
            <v>#N/A</v>
          </cell>
          <cell r="N749" t="e">
            <v>#N/A</v>
          </cell>
          <cell r="O749" t="e">
            <v>#N/A</v>
          </cell>
          <cell r="P749">
            <v>34.65</v>
          </cell>
          <cell r="Q749" t="str">
            <v/>
          </cell>
          <cell r="R749" t="e">
            <v>#N/A</v>
          </cell>
        </row>
        <row r="750">
          <cell r="A750">
            <v>40240</v>
          </cell>
          <cell r="B750">
            <v>40240</v>
          </cell>
          <cell r="C750" t="str">
            <v>Future</v>
          </cell>
          <cell r="D750" t="e">
            <v>#N/A</v>
          </cell>
          <cell r="E750">
            <v>8.4716996047431827</v>
          </cell>
          <cell r="F750">
            <v>40.179209486166158</v>
          </cell>
          <cell r="G750">
            <v>32.629802371540848</v>
          </cell>
          <cell r="H750">
            <v>32.629802371540848</v>
          </cell>
          <cell r="I750" t="e">
            <v>#N/A</v>
          </cell>
          <cell r="J750" t="e">
            <v>#N/A</v>
          </cell>
          <cell r="K750" t="e">
            <v>#N/A</v>
          </cell>
          <cell r="L750" t="e">
            <v>#N/A</v>
          </cell>
          <cell r="M750" t="e">
            <v>#N/A</v>
          </cell>
          <cell r="N750" t="e">
            <v>#N/A</v>
          </cell>
          <cell r="O750" t="e">
            <v>#N/A</v>
          </cell>
          <cell r="P750">
            <v>34.65</v>
          </cell>
          <cell r="Q750" t="str">
            <v/>
          </cell>
          <cell r="R750" t="e">
            <v>#N/A</v>
          </cell>
        </row>
        <row r="751">
          <cell r="A751">
            <v>40241</v>
          </cell>
          <cell r="B751">
            <v>40241</v>
          </cell>
          <cell r="C751" t="str">
            <v>Future</v>
          </cell>
          <cell r="D751" t="e">
            <v>#N/A</v>
          </cell>
          <cell r="E751">
            <v>8.33505928853765</v>
          </cell>
          <cell r="F751">
            <v>40.208577075098965</v>
          </cell>
          <cell r="G751">
            <v>32.619644268774046</v>
          </cell>
          <cell r="H751">
            <v>32.619644268774046</v>
          </cell>
          <cell r="I751" t="e">
            <v>#N/A</v>
          </cell>
          <cell r="J751" t="e">
            <v>#N/A</v>
          </cell>
          <cell r="K751" t="e">
            <v>#N/A</v>
          </cell>
          <cell r="L751" t="e">
            <v>#N/A</v>
          </cell>
          <cell r="M751" t="e">
            <v>#N/A</v>
          </cell>
          <cell r="N751" t="e">
            <v>#N/A</v>
          </cell>
          <cell r="O751" t="e">
            <v>#N/A</v>
          </cell>
          <cell r="P751">
            <v>34.65</v>
          </cell>
          <cell r="Q751" t="str">
            <v/>
          </cell>
          <cell r="R751" t="e">
            <v>#N/A</v>
          </cell>
        </row>
        <row r="752">
          <cell r="A752">
            <v>40242</v>
          </cell>
          <cell r="B752">
            <v>40242</v>
          </cell>
          <cell r="C752" t="str">
            <v>Future</v>
          </cell>
          <cell r="D752" t="e">
            <v>#N/A</v>
          </cell>
          <cell r="E752">
            <v>8.1984189723321172</v>
          </cell>
          <cell r="F752">
            <v>40.237944664031772</v>
          </cell>
          <cell r="G752">
            <v>32.609486166007244</v>
          </cell>
          <cell r="H752">
            <v>32.609486166007244</v>
          </cell>
          <cell r="I752" t="e">
            <v>#N/A</v>
          </cell>
          <cell r="J752" t="e">
            <v>#N/A</v>
          </cell>
          <cell r="K752" t="e">
            <v>#N/A</v>
          </cell>
          <cell r="L752" t="e">
            <v>#N/A</v>
          </cell>
          <cell r="M752" t="e">
            <v>#N/A</v>
          </cell>
          <cell r="N752" t="e">
            <v>#N/A</v>
          </cell>
          <cell r="O752" t="e">
            <v>#N/A</v>
          </cell>
          <cell r="P752">
            <v>34.65</v>
          </cell>
          <cell r="Q752" t="str">
            <v/>
          </cell>
          <cell r="R752" t="e">
            <v>#N/A</v>
          </cell>
        </row>
        <row r="753">
          <cell r="A753">
            <v>40245</v>
          </cell>
          <cell r="B753">
            <v>40245</v>
          </cell>
          <cell r="C753" t="str">
            <v>Future</v>
          </cell>
          <cell r="D753" t="e">
            <v>#N/A</v>
          </cell>
          <cell r="E753">
            <v>8.0617786561265845</v>
          </cell>
          <cell r="F753">
            <v>40.267312252964579</v>
          </cell>
          <cell r="G753">
            <v>32.599328063240442</v>
          </cell>
          <cell r="H753">
            <v>32.599328063240442</v>
          </cell>
          <cell r="I753" t="e">
            <v>#N/A</v>
          </cell>
          <cell r="J753" t="e">
            <v>#N/A</v>
          </cell>
          <cell r="K753" t="e">
            <v>#N/A</v>
          </cell>
          <cell r="L753" t="e">
            <v>#N/A</v>
          </cell>
          <cell r="M753" t="e">
            <v>#N/A</v>
          </cell>
          <cell r="N753" t="e">
            <v>#N/A</v>
          </cell>
          <cell r="O753" t="e">
            <v>#N/A</v>
          </cell>
          <cell r="P753">
            <v>34.65</v>
          </cell>
          <cell r="Q753" t="str">
            <v/>
          </cell>
          <cell r="R753" t="e">
            <v>#N/A</v>
          </cell>
        </row>
        <row r="754">
          <cell r="A754">
            <v>40246</v>
          </cell>
          <cell r="B754">
            <v>40246</v>
          </cell>
          <cell r="C754" t="str">
            <v>Future</v>
          </cell>
          <cell r="D754" t="e">
            <v>#N/A</v>
          </cell>
          <cell r="E754">
            <v>7.9251383399210509</v>
          </cell>
          <cell r="F754">
            <v>40.296679841897387</v>
          </cell>
          <cell r="G754">
            <v>32.58916996047364</v>
          </cell>
          <cell r="H754">
            <v>32.58916996047364</v>
          </cell>
          <cell r="I754" t="e">
            <v>#N/A</v>
          </cell>
          <cell r="J754" t="e">
            <v>#N/A</v>
          </cell>
          <cell r="K754" t="e">
            <v>#N/A</v>
          </cell>
          <cell r="L754" t="e">
            <v>#N/A</v>
          </cell>
          <cell r="M754" t="e">
            <v>#N/A</v>
          </cell>
          <cell r="N754" t="e">
            <v>#N/A</v>
          </cell>
          <cell r="O754" t="e">
            <v>#N/A</v>
          </cell>
          <cell r="P754">
            <v>34.65</v>
          </cell>
          <cell r="Q754" t="str">
            <v/>
          </cell>
          <cell r="R754" t="e">
            <v>#N/A</v>
          </cell>
        </row>
        <row r="755">
          <cell r="A755">
            <v>40247</v>
          </cell>
          <cell r="B755">
            <v>40247</v>
          </cell>
          <cell r="C755" t="str">
            <v>Future</v>
          </cell>
          <cell r="D755" t="e">
            <v>#N/A</v>
          </cell>
          <cell r="E755">
            <v>7.7884980237155172</v>
          </cell>
          <cell r="F755">
            <v>40.326047430830194</v>
          </cell>
          <cell r="G755">
            <v>32.579011857706838</v>
          </cell>
          <cell r="H755">
            <v>32.579011857706838</v>
          </cell>
          <cell r="I755" t="e">
            <v>#N/A</v>
          </cell>
          <cell r="J755" t="e">
            <v>#N/A</v>
          </cell>
          <cell r="K755" t="e">
            <v>#N/A</v>
          </cell>
          <cell r="L755" t="e">
            <v>#N/A</v>
          </cell>
          <cell r="M755" t="e">
            <v>#N/A</v>
          </cell>
          <cell r="N755" t="e">
            <v>#N/A</v>
          </cell>
          <cell r="O755" t="e">
            <v>#N/A</v>
          </cell>
          <cell r="P755">
            <v>34.65</v>
          </cell>
          <cell r="Q755" t="str">
            <v/>
          </cell>
          <cell r="R755" t="e">
            <v>#N/A</v>
          </cell>
        </row>
        <row r="756">
          <cell r="A756">
            <v>40248</v>
          </cell>
          <cell r="B756">
            <v>40248</v>
          </cell>
          <cell r="C756" t="str">
            <v>Future</v>
          </cell>
          <cell r="D756" t="e">
            <v>#N/A</v>
          </cell>
          <cell r="E756">
            <v>7.6518577075099836</v>
          </cell>
          <cell r="F756">
            <v>40.355415019763001</v>
          </cell>
          <cell r="G756">
            <v>32.568853754940037</v>
          </cell>
          <cell r="H756">
            <v>32.568853754940037</v>
          </cell>
          <cell r="I756" t="e">
            <v>#N/A</v>
          </cell>
          <cell r="J756" t="e">
            <v>#N/A</v>
          </cell>
          <cell r="K756" t="e">
            <v>#N/A</v>
          </cell>
          <cell r="L756" t="e">
            <v>#N/A</v>
          </cell>
          <cell r="M756" t="e">
            <v>#N/A</v>
          </cell>
          <cell r="N756" t="e">
            <v>#N/A</v>
          </cell>
          <cell r="O756" t="e">
            <v>#N/A</v>
          </cell>
          <cell r="P756">
            <v>34.65</v>
          </cell>
          <cell r="Q756" t="str">
            <v/>
          </cell>
          <cell r="R756" t="e">
            <v>#N/A</v>
          </cell>
        </row>
        <row r="757">
          <cell r="A757">
            <v>40249</v>
          </cell>
          <cell r="B757">
            <v>40249</v>
          </cell>
          <cell r="C757" t="str">
            <v>Future</v>
          </cell>
          <cell r="D757" t="e">
            <v>#N/A</v>
          </cell>
          <cell r="E757">
            <v>7.51521739130445</v>
          </cell>
          <cell r="F757">
            <v>40.384782608695808</v>
          </cell>
          <cell r="G757">
            <v>32.558695652173235</v>
          </cell>
          <cell r="H757">
            <v>32.558695652173235</v>
          </cell>
          <cell r="I757" t="e">
            <v>#N/A</v>
          </cell>
          <cell r="J757" t="e">
            <v>#N/A</v>
          </cell>
          <cell r="K757" t="e">
            <v>#N/A</v>
          </cell>
          <cell r="L757" t="e">
            <v>#N/A</v>
          </cell>
          <cell r="M757" t="e">
            <v>#N/A</v>
          </cell>
          <cell r="N757" t="e">
            <v>#N/A</v>
          </cell>
          <cell r="O757" t="e">
            <v>#N/A</v>
          </cell>
          <cell r="P757">
            <v>34.65</v>
          </cell>
          <cell r="Q757" t="str">
            <v/>
          </cell>
          <cell r="R757" t="e">
            <v>#N/A</v>
          </cell>
        </row>
        <row r="758">
          <cell r="A758">
            <v>40252</v>
          </cell>
          <cell r="B758">
            <v>40252</v>
          </cell>
          <cell r="C758" t="str">
            <v>Future</v>
          </cell>
          <cell r="D758" t="e">
            <v>#N/A</v>
          </cell>
          <cell r="E758">
            <v>7.3785770750989164</v>
          </cell>
          <cell r="F758">
            <v>40.414150197628615</v>
          </cell>
          <cell r="G758">
            <v>32.548537549406433</v>
          </cell>
          <cell r="H758">
            <v>32.548537549406433</v>
          </cell>
          <cell r="I758" t="e">
            <v>#N/A</v>
          </cell>
          <cell r="J758" t="e">
            <v>#N/A</v>
          </cell>
          <cell r="K758" t="e">
            <v>#N/A</v>
          </cell>
          <cell r="L758" t="e">
            <v>#N/A</v>
          </cell>
          <cell r="M758" t="e">
            <v>#N/A</v>
          </cell>
          <cell r="N758" t="e">
            <v>#N/A</v>
          </cell>
          <cell r="O758" t="e">
            <v>#N/A</v>
          </cell>
          <cell r="P758">
            <v>34.65</v>
          </cell>
          <cell r="Q758" t="str">
            <v/>
          </cell>
          <cell r="R758" t="e">
            <v>#N/A</v>
          </cell>
        </row>
        <row r="759">
          <cell r="A759">
            <v>40253</v>
          </cell>
          <cell r="B759">
            <v>40253</v>
          </cell>
          <cell r="C759" t="str">
            <v>Future</v>
          </cell>
          <cell r="D759" t="e">
            <v>#N/A</v>
          </cell>
          <cell r="E759">
            <v>7.2419367588933827</v>
          </cell>
          <cell r="F759">
            <v>40.443517786561422</v>
          </cell>
          <cell r="G759">
            <v>32.538379446639631</v>
          </cell>
          <cell r="H759">
            <v>32.538379446639631</v>
          </cell>
          <cell r="I759" t="e">
            <v>#N/A</v>
          </cell>
          <cell r="J759" t="e">
            <v>#N/A</v>
          </cell>
          <cell r="K759" t="e">
            <v>#N/A</v>
          </cell>
          <cell r="L759" t="e">
            <v>#N/A</v>
          </cell>
          <cell r="M759" t="e">
            <v>#N/A</v>
          </cell>
          <cell r="N759" t="e">
            <v>#N/A</v>
          </cell>
          <cell r="O759" t="e">
            <v>#N/A</v>
          </cell>
          <cell r="P759">
            <v>34.65</v>
          </cell>
          <cell r="Q759" t="str">
            <v/>
          </cell>
          <cell r="R759" t="e">
            <v>#N/A</v>
          </cell>
        </row>
        <row r="760">
          <cell r="A760">
            <v>40254</v>
          </cell>
          <cell r="B760">
            <v>40254</v>
          </cell>
          <cell r="C760" t="str">
            <v>Future</v>
          </cell>
          <cell r="D760" t="e">
            <v>#N/A</v>
          </cell>
          <cell r="E760">
            <v>7.1052964426878491</v>
          </cell>
          <cell r="F760">
            <v>40.472885375494229</v>
          </cell>
          <cell r="G760">
            <v>32.528221343872829</v>
          </cell>
          <cell r="H760">
            <v>32.528221343872829</v>
          </cell>
          <cell r="I760" t="e">
            <v>#N/A</v>
          </cell>
          <cell r="J760" t="e">
            <v>#N/A</v>
          </cell>
          <cell r="K760" t="e">
            <v>#N/A</v>
          </cell>
          <cell r="L760" t="e">
            <v>#N/A</v>
          </cell>
          <cell r="M760" t="e">
            <v>#N/A</v>
          </cell>
          <cell r="N760" t="e">
            <v>#N/A</v>
          </cell>
          <cell r="O760" t="e">
            <v>#N/A</v>
          </cell>
          <cell r="P760">
            <v>34.65</v>
          </cell>
          <cell r="Q760" t="str">
            <v/>
          </cell>
          <cell r="R760" t="e">
            <v>#N/A</v>
          </cell>
        </row>
        <row r="761">
          <cell r="A761">
            <v>40255</v>
          </cell>
          <cell r="B761">
            <v>40255</v>
          </cell>
          <cell r="C761" t="str">
            <v>Future</v>
          </cell>
          <cell r="D761" t="e">
            <v>#N/A</v>
          </cell>
          <cell r="E761">
            <v>6.9686561264823155</v>
          </cell>
          <cell r="F761">
            <v>40.502252964427036</v>
          </cell>
          <cell r="G761">
            <v>32.518063241106027</v>
          </cell>
          <cell r="H761">
            <v>32.518063241106027</v>
          </cell>
          <cell r="I761" t="e">
            <v>#N/A</v>
          </cell>
          <cell r="J761" t="e">
            <v>#N/A</v>
          </cell>
          <cell r="K761" t="e">
            <v>#N/A</v>
          </cell>
          <cell r="L761" t="e">
            <v>#N/A</v>
          </cell>
          <cell r="M761" t="e">
            <v>#N/A</v>
          </cell>
          <cell r="N761" t="e">
            <v>#N/A</v>
          </cell>
          <cell r="O761" t="e">
            <v>#N/A</v>
          </cell>
          <cell r="P761">
            <v>34.65</v>
          </cell>
          <cell r="Q761" t="str">
            <v/>
          </cell>
          <cell r="R761" t="e">
            <v>#N/A</v>
          </cell>
        </row>
        <row r="762">
          <cell r="A762">
            <v>40256</v>
          </cell>
          <cell r="B762">
            <v>40256</v>
          </cell>
          <cell r="C762" t="str">
            <v>Future</v>
          </cell>
          <cell r="D762" t="e">
            <v>#N/A</v>
          </cell>
          <cell r="E762">
            <v>6.8320158102767818</v>
          </cell>
          <cell r="F762">
            <v>40.531620553359843</v>
          </cell>
          <cell r="G762">
            <v>32.507905138339225</v>
          </cell>
          <cell r="H762">
            <v>32.507905138339225</v>
          </cell>
          <cell r="I762" t="e">
            <v>#N/A</v>
          </cell>
          <cell r="J762" t="e">
            <v>#N/A</v>
          </cell>
          <cell r="K762" t="e">
            <v>#N/A</v>
          </cell>
          <cell r="L762" t="e">
            <v>#N/A</v>
          </cell>
          <cell r="M762" t="e">
            <v>#N/A</v>
          </cell>
          <cell r="N762" t="e">
            <v>#N/A</v>
          </cell>
          <cell r="O762" t="e">
            <v>#N/A</v>
          </cell>
          <cell r="P762">
            <v>34.65</v>
          </cell>
          <cell r="Q762" t="str">
            <v/>
          </cell>
          <cell r="R762" t="e">
            <v>#N/A</v>
          </cell>
        </row>
        <row r="763">
          <cell r="A763">
            <v>40259</v>
          </cell>
          <cell r="B763">
            <v>40259</v>
          </cell>
          <cell r="C763" t="str">
            <v>Future</v>
          </cell>
          <cell r="D763" t="e">
            <v>#N/A</v>
          </cell>
          <cell r="E763">
            <v>6.6953754940712482</v>
          </cell>
          <cell r="F763">
            <v>40.560988142292651</v>
          </cell>
          <cell r="G763">
            <v>32.497747035572424</v>
          </cell>
          <cell r="H763">
            <v>32.497747035572424</v>
          </cell>
          <cell r="I763" t="e">
            <v>#N/A</v>
          </cell>
          <cell r="J763" t="e">
            <v>#N/A</v>
          </cell>
          <cell r="K763" t="e">
            <v>#N/A</v>
          </cell>
          <cell r="L763" t="e">
            <v>#N/A</v>
          </cell>
          <cell r="M763" t="e">
            <v>#N/A</v>
          </cell>
          <cell r="N763" t="e">
            <v>#N/A</v>
          </cell>
          <cell r="O763" t="e">
            <v>#N/A</v>
          </cell>
          <cell r="P763">
            <v>34.65</v>
          </cell>
          <cell r="Q763" t="str">
            <v/>
          </cell>
          <cell r="R763" t="e">
            <v>#N/A</v>
          </cell>
        </row>
        <row r="764">
          <cell r="A764">
            <v>40260</v>
          </cell>
          <cell r="B764">
            <v>40260</v>
          </cell>
          <cell r="C764" t="str">
            <v>Future</v>
          </cell>
          <cell r="D764" t="e">
            <v>#N/A</v>
          </cell>
          <cell r="E764">
            <v>6.5587351778657146</v>
          </cell>
          <cell r="F764">
            <v>40.590355731225458</v>
          </cell>
          <cell r="G764">
            <v>32.487588932805622</v>
          </cell>
          <cell r="H764">
            <v>32.487588932805622</v>
          </cell>
          <cell r="I764" t="e">
            <v>#N/A</v>
          </cell>
          <cell r="J764" t="e">
            <v>#N/A</v>
          </cell>
          <cell r="K764" t="e">
            <v>#N/A</v>
          </cell>
          <cell r="L764" t="e">
            <v>#N/A</v>
          </cell>
          <cell r="M764" t="e">
            <v>#N/A</v>
          </cell>
          <cell r="N764" t="e">
            <v>#N/A</v>
          </cell>
          <cell r="O764" t="e">
            <v>#N/A</v>
          </cell>
          <cell r="P764">
            <v>34.65</v>
          </cell>
          <cell r="Q764" t="str">
            <v/>
          </cell>
          <cell r="R764" t="e">
            <v>#N/A</v>
          </cell>
        </row>
        <row r="765">
          <cell r="A765">
            <v>40261</v>
          </cell>
          <cell r="B765">
            <v>40261</v>
          </cell>
          <cell r="C765" t="str">
            <v>Future</v>
          </cell>
          <cell r="D765" t="e">
            <v>#N/A</v>
          </cell>
          <cell r="E765">
            <v>6.422094861660181</v>
          </cell>
          <cell r="F765">
            <v>40.619723320158265</v>
          </cell>
          <cell r="G765">
            <v>32.47743083003882</v>
          </cell>
          <cell r="H765">
            <v>32.47743083003882</v>
          </cell>
          <cell r="I765" t="e">
            <v>#N/A</v>
          </cell>
          <cell r="J765" t="e">
            <v>#N/A</v>
          </cell>
          <cell r="K765" t="e">
            <v>#N/A</v>
          </cell>
          <cell r="L765" t="e">
            <v>#N/A</v>
          </cell>
          <cell r="M765" t="e">
            <v>#N/A</v>
          </cell>
          <cell r="N765" t="e">
            <v>#N/A</v>
          </cell>
          <cell r="O765" t="e">
            <v>#N/A</v>
          </cell>
          <cell r="P765">
            <v>34.65</v>
          </cell>
          <cell r="Q765" t="str">
            <v/>
          </cell>
          <cell r="R765" t="e">
            <v>#N/A</v>
          </cell>
        </row>
        <row r="766">
          <cell r="A766">
            <v>40262</v>
          </cell>
          <cell r="B766">
            <v>40262</v>
          </cell>
          <cell r="C766" t="str">
            <v>Future</v>
          </cell>
          <cell r="D766" t="e">
            <v>#N/A</v>
          </cell>
          <cell r="E766">
            <v>6.2854545454546473</v>
          </cell>
          <cell r="F766">
            <v>40.649090909091072</v>
          </cell>
          <cell r="G766">
            <v>32.467272727272018</v>
          </cell>
          <cell r="H766">
            <v>32.467272727272018</v>
          </cell>
          <cell r="I766" t="e">
            <v>#N/A</v>
          </cell>
          <cell r="J766" t="e">
            <v>#N/A</v>
          </cell>
          <cell r="K766" t="e">
            <v>#N/A</v>
          </cell>
          <cell r="L766" t="e">
            <v>#N/A</v>
          </cell>
          <cell r="M766" t="e">
            <v>#N/A</v>
          </cell>
          <cell r="N766" t="e">
            <v>#N/A</v>
          </cell>
          <cell r="O766" t="e">
            <v>#N/A</v>
          </cell>
          <cell r="P766">
            <v>34.65</v>
          </cell>
          <cell r="Q766" t="str">
            <v/>
          </cell>
          <cell r="R766" t="e">
            <v>#N/A</v>
          </cell>
        </row>
        <row r="767">
          <cell r="A767">
            <v>40263</v>
          </cell>
          <cell r="B767">
            <v>40263</v>
          </cell>
          <cell r="C767" t="str">
            <v>Future</v>
          </cell>
          <cell r="D767" t="e">
            <v>#N/A</v>
          </cell>
          <cell r="E767">
            <v>6.1488142292491137</v>
          </cell>
          <cell r="F767">
            <v>40.678458498023879</v>
          </cell>
          <cell r="G767">
            <v>32.457114624505216</v>
          </cell>
          <cell r="H767">
            <v>32.457114624505216</v>
          </cell>
          <cell r="I767" t="e">
            <v>#N/A</v>
          </cell>
          <cell r="J767" t="e">
            <v>#N/A</v>
          </cell>
          <cell r="K767" t="e">
            <v>#N/A</v>
          </cell>
          <cell r="L767" t="e">
            <v>#N/A</v>
          </cell>
          <cell r="M767" t="e">
            <v>#N/A</v>
          </cell>
          <cell r="N767" t="e">
            <v>#N/A</v>
          </cell>
          <cell r="O767" t="e">
            <v>#N/A</v>
          </cell>
          <cell r="P767">
            <v>34.65</v>
          </cell>
          <cell r="Q767" t="str">
            <v/>
          </cell>
          <cell r="R767" t="e">
            <v>#N/A</v>
          </cell>
        </row>
        <row r="768">
          <cell r="A768">
            <v>40266</v>
          </cell>
          <cell r="B768">
            <v>40266</v>
          </cell>
          <cell r="C768" t="str">
            <v>Future</v>
          </cell>
          <cell r="D768" t="e">
            <v>#N/A</v>
          </cell>
          <cell r="E768">
            <v>6.0121739130435801</v>
          </cell>
          <cell r="F768">
            <v>40.707826086956686</v>
          </cell>
          <cell r="G768">
            <v>32.446956521738414</v>
          </cell>
          <cell r="H768">
            <v>32.446956521738414</v>
          </cell>
          <cell r="I768" t="e">
            <v>#N/A</v>
          </cell>
          <cell r="J768" t="e">
            <v>#N/A</v>
          </cell>
          <cell r="K768" t="e">
            <v>#N/A</v>
          </cell>
          <cell r="L768" t="e">
            <v>#N/A</v>
          </cell>
          <cell r="M768" t="e">
            <v>#N/A</v>
          </cell>
          <cell r="N768" t="e">
            <v>#N/A</v>
          </cell>
          <cell r="O768" t="e">
            <v>#N/A</v>
          </cell>
          <cell r="P768">
            <v>34.65</v>
          </cell>
          <cell r="Q768" t="str">
            <v/>
          </cell>
          <cell r="R768" t="e">
            <v>#N/A</v>
          </cell>
        </row>
        <row r="769">
          <cell r="A769">
            <v>40267</v>
          </cell>
          <cell r="B769">
            <v>40267</v>
          </cell>
          <cell r="C769" t="str">
            <v>Future</v>
          </cell>
          <cell r="D769" t="e">
            <v>#N/A</v>
          </cell>
          <cell r="E769">
            <v>5.8755335968380464</v>
          </cell>
          <cell r="F769">
            <v>40.737193675889493</v>
          </cell>
          <cell r="G769">
            <v>32.436798418971613</v>
          </cell>
          <cell r="H769">
            <v>32.436798418971613</v>
          </cell>
          <cell r="I769" t="e">
            <v>#N/A</v>
          </cell>
          <cell r="J769" t="e">
            <v>#N/A</v>
          </cell>
          <cell r="K769" t="e">
            <v>#N/A</v>
          </cell>
          <cell r="L769" t="e">
            <v>#N/A</v>
          </cell>
          <cell r="M769" t="e">
            <v>#N/A</v>
          </cell>
          <cell r="N769" t="e">
            <v>#N/A</v>
          </cell>
          <cell r="O769" t="e">
            <v>#N/A</v>
          </cell>
          <cell r="P769">
            <v>34.65</v>
          </cell>
          <cell r="Q769" t="str">
            <v/>
          </cell>
          <cell r="R769" t="e">
            <v>#N/A</v>
          </cell>
        </row>
        <row r="770">
          <cell r="A770">
            <v>40268</v>
          </cell>
          <cell r="B770">
            <v>40268</v>
          </cell>
          <cell r="C770" t="str">
            <v>Future</v>
          </cell>
          <cell r="D770" t="e">
            <v>#N/A</v>
          </cell>
          <cell r="E770">
            <v>5.7388932806325128</v>
          </cell>
          <cell r="F770">
            <v>40.7665612648223</v>
          </cell>
          <cell r="G770">
            <v>32.426640316204811</v>
          </cell>
          <cell r="H770">
            <v>32.426640316204811</v>
          </cell>
          <cell r="I770" t="e">
            <v>#N/A</v>
          </cell>
          <cell r="J770" t="e">
            <v>#N/A</v>
          </cell>
          <cell r="K770" t="e">
            <v>#N/A</v>
          </cell>
          <cell r="L770" t="e">
            <v>#N/A</v>
          </cell>
          <cell r="M770" t="e">
            <v>#N/A</v>
          </cell>
          <cell r="N770" t="e">
            <v>#N/A</v>
          </cell>
          <cell r="O770" t="e">
            <v>#N/A</v>
          </cell>
          <cell r="P770">
            <v>34.65</v>
          </cell>
          <cell r="Q770" t="str">
            <v/>
          </cell>
          <cell r="R770" t="e">
            <v>#N/A</v>
          </cell>
        </row>
        <row r="771">
          <cell r="A771">
            <v>40269</v>
          </cell>
          <cell r="B771">
            <v>40269</v>
          </cell>
          <cell r="C771" t="str">
            <v>Future</v>
          </cell>
          <cell r="D771" t="e">
            <v>#N/A</v>
          </cell>
          <cell r="E771">
            <v>5.6022529644269792</v>
          </cell>
          <cell r="F771">
            <v>40.795928853755107</v>
          </cell>
          <cell r="G771">
            <v>32.416482213438009</v>
          </cell>
          <cell r="H771">
            <v>32.416482213438009</v>
          </cell>
          <cell r="I771" t="e">
            <v>#N/A</v>
          </cell>
          <cell r="J771" t="e">
            <v>#N/A</v>
          </cell>
          <cell r="K771" t="e">
            <v>#N/A</v>
          </cell>
          <cell r="L771" t="e">
            <v>#N/A</v>
          </cell>
          <cell r="M771" t="e">
            <v>#N/A</v>
          </cell>
          <cell r="N771" t="e">
            <v>#N/A</v>
          </cell>
          <cell r="O771" t="e">
            <v>#N/A</v>
          </cell>
          <cell r="P771">
            <v>34.65</v>
          </cell>
          <cell r="Q771" t="str">
            <v/>
          </cell>
          <cell r="R771" t="e">
            <v>#N/A</v>
          </cell>
        </row>
        <row r="772">
          <cell r="A772">
            <v>40273</v>
          </cell>
          <cell r="B772">
            <v>40273</v>
          </cell>
          <cell r="C772" t="str">
            <v>Future</v>
          </cell>
          <cell r="D772" t="e">
            <v>#N/A</v>
          </cell>
          <cell r="E772">
            <v>5.4656126482214455</v>
          </cell>
          <cell r="F772">
            <v>40.825296442687915</v>
          </cell>
          <cell r="G772">
            <v>32.406324110671207</v>
          </cell>
          <cell r="H772">
            <v>32.406324110671207</v>
          </cell>
          <cell r="I772" t="e">
            <v>#N/A</v>
          </cell>
          <cell r="J772" t="e">
            <v>#N/A</v>
          </cell>
          <cell r="K772" t="e">
            <v>#N/A</v>
          </cell>
          <cell r="L772" t="e">
            <v>#N/A</v>
          </cell>
          <cell r="M772" t="e">
            <v>#N/A</v>
          </cell>
          <cell r="N772" t="e">
            <v>#N/A</v>
          </cell>
          <cell r="O772" t="e">
            <v>#N/A</v>
          </cell>
          <cell r="P772">
            <v>34.65</v>
          </cell>
          <cell r="Q772" t="str">
            <v/>
          </cell>
          <cell r="R772" t="e">
            <v>#N/A</v>
          </cell>
        </row>
        <row r="773">
          <cell r="A773">
            <v>40274</v>
          </cell>
          <cell r="B773">
            <v>40274</v>
          </cell>
          <cell r="C773" t="str">
            <v>Future</v>
          </cell>
          <cell r="D773" t="e">
            <v>#N/A</v>
          </cell>
          <cell r="E773">
            <v>5.3289723320159119</v>
          </cell>
          <cell r="F773">
            <v>40.854664031620722</v>
          </cell>
          <cell r="G773">
            <v>32.396166007904405</v>
          </cell>
          <cell r="H773">
            <v>32.396166007904405</v>
          </cell>
          <cell r="I773" t="e">
            <v>#N/A</v>
          </cell>
          <cell r="J773" t="e">
            <v>#N/A</v>
          </cell>
          <cell r="K773" t="e">
            <v>#N/A</v>
          </cell>
          <cell r="L773" t="e">
            <v>#N/A</v>
          </cell>
          <cell r="M773" t="e">
            <v>#N/A</v>
          </cell>
          <cell r="N773" t="e">
            <v>#N/A</v>
          </cell>
          <cell r="O773" t="e">
            <v>#N/A</v>
          </cell>
          <cell r="P773">
            <v>34.65</v>
          </cell>
          <cell r="Q773" t="str">
            <v/>
          </cell>
          <cell r="R773" t="e">
            <v>#N/A</v>
          </cell>
        </row>
        <row r="774">
          <cell r="A774">
            <v>40275</v>
          </cell>
          <cell r="B774">
            <v>40275</v>
          </cell>
          <cell r="C774" t="str">
            <v>Future</v>
          </cell>
          <cell r="D774" t="e">
            <v>#N/A</v>
          </cell>
          <cell r="E774">
            <v>5.1923320158103783</v>
          </cell>
          <cell r="F774">
            <v>40.884031620553529</v>
          </cell>
          <cell r="G774">
            <v>32.386007905137603</v>
          </cell>
          <cell r="H774">
            <v>32.386007905137603</v>
          </cell>
          <cell r="I774" t="e">
            <v>#N/A</v>
          </cell>
          <cell r="J774" t="e">
            <v>#N/A</v>
          </cell>
          <cell r="K774" t="e">
            <v>#N/A</v>
          </cell>
          <cell r="L774" t="e">
            <v>#N/A</v>
          </cell>
          <cell r="M774" t="e">
            <v>#N/A</v>
          </cell>
          <cell r="N774" t="e">
            <v>#N/A</v>
          </cell>
          <cell r="O774" t="e">
            <v>#N/A</v>
          </cell>
          <cell r="P774">
            <v>34.65</v>
          </cell>
          <cell r="Q774" t="str">
            <v/>
          </cell>
          <cell r="R774" t="e">
            <v>#N/A</v>
          </cell>
        </row>
        <row r="775">
          <cell r="A775">
            <v>40276</v>
          </cell>
          <cell r="B775">
            <v>40276</v>
          </cell>
          <cell r="C775" t="str">
            <v>Future</v>
          </cell>
          <cell r="D775" t="e">
            <v>#N/A</v>
          </cell>
          <cell r="E775">
            <v>5.0556916996048447</v>
          </cell>
          <cell r="F775">
            <v>40.913399209486336</v>
          </cell>
          <cell r="G775">
            <v>32.375849802370801</v>
          </cell>
          <cell r="H775">
            <v>32.375849802370801</v>
          </cell>
          <cell r="I775" t="e">
            <v>#N/A</v>
          </cell>
          <cell r="J775" t="e">
            <v>#N/A</v>
          </cell>
          <cell r="K775" t="e">
            <v>#N/A</v>
          </cell>
          <cell r="L775" t="e">
            <v>#N/A</v>
          </cell>
          <cell r="M775" t="e">
            <v>#N/A</v>
          </cell>
          <cell r="N775" t="e">
            <v>#N/A</v>
          </cell>
          <cell r="O775" t="e">
            <v>#N/A</v>
          </cell>
          <cell r="P775">
            <v>34.65</v>
          </cell>
          <cell r="Q775" t="str">
            <v/>
          </cell>
          <cell r="R775" t="e">
            <v>#N/A</v>
          </cell>
        </row>
        <row r="776">
          <cell r="A776">
            <v>40277</v>
          </cell>
          <cell r="B776">
            <v>40277</v>
          </cell>
          <cell r="C776" t="str">
            <v>Future</v>
          </cell>
          <cell r="D776" t="e">
            <v>#N/A</v>
          </cell>
          <cell r="E776">
            <v>4.919051383399311</v>
          </cell>
          <cell r="F776">
            <v>40.942766798419143</v>
          </cell>
          <cell r="G776">
            <v>32.365691699604</v>
          </cell>
          <cell r="H776">
            <v>32.365691699604</v>
          </cell>
          <cell r="I776" t="e">
            <v>#N/A</v>
          </cell>
          <cell r="J776" t="e">
            <v>#N/A</v>
          </cell>
          <cell r="K776" t="e">
            <v>#N/A</v>
          </cell>
          <cell r="L776" t="e">
            <v>#N/A</v>
          </cell>
          <cell r="M776" t="e">
            <v>#N/A</v>
          </cell>
          <cell r="N776" t="e">
            <v>#N/A</v>
          </cell>
          <cell r="O776" t="e">
            <v>#N/A</v>
          </cell>
          <cell r="P776">
            <v>34.65</v>
          </cell>
          <cell r="Q776" t="str">
            <v/>
          </cell>
          <cell r="R776" t="e">
            <v>#N/A</v>
          </cell>
        </row>
        <row r="777">
          <cell r="A777">
            <v>40280</v>
          </cell>
          <cell r="B777">
            <v>40280</v>
          </cell>
          <cell r="C777" t="str">
            <v>Future</v>
          </cell>
          <cell r="D777" t="e">
            <v>#N/A</v>
          </cell>
          <cell r="E777">
            <v>4.7824110671937774</v>
          </cell>
          <cell r="F777">
            <v>40.97213438735195</v>
          </cell>
          <cell r="G777">
            <v>32.355533596837198</v>
          </cell>
          <cell r="H777">
            <v>32.355533596837198</v>
          </cell>
          <cell r="I777" t="e">
            <v>#N/A</v>
          </cell>
          <cell r="J777" t="e">
            <v>#N/A</v>
          </cell>
          <cell r="K777" t="e">
            <v>#N/A</v>
          </cell>
          <cell r="L777" t="e">
            <v>#N/A</v>
          </cell>
          <cell r="M777" t="e">
            <v>#N/A</v>
          </cell>
          <cell r="N777" t="e">
            <v>#N/A</v>
          </cell>
          <cell r="O777" t="e">
            <v>#N/A</v>
          </cell>
          <cell r="P777">
            <v>34.65</v>
          </cell>
          <cell r="Q777" t="str">
            <v/>
          </cell>
          <cell r="R777" t="e">
            <v>#N/A</v>
          </cell>
        </row>
        <row r="778">
          <cell r="A778">
            <v>40281</v>
          </cell>
          <cell r="B778">
            <v>40281</v>
          </cell>
          <cell r="C778" t="str">
            <v>Future</v>
          </cell>
          <cell r="D778" t="e">
            <v>#N/A</v>
          </cell>
          <cell r="E778">
            <v>4.6457707509882438</v>
          </cell>
          <cell r="F778">
            <v>41.001501976284757</v>
          </cell>
          <cell r="G778">
            <v>32.345375494070396</v>
          </cell>
          <cell r="H778">
            <v>32.345375494070396</v>
          </cell>
          <cell r="I778" t="e">
            <v>#N/A</v>
          </cell>
          <cell r="J778" t="e">
            <v>#N/A</v>
          </cell>
          <cell r="K778" t="e">
            <v>#N/A</v>
          </cell>
          <cell r="L778" t="e">
            <v>#N/A</v>
          </cell>
          <cell r="M778" t="e">
            <v>#N/A</v>
          </cell>
          <cell r="N778" t="e">
            <v>#N/A</v>
          </cell>
          <cell r="O778" t="e">
            <v>#N/A</v>
          </cell>
          <cell r="P778">
            <v>34.65</v>
          </cell>
          <cell r="Q778" t="str">
            <v/>
          </cell>
          <cell r="R778" t="e">
            <v>#N/A</v>
          </cell>
        </row>
        <row r="779">
          <cell r="A779">
            <v>40282</v>
          </cell>
          <cell r="B779">
            <v>40282</v>
          </cell>
          <cell r="C779" t="str">
            <v>Future</v>
          </cell>
          <cell r="D779" t="e">
            <v>#N/A</v>
          </cell>
          <cell r="E779">
            <v>4.5091304347827101</v>
          </cell>
          <cell r="F779">
            <v>41.030869565217564</v>
          </cell>
          <cell r="G779">
            <v>32.335217391303594</v>
          </cell>
          <cell r="H779">
            <v>32.335217391303594</v>
          </cell>
          <cell r="I779" t="e">
            <v>#N/A</v>
          </cell>
          <cell r="J779" t="e">
            <v>#N/A</v>
          </cell>
          <cell r="K779" t="e">
            <v>#N/A</v>
          </cell>
          <cell r="L779" t="e">
            <v>#N/A</v>
          </cell>
          <cell r="M779" t="e">
            <v>#N/A</v>
          </cell>
          <cell r="N779" t="e">
            <v>#N/A</v>
          </cell>
          <cell r="O779" t="e">
            <v>#N/A</v>
          </cell>
          <cell r="P779">
            <v>34.65</v>
          </cell>
          <cell r="Q779" t="str">
            <v/>
          </cell>
          <cell r="R779" t="e">
            <v>#N/A</v>
          </cell>
        </row>
        <row r="780">
          <cell r="A780">
            <v>40283</v>
          </cell>
          <cell r="B780">
            <v>40283</v>
          </cell>
          <cell r="C780" t="str">
            <v>Future</v>
          </cell>
          <cell r="D780" t="e">
            <v>#N/A</v>
          </cell>
          <cell r="E780">
            <v>4.3724901185771765</v>
          </cell>
          <cell r="F780">
            <v>41.060237154150371</v>
          </cell>
          <cell r="G780">
            <v>32.325059288536792</v>
          </cell>
          <cell r="H780">
            <v>32.325059288536792</v>
          </cell>
          <cell r="I780" t="e">
            <v>#N/A</v>
          </cell>
          <cell r="J780" t="e">
            <v>#N/A</v>
          </cell>
          <cell r="K780" t="e">
            <v>#N/A</v>
          </cell>
          <cell r="L780" t="e">
            <v>#N/A</v>
          </cell>
          <cell r="M780" t="e">
            <v>#N/A</v>
          </cell>
          <cell r="N780" t="e">
            <v>#N/A</v>
          </cell>
          <cell r="O780" t="e">
            <v>#N/A</v>
          </cell>
          <cell r="P780">
            <v>34.65</v>
          </cell>
          <cell r="Q780" t="str">
            <v/>
          </cell>
          <cell r="R780" t="e">
            <v>#N/A</v>
          </cell>
        </row>
        <row r="781">
          <cell r="A781">
            <v>40284</v>
          </cell>
          <cell r="B781">
            <v>40284</v>
          </cell>
          <cell r="C781" t="str">
            <v>Future</v>
          </cell>
          <cell r="D781" t="e">
            <v>#N/A</v>
          </cell>
          <cell r="E781">
            <v>4.2358498023716429</v>
          </cell>
          <cell r="F781">
            <v>41.089604743083179</v>
          </cell>
          <cell r="G781">
            <v>32.31490118576999</v>
          </cell>
          <cell r="H781">
            <v>32.31490118576999</v>
          </cell>
          <cell r="I781" t="e">
            <v>#N/A</v>
          </cell>
          <cell r="J781" t="e">
            <v>#N/A</v>
          </cell>
          <cell r="K781" t="e">
            <v>#N/A</v>
          </cell>
          <cell r="L781" t="e">
            <v>#N/A</v>
          </cell>
          <cell r="M781" t="e">
            <v>#N/A</v>
          </cell>
          <cell r="N781" t="e">
            <v>#N/A</v>
          </cell>
          <cell r="O781" t="e">
            <v>#N/A</v>
          </cell>
          <cell r="P781">
            <v>34.65</v>
          </cell>
          <cell r="Q781" t="str">
            <v/>
          </cell>
          <cell r="R781" t="e">
            <v>#N/A</v>
          </cell>
        </row>
        <row r="782">
          <cell r="A782">
            <v>40287</v>
          </cell>
          <cell r="B782">
            <v>40287</v>
          </cell>
          <cell r="C782" t="str">
            <v>Future</v>
          </cell>
          <cell r="D782" t="e">
            <v>#N/A</v>
          </cell>
          <cell r="E782">
            <v>4.0992094861661093</v>
          </cell>
          <cell r="F782">
            <v>41.118972332015986</v>
          </cell>
          <cell r="G782">
            <v>32.304743083003189</v>
          </cell>
          <cell r="H782">
            <v>32.304743083003189</v>
          </cell>
          <cell r="I782" t="e">
            <v>#N/A</v>
          </cell>
          <cell r="J782" t="e">
            <v>#N/A</v>
          </cell>
          <cell r="K782" t="e">
            <v>#N/A</v>
          </cell>
          <cell r="L782" t="e">
            <v>#N/A</v>
          </cell>
          <cell r="M782" t="e">
            <v>#N/A</v>
          </cell>
          <cell r="N782" t="e">
            <v>#N/A</v>
          </cell>
          <cell r="O782" t="e">
            <v>#N/A</v>
          </cell>
          <cell r="P782">
            <v>34.65</v>
          </cell>
          <cell r="Q782" t="str">
            <v/>
          </cell>
          <cell r="R782" t="e">
            <v>#N/A</v>
          </cell>
        </row>
        <row r="783">
          <cell r="A783">
            <v>40288</v>
          </cell>
          <cell r="B783">
            <v>40288</v>
          </cell>
          <cell r="C783" t="str">
            <v>Future</v>
          </cell>
          <cell r="D783" t="e">
            <v>#N/A</v>
          </cell>
          <cell r="E783">
            <v>3.9625691699605756</v>
          </cell>
          <cell r="F783">
            <v>41.148339920948793</v>
          </cell>
          <cell r="G783">
            <v>32.294584980236387</v>
          </cell>
          <cell r="H783">
            <v>32.294584980236387</v>
          </cell>
          <cell r="I783" t="e">
            <v>#N/A</v>
          </cell>
          <cell r="J783" t="e">
            <v>#N/A</v>
          </cell>
          <cell r="K783" t="e">
            <v>#N/A</v>
          </cell>
          <cell r="L783" t="e">
            <v>#N/A</v>
          </cell>
          <cell r="M783" t="e">
            <v>#N/A</v>
          </cell>
          <cell r="N783" t="e">
            <v>#N/A</v>
          </cell>
          <cell r="O783" t="e">
            <v>#N/A</v>
          </cell>
          <cell r="P783">
            <v>34.65</v>
          </cell>
          <cell r="Q783" t="str">
            <v/>
          </cell>
          <cell r="R783" t="e">
            <v>#N/A</v>
          </cell>
        </row>
        <row r="784">
          <cell r="A784">
            <v>40289</v>
          </cell>
          <cell r="B784">
            <v>40289</v>
          </cell>
          <cell r="C784" t="str">
            <v>Future</v>
          </cell>
          <cell r="D784" t="e">
            <v>#N/A</v>
          </cell>
          <cell r="E784">
            <v>3.825928853755042</v>
          </cell>
          <cell r="F784">
            <v>41.1777075098816</v>
          </cell>
          <cell r="G784">
            <v>32.284426877469585</v>
          </cell>
          <cell r="H784">
            <v>32.284426877469585</v>
          </cell>
          <cell r="I784" t="e">
            <v>#N/A</v>
          </cell>
          <cell r="J784" t="e">
            <v>#N/A</v>
          </cell>
          <cell r="K784" t="e">
            <v>#N/A</v>
          </cell>
          <cell r="L784" t="e">
            <v>#N/A</v>
          </cell>
          <cell r="M784" t="e">
            <v>#N/A</v>
          </cell>
          <cell r="N784" t="e">
            <v>#N/A</v>
          </cell>
          <cell r="O784" t="e">
            <v>#N/A</v>
          </cell>
          <cell r="P784">
            <v>34.65</v>
          </cell>
          <cell r="Q784" t="str">
            <v/>
          </cell>
          <cell r="R784" t="e">
            <v>#N/A</v>
          </cell>
        </row>
        <row r="785">
          <cell r="A785">
            <v>40290</v>
          </cell>
          <cell r="B785">
            <v>40290</v>
          </cell>
          <cell r="C785" t="str">
            <v>Future</v>
          </cell>
          <cell r="D785" t="e">
            <v>#N/A</v>
          </cell>
          <cell r="E785">
            <v>3.6892885375495084</v>
          </cell>
          <cell r="F785">
            <v>41.207075098814407</v>
          </cell>
          <cell r="G785">
            <v>32.274268774702783</v>
          </cell>
          <cell r="H785">
            <v>32.274268774702783</v>
          </cell>
          <cell r="I785" t="e">
            <v>#N/A</v>
          </cell>
          <cell r="J785" t="e">
            <v>#N/A</v>
          </cell>
          <cell r="K785" t="e">
            <v>#N/A</v>
          </cell>
          <cell r="L785" t="e">
            <v>#N/A</v>
          </cell>
          <cell r="M785" t="e">
            <v>#N/A</v>
          </cell>
          <cell r="N785" t="e">
            <v>#N/A</v>
          </cell>
          <cell r="O785" t="e">
            <v>#N/A</v>
          </cell>
          <cell r="P785">
            <v>34.65</v>
          </cell>
          <cell r="Q785" t="str">
            <v/>
          </cell>
          <cell r="R785" t="e">
            <v>#N/A</v>
          </cell>
        </row>
        <row r="786">
          <cell r="A786">
            <v>40291</v>
          </cell>
          <cell r="B786">
            <v>40291</v>
          </cell>
          <cell r="C786" t="str">
            <v>Future</v>
          </cell>
          <cell r="D786" t="e">
            <v>#N/A</v>
          </cell>
          <cell r="E786">
            <v>3.5526482213439747</v>
          </cell>
          <cell r="F786">
            <v>41.236442687747214</v>
          </cell>
          <cell r="G786">
            <v>32.264110671935981</v>
          </cell>
          <cell r="H786">
            <v>32.264110671935981</v>
          </cell>
          <cell r="I786" t="e">
            <v>#N/A</v>
          </cell>
          <cell r="J786" t="e">
            <v>#N/A</v>
          </cell>
          <cell r="K786" t="e">
            <v>#N/A</v>
          </cell>
          <cell r="L786" t="e">
            <v>#N/A</v>
          </cell>
          <cell r="M786" t="e">
            <v>#N/A</v>
          </cell>
          <cell r="N786" t="e">
            <v>#N/A</v>
          </cell>
          <cell r="O786" t="e">
            <v>#N/A</v>
          </cell>
          <cell r="P786">
            <v>34.65</v>
          </cell>
          <cell r="Q786" t="str">
            <v/>
          </cell>
          <cell r="R786" t="e">
            <v>#N/A</v>
          </cell>
        </row>
        <row r="787">
          <cell r="A787">
            <v>40294</v>
          </cell>
          <cell r="B787">
            <v>40294</v>
          </cell>
          <cell r="C787" t="str">
            <v>Future</v>
          </cell>
          <cell r="D787" t="e">
            <v>#N/A</v>
          </cell>
          <cell r="E787">
            <v>3.4160079051384411</v>
          </cell>
          <cell r="F787">
            <v>41.265810276680021</v>
          </cell>
          <cell r="G787">
            <v>32.253952569169179</v>
          </cell>
          <cell r="H787">
            <v>32.253952569169179</v>
          </cell>
          <cell r="I787" t="e">
            <v>#N/A</v>
          </cell>
          <cell r="J787" t="e">
            <v>#N/A</v>
          </cell>
          <cell r="K787" t="e">
            <v>#N/A</v>
          </cell>
          <cell r="L787" t="e">
            <v>#N/A</v>
          </cell>
          <cell r="M787" t="e">
            <v>#N/A</v>
          </cell>
          <cell r="N787" t="e">
            <v>#N/A</v>
          </cell>
          <cell r="O787" t="e">
            <v>#N/A</v>
          </cell>
          <cell r="P787">
            <v>34.65</v>
          </cell>
          <cell r="Q787" t="str">
            <v/>
          </cell>
          <cell r="R787" t="e">
            <v>#N/A</v>
          </cell>
        </row>
        <row r="788">
          <cell r="A788">
            <v>40295</v>
          </cell>
          <cell r="B788">
            <v>40295</v>
          </cell>
          <cell r="C788" t="str">
            <v>Future</v>
          </cell>
          <cell r="D788" t="e">
            <v>#N/A</v>
          </cell>
          <cell r="E788">
            <v>3.2793675889329075</v>
          </cell>
          <cell r="F788">
            <v>41.295177865612828</v>
          </cell>
          <cell r="G788">
            <v>32.243794466402377</v>
          </cell>
          <cell r="H788">
            <v>32.243794466402377</v>
          </cell>
          <cell r="I788" t="e">
            <v>#N/A</v>
          </cell>
          <cell r="J788" t="e">
            <v>#N/A</v>
          </cell>
          <cell r="K788" t="e">
            <v>#N/A</v>
          </cell>
          <cell r="L788" t="e">
            <v>#N/A</v>
          </cell>
          <cell r="M788" t="e">
            <v>#N/A</v>
          </cell>
          <cell r="N788" t="e">
            <v>#N/A</v>
          </cell>
          <cell r="O788" t="e">
            <v>#N/A</v>
          </cell>
          <cell r="P788">
            <v>34.65</v>
          </cell>
          <cell r="Q788" t="str">
            <v/>
          </cell>
          <cell r="R788" t="e">
            <v>#N/A</v>
          </cell>
        </row>
        <row r="789">
          <cell r="A789">
            <v>40296</v>
          </cell>
          <cell r="B789">
            <v>40296</v>
          </cell>
          <cell r="C789" t="str">
            <v>Future</v>
          </cell>
          <cell r="D789" t="e">
            <v>#N/A</v>
          </cell>
          <cell r="E789">
            <v>3.1427272727273738</v>
          </cell>
          <cell r="F789">
            <v>41.324545454545635</v>
          </cell>
          <cell r="G789">
            <v>32.233636363635576</v>
          </cell>
          <cell r="H789">
            <v>32.233636363635576</v>
          </cell>
          <cell r="I789" t="e">
            <v>#N/A</v>
          </cell>
          <cell r="J789" t="e">
            <v>#N/A</v>
          </cell>
          <cell r="K789" t="e">
            <v>#N/A</v>
          </cell>
          <cell r="L789" t="e">
            <v>#N/A</v>
          </cell>
          <cell r="M789" t="e">
            <v>#N/A</v>
          </cell>
          <cell r="N789" t="e">
            <v>#N/A</v>
          </cell>
          <cell r="O789" t="e">
            <v>#N/A</v>
          </cell>
          <cell r="P789">
            <v>34.65</v>
          </cell>
          <cell r="Q789" t="str">
            <v/>
          </cell>
          <cell r="R789" t="e">
            <v>#N/A</v>
          </cell>
        </row>
        <row r="790">
          <cell r="A790">
            <v>40297</v>
          </cell>
          <cell r="B790">
            <v>40297</v>
          </cell>
          <cell r="C790" t="str">
            <v>Future</v>
          </cell>
          <cell r="D790" t="e">
            <v>#N/A</v>
          </cell>
          <cell r="E790">
            <v>3.0060869565218402</v>
          </cell>
          <cell r="F790">
            <v>41.353913043478443</v>
          </cell>
          <cell r="G790">
            <v>32.223478260868774</v>
          </cell>
          <cell r="H790">
            <v>32.223478260868774</v>
          </cell>
          <cell r="I790" t="e">
            <v>#N/A</v>
          </cell>
          <cell r="J790" t="e">
            <v>#N/A</v>
          </cell>
          <cell r="K790" t="e">
            <v>#N/A</v>
          </cell>
          <cell r="L790" t="e">
            <v>#N/A</v>
          </cell>
          <cell r="M790" t="e">
            <v>#N/A</v>
          </cell>
          <cell r="N790" t="e">
            <v>#N/A</v>
          </cell>
          <cell r="O790" t="e">
            <v>#N/A</v>
          </cell>
          <cell r="P790">
            <v>34.65</v>
          </cell>
          <cell r="Q790" t="str">
            <v/>
          </cell>
          <cell r="R790" t="e">
            <v>#N/A</v>
          </cell>
        </row>
        <row r="791">
          <cell r="A791">
            <v>40298</v>
          </cell>
          <cell r="B791">
            <v>40298</v>
          </cell>
          <cell r="C791" t="str">
            <v>Future</v>
          </cell>
          <cell r="D791" t="e">
            <v>#N/A</v>
          </cell>
          <cell r="E791">
            <v>2.8694466403163066</v>
          </cell>
          <cell r="F791">
            <v>41.38328063241125</v>
          </cell>
          <cell r="G791">
            <v>32.213320158101972</v>
          </cell>
          <cell r="H791">
            <v>32.213320158101972</v>
          </cell>
          <cell r="I791" t="e">
            <v>#N/A</v>
          </cell>
          <cell r="J791" t="e">
            <v>#N/A</v>
          </cell>
          <cell r="K791" t="e">
            <v>#N/A</v>
          </cell>
          <cell r="L791" t="e">
            <v>#N/A</v>
          </cell>
          <cell r="M791" t="e">
            <v>#N/A</v>
          </cell>
          <cell r="N791" t="e">
            <v>#N/A</v>
          </cell>
          <cell r="O791" t="e">
            <v>#N/A</v>
          </cell>
          <cell r="P791">
            <v>34.65</v>
          </cell>
          <cell r="Q791" t="str">
            <v/>
          </cell>
          <cell r="R791" t="e">
            <v>#N/A</v>
          </cell>
        </row>
        <row r="792">
          <cell r="A792">
            <v>40301</v>
          </cell>
          <cell r="B792">
            <v>40301</v>
          </cell>
          <cell r="C792" t="str">
            <v>Future</v>
          </cell>
          <cell r="D792" t="e">
            <v>#N/A</v>
          </cell>
          <cell r="E792">
            <v>2.732806324110773</v>
          </cell>
          <cell r="F792">
            <v>41.412648221344057</v>
          </cell>
          <cell r="G792">
            <v>32.20316205533517</v>
          </cell>
          <cell r="H792">
            <v>32.20316205533517</v>
          </cell>
          <cell r="I792" t="e">
            <v>#N/A</v>
          </cell>
          <cell r="J792" t="e">
            <v>#N/A</v>
          </cell>
          <cell r="K792" t="e">
            <v>#N/A</v>
          </cell>
          <cell r="L792" t="e">
            <v>#N/A</v>
          </cell>
          <cell r="M792" t="e">
            <v>#N/A</v>
          </cell>
          <cell r="N792" t="e">
            <v>#N/A</v>
          </cell>
          <cell r="O792" t="e">
            <v>#N/A</v>
          </cell>
          <cell r="P792">
            <v>34.65</v>
          </cell>
          <cell r="Q792" t="str">
            <v/>
          </cell>
          <cell r="R792" t="e">
            <v>#N/A</v>
          </cell>
        </row>
        <row r="793">
          <cell r="A793">
            <v>40302</v>
          </cell>
          <cell r="B793">
            <v>40302</v>
          </cell>
          <cell r="C793" t="str">
            <v>Future</v>
          </cell>
          <cell r="D793" t="e">
            <v>#N/A</v>
          </cell>
          <cell r="E793">
            <v>2.5961660079052393</v>
          </cell>
          <cell r="F793">
            <v>41.442015810276864</v>
          </cell>
          <cell r="G793">
            <v>32.193003952568368</v>
          </cell>
          <cell r="H793">
            <v>32.193003952568368</v>
          </cell>
          <cell r="I793" t="e">
            <v>#N/A</v>
          </cell>
          <cell r="J793" t="e">
            <v>#N/A</v>
          </cell>
          <cell r="K793" t="e">
            <v>#N/A</v>
          </cell>
          <cell r="L793" t="e">
            <v>#N/A</v>
          </cell>
          <cell r="M793" t="e">
            <v>#N/A</v>
          </cell>
          <cell r="N793" t="e">
            <v>#N/A</v>
          </cell>
          <cell r="O793" t="e">
            <v>#N/A</v>
          </cell>
          <cell r="P793">
            <v>34.65</v>
          </cell>
          <cell r="Q793" t="str">
            <v/>
          </cell>
          <cell r="R793" t="e">
            <v>#N/A</v>
          </cell>
        </row>
        <row r="794">
          <cell r="A794">
            <v>40303</v>
          </cell>
          <cell r="B794">
            <v>40303</v>
          </cell>
          <cell r="C794" t="str">
            <v>Future</v>
          </cell>
          <cell r="D794" t="e">
            <v>#N/A</v>
          </cell>
          <cell r="E794">
            <v>2.4595256916997057</v>
          </cell>
          <cell r="F794">
            <v>41.471383399209671</v>
          </cell>
          <cell r="G794">
            <v>32.182845849801566</v>
          </cell>
          <cell r="H794">
            <v>32.182845849801566</v>
          </cell>
          <cell r="I794" t="e">
            <v>#N/A</v>
          </cell>
          <cell r="J794" t="e">
            <v>#N/A</v>
          </cell>
          <cell r="K794" t="e">
            <v>#N/A</v>
          </cell>
          <cell r="L794" t="e">
            <v>#N/A</v>
          </cell>
          <cell r="M794" t="e">
            <v>#N/A</v>
          </cell>
          <cell r="N794" t="e">
            <v>#N/A</v>
          </cell>
          <cell r="O794" t="e">
            <v>#N/A</v>
          </cell>
          <cell r="P794">
            <v>34.65</v>
          </cell>
          <cell r="Q794" t="str">
            <v/>
          </cell>
          <cell r="R794" t="e">
            <v>#N/A</v>
          </cell>
        </row>
        <row r="795">
          <cell r="A795">
            <v>40304</v>
          </cell>
          <cell r="B795">
            <v>40304</v>
          </cell>
          <cell r="C795" t="str">
            <v>Future</v>
          </cell>
          <cell r="D795" t="e">
            <v>#N/A</v>
          </cell>
          <cell r="E795">
            <v>2.3228853754941721</v>
          </cell>
          <cell r="F795">
            <v>41.500750988142478</v>
          </cell>
          <cell r="G795">
            <v>32.172687747034765</v>
          </cell>
          <cell r="H795">
            <v>32.172687747034765</v>
          </cell>
          <cell r="I795" t="e">
            <v>#N/A</v>
          </cell>
          <cell r="J795" t="e">
            <v>#N/A</v>
          </cell>
          <cell r="K795" t="e">
            <v>#N/A</v>
          </cell>
          <cell r="L795" t="e">
            <v>#N/A</v>
          </cell>
          <cell r="M795" t="e">
            <v>#N/A</v>
          </cell>
          <cell r="N795" t="e">
            <v>#N/A</v>
          </cell>
          <cell r="O795" t="e">
            <v>#N/A</v>
          </cell>
          <cell r="P795">
            <v>34.65</v>
          </cell>
          <cell r="Q795" t="str">
            <v/>
          </cell>
          <cell r="R795" t="e">
            <v>#N/A</v>
          </cell>
        </row>
        <row r="796">
          <cell r="A796">
            <v>40305</v>
          </cell>
          <cell r="B796">
            <v>40305</v>
          </cell>
          <cell r="C796" t="str">
            <v>Future</v>
          </cell>
          <cell r="D796" t="e">
            <v>#N/A</v>
          </cell>
          <cell r="E796">
            <v>2.1862450592886384</v>
          </cell>
          <cell r="F796">
            <v>41.530118577075285</v>
          </cell>
          <cell r="G796">
            <v>32.162529644267963</v>
          </cell>
          <cell r="H796">
            <v>32.162529644267963</v>
          </cell>
          <cell r="I796" t="e">
            <v>#N/A</v>
          </cell>
          <cell r="J796" t="e">
            <v>#N/A</v>
          </cell>
          <cell r="K796" t="e">
            <v>#N/A</v>
          </cell>
          <cell r="L796" t="e">
            <v>#N/A</v>
          </cell>
          <cell r="M796" t="e">
            <v>#N/A</v>
          </cell>
          <cell r="N796" t="e">
            <v>#N/A</v>
          </cell>
          <cell r="O796" t="e">
            <v>#N/A</v>
          </cell>
          <cell r="P796">
            <v>34.65</v>
          </cell>
          <cell r="Q796" t="str">
            <v/>
          </cell>
          <cell r="R796" t="e">
            <v>#N/A</v>
          </cell>
        </row>
        <row r="797">
          <cell r="A797">
            <v>40308</v>
          </cell>
          <cell r="B797">
            <v>40308</v>
          </cell>
          <cell r="C797" t="str">
            <v>Future</v>
          </cell>
          <cell r="D797" t="e">
            <v>#N/A</v>
          </cell>
          <cell r="E797">
            <v>2.0496047430831048</v>
          </cell>
          <cell r="F797">
            <v>41.559486166008092</v>
          </cell>
          <cell r="G797">
            <v>32.152371541501161</v>
          </cell>
          <cell r="H797">
            <v>32.152371541501161</v>
          </cell>
          <cell r="I797" t="e">
            <v>#N/A</v>
          </cell>
          <cell r="J797" t="e">
            <v>#N/A</v>
          </cell>
          <cell r="K797" t="e">
            <v>#N/A</v>
          </cell>
          <cell r="L797" t="e">
            <v>#N/A</v>
          </cell>
          <cell r="M797" t="e">
            <v>#N/A</v>
          </cell>
          <cell r="N797" t="e">
            <v>#N/A</v>
          </cell>
          <cell r="O797" t="e">
            <v>#N/A</v>
          </cell>
          <cell r="P797">
            <v>34.65</v>
          </cell>
          <cell r="Q797" t="str">
            <v/>
          </cell>
          <cell r="R797" t="e">
            <v>#N/A</v>
          </cell>
        </row>
        <row r="798">
          <cell r="A798">
            <v>40309</v>
          </cell>
          <cell r="B798">
            <v>40309</v>
          </cell>
          <cell r="C798" t="str">
            <v>Future</v>
          </cell>
          <cell r="D798" t="e">
            <v>#N/A</v>
          </cell>
          <cell r="E798">
            <v>1.9129644268775712</v>
          </cell>
          <cell r="F798">
            <v>41.588853754940899</v>
          </cell>
          <cell r="G798">
            <v>32.142213438734359</v>
          </cell>
          <cell r="H798">
            <v>32.142213438734359</v>
          </cell>
          <cell r="I798" t="e">
            <v>#N/A</v>
          </cell>
          <cell r="J798" t="e">
            <v>#N/A</v>
          </cell>
          <cell r="K798" t="e">
            <v>#N/A</v>
          </cell>
          <cell r="L798" t="e">
            <v>#N/A</v>
          </cell>
          <cell r="M798" t="e">
            <v>#N/A</v>
          </cell>
          <cell r="N798" t="e">
            <v>#N/A</v>
          </cell>
          <cell r="O798" t="e">
            <v>#N/A</v>
          </cell>
          <cell r="P798">
            <v>34.65</v>
          </cell>
          <cell r="Q798" t="str">
            <v/>
          </cell>
          <cell r="R798" t="e">
            <v>#N/A</v>
          </cell>
        </row>
        <row r="799">
          <cell r="A799">
            <v>40310</v>
          </cell>
          <cell r="B799">
            <v>40310</v>
          </cell>
          <cell r="C799" t="str">
            <v>Future</v>
          </cell>
          <cell r="D799" t="e">
            <v>#N/A</v>
          </cell>
          <cell r="E799">
            <v>1.7763241106720375</v>
          </cell>
          <cell r="F799">
            <v>41.618221343873707</v>
          </cell>
          <cell r="G799">
            <v>32.132055335967557</v>
          </cell>
          <cell r="H799">
            <v>32.132055335967557</v>
          </cell>
          <cell r="I799" t="e">
            <v>#N/A</v>
          </cell>
          <cell r="J799" t="e">
            <v>#N/A</v>
          </cell>
          <cell r="K799" t="e">
            <v>#N/A</v>
          </cell>
          <cell r="L799" t="e">
            <v>#N/A</v>
          </cell>
          <cell r="M799" t="e">
            <v>#N/A</v>
          </cell>
          <cell r="N799" t="e">
            <v>#N/A</v>
          </cell>
          <cell r="O799" t="e">
            <v>#N/A</v>
          </cell>
          <cell r="P799">
            <v>34.65</v>
          </cell>
          <cell r="Q799" t="str">
            <v/>
          </cell>
          <cell r="R799" t="e">
            <v>#N/A</v>
          </cell>
        </row>
        <row r="800">
          <cell r="A800">
            <v>40311</v>
          </cell>
          <cell r="B800">
            <v>40311</v>
          </cell>
          <cell r="C800" t="str">
            <v>Future</v>
          </cell>
          <cell r="D800" t="e">
            <v>#N/A</v>
          </cell>
          <cell r="E800">
            <v>1.6396837944665039</v>
          </cell>
          <cell r="F800">
            <v>41.647588932806514</v>
          </cell>
          <cell r="G800">
            <v>32.121897233200755</v>
          </cell>
          <cell r="H800">
            <v>32.121897233200755</v>
          </cell>
          <cell r="I800" t="e">
            <v>#N/A</v>
          </cell>
          <cell r="J800" t="e">
            <v>#N/A</v>
          </cell>
          <cell r="K800" t="e">
            <v>#N/A</v>
          </cell>
          <cell r="L800" t="e">
            <v>#N/A</v>
          </cell>
          <cell r="M800" t="e">
            <v>#N/A</v>
          </cell>
          <cell r="N800" t="e">
            <v>#N/A</v>
          </cell>
          <cell r="O800" t="e">
            <v>#N/A</v>
          </cell>
          <cell r="P800">
            <v>34.65</v>
          </cell>
          <cell r="Q800" t="str">
            <v/>
          </cell>
          <cell r="R800" t="e">
            <v>#N/A</v>
          </cell>
        </row>
        <row r="801">
          <cell r="A801">
            <v>40312</v>
          </cell>
          <cell r="B801">
            <v>40312</v>
          </cell>
          <cell r="C801" t="str">
            <v>Future</v>
          </cell>
          <cell r="D801" t="e">
            <v>#N/A</v>
          </cell>
          <cell r="E801">
            <v>1.5030434782609703</v>
          </cell>
          <cell r="F801">
            <v>41.676956521739321</v>
          </cell>
          <cell r="G801">
            <v>32.111739130433953</v>
          </cell>
          <cell r="H801">
            <v>32.111739130433953</v>
          </cell>
          <cell r="I801" t="e">
            <v>#N/A</v>
          </cell>
          <cell r="J801" t="e">
            <v>#N/A</v>
          </cell>
          <cell r="K801" t="e">
            <v>#N/A</v>
          </cell>
          <cell r="L801" t="e">
            <v>#N/A</v>
          </cell>
          <cell r="M801" t="e">
            <v>#N/A</v>
          </cell>
          <cell r="N801" t="e">
            <v>#N/A</v>
          </cell>
          <cell r="O801" t="e">
            <v>#N/A</v>
          </cell>
          <cell r="P801">
            <v>34.65</v>
          </cell>
          <cell r="Q801" t="str">
            <v/>
          </cell>
          <cell r="R801" t="e">
            <v>#N/A</v>
          </cell>
        </row>
        <row r="802">
          <cell r="A802">
            <v>40315</v>
          </cell>
          <cell r="B802">
            <v>40315</v>
          </cell>
          <cell r="C802" t="str">
            <v>Future</v>
          </cell>
          <cell r="D802" t="e">
            <v>#N/A</v>
          </cell>
          <cell r="E802">
            <v>1.3664031620554367</v>
          </cell>
          <cell r="F802">
            <v>41.706324110672128</v>
          </cell>
          <cell r="G802">
            <v>32.101581027667152</v>
          </cell>
          <cell r="H802">
            <v>32.101581027667152</v>
          </cell>
          <cell r="I802" t="e">
            <v>#N/A</v>
          </cell>
          <cell r="J802" t="e">
            <v>#N/A</v>
          </cell>
          <cell r="K802" t="e">
            <v>#N/A</v>
          </cell>
          <cell r="L802" t="e">
            <v>#N/A</v>
          </cell>
          <cell r="M802" t="e">
            <v>#N/A</v>
          </cell>
          <cell r="N802" t="e">
            <v>#N/A</v>
          </cell>
          <cell r="O802" t="e">
            <v>#N/A</v>
          </cell>
          <cell r="P802">
            <v>34.65</v>
          </cell>
          <cell r="Q802" t="str">
            <v/>
          </cell>
          <cell r="R802" t="e">
            <v>#N/A</v>
          </cell>
        </row>
        <row r="803">
          <cell r="A803">
            <v>40316</v>
          </cell>
          <cell r="B803">
            <v>40316</v>
          </cell>
          <cell r="C803" t="str">
            <v>Future</v>
          </cell>
          <cell r="D803" t="e">
            <v>#N/A</v>
          </cell>
          <cell r="E803">
            <v>1.229762845849903</v>
          </cell>
          <cell r="F803">
            <v>41.735691699604935</v>
          </cell>
          <cell r="G803">
            <v>32.09142292490035</v>
          </cell>
          <cell r="H803">
            <v>32.09142292490035</v>
          </cell>
          <cell r="I803" t="e">
            <v>#N/A</v>
          </cell>
          <cell r="J803" t="e">
            <v>#N/A</v>
          </cell>
          <cell r="K803" t="e">
            <v>#N/A</v>
          </cell>
          <cell r="L803" t="e">
            <v>#N/A</v>
          </cell>
          <cell r="M803" t="e">
            <v>#N/A</v>
          </cell>
          <cell r="N803" t="e">
            <v>#N/A</v>
          </cell>
          <cell r="O803" t="e">
            <v>#N/A</v>
          </cell>
          <cell r="P803">
            <v>34.65</v>
          </cell>
          <cell r="Q803" t="str">
            <v/>
          </cell>
          <cell r="R803" t="e">
            <v>#N/A</v>
          </cell>
        </row>
        <row r="804">
          <cell r="A804">
            <v>40317</v>
          </cell>
          <cell r="B804">
            <v>40317</v>
          </cell>
          <cell r="C804" t="str">
            <v>Future</v>
          </cell>
          <cell r="D804" t="e">
            <v>#N/A</v>
          </cell>
          <cell r="E804">
            <v>1.0931225296443694</v>
          </cell>
          <cell r="F804">
            <v>41.765059288537742</v>
          </cell>
          <cell r="G804">
            <v>32.081264822133548</v>
          </cell>
          <cell r="H804">
            <v>32.081264822133548</v>
          </cell>
          <cell r="I804" t="e">
            <v>#N/A</v>
          </cell>
          <cell r="J804" t="e">
            <v>#N/A</v>
          </cell>
          <cell r="K804" t="e">
            <v>#N/A</v>
          </cell>
          <cell r="L804" t="e">
            <v>#N/A</v>
          </cell>
          <cell r="M804" t="e">
            <v>#N/A</v>
          </cell>
          <cell r="N804" t="e">
            <v>#N/A</v>
          </cell>
          <cell r="O804" t="e">
            <v>#N/A</v>
          </cell>
          <cell r="P804">
            <v>34.65</v>
          </cell>
          <cell r="Q804" t="str">
            <v/>
          </cell>
          <cell r="R804" t="e">
            <v>#N/A</v>
          </cell>
        </row>
        <row r="805">
          <cell r="A805">
            <v>40318</v>
          </cell>
          <cell r="B805">
            <v>40318</v>
          </cell>
          <cell r="C805" t="str">
            <v>Future</v>
          </cell>
          <cell r="D805" t="e">
            <v>#N/A</v>
          </cell>
          <cell r="E805">
            <v>0.95648221343883577</v>
          </cell>
          <cell r="F805">
            <v>41.794426877470549</v>
          </cell>
          <cell r="G805">
            <v>32.071106719366746</v>
          </cell>
          <cell r="H805">
            <v>32.071106719366746</v>
          </cell>
          <cell r="I805" t="e">
            <v>#N/A</v>
          </cell>
          <cell r="J805" t="e">
            <v>#N/A</v>
          </cell>
          <cell r="K805" t="e">
            <v>#N/A</v>
          </cell>
          <cell r="L805" t="e">
            <v>#N/A</v>
          </cell>
          <cell r="M805" t="e">
            <v>#N/A</v>
          </cell>
          <cell r="N805" t="e">
            <v>#N/A</v>
          </cell>
          <cell r="O805" t="e">
            <v>#N/A</v>
          </cell>
          <cell r="P805">
            <v>34.65</v>
          </cell>
          <cell r="Q805" t="str">
            <v/>
          </cell>
          <cell r="R805" t="e">
            <v>#N/A</v>
          </cell>
        </row>
        <row r="806">
          <cell r="A806">
            <v>40319</v>
          </cell>
          <cell r="B806">
            <v>40319</v>
          </cell>
          <cell r="C806" t="str">
            <v>Future</v>
          </cell>
          <cell r="D806" t="e">
            <v>#N/A</v>
          </cell>
          <cell r="E806">
            <v>0.81984189723330214</v>
          </cell>
          <cell r="F806">
            <v>41.823794466403356</v>
          </cell>
          <cell r="G806">
            <v>32.060948616599944</v>
          </cell>
          <cell r="H806">
            <v>32.060948616599944</v>
          </cell>
          <cell r="I806" t="e">
            <v>#N/A</v>
          </cell>
          <cell r="J806" t="e">
            <v>#N/A</v>
          </cell>
          <cell r="K806" t="e">
            <v>#N/A</v>
          </cell>
          <cell r="L806" t="e">
            <v>#N/A</v>
          </cell>
          <cell r="M806" t="e">
            <v>#N/A</v>
          </cell>
          <cell r="N806" t="e">
            <v>#N/A</v>
          </cell>
          <cell r="O806" t="e">
            <v>#N/A</v>
          </cell>
          <cell r="P806">
            <v>34.65</v>
          </cell>
          <cell r="Q806" t="str">
            <v/>
          </cell>
          <cell r="R806" t="e">
            <v>#N/A</v>
          </cell>
        </row>
        <row r="807">
          <cell r="A807">
            <v>40322</v>
          </cell>
          <cell r="B807">
            <v>40322</v>
          </cell>
          <cell r="C807" t="str">
            <v>Future</v>
          </cell>
          <cell r="D807" t="e">
            <v>#N/A</v>
          </cell>
          <cell r="E807">
            <v>0.68320158102776851</v>
          </cell>
          <cell r="F807">
            <v>41.853162055336163</v>
          </cell>
          <cell r="G807">
            <v>32.050790513833142</v>
          </cell>
          <cell r="H807">
            <v>32.050790513833142</v>
          </cell>
          <cell r="I807" t="e">
            <v>#N/A</v>
          </cell>
          <cell r="J807" t="e">
            <v>#N/A</v>
          </cell>
          <cell r="K807" t="e">
            <v>#N/A</v>
          </cell>
          <cell r="L807" t="e">
            <v>#N/A</v>
          </cell>
          <cell r="M807" t="e">
            <v>#N/A</v>
          </cell>
          <cell r="N807" t="e">
            <v>#N/A</v>
          </cell>
          <cell r="O807" t="e">
            <v>#N/A</v>
          </cell>
          <cell r="P807">
            <v>34.65</v>
          </cell>
          <cell r="Q807" t="str">
            <v/>
          </cell>
          <cell r="R807" t="e">
            <v>#N/A</v>
          </cell>
        </row>
        <row r="808">
          <cell r="A808">
            <v>40323</v>
          </cell>
          <cell r="B808">
            <v>40323</v>
          </cell>
          <cell r="C808" t="str">
            <v>Future</v>
          </cell>
          <cell r="D808" t="e">
            <v>#N/A</v>
          </cell>
          <cell r="E808">
            <v>0.54656126482223488</v>
          </cell>
          <cell r="F808">
            <v>41.882529644268971</v>
          </cell>
          <cell r="G808">
            <v>32.040632411066341</v>
          </cell>
          <cell r="H808">
            <v>32.040632411066341</v>
          </cell>
          <cell r="I808" t="e">
            <v>#N/A</v>
          </cell>
          <cell r="J808" t="e">
            <v>#N/A</v>
          </cell>
          <cell r="K808" t="e">
            <v>#N/A</v>
          </cell>
          <cell r="L808" t="e">
            <v>#N/A</v>
          </cell>
          <cell r="M808" t="e">
            <v>#N/A</v>
          </cell>
          <cell r="N808" t="e">
            <v>#N/A</v>
          </cell>
          <cell r="O808" t="e">
            <v>#N/A</v>
          </cell>
          <cell r="P808">
            <v>34.65</v>
          </cell>
          <cell r="Q808" t="str">
            <v/>
          </cell>
          <cell r="R808" t="e">
            <v>#N/A</v>
          </cell>
        </row>
        <row r="809">
          <cell r="A809">
            <v>40324</v>
          </cell>
          <cell r="B809">
            <v>40324</v>
          </cell>
          <cell r="C809" t="str">
            <v>Future</v>
          </cell>
          <cell r="D809" t="e">
            <v>#N/A</v>
          </cell>
          <cell r="E809">
            <v>0.40992094861670125</v>
          </cell>
          <cell r="F809">
            <v>41.911897233201778</v>
          </cell>
          <cell r="G809">
            <v>32.030474308299539</v>
          </cell>
          <cell r="H809">
            <v>32.030474308299539</v>
          </cell>
          <cell r="I809" t="e">
            <v>#N/A</v>
          </cell>
          <cell r="J809" t="e">
            <v>#N/A</v>
          </cell>
          <cell r="K809" t="e">
            <v>#N/A</v>
          </cell>
          <cell r="L809" t="e">
            <v>#N/A</v>
          </cell>
          <cell r="M809" t="e">
            <v>#N/A</v>
          </cell>
          <cell r="N809" t="e">
            <v>#N/A</v>
          </cell>
          <cell r="O809" t="e">
            <v>#N/A</v>
          </cell>
          <cell r="P809">
            <v>34.65</v>
          </cell>
          <cell r="Q809" t="str">
            <v/>
          </cell>
          <cell r="R809" t="e">
            <v>#N/A</v>
          </cell>
        </row>
        <row r="810">
          <cell r="A810">
            <v>40325</v>
          </cell>
          <cell r="B810">
            <v>40325</v>
          </cell>
          <cell r="C810" t="str">
            <v>Future</v>
          </cell>
          <cell r="D810" t="e">
            <v>#N/A</v>
          </cell>
          <cell r="E810">
            <v>0.27328063241116762</v>
          </cell>
          <cell r="F810">
            <v>41.941264822134585</v>
          </cell>
          <cell r="G810">
            <v>32.020316205532737</v>
          </cell>
          <cell r="H810">
            <v>32.020316205532737</v>
          </cell>
          <cell r="I810" t="e">
            <v>#N/A</v>
          </cell>
          <cell r="J810" t="e">
            <v>#N/A</v>
          </cell>
          <cell r="K810" t="e">
            <v>#N/A</v>
          </cell>
          <cell r="L810" t="e">
            <v>#N/A</v>
          </cell>
          <cell r="M810" t="e">
            <v>#N/A</v>
          </cell>
          <cell r="N810" t="e">
            <v>#N/A</v>
          </cell>
          <cell r="O810" t="e">
            <v>#N/A</v>
          </cell>
          <cell r="P810">
            <v>34.65</v>
          </cell>
          <cell r="Q810" t="str">
            <v/>
          </cell>
          <cell r="R810" t="e">
            <v>#N/A</v>
          </cell>
        </row>
        <row r="811">
          <cell r="A811">
            <v>40326</v>
          </cell>
          <cell r="B811">
            <v>40326</v>
          </cell>
          <cell r="C811" t="str">
            <v>Future</v>
          </cell>
          <cell r="D811" t="e">
            <v>#N/A</v>
          </cell>
          <cell r="E811">
            <v>0.13664031620563402</v>
          </cell>
          <cell r="F811">
            <v>41.970632411067392</v>
          </cell>
          <cell r="G811">
            <v>32.010158102765935</v>
          </cell>
          <cell r="H811">
            <v>32.010158102765935</v>
          </cell>
          <cell r="I811" t="e">
            <v>#N/A</v>
          </cell>
          <cell r="J811" t="e">
            <v>#N/A</v>
          </cell>
          <cell r="K811">
            <v>42</v>
          </cell>
          <cell r="L811">
            <v>32</v>
          </cell>
          <cell r="M811" t="e">
            <v>#N/A</v>
          </cell>
          <cell r="N811">
            <v>37</v>
          </cell>
          <cell r="O811" t="e">
            <v>#N/A</v>
          </cell>
          <cell r="P811">
            <v>34.65</v>
          </cell>
          <cell r="Q811" t="str">
            <v/>
          </cell>
          <cell r="R811" t="e">
            <v>#N/A</v>
          </cell>
        </row>
        <row r="812">
          <cell r="A812" t="str">
            <v/>
          </cell>
          <cell r="B812" t="str">
            <v/>
          </cell>
          <cell r="C812" t="str">
            <v>Future</v>
          </cell>
          <cell r="D812" t="e">
            <v>#N/A</v>
          </cell>
          <cell r="E812">
            <v>1.0041967257734541E-13</v>
          </cell>
          <cell r="F812">
            <v>42.000000000000199</v>
          </cell>
          <cell r="G812">
            <v>31.999999999999137</v>
          </cell>
          <cell r="H812">
            <v>31.999999999999137</v>
          </cell>
          <cell r="I812" t="e">
            <v>#N/A</v>
          </cell>
          <cell r="J812" t="e">
            <v>#N/A</v>
          </cell>
          <cell r="K812">
            <v>42</v>
          </cell>
          <cell r="L812">
            <v>32</v>
          </cell>
          <cell r="M812" t="e">
            <v>#N/A</v>
          </cell>
          <cell r="N812">
            <v>37</v>
          </cell>
          <cell r="O812" t="e">
            <v>#N/A</v>
          </cell>
          <cell r="P812" t="str">
            <v/>
          </cell>
          <cell r="Q812" t="str">
            <v/>
          </cell>
          <cell r="R812" t="e">
            <v>#N/A</v>
          </cell>
        </row>
        <row r="813">
          <cell r="A813" t="str">
            <v/>
          </cell>
          <cell r="B813" t="str">
            <v/>
          </cell>
          <cell r="C813" t="str">
            <v>Future</v>
          </cell>
          <cell r="D813" t="e">
            <v>#N/A</v>
          </cell>
          <cell r="E813">
            <v>-0.13664031620543318</v>
          </cell>
          <cell r="F813">
            <v>42.029367588933006</v>
          </cell>
          <cell r="G813">
            <v>31.989841897232338</v>
          </cell>
          <cell r="H813">
            <v>31.989841897232338</v>
          </cell>
          <cell r="I813" t="e">
            <v>#N/A</v>
          </cell>
          <cell r="J813" t="e">
            <v>#N/A</v>
          </cell>
          <cell r="K813">
            <v>42</v>
          </cell>
          <cell r="L813">
            <v>32</v>
          </cell>
          <cell r="M813" t="e">
            <v>#N/A</v>
          </cell>
          <cell r="N813">
            <v>37</v>
          </cell>
          <cell r="O813" t="e">
            <v>#N/A</v>
          </cell>
          <cell r="P813" t="str">
            <v/>
          </cell>
          <cell r="Q813" t="str">
            <v/>
          </cell>
          <cell r="R813" t="e">
            <v>#N/A</v>
          </cell>
        </row>
        <row r="814">
          <cell r="A814" t="str">
            <v/>
          </cell>
          <cell r="B814" t="str">
            <v/>
          </cell>
          <cell r="C814" t="str">
            <v>Future</v>
          </cell>
          <cell r="D814" t="e">
            <v>#N/A</v>
          </cell>
          <cell r="E814">
            <v>-0.27328063241096678</v>
          </cell>
          <cell r="F814">
            <v>42.058735177865813</v>
          </cell>
          <cell r="G814">
            <v>31.97968379446554</v>
          </cell>
          <cell r="H814">
            <v>31.97968379446554</v>
          </cell>
          <cell r="I814" t="e">
            <v>#N/A</v>
          </cell>
          <cell r="J814" t="e">
            <v>#N/A</v>
          </cell>
          <cell r="K814">
            <v>42</v>
          </cell>
          <cell r="L814">
            <v>32</v>
          </cell>
          <cell r="M814" t="e">
            <v>#N/A</v>
          </cell>
          <cell r="N814">
            <v>37</v>
          </cell>
          <cell r="O814" t="e">
            <v>#N/A</v>
          </cell>
          <cell r="P814" t="str">
            <v/>
          </cell>
          <cell r="Q814" t="str">
            <v/>
          </cell>
          <cell r="R814" t="e">
            <v>#N/A</v>
          </cell>
        </row>
        <row r="815">
          <cell r="A815" t="str">
            <v/>
          </cell>
          <cell r="B815" t="str">
            <v/>
          </cell>
          <cell r="C815" t="str">
            <v>Future</v>
          </cell>
          <cell r="D815" t="e">
            <v>#N/A</v>
          </cell>
          <cell r="E815">
            <v>-0.40992094861650041</v>
          </cell>
          <cell r="F815">
            <v>42.08810276679862</v>
          </cell>
          <cell r="G815">
            <v>31.969525691698742</v>
          </cell>
          <cell r="H815">
            <v>31.969525691698742</v>
          </cell>
          <cell r="I815" t="e">
            <v>#N/A</v>
          </cell>
          <cell r="J815" t="e">
            <v>#N/A</v>
          </cell>
          <cell r="K815">
            <v>42</v>
          </cell>
          <cell r="L815">
            <v>32</v>
          </cell>
          <cell r="M815" t="e">
            <v>#N/A</v>
          </cell>
          <cell r="N815">
            <v>37</v>
          </cell>
          <cell r="O815" t="e">
            <v>#N/A</v>
          </cell>
          <cell r="P815" t="str">
            <v/>
          </cell>
          <cell r="Q815" t="str">
            <v/>
          </cell>
          <cell r="R815" t="e">
            <v>#N/A</v>
          </cell>
        </row>
        <row r="816">
          <cell r="A816" t="str">
            <v/>
          </cell>
          <cell r="B816" t="str">
            <v/>
          </cell>
          <cell r="C816" t="str">
            <v>Future</v>
          </cell>
          <cell r="D816" t="e">
            <v>#N/A</v>
          </cell>
          <cell r="E816">
            <v>-0.54656126482203404</v>
          </cell>
          <cell r="F816">
            <v>42.117470355731427</v>
          </cell>
          <cell r="G816">
            <v>31.959367588931944</v>
          </cell>
          <cell r="H816">
            <v>31.959367588931944</v>
          </cell>
          <cell r="I816" t="e">
            <v>#N/A</v>
          </cell>
          <cell r="J816" t="e">
            <v>#N/A</v>
          </cell>
          <cell r="K816">
            <v>42</v>
          </cell>
          <cell r="L816">
            <v>32</v>
          </cell>
          <cell r="M816" t="e">
            <v>#N/A</v>
          </cell>
          <cell r="N816">
            <v>37</v>
          </cell>
          <cell r="O816" t="e">
            <v>#N/A</v>
          </cell>
          <cell r="P816" t="str">
            <v/>
          </cell>
          <cell r="Q816" t="str">
            <v/>
          </cell>
          <cell r="R816" t="e">
            <v>#N/A</v>
          </cell>
        </row>
        <row r="817">
          <cell r="A817" t="str">
            <v/>
          </cell>
          <cell r="B817" t="str">
            <v/>
          </cell>
          <cell r="C817" t="str">
            <v>Future</v>
          </cell>
          <cell r="D817" t="e">
            <v>#N/A</v>
          </cell>
          <cell r="E817">
            <v>-0.68320158102756767</v>
          </cell>
          <cell r="F817">
            <v>42.146837944664234</v>
          </cell>
          <cell r="G817">
            <v>31.949209486165145</v>
          </cell>
          <cell r="H817">
            <v>31.949209486165145</v>
          </cell>
          <cell r="I817" t="e">
            <v>#N/A</v>
          </cell>
          <cell r="J817" t="e">
            <v>#N/A</v>
          </cell>
          <cell r="K817">
            <v>42</v>
          </cell>
          <cell r="L817">
            <v>32</v>
          </cell>
          <cell r="M817" t="e">
            <v>#N/A</v>
          </cell>
          <cell r="N817">
            <v>37</v>
          </cell>
          <cell r="O817" t="e">
            <v>#N/A</v>
          </cell>
          <cell r="P817" t="str">
            <v/>
          </cell>
          <cell r="Q817" t="str">
            <v/>
          </cell>
          <cell r="R817" t="e">
            <v>#N/A</v>
          </cell>
        </row>
        <row r="818">
          <cell r="A818" t="str">
            <v/>
          </cell>
          <cell r="B818" t="str">
            <v/>
          </cell>
          <cell r="C818" t="str">
            <v>Future</v>
          </cell>
          <cell r="D818" t="e">
            <v>#N/A</v>
          </cell>
          <cell r="E818">
            <v>-0.8198418972331013</v>
          </cell>
          <cell r="F818">
            <v>42.176205533597042</v>
          </cell>
          <cell r="G818">
            <v>31.939051383398347</v>
          </cell>
          <cell r="H818">
            <v>31.939051383398347</v>
          </cell>
          <cell r="I818" t="e">
            <v>#N/A</v>
          </cell>
          <cell r="J818" t="e">
            <v>#N/A</v>
          </cell>
          <cell r="K818">
            <v>42</v>
          </cell>
          <cell r="L818">
            <v>32</v>
          </cell>
          <cell r="M818" t="e">
            <v>#N/A</v>
          </cell>
          <cell r="N818">
            <v>37</v>
          </cell>
          <cell r="O818" t="e">
            <v>#N/A</v>
          </cell>
          <cell r="P818" t="str">
            <v/>
          </cell>
          <cell r="Q818" t="str">
            <v/>
          </cell>
          <cell r="R818" t="e">
            <v>#N/A</v>
          </cell>
        </row>
        <row r="819">
          <cell r="A819" t="str">
            <v/>
          </cell>
          <cell r="B819" t="str">
            <v/>
          </cell>
          <cell r="C819" t="str">
            <v>Future</v>
          </cell>
          <cell r="D819" t="e">
            <v>#N/A</v>
          </cell>
          <cell r="E819">
            <v>-0.95648221343863493</v>
          </cell>
          <cell r="F819">
            <v>42.205573122529849</v>
          </cell>
          <cell r="G819">
            <v>31.928893280631549</v>
          </cell>
          <cell r="H819">
            <v>31.928893280631549</v>
          </cell>
          <cell r="I819" t="e">
            <v>#N/A</v>
          </cell>
          <cell r="J819" t="e">
            <v>#N/A</v>
          </cell>
          <cell r="K819">
            <v>42</v>
          </cell>
          <cell r="L819">
            <v>32</v>
          </cell>
          <cell r="M819" t="e">
            <v>#N/A</v>
          </cell>
          <cell r="N819">
            <v>37</v>
          </cell>
          <cell r="O819" t="e">
            <v>#N/A</v>
          </cell>
          <cell r="P819" t="str">
            <v/>
          </cell>
          <cell r="Q819" t="str">
            <v/>
          </cell>
          <cell r="R819" t="e">
            <v>#N/A</v>
          </cell>
        </row>
        <row r="820">
          <cell r="A820" t="str">
            <v/>
          </cell>
          <cell r="B820" t="str">
            <v/>
          </cell>
          <cell r="C820" t="str">
            <v>Future</v>
          </cell>
          <cell r="D820" t="e">
            <v>#N/A</v>
          </cell>
          <cell r="E820">
            <v>-1.0931225296441685</v>
          </cell>
          <cell r="F820">
            <v>42.234940711462656</v>
          </cell>
          <cell r="G820">
            <v>31.91873517786475</v>
          </cell>
          <cell r="H820">
            <v>31.91873517786475</v>
          </cell>
          <cell r="I820" t="e">
            <v>#N/A</v>
          </cell>
          <cell r="J820" t="e">
            <v>#N/A</v>
          </cell>
          <cell r="K820">
            <v>42</v>
          </cell>
          <cell r="L820">
            <v>32</v>
          </cell>
          <cell r="M820" t="e">
            <v>#N/A</v>
          </cell>
          <cell r="N820">
            <v>37</v>
          </cell>
          <cell r="O820" t="e">
            <v>#N/A</v>
          </cell>
          <cell r="P820" t="str">
            <v/>
          </cell>
          <cell r="Q820" t="str">
            <v/>
          </cell>
          <cell r="R820" t="e">
            <v>#N/A</v>
          </cell>
        </row>
        <row r="821">
          <cell r="A821" t="str">
            <v/>
          </cell>
          <cell r="B821" t="str">
            <v/>
          </cell>
          <cell r="C821" t="str">
            <v>Future</v>
          </cell>
          <cell r="D821" t="e">
            <v>#N/A</v>
          </cell>
          <cell r="E821">
            <v>-1.2297628458497021</v>
          </cell>
          <cell r="F821">
            <v>42.264308300395463</v>
          </cell>
          <cell r="G821">
            <v>31.908577075097952</v>
          </cell>
          <cell r="H821">
            <v>31.908577075097952</v>
          </cell>
          <cell r="I821" t="e">
            <v>#N/A</v>
          </cell>
          <cell r="J821" t="e">
            <v>#N/A</v>
          </cell>
          <cell r="K821">
            <v>42</v>
          </cell>
          <cell r="L821">
            <v>32</v>
          </cell>
          <cell r="M821" t="e">
            <v>#N/A</v>
          </cell>
          <cell r="N821">
            <v>37</v>
          </cell>
          <cell r="O821" t="e">
            <v>#N/A</v>
          </cell>
          <cell r="P821" t="str">
            <v/>
          </cell>
          <cell r="Q821" t="str">
            <v/>
          </cell>
          <cell r="R821" t="e">
            <v>#N/A</v>
          </cell>
        </row>
        <row r="822">
          <cell r="A822" t="str">
            <v/>
          </cell>
          <cell r="B822" t="str">
            <v/>
          </cell>
          <cell r="C822" t="str">
            <v>Future</v>
          </cell>
          <cell r="D822" t="e">
            <v>#N/A</v>
          </cell>
          <cell r="E822">
            <v>-1.3664031620552357</v>
          </cell>
          <cell r="F822">
            <v>42.29367588932827</v>
          </cell>
          <cell r="G822">
            <v>31.898418972331154</v>
          </cell>
          <cell r="H822">
            <v>31.898418972331154</v>
          </cell>
          <cell r="I822" t="e">
            <v>#N/A</v>
          </cell>
          <cell r="J822" t="e">
            <v>#N/A</v>
          </cell>
          <cell r="K822">
            <v>42</v>
          </cell>
          <cell r="L822">
            <v>32</v>
          </cell>
          <cell r="M822" t="e">
            <v>#N/A</v>
          </cell>
          <cell r="N822">
            <v>37</v>
          </cell>
          <cell r="O822" t="e">
            <v>#N/A</v>
          </cell>
          <cell r="P822" t="str">
            <v/>
          </cell>
          <cell r="Q822" t="str">
            <v/>
          </cell>
          <cell r="R822" t="e">
            <v>#N/A</v>
          </cell>
        </row>
        <row r="823">
          <cell r="A823" t="str">
            <v/>
          </cell>
          <cell r="B823" t="str">
            <v/>
          </cell>
          <cell r="C823" t="str">
            <v>Future</v>
          </cell>
          <cell r="D823" t="e">
            <v>#N/A</v>
          </cell>
          <cell r="E823">
            <v>-1.5030434782607693</v>
          </cell>
          <cell r="F823">
            <v>42.323043478261077</v>
          </cell>
          <cell r="G823">
            <v>31.888260869564355</v>
          </cell>
          <cell r="H823">
            <v>31.888260869564355</v>
          </cell>
          <cell r="I823" t="e">
            <v>#N/A</v>
          </cell>
          <cell r="J823" t="e">
            <v>#N/A</v>
          </cell>
          <cell r="K823">
            <v>42</v>
          </cell>
          <cell r="L823">
            <v>32</v>
          </cell>
          <cell r="M823" t="e">
            <v>#N/A</v>
          </cell>
          <cell r="N823">
            <v>37</v>
          </cell>
          <cell r="O823" t="e">
            <v>#N/A</v>
          </cell>
          <cell r="P823" t="str">
            <v/>
          </cell>
          <cell r="Q823" t="str">
            <v/>
          </cell>
          <cell r="R823" t="e">
            <v>#N/A</v>
          </cell>
        </row>
        <row r="824">
          <cell r="A824" t="str">
            <v/>
          </cell>
          <cell r="B824" t="str">
            <v/>
          </cell>
          <cell r="C824" t="str">
            <v>Future</v>
          </cell>
          <cell r="D824" t="e">
            <v>#N/A</v>
          </cell>
          <cell r="E824">
            <v>-1.639683794466303</v>
          </cell>
          <cell r="F824">
            <v>42.352411067193884</v>
          </cell>
          <cell r="G824">
            <v>31.878102766797557</v>
          </cell>
          <cell r="H824">
            <v>31.878102766797557</v>
          </cell>
          <cell r="I824" t="e">
            <v>#N/A</v>
          </cell>
          <cell r="J824" t="e">
            <v>#N/A</v>
          </cell>
          <cell r="K824">
            <v>42</v>
          </cell>
          <cell r="L824">
            <v>32</v>
          </cell>
          <cell r="M824" t="e">
            <v>#N/A</v>
          </cell>
          <cell r="N824">
            <v>37</v>
          </cell>
          <cell r="O824" t="e">
            <v>#N/A</v>
          </cell>
          <cell r="P824" t="str">
            <v/>
          </cell>
          <cell r="Q824" t="str">
            <v/>
          </cell>
          <cell r="R824" t="e">
            <v>#N/A</v>
          </cell>
        </row>
        <row r="825">
          <cell r="A825" t="str">
            <v/>
          </cell>
          <cell r="B825" t="str">
            <v/>
          </cell>
          <cell r="C825" t="str">
            <v>Future</v>
          </cell>
          <cell r="D825" t="e">
            <v>#N/A</v>
          </cell>
          <cell r="E825">
            <v>-1.7763241106718366</v>
          </cell>
          <cell r="F825">
            <v>42.381778656126691</v>
          </cell>
          <cell r="G825">
            <v>31.867944664030759</v>
          </cell>
          <cell r="H825">
            <v>31.867944664030759</v>
          </cell>
          <cell r="I825" t="e">
            <v>#N/A</v>
          </cell>
          <cell r="J825" t="e">
            <v>#N/A</v>
          </cell>
          <cell r="K825">
            <v>42</v>
          </cell>
          <cell r="L825">
            <v>32</v>
          </cell>
          <cell r="M825" t="e">
            <v>#N/A</v>
          </cell>
          <cell r="N825">
            <v>37</v>
          </cell>
          <cell r="O825" t="e">
            <v>#N/A</v>
          </cell>
          <cell r="P825" t="str">
            <v/>
          </cell>
          <cell r="Q825" t="str">
            <v/>
          </cell>
          <cell r="R825" t="e">
            <v>#N/A</v>
          </cell>
        </row>
        <row r="826">
          <cell r="A826" t="str">
            <v/>
          </cell>
          <cell r="B826" t="str">
            <v/>
          </cell>
          <cell r="C826" t="str">
            <v>Future</v>
          </cell>
          <cell r="D826" t="e">
            <v>#N/A</v>
          </cell>
          <cell r="E826">
            <v>-1.9129644268773702</v>
          </cell>
          <cell r="F826">
            <v>42.411146245059498</v>
          </cell>
          <cell r="G826">
            <v>31.857786561263961</v>
          </cell>
          <cell r="H826">
            <v>31.857786561263961</v>
          </cell>
          <cell r="I826" t="e">
            <v>#N/A</v>
          </cell>
          <cell r="J826" t="e">
            <v>#N/A</v>
          </cell>
          <cell r="K826">
            <v>42</v>
          </cell>
          <cell r="L826">
            <v>32</v>
          </cell>
          <cell r="M826" t="e">
            <v>#N/A</v>
          </cell>
          <cell r="N826">
            <v>37</v>
          </cell>
          <cell r="O826" t="e">
            <v>#N/A</v>
          </cell>
          <cell r="P826" t="str">
            <v/>
          </cell>
          <cell r="Q826" t="str">
            <v/>
          </cell>
          <cell r="R826" t="e">
            <v>#N/A</v>
          </cell>
        </row>
        <row r="827">
          <cell r="A827" t="str">
            <v/>
          </cell>
          <cell r="B827" t="str">
            <v/>
          </cell>
          <cell r="C827" t="str">
            <v>Future</v>
          </cell>
          <cell r="D827" t="e">
            <v>#N/A</v>
          </cell>
          <cell r="E827">
            <v>-2.0496047430829036</v>
          </cell>
          <cell r="F827">
            <v>42.440513833992306</v>
          </cell>
          <cell r="G827">
            <v>31.847628458497162</v>
          </cell>
          <cell r="H827">
            <v>31.847628458497162</v>
          </cell>
          <cell r="I827" t="e">
            <v>#N/A</v>
          </cell>
          <cell r="J827" t="e">
            <v>#N/A</v>
          </cell>
          <cell r="K827">
            <v>42</v>
          </cell>
          <cell r="L827">
            <v>32</v>
          </cell>
          <cell r="M827" t="e">
            <v>#N/A</v>
          </cell>
          <cell r="N827">
            <v>37</v>
          </cell>
          <cell r="O827" t="e">
            <v>#N/A</v>
          </cell>
          <cell r="P827" t="str">
            <v/>
          </cell>
          <cell r="Q827" t="str">
            <v/>
          </cell>
          <cell r="R827" t="e">
            <v>#N/A</v>
          </cell>
        </row>
        <row r="828">
          <cell r="A828" t="str">
            <v/>
          </cell>
          <cell r="B828" t="str">
            <v/>
          </cell>
          <cell r="C828" t="str">
            <v>Future</v>
          </cell>
          <cell r="D828" t="e">
            <v>#N/A</v>
          </cell>
          <cell r="E828">
            <v>-2.1862450592884373</v>
          </cell>
          <cell r="F828">
            <v>42.469881422925113</v>
          </cell>
          <cell r="G828">
            <v>31.837470355730364</v>
          </cell>
          <cell r="H828">
            <v>31.837470355730364</v>
          </cell>
          <cell r="I828" t="e">
            <v>#N/A</v>
          </cell>
          <cell r="J828" t="e">
            <v>#N/A</v>
          </cell>
          <cell r="K828">
            <v>42</v>
          </cell>
          <cell r="L828">
            <v>32</v>
          </cell>
          <cell r="M828" t="e">
            <v>#N/A</v>
          </cell>
          <cell r="N828">
            <v>37</v>
          </cell>
          <cell r="O828" t="e">
            <v>#N/A</v>
          </cell>
          <cell r="P828" t="str">
            <v/>
          </cell>
          <cell r="Q828" t="str">
            <v/>
          </cell>
          <cell r="R828" t="e">
            <v>#N/A</v>
          </cell>
        </row>
        <row r="829">
          <cell r="A829" t="str">
            <v/>
          </cell>
          <cell r="B829" t="str">
            <v/>
          </cell>
          <cell r="C829" t="str">
            <v>Future</v>
          </cell>
          <cell r="D829" t="e">
            <v>#N/A</v>
          </cell>
          <cell r="E829">
            <v>-2.3228853754939709</v>
          </cell>
          <cell r="F829">
            <v>42.49924901185792</v>
          </cell>
          <cell r="G829">
            <v>31.827312252963566</v>
          </cell>
          <cell r="H829">
            <v>31.827312252963566</v>
          </cell>
          <cell r="I829" t="e">
            <v>#N/A</v>
          </cell>
          <cell r="J829" t="e">
            <v>#N/A</v>
          </cell>
          <cell r="K829">
            <v>42</v>
          </cell>
          <cell r="L829">
            <v>32</v>
          </cell>
          <cell r="M829" t="e">
            <v>#N/A</v>
          </cell>
          <cell r="N829">
            <v>37</v>
          </cell>
          <cell r="O829" t="e">
            <v>#N/A</v>
          </cell>
          <cell r="P829" t="str">
            <v/>
          </cell>
          <cell r="Q829" t="str">
            <v/>
          </cell>
          <cell r="R829" t="e">
            <v>#N/A</v>
          </cell>
        </row>
        <row r="830">
          <cell r="A830" t="str">
            <v/>
          </cell>
          <cell r="B830" t="str">
            <v/>
          </cell>
          <cell r="C830" t="str">
            <v>Future</v>
          </cell>
          <cell r="D830" t="e">
            <v>#N/A</v>
          </cell>
          <cell r="E830">
            <v>-2.4595256916995045</v>
          </cell>
          <cell r="F830">
            <v>42.528616600790727</v>
          </cell>
          <cell r="G830">
            <v>31.817154150196767</v>
          </cell>
          <cell r="H830">
            <v>31.817154150196767</v>
          </cell>
          <cell r="I830" t="e">
            <v>#N/A</v>
          </cell>
          <cell r="J830" t="e">
            <v>#N/A</v>
          </cell>
          <cell r="K830">
            <v>42</v>
          </cell>
          <cell r="L830">
            <v>32</v>
          </cell>
          <cell r="M830" t="e">
            <v>#N/A</v>
          </cell>
          <cell r="N830">
            <v>37</v>
          </cell>
          <cell r="O830" t="e">
            <v>#N/A</v>
          </cell>
          <cell r="P830" t="str">
            <v/>
          </cell>
          <cell r="Q830" t="str">
            <v/>
          </cell>
          <cell r="R830" t="e">
            <v>#N/A</v>
          </cell>
        </row>
        <row r="831">
          <cell r="A831" t="str">
            <v/>
          </cell>
          <cell r="B831" t="str">
            <v/>
          </cell>
          <cell r="C831" t="str">
            <v>Future</v>
          </cell>
          <cell r="D831" t="e">
            <v>#N/A</v>
          </cell>
          <cell r="E831">
            <v>-2.5961660079050382</v>
          </cell>
          <cell r="F831">
            <v>42.557984189723534</v>
          </cell>
          <cell r="G831">
            <v>31.806996047429969</v>
          </cell>
          <cell r="H831">
            <v>31.806996047429969</v>
          </cell>
          <cell r="I831" t="e">
            <v>#N/A</v>
          </cell>
          <cell r="J831" t="e">
            <v>#N/A</v>
          </cell>
          <cell r="K831">
            <v>42</v>
          </cell>
          <cell r="L831">
            <v>32</v>
          </cell>
          <cell r="M831" t="e">
            <v>#N/A</v>
          </cell>
          <cell r="N831">
            <v>37</v>
          </cell>
          <cell r="O831" t="e">
            <v>#N/A</v>
          </cell>
          <cell r="P831" t="str">
            <v/>
          </cell>
          <cell r="Q831" t="str">
            <v/>
          </cell>
          <cell r="R831" t="e">
            <v>#N/A</v>
          </cell>
        </row>
        <row r="832">
          <cell r="A832" t="str">
            <v/>
          </cell>
          <cell r="B832" t="str">
            <v/>
          </cell>
          <cell r="C832" t="str">
            <v>Future</v>
          </cell>
          <cell r="D832" t="e">
            <v>#N/A</v>
          </cell>
          <cell r="E832">
            <v>-2.7328063241105718</v>
          </cell>
          <cell r="F832">
            <v>42.587351778656341</v>
          </cell>
          <cell r="G832">
            <v>31.796837944663171</v>
          </cell>
          <cell r="H832">
            <v>31.796837944663171</v>
          </cell>
          <cell r="I832" t="e">
            <v>#N/A</v>
          </cell>
          <cell r="J832" t="e">
            <v>#N/A</v>
          </cell>
          <cell r="K832">
            <v>42</v>
          </cell>
          <cell r="L832">
            <v>32</v>
          </cell>
          <cell r="M832" t="e">
            <v>#N/A</v>
          </cell>
          <cell r="N832">
            <v>37</v>
          </cell>
          <cell r="O832" t="e">
            <v>#N/A</v>
          </cell>
          <cell r="P832" t="str">
            <v/>
          </cell>
          <cell r="Q832" t="str">
            <v/>
          </cell>
          <cell r="R832" t="e">
            <v>#N/A</v>
          </cell>
        </row>
        <row r="833">
          <cell r="A833" t="str">
            <v/>
          </cell>
          <cell r="B833" t="str">
            <v/>
          </cell>
          <cell r="C833" t="str">
            <v>Future</v>
          </cell>
          <cell r="D833" t="e">
            <v>#N/A</v>
          </cell>
          <cell r="E833">
            <v>-2.8694466403161054</v>
          </cell>
          <cell r="F833">
            <v>42.616719367589148</v>
          </cell>
          <cell r="G833">
            <v>31.786679841896373</v>
          </cell>
          <cell r="H833">
            <v>31.786679841896373</v>
          </cell>
          <cell r="I833" t="e">
            <v>#N/A</v>
          </cell>
          <cell r="J833" t="e">
            <v>#N/A</v>
          </cell>
          <cell r="K833">
            <v>42</v>
          </cell>
          <cell r="L833">
            <v>32</v>
          </cell>
          <cell r="M833" t="e">
            <v>#N/A</v>
          </cell>
          <cell r="N833">
            <v>37</v>
          </cell>
          <cell r="O833" t="e">
            <v>#N/A</v>
          </cell>
          <cell r="P833" t="str">
            <v/>
          </cell>
          <cell r="Q833" t="str">
            <v/>
          </cell>
          <cell r="R833" t="e">
            <v>#N/A</v>
          </cell>
        </row>
        <row r="834">
          <cell r="A834" t="str">
            <v/>
          </cell>
          <cell r="B834" t="str">
            <v/>
          </cell>
          <cell r="C834" t="str">
            <v>Future</v>
          </cell>
          <cell r="D834" t="e">
            <v>#N/A</v>
          </cell>
          <cell r="E834">
            <v>-3.006086956521639</v>
          </cell>
          <cell r="F834">
            <v>42.646086956521955</v>
          </cell>
          <cell r="G834">
            <v>31.776521739129574</v>
          </cell>
          <cell r="H834">
            <v>31.776521739129574</v>
          </cell>
          <cell r="I834" t="e">
            <v>#N/A</v>
          </cell>
          <cell r="J834" t="e">
            <v>#N/A</v>
          </cell>
          <cell r="K834">
            <v>42</v>
          </cell>
          <cell r="L834">
            <v>32</v>
          </cell>
          <cell r="M834" t="e">
            <v>#N/A</v>
          </cell>
          <cell r="N834">
            <v>37</v>
          </cell>
          <cell r="O834" t="e">
            <v>#N/A</v>
          </cell>
          <cell r="P834" t="str">
            <v/>
          </cell>
          <cell r="Q834" t="str">
            <v/>
          </cell>
          <cell r="R834" t="e">
            <v>#N/A</v>
          </cell>
        </row>
        <row r="835">
          <cell r="A835" t="str">
            <v/>
          </cell>
          <cell r="B835" t="str">
            <v/>
          </cell>
          <cell r="C835" t="str">
            <v>Future</v>
          </cell>
          <cell r="D835" t="e">
            <v>#N/A</v>
          </cell>
          <cell r="E835">
            <v>-3.1427272727271727</v>
          </cell>
          <cell r="F835">
            <v>42.675454545454762</v>
          </cell>
          <cell r="G835">
            <v>31.766363636362776</v>
          </cell>
          <cell r="H835">
            <v>31.766363636362776</v>
          </cell>
          <cell r="I835" t="e">
            <v>#N/A</v>
          </cell>
          <cell r="J835" t="e">
            <v>#N/A</v>
          </cell>
          <cell r="K835">
            <v>42</v>
          </cell>
          <cell r="L835">
            <v>32</v>
          </cell>
          <cell r="M835" t="e">
            <v>#N/A</v>
          </cell>
          <cell r="N835">
            <v>37</v>
          </cell>
          <cell r="O835" t="e">
            <v>#N/A</v>
          </cell>
          <cell r="P835" t="str">
            <v/>
          </cell>
          <cell r="Q835" t="str">
            <v/>
          </cell>
          <cell r="R835" t="e">
            <v>#N/A</v>
          </cell>
        </row>
        <row r="836">
          <cell r="A836" t="str">
            <v/>
          </cell>
          <cell r="B836" t="str">
            <v/>
          </cell>
          <cell r="C836" t="str">
            <v>Future</v>
          </cell>
          <cell r="D836" t="e">
            <v>#N/A</v>
          </cell>
          <cell r="E836">
            <v>-3.2793675889327063</v>
          </cell>
          <cell r="F836">
            <v>42.70482213438757</v>
          </cell>
          <cell r="G836">
            <v>31.756205533595978</v>
          </cell>
          <cell r="H836">
            <v>31.756205533595978</v>
          </cell>
          <cell r="I836" t="e">
            <v>#N/A</v>
          </cell>
          <cell r="J836" t="e">
            <v>#N/A</v>
          </cell>
          <cell r="K836">
            <v>42</v>
          </cell>
          <cell r="L836">
            <v>32</v>
          </cell>
          <cell r="M836" t="e">
            <v>#N/A</v>
          </cell>
          <cell r="N836">
            <v>37</v>
          </cell>
          <cell r="O836" t="e">
            <v>#N/A</v>
          </cell>
          <cell r="P836" t="str">
            <v/>
          </cell>
          <cell r="Q836" t="str">
            <v/>
          </cell>
          <cell r="R836" t="e">
            <v>#N/A</v>
          </cell>
        </row>
        <row r="837">
          <cell r="A837" t="str">
            <v/>
          </cell>
          <cell r="B837" t="str">
            <v/>
          </cell>
          <cell r="C837" t="str">
            <v>Future</v>
          </cell>
          <cell r="D837" t="e">
            <v>#N/A</v>
          </cell>
          <cell r="E837">
            <v>-3.4160079051382399</v>
          </cell>
          <cell r="F837">
            <v>42.734189723320377</v>
          </cell>
          <cell r="G837">
            <v>31.746047430829179</v>
          </cell>
          <cell r="H837">
            <v>31.746047430829179</v>
          </cell>
          <cell r="I837" t="e">
            <v>#N/A</v>
          </cell>
          <cell r="J837" t="e">
            <v>#N/A</v>
          </cell>
          <cell r="K837">
            <v>42</v>
          </cell>
          <cell r="L837">
            <v>32</v>
          </cell>
          <cell r="M837" t="e">
            <v>#N/A</v>
          </cell>
          <cell r="N837">
            <v>37</v>
          </cell>
          <cell r="O837" t="e">
            <v>#N/A</v>
          </cell>
          <cell r="P837" t="str">
            <v/>
          </cell>
          <cell r="Q837" t="str">
            <v/>
          </cell>
          <cell r="R837" t="e">
            <v>#N/A</v>
          </cell>
        </row>
        <row r="838">
          <cell r="A838" t="str">
            <v/>
          </cell>
          <cell r="B838" t="str">
            <v/>
          </cell>
          <cell r="C838" t="str">
            <v>Future</v>
          </cell>
          <cell r="D838" t="e">
            <v>#N/A</v>
          </cell>
          <cell r="E838">
            <v>-3.5526482213437736</v>
          </cell>
          <cell r="F838">
            <v>42.763557312253184</v>
          </cell>
          <cell r="G838">
            <v>31.735889328062381</v>
          </cell>
          <cell r="H838">
            <v>31.735889328062381</v>
          </cell>
          <cell r="I838" t="e">
            <v>#N/A</v>
          </cell>
          <cell r="J838" t="e">
            <v>#N/A</v>
          </cell>
          <cell r="K838">
            <v>42</v>
          </cell>
          <cell r="L838">
            <v>32</v>
          </cell>
          <cell r="M838" t="e">
            <v>#N/A</v>
          </cell>
          <cell r="N838">
            <v>37</v>
          </cell>
          <cell r="O838" t="e">
            <v>#N/A</v>
          </cell>
          <cell r="P838" t="str">
            <v/>
          </cell>
          <cell r="Q838" t="str">
            <v/>
          </cell>
          <cell r="R838" t="e">
            <v>#N/A</v>
          </cell>
        </row>
        <row r="839">
          <cell r="A839" t="str">
            <v/>
          </cell>
          <cell r="B839" t="str">
            <v/>
          </cell>
          <cell r="C839" t="str">
            <v>Future</v>
          </cell>
          <cell r="D839" t="e">
            <v>#N/A</v>
          </cell>
          <cell r="E839">
            <v>-3.6892885375493072</v>
          </cell>
          <cell r="F839">
            <v>42.792924901185991</v>
          </cell>
          <cell r="G839">
            <v>31.725731225295583</v>
          </cell>
          <cell r="H839">
            <v>31.725731225295583</v>
          </cell>
          <cell r="I839" t="e">
            <v>#N/A</v>
          </cell>
          <cell r="J839" t="e">
            <v>#N/A</v>
          </cell>
          <cell r="K839">
            <v>42</v>
          </cell>
          <cell r="L839">
            <v>32</v>
          </cell>
          <cell r="M839" t="e">
            <v>#N/A</v>
          </cell>
          <cell r="N839">
            <v>37</v>
          </cell>
          <cell r="O839" t="e">
            <v>#N/A</v>
          </cell>
          <cell r="P839" t="str">
            <v/>
          </cell>
          <cell r="Q839" t="str">
            <v/>
          </cell>
          <cell r="R839" t="e">
            <v>#N/A</v>
          </cell>
        </row>
        <row r="840">
          <cell r="A840" t="str">
            <v/>
          </cell>
          <cell r="B840" t="str">
            <v/>
          </cell>
          <cell r="C840" t="str">
            <v>Future</v>
          </cell>
          <cell r="D840" t="e">
            <v>#N/A</v>
          </cell>
          <cell r="E840">
            <v>-3.8259288537548408</v>
          </cell>
          <cell r="F840">
            <v>42.822292490118798</v>
          </cell>
          <cell r="G840">
            <v>31.715573122528784</v>
          </cell>
          <cell r="H840">
            <v>31.715573122528784</v>
          </cell>
          <cell r="I840" t="e">
            <v>#N/A</v>
          </cell>
          <cell r="J840" t="e">
            <v>#N/A</v>
          </cell>
          <cell r="K840">
            <v>42</v>
          </cell>
          <cell r="L840">
            <v>32</v>
          </cell>
          <cell r="M840" t="e">
            <v>#N/A</v>
          </cell>
          <cell r="N840">
            <v>37</v>
          </cell>
          <cell r="O840" t="e">
            <v>#N/A</v>
          </cell>
          <cell r="P840" t="str">
            <v/>
          </cell>
          <cell r="Q840" t="str">
            <v/>
          </cell>
          <cell r="R840" t="e">
            <v>#N/A</v>
          </cell>
        </row>
        <row r="841">
          <cell r="A841" t="str">
            <v/>
          </cell>
          <cell r="B841" t="str">
            <v/>
          </cell>
          <cell r="C841" t="str">
            <v>Future</v>
          </cell>
          <cell r="D841" t="e">
            <v>#N/A</v>
          </cell>
          <cell r="E841">
            <v>-3.9625691699603744</v>
          </cell>
          <cell r="F841">
            <v>42.851660079051605</v>
          </cell>
          <cell r="G841">
            <v>31.705415019761986</v>
          </cell>
          <cell r="H841">
            <v>31.705415019761986</v>
          </cell>
          <cell r="I841" t="e">
            <v>#N/A</v>
          </cell>
          <cell r="J841" t="e">
            <v>#N/A</v>
          </cell>
          <cell r="K841">
            <v>42</v>
          </cell>
          <cell r="L841">
            <v>32</v>
          </cell>
          <cell r="M841" t="e">
            <v>#N/A</v>
          </cell>
          <cell r="N841">
            <v>37</v>
          </cell>
          <cell r="O841" t="e">
            <v>#N/A</v>
          </cell>
          <cell r="P841" t="str">
            <v/>
          </cell>
          <cell r="Q841" t="str">
            <v/>
          </cell>
          <cell r="R841" t="e">
            <v>#N/A</v>
          </cell>
        </row>
        <row r="842">
          <cell r="A842" t="str">
            <v/>
          </cell>
          <cell r="B842" t="str">
            <v/>
          </cell>
          <cell r="C842" t="str">
            <v>Future</v>
          </cell>
          <cell r="D842" t="e">
            <v>#N/A</v>
          </cell>
          <cell r="E842">
            <v>-4.0992094861659076</v>
          </cell>
          <cell r="F842">
            <v>42.881027667984412</v>
          </cell>
          <cell r="G842">
            <v>31.695256916995188</v>
          </cell>
          <cell r="H842">
            <v>31.695256916995188</v>
          </cell>
          <cell r="I842" t="e">
            <v>#N/A</v>
          </cell>
          <cell r="J842" t="e">
            <v>#N/A</v>
          </cell>
          <cell r="K842">
            <v>42</v>
          </cell>
          <cell r="L842">
            <v>32</v>
          </cell>
          <cell r="M842" t="e">
            <v>#N/A</v>
          </cell>
          <cell r="N842">
            <v>37</v>
          </cell>
          <cell r="O842" t="e">
            <v>#N/A</v>
          </cell>
          <cell r="P842" t="str">
            <v/>
          </cell>
          <cell r="Q842" t="str">
            <v/>
          </cell>
          <cell r="R842" t="e">
            <v>#N/A</v>
          </cell>
        </row>
        <row r="843">
          <cell r="A843" t="str">
            <v/>
          </cell>
          <cell r="B843" t="str">
            <v/>
          </cell>
          <cell r="C843" t="str">
            <v>Future</v>
          </cell>
          <cell r="D843" t="e">
            <v>#N/A</v>
          </cell>
          <cell r="E843">
            <v>-4.2358498023714413</v>
          </cell>
          <cell r="F843">
            <v>42.910395256917219</v>
          </cell>
          <cell r="G843">
            <v>31.68509881422839</v>
          </cell>
          <cell r="H843">
            <v>31.68509881422839</v>
          </cell>
          <cell r="I843" t="e">
            <v>#N/A</v>
          </cell>
          <cell r="J843" t="e">
            <v>#N/A</v>
          </cell>
          <cell r="K843">
            <v>42</v>
          </cell>
          <cell r="L843">
            <v>32</v>
          </cell>
          <cell r="M843" t="e">
            <v>#N/A</v>
          </cell>
          <cell r="N843">
            <v>37</v>
          </cell>
          <cell r="O843" t="e">
            <v>#N/A</v>
          </cell>
          <cell r="P843" t="str">
            <v/>
          </cell>
          <cell r="Q843" t="str">
            <v/>
          </cell>
          <cell r="R843" t="e">
            <v>#N/A</v>
          </cell>
        </row>
        <row r="844">
          <cell r="A844" t="str">
            <v/>
          </cell>
          <cell r="B844" t="str">
            <v/>
          </cell>
          <cell r="C844" t="str">
            <v>Future</v>
          </cell>
          <cell r="D844" t="e">
            <v>#N/A</v>
          </cell>
          <cell r="E844">
            <v>-4.3724901185769749</v>
          </cell>
          <cell r="F844">
            <v>42.939762845850026</v>
          </cell>
          <cell r="G844">
            <v>31.674940711461591</v>
          </cell>
          <cell r="H844">
            <v>31.674940711461591</v>
          </cell>
          <cell r="I844" t="e">
            <v>#N/A</v>
          </cell>
          <cell r="J844" t="e">
            <v>#N/A</v>
          </cell>
          <cell r="K844">
            <v>42</v>
          </cell>
          <cell r="L844">
            <v>32</v>
          </cell>
          <cell r="M844" t="e">
            <v>#N/A</v>
          </cell>
          <cell r="N844">
            <v>37</v>
          </cell>
          <cell r="O844" t="e">
            <v>#N/A</v>
          </cell>
          <cell r="P844" t="str">
            <v/>
          </cell>
          <cell r="Q844" t="str">
            <v/>
          </cell>
          <cell r="R844" t="e">
            <v>#N/A</v>
          </cell>
        </row>
        <row r="845">
          <cell r="A845" t="str">
            <v/>
          </cell>
          <cell r="B845" t="str">
            <v/>
          </cell>
          <cell r="C845" t="str">
            <v>Future</v>
          </cell>
          <cell r="D845" t="e">
            <v>#N/A</v>
          </cell>
          <cell r="E845">
            <v>-4.5091304347825085</v>
          </cell>
          <cell r="F845">
            <v>42.969130434782834</v>
          </cell>
          <cell r="G845">
            <v>31.664782608694793</v>
          </cell>
          <cell r="H845">
            <v>31.664782608694793</v>
          </cell>
          <cell r="I845" t="e">
            <v>#N/A</v>
          </cell>
          <cell r="J845" t="e">
            <v>#N/A</v>
          </cell>
          <cell r="K845">
            <v>42</v>
          </cell>
          <cell r="L845">
            <v>32</v>
          </cell>
          <cell r="M845" t="e">
            <v>#N/A</v>
          </cell>
          <cell r="N845">
            <v>37</v>
          </cell>
          <cell r="O845" t="e">
            <v>#N/A</v>
          </cell>
          <cell r="P845" t="str">
            <v/>
          </cell>
          <cell r="Q845" t="str">
            <v/>
          </cell>
          <cell r="R845" t="e">
            <v>#N/A</v>
          </cell>
        </row>
        <row r="846">
          <cell r="A846" t="str">
            <v/>
          </cell>
          <cell r="B846" t="str">
            <v/>
          </cell>
          <cell r="C846" t="str">
            <v>Future</v>
          </cell>
          <cell r="D846" t="e">
            <v>#N/A</v>
          </cell>
          <cell r="E846">
            <v>-4.6457707509880422</v>
          </cell>
          <cell r="F846">
            <v>42.998498023715641</v>
          </cell>
          <cell r="G846">
            <v>31.654624505927995</v>
          </cell>
          <cell r="H846">
            <v>31.654624505927995</v>
          </cell>
          <cell r="I846" t="e">
            <v>#N/A</v>
          </cell>
          <cell r="J846" t="e">
            <v>#N/A</v>
          </cell>
          <cell r="K846">
            <v>42</v>
          </cell>
          <cell r="L846">
            <v>32</v>
          </cell>
          <cell r="M846" t="e">
            <v>#N/A</v>
          </cell>
          <cell r="N846">
            <v>37</v>
          </cell>
          <cell r="O846" t="e">
            <v>#N/A</v>
          </cell>
          <cell r="P846" t="str">
            <v/>
          </cell>
          <cell r="Q846" t="str">
            <v/>
          </cell>
          <cell r="R846" t="e">
            <v>#N/A</v>
          </cell>
        </row>
        <row r="847">
          <cell r="A847" t="str">
            <v/>
          </cell>
          <cell r="B847" t="str">
            <v/>
          </cell>
          <cell r="C847" t="str">
            <v>Future</v>
          </cell>
          <cell r="D847" t="e">
            <v>#N/A</v>
          </cell>
          <cell r="E847">
            <v>-4.7824110671935758</v>
          </cell>
          <cell r="F847">
            <v>43.027865612648448</v>
          </cell>
          <cell r="G847">
            <v>31.644466403161196</v>
          </cell>
          <cell r="H847">
            <v>31.644466403161196</v>
          </cell>
          <cell r="I847" t="e">
            <v>#N/A</v>
          </cell>
          <cell r="J847" t="e">
            <v>#N/A</v>
          </cell>
          <cell r="K847">
            <v>42</v>
          </cell>
          <cell r="L847">
            <v>32</v>
          </cell>
          <cell r="M847" t="e">
            <v>#N/A</v>
          </cell>
          <cell r="N847">
            <v>37</v>
          </cell>
          <cell r="O847" t="e">
            <v>#N/A</v>
          </cell>
          <cell r="P847" t="str">
            <v/>
          </cell>
          <cell r="Q847" t="str">
            <v/>
          </cell>
          <cell r="R847" t="e">
            <v>#N/A</v>
          </cell>
        </row>
        <row r="848">
          <cell r="A848" t="str">
            <v/>
          </cell>
          <cell r="B848" t="str">
            <v/>
          </cell>
          <cell r="C848" t="str">
            <v>Future</v>
          </cell>
          <cell r="D848" t="e">
            <v>#N/A</v>
          </cell>
          <cell r="E848">
            <v>-4.9190513833991094</v>
          </cell>
          <cell r="F848">
            <v>43.057233201581255</v>
          </cell>
          <cell r="G848">
            <v>31.634308300394398</v>
          </cell>
          <cell r="H848">
            <v>31.634308300394398</v>
          </cell>
          <cell r="I848" t="e">
            <v>#N/A</v>
          </cell>
          <cell r="J848" t="e">
            <v>#N/A</v>
          </cell>
          <cell r="K848">
            <v>42</v>
          </cell>
          <cell r="L848">
            <v>32</v>
          </cell>
          <cell r="M848" t="e">
            <v>#N/A</v>
          </cell>
          <cell r="N848">
            <v>37</v>
          </cell>
          <cell r="O848" t="e">
            <v>#N/A</v>
          </cell>
          <cell r="P848" t="str">
            <v/>
          </cell>
          <cell r="Q848" t="str">
            <v/>
          </cell>
          <cell r="R848" t="e">
            <v>#N/A</v>
          </cell>
        </row>
        <row r="849">
          <cell r="A849" t="str">
            <v/>
          </cell>
          <cell r="B849" t="str">
            <v/>
          </cell>
          <cell r="C849" t="str">
            <v>Future</v>
          </cell>
          <cell r="D849" t="e">
            <v>#N/A</v>
          </cell>
          <cell r="E849">
            <v>-5.055691699604643</v>
          </cell>
          <cell r="F849">
            <v>43.086600790514062</v>
          </cell>
          <cell r="G849">
            <v>31.6241501976276</v>
          </cell>
          <cell r="H849">
            <v>31.6241501976276</v>
          </cell>
          <cell r="I849" t="e">
            <v>#N/A</v>
          </cell>
          <cell r="J849" t="e">
            <v>#N/A</v>
          </cell>
          <cell r="K849">
            <v>42</v>
          </cell>
          <cell r="L849">
            <v>32</v>
          </cell>
          <cell r="M849" t="e">
            <v>#N/A</v>
          </cell>
          <cell r="N849">
            <v>37</v>
          </cell>
          <cell r="O849" t="e">
            <v>#N/A</v>
          </cell>
          <cell r="P849" t="str">
            <v/>
          </cell>
          <cell r="Q849" t="str">
            <v/>
          </cell>
          <cell r="R849" t="e">
            <v>#N/A</v>
          </cell>
        </row>
        <row r="850">
          <cell r="A850" t="str">
            <v/>
          </cell>
          <cell r="B850" t="str">
            <v/>
          </cell>
          <cell r="C850" t="str">
            <v>Future</v>
          </cell>
          <cell r="D850" t="e">
            <v>#N/A</v>
          </cell>
          <cell r="E850">
            <v>-5.1923320158101767</v>
          </cell>
          <cell r="F850">
            <v>43.115968379446869</v>
          </cell>
          <cell r="G850">
            <v>31.613992094860802</v>
          </cell>
          <cell r="H850">
            <v>31.613992094860802</v>
          </cell>
          <cell r="I850" t="e">
            <v>#N/A</v>
          </cell>
          <cell r="J850" t="e">
            <v>#N/A</v>
          </cell>
          <cell r="K850">
            <v>42</v>
          </cell>
          <cell r="L850">
            <v>32</v>
          </cell>
          <cell r="M850" t="e">
            <v>#N/A</v>
          </cell>
          <cell r="N850">
            <v>37</v>
          </cell>
          <cell r="O850" t="e">
            <v>#N/A</v>
          </cell>
          <cell r="P850" t="str">
            <v/>
          </cell>
          <cell r="Q850" t="str">
            <v/>
          </cell>
          <cell r="R850" t="e">
            <v>#N/A</v>
          </cell>
        </row>
        <row r="851">
          <cell r="A851" t="str">
            <v/>
          </cell>
          <cell r="B851" t="str">
            <v/>
          </cell>
          <cell r="C851" t="str">
            <v>Future</v>
          </cell>
          <cell r="D851" t="e">
            <v>#N/A</v>
          </cell>
          <cell r="E851">
            <v>-5.3289723320157103</v>
          </cell>
          <cell r="F851">
            <v>43.145335968379676</v>
          </cell>
          <cell r="G851">
            <v>31.603833992094003</v>
          </cell>
          <cell r="H851">
            <v>31.603833992094003</v>
          </cell>
          <cell r="I851" t="e">
            <v>#N/A</v>
          </cell>
          <cell r="J851" t="e">
            <v>#N/A</v>
          </cell>
          <cell r="K851">
            <v>42</v>
          </cell>
          <cell r="L851">
            <v>32</v>
          </cell>
          <cell r="M851" t="e">
            <v>#N/A</v>
          </cell>
          <cell r="N851">
            <v>37</v>
          </cell>
          <cell r="O851" t="e">
            <v>#N/A</v>
          </cell>
          <cell r="P851" t="str">
            <v/>
          </cell>
          <cell r="Q851" t="str">
            <v/>
          </cell>
          <cell r="R851" t="e">
            <v>#N/A</v>
          </cell>
        </row>
        <row r="852">
          <cell r="A852" t="str">
            <v/>
          </cell>
          <cell r="B852" t="str">
            <v/>
          </cell>
          <cell r="C852" t="str">
            <v>Future</v>
          </cell>
          <cell r="D852" t="e">
            <v>#N/A</v>
          </cell>
          <cell r="E852">
            <v>-5.4656126482212439</v>
          </cell>
          <cell r="F852">
            <v>43.174703557312483</v>
          </cell>
          <cell r="G852">
            <v>31.593675889327205</v>
          </cell>
          <cell r="H852">
            <v>31.593675889327205</v>
          </cell>
          <cell r="I852" t="e">
            <v>#N/A</v>
          </cell>
          <cell r="J852" t="e">
            <v>#N/A</v>
          </cell>
          <cell r="K852">
            <v>42</v>
          </cell>
          <cell r="L852">
            <v>32</v>
          </cell>
          <cell r="M852" t="e">
            <v>#N/A</v>
          </cell>
          <cell r="N852">
            <v>37</v>
          </cell>
          <cell r="O852" t="e">
            <v>#N/A</v>
          </cell>
          <cell r="P852" t="str">
            <v/>
          </cell>
          <cell r="Q852" t="str">
            <v/>
          </cell>
          <cell r="R852" t="e">
            <v>#N/A</v>
          </cell>
        </row>
        <row r="853">
          <cell r="A853" t="str">
            <v/>
          </cell>
          <cell r="B853" t="str">
            <v/>
          </cell>
          <cell r="C853" t="str">
            <v>Future</v>
          </cell>
          <cell r="D853" t="e">
            <v>#N/A</v>
          </cell>
          <cell r="E853">
            <v>-5.6022529644267776</v>
          </cell>
          <cell r="F853">
            <v>43.20407114624529</v>
          </cell>
          <cell r="G853">
            <v>31.583517786560407</v>
          </cell>
          <cell r="H853">
            <v>31.583517786560407</v>
          </cell>
          <cell r="I853" t="e">
            <v>#N/A</v>
          </cell>
          <cell r="J853" t="e">
            <v>#N/A</v>
          </cell>
          <cell r="K853">
            <v>42</v>
          </cell>
          <cell r="L853">
            <v>32</v>
          </cell>
          <cell r="M853" t="e">
            <v>#N/A</v>
          </cell>
          <cell r="N853">
            <v>37</v>
          </cell>
          <cell r="O853" t="e">
            <v>#N/A</v>
          </cell>
          <cell r="P853" t="str">
            <v/>
          </cell>
          <cell r="Q853" t="str">
            <v/>
          </cell>
          <cell r="R853" t="e">
            <v>#N/A</v>
          </cell>
        </row>
        <row r="854">
          <cell r="A854" t="str">
            <v/>
          </cell>
          <cell r="B854" t="str">
            <v/>
          </cell>
          <cell r="C854" t="str">
            <v>Future</v>
          </cell>
          <cell r="D854" t="e">
            <v>#N/A</v>
          </cell>
          <cell r="E854">
            <v>-5.7388932806323112</v>
          </cell>
          <cell r="F854">
            <v>43.233438735178098</v>
          </cell>
          <cell r="G854">
            <v>31.573359683793608</v>
          </cell>
          <cell r="H854">
            <v>31.573359683793608</v>
          </cell>
          <cell r="I854" t="e">
            <v>#N/A</v>
          </cell>
          <cell r="J854" t="e">
            <v>#N/A</v>
          </cell>
          <cell r="K854">
            <v>42</v>
          </cell>
          <cell r="L854">
            <v>32</v>
          </cell>
          <cell r="M854" t="e">
            <v>#N/A</v>
          </cell>
          <cell r="N854">
            <v>37</v>
          </cell>
          <cell r="O854" t="e">
            <v>#N/A</v>
          </cell>
          <cell r="P854" t="str">
            <v/>
          </cell>
          <cell r="Q854" t="str">
            <v/>
          </cell>
          <cell r="R854" t="e">
            <v>#N/A</v>
          </cell>
        </row>
        <row r="855">
          <cell r="A855" t="str">
            <v/>
          </cell>
          <cell r="B855" t="str">
            <v/>
          </cell>
          <cell r="C855" t="str">
            <v>Future</v>
          </cell>
          <cell r="D855" t="e">
            <v>#N/A</v>
          </cell>
          <cell r="E855">
            <v>-5.8755335968378448</v>
          </cell>
          <cell r="F855">
            <v>43.262806324110905</v>
          </cell>
          <cell r="G855">
            <v>31.56320158102681</v>
          </cell>
          <cell r="H855">
            <v>31.56320158102681</v>
          </cell>
          <cell r="I855" t="e">
            <v>#N/A</v>
          </cell>
          <cell r="J855" t="e">
            <v>#N/A</v>
          </cell>
          <cell r="K855">
            <v>42</v>
          </cell>
          <cell r="L855">
            <v>32</v>
          </cell>
          <cell r="M855" t="e">
            <v>#N/A</v>
          </cell>
          <cell r="N855">
            <v>37</v>
          </cell>
          <cell r="O855" t="e">
            <v>#N/A</v>
          </cell>
          <cell r="P855" t="str">
            <v/>
          </cell>
          <cell r="Q855" t="str">
            <v/>
          </cell>
          <cell r="R855" t="e">
            <v>#N/A</v>
          </cell>
        </row>
        <row r="856">
          <cell r="A856" t="str">
            <v/>
          </cell>
          <cell r="B856" t="str">
            <v/>
          </cell>
          <cell r="C856" t="str">
            <v>Future</v>
          </cell>
          <cell r="D856" t="e">
            <v>#N/A</v>
          </cell>
          <cell r="E856">
            <v>-6.0121739130433784</v>
          </cell>
          <cell r="F856">
            <v>43.292173913043712</v>
          </cell>
          <cell r="G856">
            <v>31.553043478260012</v>
          </cell>
          <cell r="H856">
            <v>31.553043478260012</v>
          </cell>
          <cell r="I856" t="e">
            <v>#N/A</v>
          </cell>
          <cell r="J856" t="e">
            <v>#N/A</v>
          </cell>
          <cell r="K856">
            <v>42</v>
          </cell>
          <cell r="L856">
            <v>32</v>
          </cell>
          <cell r="M856" t="e">
            <v>#N/A</v>
          </cell>
          <cell r="N856">
            <v>37</v>
          </cell>
          <cell r="O856" t="e">
            <v>#N/A</v>
          </cell>
          <cell r="P856" t="str">
            <v/>
          </cell>
          <cell r="Q856" t="str">
            <v/>
          </cell>
          <cell r="R856" t="e">
            <v>#N/A</v>
          </cell>
        </row>
        <row r="857">
          <cell r="A857" t="str">
            <v/>
          </cell>
          <cell r="B857" t="str">
            <v/>
          </cell>
          <cell r="C857" t="str">
            <v>Future</v>
          </cell>
          <cell r="D857" t="e">
            <v>#N/A</v>
          </cell>
          <cell r="E857">
            <v>-6.1488142292489121</v>
          </cell>
          <cell r="F857">
            <v>43.321541501976519</v>
          </cell>
          <cell r="G857">
            <v>31.542885375493213</v>
          </cell>
          <cell r="H857">
            <v>31.542885375493213</v>
          </cell>
          <cell r="I857" t="e">
            <v>#N/A</v>
          </cell>
          <cell r="J857" t="e">
            <v>#N/A</v>
          </cell>
          <cell r="K857">
            <v>42</v>
          </cell>
          <cell r="L857">
            <v>32</v>
          </cell>
          <cell r="M857" t="e">
            <v>#N/A</v>
          </cell>
          <cell r="N857">
            <v>37</v>
          </cell>
          <cell r="O857" t="e">
            <v>#N/A</v>
          </cell>
          <cell r="P857" t="str">
            <v/>
          </cell>
          <cell r="Q857" t="str">
            <v/>
          </cell>
          <cell r="R857" t="e">
            <v>#N/A</v>
          </cell>
        </row>
        <row r="858">
          <cell r="A858" t="str">
            <v/>
          </cell>
          <cell r="B858" t="str">
            <v/>
          </cell>
          <cell r="C858" t="str">
            <v>Future</v>
          </cell>
          <cell r="D858" t="e">
            <v>#N/A</v>
          </cell>
          <cell r="E858">
            <v>-6.2854545454544457</v>
          </cell>
          <cell r="F858">
            <v>43.350909090909326</v>
          </cell>
          <cell r="G858">
            <v>31.532727272726415</v>
          </cell>
          <cell r="H858">
            <v>31.532727272726415</v>
          </cell>
          <cell r="I858" t="e">
            <v>#N/A</v>
          </cell>
          <cell r="J858" t="e">
            <v>#N/A</v>
          </cell>
          <cell r="K858">
            <v>42</v>
          </cell>
          <cell r="L858">
            <v>32</v>
          </cell>
          <cell r="M858" t="e">
            <v>#N/A</v>
          </cell>
          <cell r="N858">
            <v>37</v>
          </cell>
          <cell r="O858" t="e">
            <v>#N/A</v>
          </cell>
          <cell r="P858" t="str">
            <v/>
          </cell>
          <cell r="Q858" t="str">
            <v/>
          </cell>
          <cell r="R858" t="e">
            <v>#N/A</v>
          </cell>
        </row>
        <row r="859">
          <cell r="A859" t="str">
            <v/>
          </cell>
          <cell r="B859" t="str">
            <v/>
          </cell>
          <cell r="C859" t="str">
            <v>Future</v>
          </cell>
          <cell r="D859" t="e">
            <v>#N/A</v>
          </cell>
          <cell r="E859">
            <v>-6.4220948616599793</v>
          </cell>
          <cell r="F859">
            <v>43.380276679842133</v>
          </cell>
          <cell r="G859">
            <v>31.522569169959617</v>
          </cell>
          <cell r="H859">
            <v>31.522569169959617</v>
          </cell>
          <cell r="I859" t="e">
            <v>#N/A</v>
          </cell>
          <cell r="J859" t="e">
            <v>#N/A</v>
          </cell>
          <cell r="K859">
            <v>42</v>
          </cell>
          <cell r="L859">
            <v>32</v>
          </cell>
          <cell r="M859" t="e">
            <v>#N/A</v>
          </cell>
          <cell r="N859">
            <v>37</v>
          </cell>
          <cell r="O859" t="e">
            <v>#N/A</v>
          </cell>
          <cell r="P859" t="str">
            <v/>
          </cell>
          <cell r="Q859" t="str">
            <v/>
          </cell>
          <cell r="R859" t="e">
            <v>#N/A</v>
          </cell>
        </row>
        <row r="860">
          <cell r="A860" t="str">
            <v/>
          </cell>
          <cell r="B860" t="str">
            <v/>
          </cell>
          <cell r="C860" t="str">
            <v>Future</v>
          </cell>
          <cell r="D860" t="e">
            <v>#N/A</v>
          </cell>
          <cell r="E860">
            <v>-6.558735177865513</v>
          </cell>
          <cell r="F860">
            <v>43.40964426877494</v>
          </cell>
          <cell r="G860">
            <v>31.512411067192819</v>
          </cell>
          <cell r="H860">
            <v>31.512411067192819</v>
          </cell>
          <cell r="I860" t="e">
            <v>#N/A</v>
          </cell>
          <cell r="J860" t="e">
            <v>#N/A</v>
          </cell>
          <cell r="K860">
            <v>42</v>
          </cell>
          <cell r="L860">
            <v>32</v>
          </cell>
          <cell r="M860" t="e">
            <v>#N/A</v>
          </cell>
          <cell r="N860">
            <v>37</v>
          </cell>
          <cell r="O860" t="e">
            <v>#N/A</v>
          </cell>
          <cell r="P860" t="str">
            <v/>
          </cell>
          <cell r="Q860" t="str">
            <v/>
          </cell>
          <cell r="R860" t="e">
            <v>#N/A</v>
          </cell>
        </row>
        <row r="861">
          <cell r="A861" t="str">
            <v/>
          </cell>
          <cell r="B861" t="str">
            <v/>
          </cell>
          <cell r="C861" t="str">
            <v>Future</v>
          </cell>
          <cell r="D861" t="e">
            <v>#N/A</v>
          </cell>
          <cell r="E861">
            <v>-6.6953754940710466</v>
          </cell>
          <cell r="F861">
            <v>43.439011857707747</v>
          </cell>
          <cell r="G861">
            <v>31.50225296442602</v>
          </cell>
          <cell r="H861">
            <v>31.50225296442602</v>
          </cell>
          <cell r="I861" t="e">
            <v>#N/A</v>
          </cell>
          <cell r="J861" t="e">
            <v>#N/A</v>
          </cell>
          <cell r="K861">
            <v>42</v>
          </cell>
          <cell r="L861">
            <v>32</v>
          </cell>
          <cell r="M861" t="e">
            <v>#N/A</v>
          </cell>
          <cell r="N861">
            <v>37</v>
          </cell>
          <cell r="O861" t="e">
            <v>#N/A</v>
          </cell>
          <cell r="P861" t="str">
            <v/>
          </cell>
          <cell r="Q861" t="str">
            <v/>
          </cell>
          <cell r="R861" t="e">
            <v>#N/A</v>
          </cell>
        </row>
        <row r="862">
          <cell r="A862" t="str">
            <v/>
          </cell>
          <cell r="B862" t="str">
            <v/>
          </cell>
          <cell r="C862" t="str">
            <v>Future</v>
          </cell>
          <cell r="D862" t="e">
            <v>#N/A</v>
          </cell>
          <cell r="E862">
            <v>-6.8320158102765802</v>
          </cell>
          <cell r="F862">
            <v>43.468379446640554</v>
          </cell>
          <cell r="G862">
            <v>31.492094861659222</v>
          </cell>
          <cell r="H862">
            <v>31.492094861659222</v>
          </cell>
          <cell r="I862" t="e">
            <v>#N/A</v>
          </cell>
          <cell r="J862" t="e">
            <v>#N/A</v>
          </cell>
          <cell r="K862">
            <v>42</v>
          </cell>
          <cell r="L862">
            <v>32</v>
          </cell>
          <cell r="M862" t="e">
            <v>#N/A</v>
          </cell>
          <cell r="N862">
            <v>37</v>
          </cell>
          <cell r="O862" t="e">
            <v>#N/A</v>
          </cell>
          <cell r="P862" t="str">
            <v/>
          </cell>
          <cell r="Q862" t="str">
            <v/>
          </cell>
          <cell r="R862" t="e">
            <v>#N/A</v>
          </cell>
        </row>
        <row r="863">
          <cell r="A863" t="str">
            <v/>
          </cell>
          <cell r="B863" t="str">
            <v/>
          </cell>
          <cell r="C863" t="str">
            <v>Future</v>
          </cell>
          <cell r="D863" t="e">
            <v>#N/A</v>
          </cell>
          <cell r="E863">
            <v>-6.9686561264821139</v>
          </cell>
          <cell r="F863">
            <v>43.497747035573362</v>
          </cell>
          <cell r="G863">
            <v>31.481936758892424</v>
          </cell>
          <cell r="H863">
            <v>31.481936758892424</v>
          </cell>
          <cell r="I863" t="e">
            <v>#N/A</v>
          </cell>
          <cell r="J863" t="e">
            <v>#N/A</v>
          </cell>
          <cell r="K863">
            <v>42</v>
          </cell>
          <cell r="L863">
            <v>32</v>
          </cell>
          <cell r="M863" t="e">
            <v>#N/A</v>
          </cell>
          <cell r="N863">
            <v>37</v>
          </cell>
          <cell r="O863" t="e">
            <v>#N/A</v>
          </cell>
          <cell r="P863" t="str">
            <v/>
          </cell>
          <cell r="Q863" t="str">
            <v/>
          </cell>
          <cell r="R863" t="e">
            <v>#N/A</v>
          </cell>
        </row>
        <row r="864">
          <cell r="A864" t="str">
            <v/>
          </cell>
          <cell r="B864" t="str">
            <v/>
          </cell>
          <cell r="C864" t="str">
            <v>Future</v>
          </cell>
          <cell r="D864" t="e">
            <v>#N/A</v>
          </cell>
          <cell r="E864">
            <v>-7.1052964426876475</v>
          </cell>
          <cell r="F864">
            <v>43.527114624506169</v>
          </cell>
          <cell r="G864">
            <v>31.471778656125625</v>
          </cell>
          <cell r="H864">
            <v>31.471778656125625</v>
          </cell>
          <cell r="I864" t="e">
            <v>#N/A</v>
          </cell>
          <cell r="J864" t="e">
            <v>#N/A</v>
          </cell>
          <cell r="K864">
            <v>42</v>
          </cell>
          <cell r="L864">
            <v>32</v>
          </cell>
          <cell r="M864" t="e">
            <v>#N/A</v>
          </cell>
          <cell r="N864">
            <v>37</v>
          </cell>
          <cell r="O864" t="e">
            <v>#N/A</v>
          </cell>
          <cell r="P864" t="str">
            <v/>
          </cell>
          <cell r="Q864" t="str">
            <v/>
          </cell>
          <cell r="R864" t="e">
            <v>#N/A</v>
          </cell>
        </row>
        <row r="865">
          <cell r="A865" t="str">
            <v/>
          </cell>
          <cell r="B865" t="str">
            <v/>
          </cell>
          <cell r="C865" t="str">
            <v>Future</v>
          </cell>
          <cell r="D865" t="e">
            <v>#N/A</v>
          </cell>
          <cell r="E865">
            <v>-7.2419367588931811</v>
          </cell>
          <cell r="F865">
            <v>43.556482213438976</v>
          </cell>
          <cell r="G865">
            <v>31.461620553358827</v>
          </cell>
          <cell r="H865">
            <v>31.461620553358827</v>
          </cell>
          <cell r="I865" t="e">
            <v>#N/A</v>
          </cell>
          <cell r="J865" t="e">
            <v>#N/A</v>
          </cell>
          <cell r="K865">
            <v>42</v>
          </cell>
          <cell r="L865">
            <v>32</v>
          </cell>
          <cell r="M865" t="e">
            <v>#N/A</v>
          </cell>
          <cell r="N865">
            <v>37</v>
          </cell>
          <cell r="O865" t="e">
            <v>#N/A</v>
          </cell>
          <cell r="P865" t="str">
            <v/>
          </cell>
          <cell r="Q865" t="str">
            <v/>
          </cell>
          <cell r="R865" t="e">
            <v>#N/A</v>
          </cell>
        </row>
        <row r="866">
          <cell r="A866" t="str">
            <v/>
          </cell>
          <cell r="B866" t="str">
            <v/>
          </cell>
          <cell r="C866" t="str">
            <v>Future</v>
          </cell>
          <cell r="D866" t="e">
            <v>#N/A</v>
          </cell>
          <cell r="E866">
            <v>-7.3785770750987147</v>
          </cell>
          <cell r="F866">
            <v>43.585849802371783</v>
          </cell>
          <cell r="G866">
            <v>31.451462450592029</v>
          </cell>
          <cell r="H866">
            <v>31.451462450592029</v>
          </cell>
          <cell r="I866" t="e">
            <v>#N/A</v>
          </cell>
          <cell r="J866" t="e">
            <v>#N/A</v>
          </cell>
          <cell r="K866">
            <v>42</v>
          </cell>
          <cell r="L866">
            <v>32</v>
          </cell>
          <cell r="M866" t="e">
            <v>#N/A</v>
          </cell>
          <cell r="N866">
            <v>37</v>
          </cell>
          <cell r="O866" t="e">
            <v>#N/A</v>
          </cell>
          <cell r="P866" t="str">
            <v/>
          </cell>
          <cell r="Q866" t="str">
            <v/>
          </cell>
          <cell r="R866" t="e">
            <v>#N/A</v>
          </cell>
        </row>
        <row r="867">
          <cell r="A867" t="str">
            <v/>
          </cell>
          <cell r="B867" t="str">
            <v/>
          </cell>
          <cell r="C867" t="str">
            <v>Future</v>
          </cell>
          <cell r="D867" t="e">
            <v>#N/A</v>
          </cell>
          <cell r="E867">
            <v>-7.5152173913042484</v>
          </cell>
          <cell r="F867">
            <v>43.61521739130459</v>
          </cell>
          <cell r="G867">
            <v>31.441304347825231</v>
          </cell>
          <cell r="H867">
            <v>31.441304347825231</v>
          </cell>
          <cell r="I867" t="e">
            <v>#N/A</v>
          </cell>
          <cell r="J867" t="e">
            <v>#N/A</v>
          </cell>
          <cell r="K867">
            <v>42</v>
          </cell>
          <cell r="L867">
            <v>32</v>
          </cell>
          <cell r="M867" t="e">
            <v>#N/A</v>
          </cell>
          <cell r="N867">
            <v>37</v>
          </cell>
          <cell r="O867" t="e">
            <v>#N/A</v>
          </cell>
          <cell r="P867" t="str">
            <v/>
          </cell>
          <cell r="Q867" t="str">
            <v/>
          </cell>
          <cell r="R867" t="e">
            <v>#N/A</v>
          </cell>
        </row>
        <row r="868">
          <cell r="A868" t="str">
            <v/>
          </cell>
          <cell r="B868" t="str">
            <v/>
          </cell>
          <cell r="C868" t="str">
            <v>Future</v>
          </cell>
          <cell r="D868" t="e">
            <v>#N/A</v>
          </cell>
          <cell r="E868">
            <v>-7.651857707509782</v>
          </cell>
          <cell r="F868">
            <v>43.644584980237397</v>
          </cell>
          <cell r="G868">
            <v>31.431146245058432</v>
          </cell>
          <cell r="H868">
            <v>31.431146245058432</v>
          </cell>
          <cell r="I868" t="e">
            <v>#N/A</v>
          </cell>
          <cell r="J868" t="e">
            <v>#N/A</v>
          </cell>
          <cell r="K868">
            <v>42</v>
          </cell>
          <cell r="L868">
            <v>32</v>
          </cell>
          <cell r="M868" t="e">
            <v>#N/A</v>
          </cell>
          <cell r="N868">
            <v>37</v>
          </cell>
          <cell r="O868" t="e">
            <v>#N/A</v>
          </cell>
          <cell r="P868" t="str">
            <v/>
          </cell>
          <cell r="Q868" t="str">
            <v/>
          </cell>
          <cell r="R868" t="e">
            <v>#N/A</v>
          </cell>
        </row>
        <row r="869">
          <cell r="A869" t="str">
            <v/>
          </cell>
          <cell r="B869" t="str">
            <v/>
          </cell>
          <cell r="C869" t="str">
            <v>Future</v>
          </cell>
          <cell r="D869" t="e">
            <v>#N/A</v>
          </cell>
          <cell r="E869">
            <v>-7.7884980237153156</v>
          </cell>
          <cell r="F869">
            <v>43.673952569170204</v>
          </cell>
          <cell r="G869">
            <v>31.420988142291634</v>
          </cell>
          <cell r="H869">
            <v>31.420988142291634</v>
          </cell>
          <cell r="I869" t="e">
            <v>#N/A</v>
          </cell>
          <cell r="J869" t="e">
            <v>#N/A</v>
          </cell>
          <cell r="K869">
            <v>42</v>
          </cell>
          <cell r="L869">
            <v>32</v>
          </cell>
          <cell r="M869" t="e">
            <v>#N/A</v>
          </cell>
          <cell r="N869">
            <v>37</v>
          </cell>
          <cell r="O869" t="e">
            <v>#N/A</v>
          </cell>
          <cell r="P869" t="str">
            <v/>
          </cell>
          <cell r="Q869" t="str">
            <v/>
          </cell>
          <cell r="R869" t="e">
            <v>#N/A</v>
          </cell>
        </row>
        <row r="870">
          <cell r="A870" t="str">
            <v/>
          </cell>
          <cell r="B870" t="str">
            <v/>
          </cell>
          <cell r="C870" t="str">
            <v>Future</v>
          </cell>
          <cell r="D870" t="e">
            <v>#N/A</v>
          </cell>
          <cell r="E870">
            <v>-7.9251383399208493</v>
          </cell>
          <cell r="F870">
            <v>43.703320158103011</v>
          </cell>
          <cell r="G870">
            <v>31.410830039524836</v>
          </cell>
          <cell r="H870">
            <v>31.410830039524836</v>
          </cell>
          <cell r="I870" t="e">
            <v>#N/A</v>
          </cell>
          <cell r="J870" t="e">
            <v>#N/A</v>
          </cell>
          <cell r="K870">
            <v>42</v>
          </cell>
          <cell r="L870">
            <v>32</v>
          </cell>
          <cell r="M870" t="e">
            <v>#N/A</v>
          </cell>
          <cell r="N870">
            <v>37</v>
          </cell>
          <cell r="O870" t="e">
            <v>#N/A</v>
          </cell>
          <cell r="P870" t="str">
            <v/>
          </cell>
          <cell r="Q870" t="str">
            <v/>
          </cell>
          <cell r="R870" t="e">
            <v>#N/A</v>
          </cell>
        </row>
        <row r="871">
          <cell r="A871" t="str">
            <v/>
          </cell>
          <cell r="B871" t="str">
            <v/>
          </cell>
          <cell r="C871" t="str">
            <v>Future</v>
          </cell>
          <cell r="D871" t="e">
            <v>#N/A</v>
          </cell>
          <cell r="E871">
            <v>-8.061778656126382</v>
          </cell>
          <cell r="F871">
            <v>43.732687747035818</v>
          </cell>
          <cell r="G871">
            <v>31.400671936758037</v>
          </cell>
          <cell r="H871">
            <v>31.400671936758037</v>
          </cell>
          <cell r="I871" t="e">
            <v>#N/A</v>
          </cell>
          <cell r="J871" t="e">
            <v>#N/A</v>
          </cell>
          <cell r="K871">
            <v>42</v>
          </cell>
          <cell r="L871">
            <v>32</v>
          </cell>
          <cell r="M871" t="e">
            <v>#N/A</v>
          </cell>
          <cell r="N871">
            <v>37</v>
          </cell>
          <cell r="O871" t="e">
            <v>#N/A</v>
          </cell>
          <cell r="P871" t="str">
            <v/>
          </cell>
          <cell r="Q871" t="str">
            <v/>
          </cell>
          <cell r="R871" t="e">
            <v>#N/A</v>
          </cell>
        </row>
        <row r="872">
          <cell r="A872" t="str">
            <v/>
          </cell>
          <cell r="B872" t="str">
            <v/>
          </cell>
          <cell r="C872" t="str">
            <v>Future</v>
          </cell>
          <cell r="D872" t="e">
            <v>#N/A</v>
          </cell>
          <cell r="E872">
            <v>-8.1984189723319147</v>
          </cell>
          <cell r="F872">
            <v>43.762055335968626</v>
          </cell>
          <cell r="G872">
            <v>31.390513833991239</v>
          </cell>
          <cell r="H872">
            <v>31.390513833991239</v>
          </cell>
          <cell r="I872" t="e">
            <v>#N/A</v>
          </cell>
          <cell r="J872" t="e">
            <v>#N/A</v>
          </cell>
          <cell r="K872">
            <v>42</v>
          </cell>
          <cell r="L872">
            <v>32</v>
          </cell>
          <cell r="M872" t="e">
            <v>#N/A</v>
          </cell>
          <cell r="N872">
            <v>37</v>
          </cell>
          <cell r="O872" t="e">
            <v>#N/A</v>
          </cell>
          <cell r="P872" t="str">
            <v/>
          </cell>
          <cell r="Q872" t="str">
            <v/>
          </cell>
          <cell r="R872" t="e">
            <v>#N/A</v>
          </cell>
        </row>
        <row r="873">
          <cell r="A873" t="str">
            <v/>
          </cell>
          <cell r="B873" t="str">
            <v/>
          </cell>
          <cell r="C873" t="str">
            <v>Future</v>
          </cell>
          <cell r="D873" t="e">
            <v>#N/A</v>
          </cell>
          <cell r="E873">
            <v>-8.3350592885374475</v>
          </cell>
          <cell r="F873">
            <v>43.791422924901433</v>
          </cell>
          <cell r="G873">
            <v>31.380355731224441</v>
          </cell>
          <cell r="H873">
            <v>31.380355731224441</v>
          </cell>
          <cell r="I873" t="e">
            <v>#N/A</v>
          </cell>
          <cell r="J873" t="e">
            <v>#N/A</v>
          </cell>
          <cell r="K873">
            <v>42</v>
          </cell>
          <cell r="L873">
            <v>32</v>
          </cell>
          <cell r="M873" t="e">
            <v>#N/A</v>
          </cell>
          <cell r="N873">
            <v>37</v>
          </cell>
          <cell r="O873" t="e">
            <v>#N/A</v>
          </cell>
          <cell r="P873" t="str">
            <v/>
          </cell>
          <cell r="Q873" t="str">
            <v/>
          </cell>
          <cell r="R873" t="e">
            <v>#N/A</v>
          </cell>
        </row>
        <row r="874">
          <cell r="A874" t="str">
            <v/>
          </cell>
          <cell r="B874" t="str">
            <v/>
          </cell>
          <cell r="C874" t="str">
            <v>Future</v>
          </cell>
          <cell r="D874" t="e">
            <v>#N/A</v>
          </cell>
          <cell r="E874">
            <v>-8.4716996047429802</v>
          </cell>
          <cell r="F874">
            <v>43.82079051383424</v>
          </cell>
          <cell r="G874">
            <v>31.370197628457642</v>
          </cell>
          <cell r="H874">
            <v>31.370197628457642</v>
          </cell>
          <cell r="I874" t="e">
            <v>#N/A</v>
          </cell>
          <cell r="J874" t="e">
            <v>#N/A</v>
          </cell>
          <cell r="K874">
            <v>42</v>
          </cell>
          <cell r="L874">
            <v>32</v>
          </cell>
          <cell r="M874" t="e">
            <v>#N/A</v>
          </cell>
          <cell r="N874">
            <v>37</v>
          </cell>
          <cell r="O874" t="e">
            <v>#N/A</v>
          </cell>
          <cell r="P874" t="str">
            <v/>
          </cell>
          <cell r="Q874" t="str">
            <v/>
          </cell>
          <cell r="R874" t="e">
            <v>#N/A</v>
          </cell>
        </row>
        <row r="875">
          <cell r="A875" t="str">
            <v/>
          </cell>
          <cell r="B875" t="str">
            <v/>
          </cell>
          <cell r="C875" t="str">
            <v>Future</v>
          </cell>
          <cell r="D875" t="e">
            <v>#N/A</v>
          </cell>
          <cell r="E875">
            <v>-8.608339920948513</v>
          </cell>
          <cell r="F875">
            <v>43.850158102767047</v>
          </cell>
          <cell r="G875">
            <v>31.360039525690844</v>
          </cell>
          <cell r="H875">
            <v>31.360039525690844</v>
          </cell>
          <cell r="I875" t="e">
            <v>#N/A</v>
          </cell>
          <cell r="J875" t="e">
            <v>#N/A</v>
          </cell>
          <cell r="K875">
            <v>42</v>
          </cell>
          <cell r="L875">
            <v>32</v>
          </cell>
          <cell r="M875" t="e">
            <v>#N/A</v>
          </cell>
          <cell r="N875">
            <v>37</v>
          </cell>
          <cell r="O875" t="e">
            <v>#N/A</v>
          </cell>
          <cell r="P875" t="str">
            <v/>
          </cell>
          <cell r="Q875" t="str">
            <v/>
          </cell>
          <cell r="R875" t="e">
            <v>#N/A</v>
          </cell>
        </row>
        <row r="876">
          <cell r="A876" t="str">
            <v/>
          </cell>
          <cell r="B876" t="str">
            <v/>
          </cell>
          <cell r="C876" t="str">
            <v>Future</v>
          </cell>
          <cell r="D876" t="e">
            <v>#N/A</v>
          </cell>
          <cell r="E876">
            <v>-8.7449802371540457</v>
          </cell>
          <cell r="F876">
            <v>43.879525691699854</v>
          </cell>
          <cell r="G876">
            <v>31.349881422924046</v>
          </cell>
          <cell r="H876">
            <v>31.349881422924046</v>
          </cell>
          <cell r="I876" t="e">
            <v>#N/A</v>
          </cell>
          <cell r="J876" t="e">
            <v>#N/A</v>
          </cell>
          <cell r="K876">
            <v>42</v>
          </cell>
          <cell r="L876">
            <v>32</v>
          </cell>
          <cell r="M876" t="e">
            <v>#N/A</v>
          </cell>
          <cell r="N876">
            <v>37</v>
          </cell>
          <cell r="O876" t="e">
            <v>#N/A</v>
          </cell>
          <cell r="P876" t="str">
            <v/>
          </cell>
          <cell r="Q876" t="str">
            <v/>
          </cell>
          <cell r="R876" t="e">
            <v>#N/A</v>
          </cell>
        </row>
        <row r="877">
          <cell r="A877" t="str">
            <v/>
          </cell>
          <cell r="B877" t="str">
            <v/>
          </cell>
          <cell r="C877" t="str">
            <v>Future</v>
          </cell>
          <cell r="D877" t="e">
            <v>#N/A</v>
          </cell>
          <cell r="E877">
            <v>-8.8816205533595785</v>
          </cell>
          <cell r="F877">
            <v>43.908893280632661</v>
          </cell>
          <cell r="G877">
            <v>31.339723320157248</v>
          </cell>
          <cell r="H877">
            <v>31.339723320157248</v>
          </cell>
          <cell r="I877" t="e">
            <v>#N/A</v>
          </cell>
          <cell r="J877" t="e">
            <v>#N/A</v>
          </cell>
          <cell r="K877">
            <v>42</v>
          </cell>
          <cell r="L877">
            <v>32</v>
          </cell>
          <cell r="M877" t="e">
            <v>#N/A</v>
          </cell>
          <cell r="N877">
            <v>37</v>
          </cell>
          <cell r="O877" t="e">
            <v>#N/A</v>
          </cell>
          <cell r="P877" t="str">
            <v/>
          </cell>
          <cell r="Q877" t="str">
            <v/>
          </cell>
          <cell r="R877" t="e">
            <v>#N/A</v>
          </cell>
        </row>
        <row r="878">
          <cell r="A878" t="str">
            <v/>
          </cell>
          <cell r="B878" t="str">
            <v/>
          </cell>
          <cell r="C878" t="str">
            <v>Future</v>
          </cell>
          <cell r="D878" t="e">
            <v>#N/A</v>
          </cell>
          <cell r="E878">
            <v>-9.0182608695651112</v>
          </cell>
          <cell r="F878">
            <v>43.938260869565468</v>
          </cell>
          <cell r="G878">
            <v>31.329565217390449</v>
          </cell>
          <cell r="H878">
            <v>31.329565217390449</v>
          </cell>
          <cell r="I878" t="e">
            <v>#N/A</v>
          </cell>
          <cell r="J878" t="e">
            <v>#N/A</v>
          </cell>
          <cell r="K878">
            <v>42</v>
          </cell>
          <cell r="L878">
            <v>32</v>
          </cell>
          <cell r="M878" t="e">
            <v>#N/A</v>
          </cell>
          <cell r="N878">
            <v>37</v>
          </cell>
          <cell r="O878" t="e">
            <v>#N/A</v>
          </cell>
          <cell r="P878" t="str">
            <v/>
          </cell>
          <cell r="Q878" t="str">
            <v/>
          </cell>
          <cell r="R878" t="e">
            <v>#N/A</v>
          </cell>
        </row>
        <row r="879">
          <cell r="A879" t="str">
            <v/>
          </cell>
          <cell r="B879" t="str">
            <v/>
          </cell>
          <cell r="C879" t="str">
            <v>Future</v>
          </cell>
          <cell r="D879" t="e">
            <v>#N/A</v>
          </cell>
          <cell r="E879">
            <v>-9.1549011857706439</v>
          </cell>
          <cell r="F879">
            <v>43.967628458498275</v>
          </cell>
          <cell r="G879">
            <v>31.319407114623651</v>
          </cell>
          <cell r="H879">
            <v>31.319407114623651</v>
          </cell>
          <cell r="I879" t="e">
            <v>#N/A</v>
          </cell>
          <cell r="J879" t="e">
            <v>#N/A</v>
          </cell>
          <cell r="K879">
            <v>42</v>
          </cell>
          <cell r="L879">
            <v>32</v>
          </cell>
          <cell r="M879" t="e">
            <v>#N/A</v>
          </cell>
          <cell r="N879">
            <v>37</v>
          </cell>
          <cell r="O879" t="e">
            <v>#N/A</v>
          </cell>
          <cell r="P879" t="str">
            <v/>
          </cell>
          <cell r="Q879" t="str">
            <v/>
          </cell>
          <cell r="R879" t="e">
            <v>#N/A</v>
          </cell>
        </row>
        <row r="880">
          <cell r="A880" t="str">
            <v/>
          </cell>
          <cell r="B880" t="str">
            <v/>
          </cell>
          <cell r="C880" t="str">
            <v>Future</v>
          </cell>
          <cell r="D880" t="e">
            <v>#N/A</v>
          </cell>
          <cell r="E880">
            <v>-9.2915415019761767</v>
          </cell>
          <cell r="F880">
            <v>43.996996047431082</v>
          </cell>
          <cell r="G880">
            <v>31.309249011856853</v>
          </cell>
          <cell r="H880">
            <v>31.309249011856853</v>
          </cell>
          <cell r="I880" t="e">
            <v>#N/A</v>
          </cell>
          <cell r="J880" t="e">
            <v>#N/A</v>
          </cell>
          <cell r="K880">
            <v>42</v>
          </cell>
          <cell r="L880">
            <v>32</v>
          </cell>
          <cell r="M880" t="e">
            <v>#N/A</v>
          </cell>
          <cell r="N880">
            <v>37</v>
          </cell>
          <cell r="O880" t="e">
            <v>#N/A</v>
          </cell>
          <cell r="P880" t="str">
            <v/>
          </cell>
          <cell r="Q880" t="str">
            <v/>
          </cell>
          <cell r="R880" t="e">
            <v>#N/A</v>
          </cell>
        </row>
        <row r="881">
          <cell r="A881" t="str">
            <v/>
          </cell>
          <cell r="B881" t="str">
            <v/>
          </cell>
          <cell r="C881" t="str">
            <v>Future</v>
          </cell>
          <cell r="D881" t="e">
            <v>#N/A</v>
          </cell>
          <cell r="E881">
            <v>-9.4281818181817094</v>
          </cell>
          <cell r="F881">
            <v>44.026363636363889</v>
          </cell>
          <cell r="G881">
            <v>31.299090909090054</v>
          </cell>
          <cell r="H881">
            <v>31.299090909090054</v>
          </cell>
          <cell r="I881" t="e">
            <v>#N/A</v>
          </cell>
          <cell r="J881" t="e">
            <v>#N/A</v>
          </cell>
          <cell r="K881">
            <v>42</v>
          </cell>
          <cell r="L881">
            <v>32</v>
          </cell>
          <cell r="M881" t="e">
            <v>#N/A</v>
          </cell>
          <cell r="N881">
            <v>37</v>
          </cell>
          <cell r="O881" t="e">
            <v>#N/A</v>
          </cell>
          <cell r="P881" t="str">
            <v/>
          </cell>
          <cell r="Q881" t="str">
            <v/>
          </cell>
          <cell r="R881" t="e">
            <v>#N/A</v>
          </cell>
        </row>
        <row r="882">
          <cell r="A882" t="str">
            <v/>
          </cell>
          <cell r="B882" t="str">
            <v/>
          </cell>
          <cell r="C882" t="str">
            <v>Future</v>
          </cell>
          <cell r="D882" t="e">
            <v>#N/A</v>
          </cell>
          <cell r="E882">
            <v>-9.5648221343872422</v>
          </cell>
          <cell r="F882">
            <v>44.055731225296697</v>
          </cell>
          <cell r="G882">
            <v>31.288932806323256</v>
          </cell>
          <cell r="H882">
            <v>31.288932806323256</v>
          </cell>
          <cell r="I882" t="e">
            <v>#N/A</v>
          </cell>
          <cell r="J882" t="e">
            <v>#N/A</v>
          </cell>
          <cell r="K882">
            <v>42</v>
          </cell>
          <cell r="L882">
            <v>32</v>
          </cell>
          <cell r="M882" t="e">
            <v>#N/A</v>
          </cell>
          <cell r="N882">
            <v>37</v>
          </cell>
          <cell r="O882" t="e">
            <v>#N/A</v>
          </cell>
          <cell r="P882" t="str">
            <v/>
          </cell>
          <cell r="Q882" t="str">
            <v/>
          </cell>
          <cell r="R882" t="e">
            <v>#N/A</v>
          </cell>
        </row>
        <row r="883">
          <cell r="A883" t="str">
            <v/>
          </cell>
          <cell r="B883" t="str">
            <v/>
          </cell>
          <cell r="C883" t="str">
            <v>Future</v>
          </cell>
          <cell r="D883" t="e">
            <v>#N/A</v>
          </cell>
          <cell r="E883">
            <v>-9.7014624505927749</v>
          </cell>
          <cell r="F883">
            <v>44.085098814229504</v>
          </cell>
          <cell r="G883">
            <v>31.278774703556458</v>
          </cell>
          <cell r="H883">
            <v>31.278774703556458</v>
          </cell>
          <cell r="I883" t="e">
            <v>#N/A</v>
          </cell>
          <cell r="J883" t="e">
            <v>#N/A</v>
          </cell>
          <cell r="K883">
            <v>42</v>
          </cell>
          <cell r="L883">
            <v>32</v>
          </cell>
          <cell r="M883" t="e">
            <v>#N/A</v>
          </cell>
          <cell r="N883">
            <v>37</v>
          </cell>
          <cell r="O883" t="e">
            <v>#N/A</v>
          </cell>
          <cell r="P883" t="str">
            <v/>
          </cell>
          <cell r="Q883" t="str">
            <v/>
          </cell>
          <cell r="R883" t="e">
            <v>#N/A</v>
          </cell>
        </row>
        <row r="884">
          <cell r="A884" t="str">
            <v/>
          </cell>
          <cell r="B884" t="str">
            <v/>
          </cell>
          <cell r="C884" t="str">
            <v>Future</v>
          </cell>
          <cell r="D884" t="e">
            <v>#N/A</v>
          </cell>
          <cell r="E884">
            <v>-9.8381027667983076</v>
          </cell>
          <cell r="F884">
            <v>44.114466403162311</v>
          </cell>
          <cell r="G884">
            <v>31.26861660078966</v>
          </cell>
          <cell r="H884">
            <v>31.26861660078966</v>
          </cell>
          <cell r="I884" t="e">
            <v>#N/A</v>
          </cell>
          <cell r="J884" t="e">
            <v>#N/A</v>
          </cell>
          <cell r="K884">
            <v>42</v>
          </cell>
          <cell r="L884">
            <v>32</v>
          </cell>
          <cell r="M884" t="e">
            <v>#N/A</v>
          </cell>
          <cell r="N884">
            <v>37</v>
          </cell>
          <cell r="O884" t="e">
            <v>#N/A</v>
          </cell>
          <cell r="P884" t="str">
            <v/>
          </cell>
          <cell r="Q884" t="str">
            <v/>
          </cell>
          <cell r="R884" t="e">
            <v>#N/A</v>
          </cell>
        </row>
        <row r="885">
          <cell r="A885" t="str">
            <v/>
          </cell>
          <cell r="B885" t="str">
            <v/>
          </cell>
          <cell r="C885" t="str">
            <v>Future</v>
          </cell>
          <cell r="D885" t="e">
            <v>#N/A</v>
          </cell>
          <cell r="E885">
            <v>-9.9747430830038404</v>
          </cell>
          <cell r="F885">
            <v>44.143833992095118</v>
          </cell>
          <cell r="G885">
            <v>31.258458498022861</v>
          </cell>
          <cell r="H885">
            <v>31.258458498022861</v>
          </cell>
          <cell r="I885" t="e">
            <v>#N/A</v>
          </cell>
          <cell r="J885" t="e">
            <v>#N/A</v>
          </cell>
          <cell r="K885">
            <v>42</v>
          </cell>
          <cell r="L885">
            <v>32</v>
          </cell>
          <cell r="M885" t="e">
            <v>#N/A</v>
          </cell>
          <cell r="N885">
            <v>37</v>
          </cell>
          <cell r="O885" t="e">
            <v>#N/A</v>
          </cell>
          <cell r="P885" t="str">
            <v/>
          </cell>
          <cell r="Q885" t="str">
            <v/>
          </cell>
          <cell r="R885" t="e">
            <v>#N/A</v>
          </cell>
        </row>
        <row r="886">
          <cell r="A886" t="str">
            <v/>
          </cell>
          <cell r="B886" t="str">
            <v/>
          </cell>
          <cell r="C886" t="str">
            <v>Future</v>
          </cell>
          <cell r="D886" t="e">
            <v>#N/A</v>
          </cell>
          <cell r="E886">
            <v>-10.111383399209373</v>
          </cell>
          <cell r="F886">
            <v>44.173201581027925</v>
          </cell>
          <cell r="G886">
            <v>31.248300395256063</v>
          </cell>
          <cell r="H886">
            <v>31.248300395256063</v>
          </cell>
          <cell r="I886" t="e">
            <v>#N/A</v>
          </cell>
          <cell r="J886" t="e">
            <v>#N/A</v>
          </cell>
          <cell r="K886">
            <v>42</v>
          </cell>
          <cell r="L886">
            <v>32</v>
          </cell>
          <cell r="M886" t="e">
            <v>#N/A</v>
          </cell>
          <cell r="N886">
            <v>37</v>
          </cell>
          <cell r="O886" t="e">
            <v>#N/A</v>
          </cell>
          <cell r="P886" t="str">
            <v/>
          </cell>
          <cell r="Q886" t="str">
            <v/>
          </cell>
          <cell r="R886" t="e">
            <v>#N/A</v>
          </cell>
        </row>
        <row r="887">
          <cell r="A887" t="str">
            <v/>
          </cell>
          <cell r="B887" t="str">
            <v/>
          </cell>
          <cell r="C887" t="str">
            <v>Future</v>
          </cell>
          <cell r="D887" t="e">
            <v>#N/A</v>
          </cell>
          <cell r="E887">
            <v>-10.248023715414906</v>
          </cell>
          <cell r="F887">
            <v>44.202569169960732</v>
          </cell>
          <cell r="G887">
            <v>31.238142292489265</v>
          </cell>
          <cell r="H887">
            <v>31.238142292489265</v>
          </cell>
          <cell r="I887" t="e">
            <v>#N/A</v>
          </cell>
          <cell r="J887" t="e">
            <v>#N/A</v>
          </cell>
          <cell r="K887">
            <v>42</v>
          </cell>
          <cell r="L887">
            <v>32</v>
          </cell>
          <cell r="M887" t="e">
            <v>#N/A</v>
          </cell>
          <cell r="N887">
            <v>37</v>
          </cell>
          <cell r="O887" t="e">
            <v>#N/A</v>
          </cell>
          <cell r="P887" t="str">
            <v/>
          </cell>
          <cell r="Q887" t="str">
            <v/>
          </cell>
          <cell r="R887" t="e">
            <v>#N/A</v>
          </cell>
        </row>
        <row r="888">
          <cell r="A888" t="str">
            <v/>
          </cell>
          <cell r="B888" t="str">
            <v/>
          </cell>
          <cell r="C888" t="str">
            <v>Future</v>
          </cell>
          <cell r="D888" t="e">
            <v>#N/A</v>
          </cell>
          <cell r="E888">
            <v>-10.384664031620439</v>
          </cell>
          <cell r="F888">
            <v>44.231936758893539</v>
          </cell>
          <cell r="G888">
            <v>31.227984189722466</v>
          </cell>
          <cell r="H888">
            <v>31.227984189722466</v>
          </cell>
          <cell r="I888" t="e">
            <v>#N/A</v>
          </cell>
          <cell r="J888" t="e">
            <v>#N/A</v>
          </cell>
          <cell r="K888">
            <v>42</v>
          </cell>
          <cell r="L888">
            <v>32</v>
          </cell>
          <cell r="M888" t="e">
            <v>#N/A</v>
          </cell>
          <cell r="N888">
            <v>37</v>
          </cell>
          <cell r="O888" t="e">
            <v>#N/A</v>
          </cell>
          <cell r="P888" t="str">
            <v/>
          </cell>
          <cell r="Q888" t="str">
            <v/>
          </cell>
          <cell r="R888" t="e">
            <v>#N/A</v>
          </cell>
        </row>
        <row r="889">
          <cell r="A889" t="str">
            <v/>
          </cell>
          <cell r="B889" t="str">
            <v/>
          </cell>
          <cell r="C889" t="str">
            <v>Future</v>
          </cell>
          <cell r="D889" t="e">
            <v>#N/A</v>
          </cell>
          <cell r="E889">
            <v>-10.521304347825971</v>
          </cell>
          <cell r="F889">
            <v>44.261304347826346</v>
          </cell>
          <cell r="G889">
            <v>31.217826086955668</v>
          </cell>
          <cell r="H889">
            <v>31.217826086955668</v>
          </cell>
          <cell r="I889" t="e">
            <v>#N/A</v>
          </cell>
          <cell r="J889" t="e">
            <v>#N/A</v>
          </cell>
          <cell r="K889">
            <v>42</v>
          </cell>
          <cell r="L889">
            <v>32</v>
          </cell>
          <cell r="M889" t="e">
            <v>#N/A</v>
          </cell>
          <cell r="N889">
            <v>37</v>
          </cell>
          <cell r="O889" t="e">
            <v>#N/A</v>
          </cell>
          <cell r="P889" t="str">
            <v/>
          </cell>
          <cell r="Q889" t="str">
            <v/>
          </cell>
          <cell r="R889" t="e">
            <v>#N/A</v>
          </cell>
        </row>
        <row r="890">
          <cell r="A890" t="str">
            <v/>
          </cell>
          <cell r="B890" t="str">
            <v/>
          </cell>
          <cell r="C890" t="str">
            <v>Future</v>
          </cell>
          <cell r="D890" t="e">
            <v>#N/A</v>
          </cell>
          <cell r="E890">
            <v>-10.657944664031504</v>
          </cell>
          <cell r="F890">
            <v>44.290671936759153</v>
          </cell>
          <cell r="G890">
            <v>31.20766798418887</v>
          </cell>
          <cell r="H890">
            <v>31.20766798418887</v>
          </cell>
          <cell r="I890" t="e">
            <v>#N/A</v>
          </cell>
          <cell r="J890" t="e">
            <v>#N/A</v>
          </cell>
          <cell r="K890">
            <v>42</v>
          </cell>
          <cell r="L890">
            <v>32</v>
          </cell>
          <cell r="M890" t="e">
            <v>#N/A</v>
          </cell>
          <cell r="N890">
            <v>37</v>
          </cell>
          <cell r="O890" t="e">
            <v>#N/A</v>
          </cell>
          <cell r="P890" t="str">
            <v/>
          </cell>
          <cell r="Q890" t="str">
            <v/>
          </cell>
          <cell r="R890" t="e">
            <v>#N/A</v>
          </cell>
        </row>
        <row r="891">
          <cell r="A891" t="str">
            <v/>
          </cell>
          <cell r="B891" t="str">
            <v/>
          </cell>
          <cell r="C891" t="str">
            <v>Future</v>
          </cell>
          <cell r="D891" t="e">
            <v>#N/A</v>
          </cell>
          <cell r="E891">
            <v>-10.794584980237037</v>
          </cell>
          <cell r="F891">
            <v>44.320039525691961</v>
          </cell>
          <cell r="G891">
            <v>31.197509881422071</v>
          </cell>
          <cell r="H891">
            <v>31.197509881422071</v>
          </cell>
          <cell r="I891" t="e">
            <v>#N/A</v>
          </cell>
          <cell r="J891" t="e">
            <v>#N/A</v>
          </cell>
          <cell r="K891">
            <v>42</v>
          </cell>
          <cell r="L891">
            <v>32</v>
          </cell>
          <cell r="M891" t="e">
            <v>#N/A</v>
          </cell>
          <cell r="N891">
            <v>37</v>
          </cell>
          <cell r="O891" t="e">
            <v>#N/A</v>
          </cell>
          <cell r="P891" t="str">
            <v/>
          </cell>
          <cell r="Q891" t="str">
            <v/>
          </cell>
          <cell r="R891" t="e">
            <v>#N/A</v>
          </cell>
        </row>
        <row r="892">
          <cell r="A892" t="str">
            <v/>
          </cell>
          <cell r="B892" t="str">
            <v/>
          </cell>
          <cell r="C892" t="str">
            <v>Future</v>
          </cell>
          <cell r="D892" t="e">
            <v>#N/A</v>
          </cell>
          <cell r="E892">
            <v>-10.93122529644257</v>
          </cell>
          <cell r="F892">
            <v>44.349407114624768</v>
          </cell>
          <cell r="G892">
            <v>31.187351778655273</v>
          </cell>
          <cell r="H892">
            <v>31.187351778655273</v>
          </cell>
          <cell r="I892" t="e">
            <v>#N/A</v>
          </cell>
          <cell r="J892" t="e">
            <v>#N/A</v>
          </cell>
          <cell r="K892">
            <v>42</v>
          </cell>
          <cell r="L892">
            <v>32</v>
          </cell>
          <cell r="M892" t="e">
            <v>#N/A</v>
          </cell>
          <cell r="N892">
            <v>37</v>
          </cell>
          <cell r="O892" t="e">
            <v>#N/A</v>
          </cell>
          <cell r="P892" t="str">
            <v/>
          </cell>
          <cell r="Q892" t="str">
            <v/>
          </cell>
          <cell r="R892" t="e">
            <v>#N/A</v>
          </cell>
        </row>
        <row r="893">
          <cell r="A893" t="str">
            <v/>
          </cell>
          <cell r="B893" t="str">
            <v/>
          </cell>
          <cell r="C893" t="str">
            <v>Future</v>
          </cell>
          <cell r="D893" t="e">
            <v>#N/A</v>
          </cell>
          <cell r="E893">
            <v>-11.067865612648102</v>
          </cell>
          <cell r="F893">
            <v>44.378774703557575</v>
          </cell>
          <cell r="G893">
            <v>31.177193675888475</v>
          </cell>
          <cell r="H893">
            <v>31.177193675888475</v>
          </cell>
          <cell r="I893" t="e">
            <v>#N/A</v>
          </cell>
          <cell r="J893" t="e">
            <v>#N/A</v>
          </cell>
          <cell r="K893">
            <v>42</v>
          </cell>
          <cell r="L893">
            <v>32</v>
          </cell>
          <cell r="M893" t="e">
            <v>#N/A</v>
          </cell>
          <cell r="N893">
            <v>37</v>
          </cell>
          <cell r="O893" t="e">
            <v>#N/A</v>
          </cell>
          <cell r="P893" t="str">
            <v/>
          </cell>
          <cell r="Q893" t="str">
            <v/>
          </cell>
          <cell r="R893" t="e">
            <v>#N/A</v>
          </cell>
        </row>
        <row r="894">
          <cell r="A894" t="str">
            <v/>
          </cell>
          <cell r="B894" t="str">
            <v/>
          </cell>
          <cell r="C894" t="str">
            <v>Future</v>
          </cell>
          <cell r="D894" t="e">
            <v>#N/A</v>
          </cell>
          <cell r="E894">
            <v>-11.204505928853635</v>
          </cell>
          <cell r="F894">
            <v>44.408142292490382</v>
          </cell>
          <cell r="G894">
            <v>31.167035573121677</v>
          </cell>
          <cell r="H894">
            <v>31.167035573121677</v>
          </cell>
          <cell r="I894" t="e">
            <v>#N/A</v>
          </cell>
          <cell r="J894" t="e">
            <v>#N/A</v>
          </cell>
          <cell r="K894">
            <v>42</v>
          </cell>
          <cell r="L894">
            <v>32</v>
          </cell>
          <cell r="M894" t="e">
            <v>#N/A</v>
          </cell>
          <cell r="N894">
            <v>37</v>
          </cell>
          <cell r="O894" t="e">
            <v>#N/A</v>
          </cell>
          <cell r="P894" t="str">
            <v/>
          </cell>
          <cell r="Q894" t="str">
            <v/>
          </cell>
          <cell r="R894" t="e">
            <v>#N/A</v>
          </cell>
        </row>
        <row r="895">
          <cell r="A895" t="str">
            <v/>
          </cell>
          <cell r="B895" t="str">
            <v/>
          </cell>
          <cell r="C895" t="str">
            <v>Future</v>
          </cell>
          <cell r="D895" t="e">
            <v>#N/A</v>
          </cell>
          <cell r="E895">
            <v>-11.341146245059168</v>
          </cell>
          <cell r="F895">
            <v>44.437509881423189</v>
          </cell>
          <cell r="G895">
            <v>31.156877470354878</v>
          </cell>
          <cell r="H895">
            <v>31.156877470354878</v>
          </cell>
          <cell r="I895" t="e">
            <v>#N/A</v>
          </cell>
          <cell r="J895" t="e">
            <v>#N/A</v>
          </cell>
          <cell r="K895">
            <v>42</v>
          </cell>
          <cell r="L895">
            <v>32</v>
          </cell>
          <cell r="M895" t="e">
            <v>#N/A</v>
          </cell>
          <cell r="N895">
            <v>37</v>
          </cell>
          <cell r="O895" t="e">
            <v>#N/A</v>
          </cell>
          <cell r="P895" t="str">
            <v/>
          </cell>
          <cell r="Q895" t="str">
            <v/>
          </cell>
          <cell r="R895" t="e">
            <v>#N/A</v>
          </cell>
        </row>
        <row r="896">
          <cell r="A896" t="str">
            <v/>
          </cell>
          <cell r="B896" t="str">
            <v/>
          </cell>
          <cell r="C896" t="str">
            <v>Future</v>
          </cell>
          <cell r="D896" t="e">
            <v>#N/A</v>
          </cell>
          <cell r="E896">
            <v>-11.477786561264701</v>
          </cell>
          <cell r="F896">
            <v>44.466877470355996</v>
          </cell>
          <cell r="G896">
            <v>31.14671936758808</v>
          </cell>
          <cell r="H896">
            <v>31.14671936758808</v>
          </cell>
          <cell r="I896" t="e">
            <v>#N/A</v>
          </cell>
          <cell r="J896" t="e">
            <v>#N/A</v>
          </cell>
          <cell r="K896">
            <v>42</v>
          </cell>
          <cell r="L896">
            <v>32</v>
          </cell>
          <cell r="M896" t="e">
            <v>#N/A</v>
          </cell>
          <cell r="N896">
            <v>37</v>
          </cell>
          <cell r="O896" t="e">
            <v>#N/A</v>
          </cell>
          <cell r="P896" t="str">
            <v/>
          </cell>
          <cell r="Q896" t="str">
            <v/>
          </cell>
          <cell r="R896" t="e">
            <v>#N/A</v>
          </cell>
        </row>
        <row r="897">
          <cell r="A897" t="str">
            <v/>
          </cell>
          <cell r="B897" t="str">
            <v/>
          </cell>
          <cell r="C897" t="str">
            <v>Future</v>
          </cell>
          <cell r="D897" t="e">
            <v>#N/A</v>
          </cell>
          <cell r="E897">
            <v>-11.614426877470233</v>
          </cell>
          <cell r="F897">
            <v>44.496245059288803</v>
          </cell>
          <cell r="G897">
            <v>31.136561264821282</v>
          </cell>
          <cell r="H897">
            <v>31.136561264821282</v>
          </cell>
          <cell r="I897" t="e">
            <v>#N/A</v>
          </cell>
          <cell r="J897" t="e">
            <v>#N/A</v>
          </cell>
          <cell r="K897">
            <v>42</v>
          </cell>
          <cell r="L897">
            <v>32</v>
          </cell>
          <cell r="M897" t="e">
            <v>#N/A</v>
          </cell>
          <cell r="N897">
            <v>37</v>
          </cell>
          <cell r="O897" t="e">
            <v>#N/A</v>
          </cell>
          <cell r="P897" t="str">
            <v/>
          </cell>
          <cell r="Q897" t="str">
            <v/>
          </cell>
          <cell r="R897" t="e">
            <v>#N/A</v>
          </cell>
        </row>
        <row r="898">
          <cell r="A898" t="str">
            <v/>
          </cell>
          <cell r="B898" t="str">
            <v/>
          </cell>
          <cell r="C898" t="str">
            <v>Future</v>
          </cell>
          <cell r="D898" t="e">
            <v>#N/A</v>
          </cell>
          <cell r="E898">
            <v>-11.751067193675766</v>
          </cell>
          <cell r="F898">
            <v>44.52561264822161</v>
          </cell>
          <cell r="G898">
            <v>31.126403162054483</v>
          </cell>
          <cell r="H898">
            <v>31.126403162054483</v>
          </cell>
          <cell r="I898" t="e">
            <v>#N/A</v>
          </cell>
          <cell r="J898" t="e">
            <v>#N/A</v>
          </cell>
          <cell r="K898">
            <v>42</v>
          </cell>
          <cell r="L898">
            <v>32</v>
          </cell>
          <cell r="M898" t="e">
            <v>#N/A</v>
          </cell>
          <cell r="N898">
            <v>37</v>
          </cell>
          <cell r="O898" t="e">
            <v>#N/A</v>
          </cell>
          <cell r="P898" t="str">
            <v/>
          </cell>
          <cell r="Q898" t="str">
            <v/>
          </cell>
          <cell r="R898" t="e">
            <v>#N/A</v>
          </cell>
        </row>
        <row r="899">
          <cell r="A899" t="str">
            <v/>
          </cell>
          <cell r="B899" t="str">
            <v/>
          </cell>
          <cell r="C899" t="str">
            <v>Future</v>
          </cell>
          <cell r="D899" t="e">
            <v>#N/A</v>
          </cell>
          <cell r="E899">
            <v>-11.887707509881299</v>
          </cell>
          <cell r="F899">
            <v>44.554980237154417</v>
          </cell>
          <cell r="G899">
            <v>31.116245059287685</v>
          </cell>
          <cell r="H899">
            <v>31.116245059287685</v>
          </cell>
          <cell r="I899" t="e">
            <v>#N/A</v>
          </cell>
          <cell r="J899" t="e">
            <v>#N/A</v>
          </cell>
          <cell r="K899">
            <v>42</v>
          </cell>
          <cell r="L899">
            <v>32</v>
          </cell>
          <cell r="M899" t="e">
            <v>#N/A</v>
          </cell>
          <cell r="N899">
            <v>37</v>
          </cell>
          <cell r="O899" t="e">
            <v>#N/A</v>
          </cell>
          <cell r="P899" t="str">
            <v/>
          </cell>
          <cell r="Q899" t="str">
            <v/>
          </cell>
          <cell r="R899" t="e">
            <v>#N/A</v>
          </cell>
        </row>
        <row r="900">
          <cell r="A900" t="str">
            <v/>
          </cell>
          <cell r="B900" t="str">
            <v/>
          </cell>
          <cell r="C900" t="str">
            <v>Future</v>
          </cell>
          <cell r="D900" t="e">
            <v>#N/A</v>
          </cell>
          <cell r="E900">
            <v>-12.024347826086832</v>
          </cell>
          <cell r="F900">
            <v>44.584347826087225</v>
          </cell>
          <cell r="G900">
            <v>31.106086956520887</v>
          </cell>
          <cell r="H900">
            <v>31.106086956520887</v>
          </cell>
          <cell r="I900" t="e">
            <v>#N/A</v>
          </cell>
          <cell r="J900" t="e">
            <v>#N/A</v>
          </cell>
          <cell r="K900">
            <v>42</v>
          </cell>
          <cell r="L900">
            <v>32</v>
          </cell>
          <cell r="M900" t="e">
            <v>#N/A</v>
          </cell>
          <cell r="N900">
            <v>37</v>
          </cell>
          <cell r="O900" t="e">
            <v>#N/A</v>
          </cell>
          <cell r="P900" t="str">
            <v/>
          </cell>
          <cell r="Q900" t="str">
            <v/>
          </cell>
          <cell r="R900" t="e">
            <v>#N/A</v>
          </cell>
        </row>
        <row r="901">
          <cell r="A901" t="str">
            <v/>
          </cell>
          <cell r="B901" t="str">
            <v/>
          </cell>
          <cell r="C901" t="str">
            <v>Future</v>
          </cell>
          <cell r="D901" t="e">
            <v>#N/A</v>
          </cell>
          <cell r="E901">
            <v>-12.160988142292364</v>
          </cell>
          <cell r="F901">
            <v>44.613715415020032</v>
          </cell>
          <cell r="G901">
            <v>31.095928853754089</v>
          </cell>
          <cell r="H901">
            <v>31.095928853754089</v>
          </cell>
          <cell r="I901" t="e">
            <v>#N/A</v>
          </cell>
          <cell r="J901" t="e">
            <v>#N/A</v>
          </cell>
          <cell r="K901">
            <v>42</v>
          </cell>
          <cell r="L901">
            <v>32</v>
          </cell>
          <cell r="M901" t="e">
            <v>#N/A</v>
          </cell>
          <cell r="N901">
            <v>37</v>
          </cell>
          <cell r="O901" t="e">
            <v>#N/A</v>
          </cell>
          <cell r="P901" t="str">
            <v/>
          </cell>
          <cell r="Q901" t="str">
            <v/>
          </cell>
          <cell r="R901" t="e">
            <v>#N/A</v>
          </cell>
        </row>
        <row r="902">
          <cell r="A902" t="str">
            <v/>
          </cell>
          <cell r="B902" t="str">
            <v/>
          </cell>
          <cell r="C902" t="str">
            <v>Future</v>
          </cell>
          <cell r="D902" t="e">
            <v>#N/A</v>
          </cell>
          <cell r="E902">
            <v>-12.297628458497897</v>
          </cell>
          <cell r="F902">
            <v>44.643083003952839</v>
          </cell>
          <cell r="G902">
            <v>31.08577075098729</v>
          </cell>
          <cell r="H902">
            <v>31.08577075098729</v>
          </cell>
          <cell r="I902" t="e">
            <v>#N/A</v>
          </cell>
          <cell r="J902" t="e">
            <v>#N/A</v>
          </cell>
          <cell r="K902">
            <v>42</v>
          </cell>
          <cell r="L902">
            <v>32</v>
          </cell>
          <cell r="M902" t="e">
            <v>#N/A</v>
          </cell>
          <cell r="N902">
            <v>37</v>
          </cell>
          <cell r="O902" t="e">
            <v>#N/A</v>
          </cell>
          <cell r="P902" t="str">
            <v/>
          </cell>
          <cell r="Q902" t="str">
            <v/>
          </cell>
          <cell r="R902" t="e">
            <v>#N/A</v>
          </cell>
        </row>
        <row r="903">
          <cell r="A903" t="str">
            <v/>
          </cell>
          <cell r="B903" t="str">
            <v/>
          </cell>
          <cell r="C903" t="str">
            <v>Future</v>
          </cell>
          <cell r="D903" t="e">
            <v>#N/A</v>
          </cell>
          <cell r="E903">
            <v>-12.43426877470343</v>
          </cell>
          <cell r="F903">
            <v>44.672450592885646</v>
          </cell>
          <cell r="G903">
            <v>31.075612648220492</v>
          </cell>
          <cell r="H903">
            <v>31.075612648220492</v>
          </cell>
          <cell r="I903" t="e">
            <v>#N/A</v>
          </cell>
          <cell r="J903" t="e">
            <v>#N/A</v>
          </cell>
          <cell r="K903">
            <v>42</v>
          </cell>
          <cell r="L903">
            <v>32</v>
          </cell>
          <cell r="M903" t="e">
            <v>#N/A</v>
          </cell>
          <cell r="N903">
            <v>37</v>
          </cell>
          <cell r="O903" t="e">
            <v>#N/A</v>
          </cell>
          <cell r="P903" t="str">
            <v/>
          </cell>
          <cell r="Q903" t="str">
            <v/>
          </cell>
          <cell r="R903" t="e">
            <v>#N/A</v>
          </cell>
        </row>
        <row r="904">
          <cell r="A904" t="str">
            <v/>
          </cell>
          <cell r="B904" t="str">
            <v/>
          </cell>
          <cell r="C904" t="str">
            <v>Future</v>
          </cell>
          <cell r="D904" t="e">
            <v>#N/A</v>
          </cell>
          <cell r="E904">
            <v>-12.570909090908962</v>
          </cell>
          <cell r="F904">
            <v>44.701818181818453</v>
          </cell>
          <cell r="G904">
            <v>31.065454545453694</v>
          </cell>
          <cell r="H904">
            <v>31.065454545453694</v>
          </cell>
          <cell r="I904" t="e">
            <v>#N/A</v>
          </cell>
          <cell r="J904" t="e">
            <v>#N/A</v>
          </cell>
          <cell r="K904">
            <v>42</v>
          </cell>
          <cell r="L904">
            <v>32</v>
          </cell>
          <cell r="M904" t="e">
            <v>#N/A</v>
          </cell>
          <cell r="N904">
            <v>37</v>
          </cell>
          <cell r="O904" t="e">
            <v>#N/A</v>
          </cell>
          <cell r="P904" t="str">
            <v/>
          </cell>
          <cell r="Q904" t="str">
            <v/>
          </cell>
          <cell r="R904" t="e">
            <v>#N/A</v>
          </cell>
        </row>
        <row r="905">
          <cell r="A905" t="str">
            <v/>
          </cell>
          <cell r="B905" t="str">
            <v/>
          </cell>
          <cell r="C905" t="str">
            <v>Future</v>
          </cell>
          <cell r="D905" t="e">
            <v>#N/A</v>
          </cell>
          <cell r="E905">
            <v>-12.707549407114495</v>
          </cell>
          <cell r="F905">
            <v>44.73118577075126</v>
          </cell>
          <cell r="G905">
            <v>31.055296442686895</v>
          </cell>
          <cell r="H905">
            <v>31.055296442686895</v>
          </cell>
          <cell r="I905" t="e">
            <v>#N/A</v>
          </cell>
          <cell r="J905" t="e">
            <v>#N/A</v>
          </cell>
          <cell r="K905">
            <v>42</v>
          </cell>
          <cell r="L905">
            <v>32</v>
          </cell>
          <cell r="M905" t="e">
            <v>#N/A</v>
          </cell>
          <cell r="N905">
            <v>37</v>
          </cell>
          <cell r="O905" t="e">
            <v>#N/A</v>
          </cell>
          <cell r="P905" t="str">
            <v/>
          </cell>
          <cell r="Q905" t="str">
            <v/>
          </cell>
          <cell r="R905" t="e">
            <v>#N/A</v>
          </cell>
        </row>
        <row r="906">
          <cell r="A906" t="str">
            <v/>
          </cell>
          <cell r="B906" t="str">
            <v/>
          </cell>
          <cell r="C906" t="str">
            <v>Future</v>
          </cell>
          <cell r="D906" t="e">
            <v>#N/A</v>
          </cell>
          <cell r="E906">
            <v>-12.844189723320028</v>
          </cell>
          <cell r="F906">
            <v>44.760553359684067</v>
          </cell>
          <cell r="G906">
            <v>31.045138339920097</v>
          </cell>
          <cell r="H906">
            <v>31.045138339920097</v>
          </cell>
          <cell r="I906" t="e">
            <v>#N/A</v>
          </cell>
          <cell r="J906" t="e">
            <v>#N/A</v>
          </cell>
          <cell r="K906">
            <v>42</v>
          </cell>
          <cell r="L906">
            <v>32</v>
          </cell>
          <cell r="M906" t="e">
            <v>#N/A</v>
          </cell>
          <cell r="N906">
            <v>37</v>
          </cell>
          <cell r="O906" t="e">
            <v>#N/A</v>
          </cell>
          <cell r="P906" t="str">
            <v/>
          </cell>
          <cell r="Q906" t="str">
            <v/>
          </cell>
          <cell r="R906" t="e">
            <v>#N/A</v>
          </cell>
        </row>
        <row r="907">
          <cell r="A907" t="str">
            <v/>
          </cell>
          <cell r="B907" t="str">
            <v/>
          </cell>
          <cell r="C907" t="str">
            <v>Future</v>
          </cell>
          <cell r="D907" t="e">
            <v>#N/A</v>
          </cell>
          <cell r="E907">
            <v>-12.980830039525561</v>
          </cell>
          <cell r="F907">
            <v>44.789920948616874</v>
          </cell>
          <cell r="G907">
            <v>31.034980237153299</v>
          </cell>
          <cell r="H907">
            <v>31.034980237153299</v>
          </cell>
          <cell r="I907" t="e">
            <v>#N/A</v>
          </cell>
          <cell r="J907" t="e">
            <v>#N/A</v>
          </cell>
          <cell r="K907">
            <v>42</v>
          </cell>
          <cell r="L907">
            <v>32</v>
          </cell>
          <cell r="M907" t="e">
            <v>#N/A</v>
          </cell>
          <cell r="N907">
            <v>37</v>
          </cell>
          <cell r="O907" t="e">
            <v>#N/A</v>
          </cell>
          <cell r="P907" t="str">
            <v/>
          </cell>
          <cell r="Q907" t="str">
            <v/>
          </cell>
          <cell r="R907" t="e">
            <v>#N/A</v>
          </cell>
        </row>
        <row r="908">
          <cell r="A908" t="str">
            <v/>
          </cell>
          <cell r="B908" t="str">
            <v/>
          </cell>
          <cell r="C908" t="str">
            <v>Future</v>
          </cell>
          <cell r="D908" t="e">
            <v>#N/A</v>
          </cell>
          <cell r="E908">
            <v>-13.117470355731093</v>
          </cell>
          <cell r="F908">
            <v>44.819288537549681</v>
          </cell>
          <cell r="G908">
            <v>31.0248221343865</v>
          </cell>
          <cell r="H908">
            <v>31.0248221343865</v>
          </cell>
          <cell r="I908" t="e">
            <v>#N/A</v>
          </cell>
          <cell r="J908" t="e">
            <v>#N/A</v>
          </cell>
          <cell r="K908">
            <v>42</v>
          </cell>
          <cell r="L908">
            <v>32</v>
          </cell>
          <cell r="M908" t="e">
            <v>#N/A</v>
          </cell>
          <cell r="N908">
            <v>37</v>
          </cell>
          <cell r="O908" t="e">
            <v>#N/A</v>
          </cell>
          <cell r="P908" t="str">
            <v/>
          </cell>
          <cell r="Q908" t="str">
            <v/>
          </cell>
          <cell r="R908" t="e">
            <v>#N/A</v>
          </cell>
        </row>
        <row r="909">
          <cell r="A909" t="str">
            <v/>
          </cell>
          <cell r="B909" t="str">
            <v/>
          </cell>
          <cell r="C909" t="str">
            <v>Future</v>
          </cell>
          <cell r="D909" t="e">
            <v>#N/A</v>
          </cell>
          <cell r="E909">
            <v>-13.254110671936626</v>
          </cell>
          <cell r="F909">
            <v>44.848656126482489</v>
          </cell>
          <cell r="G909">
            <v>31.014664031619702</v>
          </cell>
          <cell r="H909">
            <v>31.014664031619702</v>
          </cell>
          <cell r="I909" t="e">
            <v>#N/A</v>
          </cell>
          <cell r="J909" t="e">
            <v>#N/A</v>
          </cell>
          <cell r="K909">
            <v>42</v>
          </cell>
          <cell r="L909">
            <v>32</v>
          </cell>
          <cell r="M909" t="e">
            <v>#N/A</v>
          </cell>
          <cell r="N909">
            <v>37</v>
          </cell>
          <cell r="O909" t="e">
            <v>#N/A</v>
          </cell>
          <cell r="P909" t="str">
            <v/>
          </cell>
          <cell r="Q909" t="str">
            <v/>
          </cell>
          <cell r="R909" t="e">
            <v>#N/A</v>
          </cell>
        </row>
        <row r="910">
          <cell r="A910" t="str">
            <v/>
          </cell>
          <cell r="B910" t="str">
            <v/>
          </cell>
          <cell r="C910" t="str">
            <v>Future</v>
          </cell>
          <cell r="D910" t="e">
            <v>#N/A</v>
          </cell>
          <cell r="E910">
            <v>-13.390750988142159</v>
          </cell>
          <cell r="F910">
            <v>44.878023715415296</v>
          </cell>
          <cell r="G910">
            <v>31.004505928852904</v>
          </cell>
          <cell r="H910">
            <v>31.004505928852904</v>
          </cell>
          <cell r="I910" t="e">
            <v>#N/A</v>
          </cell>
          <cell r="J910" t="e">
            <v>#N/A</v>
          </cell>
          <cell r="K910">
            <v>42</v>
          </cell>
          <cell r="L910">
            <v>32</v>
          </cell>
          <cell r="M910" t="e">
            <v>#N/A</v>
          </cell>
          <cell r="N910">
            <v>37</v>
          </cell>
          <cell r="O910" t="e">
            <v>#N/A</v>
          </cell>
          <cell r="P910" t="str">
            <v/>
          </cell>
          <cell r="Q910" t="str">
            <v/>
          </cell>
          <cell r="R910" t="e">
            <v>#N/A</v>
          </cell>
        </row>
        <row r="911">
          <cell r="A911" t="str">
            <v/>
          </cell>
          <cell r="B911" t="str">
            <v/>
          </cell>
          <cell r="C911" t="str">
            <v>Future</v>
          </cell>
          <cell r="D911" t="e">
            <v>#N/A</v>
          </cell>
          <cell r="E911">
            <v>-13.527391304347692</v>
          </cell>
          <cell r="F911">
            <v>44.907391304348103</v>
          </cell>
          <cell r="G911">
            <v>30.994347826086106</v>
          </cell>
          <cell r="H911">
            <v>30.994347826086106</v>
          </cell>
          <cell r="I911" t="e">
            <v>#N/A</v>
          </cell>
          <cell r="J911" t="e">
            <v>#N/A</v>
          </cell>
          <cell r="K911">
            <v>42</v>
          </cell>
          <cell r="L911">
            <v>32</v>
          </cell>
          <cell r="M911" t="e">
            <v>#N/A</v>
          </cell>
          <cell r="N911">
            <v>37</v>
          </cell>
          <cell r="O911" t="e">
            <v>#N/A</v>
          </cell>
          <cell r="P911" t="str">
            <v/>
          </cell>
          <cell r="Q911" t="str">
            <v/>
          </cell>
          <cell r="R911" t="e">
            <v>#N/A</v>
          </cell>
        </row>
        <row r="912">
          <cell r="A912" t="str">
            <v/>
          </cell>
          <cell r="B912" t="str">
            <v/>
          </cell>
          <cell r="C912" t="str">
            <v>Future</v>
          </cell>
          <cell r="D912" t="e">
            <v>#N/A</v>
          </cell>
          <cell r="E912">
            <v>-13.664031620553224</v>
          </cell>
          <cell r="F912">
            <v>44.93675889328091</v>
          </cell>
          <cell r="G912">
            <v>30.984189723319307</v>
          </cell>
          <cell r="H912">
            <v>30.984189723319307</v>
          </cell>
          <cell r="I912" t="e">
            <v>#N/A</v>
          </cell>
          <cell r="J912" t="e">
            <v>#N/A</v>
          </cell>
          <cell r="K912">
            <v>42</v>
          </cell>
          <cell r="L912">
            <v>32</v>
          </cell>
          <cell r="M912" t="e">
            <v>#N/A</v>
          </cell>
          <cell r="N912">
            <v>37</v>
          </cell>
          <cell r="O912" t="e">
            <v>#N/A</v>
          </cell>
          <cell r="P912" t="str">
            <v/>
          </cell>
          <cell r="Q912" t="str">
            <v/>
          </cell>
          <cell r="R912" t="e">
            <v>#N/A</v>
          </cell>
        </row>
        <row r="913">
          <cell r="A913" t="str">
            <v/>
          </cell>
          <cell r="B913" t="str">
            <v/>
          </cell>
          <cell r="C913" t="str">
            <v>Future</v>
          </cell>
          <cell r="D913" t="e">
            <v>#N/A</v>
          </cell>
          <cell r="E913">
            <v>-13.800671936758757</v>
          </cell>
          <cell r="F913">
            <v>44.966126482213717</v>
          </cell>
          <cell r="G913">
            <v>30.974031620552509</v>
          </cell>
          <cell r="H913">
            <v>30.974031620552509</v>
          </cell>
          <cell r="I913" t="e">
            <v>#N/A</v>
          </cell>
          <cell r="J913" t="e">
            <v>#N/A</v>
          </cell>
          <cell r="K913">
            <v>42</v>
          </cell>
          <cell r="L913">
            <v>32</v>
          </cell>
          <cell r="M913" t="e">
            <v>#N/A</v>
          </cell>
          <cell r="N913">
            <v>37</v>
          </cell>
          <cell r="O913" t="e">
            <v>#N/A</v>
          </cell>
          <cell r="P913" t="str">
            <v/>
          </cell>
          <cell r="Q913" t="str">
            <v/>
          </cell>
          <cell r="R913" t="e">
            <v>#N/A</v>
          </cell>
        </row>
        <row r="914">
          <cell r="A914" t="str">
            <v/>
          </cell>
          <cell r="B914" t="str">
            <v/>
          </cell>
          <cell r="C914" t="str">
            <v>Future</v>
          </cell>
          <cell r="D914" t="e">
            <v>#N/A</v>
          </cell>
          <cell r="E914">
            <v>-13.93731225296429</v>
          </cell>
          <cell r="F914">
            <v>44.995494071146524</v>
          </cell>
          <cell r="G914">
            <v>30.963873517785711</v>
          </cell>
          <cell r="H914">
            <v>30.963873517785711</v>
          </cell>
          <cell r="I914" t="e">
            <v>#N/A</v>
          </cell>
          <cell r="J914" t="e">
            <v>#N/A</v>
          </cell>
          <cell r="K914">
            <v>42</v>
          </cell>
          <cell r="L914">
            <v>32</v>
          </cell>
          <cell r="M914" t="e">
            <v>#N/A</v>
          </cell>
          <cell r="N914">
            <v>37</v>
          </cell>
          <cell r="O914" t="e">
            <v>#N/A</v>
          </cell>
          <cell r="P914" t="str">
            <v/>
          </cell>
          <cell r="Q914" t="str">
            <v/>
          </cell>
          <cell r="R914" t="e">
            <v>#N/A</v>
          </cell>
        </row>
        <row r="915">
          <cell r="A915" t="str">
            <v/>
          </cell>
          <cell r="B915" t="str">
            <v/>
          </cell>
          <cell r="C915" t="str">
            <v>Future</v>
          </cell>
          <cell r="D915" t="e">
            <v>#N/A</v>
          </cell>
          <cell r="E915">
            <v>-14.073952569169823</v>
          </cell>
          <cell r="F915">
            <v>45.024861660079331</v>
          </cell>
          <cell r="G915">
            <v>30.953715415018912</v>
          </cell>
          <cell r="H915">
            <v>30.953715415018912</v>
          </cell>
          <cell r="I915" t="e">
            <v>#N/A</v>
          </cell>
          <cell r="J915" t="e">
            <v>#N/A</v>
          </cell>
          <cell r="K915">
            <v>42</v>
          </cell>
          <cell r="L915">
            <v>32</v>
          </cell>
          <cell r="M915" t="e">
            <v>#N/A</v>
          </cell>
          <cell r="N915">
            <v>37</v>
          </cell>
          <cell r="O915" t="e">
            <v>#N/A</v>
          </cell>
          <cell r="P915" t="str">
            <v/>
          </cell>
          <cell r="Q915" t="str">
            <v/>
          </cell>
          <cell r="R915" t="e">
            <v>#N/A</v>
          </cell>
        </row>
        <row r="916">
          <cell r="A916" t="str">
            <v/>
          </cell>
          <cell r="B916" t="str">
            <v/>
          </cell>
          <cell r="C916" t="str">
            <v>Future</v>
          </cell>
          <cell r="D916" t="e">
            <v>#N/A</v>
          </cell>
          <cell r="E916">
            <v>-14.210592885375355</v>
          </cell>
          <cell r="F916">
            <v>45.054229249012138</v>
          </cell>
          <cell r="G916">
            <v>30.943557312252114</v>
          </cell>
          <cell r="H916">
            <v>30.943557312252114</v>
          </cell>
          <cell r="I916" t="e">
            <v>#N/A</v>
          </cell>
          <cell r="J916" t="e">
            <v>#N/A</v>
          </cell>
          <cell r="K916">
            <v>42</v>
          </cell>
          <cell r="L916">
            <v>32</v>
          </cell>
          <cell r="M916" t="e">
            <v>#N/A</v>
          </cell>
          <cell r="N916">
            <v>37</v>
          </cell>
          <cell r="O916" t="e">
            <v>#N/A</v>
          </cell>
          <cell r="P916" t="str">
            <v/>
          </cell>
          <cell r="Q916" t="str">
            <v/>
          </cell>
          <cell r="R916" t="e">
            <v>#N/A</v>
          </cell>
        </row>
        <row r="917">
          <cell r="A917" t="str">
            <v/>
          </cell>
          <cell r="B917" t="str">
            <v/>
          </cell>
          <cell r="C917" t="str">
            <v>Future</v>
          </cell>
          <cell r="D917" t="e">
            <v>#N/A</v>
          </cell>
          <cell r="E917">
            <v>-14.347233201580888</v>
          </cell>
          <cell r="F917">
            <v>45.083596837944945</v>
          </cell>
          <cell r="G917">
            <v>30.933399209485316</v>
          </cell>
          <cell r="H917">
            <v>30.933399209485316</v>
          </cell>
          <cell r="I917" t="e">
            <v>#N/A</v>
          </cell>
          <cell r="J917" t="e">
            <v>#N/A</v>
          </cell>
          <cell r="K917">
            <v>42</v>
          </cell>
          <cell r="L917">
            <v>32</v>
          </cell>
          <cell r="M917" t="e">
            <v>#N/A</v>
          </cell>
          <cell r="N917">
            <v>37</v>
          </cell>
          <cell r="O917" t="e">
            <v>#N/A</v>
          </cell>
          <cell r="P917" t="str">
            <v/>
          </cell>
          <cell r="Q917" t="str">
            <v/>
          </cell>
          <cell r="R917" t="e">
            <v>#N/A</v>
          </cell>
        </row>
        <row r="918">
          <cell r="A918" t="str">
            <v/>
          </cell>
          <cell r="B918" t="str">
            <v/>
          </cell>
          <cell r="C918" t="str">
            <v>Future</v>
          </cell>
          <cell r="D918" t="e">
            <v>#N/A</v>
          </cell>
          <cell r="E918">
            <v>-14.483873517786421</v>
          </cell>
          <cell r="F918">
            <v>45.112964426877753</v>
          </cell>
          <cell r="G918">
            <v>30.923241106718518</v>
          </cell>
          <cell r="H918">
            <v>30.923241106718518</v>
          </cell>
          <cell r="I918" t="e">
            <v>#N/A</v>
          </cell>
          <cell r="J918" t="e">
            <v>#N/A</v>
          </cell>
          <cell r="K918">
            <v>42</v>
          </cell>
          <cell r="L918">
            <v>32</v>
          </cell>
          <cell r="M918" t="e">
            <v>#N/A</v>
          </cell>
          <cell r="N918">
            <v>37</v>
          </cell>
          <cell r="O918" t="e">
            <v>#N/A</v>
          </cell>
          <cell r="P918" t="str">
            <v/>
          </cell>
          <cell r="Q918" t="str">
            <v/>
          </cell>
          <cell r="R918" t="e">
            <v>#N/A</v>
          </cell>
        </row>
        <row r="919">
          <cell r="A919" t="str">
            <v/>
          </cell>
          <cell r="B919" t="str">
            <v/>
          </cell>
          <cell r="C919" t="str">
            <v>Future</v>
          </cell>
          <cell r="D919" t="e">
            <v>#N/A</v>
          </cell>
          <cell r="E919">
            <v>-14.620513833991954</v>
          </cell>
          <cell r="F919">
            <v>45.14233201581056</v>
          </cell>
          <cell r="G919">
            <v>30.913083003951719</v>
          </cell>
          <cell r="H919">
            <v>30.913083003951719</v>
          </cell>
          <cell r="I919" t="e">
            <v>#N/A</v>
          </cell>
          <cell r="J919" t="e">
            <v>#N/A</v>
          </cell>
          <cell r="K919">
            <v>42</v>
          </cell>
          <cell r="L919">
            <v>32</v>
          </cell>
          <cell r="M919" t="e">
            <v>#N/A</v>
          </cell>
          <cell r="N919">
            <v>37</v>
          </cell>
          <cell r="O919" t="e">
            <v>#N/A</v>
          </cell>
          <cell r="P919" t="str">
            <v/>
          </cell>
          <cell r="Q919" t="str">
            <v/>
          </cell>
          <cell r="R919" t="e">
            <v>#N/A</v>
          </cell>
        </row>
        <row r="920">
          <cell r="A920" t="str">
            <v/>
          </cell>
          <cell r="B920" t="str">
            <v/>
          </cell>
          <cell r="C920" t="str">
            <v>Future</v>
          </cell>
          <cell r="D920" t="e">
            <v>#N/A</v>
          </cell>
          <cell r="E920">
            <v>-14.757154150197486</v>
          </cell>
          <cell r="F920">
            <v>45.171699604743367</v>
          </cell>
          <cell r="G920">
            <v>30.902924901184921</v>
          </cell>
          <cell r="H920">
            <v>30.902924901184921</v>
          </cell>
          <cell r="I920" t="e">
            <v>#N/A</v>
          </cell>
          <cell r="J920" t="e">
            <v>#N/A</v>
          </cell>
          <cell r="K920">
            <v>42</v>
          </cell>
          <cell r="L920">
            <v>32</v>
          </cell>
          <cell r="M920" t="e">
            <v>#N/A</v>
          </cell>
          <cell r="N920">
            <v>37</v>
          </cell>
          <cell r="O920" t="e">
            <v>#N/A</v>
          </cell>
          <cell r="P920" t="str">
            <v/>
          </cell>
          <cell r="Q920" t="str">
            <v/>
          </cell>
          <cell r="R920" t="e">
            <v>#N/A</v>
          </cell>
        </row>
        <row r="921">
          <cell r="A921" t="str">
            <v/>
          </cell>
          <cell r="B921" t="str">
            <v/>
          </cell>
          <cell r="C921" t="str">
            <v>Future</v>
          </cell>
          <cell r="D921" t="e">
            <v>#N/A</v>
          </cell>
          <cell r="E921">
            <v>-14.893794466403019</v>
          </cell>
          <cell r="F921">
            <v>45.201067193676174</v>
          </cell>
          <cell r="G921">
            <v>30.892766798418123</v>
          </cell>
          <cell r="H921">
            <v>30.892766798418123</v>
          </cell>
          <cell r="I921" t="e">
            <v>#N/A</v>
          </cell>
          <cell r="J921" t="e">
            <v>#N/A</v>
          </cell>
          <cell r="K921">
            <v>42</v>
          </cell>
          <cell r="L921">
            <v>32</v>
          </cell>
          <cell r="M921" t="e">
            <v>#N/A</v>
          </cell>
          <cell r="N921">
            <v>37</v>
          </cell>
          <cell r="O921" t="e">
            <v>#N/A</v>
          </cell>
          <cell r="P921" t="str">
            <v/>
          </cell>
          <cell r="Q921" t="str">
            <v/>
          </cell>
          <cell r="R921" t="e">
            <v>#N/A</v>
          </cell>
        </row>
        <row r="922">
          <cell r="A922" t="str">
            <v/>
          </cell>
          <cell r="B922" t="str">
            <v/>
          </cell>
          <cell r="C922" t="str">
            <v>Future</v>
          </cell>
          <cell r="D922" t="e">
            <v>#N/A</v>
          </cell>
          <cell r="E922">
            <v>-15.030434782608552</v>
          </cell>
          <cell r="F922">
            <v>45.230434782608981</v>
          </cell>
          <cell r="G922">
            <v>30.882608695651324</v>
          </cell>
          <cell r="H922">
            <v>30.882608695651324</v>
          </cell>
          <cell r="I922" t="e">
            <v>#N/A</v>
          </cell>
          <cell r="J922" t="e">
            <v>#N/A</v>
          </cell>
          <cell r="K922">
            <v>42</v>
          </cell>
          <cell r="L922">
            <v>32</v>
          </cell>
          <cell r="M922" t="e">
            <v>#N/A</v>
          </cell>
          <cell r="N922">
            <v>37</v>
          </cell>
          <cell r="O922" t="e">
            <v>#N/A</v>
          </cell>
          <cell r="P922" t="str">
            <v/>
          </cell>
          <cell r="Q922" t="str">
            <v/>
          </cell>
          <cell r="R922" t="e">
            <v>#N/A</v>
          </cell>
        </row>
        <row r="923">
          <cell r="A923" t="str">
            <v/>
          </cell>
          <cell r="B923" t="str">
            <v/>
          </cell>
          <cell r="C923" t="str">
            <v>Future</v>
          </cell>
          <cell r="D923" t="e">
            <v>#N/A</v>
          </cell>
          <cell r="E923">
            <v>-15.167075098814085</v>
          </cell>
          <cell r="F923">
            <v>45.259802371541788</v>
          </cell>
          <cell r="G923">
            <v>30.872450592884526</v>
          </cell>
          <cell r="H923">
            <v>30.872450592884526</v>
          </cell>
          <cell r="I923" t="e">
            <v>#N/A</v>
          </cell>
          <cell r="J923" t="e">
            <v>#N/A</v>
          </cell>
          <cell r="K923">
            <v>42</v>
          </cell>
          <cell r="L923">
            <v>32</v>
          </cell>
          <cell r="M923" t="e">
            <v>#N/A</v>
          </cell>
          <cell r="N923">
            <v>37</v>
          </cell>
          <cell r="O923" t="e">
            <v>#N/A</v>
          </cell>
          <cell r="P923" t="str">
            <v/>
          </cell>
          <cell r="Q923" t="str">
            <v/>
          </cell>
          <cell r="R923" t="e">
            <v>#N/A</v>
          </cell>
        </row>
        <row r="924">
          <cell r="A924" t="str">
            <v/>
          </cell>
          <cell r="B924" t="str">
            <v/>
          </cell>
          <cell r="C924" t="str">
            <v>Future</v>
          </cell>
          <cell r="D924" t="e">
            <v>#N/A</v>
          </cell>
          <cell r="E924">
            <v>-15.303715415019617</v>
          </cell>
          <cell r="F924">
            <v>45.289169960474595</v>
          </cell>
          <cell r="G924">
            <v>30.862292490117728</v>
          </cell>
          <cell r="H924">
            <v>30.862292490117728</v>
          </cell>
          <cell r="I924" t="e">
            <v>#N/A</v>
          </cell>
          <cell r="J924" t="e">
            <v>#N/A</v>
          </cell>
          <cell r="K924">
            <v>42</v>
          </cell>
          <cell r="L924">
            <v>32</v>
          </cell>
          <cell r="M924" t="e">
            <v>#N/A</v>
          </cell>
          <cell r="N924">
            <v>37</v>
          </cell>
          <cell r="O924" t="e">
            <v>#N/A</v>
          </cell>
          <cell r="P924" t="str">
            <v/>
          </cell>
          <cell r="Q924" t="str">
            <v/>
          </cell>
          <cell r="R924" t="e">
            <v>#N/A</v>
          </cell>
        </row>
        <row r="925">
          <cell r="A925" t="str">
            <v/>
          </cell>
          <cell r="B925" t="str">
            <v/>
          </cell>
          <cell r="C925" t="str">
            <v>Future</v>
          </cell>
          <cell r="D925" t="e">
            <v>#N/A</v>
          </cell>
          <cell r="E925">
            <v>-15.44035573122515</v>
          </cell>
          <cell r="F925">
            <v>45.318537549407402</v>
          </cell>
          <cell r="G925">
            <v>30.85213438735093</v>
          </cell>
          <cell r="H925">
            <v>30.85213438735093</v>
          </cell>
          <cell r="I925" t="e">
            <v>#N/A</v>
          </cell>
          <cell r="J925" t="e">
            <v>#N/A</v>
          </cell>
          <cell r="K925">
            <v>42</v>
          </cell>
          <cell r="L925">
            <v>32</v>
          </cell>
          <cell r="M925" t="e">
            <v>#N/A</v>
          </cell>
          <cell r="N925">
            <v>37</v>
          </cell>
          <cell r="O925" t="e">
            <v>#N/A</v>
          </cell>
          <cell r="P925" t="str">
            <v/>
          </cell>
          <cell r="Q925" t="str">
            <v/>
          </cell>
          <cell r="R925" t="e">
            <v>#N/A</v>
          </cell>
        </row>
        <row r="926">
          <cell r="A926" t="str">
            <v/>
          </cell>
          <cell r="B926" t="str">
            <v/>
          </cell>
          <cell r="C926" t="str">
            <v>Future</v>
          </cell>
          <cell r="D926" t="e">
            <v>#N/A</v>
          </cell>
          <cell r="E926">
            <v>-15.576996047430683</v>
          </cell>
          <cell r="F926">
            <v>45.347905138340209</v>
          </cell>
          <cell r="G926">
            <v>30.841976284584131</v>
          </cell>
          <cell r="H926">
            <v>30.841976284584131</v>
          </cell>
          <cell r="I926" t="e">
            <v>#N/A</v>
          </cell>
          <cell r="J926" t="e">
            <v>#N/A</v>
          </cell>
          <cell r="K926">
            <v>42</v>
          </cell>
          <cell r="L926">
            <v>32</v>
          </cell>
          <cell r="M926" t="e">
            <v>#N/A</v>
          </cell>
          <cell r="N926">
            <v>37</v>
          </cell>
          <cell r="O926" t="e">
            <v>#N/A</v>
          </cell>
          <cell r="P926" t="str">
            <v/>
          </cell>
          <cell r="Q926" t="str">
            <v/>
          </cell>
          <cell r="R926" t="e">
            <v>#N/A</v>
          </cell>
        </row>
        <row r="927">
          <cell r="A927" t="str">
            <v/>
          </cell>
          <cell r="B927" t="str">
            <v/>
          </cell>
          <cell r="C927" t="str">
            <v>Future</v>
          </cell>
          <cell r="D927" t="e">
            <v>#N/A</v>
          </cell>
          <cell r="E927">
            <v>-15.713636363636216</v>
          </cell>
          <cell r="F927">
            <v>45.377272727273017</v>
          </cell>
          <cell r="G927">
            <v>30.831818181817333</v>
          </cell>
          <cell r="H927">
            <v>30.831818181817333</v>
          </cell>
          <cell r="I927" t="e">
            <v>#N/A</v>
          </cell>
          <cell r="J927" t="e">
            <v>#N/A</v>
          </cell>
          <cell r="K927">
            <v>42</v>
          </cell>
          <cell r="L927">
            <v>32</v>
          </cell>
          <cell r="M927" t="e">
            <v>#N/A</v>
          </cell>
          <cell r="N927">
            <v>37</v>
          </cell>
          <cell r="O927" t="e">
            <v>#N/A</v>
          </cell>
          <cell r="P927" t="str">
            <v/>
          </cell>
          <cell r="Q927" t="str">
            <v/>
          </cell>
          <cell r="R927" t="e">
            <v>#N/A</v>
          </cell>
        </row>
        <row r="928">
          <cell r="A928" t="str">
            <v/>
          </cell>
          <cell r="B928" t="str">
            <v/>
          </cell>
          <cell r="C928" t="str">
            <v>Future</v>
          </cell>
          <cell r="D928" t="e">
            <v>#N/A</v>
          </cell>
          <cell r="E928">
            <v>-15.850276679841748</v>
          </cell>
          <cell r="F928">
            <v>45.406640316205824</v>
          </cell>
          <cell r="G928">
            <v>30.821660079050535</v>
          </cell>
          <cell r="H928">
            <v>30.821660079050535</v>
          </cell>
          <cell r="I928" t="e">
            <v>#N/A</v>
          </cell>
          <cell r="J928" t="e">
            <v>#N/A</v>
          </cell>
          <cell r="K928">
            <v>42</v>
          </cell>
          <cell r="L928">
            <v>32</v>
          </cell>
          <cell r="M928" t="e">
            <v>#N/A</v>
          </cell>
          <cell r="N928">
            <v>37</v>
          </cell>
          <cell r="O928" t="e">
            <v>#N/A</v>
          </cell>
          <cell r="P928" t="str">
            <v/>
          </cell>
          <cell r="Q928" t="str">
            <v/>
          </cell>
          <cell r="R928" t="e">
            <v>#N/A</v>
          </cell>
        </row>
        <row r="929">
          <cell r="A929" t="str">
            <v/>
          </cell>
          <cell r="B929" t="str">
            <v/>
          </cell>
          <cell r="C929" t="str">
            <v>Future</v>
          </cell>
          <cell r="D929" t="e">
            <v>#N/A</v>
          </cell>
          <cell r="E929">
            <v>-15.986916996047281</v>
          </cell>
          <cell r="F929">
            <v>45.436007905138631</v>
          </cell>
          <cell r="G929">
            <v>30.811501976283736</v>
          </cell>
          <cell r="H929">
            <v>30.811501976283736</v>
          </cell>
          <cell r="I929" t="e">
            <v>#N/A</v>
          </cell>
          <cell r="J929" t="e">
            <v>#N/A</v>
          </cell>
          <cell r="K929">
            <v>42</v>
          </cell>
          <cell r="L929">
            <v>32</v>
          </cell>
          <cell r="M929" t="e">
            <v>#N/A</v>
          </cell>
          <cell r="N929">
            <v>37</v>
          </cell>
          <cell r="O929" t="e">
            <v>#N/A</v>
          </cell>
          <cell r="P929" t="str">
            <v/>
          </cell>
          <cell r="Q929" t="str">
            <v/>
          </cell>
          <cell r="R929" t="e">
            <v>#N/A</v>
          </cell>
        </row>
        <row r="930">
          <cell r="A930" t="str">
            <v/>
          </cell>
          <cell r="B930" t="str">
            <v/>
          </cell>
          <cell r="C930" t="str">
            <v>Future</v>
          </cell>
          <cell r="D930" t="e">
            <v>#N/A</v>
          </cell>
          <cell r="E930">
            <v>-16.123557312252814</v>
          </cell>
          <cell r="F930">
            <v>45.465375494071438</v>
          </cell>
          <cell r="G930">
            <v>30.801343873516938</v>
          </cell>
          <cell r="H930">
            <v>30.801343873516938</v>
          </cell>
          <cell r="I930" t="e">
            <v>#N/A</v>
          </cell>
          <cell r="J930" t="e">
            <v>#N/A</v>
          </cell>
          <cell r="K930">
            <v>42</v>
          </cell>
          <cell r="L930">
            <v>32</v>
          </cell>
          <cell r="M930" t="e">
            <v>#N/A</v>
          </cell>
          <cell r="N930">
            <v>37</v>
          </cell>
          <cell r="O930" t="e">
            <v>#N/A</v>
          </cell>
          <cell r="P930" t="str">
            <v/>
          </cell>
          <cell r="Q930" t="str">
            <v/>
          </cell>
          <cell r="R930" t="e">
            <v>#N/A</v>
          </cell>
        </row>
        <row r="931">
          <cell r="A931" t="str">
            <v/>
          </cell>
          <cell r="B931" t="str">
            <v/>
          </cell>
          <cell r="C931" t="str">
            <v>Future</v>
          </cell>
          <cell r="D931" t="e">
            <v>#N/A</v>
          </cell>
          <cell r="E931">
            <v>-16.260197628458346</v>
          </cell>
          <cell r="F931">
            <v>45.494743083004245</v>
          </cell>
          <cell r="G931">
            <v>30.79118577075014</v>
          </cell>
          <cell r="H931">
            <v>30.79118577075014</v>
          </cell>
          <cell r="I931" t="e">
            <v>#N/A</v>
          </cell>
          <cell r="J931" t="e">
            <v>#N/A</v>
          </cell>
          <cell r="K931">
            <v>42</v>
          </cell>
          <cell r="L931">
            <v>32</v>
          </cell>
          <cell r="M931" t="e">
            <v>#N/A</v>
          </cell>
          <cell r="N931">
            <v>37</v>
          </cell>
          <cell r="O931" t="e">
            <v>#N/A</v>
          </cell>
          <cell r="P931" t="str">
            <v/>
          </cell>
          <cell r="Q931" t="str">
            <v/>
          </cell>
          <cell r="R931" t="e">
            <v>#N/A</v>
          </cell>
        </row>
        <row r="932">
          <cell r="A932" t="str">
            <v/>
          </cell>
          <cell r="B932" t="str">
            <v/>
          </cell>
          <cell r="C932" t="str">
            <v>Future</v>
          </cell>
          <cell r="D932" t="e">
            <v>#N/A</v>
          </cell>
          <cell r="E932">
            <v>-16.396837944663879</v>
          </cell>
          <cell r="F932">
            <v>45.524110671937052</v>
          </cell>
          <cell r="G932">
            <v>30.781027667983341</v>
          </cell>
          <cell r="H932">
            <v>30.781027667983341</v>
          </cell>
          <cell r="I932" t="e">
            <v>#N/A</v>
          </cell>
          <cell r="J932" t="e">
            <v>#N/A</v>
          </cell>
          <cell r="K932">
            <v>42</v>
          </cell>
          <cell r="L932">
            <v>32</v>
          </cell>
          <cell r="M932" t="e">
            <v>#N/A</v>
          </cell>
          <cell r="N932">
            <v>37</v>
          </cell>
          <cell r="O932" t="e">
            <v>#N/A</v>
          </cell>
          <cell r="P932" t="str">
            <v/>
          </cell>
          <cell r="Q932" t="str">
            <v/>
          </cell>
          <cell r="R932" t="e">
            <v>#N/A</v>
          </cell>
        </row>
        <row r="933">
          <cell r="A933" t="str">
            <v/>
          </cell>
          <cell r="B933" t="str">
            <v/>
          </cell>
          <cell r="C933" t="str">
            <v>Future</v>
          </cell>
          <cell r="D933" t="e">
            <v>#N/A</v>
          </cell>
          <cell r="E933">
            <v>-16.533478260869412</v>
          </cell>
          <cell r="F933">
            <v>45.553478260869859</v>
          </cell>
          <cell r="G933">
            <v>30.770869565216543</v>
          </cell>
          <cell r="H933">
            <v>30.770869565216543</v>
          </cell>
          <cell r="I933" t="e">
            <v>#N/A</v>
          </cell>
          <cell r="J933" t="e">
            <v>#N/A</v>
          </cell>
          <cell r="K933">
            <v>42</v>
          </cell>
          <cell r="L933">
            <v>32</v>
          </cell>
          <cell r="M933" t="e">
            <v>#N/A</v>
          </cell>
          <cell r="N933">
            <v>37</v>
          </cell>
          <cell r="O933" t="e">
            <v>#N/A</v>
          </cell>
          <cell r="P933" t="str">
            <v/>
          </cell>
          <cell r="Q933" t="str">
            <v/>
          </cell>
          <cell r="R933" t="e">
            <v>#N/A</v>
          </cell>
        </row>
        <row r="934">
          <cell r="A934" t="str">
            <v/>
          </cell>
          <cell r="B934" t="str">
            <v/>
          </cell>
          <cell r="C934" t="str">
            <v>Future</v>
          </cell>
          <cell r="D934" t="e">
            <v>#N/A</v>
          </cell>
          <cell r="E934">
            <v>-16.670118577074945</v>
          </cell>
          <cell r="F934">
            <v>45.582845849802666</v>
          </cell>
          <cell r="G934">
            <v>30.760711462449745</v>
          </cell>
          <cell r="H934">
            <v>30.760711462449745</v>
          </cell>
          <cell r="I934" t="e">
            <v>#N/A</v>
          </cell>
          <cell r="J934" t="e">
            <v>#N/A</v>
          </cell>
          <cell r="K934">
            <v>42</v>
          </cell>
          <cell r="L934">
            <v>32</v>
          </cell>
          <cell r="M934" t="e">
            <v>#N/A</v>
          </cell>
          <cell r="N934">
            <v>37</v>
          </cell>
          <cell r="O934" t="e">
            <v>#N/A</v>
          </cell>
          <cell r="P934" t="str">
            <v/>
          </cell>
          <cell r="Q934" t="str">
            <v/>
          </cell>
          <cell r="R934" t="e">
            <v>#N/A</v>
          </cell>
        </row>
        <row r="935">
          <cell r="A935" t="str">
            <v/>
          </cell>
          <cell r="B935" t="str">
            <v/>
          </cell>
          <cell r="C935" t="str">
            <v>Future</v>
          </cell>
          <cell r="D935" t="e">
            <v>#N/A</v>
          </cell>
          <cell r="E935">
            <v>-16.806758893280477</v>
          </cell>
          <cell r="F935">
            <v>45.612213438735473</v>
          </cell>
          <cell r="G935">
            <v>30.750553359682947</v>
          </cell>
          <cell r="H935">
            <v>30.750553359682947</v>
          </cell>
          <cell r="I935" t="e">
            <v>#N/A</v>
          </cell>
          <cell r="J935" t="e">
            <v>#N/A</v>
          </cell>
          <cell r="K935">
            <v>42</v>
          </cell>
          <cell r="L935">
            <v>32</v>
          </cell>
          <cell r="M935" t="e">
            <v>#N/A</v>
          </cell>
          <cell r="N935">
            <v>37</v>
          </cell>
          <cell r="O935" t="e">
            <v>#N/A</v>
          </cell>
          <cell r="P935" t="str">
            <v/>
          </cell>
          <cell r="Q935" t="str">
            <v/>
          </cell>
          <cell r="R935" t="e">
            <v>#N/A</v>
          </cell>
        </row>
        <row r="936">
          <cell r="A936" t="str">
            <v/>
          </cell>
          <cell r="B936" t="str">
            <v/>
          </cell>
          <cell r="C936" t="str">
            <v>Future</v>
          </cell>
          <cell r="D936" t="e">
            <v>#N/A</v>
          </cell>
          <cell r="E936">
            <v>-16.94339920948601</v>
          </cell>
          <cell r="F936">
            <v>45.641581027668281</v>
          </cell>
          <cell r="G936">
            <v>30.740395256916148</v>
          </cell>
          <cell r="H936">
            <v>30.740395256916148</v>
          </cell>
          <cell r="I936" t="e">
            <v>#N/A</v>
          </cell>
          <cell r="J936" t="e">
            <v>#N/A</v>
          </cell>
          <cell r="K936">
            <v>42</v>
          </cell>
          <cell r="L936">
            <v>32</v>
          </cell>
          <cell r="M936" t="e">
            <v>#N/A</v>
          </cell>
          <cell r="N936">
            <v>37</v>
          </cell>
          <cell r="O936" t="e">
            <v>#N/A</v>
          </cell>
          <cell r="P936" t="str">
            <v/>
          </cell>
          <cell r="Q936" t="str">
            <v/>
          </cell>
          <cell r="R936" t="e">
            <v>#N/A</v>
          </cell>
        </row>
        <row r="937">
          <cell r="A937" t="str">
            <v/>
          </cell>
          <cell r="B937" t="str">
            <v/>
          </cell>
          <cell r="C937" t="str">
            <v>Future</v>
          </cell>
          <cell r="D937" t="e">
            <v>#N/A</v>
          </cell>
          <cell r="E937">
            <v>-17.080039525691543</v>
          </cell>
          <cell r="F937">
            <v>45.670948616601088</v>
          </cell>
          <cell r="G937">
            <v>30.73023715414935</v>
          </cell>
          <cell r="H937">
            <v>30.73023715414935</v>
          </cell>
          <cell r="I937" t="e">
            <v>#N/A</v>
          </cell>
          <cell r="J937" t="e">
            <v>#N/A</v>
          </cell>
          <cell r="K937">
            <v>42</v>
          </cell>
          <cell r="L937">
            <v>32</v>
          </cell>
          <cell r="M937" t="e">
            <v>#N/A</v>
          </cell>
          <cell r="N937">
            <v>37</v>
          </cell>
          <cell r="O937" t="e">
            <v>#N/A</v>
          </cell>
          <cell r="P937" t="str">
            <v/>
          </cell>
          <cell r="Q937" t="str">
            <v/>
          </cell>
          <cell r="R937" t="e">
            <v>#N/A</v>
          </cell>
        </row>
        <row r="938">
          <cell r="A938" t="str">
            <v/>
          </cell>
          <cell r="B938" t="str">
            <v/>
          </cell>
          <cell r="C938" t="str">
            <v>Future</v>
          </cell>
          <cell r="D938" t="e">
            <v>#N/A</v>
          </cell>
          <cell r="E938">
            <v>-17.216679841897076</v>
          </cell>
          <cell r="F938">
            <v>45.700316205533895</v>
          </cell>
          <cell r="G938">
            <v>30.720079051382552</v>
          </cell>
          <cell r="H938">
            <v>30.720079051382552</v>
          </cell>
          <cell r="I938" t="e">
            <v>#N/A</v>
          </cell>
          <cell r="J938" t="e">
            <v>#N/A</v>
          </cell>
          <cell r="K938">
            <v>42</v>
          </cell>
          <cell r="L938">
            <v>32</v>
          </cell>
          <cell r="M938" t="e">
            <v>#N/A</v>
          </cell>
          <cell r="N938">
            <v>37</v>
          </cell>
          <cell r="O938" t="e">
            <v>#N/A</v>
          </cell>
          <cell r="P938" t="str">
            <v/>
          </cell>
          <cell r="Q938" t="str">
            <v/>
          </cell>
          <cell r="R938" t="e">
            <v>#N/A</v>
          </cell>
        </row>
        <row r="939">
          <cell r="A939" t="str">
            <v/>
          </cell>
          <cell r="B939" t="str">
            <v/>
          </cell>
          <cell r="C939" t="str">
            <v>Future</v>
          </cell>
          <cell r="D939" t="e">
            <v>#N/A</v>
          </cell>
          <cell r="E939">
            <v>-17.353320158102608</v>
          </cell>
          <cell r="F939">
            <v>45.729683794466702</v>
          </cell>
          <cell r="G939">
            <v>30.709920948615753</v>
          </cell>
          <cell r="H939">
            <v>30.709920948615753</v>
          </cell>
          <cell r="I939" t="e">
            <v>#N/A</v>
          </cell>
          <cell r="J939" t="e">
            <v>#N/A</v>
          </cell>
          <cell r="K939">
            <v>42</v>
          </cell>
          <cell r="L939">
            <v>32</v>
          </cell>
          <cell r="M939" t="e">
            <v>#N/A</v>
          </cell>
          <cell r="N939">
            <v>37</v>
          </cell>
          <cell r="O939" t="e">
            <v>#N/A</v>
          </cell>
          <cell r="P939" t="str">
            <v/>
          </cell>
          <cell r="Q939" t="str">
            <v/>
          </cell>
          <cell r="R939" t="e">
            <v>#N/A</v>
          </cell>
        </row>
        <row r="940">
          <cell r="A940" t="str">
            <v/>
          </cell>
          <cell r="B940" t="str">
            <v/>
          </cell>
          <cell r="C940" t="str">
            <v>Future</v>
          </cell>
          <cell r="D940" t="e">
            <v>#N/A</v>
          </cell>
          <cell r="E940">
            <v>-17.489960474308141</v>
          </cell>
          <cell r="F940">
            <v>45.759051383399509</v>
          </cell>
          <cell r="G940">
            <v>30.699762845848955</v>
          </cell>
          <cell r="H940">
            <v>30.699762845848955</v>
          </cell>
          <cell r="I940" t="e">
            <v>#N/A</v>
          </cell>
          <cell r="J940" t="e">
            <v>#N/A</v>
          </cell>
          <cell r="K940">
            <v>42</v>
          </cell>
          <cell r="L940">
            <v>32</v>
          </cell>
          <cell r="M940" t="e">
            <v>#N/A</v>
          </cell>
          <cell r="N940">
            <v>37</v>
          </cell>
          <cell r="O940" t="e">
            <v>#N/A</v>
          </cell>
          <cell r="P940" t="str">
            <v/>
          </cell>
          <cell r="Q940" t="str">
            <v/>
          </cell>
          <cell r="R940" t="e">
            <v>#N/A</v>
          </cell>
        </row>
        <row r="941">
          <cell r="A941" t="str">
            <v/>
          </cell>
          <cell r="B941" t="str">
            <v/>
          </cell>
          <cell r="C941" t="str">
            <v>Future</v>
          </cell>
          <cell r="D941" t="e">
            <v>#N/A</v>
          </cell>
          <cell r="E941">
            <v>-17.626600790513674</v>
          </cell>
          <cell r="F941">
            <v>45.788418972332316</v>
          </cell>
          <cell r="G941">
            <v>30.689604743082157</v>
          </cell>
          <cell r="H941">
            <v>30.689604743082157</v>
          </cell>
          <cell r="I941" t="e">
            <v>#N/A</v>
          </cell>
          <cell r="J941" t="e">
            <v>#N/A</v>
          </cell>
          <cell r="K941">
            <v>42</v>
          </cell>
          <cell r="L941">
            <v>32</v>
          </cell>
          <cell r="M941" t="e">
            <v>#N/A</v>
          </cell>
          <cell r="N941">
            <v>37</v>
          </cell>
          <cell r="O941" t="e">
            <v>#N/A</v>
          </cell>
          <cell r="P941" t="str">
            <v/>
          </cell>
          <cell r="Q941" t="str">
            <v/>
          </cell>
          <cell r="R941" t="e">
            <v>#N/A</v>
          </cell>
        </row>
        <row r="942">
          <cell r="A942" t="str">
            <v/>
          </cell>
          <cell r="B942" t="str">
            <v/>
          </cell>
          <cell r="C942" t="str">
            <v>Future</v>
          </cell>
          <cell r="D942" t="e">
            <v>#N/A</v>
          </cell>
          <cell r="E942">
            <v>-17.763241106719207</v>
          </cell>
          <cell r="F942">
            <v>45.817786561265123</v>
          </cell>
          <cell r="G942">
            <v>30.679446640315359</v>
          </cell>
          <cell r="H942">
            <v>30.679446640315359</v>
          </cell>
          <cell r="I942" t="e">
            <v>#N/A</v>
          </cell>
          <cell r="J942" t="e">
            <v>#N/A</v>
          </cell>
          <cell r="K942">
            <v>42</v>
          </cell>
          <cell r="L942">
            <v>32</v>
          </cell>
          <cell r="M942" t="e">
            <v>#N/A</v>
          </cell>
          <cell r="N942">
            <v>37</v>
          </cell>
          <cell r="O942" t="e">
            <v>#N/A</v>
          </cell>
          <cell r="P942" t="str">
            <v/>
          </cell>
          <cell r="Q942" t="str">
            <v/>
          </cell>
          <cell r="R942" t="e">
            <v>#N/A</v>
          </cell>
        </row>
        <row r="943">
          <cell r="A943" t="str">
            <v/>
          </cell>
          <cell r="B943" t="str">
            <v/>
          </cell>
          <cell r="C943" t="str">
            <v>Future</v>
          </cell>
          <cell r="D943" t="e">
            <v>#N/A</v>
          </cell>
          <cell r="E943">
            <v>-17.899881422924739</v>
          </cell>
          <cell r="F943">
            <v>45.84715415019793</v>
          </cell>
          <cell r="G943">
            <v>30.66928853754856</v>
          </cell>
          <cell r="H943">
            <v>30.66928853754856</v>
          </cell>
          <cell r="I943" t="e">
            <v>#N/A</v>
          </cell>
          <cell r="J943" t="e">
            <v>#N/A</v>
          </cell>
          <cell r="K943">
            <v>42</v>
          </cell>
          <cell r="L943">
            <v>32</v>
          </cell>
          <cell r="M943" t="e">
            <v>#N/A</v>
          </cell>
          <cell r="N943">
            <v>37</v>
          </cell>
          <cell r="O943" t="e">
            <v>#N/A</v>
          </cell>
          <cell r="P943" t="str">
            <v/>
          </cell>
          <cell r="Q943" t="str">
            <v/>
          </cell>
          <cell r="R943" t="e">
            <v>#N/A</v>
          </cell>
        </row>
        <row r="944">
          <cell r="A944" t="str">
            <v/>
          </cell>
          <cell r="B944" t="str">
            <v/>
          </cell>
          <cell r="C944" t="str">
            <v>Future</v>
          </cell>
          <cell r="D944" t="e">
            <v>#N/A</v>
          </cell>
          <cell r="E944">
            <v>-18.036521739130272</v>
          </cell>
          <cell r="F944">
            <v>45.876521739130737</v>
          </cell>
          <cell r="G944">
            <v>30.659130434781762</v>
          </cell>
          <cell r="H944">
            <v>30.659130434781762</v>
          </cell>
          <cell r="I944" t="e">
            <v>#N/A</v>
          </cell>
          <cell r="J944" t="e">
            <v>#N/A</v>
          </cell>
          <cell r="K944">
            <v>42</v>
          </cell>
          <cell r="L944">
            <v>32</v>
          </cell>
          <cell r="M944" t="e">
            <v>#N/A</v>
          </cell>
          <cell r="N944">
            <v>37</v>
          </cell>
          <cell r="O944" t="e">
            <v>#N/A</v>
          </cell>
          <cell r="P944" t="str">
            <v/>
          </cell>
          <cell r="Q944" t="str">
            <v/>
          </cell>
          <cell r="R944" t="e">
            <v>#N/A</v>
          </cell>
        </row>
        <row r="945">
          <cell r="A945" t="str">
            <v/>
          </cell>
          <cell r="B945" t="str">
            <v/>
          </cell>
          <cell r="C945" t="str">
            <v>Future</v>
          </cell>
          <cell r="D945" t="e">
            <v>#N/A</v>
          </cell>
          <cell r="E945">
            <v>-18.173162055335805</v>
          </cell>
          <cell r="F945">
            <v>45.905889328063544</v>
          </cell>
          <cell r="G945">
            <v>30.648972332014964</v>
          </cell>
          <cell r="H945">
            <v>30.648972332014964</v>
          </cell>
          <cell r="I945" t="e">
            <v>#N/A</v>
          </cell>
          <cell r="J945" t="e">
            <v>#N/A</v>
          </cell>
          <cell r="K945">
            <v>42</v>
          </cell>
          <cell r="L945">
            <v>32</v>
          </cell>
          <cell r="M945" t="e">
            <v>#N/A</v>
          </cell>
          <cell r="N945">
            <v>37</v>
          </cell>
          <cell r="O945" t="e">
            <v>#N/A</v>
          </cell>
          <cell r="P945" t="str">
            <v/>
          </cell>
          <cell r="Q945" t="str">
            <v/>
          </cell>
          <cell r="R945" t="e">
            <v>#N/A</v>
          </cell>
        </row>
        <row r="946">
          <cell r="A946" t="str">
            <v/>
          </cell>
          <cell r="B946" t="str">
            <v/>
          </cell>
          <cell r="C946" t="str">
            <v>Future</v>
          </cell>
          <cell r="D946" t="e">
            <v>#N/A</v>
          </cell>
          <cell r="E946">
            <v>-18.309802371541338</v>
          </cell>
          <cell r="F946">
            <v>45.935256916996352</v>
          </cell>
          <cell r="G946">
            <v>30.638814229248165</v>
          </cell>
          <cell r="H946">
            <v>30.638814229248165</v>
          </cell>
          <cell r="I946" t="e">
            <v>#N/A</v>
          </cell>
          <cell r="J946" t="e">
            <v>#N/A</v>
          </cell>
          <cell r="K946">
            <v>42</v>
          </cell>
          <cell r="L946">
            <v>32</v>
          </cell>
          <cell r="M946" t="e">
            <v>#N/A</v>
          </cell>
          <cell r="N946">
            <v>37</v>
          </cell>
          <cell r="O946" t="e">
            <v>#N/A</v>
          </cell>
          <cell r="P946" t="str">
            <v/>
          </cell>
          <cell r="Q946" t="str">
            <v/>
          </cell>
          <cell r="R946" t="e">
            <v>#N/A</v>
          </cell>
        </row>
        <row r="947">
          <cell r="A947" t="str">
            <v/>
          </cell>
          <cell r="B947" t="str">
            <v/>
          </cell>
          <cell r="C947" t="str">
            <v>Future</v>
          </cell>
          <cell r="D947" t="e">
            <v>#N/A</v>
          </cell>
          <cell r="E947">
            <v>-18.44644268774687</v>
          </cell>
          <cell r="F947">
            <v>45.964624505929159</v>
          </cell>
          <cell r="G947">
            <v>30.628656126481367</v>
          </cell>
          <cell r="H947">
            <v>30.628656126481367</v>
          </cell>
          <cell r="I947" t="e">
            <v>#N/A</v>
          </cell>
          <cell r="J947" t="e">
            <v>#N/A</v>
          </cell>
          <cell r="K947">
            <v>42</v>
          </cell>
          <cell r="L947">
            <v>32</v>
          </cell>
          <cell r="M947" t="e">
            <v>#N/A</v>
          </cell>
          <cell r="N947">
            <v>37</v>
          </cell>
          <cell r="O947" t="e">
            <v>#N/A</v>
          </cell>
          <cell r="P947" t="str">
            <v/>
          </cell>
          <cell r="Q947" t="str">
            <v/>
          </cell>
          <cell r="R947" t="e">
            <v>#N/A</v>
          </cell>
        </row>
        <row r="948">
          <cell r="A948" t="str">
            <v/>
          </cell>
          <cell r="B948" t="str">
            <v/>
          </cell>
          <cell r="C948" t="str">
            <v>Future</v>
          </cell>
          <cell r="D948" t="e">
            <v>#N/A</v>
          </cell>
          <cell r="E948">
            <v>-18.583083003952403</v>
          </cell>
          <cell r="F948">
            <v>45.993992094861966</v>
          </cell>
          <cell r="G948">
            <v>30.618498023714569</v>
          </cell>
          <cell r="H948">
            <v>30.618498023714569</v>
          </cell>
          <cell r="I948" t="e">
            <v>#N/A</v>
          </cell>
          <cell r="J948" t="e">
            <v>#N/A</v>
          </cell>
          <cell r="K948">
            <v>42</v>
          </cell>
          <cell r="L948">
            <v>32</v>
          </cell>
          <cell r="M948" t="e">
            <v>#N/A</v>
          </cell>
          <cell r="N948">
            <v>37</v>
          </cell>
          <cell r="O948" t="e">
            <v>#N/A</v>
          </cell>
          <cell r="P948" t="str">
            <v/>
          </cell>
          <cell r="Q948" t="str">
            <v/>
          </cell>
          <cell r="R948" t="e">
            <v>#N/A</v>
          </cell>
        </row>
        <row r="949">
          <cell r="A949" t="str">
            <v/>
          </cell>
          <cell r="B949" t="str">
            <v/>
          </cell>
          <cell r="C949" t="str">
            <v>Future</v>
          </cell>
          <cell r="D949" t="e">
            <v>#N/A</v>
          </cell>
          <cell r="E949">
            <v>-18.719723320157936</v>
          </cell>
          <cell r="F949">
            <v>46.023359683794773</v>
          </cell>
          <cell r="G949">
            <v>30.60833992094777</v>
          </cell>
          <cell r="H949">
            <v>30.60833992094777</v>
          </cell>
          <cell r="I949" t="e">
            <v>#N/A</v>
          </cell>
          <cell r="J949" t="e">
            <v>#N/A</v>
          </cell>
          <cell r="K949">
            <v>42</v>
          </cell>
          <cell r="L949">
            <v>32</v>
          </cell>
          <cell r="M949" t="e">
            <v>#N/A</v>
          </cell>
          <cell r="N949">
            <v>37</v>
          </cell>
          <cell r="O949" t="e">
            <v>#N/A</v>
          </cell>
          <cell r="P949" t="str">
            <v/>
          </cell>
          <cell r="Q949" t="str">
            <v/>
          </cell>
          <cell r="R949" t="e">
            <v>#N/A</v>
          </cell>
        </row>
        <row r="950">
          <cell r="A950" t="str">
            <v/>
          </cell>
          <cell r="B950" t="str">
            <v/>
          </cell>
          <cell r="C950" t="str">
            <v>Future</v>
          </cell>
          <cell r="D950" t="e">
            <v>#N/A</v>
          </cell>
          <cell r="E950">
            <v>-18.856363636363469</v>
          </cell>
          <cell r="F950">
            <v>46.05272727272758</v>
          </cell>
          <cell r="G950">
            <v>30.598181818180972</v>
          </cell>
          <cell r="H950">
            <v>30.598181818180972</v>
          </cell>
          <cell r="I950" t="e">
            <v>#N/A</v>
          </cell>
          <cell r="J950" t="e">
            <v>#N/A</v>
          </cell>
          <cell r="K950">
            <v>42</v>
          </cell>
          <cell r="L950">
            <v>32</v>
          </cell>
          <cell r="M950" t="e">
            <v>#N/A</v>
          </cell>
          <cell r="N950">
            <v>37</v>
          </cell>
          <cell r="O950" t="e">
            <v>#N/A</v>
          </cell>
          <cell r="P950" t="str">
            <v/>
          </cell>
          <cell r="Q950" t="str">
            <v/>
          </cell>
          <cell r="R950" t="e">
            <v>#N/A</v>
          </cell>
        </row>
        <row r="951">
          <cell r="A951" t="str">
            <v/>
          </cell>
          <cell r="B951" t="str">
            <v/>
          </cell>
          <cell r="C951" t="str">
            <v>Future</v>
          </cell>
          <cell r="D951" t="e">
            <v>#N/A</v>
          </cell>
          <cell r="E951">
            <v>-18.993003952569001</v>
          </cell>
          <cell r="F951">
            <v>46.082094861660387</v>
          </cell>
          <cell r="G951">
            <v>30.588023715414174</v>
          </cell>
          <cell r="H951">
            <v>30.588023715414174</v>
          </cell>
          <cell r="I951" t="e">
            <v>#N/A</v>
          </cell>
          <cell r="J951" t="e">
            <v>#N/A</v>
          </cell>
          <cell r="K951">
            <v>42</v>
          </cell>
          <cell r="L951">
            <v>32</v>
          </cell>
          <cell r="M951" t="e">
            <v>#N/A</v>
          </cell>
          <cell r="N951">
            <v>37</v>
          </cell>
          <cell r="O951" t="e">
            <v>#N/A</v>
          </cell>
          <cell r="P951" t="str">
            <v/>
          </cell>
          <cell r="Q951" t="str">
            <v/>
          </cell>
          <cell r="R951" t="e">
            <v>#N/A</v>
          </cell>
        </row>
        <row r="952">
          <cell r="A952" t="str">
            <v/>
          </cell>
          <cell r="B952" t="str">
            <v/>
          </cell>
          <cell r="C952" t="str">
            <v>Future</v>
          </cell>
          <cell r="D952" t="e">
            <v>#N/A</v>
          </cell>
          <cell r="E952">
            <v>-19.129644268774534</v>
          </cell>
          <cell r="F952">
            <v>46.111462450593194</v>
          </cell>
          <cell r="G952">
            <v>30.577865612647376</v>
          </cell>
          <cell r="H952">
            <v>30.577865612647376</v>
          </cell>
          <cell r="I952" t="e">
            <v>#N/A</v>
          </cell>
          <cell r="J952" t="e">
            <v>#N/A</v>
          </cell>
          <cell r="K952">
            <v>42</v>
          </cell>
          <cell r="L952">
            <v>32</v>
          </cell>
          <cell r="M952" t="e">
            <v>#N/A</v>
          </cell>
          <cell r="N952">
            <v>37</v>
          </cell>
          <cell r="O952" t="e">
            <v>#N/A</v>
          </cell>
          <cell r="P952" t="str">
            <v/>
          </cell>
          <cell r="Q952" t="str">
            <v/>
          </cell>
          <cell r="R952" t="e">
            <v>#N/A</v>
          </cell>
        </row>
        <row r="953">
          <cell r="A953" t="str">
            <v/>
          </cell>
          <cell r="B953" t="str">
            <v/>
          </cell>
          <cell r="C953" t="str">
            <v>Future</v>
          </cell>
          <cell r="D953" t="e">
            <v>#N/A</v>
          </cell>
          <cell r="E953">
            <v>-19.266284584980067</v>
          </cell>
          <cell r="F953">
            <v>46.140830039526001</v>
          </cell>
          <cell r="G953">
            <v>30.567707509880577</v>
          </cell>
          <cell r="H953">
            <v>30.567707509880577</v>
          </cell>
          <cell r="I953" t="e">
            <v>#N/A</v>
          </cell>
          <cell r="J953" t="e">
            <v>#N/A</v>
          </cell>
          <cell r="K953">
            <v>42</v>
          </cell>
          <cell r="L953">
            <v>32</v>
          </cell>
          <cell r="M953" t="e">
            <v>#N/A</v>
          </cell>
          <cell r="N953">
            <v>37</v>
          </cell>
          <cell r="O953" t="e">
            <v>#N/A</v>
          </cell>
          <cell r="P953" t="str">
            <v/>
          </cell>
          <cell r="Q953" t="str">
            <v/>
          </cell>
          <cell r="R953" t="e">
            <v>#N/A</v>
          </cell>
        </row>
        <row r="954">
          <cell r="A954" t="str">
            <v/>
          </cell>
          <cell r="B954" t="str">
            <v/>
          </cell>
          <cell r="C954" t="str">
            <v>Future</v>
          </cell>
          <cell r="D954" t="e">
            <v>#N/A</v>
          </cell>
          <cell r="E954">
            <v>-19.4029249011856</v>
          </cell>
          <cell r="F954">
            <v>46.170197628458808</v>
          </cell>
          <cell r="G954">
            <v>30.557549407113779</v>
          </cell>
          <cell r="H954">
            <v>30.557549407113779</v>
          </cell>
          <cell r="I954" t="e">
            <v>#N/A</v>
          </cell>
          <cell r="J954" t="e">
            <v>#N/A</v>
          </cell>
          <cell r="K954">
            <v>42</v>
          </cell>
          <cell r="L954">
            <v>32</v>
          </cell>
          <cell r="M954" t="e">
            <v>#N/A</v>
          </cell>
          <cell r="N954">
            <v>37</v>
          </cell>
          <cell r="O954" t="e">
            <v>#N/A</v>
          </cell>
          <cell r="P954" t="str">
            <v/>
          </cell>
          <cell r="Q954" t="str">
            <v/>
          </cell>
          <cell r="R954" t="e">
            <v>#N/A</v>
          </cell>
        </row>
        <row r="955">
          <cell r="A955" t="str">
            <v/>
          </cell>
          <cell r="B955" t="str">
            <v/>
          </cell>
          <cell r="C955" t="str">
            <v>Future</v>
          </cell>
          <cell r="D955" t="e">
            <v>#N/A</v>
          </cell>
          <cell r="E955">
            <v>-19.539565217391132</v>
          </cell>
          <cell r="F955">
            <v>46.199565217391616</v>
          </cell>
          <cell r="G955">
            <v>30.547391304346981</v>
          </cell>
          <cell r="H955">
            <v>30.547391304346981</v>
          </cell>
          <cell r="I955" t="e">
            <v>#N/A</v>
          </cell>
          <cell r="J955" t="e">
            <v>#N/A</v>
          </cell>
          <cell r="K955">
            <v>42</v>
          </cell>
          <cell r="L955">
            <v>32</v>
          </cell>
          <cell r="M955" t="e">
            <v>#N/A</v>
          </cell>
          <cell r="N955">
            <v>37</v>
          </cell>
          <cell r="O955" t="e">
            <v>#N/A</v>
          </cell>
          <cell r="P955" t="str">
            <v/>
          </cell>
          <cell r="Q955" t="str">
            <v/>
          </cell>
          <cell r="R955" t="e">
            <v>#N/A</v>
          </cell>
        </row>
        <row r="956">
          <cell r="A956" t="str">
            <v/>
          </cell>
          <cell r="B956" t="str">
            <v/>
          </cell>
          <cell r="C956" t="str">
            <v>Future</v>
          </cell>
          <cell r="D956" t="e">
            <v>#N/A</v>
          </cell>
          <cell r="E956">
            <v>-19.676205533596665</v>
          </cell>
          <cell r="F956">
            <v>46.228932806324423</v>
          </cell>
          <cell r="G956">
            <v>30.537233201580182</v>
          </cell>
          <cell r="H956">
            <v>30.537233201580182</v>
          </cell>
          <cell r="I956" t="e">
            <v>#N/A</v>
          </cell>
          <cell r="J956" t="e">
            <v>#N/A</v>
          </cell>
          <cell r="K956">
            <v>42</v>
          </cell>
          <cell r="L956">
            <v>32</v>
          </cell>
          <cell r="M956" t="e">
            <v>#N/A</v>
          </cell>
          <cell r="N956">
            <v>37</v>
          </cell>
          <cell r="O956" t="e">
            <v>#N/A</v>
          </cell>
          <cell r="P956" t="str">
            <v/>
          </cell>
          <cell r="Q956" t="str">
            <v/>
          </cell>
          <cell r="R956" t="e">
            <v>#N/A</v>
          </cell>
        </row>
        <row r="957">
          <cell r="A957" t="str">
            <v/>
          </cell>
          <cell r="B957" t="str">
            <v/>
          </cell>
          <cell r="C957" t="str">
            <v>Future</v>
          </cell>
          <cell r="D957" t="e">
            <v>#N/A</v>
          </cell>
          <cell r="E957">
            <v>-19.812845849802198</v>
          </cell>
          <cell r="F957">
            <v>46.25830039525723</v>
          </cell>
          <cell r="G957">
            <v>30.527075098813384</v>
          </cell>
          <cell r="H957">
            <v>30.527075098813384</v>
          </cell>
          <cell r="I957" t="e">
            <v>#N/A</v>
          </cell>
          <cell r="J957" t="e">
            <v>#N/A</v>
          </cell>
          <cell r="K957">
            <v>42</v>
          </cell>
          <cell r="L957">
            <v>32</v>
          </cell>
          <cell r="M957" t="e">
            <v>#N/A</v>
          </cell>
          <cell r="N957">
            <v>37</v>
          </cell>
          <cell r="O957" t="e">
            <v>#N/A</v>
          </cell>
          <cell r="P957" t="str">
            <v/>
          </cell>
          <cell r="Q957" t="str">
            <v/>
          </cell>
          <cell r="R957" t="e">
            <v>#N/A</v>
          </cell>
        </row>
        <row r="958">
          <cell r="A958" t="str">
            <v/>
          </cell>
          <cell r="B958" t="str">
            <v/>
          </cell>
          <cell r="C958" t="str">
            <v>Future</v>
          </cell>
          <cell r="D958" t="e">
            <v>#N/A</v>
          </cell>
          <cell r="E958">
            <v>-19.949486166007731</v>
          </cell>
          <cell r="F958">
            <v>46.287667984190037</v>
          </cell>
          <cell r="G958">
            <v>30.516916996046586</v>
          </cell>
          <cell r="H958">
            <v>30.516916996046586</v>
          </cell>
          <cell r="I958" t="e">
            <v>#N/A</v>
          </cell>
          <cell r="J958" t="e">
            <v>#N/A</v>
          </cell>
          <cell r="K958">
            <v>42</v>
          </cell>
          <cell r="L958">
            <v>32</v>
          </cell>
          <cell r="M958" t="e">
            <v>#N/A</v>
          </cell>
          <cell r="N958">
            <v>37</v>
          </cell>
          <cell r="O958" t="e">
            <v>#N/A</v>
          </cell>
          <cell r="P958" t="str">
            <v/>
          </cell>
          <cell r="Q958" t="str">
            <v/>
          </cell>
          <cell r="R958" t="e">
            <v>#N/A</v>
          </cell>
        </row>
        <row r="959">
          <cell r="A959" t="str">
            <v/>
          </cell>
          <cell r="B959" t="str">
            <v/>
          </cell>
          <cell r="C959" t="str">
            <v>Future</v>
          </cell>
          <cell r="D959" t="e">
            <v>#N/A</v>
          </cell>
          <cell r="E959">
            <v>-20.086126482213263</v>
          </cell>
          <cell r="F959">
            <v>46.317035573122844</v>
          </cell>
          <cell r="G959">
            <v>30.506758893279788</v>
          </cell>
          <cell r="H959">
            <v>30.506758893279788</v>
          </cell>
          <cell r="I959" t="e">
            <v>#N/A</v>
          </cell>
          <cell r="J959" t="e">
            <v>#N/A</v>
          </cell>
          <cell r="K959">
            <v>42</v>
          </cell>
          <cell r="L959">
            <v>32</v>
          </cell>
          <cell r="M959" t="e">
            <v>#N/A</v>
          </cell>
          <cell r="N959">
            <v>37</v>
          </cell>
          <cell r="O959" t="e">
            <v>#N/A</v>
          </cell>
          <cell r="P959" t="str">
            <v/>
          </cell>
          <cell r="Q959" t="str">
            <v/>
          </cell>
          <cell r="R959" t="e">
            <v>#N/A</v>
          </cell>
        </row>
        <row r="960">
          <cell r="A960" t="str">
            <v/>
          </cell>
          <cell r="B960" t="str">
            <v/>
          </cell>
          <cell r="C960" t="str">
            <v>Future</v>
          </cell>
          <cell r="D960" t="e">
            <v>#N/A</v>
          </cell>
          <cell r="E960">
            <v>-20.222766798418796</v>
          </cell>
          <cell r="F960">
            <v>46.346403162055651</v>
          </cell>
          <cell r="G960">
            <v>30.496600790512989</v>
          </cell>
          <cell r="H960">
            <v>30.496600790512989</v>
          </cell>
          <cell r="I960" t="e">
            <v>#N/A</v>
          </cell>
          <cell r="J960" t="e">
            <v>#N/A</v>
          </cell>
          <cell r="K960">
            <v>42</v>
          </cell>
          <cell r="L960">
            <v>32</v>
          </cell>
          <cell r="M960" t="e">
            <v>#N/A</v>
          </cell>
          <cell r="N960">
            <v>37</v>
          </cell>
          <cell r="O960" t="e">
            <v>#N/A</v>
          </cell>
          <cell r="P960" t="str">
            <v/>
          </cell>
          <cell r="Q960" t="str">
            <v/>
          </cell>
          <cell r="R960" t="e">
            <v>#N/A</v>
          </cell>
        </row>
        <row r="961">
          <cell r="A961" t="str">
            <v/>
          </cell>
          <cell r="B961" t="str">
            <v/>
          </cell>
          <cell r="C961" t="str">
            <v>Future</v>
          </cell>
          <cell r="D961" t="e">
            <v>#N/A</v>
          </cell>
          <cell r="E961">
            <v>-20.359407114624329</v>
          </cell>
          <cell r="F961">
            <v>46.375770750988458</v>
          </cell>
          <cell r="G961">
            <v>30.486442687746191</v>
          </cell>
          <cell r="H961">
            <v>30.486442687746191</v>
          </cell>
          <cell r="I961" t="e">
            <v>#N/A</v>
          </cell>
          <cell r="J961" t="e">
            <v>#N/A</v>
          </cell>
          <cell r="K961">
            <v>42</v>
          </cell>
          <cell r="L961">
            <v>32</v>
          </cell>
          <cell r="M961" t="e">
            <v>#N/A</v>
          </cell>
          <cell r="N961">
            <v>37</v>
          </cell>
          <cell r="O961" t="e">
            <v>#N/A</v>
          </cell>
          <cell r="P961" t="str">
            <v/>
          </cell>
          <cell r="Q961" t="str">
            <v/>
          </cell>
          <cell r="R961" t="e">
            <v>#N/A</v>
          </cell>
        </row>
        <row r="962">
          <cell r="A962" t="str">
            <v/>
          </cell>
          <cell r="B962" t="str">
            <v/>
          </cell>
          <cell r="C962" t="str">
            <v>Future</v>
          </cell>
          <cell r="D962" t="e">
            <v>#N/A</v>
          </cell>
          <cell r="E962">
            <v>-20.496047430829861</v>
          </cell>
          <cell r="F962">
            <v>46.405138339921265</v>
          </cell>
          <cell r="G962">
            <v>30.476284584979393</v>
          </cell>
          <cell r="H962">
            <v>30.476284584979393</v>
          </cell>
          <cell r="I962" t="e">
            <v>#N/A</v>
          </cell>
          <cell r="J962" t="e">
            <v>#N/A</v>
          </cell>
          <cell r="K962">
            <v>42</v>
          </cell>
          <cell r="L962">
            <v>32</v>
          </cell>
          <cell r="M962" t="e">
            <v>#N/A</v>
          </cell>
          <cell r="N962">
            <v>37</v>
          </cell>
          <cell r="O962" t="e">
            <v>#N/A</v>
          </cell>
          <cell r="P962" t="str">
            <v/>
          </cell>
          <cell r="Q962" t="str">
            <v/>
          </cell>
          <cell r="R962" t="e">
            <v>#N/A</v>
          </cell>
        </row>
        <row r="963">
          <cell r="A963" t="str">
            <v/>
          </cell>
          <cell r="B963" t="str">
            <v/>
          </cell>
          <cell r="C963" t="str">
            <v>Future</v>
          </cell>
          <cell r="D963" t="e">
            <v>#N/A</v>
          </cell>
          <cell r="E963">
            <v>-20.632687747035394</v>
          </cell>
          <cell r="F963">
            <v>46.434505928854072</v>
          </cell>
          <cell r="G963">
            <v>30.466126482212594</v>
          </cell>
          <cell r="H963">
            <v>30.466126482212594</v>
          </cell>
          <cell r="I963" t="e">
            <v>#N/A</v>
          </cell>
          <cell r="J963" t="e">
            <v>#N/A</v>
          </cell>
          <cell r="K963">
            <v>42</v>
          </cell>
          <cell r="L963">
            <v>32</v>
          </cell>
          <cell r="M963" t="e">
            <v>#N/A</v>
          </cell>
          <cell r="N963">
            <v>37</v>
          </cell>
          <cell r="O963" t="e">
            <v>#N/A</v>
          </cell>
          <cell r="P963" t="str">
            <v/>
          </cell>
          <cell r="Q963" t="str">
            <v/>
          </cell>
          <cell r="R963" t="e">
            <v>#N/A</v>
          </cell>
        </row>
        <row r="964">
          <cell r="A964" t="str">
            <v/>
          </cell>
          <cell r="B964" t="str">
            <v/>
          </cell>
          <cell r="C964" t="str">
            <v>Future</v>
          </cell>
          <cell r="D964" t="e">
            <v>#N/A</v>
          </cell>
          <cell r="E964">
            <v>-20.769328063240927</v>
          </cell>
          <cell r="F964">
            <v>46.46387351778688</v>
          </cell>
          <cell r="G964">
            <v>30.455968379445796</v>
          </cell>
          <cell r="H964">
            <v>30.455968379445796</v>
          </cell>
          <cell r="I964" t="e">
            <v>#N/A</v>
          </cell>
          <cell r="J964" t="e">
            <v>#N/A</v>
          </cell>
          <cell r="K964">
            <v>42</v>
          </cell>
          <cell r="L964">
            <v>32</v>
          </cell>
          <cell r="M964" t="e">
            <v>#N/A</v>
          </cell>
          <cell r="N964">
            <v>37</v>
          </cell>
          <cell r="O964" t="e">
            <v>#N/A</v>
          </cell>
          <cell r="P964" t="str">
            <v/>
          </cell>
          <cell r="Q964" t="str">
            <v/>
          </cell>
          <cell r="R964" t="e">
            <v>#N/A</v>
          </cell>
        </row>
        <row r="965">
          <cell r="A965" t="str">
            <v/>
          </cell>
          <cell r="B965" t="str">
            <v/>
          </cell>
          <cell r="C965" t="str">
            <v>Future</v>
          </cell>
          <cell r="D965" t="e">
            <v>#N/A</v>
          </cell>
          <cell r="E965">
            <v>-20.90596837944646</v>
          </cell>
          <cell r="F965">
            <v>46.493241106719687</v>
          </cell>
          <cell r="G965">
            <v>30.445810276678998</v>
          </cell>
          <cell r="H965">
            <v>30.445810276678998</v>
          </cell>
          <cell r="I965" t="e">
            <v>#N/A</v>
          </cell>
          <cell r="J965" t="e">
            <v>#N/A</v>
          </cell>
          <cell r="K965">
            <v>42</v>
          </cell>
          <cell r="L965">
            <v>32</v>
          </cell>
          <cell r="M965" t="e">
            <v>#N/A</v>
          </cell>
          <cell r="N965">
            <v>37</v>
          </cell>
          <cell r="O965" t="e">
            <v>#N/A</v>
          </cell>
          <cell r="P965" t="str">
            <v/>
          </cell>
          <cell r="Q965" t="str">
            <v/>
          </cell>
          <cell r="R965" t="e">
            <v>#N/A</v>
          </cell>
        </row>
        <row r="966">
          <cell r="A966" t="str">
            <v/>
          </cell>
          <cell r="B966" t="str">
            <v/>
          </cell>
          <cell r="C966" t="str">
            <v>Future</v>
          </cell>
          <cell r="D966" t="e">
            <v>#N/A</v>
          </cell>
          <cell r="E966">
            <v>-21.042608695651992</v>
          </cell>
          <cell r="F966">
            <v>46.522608695652494</v>
          </cell>
          <cell r="G966">
            <v>30.435652173912199</v>
          </cell>
          <cell r="H966">
            <v>30.435652173912199</v>
          </cell>
          <cell r="I966" t="e">
            <v>#N/A</v>
          </cell>
          <cell r="J966" t="e">
            <v>#N/A</v>
          </cell>
          <cell r="K966">
            <v>42</v>
          </cell>
          <cell r="L966">
            <v>32</v>
          </cell>
          <cell r="M966" t="e">
            <v>#N/A</v>
          </cell>
          <cell r="N966">
            <v>37</v>
          </cell>
          <cell r="O966" t="e">
            <v>#N/A</v>
          </cell>
          <cell r="P966" t="str">
            <v/>
          </cell>
          <cell r="Q966" t="str">
            <v/>
          </cell>
          <cell r="R966" t="e">
            <v>#N/A</v>
          </cell>
        </row>
        <row r="967">
          <cell r="A967" t="str">
            <v/>
          </cell>
          <cell r="B967" t="str">
            <v/>
          </cell>
          <cell r="C967" t="str">
            <v>Future</v>
          </cell>
          <cell r="D967" t="e">
            <v>#N/A</v>
          </cell>
          <cell r="E967">
            <v>-21.179249011857525</v>
          </cell>
          <cell r="F967">
            <v>46.551976284585301</v>
          </cell>
          <cell r="G967">
            <v>30.425494071145401</v>
          </cell>
          <cell r="H967">
            <v>30.425494071145401</v>
          </cell>
          <cell r="I967" t="e">
            <v>#N/A</v>
          </cell>
          <cell r="J967" t="e">
            <v>#N/A</v>
          </cell>
          <cell r="K967">
            <v>42</v>
          </cell>
          <cell r="L967">
            <v>32</v>
          </cell>
          <cell r="M967" t="e">
            <v>#N/A</v>
          </cell>
          <cell r="N967">
            <v>37</v>
          </cell>
          <cell r="O967" t="e">
            <v>#N/A</v>
          </cell>
          <cell r="P967" t="str">
            <v/>
          </cell>
          <cell r="Q967" t="str">
            <v/>
          </cell>
          <cell r="R967" t="e">
            <v>#N/A</v>
          </cell>
        </row>
        <row r="968">
          <cell r="A968" t="str">
            <v/>
          </cell>
          <cell r="B968" t="str">
            <v/>
          </cell>
          <cell r="C968" t="str">
            <v>Future</v>
          </cell>
          <cell r="D968" t="e">
            <v>#N/A</v>
          </cell>
          <cell r="E968">
            <v>-21.315889328063058</v>
          </cell>
          <cell r="F968">
            <v>46.581343873518108</v>
          </cell>
          <cell r="G968">
            <v>30.415335968378603</v>
          </cell>
          <cell r="H968">
            <v>30.415335968378603</v>
          </cell>
          <cell r="I968" t="e">
            <v>#N/A</v>
          </cell>
          <cell r="J968" t="e">
            <v>#N/A</v>
          </cell>
          <cell r="K968">
            <v>42</v>
          </cell>
          <cell r="L968">
            <v>32</v>
          </cell>
          <cell r="M968" t="e">
            <v>#N/A</v>
          </cell>
          <cell r="N968">
            <v>37</v>
          </cell>
          <cell r="O968" t="e">
            <v>#N/A</v>
          </cell>
          <cell r="P968" t="str">
            <v/>
          </cell>
          <cell r="Q968" t="str">
            <v/>
          </cell>
          <cell r="R968" t="e">
            <v>#N/A</v>
          </cell>
        </row>
        <row r="969">
          <cell r="A969" t="str">
            <v/>
          </cell>
          <cell r="B969" t="str">
            <v/>
          </cell>
          <cell r="C969" t="str">
            <v>Future</v>
          </cell>
          <cell r="D969" t="e">
            <v>#N/A</v>
          </cell>
          <cell r="E969">
            <v>-21.452529644268591</v>
          </cell>
          <cell r="F969">
            <v>46.610711462450915</v>
          </cell>
          <cell r="G969">
            <v>30.405177865611805</v>
          </cell>
          <cell r="H969">
            <v>30.405177865611805</v>
          </cell>
          <cell r="I969" t="e">
            <v>#N/A</v>
          </cell>
          <cell r="J969" t="e">
            <v>#N/A</v>
          </cell>
          <cell r="K969">
            <v>42</v>
          </cell>
          <cell r="L969">
            <v>32</v>
          </cell>
          <cell r="M969" t="e">
            <v>#N/A</v>
          </cell>
          <cell r="N969">
            <v>37</v>
          </cell>
          <cell r="O969" t="e">
            <v>#N/A</v>
          </cell>
          <cell r="P969" t="str">
            <v/>
          </cell>
          <cell r="Q969" t="str">
            <v/>
          </cell>
          <cell r="R969" t="e">
            <v>#N/A</v>
          </cell>
        </row>
        <row r="970">
          <cell r="A970" t="str">
            <v/>
          </cell>
          <cell r="B970" t="str">
            <v/>
          </cell>
          <cell r="C970" t="str">
            <v>Future</v>
          </cell>
          <cell r="D970" t="e">
            <v>#N/A</v>
          </cell>
          <cell r="E970">
            <v>-21.589169960474123</v>
          </cell>
          <cell r="F970">
            <v>46.640079051383722</v>
          </cell>
          <cell r="G970">
            <v>30.395019762845006</v>
          </cell>
          <cell r="H970">
            <v>30.395019762845006</v>
          </cell>
          <cell r="I970" t="e">
            <v>#N/A</v>
          </cell>
          <cell r="J970" t="e">
            <v>#N/A</v>
          </cell>
          <cell r="K970">
            <v>42</v>
          </cell>
          <cell r="L970">
            <v>32</v>
          </cell>
          <cell r="M970" t="e">
            <v>#N/A</v>
          </cell>
          <cell r="N970">
            <v>37</v>
          </cell>
          <cell r="O970" t="e">
            <v>#N/A</v>
          </cell>
          <cell r="P970" t="str">
            <v/>
          </cell>
          <cell r="Q970" t="str">
            <v/>
          </cell>
          <cell r="R970" t="e">
            <v>#N/A</v>
          </cell>
        </row>
        <row r="971">
          <cell r="A971" t="str">
            <v/>
          </cell>
          <cell r="B971" t="str">
            <v/>
          </cell>
          <cell r="C971" t="str">
            <v>Future</v>
          </cell>
          <cell r="D971" t="e">
            <v>#N/A</v>
          </cell>
          <cell r="E971">
            <v>-21.725810276679656</v>
          </cell>
          <cell r="F971">
            <v>46.669446640316529</v>
          </cell>
          <cell r="G971">
            <v>30.384861660078208</v>
          </cell>
          <cell r="H971">
            <v>30.384861660078208</v>
          </cell>
          <cell r="I971" t="e">
            <v>#N/A</v>
          </cell>
          <cell r="J971" t="e">
            <v>#N/A</v>
          </cell>
          <cell r="K971">
            <v>42</v>
          </cell>
          <cell r="L971">
            <v>32</v>
          </cell>
          <cell r="M971" t="e">
            <v>#N/A</v>
          </cell>
          <cell r="N971">
            <v>37</v>
          </cell>
          <cell r="O971" t="e">
            <v>#N/A</v>
          </cell>
          <cell r="P971" t="str">
            <v/>
          </cell>
          <cell r="Q971" t="str">
            <v/>
          </cell>
          <cell r="R971" t="e">
            <v>#N/A</v>
          </cell>
        </row>
        <row r="972">
          <cell r="A972" t="str">
            <v/>
          </cell>
          <cell r="B972" t="str">
            <v/>
          </cell>
          <cell r="C972" t="str">
            <v>Future</v>
          </cell>
          <cell r="D972" t="e">
            <v>#N/A</v>
          </cell>
          <cell r="E972">
            <v>-21.862450592885189</v>
          </cell>
          <cell r="F972">
            <v>46.698814229249336</v>
          </cell>
          <cell r="G972">
            <v>30.37470355731141</v>
          </cell>
          <cell r="H972">
            <v>30.37470355731141</v>
          </cell>
          <cell r="I972" t="e">
            <v>#N/A</v>
          </cell>
          <cell r="J972" t="e">
            <v>#N/A</v>
          </cell>
          <cell r="K972">
            <v>42</v>
          </cell>
          <cell r="L972">
            <v>32</v>
          </cell>
          <cell r="M972" t="e">
            <v>#N/A</v>
          </cell>
          <cell r="N972">
            <v>37</v>
          </cell>
          <cell r="O972" t="e">
            <v>#N/A</v>
          </cell>
          <cell r="P972" t="str">
            <v/>
          </cell>
          <cell r="Q972" t="str">
            <v/>
          </cell>
          <cell r="R972" t="e">
            <v>#N/A</v>
          </cell>
        </row>
        <row r="973">
          <cell r="A973" t="str">
            <v/>
          </cell>
          <cell r="B973" t="str">
            <v/>
          </cell>
          <cell r="C973" t="str">
            <v>Future</v>
          </cell>
          <cell r="D973" t="e">
            <v>#N/A</v>
          </cell>
          <cell r="E973">
            <v>-21.999090909090722</v>
          </cell>
          <cell r="F973">
            <v>46.728181818182144</v>
          </cell>
          <cell r="G973">
            <v>30.364545454544611</v>
          </cell>
          <cell r="H973">
            <v>30.364545454544611</v>
          </cell>
          <cell r="I973" t="e">
            <v>#N/A</v>
          </cell>
          <cell r="J973" t="e">
            <v>#N/A</v>
          </cell>
          <cell r="K973">
            <v>42</v>
          </cell>
          <cell r="L973">
            <v>32</v>
          </cell>
          <cell r="M973" t="e">
            <v>#N/A</v>
          </cell>
          <cell r="N973">
            <v>37</v>
          </cell>
          <cell r="O973" t="e">
            <v>#N/A</v>
          </cell>
          <cell r="P973" t="str">
            <v/>
          </cell>
          <cell r="Q973" t="str">
            <v/>
          </cell>
          <cell r="R973" t="e">
            <v>#N/A</v>
          </cell>
        </row>
        <row r="974">
          <cell r="A974" t="str">
            <v/>
          </cell>
          <cell r="B974" t="str">
            <v/>
          </cell>
          <cell r="C974" t="str">
            <v>Future</v>
          </cell>
          <cell r="D974" t="e">
            <v>#N/A</v>
          </cell>
          <cell r="E974">
            <v>-22.135731225296254</v>
          </cell>
          <cell r="F974">
            <v>46.757549407114951</v>
          </cell>
          <cell r="G974">
            <v>30.354387351777813</v>
          </cell>
          <cell r="H974">
            <v>30.354387351777813</v>
          </cell>
          <cell r="I974" t="e">
            <v>#N/A</v>
          </cell>
          <cell r="J974" t="e">
            <v>#N/A</v>
          </cell>
          <cell r="K974">
            <v>42</v>
          </cell>
          <cell r="L974">
            <v>32</v>
          </cell>
          <cell r="M974" t="e">
            <v>#N/A</v>
          </cell>
          <cell r="N974">
            <v>37</v>
          </cell>
          <cell r="O974" t="e">
            <v>#N/A</v>
          </cell>
          <cell r="P974" t="str">
            <v/>
          </cell>
          <cell r="Q974" t="str">
            <v/>
          </cell>
          <cell r="R974" t="e">
            <v>#N/A</v>
          </cell>
        </row>
        <row r="975">
          <cell r="A975" t="str">
            <v/>
          </cell>
          <cell r="B975" t="str">
            <v/>
          </cell>
          <cell r="C975" t="str">
            <v>Future</v>
          </cell>
          <cell r="D975" t="e">
            <v>#N/A</v>
          </cell>
          <cell r="E975">
            <v>-22.272371541501787</v>
          </cell>
          <cell r="F975">
            <v>46.786916996047758</v>
          </cell>
          <cell r="G975">
            <v>30.344229249011015</v>
          </cell>
          <cell r="H975">
            <v>30.344229249011015</v>
          </cell>
          <cell r="I975" t="e">
            <v>#N/A</v>
          </cell>
          <cell r="J975" t="e">
            <v>#N/A</v>
          </cell>
          <cell r="K975">
            <v>42</v>
          </cell>
          <cell r="L975">
            <v>32</v>
          </cell>
          <cell r="M975" t="e">
            <v>#N/A</v>
          </cell>
          <cell r="N975">
            <v>37</v>
          </cell>
          <cell r="O975" t="e">
            <v>#N/A</v>
          </cell>
          <cell r="P975" t="str">
            <v/>
          </cell>
          <cell r="Q975" t="str">
            <v/>
          </cell>
          <cell r="R975" t="e">
            <v>#N/A</v>
          </cell>
        </row>
        <row r="976">
          <cell r="A976" t="str">
            <v/>
          </cell>
          <cell r="B976" t="str">
            <v/>
          </cell>
          <cell r="C976" t="str">
            <v>Future</v>
          </cell>
          <cell r="D976" t="e">
            <v>#N/A</v>
          </cell>
          <cell r="E976">
            <v>-22.40901185770732</v>
          </cell>
          <cell r="F976">
            <v>46.816284584980565</v>
          </cell>
          <cell r="G976">
            <v>30.334071146244217</v>
          </cell>
          <cell r="H976">
            <v>30.334071146244217</v>
          </cell>
          <cell r="I976" t="e">
            <v>#N/A</v>
          </cell>
          <cell r="J976" t="e">
            <v>#N/A</v>
          </cell>
          <cell r="K976">
            <v>42</v>
          </cell>
          <cell r="L976">
            <v>32</v>
          </cell>
          <cell r="M976" t="e">
            <v>#N/A</v>
          </cell>
          <cell r="N976">
            <v>37</v>
          </cell>
          <cell r="O976" t="e">
            <v>#N/A</v>
          </cell>
          <cell r="P976" t="str">
            <v/>
          </cell>
          <cell r="Q976" t="str">
            <v/>
          </cell>
          <cell r="R976" t="e">
            <v>#N/A</v>
          </cell>
        </row>
        <row r="977">
          <cell r="A977" t="str">
            <v/>
          </cell>
          <cell r="B977" t="str">
            <v/>
          </cell>
          <cell r="C977" t="str">
            <v>Future</v>
          </cell>
          <cell r="D977" t="e">
            <v>#N/A</v>
          </cell>
          <cell r="E977">
            <v>-22.545652173912853</v>
          </cell>
          <cell r="F977">
            <v>46.845652173913372</v>
          </cell>
          <cell r="G977">
            <v>30.323913043477418</v>
          </cell>
          <cell r="H977">
            <v>30.323913043477418</v>
          </cell>
          <cell r="I977" t="e">
            <v>#N/A</v>
          </cell>
          <cell r="J977" t="e">
            <v>#N/A</v>
          </cell>
          <cell r="K977">
            <v>42</v>
          </cell>
          <cell r="L977">
            <v>32</v>
          </cell>
          <cell r="M977" t="e">
            <v>#N/A</v>
          </cell>
          <cell r="N977">
            <v>37</v>
          </cell>
          <cell r="O977" t="e">
            <v>#N/A</v>
          </cell>
          <cell r="P977" t="str">
            <v/>
          </cell>
          <cell r="Q977" t="str">
            <v/>
          </cell>
          <cell r="R977" t="e">
            <v>#N/A</v>
          </cell>
        </row>
        <row r="978">
          <cell r="A978" t="str">
            <v/>
          </cell>
          <cell r="B978" t="str">
            <v/>
          </cell>
          <cell r="C978" t="str">
            <v>Future</v>
          </cell>
          <cell r="D978" t="e">
            <v>#N/A</v>
          </cell>
          <cell r="E978">
            <v>-22.682292490118385</v>
          </cell>
          <cell r="F978">
            <v>46.875019762846179</v>
          </cell>
          <cell r="G978">
            <v>30.31375494071062</v>
          </cell>
          <cell r="H978">
            <v>30.31375494071062</v>
          </cell>
          <cell r="I978" t="e">
            <v>#N/A</v>
          </cell>
          <cell r="J978" t="e">
            <v>#N/A</v>
          </cell>
          <cell r="K978">
            <v>42</v>
          </cell>
          <cell r="L978">
            <v>32</v>
          </cell>
          <cell r="M978" t="e">
            <v>#N/A</v>
          </cell>
          <cell r="N978">
            <v>37</v>
          </cell>
          <cell r="O978" t="e">
            <v>#N/A</v>
          </cell>
          <cell r="P978" t="str">
            <v/>
          </cell>
          <cell r="Q978" t="str">
            <v/>
          </cell>
          <cell r="R978" t="e">
            <v>#N/A</v>
          </cell>
        </row>
        <row r="979">
          <cell r="A979" t="str">
            <v/>
          </cell>
          <cell r="B979" t="str">
            <v/>
          </cell>
          <cell r="C979" t="str">
            <v>Future</v>
          </cell>
          <cell r="D979" t="e">
            <v>#N/A</v>
          </cell>
          <cell r="E979">
            <v>-22.818932806323918</v>
          </cell>
          <cell r="F979">
            <v>46.904387351778986</v>
          </cell>
          <cell r="G979">
            <v>30.303596837943822</v>
          </cell>
          <cell r="H979">
            <v>30.303596837943822</v>
          </cell>
          <cell r="I979" t="e">
            <v>#N/A</v>
          </cell>
          <cell r="J979" t="e">
            <v>#N/A</v>
          </cell>
          <cell r="K979">
            <v>42</v>
          </cell>
          <cell r="L979">
            <v>32</v>
          </cell>
          <cell r="M979" t="e">
            <v>#N/A</v>
          </cell>
          <cell r="N979">
            <v>37</v>
          </cell>
          <cell r="O979" t="e">
            <v>#N/A</v>
          </cell>
          <cell r="P979" t="str">
            <v/>
          </cell>
          <cell r="Q979" t="str">
            <v/>
          </cell>
          <cell r="R979" t="e">
            <v>#N/A</v>
          </cell>
        </row>
        <row r="980">
          <cell r="A980" t="str">
            <v/>
          </cell>
          <cell r="B980" t="str">
            <v/>
          </cell>
          <cell r="C980" t="str">
            <v>Future</v>
          </cell>
          <cell r="D980" t="e">
            <v>#N/A</v>
          </cell>
          <cell r="E980">
            <v>-22.955573122529451</v>
          </cell>
          <cell r="F980">
            <v>46.933754940711793</v>
          </cell>
          <cell r="G980">
            <v>30.293438735177023</v>
          </cell>
          <cell r="H980">
            <v>30.293438735177023</v>
          </cell>
          <cell r="I980" t="e">
            <v>#N/A</v>
          </cell>
          <cell r="J980" t="e">
            <v>#N/A</v>
          </cell>
          <cell r="K980">
            <v>42</v>
          </cell>
          <cell r="L980">
            <v>32</v>
          </cell>
          <cell r="M980" t="e">
            <v>#N/A</v>
          </cell>
          <cell r="N980">
            <v>37</v>
          </cell>
          <cell r="O980" t="e">
            <v>#N/A</v>
          </cell>
          <cell r="P980" t="str">
            <v/>
          </cell>
          <cell r="Q980" t="str">
            <v/>
          </cell>
          <cell r="R980" t="e">
            <v>#N/A</v>
          </cell>
        </row>
        <row r="981">
          <cell r="A981" t="str">
            <v/>
          </cell>
          <cell r="B981" t="str">
            <v/>
          </cell>
          <cell r="C981" t="str">
            <v>Future</v>
          </cell>
          <cell r="D981" t="e">
            <v>#N/A</v>
          </cell>
          <cell r="E981">
            <v>-23.092213438734984</v>
          </cell>
          <cell r="F981">
            <v>46.9631225296446</v>
          </cell>
          <cell r="G981">
            <v>30.283280632410225</v>
          </cell>
          <cell r="H981">
            <v>30.283280632410225</v>
          </cell>
          <cell r="I981" t="e">
            <v>#N/A</v>
          </cell>
          <cell r="J981" t="e">
            <v>#N/A</v>
          </cell>
          <cell r="K981">
            <v>42</v>
          </cell>
          <cell r="L981">
            <v>32</v>
          </cell>
          <cell r="M981" t="e">
            <v>#N/A</v>
          </cell>
          <cell r="N981">
            <v>37</v>
          </cell>
          <cell r="O981" t="e">
            <v>#N/A</v>
          </cell>
          <cell r="P981" t="str">
            <v/>
          </cell>
          <cell r="Q981" t="str">
            <v/>
          </cell>
          <cell r="R981" t="e">
            <v>#N/A</v>
          </cell>
        </row>
        <row r="982">
          <cell r="A982" t="str">
            <v/>
          </cell>
          <cell r="B982" t="str">
            <v/>
          </cell>
          <cell r="C982" t="str">
            <v>Future</v>
          </cell>
          <cell r="D982" t="e">
            <v>#N/A</v>
          </cell>
          <cell r="E982">
            <v>-23.228853754940516</v>
          </cell>
          <cell r="F982">
            <v>46.992490118577408</v>
          </cell>
          <cell r="G982">
            <v>30.273122529643427</v>
          </cell>
          <cell r="H982">
            <v>30.273122529643427</v>
          </cell>
          <cell r="I982" t="e">
            <v>#N/A</v>
          </cell>
          <cell r="J982" t="e">
            <v>#N/A</v>
          </cell>
          <cell r="K982">
            <v>42</v>
          </cell>
          <cell r="L982">
            <v>32</v>
          </cell>
          <cell r="M982" t="e">
            <v>#N/A</v>
          </cell>
          <cell r="N982">
            <v>37</v>
          </cell>
          <cell r="O982" t="e">
            <v>#N/A</v>
          </cell>
          <cell r="P982" t="str">
            <v/>
          </cell>
          <cell r="Q982" t="str">
            <v/>
          </cell>
          <cell r="R982" t="e">
            <v>#N/A</v>
          </cell>
        </row>
        <row r="983">
          <cell r="A983" t="str">
            <v/>
          </cell>
          <cell r="B983" t="str">
            <v/>
          </cell>
          <cell r="C983" t="str">
            <v>Future</v>
          </cell>
          <cell r="D983" t="e">
            <v>#N/A</v>
          </cell>
          <cell r="E983">
            <v>-23.365494071146049</v>
          </cell>
          <cell r="F983">
            <v>47.021857707510215</v>
          </cell>
          <cell r="G983">
            <v>30.262964426876628</v>
          </cell>
          <cell r="H983">
            <v>30.262964426876628</v>
          </cell>
          <cell r="I983" t="e">
            <v>#N/A</v>
          </cell>
          <cell r="J983" t="e">
            <v>#N/A</v>
          </cell>
          <cell r="K983">
            <v>42</v>
          </cell>
          <cell r="L983">
            <v>32</v>
          </cell>
          <cell r="M983" t="e">
            <v>#N/A</v>
          </cell>
          <cell r="N983">
            <v>37</v>
          </cell>
          <cell r="O983" t="e">
            <v>#N/A</v>
          </cell>
          <cell r="P983" t="str">
            <v/>
          </cell>
          <cell r="Q983" t="str">
            <v/>
          </cell>
          <cell r="R983" t="e">
            <v>#N/A</v>
          </cell>
        </row>
        <row r="984">
          <cell r="A984" t="str">
            <v/>
          </cell>
          <cell r="B984" t="str">
            <v/>
          </cell>
          <cell r="C984" t="str">
            <v>Future</v>
          </cell>
          <cell r="D984" t="e">
            <v>#N/A</v>
          </cell>
          <cell r="E984">
            <v>-23.502134387351582</v>
          </cell>
          <cell r="F984">
            <v>47.051225296443022</v>
          </cell>
          <cell r="G984">
            <v>30.25280632410983</v>
          </cell>
          <cell r="H984">
            <v>30.25280632410983</v>
          </cell>
          <cell r="I984" t="e">
            <v>#N/A</v>
          </cell>
          <cell r="J984" t="e">
            <v>#N/A</v>
          </cell>
          <cell r="K984">
            <v>42</v>
          </cell>
          <cell r="L984">
            <v>32</v>
          </cell>
          <cell r="M984" t="e">
            <v>#N/A</v>
          </cell>
          <cell r="N984">
            <v>37</v>
          </cell>
          <cell r="O984" t="e">
            <v>#N/A</v>
          </cell>
          <cell r="P984" t="str">
            <v/>
          </cell>
          <cell r="Q984" t="str">
            <v/>
          </cell>
          <cell r="R984" t="e">
            <v>#N/A</v>
          </cell>
        </row>
        <row r="985">
          <cell r="A985" t="str">
            <v/>
          </cell>
          <cell r="B985" t="str">
            <v/>
          </cell>
          <cell r="C985" t="str">
            <v>Future</v>
          </cell>
          <cell r="D985" t="e">
            <v>#N/A</v>
          </cell>
          <cell r="E985">
            <v>-23.638774703557115</v>
          </cell>
          <cell r="F985">
            <v>47.080592885375829</v>
          </cell>
          <cell r="G985">
            <v>30.242648221343032</v>
          </cell>
          <cell r="H985">
            <v>30.242648221343032</v>
          </cell>
          <cell r="I985" t="e">
            <v>#N/A</v>
          </cell>
          <cell r="J985" t="e">
            <v>#N/A</v>
          </cell>
          <cell r="K985">
            <v>42</v>
          </cell>
          <cell r="L985">
            <v>32</v>
          </cell>
          <cell r="M985" t="e">
            <v>#N/A</v>
          </cell>
          <cell r="N985">
            <v>37</v>
          </cell>
          <cell r="O985" t="e">
            <v>#N/A</v>
          </cell>
          <cell r="P985" t="str">
            <v/>
          </cell>
          <cell r="Q985" t="str">
            <v/>
          </cell>
          <cell r="R985" t="e">
            <v>#N/A</v>
          </cell>
        </row>
        <row r="986">
          <cell r="A986" t="str">
            <v/>
          </cell>
          <cell r="B986" t="str">
            <v/>
          </cell>
          <cell r="C986" t="str">
            <v>Future</v>
          </cell>
          <cell r="D986" t="e">
            <v>#N/A</v>
          </cell>
          <cell r="E986">
            <v>-23.775415019762647</v>
          </cell>
          <cell r="F986">
            <v>47.109960474308636</v>
          </cell>
          <cell r="G986">
            <v>30.232490118576234</v>
          </cell>
          <cell r="H986">
            <v>30.232490118576234</v>
          </cell>
          <cell r="I986" t="e">
            <v>#N/A</v>
          </cell>
          <cell r="J986" t="e">
            <v>#N/A</v>
          </cell>
          <cell r="K986">
            <v>42</v>
          </cell>
          <cell r="L986">
            <v>32</v>
          </cell>
          <cell r="M986" t="e">
            <v>#N/A</v>
          </cell>
          <cell r="N986">
            <v>37</v>
          </cell>
          <cell r="O986" t="e">
            <v>#N/A</v>
          </cell>
          <cell r="P986" t="str">
            <v/>
          </cell>
          <cell r="Q986" t="str">
            <v/>
          </cell>
          <cell r="R986" t="e">
            <v>#N/A</v>
          </cell>
        </row>
        <row r="987">
          <cell r="A987" t="str">
            <v/>
          </cell>
          <cell r="B987" t="str">
            <v/>
          </cell>
          <cell r="C987" t="str">
            <v>Future</v>
          </cell>
          <cell r="D987" t="e">
            <v>#N/A</v>
          </cell>
          <cell r="E987">
            <v>-23.91205533596818</v>
          </cell>
          <cell r="F987">
            <v>47.139328063241443</v>
          </cell>
          <cell r="G987">
            <v>30.222332015809435</v>
          </cell>
          <cell r="H987">
            <v>30.222332015809435</v>
          </cell>
          <cell r="I987" t="e">
            <v>#N/A</v>
          </cell>
          <cell r="J987" t="e">
            <v>#N/A</v>
          </cell>
          <cell r="K987">
            <v>42</v>
          </cell>
          <cell r="L987">
            <v>32</v>
          </cell>
          <cell r="M987" t="e">
            <v>#N/A</v>
          </cell>
          <cell r="N987">
            <v>37</v>
          </cell>
          <cell r="O987" t="e">
            <v>#N/A</v>
          </cell>
          <cell r="P987" t="str">
            <v/>
          </cell>
          <cell r="Q987" t="str">
            <v/>
          </cell>
          <cell r="R987" t="e">
            <v>#N/A</v>
          </cell>
        </row>
        <row r="988">
          <cell r="A988" t="str">
            <v/>
          </cell>
          <cell r="B988" t="str">
            <v/>
          </cell>
          <cell r="C988" t="str">
            <v>Future</v>
          </cell>
          <cell r="D988" t="e">
            <v>#N/A</v>
          </cell>
          <cell r="E988">
            <v>-24.048695652173713</v>
          </cell>
          <cell r="F988">
            <v>47.16869565217425</v>
          </cell>
          <cell r="G988">
            <v>30.212173913042637</v>
          </cell>
          <cell r="H988">
            <v>30.212173913042637</v>
          </cell>
          <cell r="I988" t="e">
            <v>#N/A</v>
          </cell>
          <cell r="J988" t="e">
            <v>#N/A</v>
          </cell>
          <cell r="K988">
            <v>42</v>
          </cell>
          <cell r="L988">
            <v>32</v>
          </cell>
          <cell r="M988" t="e">
            <v>#N/A</v>
          </cell>
          <cell r="N988">
            <v>37</v>
          </cell>
          <cell r="O988" t="e">
            <v>#N/A</v>
          </cell>
          <cell r="P988" t="str">
            <v/>
          </cell>
          <cell r="Q988" t="str">
            <v/>
          </cell>
          <cell r="R988" t="e">
            <v>#N/A</v>
          </cell>
        </row>
        <row r="989">
          <cell r="A989" t="str">
            <v/>
          </cell>
          <cell r="B989" t="str">
            <v/>
          </cell>
          <cell r="C989" t="str">
            <v>Future</v>
          </cell>
          <cell r="D989" t="e">
            <v>#N/A</v>
          </cell>
          <cell r="E989">
            <v>-24.185335968379245</v>
          </cell>
          <cell r="F989">
            <v>47.198063241107057</v>
          </cell>
          <cell r="G989">
            <v>30.202015810275839</v>
          </cell>
          <cell r="H989">
            <v>30.202015810275839</v>
          </cell>
          <cell r="I989" t="e">
            <v>#N/A</v>
          </cell>
          <cell r="J989" t="e">
            <v>#N/A</v>
          </cell>
          <cell r="K989">
            <v>42</v>
          </cell>
          <cell r="L989">
            <v>32</v>
          </cell>
          <cell r="M989" t="e">
            <v>#N/A</v>
          </cell>
          <cell r="N989">
            <v>37</v>
          </cell>
          <cell r="O989" t="e">
            <v>#N/A</v>
          </cell>
          <cell r="P989" t="str">
            <v/>
          </cell>
          <cell r="Q989" t="str">
            <v/>
          </cell>
          <cell r="R989" t="e">
            <v>#N/A</v>
          </cell>
        </row>
        <row r="990">
          <cell r="A990" t="str">
            <v/>
          </cell>
          <cell r="B990" t="str">
            <v/>
          </cell>
          <cell r="C990" t="str">
            <v>Future</v>
          </cell>
          <cell r="D990" t="e">
            <v>#N/A</v>
          </cell>
          <cell r="E990">
            <v>-24.321976284584778</v>
          </cell>
          <cell r="F990">
            <v>47.227430830039864</v>
          </cell>
          <cell r="G990">
            <v>30.19185770750904</v>
          </cell>
          <cell r="H990">
            <v>30.19185770750904</v>
          </cell>
          <cell r="I990" t="e">
            <v>#N/A</v>
          </cell>
          <cell r="J990" t="e">
            <v>#N/A</v>
          </cell>
          <cell r="K990">
            <v>42</v>
          </cell>
          <cell r="L990">
            <v>32</v>
          </cell>
          <cell r="M990" t="e">
            <v>#N/A</v>
          </cell>
          <cell r="N990">
            <v>37</v>
          </cell>
          <cell r="O990" t="e">
            <v>#N/A</v>
          </cell>
          <cell r="P990" t="str">
            <v/>
          </cell>
          <cell r="Q990" t="str">
            <v/>
          </cell>
          <cell r="R990" t="e">
            <v>#N/A</v>
          </cell>
        </row>
        <row r="991">
          <cell r="A991" t="str">
            <v/>
          </cell>
          <cell r="B991" t="str">
            <v/>
          </cell>
          <cell r="C991" t="str">
            <v>Future</v>
          </cell>
          <cell r="D991" t="e">
            <v>#N/A</v>
          </cell>
          <cell r="E991">
            <v>-24.458616600790311</v>
          </cell>
          <cell r="F991">
            <v>47.256798418972672</v>
          </cell>
          <cell r="G991">
            <v>30.181699604742242</v>
          </cell>
          <cell r="H991">
            <v>30.181699604742242</v>
          </cell>
          <cell r="I991" t="e">
            <v>#N/A</v>
          </cell>
          <cell r="J991" t="e">
            <v>#N/A</v>
          </cell>
          <cell r="K991">
            <v>42</v>
          </cell>
          <cell r="L991">
            <v>32</v>
          </cell>
          <cell r="M991" t="e">
            <v>#N/A</v>
          </cell>
          <cell r="N991">
            <v>37</v>
          </cell>
          <cell r="O991" t="e">
            <v>#N/A</v>
          </cell>
          <cell r="P991" t="str">
            <v/>
          </cell>
          <cell r="Q991" t="str">
            <v/>
          </cell>
          <cell r="R991" t="e">
            <v>#N/A</v>
          </cell>
        </row>
        <row r="992">
          <cell r="A992" t="str">
            <v/>
          </cell>
          <cell r="B992" t="str">
            <v/>
          </cell>
          <cell r="C992" t="str">
            <v>Future</v>
          </cell>
          <cell r="D992" t="e">
            <v>#N/A</v>
          </cell>
          <cell r="E992">
            <v>-24.595256916995844</v>
          </cell>
          <cell r="F992">
            <v>47.286166007905479</v>
          </cell>
          <cell r="G992">
            <v>30.171541501975444</v>
          </cell>
          <cell r="H992">
            <v>30.171541501975444</v>
          </cell>
          <cell r="I992" t="e">
            <v>#N/A</v>
          </cell>
          <cell r="J992" t="e">
            <v>#N/A</v>
          </cell>
          <cell r="K992">
            <v>42</v>
          </cell>
          <cell r="L992">
            <v>32</v>
          </cell>
          <cell r="M992" t="e">
            <v>#N/A</v>
          </cell>
          <cell r="N992">
            <v>37</v>
          </cell>
          <cell r="O992" t="e">
            <v>#N/A</v>
          </cell>
          <cell r="P992" t="str">
            <v/>
          </cell>
          <cell r="Q992" t="str">
            <v/>
          </cell>
          <cell r="R992" t="e">
            <v>#N/A</v>
          </cell>
        </row>
        <row r="993">
          <cell r="A993" t="str">
            <v/>
          </cell>
          <cell r="B993" t="str">
            <v/>
          </cell>
          <cell r="C993" t="str">
            <v>Future</v>
          </cell>
          <cell r="D993" t="e">
            <v>#N/A</v>
          </cell>
          <cell r="E993">
            <v>-24.731897233201376</v>
          </cell>
          <cell r="F993">
            <v>47.315533596838286</v>
          </cell>
          <cell r="G993">
            <v>30.161383399208646</v>
          </cell>
          <cell r="H993">
            <v>30.161383399208646</v>
          </cell>
          <cell r="I993" t="e">
            <v>#N/A</v>
          </cell>
          <cell r="J993" t="e">
            <v>#N/A</v>
          </cell>
          <cell r="K993">
            <v>42</v>
          </cell>
          <cell r="L993">
            <v>32</v>
          </cell>
          <cell r="M993" t="e">
            <v>#N/A</v>
          </cell>
          <cell r="N993">
            <v>37</v>
          </cell>
          <cell r="O993" t="e">
            <v>#N/A</v>
          </cell>
          <cell r="P993" t="str">
            <v/>
          </cell>
          <cell r="Q993" t="str">
            <v/>
          </cell>
          <cell r="R993" t="e">
            <v>#N/A</v>
          </cell>
        </row>
        <row r="994">
          <cell r="A994" t="str">
            <v/>
          </cell>
          <cell r="B994" t="str">
            <v/>
          </cell>
          <cell r="C994" t="str">
            <v>Future</v>
          </cell>
          <cell r="D994" t="e">
            <v>#N/A</v>
          </cell>
          <cell r="E994">
            <v>-24.868537549406909</v>
          </cell>
          <cell r="F994">
            <v>47.344901185771093</v>
          </cell>
          <cell r="G994">
            <v>30.151225296441847</v>
          </cell>
          <cell r="H994">
            <v>30.151225296441847</v>
          </cell>
          <cell r="I994" t="e">
            <v>#N/A</v>
          </cell>
          <cell r="J994" t="e">
            <v>#N/A</v>
          </cell>
          <cell r="K994">
            <v>42</v>
          </cell>
          <cell r="L994">
            <v>32</v>
          </cell>
          <cell r="M994" t="e">
            <v>#N/A</v>
          </cell>
          <cell r="N994">
            <v>37</v>
          </cell>
          <cell r="O994" t="e">
            <v>#N/A</v>
          </cell>
          <cell r="P994" t="str">
            <v/>
          </cell>
          <cell r="Q994" t="str">
            <v/>
          </cell>
          <cell r="R994" t="e">
            <v>#N/A</v>
          </cell>
        </row>
        <row r="995">
          <cell r="A995" t="str">
            <v/>
          </cell>
          <cell r="B995" t="str">
            <v/>
          </cell>
          <cell r="C995" t="str">
            <v>Future</v>
          </cell>
          <cell r="D995" t="e">
            <v>#N/A</v>
          </cell>
          <cell r="E995">
            <v>-25.005177865612442</v>
          </cell>
          <cell r="F995">
            <v>47.3742687747039</v>
          </cell>
          <cell r="G995">
            <v>30.141067193675049</v>
          </cell>
          <cell r="H995">
            <v>30.141067193675049</v>
          </cell>
          <cell r="I995" t="e">
            <v>#N/A</v>
          </cell>
          <cell r="J995" t="e">
            <v>#N/A</v>
          </cell>
          <cell r="K995">
            <v>42</v>
          </cell>
          <cell r="L995">
            <v>32</v>
          </cell>
          <cell r="M995" t="e">
            <v>#N/A</v>
          </cell>
          <cell r="N995">
            <v>37</v>
          </cell>
          <cell r="O995" t="e">
            <v>#N/A</v>
          </cell>
          <cell r="P995" t="str">
            <v/>
          </cell>
          <cell r="Q995" t="str">
            <v/>
          </cell>
          <cell r="R995" t="e">
            <v>#N/A</v>
          </cell>
        </row>
        <row r="996">
          <cell r="A996" t="str">
            <v/>
          </cell>
          <cell r="B996" t="str">
            <v/>
          </cell>
          <cell r="C996" t="str">
            <v>Future</v>
          </cell>
          <cell r="D996" t="e">
            <v>#N/A</v>
          </cell>
          <cell r="E996">
            <v>-25.141818181817975</v>
          </cell>
          <cell r="F996">
            <v>47.403636363636707</v>
          </cell>
          <cell r="G996">
            <v>30.130909090908251</v>
          </cell>
          <cell r="H996">
            <v>30.130909090908251</v>
          </cell>
          <cell r="I996" t="e">
            <v>#N/A</v>
          </cell>
          <cell r="J996" t="e">
            <v>#N/A</v>
          </cell>
          <cell r="K996">
            <v>42</v>
          </cell>
          <cell r="L996">
            <v>32</v>
          </cell>
          <cell r="M996" t="e">
            <v>#N/A</v>
          </cell>
          <cell r="N996">
            <v>37</v>
          </cell>
          <cell r="O996" t="e">
            <v>#N/A</v>
          </cell>
          <cell r="P996" t="str">
            <v/>
          </cell>
          <cell r="Q996" t="str">
            <v/>
          </cell>
          <cell r="R996" t="e">
            <v>#N/A</v>
          </cell>
        </row>
        <row r="997">
          <cell r="A997" t="str">
            <v/>
          </cell>
          <cell r="B997" t="str">
            <v/>
          </cell>
          <cell r="C997" t="str">
            <v>Future</v>
          </cell>
          <cell r="D997" t="e">
            <v>#N/A</v>
          </cell>
          <cell r="E997">
            <v>-25.278458498023507</v>
          </cell>
          <cell r="F997">
            <v>47.433003952569514</v>
          </cell>
          <cell r="G997">
            <v>30.120750988141452</v>
          </cell>
          <cell r="H997">
            <v>30.120750988141452</v>
          </cell>
          <cell r="I997" t="e">
            <v>#N/A</v>
          </cell>
          <cell r="J997" t="e">
            <v>#N/A</v>
          </cell>
          <cell r="K997">
            <v>42</v>
          </cell>
          <cell r="L997">
            <v>32</v>
          </cell>
          <cell r="M997" t="e">
            <v>#N/A</v>
          </cell>
          <cell r="N997">
            <v>37</v>
          </cell>
          <cell r="O997" t="e">
            <v>#N/A</v>
          </cell>
          <cell r="P997" t="str">
            <v/>
          </cell>
          <cell r="Q997" t="str">
            <v/>
          </cell>
          <cell r="R997" t="e">
            <v>#N/A</v>
          </cell>
        </row>
        <row r="998">
          <cell r="A998" t="str">
            <v/>
          </cell>
          <cell r="B998" t="str">
            <v/>
          </cell>
          <cell r="C998" t="str">
            <v>Future</v>
          </cell>
          <cell r="D998" t="e">
            <v>#N/A</v>
          </cell>
          <cell r="E998">
            <v>-25.41509881422904</v>
          </cell>
          <cell r="F998">
            <v>47.462371541502321</v>
          </cell>
          <cell r="G998">
            <v>30.110592885374654</v>
          </cell>
          <cell r="H998">
            <v>30.110592885374654</v>
          </cell>
          <cell r="I998" t="e">
            <v>#N/A</v>
          </cell>
          <cell r="J998" t="e">
            <v>#N/A</v>
          </cell>
          <cell r="K998">
            <v>42</v>
          </cell>
          <cell r="L998">
            <v>32</v>
          </cell>
          <cell r="M998" t="e">
            <v>#N/A</v>
          </cell>
          <cell r="N998">
            <v>37</v>
          </cell>
          <cell r="O998" t="e">
            <v>#N/A</v>
          </cell>
          <cell r="P998" t="str">
            <v/>
          </cell>
          <cell r="Q998" t="str">
            <v/>
          </cell>
          <cell r="R998" t="e">
            <v>#N/A</v>
          </cell>
        </row>
        <row r="999">
          <cell r="A999" t="str">
            <v/>
          </cell>
          <cell r="B999" t="str">
            <v/>
          </cell>
          <cell r="C999" t="str">
            <v>Future</v>
          </cell>
          <cell r="D999" t="e">
            <v>#N/A</v>
          </cell>
          <cell r="E999">
            <v>-25.551739130434573</v>
          </cell>
          <cell r="F999">
            <v>47.491739130435128</v>
          </cell>
          <cell r="G999">
            <v>30.100434782607856</v>
          </cell>
          <cell r="H999">
            <v>30.100434782607856</v>
          </cell>
          <cell r="I999" t="e">
            <v>#N/A</v>
          </cell>
          <cell r="J999" t="e">
            <v>#N/A</v>
          </cell>
          <cell r="K999">
            <v>42</v>
          </cell>
          <cell r="L999">
            <v>32</v>
          </cell>
          <cell r="M999" t="e">
            <v>#N/A</v>
          </cell>
          <cell r="N999">
            <v>37</v>
          </cell>
          <cell r="O999" t="e">
            <v>#N/A</v>
          </cell>
          <cell r="P999" t="str">
            <v/>
          </cell>
          <cell r="Q999" t="str">
            <v/>
          </cell>
          <cell r="R999" t="e">
            <v>#N/A</v>
          </cell>
        </row>
        <row r="1000">
          <cell r="A1000" t="str">
            <v/>
          </cell>
          <cell r="B1000" t="str">
            <v/>
          </cell>
          <cell r="C1000" t="str">
            <v>Future</v>
          </cell>
          <cell r="D1000" t="e">
            <v>#N/A</v>
          </cell>
          <cell r="E1000">
            <v>-25.688379446640106</v>
          </cell>
          <cell r="F1000">
            <v>47.521106719367936</v>
          </cell>
          <cell r="G1000">
            <v>30.090276679841057</v>
          </cell>
          <cell r="H1000">
            <v>30.090276679841057</v>
          </cell>
          <cell r="I1000" t="e">
            <v>#N/A</v>
          </cell>
          <cell r="J1000" t="e">
            <v>#N/A</v>
          </cell>
          <cell r="K1000">
            <v>42</v>
          </cell>
          <cell r="L1000">
            <v>32</v>
          </cell>
          <cell r="M1000" t="e">
            <v>#N/A</v>
          </cell>
          <cell r="N1000">
            <v>37</v>
          </cell>
          <cell r="O1000" t="e">
            <v>#N/A</v>
          </cell>
          <cell r="P1000" t="str">
            <v/>
          </cell>
          <cell r="Q1000" t="str">
            <v/>
          </cell>
          <cell r="R1000" t="e">
            <v>#N/A</v>
          </cell>
        </row>
        <row r="1001">
          <cell r="A1001" t="str">
            <v/>
          </cell>
          <cell r="B1001" t="str">
            <v/>
          </cell>
          <cell r="C1001" t="str">
            <v>Future</v>
          </cell>
          <cell r="D1001" t="e">
            <v>#N/A</v>
          </cell>
          <cell r="E1001">
            <v>-25.825019762845638</v>
          </cell>
          <cell r="F1001">
            <v>47.550474308300743</v>
          </cell>
          <cell r="G1001">
            <v>30.080118577074259</v>
          </cell>
          <cell r="H1001">
            <v>30.080118577074259</v>
          </cell>
          <cell r="I1001" t="e">
            <v>#N/A</v>
          </cell>
          <cell r="J1001" t="e">
            <v>#N/A</v>
          </cell>
          <cell r="K1001">
            <v>42</v>
          </cell>
          <cell r="L1001">
            <v>32</v>
          </cell>
          <cell r="M1001" t="e">
            <v>#N/A</v>
          </cell>
          <cell r="N1001">
            <v>37</v>
          </cell>
          <cell r="O1001" t="e">
            <v>#N/A</v>
          </cell>
          <cell r="P1001" t="str">
            <v/>
          </cell>
          <cell r="Q1001" t="str">
            <v/>
          </cell>
          <cell r="R1001" t="e">
            <v>#N/A</v>
          </cell>
        </row>
        <row r="1002">
          <cell r="A1002" t="str">
            <v/>
          </cell>
          <cell r="B1002" t="str">
            <v/>
          </cell>
          <cell r="C1002" t="str">
            <v>Future</v>
          </cell>
          <cell r="D1002" t="e">
            <v>#N/A</v>
          </cell>
          <cell r="E1002">
            <v>-25.961660079051171</v>
          </cell>
          <cell r="F1002">
            <v>47.57984189723355</v>
          </cell>
          <cell r="G1002">
            <v>30.069960474307461</v>
          </cell>
          <cell r="H1002">
            <v>30.069960474307461</v>
          </cell>
          <cell r="I1002" t="e">
            <v>#N/A</v>
          </cell>
          <cell r="J1002" t="e">
            <v>#N/A</v>
          </cell>
          <cell r="K1002">
            <v>42</v>
          </cell>
          <cell r="L1002">
            <v>32</v>
          </cell>
          <cell r="M1002" t="e">
            <v>#N/A</v>
          </cell>
          <cell r="N1002">
            <v>37</v>
          </cell>
          <cell r="O1002" t="e">
            <v>#N/A</v>
          </cell>
          <cell r="P1002" t="str">
            <v/>
          </cell>
          <cell r="Q1002" t="str">
            <v/>
          </cell>
          <cell r="R1002" t="e">
            <v>#N/A</v>
          </cell>
        </row>
        <row r="1003">
          <cell r="A1003" t="str">
            <v/>
          </cell>
          <cell r="B1003" t="str">
            <v/>
          </cell>
          <cell r="C1003" t="str">
            <v>Future</v>
          </cell>
          <cell r="D1003" t="e">
            <v>#N/A</v>
          </cell>
          <cell r="E1003">
            <v>-26.098300395256704</v>
          </cell>
          <cell r="F1003">
            <v>47.609209486166357</v>
          </cell>
          <cell r="G1003">
            <v>30.059802371540663</v>
          </cell>
          <cell r="H1003">
            <v>30.059802371540663</v>
          </cell>
          <cell r="I1003" t="e">
            <v>#N/A</v>
          </cell>
          <cell r="J1003" t="e">
            <v>#N/A</v>
          </cell>
          <cell r="K1003">
            <v>42</v>
          </cell>
          <cell r="L1003">
            <v>32</v>
          </cell>
          <cell r="M1003" t="e">
            <v>#N/A</v>
          </cell>
          <cell r="N1003">
            <v>37</v>
          </cell>
          <cell r="O1003" t="e">
            <v>#N/A</v>
          </cell>
          <cell r="P1003" t="str">
            <v/>
          </cell>
          <cell r="Q1003" t="str">
            <v/>
          </cell>
          <cell r="R1003" t="e">
            <v>#N/A</v>
          </cell>
        </row>
        <row r="1004">
          <cell r="A1004" t="str">
            <v/>
          </cell>
          <cell r="B1004" t="str">
            <v/>
          </cell>
          <cell r="C1004" t="str">
            <v>Future</v>
          </cell>
          <cell r="D1004" t="e">
            <v>#N/A</v>
          </cell>
          <cell r="E1004">
            <v>-26.234940711462237</v>
          </cell>
          <cell r="F1004">
            <v>47.638577075099164</v>
          </cell>
          <cell r="G1004">
            <v>30.049644268773864</v>
          </cell>
          <cell r="H1004">
            <v>30.049644268773864</v>
          </cell>
          <cell r="I1004" t="e">
            <v>#N/A</v>
          </cell>
          <cell r="J1004" t="e">
            <v>#N/A</v>
          </cell>
          <cell r="K1004">
            <v>42</v>
          </cell>
          <cell r="L1004">
            <v>32</v>
          </cell>
          <cell r="M1004" t="e">
            <v>#N/A</v>
          </cell>
          <cell r="N1004">
            <v>37</v>
          </cell>
          <cell r="O1004" t="e">
            <v>#N/A</v>
          </cell>
          <cell r="P1004" t="str">
            <v/>
          </cell>
          <cell r="Q1004" t="str">
            <v/>
          </cell>
          <cell r="R1004" t="e">
            <v>#N/A</v>
          </cell>
        </row>
        <row r="1005">
          <cell r="A1005" t="str">
            <v/>
          </cell>
          <cell r="B1005" t="str">
            <v/>
          </cell>
          <cell r="C1005" t="str">
            <v>Future</v>
          </cell>
          <cell r="D1005" t="e">
            <v>#N/A</v>
          </cell>
          <cell r="E1005">
            <v>-26.371581027667769</v>
          </cell>
          <cell r="F1005">
            <v>47.667944664031971</v>
          </cell>
          <cell r="G1005">
            <v>30.039486166007066</v>
          </cell>
          <cell r="H1005">
            <v>30.039486166007066</v>
          </cell>
          <cell r="I1005" t="e">
            <v>#N/A</v>
          </cell>
          <cell r="J1005" t="e">
            <v>#N/A</v>
          </cell>
          <cell r="K1005">
            <v>42</v>
          </cell>
          <cell r="L1005">
            <v>32</v>
          </cell>
          <cell r="M1005" t="e">
            <v>#N/A</v>
          </cell>
          <cell r="N1005">
            <v>37</v>
          </cell>
          <cell r="O1005" t="e">
            <v>#N/A</v>
          </cell>
          <cell r="P1005" t="str">
            <v/>
          </cell>
          <cell r="Q1005" t="str">
            <v/>
          </cell>
          <cell r="R1005" t="e">
            <v>#N/A</v>
          </cell>
        </row>
        <row r="1006">
          <cell r="A1006" t="str">
            <v/>
          </cell>
          <cell r="B1006" t="str">
            <v/>
          </cell>
          <cell r="C1006" t="str">
            <v>Future</v>
          </cell>
          <cell r="D1006" t="e">
            <v>#N/A</v>
          </cell>
          <cell r="E1006">
            <v>-26.508221343873302</v>
          </cell>
          <cell r="F1006">
            <v>47.697312252964778</v>
          </cell>
          <cell r="G1006">
            <v>30.029328063240268</v>
          </cell>
          <cell r="H1006">
            <v>30.029328063240268</v>
          </cell>
          <cell r="I1006" t="e">
            <v>#N/A</v>
          </cell>
          <cell r="J1006" t="e">
            <v>#N/A</v>
          </cell>
          <cell r="K1006">
            <v>42</v>
          </cell>
          <cell r="L1006">
            <v>32</v>
          </cell>
          <cell r="M1006" t="e">
            <v>#N/A</v>
          </cell>
          <cell r="N1006">
            <v>37</v>
          </cell>
          <cell r="O1006" t="e">
            <v>#N/A</v>
          </cell>
          <cell r="P1006" t="str">
            <v/>
          </cell>
          <cell r="Q1006" t="str">
            <v/>
          </cell>
          <cell r="R1006" t="e">
            <v>#N/A</v>
          </cell>
        </row>
        <row r="1007">
          <cell r="A1007" t="str">
            <v/>
          </cell>
          <cell r="B1007" t="str">
            <v/>
          </cell>
          <cell r="C1007" t="str">
            <v>Future</v>
          </cell>
          <cell r="D1007" t="e">
            <v>#N/A</v>
          </cell>
          <cell r="E1007">
            <v>-26.644861660078835</v>
          </cell>
          <cell r="F1007">
            <v>47.726679841897585</v>
          </cell>
          <cell r="G1007">
            <v>30.019169960473469</v>
          </cell>
          <cell r="H1007">
            <v>30.019169960473469</v>
          </cell>
          <cell r="I1007" t="e">
            <v>#N/A</v>
          </cell>
          <cell r="J1007" t="e">
            <v>#N/A</v>
          </cell>
          <cell r="K1007">
            <v>42</v>
          </cell>
          <cell r="L1007">
            <v>32</v>
          </cell>
          <cell r="M1007" t="e">
            <v>#N/A</v>
          </cell>
          <cell r="N1007">
            <v>37</v>
          </cell>
          <cell r="O1007" t="e">
            <v>#N/A</v>
          </cell>
          <cell r="P1007" t="str">
            <v/>
          </cell>
          <cell r="Q1007" t="str">
            <v/>
          </cell>
          <cell r="R1007" t="e">
            <v>#N/A</v>
          </cell>
        </row>
        <row r="1008">
          <cell r="A1008" t="str">
            <v/>
          </cell>
          <cell r="B1008" t="str">
            <v/>
          </cell>
          <cell r="C1008" t="str">
            <v>Future</v>
          </cell>
          <cell r="D1008" t="e">
            <v>#N/A</v>
          </cell>
          <cell r="E1008">
            <v>-26.781501976284368</v>
          </cell>
          <cell r="F1008">
            <v>47.756047430830392</v>
          </cell>
          <cell r="G1008">
            <v>30.009011857706671</v>
          </cell>
          <cell r="H1008">
            <v>30.009011857706671</v>
          </cell>
          <cell r="I1008" t="e">
            <v>#N/A</v>
          </cell>
          <cell r="J1008" t="e">
            <v>#N/A</v>
          </cell>
          <cell r="K1008">
            <v>42</v>
          </cell>
          <cell r="L1008">
            <v>32</v>
          </cell>
          <cell r="M1008" t="e">
            <v>#N/A</v>
          </cell>
          <cell r="N1008">
            <v>37</v>
          </cell>
          <cell r="O1008" t="e">
            <v>#N/A</v>
          </cell>
          <cell r="P1008" t="str">
            <v/>
          </cell>
          <cell r="Q1008" t="str">
            <v/>
          </cell>
          <cell r="R1008" t="e">
            <v>#N/A</v>
          </cell>
        </row>
        <row r="1009">
          <cell r="A1009" t="str">
            <v/>
          </cell>
          <cell r="B1009" t="str">
            <v/>
          </cell>
          <cell r="C1009" t="str">
            <v>Future</v>
          </cell>
          <cell r="D1009" t="e">
            <v>#N/A</v>
          </cell>
          <cell r="E1009">
            <v>-26.9181422924899</v>
          </cell>
          <cell r="F1009">
            <v>47.785415019763199</v>
          </cell>
          <cell r="G1009">
            <v>29.998853754939873</v>
          </cell>
          <cell r="H1009">
            <v>29.998853754939873</v>
          </cell>
          <cell r="I1009" t="e">
            <v>#N/A</v>
          </cell>
          <cell r="J1009" t="e">
            <v>#N/A</v>
          </cell>
          <cell r="K1009">
            <v>42</v>
          </cell>
          <cell r="L1009">
            <v>32</v>
          </cell>
          <cell r="M1009" t="e">
            <v>#N/A</v>
          </cell>
          <cell r="N1009">
            <v>37</v>
          </cell>
          <cell r="O1009" t="e">
            <v>#N/A</v>
          </cell>
          <cell r="P1009" t="str">
            <v/>
          </cell>
          <cell r="Q1009" t="str">
            <v/>
          </cell>
          <cell r="R1009" t="e">
            <v>#N/A</v>
          </cell>
        </row>
        <row r="1010">
          <cell r="A1010" t="str">
            <v/>
          </cell>
          <cell r="B1010" t="str">
            <v/>
          </cell>
          <cell r="C1010" t="str">
            <v>Future</v>
          </cell>
          <cell r="D1010" t="e">
            <v>#N/A</v>
          </cell>
          <cell r="E1010">
            <v>-27.054782608695433</v>
          </cell>
          <cell r="F1010">
            <v>47.814782608696007</v>
          </cell>
          <cell r="G1010">
            <v>29.988695652173075</v>
          </cell>
          <cell r="H1010">
            <v>29.988695652173075</v>
          </cell>
          <cell r="I1010" t="e">
            <v>#N/A</v>
          </cell>
          <cell r="J1010" t="e">
            <v>#N/A</v>
          </cell>
          <cell r="K1010">
            <v>42</v>
          </cell>
          <cell r="L1010">
            <v>32</v>
          </cell>
          <cell r="M1010" t="e">
            <v>#N/A</v>
          </cell>
          <cell r="N1010">
            <v>37</v>
          </cell>
          <cell r="O1010" t="e">
            <v>#N/A</v>
          </cell>
          <cell r="P1010" t="str">
            <v/>
          </cell>
          <cell r="Q1010" t="str">
            <v/>
          </cell>
          <cell r="R1010" t="e">
            <v>#N/A</v>
          </cell>
        </row>
        <row r="1011">
          <cell r="A1011" t="str">
            <v/>
          </cell>
          <cell r="B1011" t="str">
            <v/>
          </cell>
          <cell r="C1011" t="str">
            <v>Future</v>
          </cell>
          <cell r="D1011" t="e">
            <v>#N/A</v>
          </cell>
          <cell r="E1011">
            <v>-27.191422924900966</v>
          </cell>
          <cell r="F1011">
            <v>47.844150197628814</v>
          </cell>
          <cell r="G1011">
            <v>29.978537549406276</v>
          </cell>
          <cell r="H1011">
            <v>29.978537549406276</v>
          </cell>
          <cell r="I1011" t="e">
            <v>#N/A</v>
          </cell>
          <cell r="J1011" t="e">
            <v>#N/A</v>
          </cell>
          <cell r="K1011">
            <v>42</v>
          </cell>
          <cell r="L1011">
            <v>32</v>
          </cell>
          <cell r="M1011" t="e">
            <v>#N/A</v>
          </cell>
          <cell r="N1011">
            <v>37</v>
          </cell>
          <cell r="O1011" t="e">
            <v>#N/A</v>
          </cell>
          <cell r="P1011" t="str">
            <v/>
          </cell>
          <cell r="Q1011" t="str">
            <v/>
          </cell>
          <cell r="R1011" t="e">
            <v>#N/A</v>
          </cell>
        </row>
        <row r="1012">
          <cell r="A1012" t="str">
            <v/>
          </cell>
          <cell r="B1012" t="str">
            <v/>
          </cell>
          <cell r="C1012" t="str">
            <v>Future</v>
          </cell>
          <cell r="D1012" t="e">
            <v>#N/A</v>
          </cell>
          <cell r="E1012">
            <v>-27.328063241106499</v>
          </cell>
          <cell r="F1012">
            <v>47.873517786561621</v>
          </cell>
          <cell r="G1012">
            <v>29.968379446639478</v>
          </cell>
          <cell r="H1012">
            <v>29.968379446639478</v>
          </cell>
          <cell r="I1012" t="e">
            <v>#N/A</v>
          </cell>
          <cell r="J1012" t="e">
            <v>#N/A</v>
          </cell>
          <cell r="K1012">
            <v>42</v>
          </cell>
          <cell r="L1012">
            <v>32</v>
          </cell>
          <cell r="M1012" t="e">
            <v>#N/A</v>
          </cell>
          <cell r="N1012">
            <v>37</v>
          </cell>
          <cell r="O1012" t="e">
            <v>#N/A</v>
          </cell>
          <cell r="P1012" t="str">
            <v/>
          </cell>
          <cell r="Q1012" t="str">
            <v/>
          </cell>
          <cell r="R1012" t="e">
            <v>#N/A</v>
          </cell>
        </row>
        <row r="1013">
          <cell r="A1013" t="str">
            <v/>
          </cell>
          <cell r="B1013" t="str">
            <v/>
          </cell>
          <cell r="C1013" t="str">
            <v>Future</v>
          </cell>
          <cell r="D1013" t="e">
            <v>#N/A</v>
          </cell>
          <cell r="E1013">
            <v>-27.464703557312031</v>
          </cell>
          <cell r="F1013">
            <v>47.902885375494428</v>
          </cell>
          <cell r="G1013">
            <v>29.95822134387268</v>
          </cell>
          <cell r="H1013">
            <v>29.95822134387268</v>
          </cell>
          <cell r="I1013" t="e">
            <v>#N/A</v>
          </cell>
          <cell r="J1013" t="e">
            <v>#N/A</v>
          </cell>
          <cell r="K1013">
            <v>42</v>
          </cell>
          <cell r="L1013">
            <v>32</v>
          </cell>
          <cell r="M1013" t="e">
            <v>#N/A</v>
          </cell>
          <cell r="N1013">
            <v>37</v>
          </cell>
          <cell r="O1013" t="e">
            <v>#N/A</v>
          </cell>
          <cell r="P1013" t="str">
            <v/>
          </cell>
          <cell r="Q1013" t="str">
            <v/>
          </cell>
          <cell r="R1013" t="e">
            <v>#N/A</v>
          </cell>
        </row>
        <row r="1014">
          <cell r="A1014" t="str">
            <v/>
          </cell>
          <cell r="B1014" t="str">
            <v/>
          </cell>
          <cell r="C1014" t="str">
            <v>Future</v>
          </cell>
          <cell r="D1014" t="e">
            <v>#N/A</v>
          </cell>
          <cell r="E1014">
            <v>-27.601343873517564</v>
          </cell>
          <cell r="F1014">
            <v>47.932252964427235</v>
          </cell>
          <cell r="G1014">
            <v>29.948063241105881</v>
          </cell>
          <cell r="H1014">
            <v>29.948063241105881</v>
          </cell>
          <cell r="I1014" t="e">
            <v>#N/A</v>
          </cell>
          <cell r="J1014" t="e">
            <v>#N/A</v>
          </cell>
          <cell r="K1014">
            <v>42</v>
          </cell>
          <cell r="L1014">
            <v>32</v>
          </cell>
          <cell r="M1014" t="e">
            <v>#N/A</v>
          </cell>
          <cell r="N1014">
            <v>37</v>
          </cell>
          <cell r="O1014" t="e">
            <v>#N/A</v>
          </cell>
          <cell r="P1014" t="str">
            <v/>
          </cell>
          <cell r="Q1014" t="str">
            <v/>
          </cell>
          <cell r="R1014" t="e">
            <v>#N/A</v>
          </cell>
        </row>
        <row r="1015">
          <cell r="A1015" t="str">
            <v/>
          </cell>
          <cell r="B1015" t="str">
            <v/>
          </cell>
          <cell r="C1015" t="str">
            <v>Future</v>
          </cell>
          <cell r="D1015" t="e">
            <v>#N/A</v>
          </cell>
          <cell r="E1015">
            <v>-27.737984189723097</v>
          </cell>
          <cell r="F1015">
            <v>47.961620553360042</v>
          </cell>
          <cell r="G1015">
            <v>29.937905138339083</v>
          </cell>
          <cell r="H1015">
            <v>29.937905138339083</v>
          </cell>
          <cell r="I1015" t="e">
            <v>#N/A</v>
          </cell>
          <cell r="J1015" t="e">
            <v>#N/A</v>
          </cell>
          <cell r="K1015">
            <v>42</v>
          </cell>
          <cell r="L1015">
            <v>32</v>
          </cell>
          <cell r="M1015" t="e">
            <v>#N/A</v>
          </cell>
          <cell r="N1015">
            <v>37</v>
          </cell>
          <cell r="O1015" t="e">
            <v>#N/A</v>
          </cell>
          <cell r="P1015" t="str">
            <v/>
          </cell>
          <cell r="Q1015" t="str">
            <v/>
          </cell>
          <cell r="R1015" t="e">
            <v>#N/A</v>
          </cell>
        </row>
        <row r="1016">
          <cell r="A1016" t="str">
            <v/>
          </cell>
          <cell r="B1016" t="str">
            <v/>
          </cell>
          <cell r="C1016" t="str">
            <v>Future</v>
          </cell>
          <cell r="D1016" t="e">
            <v>#N/A</v>
          </cell>
          <cell r="E1016">
            <v>-27.87462450592863</v>
          </cell>
          <cell r="F1016">
            <v>47.990988142292849</v>
          </cell>
          <cell r="G1016">
            <v>29.927747035572285</v>
          </cell>
          <cell r="H1016">
            <v>29.927747035572285</v>
          </cell>
          <cell r="I1016" t="e">
            <v>#N/A</v>
          </cell>
          <cell r="J1016" t="e">
            <v>#N/A</v>
          </cell>
          <cell r="K1016">
            <v>42</v>
          </cell>
          <cell r="L1016">
            <v>32</v>
          </cell>
          <cell r="M1016" t="e">
            <v>#N/A</v>
          </cell>
          <cell r="N1016">
            <v>37</v>
          </cell>
          <cell r="O1016" t="e">
            <v>#N/A</v>
          </cell>
          <cell r="P1016" t="str">
            <v/>
          </cell>
          <cell r="Q1016" t="str">
            <v/>
          </cell>
          <cell r="R1016" t="e">
            <v>#N/A</v>
          </cell>
        </row>
        <row r="1017">
          <cell r="A1017" t="str">
            <v/>
          </cell>
          <cell r="B1017" t="str">
            <v/>
          </cell>
          <cell r="C1017" t="str">
            <v>Future</v>
          </cell>
          <cell r="D1017" t="e">
            <v>#N/A</v>
          </cell>
          <cell r="E1017">
            <v>-28.011264822134162</v>
          </cell>
          <cell r="F1017">
            <v>48.020355731225656</v>
          </cell>
          <cell r="G1017">
            <v>29.917588932805486</v>
          </cell>
          <cell r="H1017">
            <v>29.917588932805486</v>
          </cell>
          <cell r="I1017" t="e">
            <v>#N/A</v>
          </cell>
          <cell r="J1017" t="e">
            <v>#N/A</v>
          </cell>
          <cell r="K1017">
            <v>42</v>
          </cell>
          <cell r="L1017">
            <v>32</v>
          </cell>
          <cell r="M1017" t="e">
            <v>#N/A</v>
          </cell>
          <cell r="N1017">
            <v>37</v>
          </cell>
          <cell r="O1017" t="e">
            <v>#N/A</v>
          </cell>
          <cell r="P1017" t="str">
            <v/>
          </cell>
          <cell r="Q1017" t="str">
            <v/>
          </cell>
          <cell r="R1017" t="e">
            <v>#N/A</v>
          </cell>
        </row>
        <row r="1018">
          <cell r="A1018" t="str">
            <v/>
          </cell>
          <cell r="B1018" t="str">
            <v/>
          </cell>
          <cell r="C1018" t="str">
            <v>Future</v>
          </cell>
          <cell r="D1018" t="e">
            <v>#N/A</v>
          </cell>
          <cell r="E1018">
            <v>-28.147905138339695</v>
          </cell>
          <cell r="F1018">
            <v>48.049723320158463</v>
          </cell>
          <cell r="G1018">
            <v>29.907430830038688</v>
          </cell>
          <cell r="H1018">
            <v>29.907430830038688</v>
          </cell>
          <cell r="I1018" t="e">
            <v>#N/A</v>
          </cell>
          <cell r="J1018" t="e">
            <v>#N/A</v>
          </cell>
          <cell r="K1018">
            <v>42</v>
          </cell>
          <cell r="L1018">
            <v>32</v>
          </cell>
          <cell r="M1018" t="e">
            <v>#N/A</v>
          </cell>
          <cell r="N1018">
            <v>37</v>
          </cell>
          <cell r="O1018" t="e">
            <v>#N/A</v>
          </cell>
          <cell r="P1018" t="str">
            <v/>
          </cell>
          <cell r="Q1018" t="str">
            <v/>
          </cell>
          <cell r="R1018" t="e">
            <v>#N/A</v>
          </cell>
        </row>
        <row r="1019">
          <cell r="A1019" t="str">
            <v/>
          </cell>
          <cell r="B1019" t="str">
            <v/>
          </cell>
          <cell r="C1019" t="str">
            <v>Future</v>
          </cell>
          <cell r="D1019" t="e">
            <v>#N/A</v>
          </cell>
          <cell r="E1019">
            <v>-28.284545454545228</v>
          </cell>
          <cell r="F1019">
            <v>48.079090909091271</v>
          </cell>
          <cell r="G1019">
            <v>29.89727272727189</v>
          </cell>
          <cell r="H1019">
            <v>29.89727272727189</v>
          </cell>
          <cell r="I1019" t="e">
            <v>#N/A</v>
          </cell>
          <cell r="J1019" t="e">
            <v>#N/A</v>
          </cell>
          <cell r="K1019">
            <v>42</v>
          </cell>
          <cell r="L1019">
            <v>32</v>
          </cell>
          <cell r="M1019" t="e">
            <v>#N/A</v>
          </cell>
          <cell r="N1019">
            <v>37</v>
          </cell>
          <cell r="O1019" t="e">
            <v>#N/A</v>
          </cell>
          <cell r="P1019" t="str">
            <v/>
          </cell>
          <cell r="Q1019" t="str">
            <v/>
          </cell>
          <cell r="R1019" t="e">
            <v>#N/A</v>
          </cell>
        </row>
        <row r="1020">
          <cell r="A1020" t="str">
            <v/>
          </cell>
          <cell r="B1020" t="str">
            <v/>
          </cell>
          <cell r="C1020" t="str">
            <v>Future</v>
          </cell>
          <cell r="D1020" t="e">
            <v>#N/A</v>
          </cell>
          <cell r="E1020">
            <v>-28.42118577075076</v>
          </cell>
          <cell r="F1020">
            <v>48.108458498024078</v>
          </cell>
          <cell r="G1020">
            <v>29.887114624505092</v>
          </cell>
          <cell r="H1020">
            <v>29.887114624505092</v>
          </cell>
          <cell r="I1020" t="e">
            <v>#N/A</v>
          </cell>
          <cell r="J1020" t="e">
            <v>#N/A</v>
          </cell>
          <cell r="K1020">
            <v>42</v>
          </cell>
          <cell r="L1020">
            <v>32</v>
          </cell>
          <cell r="M1020" t="e">
            <v>#N/A</v>
          </cell>
          <cell r="N1020">
            <v>37</v>
          </cell>
          <cell r="O1020" t="e">
            <v>#N/A</v>
          </cell>
          <cell r="P1020" t="str">
            <v/>
          </cell>
          <cell r="Q1020" t="str">
            <v/>
          </cell>
          <cell r="R1020" t="e">
            <v>#N/A</v>
          </cell>
        </row>
        <row r="1021">
          <cell r="A1021" t="str">
            <v/>
          </cell>
          <cell r="B1021" t="str">
            <v/>
          </cell>
          <cell r="C1021" t="str">
            <v>Future</v>
          </cell>
          <cell r="D1021" t="e">
            <v>#N/A</v>
          </cell>
          <cell r="E1021">
            <v>-28.557826086956293</v>
          </cell>
          <cell r="F1021">
            <v>48.137826086956885</v>
          </cell>
          <cell r="G1021">
            <v>29.876956521738293</v>
          </cell>
          <cell r="H1021">
            <v>29.876956521738293</v>
          </cell>
          <cell r="I1021" t="e">
            <v>#N/A</v>
          </cell>
          <cell r="J1021" t="e">
            <v>#N/A</v>
          </cell>
          <cell r="K1021">
            <v>42</v>
          </cell>
          <cell r="L1021">
            <v>32</v>
          </cell>
          <cell r="M1021" t="e">
            <v>#N/A</v>
          </cell>
          <cell r="N1021">
            <v>37</v>
          </cell>
          <cell r="O1021" t="e">
            <v>#N/A</v>
          </cell>
          <cell r="P1021" t="str">
            <v/>
          </cell>
          <cell r="Q1021" t="str">
            <v/>
          </cell>
          <cell r="R1021" t="e">
            <v>#N/A</v>
          </cell>
        </row>
        <row r="1022">
          <cell r="A1022" t="str">
            <v/>
          </cell>
          <cell r="B1022" t="str">
            <v/>
          </cell>
          <cell r="C1022" t="str">
            <v>Future</v>
          </cell>
          <cell r="D1022" t="e">
            <v>#N/A</v>
          </cell>
          <cell r="E1022">
            <v>-28.694466403161826</v>
          </cell>
          <cell r="F1022">
            <v>48.167193675889692</v>
          </cell>
          <cell r="G1022">
            <v>29.866798418971495</v>
          </cell>
          <cell r="H1022">
            <v>29.866798418971495</v>
          </cell>
          <cell r="I1022" t="e">
            <v>#N/A</v>
          </cell>
          <cell r="J1022" t="e">
            <v>#N/A</v>
          </cell>
          <cell r="K1022">
            <v>42</v>
          </cell>
          <cell r="L1022">
            <v>32</v>
          </cell>
          <cell r="M1022" t="e">
            <v>#N/A</v>
          </cell>
          <cell r="N1022">
            <v>37</v>
          </cell>
          <cell r="O1022" t="e">
            <v>#N/A</v>
          </cell>
          <cell r="P1022" t="str">
            <v/>
          </cell>
          <cell r="Q1022" t="str">
            <v/>
          </cell>
          <cell r="R1022" t="e">
            <v>#N/A</v>
          </cell>
        </row>
        <row r="1023">
          <cell r="A1023" t="str">
            <v/>
          </cell>
          <cell r="B1023" t="str">
            <v/>
          </cell>
          <cell r="C1023" t="str">
            <v>Future</v>
          </cell>
          <cell r="D1023" t="e">
            <v>#N/A</v>
          </cell>
          <cell r="E1023">
            <v>-28.831106719367359</v>
          </cell>
          <cell r="F1023">
            <v>48.196561264822499</v>
          </cell>
          <cell r="G1023">
            <v>29.856640316204697</v>
          </cell>
          <cell r="H1023">
            <v>29.856640316204697</v>
          </cell>
          <cell r="I1023" t="e">
            <v>#N/A</v>
          </cell>
          <cell r="J1023" t="e">
            <v>#N/A</v>
          </cell>
          <cell r="K1023">
            <v>42</v>
          </cell>
          <cell r="L1023">
            <v>32</v>
          </cell>
          <cell r="M1023" t="e">
            <v>#N/A</v>
          </cell>
          <cell r="N1023">
            <v>37</v>
          </cell>
          <cell r="O1023" t="e">
            <v>#N/A</v>
          </cell>
          <cell r="P1023" t="str">
            <v/>
          </cell>
          <cell r="Q1023" t="str">
            <v/>
          </cell>
          <cell r="R1023" t="e">
            <v>#N/A</v>
          </cell>
        </row>
        <row r="1024">
          <cell r="A1024" t="str">
            <v/>
          </cell>
          <cell r="B1024" t="str">
            <v/>
          </cell>
          <cell r="C1024" t="str">
            <v>Future</v>
          </cell>
          <cell r="D1024" t="e">
            <v>#N/A</v>
          </cell>
          <cell r="E1024">
            <v>-28.967747035572891</v>
          </cell>
          <cell r="F1024">
            <v>48.225928853755306</v>
          </cell>
          <cell r="G1024">
            <v>29.846482213437898</v>
          </cell>
          <cell r="H1024">
            <v>29.846482213437898</v>
          </cell>
          <cell r="I1024" t="e">
            <v>#N/A</v>
          </cell>
          <cell r="J1024" t="e">
            <v>#N/A</v>
          </cell>
          <cell r="K1024">
            <v>42</v>
          </cell>
          <cell r="L1024">
            <v>32</v>
          </cell>
          <cell r="M1024" t="e">
            <v>#N/A</v>
          </cell>
          <cell r="N1024">
            <v>37</v>
          </cell>
          <cell r="O1024" t="e">
            <v>#N/A</v>
          </cell>
          <cell r="P1024" t="str">
            <v/>
          </cell>
          <cell r="Q1024" t="str">
            <v/>
          </cell>
          <cell r="R1024" t="e">
            <v>#N/A</v>
          </cell>
        </row>
        <row r="1025">
          <cell r="A1025" t="str">
            <v/>
          </cell>
          <cell r="B1025" t="str">
            <v/>
          </cell>
          <cell r="C1025" t="str">
            <v>Future</v>
          </cell>
          <cell r="D1025" t="e">
            <v>#N/A</v>
          </cell>
          <cell r="E1025">
            <v>-29.104387351778424</v>
          </cell>
          <cell r="F1025">
            <v>48.255296442688113</v>
          </cell>
          <cell r="G1025">
            <v>29.8363241106711</v>
          </cell>
          <cell r="H1025">
            <v>29.8363241106711</v>
          </cell>
          <cell r="I1025" t="e">
            <v>#N/A</v>
          </cell>
          <cell r="J1025" t="e">
            <v>#N/A</v>
          </cell>
          <cell r="K1025">
            <v>42</v>
          </cell>
          <cell r="L1025">
            <v>32</v>
          </cell>
          <cell r="M1025" t="e">
            <v>#N/A</v>
          </cell>
          <cell r="N1025">
            <v>37</v>
          </cell>
          <cell r="O1025" t="e">
            <v>#N/A</v>
          </cell>
          <cell r="P1025" t="str">
            <v/>
          </cell>
          <cell r="Q1025" t="str">
            <v/>
          </cell>
          <cell r="R1025" t="e">
            <v>#N/A</v>
          </cell>
        </row>
        <row r="1026">
          <cell r="A1026" t="str">
            <v/>
          </cell>
          <cell r="B1026" t="str">
            <v/>
          </cell>
          <cell r="C1026" t="str">
            <v>Future</v>
          </cell>
          <cell r="D1026" t="e">
            <v>#N/A</v>
          </cell>
          <cell r="E1026">
            <v>-29.241027667983957</v>
          </cell>
          <cell r="F1026">
            <v>48.28466403162092</v>
          </cell>
          <cell r="G1026">
            <v>29.826166007904302</v>
          </cell>
          <cell r="H1026">
            <v>29.826166007904302</v>
          </cell>
          <cell r="I1026" t="e">
            <v>#N/A</v>
          </cell>
          <cell r="J1026" t="e">
            <v>#N/A</v>
          </cell>
          <cell r="K1026">
            <v>42</v>
          </cell>
          <cell r="L1026">
            <v>32</v>
          </cell>
          <cell r="M1026" t="e">
            <v>#N/A</v>
          </cell>
          <cell r="N1026">
            <v>37</v>
          </cell>
          <cell r="O1026" t="e">
            <v>#N/A</v>
          </cell>
          <cell r="P1026" t="str">
            <v/>
          </cell>
          <cell r="Q1026" t="str">
            <v/>
          </cell>
          <cell r="R1026" t="e">
            <v>#N/A</v>
          </cell>
        </row>
        <row r="1027">
          <cell r="A1027" t="str">
            <v/>
          </cell>
          <cell r="B1027" t="str">
            <v/>
          </cell>
          <cell r="C1027" t="str">
            <v>Future</v>
          </cell>
          <cell r="D1027" t="e">
            <v>#N/A</v>
          </cell>
          <cell r="E1027">
            <v>-29.37766798418949</v>
          </cell>
          <cell r="F1027">
            <v>48.314031620553727</v>
          </cell>
          <cell r="G1027">
            <v>29.816007905137504</v>
          </cell>
          <cell r="H1027">
            <v>29.816007905137504</v>
          </cell>
          <cell r="I1027" t="e">
            <v>#N/A</v>
          </cell>
          <cell r="J1027" t="e">
            <v>#N/A</v>
          </cell>
          <cell r="K1027">
            <v>42</v>
          </cell>
          <cell r="L1027">
            <v>32</v>
          </cell>
          <cell r="M1027" t="e">
            <v>#N/A</v>
          </cell>
          <cell r="N1027">
            <v>37</v>
          </cell>
          <cell r="O1027" t="e">
            <v>#N/A</v>
          </cell>
          <cell r="P1027" t="str">
            <v/>
          </cell>
          <cell r="Q1027" t="str">
            <v/>
          </cell>
          <cell r="R1027" t="e">
            <v>#N/A</v>
          </cell>
        </row>
        <row r="1028">
          <cell r="A1028" t="str">
            <v/>
          </cell>
          <cell r="B1028" t="str">
            <v/>
          </cell>
          <cell r="C1028" t="str">
            <v>Future</v>
          </cell>
          <cell r="D1028" t="e">
            <v>#N/A</v>
          </cell>
          <cell r="E1028">
            <v>-29.514308300395022</v>
          </cell>
          <cell r="F1028">
            <v>48.343399209486535</v>
          </cell>
          <cell r="G1028">
            <v>29.805849802370705</v>
          </cell>
          <cell r="H1028">
            <v>29.805849802370705</v>
          </cell>
          <cell r="I1028" t="e">
            <v>#N/A</v>
          </cell>
          <cell r="J1028" t="e">
            <v>#N/A</v>
          </cell>
          <cell r="K1028">
            <v>42</v>
          </cell>
          <cell r="L1028">
            <v>32</v>
          </cell>
          <cell r="M1028" t="e">
            <v>#N/A</v>
          </cell>
          <cell r="N1028">
            <v>37</v>
          </cell>
          <cell r="O1028" t="e">
            <v>#N/A</v>
          </cell>
          <cell r="P1028" t="str">
            <v/>
          </cell>
          <cell r="Q1028" t="str">
            <v/>
          </cell>
          <cell r="R1028" t="e">
            <v>#N/A</v>
          </cell>
        </row>
        <row r="1029">
          <cell r="A1029" t="str">
            <v/>
          </cell>
          <cell r="B1029" t="str">
            <v/>
          </cell>
          <cell r="C1029" t="str">
            <v>Future</v>
          </cell>
          <cell r="D1029" t="e">
            <v>#N/A</v>
          </cell>
          <cell r="E1029">
            <v>-29.650948616600555</v>
          </cell>
          <cell r="F1029">
            <v>48.372766798419342</v>
          </cell>
          <cell r="G1029">
            <v>29.795691699603907</v>
          </cell>
          <cell r="H1029">
            <v>29.795691699603907</v>
          </cell>
          <cell r="I1029" t="e">
            <v>#N/A</v>
          </cell>
          <cell r="J1029" t="e">
            <v>#N/A</v>
          </cell>
          <cell r="K1029">
            <v>42</v>
          </cell>
          <cell r="L1029">
            <v>32</v>
          </cell>
          <cell r="M1029" t="e">
            <v>#N/A</v>
          </cell>
          <cell r="N1029">
            <v>37</v>
          </cell>
          <cell r="O1029" t="e">
            <v>#N/A</v>
          </cell>
          <cell r="P1029" t="str">
            <v/>
          </cell>
          <cell r="Q1029" t="str">
            <v/>
          </cell>
          <cell r="R1029" t="e">
            <v>#N/A</v>
          </cell>
        </row>
        <row r="1030">
          <cell r="A1030" t="str">
            <v/>
          </cell>
          <cell r="B1030" t="str">
            <v/>
          </cell>
          <cell r="C1030" t="str">
            <v>Future</v>
          </cell>
          <cell r="D1030" t="e">
            <v>#N/A</v>
          </cell>
          <cell r="E1030">
            <v>-29.787588932806088</v>
          </cell>
          <cell r="F1030">
            <v>48.402134387352149</v>
          </cell>
          <cell r="G1030">
            <v>29.785533596837109</v>
          </cell>
          <cell r="H1030">
            <v>29.785533596837109</v>
          </cell>
          <cell r="I1030" t="e">
            <v>#N/A</v>
          </cell>
          <cell r="J1030" t="e">
            <v>#N/A</v>
          </cell>
          <cell r="K1030">
            <v>42</v>
          </cell>
          <cell r="L1030">
            <v>32</v>
          </cell>
          <cell r="M1030" t="e">
            <v>#N/A</v>
          </cell>
          <cell r="N1030">
            <v>37</v>
          </cell>
          <cell r="O1030" t="e">
            <v>#N/A</v>
          </cell>
          <cell r="P1030" t="str">
            <v/>
          </cell>
          <cell r="Q1030" t="str">
            <v/>
          </cell>
          <cell r="R1030" t="e">
            <v>#N/A</v>
          </cell>
        </row>
        <row r="1031">
          <cell r="A1031" t="str">
            <v/>
          </cell>
          <cell r="B1031" t="str">
            <v/>
          </cell>
          <cell r="C1031" t="str">
            <v>Future</v>
          </cell>
          <cell r="D1031" t="e">
            <v>#N/A</v>
          </cell>
          <cell r="E1031">
            <v>-29.924229249011621</v>
          </cell>
          <cell r="F1031">
            <v>48.431501976284956</v>
          </cell>
          <cell r="G1031">
            <v>29.77537549407031</v>
          </cell>
          <cell r="H1031">
            <v>29.77537549407031</v>
          </cell>
          <cell r="I1031" t="e">
            <v>#N/A</v>
          </cell>
          <cell r="J1031" t="e">
            <v>#N/A</v>
          </cell>
          <cell r="K1031">
            <v>42</v>
          </cell>
          <cell r="L1031">
            <v>32</v>
          </cell>
          <cell r="M1031" t="e">
            <v>#N/A</v>
          </cell>
          <cell r="N1031">
            <v>37</v>
          </cell>
          <cell r="O1031" t="e">
            <v>#N/A</v>
          </cell>
          <cell r="P1031" t="str">
            <v/>
          </cell>
          <cell r="Q1031" t="str">
            <v/>
          </cell>
          <cell r="R1031" t="e">
            <v>#N/A</v>
          </cell>
        </row>
        <row r="1032">
          <cell r="A1032" t="str">
            <v/>
          </cell>
          <cell r="B1032" t="str">
            <v/>
          </cell>
          <cell r="C1032" t="str">
            <v>Future</v>
          </cell>
          <cell r="D1032" t="e">
            <v>#N/A</v>
          </cell>
          <cell r="E1032">
            <v>-30.060869565217153</v>
          </cell>
          <cell r="F1032">
            <v>48.460869565217763</v>
          </cell>
          <cell r="G1032">
            <v>29.765217391303512</v>
          </cell>
          <cell r="H1032">
            <v>29.765217391303512</v>
          </cell>
          <cell r="I1032" t="e">
            <v>#N/A</v>
          </cell>
          <cell r="J1032" t="e">
            <v>#N/A</v>
          </cell>
          <cell r="K1032">
            <v>42</v>
          </cell>
          <cell r="L1032">
            <v>32</v>
          </cell>
          <cell r="M1032" t="e">
            <v>#N/A</v>
          </cell>
          <cell r="N1032">
            <v>37</v>
          </cell>
          <cell r="O1032" t="e">
            <v>#N/A</v>
          </cell>
          <cell r="P1032" t="str">
            <v/>
          </cell>
          <cell r="Q1032" t="str">
            <v/>
          </cell>
          <cell r="R1032" t="e">
            <v>#N/A</v>
          </cell>
        </row>
        <row r="1033">
          <cell r="A1033" t="str">
            <v/>
          </cell>
          <cell r="B1033" t="str">
            <v/>
          </cell>
          <cell r="C1033" t="str">
            <v>Future</v>
          </cell>
          <cell r="D1033" t="e">
            <v>#N/A</v>
          </cell>
          <cell r="E1033">
            <v>-30.197509881422686</v>
          </cell>
          <cell r="F1033">
            <v>48.49023715415057</v>
          </cell>
          <cell r="G1033">
            <v>29.755059288536714</v>
          </cell>
          <cell r="H1033">
            <v>29.755059288536714</v>
          </cell>
          <cell r="I1033" t="e">
            <v>#N/A</v>
          </cell>
          <cell r="J1033" t="e">
            <v>#N/A</v>
          </cell>
          <cell r="K1033">
            <v>42</v>
          </cell>
          <cell r="L1033">
            <v>32</v>
          </cell>
          <cell r="M1033" t="e">
            <v>#N/A</v>
          </cell>
          <cell r="N1033">
            <v>37</v>
          </cell>
          <cell r="O1033" t="e">
            <v>#N/A</v>
          </cell>
          <cell r="P1033" t="str">
            <v/>
          </cell>
          <cell r="Q1033" t="str">
            <v/>
          </cell>
          <cell r="R1033" t="e">
            <v>#N/A</v>
          </cell>
        </row>
        <row r="1034">
          <cell r="A1034" t="str">
            <v/>
          </cell>
          <cell r="B1034" t="str">
            <v/>
          </cell>
          <cell r="C1034" t="str">
            <v>Future</v>
          </cell>
          <cell r="D1034" t="e">
            <v>#N/A</v>
          </cell>
          <cell r="E1034">
            <v>-30.334150197628219</v>
          </cell>
          <cell r="F1034">
            <v>48.519604743083377</v>
          </cell>
          <cell r="G1034">
            <v>29.744901185769915</v>
          </cell>
          <cell r="H1034">
            <v>29.744901185769915</v>
          </cell>
          <cell r="I1034" t="e">
            <v>#N/A</v>
          </cell>
          <cell r="J1034" t="e">
            <v>#N/A</v>
          </cell>
          <cell r="K1034">
            <v>42</v>
          </cell>
          <cell r="L1034">
            <v>32</v>
          </cell>
          <cell r="M1034" t="e">
            <v>#N/A</v>
          </cell>
          <cell r="N1034">
            <v>37</v>
          </cell>
          <cell r="O1034" t="e">
            <v>#N/A</v>
          </cell>
          <cell r="P1034" t="str">
            <v/>
          </cell>
          <cell r="Q1034" t="str">
            <v/>
          </cell>
          <cell r="R1034" t="e">
            <v>#N/A</v>
          </cell>
        </row>
        <row r="1035">
          <cell r="A1035" t="str">
            <v/>
          </cell>
          <cell r="B1035" t="str">
            <v/>
          </cell>
          <cell r="C1035" t="str">
            <v>Future</v>
          </cell>
          <cell r="D1035" t="e">
            <v>#N/A</v>
          </cell>
          <cell r="E1035">
            <v>-30.470790513833752</v>
          </cell>
          <cell r="F1035">
            <v>48.548972332016184</v>
          </cell>
          <cell r="G1035">
            <v>29.734743083003117</v>
          </cell>
          <cell r="H1035">
            <v>29.734743083003117</v>
          </cell>
          <cell r="I1035" t="e">
            <v>#N/A</v>
          </cell>
          <cell r="J1035" t="e">
            <v>#N/A</v>
          </cell>
          <cell r="K1035">
            <v>42</v>
          </cell>
          <cell r="L1035">
            <v>32</v>
          </cell>
          <cell r="M1035" t="e">
            <v>#N/A</v>
          </cell>
          <cell r="N1035">
            <v>37</v>
          </cell>
          <cell r="O1035" t="e">
            <v>#N/A</v>
          </cell>
          <cell r="P1035" t="str">
            <v/>
          </cell>
          <cell r="Q1035" t="str">
            <v/>
          </cell>
          <cell r="R1035" t="e">
            <v>#N/A</v>
          </cell>
        </row>
        <row r="1036">
          <cell r="A1036" t="str">
            <v/>
          </cell>
          <cell r="B1036" t="str">
            <v/>
          </cell>
          <cell r="C1036" t="str">
            <v>Future</v>
          </cell>
          <cell r="D1036" t="e">
            <v>#N/A</v>
          </cell>
          <cell r="E1036">
            <v>-30.607430830039284</v>
          </cell>
          <cell r="F1036">
            <v>48.578339920948991</v>
          </cell>
          <cell r="G1036">
            <v>29.724584980236319</v>
          </cell>
          <cell r="H1036">
            <v>29.724584980236319</v>
          </cell>
          <cell r="I1036" t="e">
            <v>#N/A</v>
          </cell>
          <cell r="J1036" t="e">
            <v>#N/A</v>
          </cell>
          <cell r="K1036">
            <v>42</v>
          </cell>
          <cell r="L1036">
            <v>32</v>
          </cell>
          <cell r="M1036" t="e">
            <v>#N/A</v>
          </cell>
          <cell r="N1036">
            <v>37</v>
          </cell>
          <cell r="O1036" t="e">
            <v>#N/A</v>
          </cell>
          <cell r="P1036" t="str">
            <v/>
          </cell>
          <cell r="Q1036" t="str">
            <v/>
          </cell>
          <cell r="R1036" t="e">
            <v>#N/A</v>
          </cell>
        </row>
        <row r="1037">
          <cell r="A1037" t="str">
            <v/>
          </cell>
          <cell r="B1037" t="str">
            <v/>
          </cell>
          <cell r="C1037" t="str">
            <v>Future</v>
          </cell>
          <cell r="D1037" t="e">
            <v>#N/A</v>
          </cell>
          <cell r="E1037">
            <v>-30.744071146244817</v>
          </cell>
          <cell r="F1037">
            <v>48.607707509881799</v>
          </cell>
          <cell r="G1037">
            <v>29.714426877469521</v>
          </cell>
          <cell r="H1037">
            <v>29.714426877469521</v>
          </cell>
          <cell r="I1037" t="e">
            <v>#N/A</v>
          </cell>
          <cell r="J1037" t="e">
            <v>#N/A</v>
          </cell>
          <cell r="K1037">
            <v>42</v>
          </cell>
          <cell r="L1037">
            <v>32</v>
          </cell>
          <cell r="M1037" t="e">
            <v>#N/A</v>
          </cell>
          <cell r="N1037">
            <v>37</v>
          </cell>
          <cell r="O1037" t="e">
            <v>#N/A</v>
          </cell>
          <cell r="P1037" t="str">
            <v/>
          </cell>
          <cell r="Q1037" t="str">
            <v/>
          </cell>
          <cell r="R1037" t="e">
            <v>#N/A</v>
          </cell>
        </row>
        <row r="1038">
          <cell r="A1038" t="str">
            <v/>
          </cell>
          <cell r="B1038" t="str">
            <v/>
          </cell>
          <cell r="C1038" t="str">
            <v>Future</v>
          </cell>
          <cell r="D1038" t="e">
            <v>#N/A</v>
          </cell>
          <cell r="E1038">
            <v>-30.88071146245035</v>
          </cell>
          <cell r="F1038">
            <v>48.637075098814606</v>
          </cell>
          <cell r="G1038">
            <v>29.704268774702722</v>
          </cell>
          <cell r="H1038">
            <v>29.704268774702722</v>
          </cell>
          <cell r="I1038" t="e">
            <v>#N/A</v>
          </cell>
          <cell r="J1038" t="e">
            <v>#N/A</v>
          </cell>
          <cell r="K1038">
            <v>42</v>
          </cell>
          <cell r="L1038">
            <v>32</v>
          </cell>
          <cell r="M1038" t="e">
            <v>#N/A</v>
          </cell>
          <cell r="N1038">
            <v>37</v>
          </cell>
          <cell r="O1038" t="e">
            <v>#N/A</v>
          </cell>
          <cell r="P1038" t="str">
            <v/>
          </cell>
          <cell r="Q1038" t="str">
            <v/>
          </cell>
          <cell r="R1038" t="e">
            <v>#N/A</v>
          </cell>
        </row>
        <row r="1039">
          <cell r="A1039" t="str">
            <v/>
          </cell>
          <cell r="B1039" t="str">
            <v/>
          </cell>
          <cell r="C1039" t="str">
            <v>Future</v>
          </cell>
          <cell r="D1039" t="e">
            <v>#N/A</v>
          </cell>
          <cell r="E1039">
            <v>-31.017351778655883</v>
          </cell>
          <cell r="F1039">
            <v>48.666442687747413</v>
          </cell>
          <cell r="G1039">
            <v>29.694110671935924</v>
          </cell>
          <cell r="H1039">
            <v>29.694110671935924</v>
          </cell>
          <cell r="I1039" t="e">
            <v>#N/A</v>
          </cell>
          <cell r="J1039" t="e">
            <v>#N/A</v>
          </cell>
          <cell r="K1039">
            <v>42</v>
          </cell>
          <cell r="L1039">
            <v>32</v>
          </cell>
          <cell r="M1039" t="e">
            <v>#N/A</v>
          </cell>
          <cell r="N1039">
            <v>37</v>
          </cell>
          <cell r="O1039" t="e">
            <v>#N/A</v>
          </cell>
          <cell r="P1039" t="str">
            <v/>
          </cell>
          <cell r="Q1039" t="str">
            <v/>
          </cell>
          <cell r="R1039" t="e">
            <v>#N/A</v>
          </cell>
        </row>
        <row r="1040">
          <cell r="A1040" t="str">
            <v/>
          </cell>
          <cell r="B1040" t="str">
            <v/>
          </cell>
          <cell r="C1040" t="str">
            <v>Future</v>
          </cell>
          <cell r="D1040" t="e">
            <v>#N/A</v>
          </cell>
          <cell r="E1040">
            <v>-31.153992094861415</v>
          </cell>
          <cell r="F1040">
            <v>48.69581027668022</v>
          </cell>
          <cell r="G1040">
            <v>29.683952569169126</v>
          </cell>
          <cell r="H1040">
            <v>29.683952569169126</v>
          </cell>
          <cell r="I1040" t="e">
            <v>#N/A</v>
          </cell>
          <cell r="J1040" t="e">
            <v>#N/A</v>
          </cell>
          <cell r="K1040">
            <v>42</v>
          </cell>
          <cell r="L1040">
            <v>32</v>
          </cell>
          <cell r="M1040" t="e">
            <v>#N/A</v>
          </cell>
          <cell r="N1040">
            <v>37</v>
          </cell>
          <cell r="O1040" t="e">
            <v>#N/A</v>
          </cell>
          <cell r="P1040" t="str">
            <v/>
          </cell>
          <cell r="Q1040" t="str">
            <v/>
          </cell>
          <cell r="R1040" t="e">
            <v>#N/A</v>
          </cell>
        </row>
        <row r="1041">
          <cell r="A1041" t="str">
            <v/>
          </cell>
          <cell r="B1041" t="str">
            <v/>
          </cell>
          <cell r="C1041" t="str">
            <v>Future</v>
          </cell>
          <cell r="D1041" t="e">
            <v>#N/A</v>
          </cell>
          <cell r="E1041">
            <v>-31.290632411066948</v>
          </cell>
          <cell r="F1041">
            <v>48.725177865613027</v>
          </cell>
          <cell r="G1041">
            <v>29.673794466402327</v>
          </cell>
          <cell r="H1041">
            <v>29.673794466402327</v>
          </cell>
          <cell r="I1041" t="e">
            <v>#N/A</v>
          </cell>
          <cell r="J1041" t="e">
            <v>#N/A</v>
          </cell>
          <cell r="K1041">
            <v>42</v>
          </cell>
          <cell r="L1041">
            <v>32</v>
          </cell>
          <cell r="M1041" t="e">
            <v>#N/A</v>
          </cell>
          <cell r="N1041">
            <v>37</v>
          </cell>
          <cell r="O1041" t="e">
            <v>#N/A</v>
          </cell>
          <cell r="P1041" t="str">
            <v/>
          </cell>
          <cell r="Q1041" t="str">
            <v/>
          </cell>
          <cell r="R1041" t="e">
            <v>#N/A</v>
          </cell>
        </row>
        <row r="1042">
          <cell r="A1042" t="str">
            <v/>
          </cell>
          <cell r="B1042" t="str">
            <v/>
          </cell>
          <cell r="C1042" t="str">
            <v>Future</v>
          </cell>
          <cell r="D1042" t="e">
            <v>#N/A</v>
          </cell>
          <cell r="E1042">
            <v>-31.427272727272481</v>
          </cell>
          <cell r="F1042">
            <v>48.754545454545834</v>
          </cell>
          <cell r="G1042">
            <v>29.663636363635529</v>
          </cell>
          <cell r="H1042">
            <v>29.663636363635529</v>
          </cell>
          <cell r="I1042" t="e">
            <v>#N/A</v>
          </cell>
          <cell r="J1042" t="e">
            <v>#N/A</v>
          </cell>
          <cell r="K1042">
            <v>42</v>
          </cell>
          <cell r="L1042">
            <v>32</v>
          </cell>
          <cell r="M1042" t="e">
            <v>#N/A</v>
          </cell>
          <cell r="N1042">
            <v>37</v>
          </cell>
          <cell r="O1042" t="e">
            <v>#N/A</v>
          </cell>
          <cell r="P1042" t="str">
            <v/>
          </cell>
          <cell r="Q1042" t="str">
            <v/>
          </cell>
          <cell r="R1042" t="e">
            <v>#N/A</v>
          </cell>
        </row>
        <row r="1043">
          <cell r="A1043" t="str">
            <v/>
          </cell>
          <cell r="B1043" t="str">
            <v/>
          </cell>
          <cell r="C1043" t="str">
            <v>Future</v>
          </cell>
          <cell r="D1043" t="e">
            <v>#N/A</v>
          </cell>
          <cell r="E1043">
            <v>-31.563913043478014</v>
          </cell>
          <cell r="F1043">
            <v>48.783913043478641</v>
          </cell>
          <cell r="G1043">
            <v>29.653478260868731</v>
          </cell>
          <cell r="H1043">
            <v>29.653478260868731</v>
          </cell>
          <cell r="I1043" t="e">
            <v>#N/A</v>
          </cell>
          <cell r="J1043" t="e">
            <v>#N/A</v>
          </cell>
          <cell r="K1043">
            <v>42</v>
          </cell>
          <cell r="L1043">
            <v>32</v>
          </cell>
          <cell r="M1043" t="e">
            <v>#N/A</v>
          </cell>
          <cell r="N1043">
            <v>37</v>
          </cell>
          <cell r="O1043" t="e">
            <v>#N/A</v>
          </cell>
          <cell r="P1043" t="str">
            <v/>
          </cell>
          <cell r="Q1043" t="str">
            <v/>
          </cell>
          <cell r="R1043" t="e">
            <v>#N/A</v>
          </cell>
        </row>
        <row r="1044">
          <cell r="A1044" t="str">
            <v/>
          </cell>
          <cell r="B1044" t="str">
            <v/>
          </cell>
          <cell r="C1044" t="str">
            <v>Future</v>
          </cell>
          <cell r="D1044" t="e">
            <v>#N/A</v>
          </cell>
          <cell r="E1044">
            <v>-31.700553359683546</v>
          </cell>
          <cell r="F1044">
            <v>48.813280632411448</v>
          </cell>
          <cell r="G1044">
            <v>29.643320158101933</v>
          </cell>
          <cell r="H1044">
            <v>29.643320158101933</v>
          </cell>
          <cell r="I1044" t="e">
            <v>#N/A</v>
          </cell>
          <cell r="J1044" t="e">
            <v>#N/A</v>
          </cell>
          <cell r="K1044">
            <v>42</v>
          </cell>
          <cell r="L1044">
            <v>32</v>
          </cell>
          <cell r="M1044" t="e">
            <v>#N/A</v>
          </cell>
          <cell r="N1044">
            <v>37</v>
          </cell>
          <cell r="O1044" t="e">
            <v>#N/A</v>
          </cell>
          <cell r="P1044" t="str">
            <v/>
          </cell>
          <cell r="Q1044" t="str">
            <v/>
          </cell>
          <cell r="R1044" t="e">
            <v>#N/A</v>
          </cell>
        </row>
        <row r="1045">
          <cell r="A1045" t="str">
            <v/>
          </cell>
          <cell r="B1045" t="str">
            <v/>
          </cell>
          <cell r="C1045" t="str">
            <v>Future</v>
          </cell>
          <cell r="D1045" t="e">
            <v>#N/A</v>
          </cell>
          <cell r="E1045">
            <v>-31.837193675889079</v>
          </cell>
          <cell r="F1045">
            <v>48.842648221344255</v>
          </cell>
          <cell r="G1045">
            <v>29.633162055335134</v>
          </cell>
          <cell r="H1045">
            <v>29.633162055335134</v>
          </cell>
          <cell r="I1045" t="e">
            <v>#N/A</v>
          </cell>
          <cell r="J1045" t="e">
            <v>#N/A</v>
          </cell>
          <cell r="K1045">
            <v>42</v>
          </cell>
          <cell r="L1045">
            <v>32</v>
          </cell>
          <cell r="M1045" t="e">
            <v>#N/A</v>
          </cell>
          <cell r="N1045">
            <v>37</v>
          </cell>
          <cell r="O1045" t="e">
            <v>#N/A</v>
          </cell>
          <cell r="P1045" t="str">
            <v/>
          </cell>
          <cell r="Q1045" t="str">
            <v/>
          </cell>
          <cell r="R1045" t="e">
            <v>#N/A</v>
          </cell>
        </row>
        <row r="1046">
          <cell r="A1046" t="str">
            <v/>
          </cell>
          <cell r="B1046" t="str">
            <v/>
          </cell>
          <cell r="C1046" t="str">
            <v>Future</v>
          </cell>
          <cell r="D1046" t="e">
            <v>#N/A</v>
          </cell>
          <cell r="E1046">
            <v>-31.973833992094612</v>
          </cell>
          <cell r="F1046">
            <v>48.872015810277063</v>
          </cell>
          <cell r="G1046">
            <v>29.623003952568336</v>
          </cell>
          <cell r="H1046">
            <v>29.623003952568336</v>
          </cell>
          <cell r="I1046" t="e">
            <v>#N/A</v>
          </cell>
          <cell r="J1046" t="e">
            <v>#N/A</v>
          </cell>
          <cell r="K1046">
            <v>42</v>
          </cell>
          <cell r="L1046">
            <v>32</v>
          </cell>
          <cell r="M1046" t="e">
            <v>#N/A</v>
          </cell>
          <cell r="N1046">
            <v>37</v>
          </cell>
          <cell r="O1046" t="e">
            <v>#N/A</v>
          </cell>
          <cell r="P1046" t="str">
            <v/>
          </cell>
          <cell r="Q1046" t="str">
            <v/>
          </cell>
          <cell r="R1046" t="e">
            <v>#N/A</v>
          </cell>
        </row>
        <row r="1047">
          <cell r="A1047" t="str">
            <v/>
          </cell>
          <cell r="B1047" t="str">
            <v/>
          </cell>
          <cell r="C1047" t="str">
            <v>Future</v>
          </cell>
          <cell r="D1047" t="e">
            <v>#N/A</v>
          </cell>
          <cell r="E1047">
            <v>-32.110474308300148</v>
          </cell>
          <cell r="F1047">
            <v>48.90138339920987</v>
          </cell>
          <cell r="G1047">
            <v>29.612845849801538</v>
          </cell>
          <cell r="H1047">
            <v>29.612845849801538</v>
          </cell>
          <cell r="I1047" t="e">
            <v>#N/A</v>
          </cell>
          <cell r="J1047" t="e">
            <v>#N/A</v>
          </cell>
          <cell r="K1047">
            <v>42</v>
          </cell>
          <cell r="L1047">
            <v>32</v>
          </cell>
          <cell r="M1047" t="e">
            <v>#N/A</v>
          </cell>
          <cell r="N1047">
            <v>37</v>
          </cell>
          <cell r="O1047" t="e">
            <v>#N/A</v>
          </cell>
          <cell r="P1047" t="str">
            <v/>
          </cell>
          <cell r="Q1047" t="str">
            <v/>
          </cell>
          <cell r="R1047" t="e">
            <v>#N/A</v>
          </cell>
        </row>
        <row r="1048">
          <cell r="A1048" t="str">
            <v/>
          </cell>
          <cell r="B1048" t="str">
            <v/>
          </cell>
          <cell r="C1048" t="str">
            <v>Future</v>
          </cell>
          <cell r="D1048" t="e">
            <v>#N/A</v>
          </cell>
          <cell r="E1048">
            <v>-32.247114624505684</v>
          </cell>
          <cell r="F1048">
            <v>48.930750988142677</v>
          </cell>
          <cell r="G1048">
            <v>29.602687747034739</v>
          </cell>
          <cell r="H1048">
            <v>29.602687747034739</v>
          </cell>
          <cell r="I1048" t="e">
            <v>#N/A</v>
          </cell>
          <cell r="J1048" t="e">
            <v>#N/A</v>
          </cell>
          <cell r="K1048">
            <v>42</v>
          </cell>
          <cell r="L1048">
            <v>32</v>
          </cell>
          <cell r="M1048" t="e">
            <v>#N/A</v>
          </cell>
          <cell r="N1048">
            <v>37</v>
          </cell>
          <cell r="O1048" t="e">
            <v>#N/A</v>
          </cell>
          <cell r="P1048" t="str">
            <v/>
          </cell>
          <cell r="Q1048" t="str">
            <v/>
          </cell>
          <cell r="R1048" t="e">
            <v>#N/A</v>
          </cell>
        </row>
        <row r="1049">
          <cell r="A1049" t="str">
            <v/>
          </cell>
          <cell r="B1049" t="str">
            <v/>
          </cell>
          <cell r="C1049" t="str">
            <v>Future</v>
          </cell>
          <cell r="D1049" t="e">
            <v>#N/A</v>
          </cell>
          <cell r="E1049">
            <v>-32.383754940711221</v>
          </cell>
          <cell r="F1049">
            <v>48.960118577075484</v>
          </cell>
          <cell r="G1049">
            <v>29.592529644267941</v>
          </cell>
          <cell r="H1049">
            <v>29.592529644267941</v>
          </cell>
          <cell r="I1049" t="e">
            <v>#N/A</v>
          </cell>
          <cell r="J1049" t="e">
            <v>#N/A</v>
          </cell>
          <cell r="K1049">
            <v>42</v>
          </cell>
          <cell r="L1049">
            <v>32</v>
          </cell>
          <cell r="M1049" t="e">
            <v>#N/A</v>
          </cell>
          <cell r="N1049">
            <v>37</v>
          </cell>
          <cell r="O1049" t="e">
            <v>#N/A</v>
          </cell>
          <cell r="P1049" t="str">
            <v/>
          </cell>
          <cell r="Q1049" t="str">
            <v/>
          </cell>
          <cell r="R1049" t="e">
            <v>#N/A</v>
          </cell>
        </row>
        <row r="1050">
          <cell r="A1050" t="str">
            <v/>
          </cell>
          <cell r="B1050" t="str">
            <v/>
          </cell>
          <cell r="C1050" t="str">
            <v>Future</v>
          </cell>
          <cell r="D1050" t="e">
            <v>#N/A</v>
          </cell>
          <cell r="E1050">
            <v>-32.520395256916757</v>
          </cell>
          <cell r="F1050">
            <v>48.989486166008291</v>
          </cell>
          <cell r="G1050">
            <v>29.582371541501143</v>
          </cell>
          <cell r="H1050">
            <v>29.582371541501143</v>
          </cell>
          <cell r="I1050" t="e">
            <v>#N/A</v>
          </cell>
          <cell r="J1050" t="e">
            <v>#N/A</v>
          </cell>
          <cell r="K1050">
            <v>42</v>
          </cell>
          <cell r="L1050">
            <v>32</v>
          </cell>
          <cell r="M1050" t="e">
            <v>#N/A</v>
          </cell>
          <cell r="N1050">
            <v>37</v>
          </cell>
          <cell r="O1050" t="e">
            <v>#N/A</v>
          </cell>
          <cell r="P1050" t="str">
            <v/>
          </cell>
          <cell r="Q1050" t="str">
            <v/>
          </cell>
          <cell r="R1050" t="e">
            <v>#N/A</v>
          </cell>
        </row>
        <row r="1051">
          <cell r="A1051" t="str">
            <v/>
          </cell>
          <cell r="B1051" t="str">
            <v/>
          </cell>
          <cell r="C1051" t="str">
            <v>Future</v>
          </cell>
          <cell r="D1051" t="e">
            <v>#N/A</v>
          </cell>
          <cell r="E1051">
            <v>-32.657035573122293</v>
          </cell>
          <cell r="F1051">
            <v>49.018853754941098</v>
          </cell>
          <cell r="G1051">
            <v>29.572213438734344</v>
          </cell>
          <cell r="H1051">
            <v>29.572213438734344</v>
          </cell>
          <cell r="I1051" t="e">
            <v>#N/A</v>
          </cell>
          <cell r="J1051" t="e">
            <v>#N/A</v>
          </cell>
          <cell r="K1051">
            <v>42</v>
          </cell>
          <cell r="L1051">
            <v>32</v>
          </cell>
          <cell r="M1051" t="e">
            <v>#N/A</v>
          </cell>
          <cell r="N1051">
            <v>37</v>
          </cell>
          <cell r="O1051" t="e">
            <v>#N/A</v>
          </cell>
          <cell r="P1051" t="str">
            <v/>
          </cell>
          <cell r="Q1051" t="str">
            <v/>
          </cell>
          <cell r="R1051" t="e">
            <v>#N/A</v>
          </cell>
        </row>
        <row r="1052">
          <cell r="A1052" t="str">
            <v/>
          </cell>
          <cell r="B1052" t="str">
            <v/>
          </cell>
          <cell r="C1052" t="str">
            <v>Future</v>
          </cell>
          <cell r="D1052" t="e">
            <v>#N/A</v>
          </cell>
          <cell r="E1052">
            <v>-32.79367588932783</v>
          </cell>
          <cell r="F1052">
            <v>49.048221343873905</v>
          </cell>
          <cell r="G1052">
            <v>29.562055335967546</v>
          </cell>
          <cell r="H1052">
            <v>29.562055335967546</v>
          </cell>
          <cell r="I1052" t="e">
            <v>#N/A</v>
          </cell>
          <cell r="J1052" t="e">
            <v>#N/A</v>
          </cell>
          <cell r="K1052">
            <v>42</v>
          </cell>
          <cell r="L1052">
            <v>32</v>
          </cell>
          <cell r="M1052" t="e">
            <v>#N/A</v>
          </cell>
          <cell r="N1052">
            <v>37</v>
          </cell>
          <cell r="O1052" t="e">
            <v>#N/A</v>
          </cell>
          <cell r="P1052" t="str">
            <v/>
          </cell>
          <cell r="Q1052" t="str">
            <v/>
          </cell>
          <cell r="R1052" t="e">
            <v>#N/A</v>
          </cell>
        </row>
        <row r="1053">
          <cell r="A1053" t="str">
            <v/>
          </cell>
          <cell r="B1053" t="str">
            <v/>
          </cell>
          <cell r="C1053" t="str">
            <v>Future</v>
          </cell>
          <cell r="D1053" t="e">
            <v>#N/A</v>
          </cell>
          <cell r="E1053">
            <v>-32.930316205533366</v>
          </cell>
          <cell r="F1053">
            <v>49.077588932806712</v>
          </cell>
          <cell r="G1053">
            <v>29.551897233200748</v>
          </cell>
          <cell r="H1053">
            <v>29.551897233200748</v>
          </cell>
          <cell r="I1053" t="e">
            <v>#N/A</v>
          </cell>
          <cell r="J1053" t="e">
            <v>#N/A</v>
          </cell>
          <cell r="K1053">
            <v>42</v>
          </cell>
          <cell r="L1053">
            <v>32</v>
          </cell>
          <cell r="M1053" t="e">
            <v>#N/A</v>
          </cell>
          <cell r="N1053">
            <v>37</v>
          </cell>
          <cell r="O1053" t="e">
            <v>#N/A</v>
          </cell>
          <cell r="P1053" t="str">
            <v/>
          </cell>
          <cell r="Q1053" t="str">
            <v/>
          </cell>
          <cell r="R1053" t="e">
            <v>#N/A</v>
          </cell>
        </row>
        <row r="1054">
          <cell r="A1054" t="str">
            <v/>
          </cell>
          <cell r="B1054" t="str">
            <v/>
          </cell>
          <cell r="C1054" t="str">
            <v>Future</v>
          </cell>
          <cell r="D1054" t="e">
            <v>#N/A</v>
          </cell>
          <cell r="E1054">
            <v>-33.066956521738902</v>
          </cell>
          <cell r="F1054">
            <v>49.106956521739519</v>
          </cell>
          <cell r="G1054">
            <v>29.54173913043395</v>
          </cell>
          <cell r="H1054">
            <v>29.54173913043395</v>
          </cell>
          <cell r="I1054" t="e">
            <v>#N/A</v>
          </cell>
          <cell r="J1054" t="e">
            <v>#N/A</v>
          </cell>
          <cell r="K1054">
            <v>42</v>
          </cell>
          <cell r="L1054">
            <v>32</v>
          </cell>
          <cell r="M1054" t="e">
            <v>#N/A</v>
          </cell>
          <cell r="N1054">
            <v>37</v>
          </cell>
          <cell r="O1054" t="e">
            <v>#N/A</v>
          </cell>
          <cell r="P1054" t="str">
            <v/>
          </cell>
          <cell r="Q1054" t="str">
            <v/>
          </cell>
          <cell r="R1054" t="e">
            <v>#N/A</v>
          </cell>
        </row>
        <row r="1055">
          <cell r="A1055" t="str">
            <v/>
          </cell>
          <cell r="B1055" t="str">
            <v/>
          </cell>
          <cell r="C1055" t="str">
            <v>Future</v>
          </cell>
          <cell r="D1055" t="e">
            <v>#N/A</v>
          </cell>
          <cell r="E1055">
            <v>-33.203596837944438</v>
          </cell>
          <cell r="F1055">
            <v>49.136324110672327</v>
          </cell>
          <cell r="G1055">
            <v>29.531581027667151</v>
          </cell>
          <cell r="H1055">
            <v>29.531581027667151</v>
          </cell>
          <cell r="I1055" t="e">
            <v>#N/A</v>
          </cell>
          <cell r="J1055" t="e">
            <v>#N/A</v>
          </cell>
          <cell r="K1055">
            <v>42</v>
          </cell>
          <cell r="L1055">
            <v>32</v>
          </cell>
          <cell r="M1055" t="e">
            <v>#N/A</v>
          </cell>
          <cell r="N1055">
            <v>37</v>
          </cell>
          <cell r="O1055" t="e">
            <v>#N/A</v>
          </cell>
          <cell r="P1055" t="str">
            <v/>
          </cell>
          <cell r="Q1055" t="str">
            <v/>
          </cell>
          <cell r="R1055" t="e">
            <v>#N/A</v>
          </cell>
        </row>
        <row r="1056">
          <cell r="A1056" t="str">
            <v/>
          </cell>
          <cell r="B1056" t="str">
            <v/>
          </cell>
          <cell r="C1056" t="str">
            <v>Future</v>
          </cell>
          <cell r="D1056" t="e">
            <v>#N/A</v>
          </cell>
          <cell r="E1056">
            <v>-33.340237154149975</v>
          </cell>
          <cell r="F1056">
            <v>49.165691699605134</v>
          </cell>
          <cell r="G1056">
            <v>29.521422924900353</v>
          </cell>
          <cell r="H1056">
            <v>29.521422924900353</v>
          </cell>
          <cell r="I1056" t="e">
            <v>#N/A</v>
          </cell>
          <cell r="J1056" t="e">
            <v>#N/A</v>
          </cell>
          <cell r="K1056">
            <v>42</v>
          </cell>
          <cell r="L1056">
            <v>32</v>
          </cell>
          <cell r="M1056" t="e">
            <v>#N/A</v>
          </cell>
          <cell r="N1056">
            <v>37</v>
          </cell>
          <cell r="O1056" t="e">
            <v>#N/A</v>
          </cell>
          <cell r="P1056" t="str">
            <v/>
          </cell>
          <cell r="Q1056" t="str">
            <v/>
          </cell>
          <cell r="R1056" t="e">
            <v>#N/A</v>
          </cell>
        </row>
        <row r="1057">
          <cell r="A1057" t="str">
            <v/>
          </cell>
          <cell r="B1057" t="str">
            <v/>
          </cell>
          <cell r="C1057" t="str">
            <v>Future</v>
          </cell>
          <cell r="D1057" t="e">
            <v>#N/A</v>
          </cell>
          <cell r="E1057">
            <v>-33.476877470355511</v>
          </cell>
          <cell r="F1057">
            <v>49.195059288537941</v>
          </cell>
          <cell r="G1057">
            <v>29.511264822133555</v>
          </cell>
          <cell r="H1057">
            <v>29.511264822133555</v>
          </cell>
          <cell r="I1057" t="e">
            <v>#N/A</v>
          </cell>
          <cell r="J1057" t="e">
            <v>#N/A</v>
          </cell>
          <cell r="K1057">
            <v>42</v>
          </cell>
          <cell r="L1057">
            <v>32</v>
          </cell>
          <cell r="M1057" t="e">
            <v>#N/A</v>
          </cell>
          <cell r="N1057">
            <v>37</v>
          </cell>
          <cell r="O1057" t="e">
            <v>#N/A</v>
          </cell>
          <cell r="P1057" t="str">
            <v/>
          </cell>
          <cell r="Q1057" t="str">
            <v/>
          </cell>
          <cell r="R1057" t="e">
            <v>#N/A</v>
          </cell>
        </row>
        <row r="1058">
          <cell r="A1058" t="str">
            <v/>
          </cell>
          <cell r="B1058" t="str">
            <v/>
          </cell>
          <cell r="C1058" t="str">
            <v>Future</v>
          </cell>
          <cell r="D1058" t="e">
            <v>#N/A</v>
          </cell>
          <cell r="E1058">
            <v>-33.613517786561047</v>
          </cell>
          <cell r="F1058">
            <v>49.224426877470748</v>
          </cell>
          <cell r="G1058">
            <v>29.501106719366756</v>
          </cell>
          <cell r="H1058">
            <v>29.501106719366756</v>
          </cell>
          <cell r="I1058" t="e">
            <v>#N/A</v>
          </cell>
          <cell r="J1058" t="e">
            <v>#N/A</v>
          </cell>
          <cell r="K1058">
            <v>42</v>
          </cell>
          <cell r="L1058">
            <v>32</v>
          </cell>
          <cell r="M1058" t="e">
            <v>#N/A</v>
          </cell>
          <cell r="N1058">
            <v>37</v>
          </cell>
          <cell r="O1058" t="e">
            <v>#N/A</v>
          </cell>
          <cell r="P1058" t="str">
            <v/>
          </cell>
          <cell r="Q1058" t="str">
            <v/>
          </cell>
          <cell r="R1058" t="e">
            <v>#N/A</v>
          </cell>
        </row>
        <row r="1059">
          <cell r="A1059" t="str">
            <v/>
          </cell>
          <cell r="B1059" t="str">
            <v/>
          </cell>
          <cell r="C1059" t="str">
            <v>Future</v>
          </cell>
          <cell r="D1059" t="e">
            <v>#N/A</v>
          </cell>
          <cell r="E1059">
            <v>-33.750158102766584</v>
          </cell>
          <cell r="F1059">
            <v>49.253794466403555</v>
          </cell>
          <cell r="G1059">
            <v>29.490948616599958</v>
          </cell>
          <cell r="H1059">
            <v>29.490948616599958</v>
          </cell>
          <cell r="I1059" t="e">
            <v>#N/A</v>
          </cell>
          <cell r="J1059" t="e">
            <v>#N/A</v>
          </cell>
          <cell r="K1059">
            <v>42</v>
          </cell>
          <cell r="L1059">
            <v>32</v>
          </cell>
          <cell r="M1059" t="e">
            <v>#N/A</v>
          </cell>
          <cell r="N1059">
            <v>37</v>
          </cell>
          <cell r="O1059" t="e">
            <v>#N/A</v>
          </cell>
          <cell r="P1059" t="str">
            <v/>
          </cell>
          <cell r="Q1059" t="str">
            <v/>
          </cell>
          <cell r="R1059" t="e">
            <v>#N/A</v>
          </cell>
        </row>
        <row r="1060">
          <cell r="A1060" t="str">
            <v/>
          </cell>
          <cell r="B1060" t="str">
            <v/>
          </cell>
          <cell r="C1060" t="str">
            <v>Future</v>
          </cell>
          <cell r="D1060" t="e">
            <v>#N/A</v>
          </cell>
          <cell r="E1060">
            <v>-33.88679841897212</v>
          </cell>
          <cell r="F1060">
            <v>49.283162055336362</v>
          </cell>
          <cell r="G1060">
            <v>29.48079051383316</v>
          </cell>
          <cell r="H1060">
            <v>29.48079051383316</v>
          </cell>
          <cell r="I1060" t="e">
            <v>#N/A</v>
          </cell>
          <cell r="J1060" t="e">
            <v>#N/A</v>
          </cell>
          <cell r="K1060">
            <v>42</v>
          </cell>
          <cell r="L1060">
            <v>32</v>
          </cell>
          <cell r="M1060" t="e">
            <v>#N/A</v>
          </cell>
          <cell r="N1060">
            <v>37</v>
          </cell>
          <cell r="O1060" t="e">
            <v>#N/A</v>
          </cell>
          <cell r="P1060" t="str">
            <v/>
          </cell>
          <cell r="Q1060" t="str">
            <v/>
          </cell>
          <cell r="R1060" t="e">
            <v>#N/A</v>
          </cell>
        </row>
        <row r="1061">
          <cell r="A1061" t="str">
            <v/>
          </cell>
          <cell r="B1061" t="str">
            <v/>
          </cell>
          <cell r="C1061" t="str">
            <v>Future</v>
          </cell>
          <cell r="D1061" t="e">
            <v>#N/A</v>
          </cell>
          <cell r="E1061">
            <v>-34.023438735177656</v>
          </cell>
          <cell r="F1061">
            <v>49.312529644269169</v>
          </cell>
          <cell r="G1061">
            <v>29.470632411066362</v>
          </cell>
          <cell r="H1061">
            <v>29.470632411066362</v>
          </cell>
          <cell r="I1061" t="e">
            <v>#N/A</v>
          </cell>
          <cell r="J1061" t="e">
            <v>#N/A</v>
          </cell>
          <cell r="K1061">
            <v>42</v>
          </cell>
          <cell r="L1061">
            <v>32</v>
          </cell>
          <cell r="M1061" t="e">
            <v>#N/A</v>
          </cell>
          <cell r="N1061">
            <v>37</v>
          </cell>
          <cell r="O1061" t="e">
            <v>#N/A</v>
          </cell>
          <cell r="P1061" t="str">
            <v/>
          </cell>
          <cell r="Q1061" t="str">
            <v/>
          </cell>
          <cell r="R1061" t="e">
            <v>#N/A</v>
          </cell>
        </row>
        <row r="1062">
          <cell r="A1062" t="str">
            <v/>
          </cell>
          <cell r="B1062" t="str">
            <v/>
          </cell>
          <cell r="C1062" t="str">
            <v>Future</v>
          </cell>
          <cell r="D1062" t="e">
            <v>#N/A</v>
          </cell>
          <cell r="E1062">
            <v>-34.160079051383192</v>
          </cell>
          <cell r="F1062">
            <v>49.341897233201976</v>
          </cell>
          <cell r="G1062">
            <v>29.460474308299563</v>
          </cell>
          <cell r="H1062">
            <v>29.460474308299563</v>
          </cell>
          <cell r="I1062" t="e">
            <v>#N/A</v>
          </cell>
          <cell r="J1062" t="e">
            <v>#N/A</v>
          </cell>
          <cell r="K1062">
            <v>42</v>
          </cell>
          <cell r="L1062">
            <v>32</v>
          </cell>
          <cell r="M1062" t="e">
            <v>#N/A</v>
          </cell>
          <cell r="N1062">
            <v>37</v>
          </cell>
          <cell r="O1062" t="e">
            <v>#N/A</v>
          </cell>
          <cell r="P1062" t="str">
            <v/>
          </cell>
          <cell r="Q1062" t="str">
            <v/>
          </cell>
          <cell r="R1062" t="e">
            <v>#N/A</v>
          </cell>
        </row>
        <row r="1063">
          <cell r="A1063" t="str">
            <v/>
          </cell>
          <cell r="B1063" t="str">
            <v/>
          </cell>
          <cell r="C1063" t="str">
            <v>Future</v>
          </cell>
          <cell r="D1063" t="e">
            <v>#N/A</v>
          </cell>
          <cell r="E1063">
            <v>-34.296719367588729</v>
          </cell>
          <cell r="F1063">
            <v>49.371264822134783</v>
          </cell>
          <cell r="G1063">
            <v>29.450316205532765</v>
          </cell>
          <cell r="H1063">
            <v>29.450316205532765</v>
          </cell>
          <cell r="I1063" t="e">
            <v>#N/A</v>
          </cell>
          <cell r="J1063" t="e">
            <v>#N/A</v>
          </cell>
          <cell r="K1063">
            <v>42</v>
          </cell>
          <cell r="L1063">
            <v>32</v>
          </cell>
          <cell r="M1063" t="e">
            <v>#N/A</v>
          </cell>
          <cell r="N1063">
            <v>37</v>
          </cell>
          <cell r="O1063" t="e">
            <v>#N/A</v>
          </cell>
          <cell r="P1063" t="str">
            <v/>
          </cell>
          <cell r="Q1063" t="str">
            <v/>
          </cell>
          <cell r="R1063" t="e">
            <v>#N/A</v>
          </cell>
        </row>
        <row r="1064">
          <cell r="A1064" t="str">
            <v/>
          </cell>
          <cell r="B1064" t="str">
            <v/>
          </cell>
          <cell r="C1064" t="str">
            <v>Future</v>
          </cell>
          <cell r="D1064" t="e">
            <v>#N/A</v>
          </cell>
          <cell r="E1064">
            <v>-34.433359683794265</v>
          </cell>
          <cell r="F1064">
            <v>49.400632411067591</v>
          </cell>
          <cell r="G1064">
            <v>29.440158102765967</v>
          </cell>
          <cell r="H1064">
            <v>29.440158102765967</v>
          </cell>
          <cell r="I1064" t="e">
            <v>#N/A</v>
          </cell>
          <cell r="J1064" t="e">
            <v>#N/A</v>
          </cell>
          <cell r="K1064">
            <v>42</v>
          </cell>
          <cell r="L1064">
            <v>32</v>
          </cell>
          <cell r="M1064" t="e">
            <v>#N/A</v>
          </cell>
          <cell r="N1064">
            <v>37</v>
          </cell>
          <cell r="O1064" t="e">
            <v>#N/A</v>
          </cell>
          <cell r="P1064" t="str">
            <v/>
          </cell>
          <cell r="Q1064" t="str">
            <v/>
          </cell>
          <cell r="R1064" t="e">
            <v>#N/A</v>
          </cell>
        </row>
        <row r="1065">
          <cell r="A1065" t="str">
            <v/>
          </cell>
          <cell r="B1065" t="str">
            <v/>
          </cell>
          <cell r="C1065" t="str">
            <v>Future</v>
          </cell>
          <cell r="D1065" t="e">
            <v>#N/A</v>
          </cell>
          <cell r="E1065">
            <v>-34.569999999999801</v>
          </cell>
          <cell r="F1065">
            <v>49.430000000000398</v>
          </cell>
          <cell r="G1065">
            <v>29.429999999999168</v>
          </cell>
          <cell r="H1065">
            <v>29.429999999999168</v>
          </cell>
          <cell r="I1065" t="e">
            <v>#N/A</v>
          </cell>
          <cell r="J1065" t="e">
            <v>#N/A</v>
          </cell>
          <cell r="K1065">
            <v>42</v>
          </cell>
          <cell r="L1065">
            <v>32</v>
          </cell>
          <cell r="M1065" t="e">
            <v>#N/A</v>
          </cell>
          <cell r="N1065">
            <v>37</v>
          </cell>
          <cell r="O1065" t="e">
            <v>#N/A</v>
          </cell>
          <cell r="P1065" t="str">
            <v/>
          </cell>
          <cell r="Q1065" t="str">
            <v/>
          </cell>
          <cell r="R1065" t="e">
            <v>#N/A</v>
          </cell>
        </row>
        <row r="1066">
          <cell r="A1066" t="str">
            <v/>
          </cell>
          <cell r="B1066" t="str">
            <v/>
          </cell>
          <cell r="C1066" t="str">
            <v>Future</v>
          </cell>
          <cell r="D1066" t="e">
            <v>#N/A</v>
          </cell>
          <cell r="E1066">
            <v>-34.706640316205338</v>
          </cell>
          <cell r="F1066">
            <v>49.459367588933205</v>
          </cell>
          <cell r="G1066">
            <v>29.41984189723237</v>
          </cell>
          <cell r="H1066">
            <v>29.41984189723237</v>
          </cell>
          <cell r="I1066" t="e">
            <v>#N/A</v>
          </cell>
          <cell r="J1066" t="e">
            <v>#N/A</v>
          </cell>
          <cell r="K1066">
            <v>42</v>
          </cell>
          <cell r="L1066">
            <v>32</v>
          </cell>
          <cell r="M1066" t="e">
            <v>#N/A</v>
          </cell>
          <cell r="N1066">
            <v>37</v>
          </cell>
          <cell r="O1066" t="e">
            <v>#N/A</v>
          </cell>
          <cell r="P1066" t="str">
            <v/>
          </cell>
          <cell r="Q1066" t="str">
            <v/>
          </cell>
          <cell r="R1066" t="e">
            <v>#N/A</v>
          </cell>
        </row>
        <row r="1067">
          <cell r="A1067" t="str">
            <v/>
          </cell>
          <cell r="B1067" t="str">
            <v/>
          </cell>
          <cell r="C1067" t="str">
            <v>Future</v>
          </cell>
          <cell r="D1067" t="e">
            <v>#N/A</v>
          </cell>
          <cell r="E1067">
            <v>-34.843280632410874</v>
          </cell>
          <cell r="F1067">
            <v>49.488735177866012</v>
          </cell>
          <cell r="G1067">
            <v>29.409683794465572</v>
          </cell>
          <cell r="H1067">
            <v>29.409683794465572</v>
          </cell>
          <cell r="I1067" t="e">
            <v>#N/A</v>
          </cell>
          <cell r="J1067" t="e">
            <v>#N/A</v>
          </cell>
          <cell r="K1067">
            <v>42</v>
          </cell>
          <cell r="L1067">
            <v>32</v>
          </cell>
          <cell r="M1067" t="e">
            <v>#N/A</v>
          </cell>
          <cell r="N1067">
            <v>37</v>
          </cell>
          <cell r="O1067" t="e">
            <v>#N/A</v>
          </cell>
          <cell r="P1067" t="str">
            <v/>
          </cell>
          <cell r="Q1067" t="str">
            <v/>
          </cell>
          <cell r="R1067" t="e">
            <v>#N/A</v>
          </cell>
        </row>
        <row r="1068">
          <cell r="A1068" t="str">
            <v/>
          </cell>
          <cell r="B1068" t="str">
            <v/>
          </cell>
          <cell r="C1068" t="str">
            <v>Future</v>
          </cell>
          <cell r="D1068" t="e">
            <v>#N/A</v>
          </cell>
          <cell r="E1068">
            <v>-34.97992094861641</v>
          </cell>
          <cell r="F1068">
            <v>49.518102766798819</v>
          </cell>
          <cell r="G1068">
            <v>29.399525691698773</v>
          </cell>
          <cell r="H1068">
            <v>29.399525691698773</v>
          </cell>
          <cell r="I1068" t="e">
            <v>#N/A</v>
          </cell>
          <cell r="J1068" t="e">
            <v>#N/A</v>
          </cell>
          <cell r="K1068">
            <v>42</v>
          </cell>
          <cell r="L1068">
            <v>32</v>
          </cell>
          <cell r="M1068" t="e">
            <v>#N/A</v>
          </cell>
          <cell r="N1068">
            <v>37</v>
          </cell>
          <cell r="O1068" t="e">
            <v>#N/A</v>
          </cell>
          <cell r="P1068" t="str">
            <v/>
          </cell>
          <cell r="Q1068" t="str">
            <v/>
          </cell>
          <cell r="R1068" t="e">
            <v>#N/A</v>
          </cell>
        </row>
        <row r="1069">
          <cell r="A1069" t="str">
            <v/>
          </cell>
          <cell r="B1069" t="str">
            <v/>
          </cell>
          <cell r="C1069" t="str">
            <v>Future</v>
          </cell>
          <cell r="D1069" t="e">
            <v>#N/A</v>
          </cell>
          <cell r="E1069">
            <v>-35.116561264821947</v>
          </cell>
          <cell r="F1069">
            <v>49.547470355731626</v>
          </cell>
          <cell r="G1069">
            <v>29.389367588931975</v>
          </cell>
          <cell r="H1069">
            <v>29.389367588931975</v>
          </cell>
          <cell r="I1069" t="e">
            <v>#N/A</v>
          </cell>
          <cell r="J1069" t="e">
            <v>#N/A</v>
          </cell>
          <cell r="K1069">
            <v>42</v>
          </cell>
          <cell r="L1069">
            <v>32</v>
          </cell>
          <cell r="M1069" t="e">
            <v>#N/A</v>
          </cell>
          <cell r="N1069">
            <v>37</v>
          </cell>
          <cell r="O1069" t="e">
            <v>#N/A</v>
          </cell>
          <cell r="P1069" t="str">
            <v/>
          </cell>
          <cell r="Q1069" t="str">
            <v/>
          </cell>
          <cell r="R1069" t="e">
            <v>#N/A</v>
          </cell>
        </row>
        <row r="1070">
          <cell r="A1070" t="str">
            <v/>
          </cell>
          <cell r="B1070" t="str">
            <v/>
          </cell>
          <cell r="C1070" t="str">
            <v>Future</v>
          </cell>
          <cell r="D1070" t="e">
            <v>#N/A</v>
          </cell>
          <cell r="E1070">
            <v>-35.253201581027483</v>
          </cell>
          <cell r="F1070">
            <v>49.576837944664433</v>
          </cell>
          <cell r="G1070">
            <v>29.379209486165177</v>
          </cell>
          <cell r="H1070">
            <v>29.379209486165177</v>
          </cell>
          <cell r="I1070" t="e">
            <v>#N/A</v>
          </cell>
          <cell r="J1070" t="e">
            <v>#N/A</v>
          </cell>
          <cell r="K1070">
            <v>42</v>
          </cell>
          <cell r="L1070">
            <v>32</v>
          </cell>
          <cell r="M1070" t="e">
            <v>#N/A</v>
          </cell>
          <cell r="N1070">
            <v>37</v>
          </cell>
          <cell r="O1070" t="e">
            <v>#N/A</v>
          </cell>
          <cell r="P1070" t="str">
            <v/>
          </cell>
          <cell r="Q1070" t="str">
            <v/>
          </cell>
          <cell r="R1070" t="e">
            <v>#N/A</v>
          </cell>
        </row>
        <row r="1071">
          <cell r="A1071" t="str">
            <v/>
          </cell>
          <cell r="B1071" t="str">
            <v/>
          </cell>
          <cell r="C1071" t="str">
            <v>Future</v>
          </cell>
          <cell r="D1071" t="e">
            <v>#N/A</v>
          </cell>
          <cell r="E1071">
            <v>-35.389841897233019</v>
          </cell>
          <cell r="F1071">
            <v>49.60620553359724</v>
          </cell>
          <cell r="G1071">
            <v>29.369051383398379</v>
          </cell>
          <cell r="H1071">
            <v>29.369051383398379</v>
          </cell>
          <cell r="I1071" t="e">
            <v>#N/A</v>
          </cell>
          <cell r="J1071" t="e">
            <v>#N/A</v>
          </cell>
          <cell r="K1071">
            <v>42</v>
          </cell>
          <cell r="L1071">
            <v>32</v>
          </cell>
          <cell r="M1071" t="e">
            <v>#N/A</v>
          </cell>
          <cell r="N1071">
            <v>37</v>
          </cell>
          <cell r="O1071" t="e">
            <v>#N/A</v>
          </cell>
          <cell r="P1071" t="str">
            <v/>
          </cell>
          <cell r="Q1071" t="str">
            <v/>
          </cell>
          <cell r="R1071" t="e">
            <v>#N/A</v>
          </cell>
        </row>
        <row r="1072">
          <cell r="A1072" t="str">
            <v/>
          </cell>
          <cell r="B1072" t="str">
            <v/>
          </cell>
          <cell r="C1072" t="str">
            <v>Future</v>
          </cell>
          <cell r="D1072" t="e">
            <v>#N/A</v>
          </cell>
          <cell r="E1072">
            <v>-35.526482213438555</v>
          </cell>
          <cell r="F1072">
            <v>49.635573122530047</v>
          </cell>
          <cell r="G1072">
            <v>29.35889328063158</v>
          </cell>
          <cell r="H1072">
            <v>29.35889328063158</v>
          </cell>
          <cell r="I1072" t="e">
            <v>#N/A</v>
          </cell>
          <cell r="J1072" t="e">
            <v>#N/A</v>
          </cell>
          <cell r="K1072">
            <v>42</v>
          </cell>
          <cell r="L1072">
            <v>32</v>
          </cell>
          <cell r="M1072" t="e">
            <v>#N/A</v>
          </cell>
          <cell r="N1072">
            <v>37</v>
          </cell>
          <cell r="O1072" t="e">
            <v>#N/A</v>
          </cell>
          <cell r="P1072" t="str">
            <v/>
          </cell>
          <cell r="Q1072" t="str">
            <v/>
          </cell>
          <cell r="R1072" t="e">
            <v>#N/A</v>
          </cell>
        </row>
        <row r="1073">
          <cell r="A1073" t="str">
            <v/>
          </cell>
          <cell r="B1073" t="str">
            <v/>
          </cell>
          <cell r="C1073" t="str">
            <v>Future</v>
          </cell>
          <cell r="D1073" t="e">
            <v>#N/A</v>
          </cell>
          <cell r="E1073">
            <v>-35.663122529644092</v>
          </cell>
          <cell r="F1073">
            <v>49.664940711462854</v>
          </cell>
          <cell r="G1073">
            <v>29.348735177864782</v>
          </cell>
          <cell r="H1073">
            <v>29.348735177864782</v>
          </cell>
          <cell r="I1073" t="e">
            <v>#N/A</v>
          </cell>
          <cell r="J1073" t="e">
            <v>#N/A</v>
          </cell>
          <cell r="K1073">
            <v>42</v>
          </cell>
          <cell r="L1073">
            <v>32</v>
          </cell>
          <cell r="M1073" t="e">
            <v>#N/A</v>
          </cell>
          <cell r="N1073">
            <v>37</v>
          </cell>
          <cell r="O1073" t="e">
            <v>#N/A</v>
          </cell>
          <cell r="P1073" t="str">
            <v/>
          </cell>
          <cell r="Q1073" t="str">
            <v/>
          </cell>
          <cell r="R1073" t="e">
            <v>#N/A</v>
          </cell>
        </row>
        <row r="1074">
          <cell r="A1074" t="str">
            <v/>
          </cell>
          <cell r="B1074" t="str">
            <v/>
          </cell>
          <cell r="C1074" t="str">
            <v>Future</v>
          </cell>
          <cell r="D1074" t="e">
            <v>#N/A</v>
          </cell>
          <cell r="E1074">
            <v>-35.799762845849628</v>
          </cell>
          <cell r="F1074">
            <v>49.694308300395662</v>
          </cell>
          <cell r="G1074">
            <v>29.338577075097984</v>
          </cell>
          <cell r="H1074">
            <v>29.338577075097984</v>
          </cell>
          <cell r="I1074" t="e">
            <v>#N/A</v>
          </cell>
          <cell r="J1074" t="e">
            <v>#N/A</v>
          </cell>
          <cell r="K1074">
            <v>42</v>
          </cell>
          <cell r="L1074">
            <v>32</v>
          </cell>
          <cell r="M1074" t="e">
            <v>#N/A</v>
          </cell>
          <cell r="N1074">
            <v>37</v>
          </cell>
          <cell r="O1074" t="e">
            <v>#N/A</v>
          </cell>
          <cell r="P1074" t="str">
            <v/>
          </cell>
          <cell r="Q1074" t="str">
            <v/>
          </cell>
          <cell r="R1074" t="e">
            <v>#N/A</v>
          </cell>
        </row>
        <row r="1075">
          <cell r="A1075" t="str">
            <v/>
          </cell>
          <cell r="B1075" t="str">
            <v/>
          </cell>
          <cell r="C1075" t="str">
            <v>Future</v>
          </cell>
          <cell r="D1075" t="e">
            <v>#N/A</v>
          </cell>
          <cell r="E1075">
            <v>-35.936403162055164</v>
          </cell>
          <cell r="F1075">
            <v>49.723675889328469</v>
          </cell>
          <cell r="G1075">
            <v>29.328418972331185</v>
          </cell>
          <cell r="H1075">
            <v>29.328418972331185</v>
          </cell>
          <cell r="I1075" t="e">
            <v>#N/A</v>
          </cell>
          <cell r="J1075" t="e">
            <v>#N/A</v>
          </cell>
          <cell r="K1075">
            <v>42</v>
          </cell>
          <cell r="L1075">
            <v>32</v>
          </cell>
          <cell r="M1075" t="e">
            <v>#N/A</v>
          </cell>
          <cell r="N1075">
            <v>37</v>
          </cell>
          <cell r="O1075" t="e">
            <v>#N/A</v>
          </cell>
          <cell r="P1075" t="str">
            <v/>
          </cell>
          <cell r="Q1075" t="str">
            <v/>
          </cell>
          <cell r="R1075" t="e">
            <v>#N/A</v>
          </cell>
        </row>
        <row r="1076">
          <cell r="A1076" t="str">
            <v/>
          </cell>
          <cell r="B1076" t="str">
            <v/>
          </cell>
          <cell r="C1076" t="str">
            <v>Future</v>
          </cell>
          <cell r="D1076" t="e">
            <v>#N/A</v>
          </cell>
          <cell r="E1076">
            <v>-36.073043478260701</v>
          </cell>
          <cell r="F1076">
            <v>49.753043478261276</v>
          </cell>
          <cell r="G1076">
            <v>29.318260869564387</v>
          </cell>
          <cell r="H1076">
            <v>29.318260869564387</v>
          </cell>
          <cell r="I1076" t="e">
            <v>#N/A</v>
          </cell>
          <cell r="J1076" t="e">
            <v>#N/A</v>
          </cell>
          <cell r="K1076">
            <v>42</v>
          </cell>
          <cell r="L1076">
            <v>32</v>
          </cell>
          <cell r="M1076" t="e">
            <v>#N/A</v>
          </cell>
          <cell r="N1076">
            <v>37</v>
          </cell>
          <cell r="O1076" t="e">
            <v>#N/A</v>
          </cell>
          <cell r="P1076" t="str">
            <v/>
          </cell>
          <cell r="Q1076" t="str">
            <v/>
          </cell>
          <cell r="R1076" t="e">
            <v>#N/A</v>
          </cell>
        </row>
        <row r="1077">
          <cell r="A1077" t="str">
            <v/>
          </cell>
          <cell r="B1077" t="str">
            <v/>
          </cell>
          <cell r="C1077" t="str">
            <v>Future</v>
          </cell>
          <cell r="D1077" t="e">
            <v>#N/A</v>
          </cell>
          <cell r="E1077">
            <v>-36.209683794466237</v>
          </cell>
          <cell r="F1077">
            <v>49.782411067194083</v>
          </cell>
          <cell r="G1077">
            <v>29.308102766797589</v>
          </cell>
          <cell r="H1077">
            <v>29.308102766797589</v>
          </cell>
          <cell r="I1077" t="e">
            <v>#N/A</v>
          </cell>
          <cell r="J1077" t="e">
            <v>#N/A</v>
          </cell>
          <cell r="K1077">
            <v>42</v>
          </cell>
          <cell r="L1077">
            <v>32</v>
          </cell>
          <cell r="M1077" t="e">
            <v>#N/A</v>
          </cell>
          <cell r="N1077">
            <v>37</v>
          </cell>
          <cell r="O1077" t="e">
            <v>#N/A</v>
          </cell>
          <cell r="P1077" t="str">
            <v/>
          </cell>
          <cell r="Q1077" t="str">
            <v/>
          </cell>
          <cell r="R1077" t="e">
            <v>#N/A</v>
          </cell>
        </row>
        <row r="1078">
          <cell r="A1078" t="str">
            <v/>
          </cell>
          <cell r="B1078" t="str">
            <v/>
          </cell>
          <cell r="C1078" t="str">
            <v>Future</v>
          </cell>
          <cell r="D1078" t="e">
            <v>#N/A</v>
          </cell>
          <cell r="E1078">
            <v>-36.346324110671773</v>
          </cell>
          <cell r="F1078">
            <v>49.81177865612689</v>
          </cell>
          <cell r="G1078">
            <v>29.297944664030791</v>
          </cell>
          <cell r="H1078">
            <v>29.297944664030791</v>
          </cell>
          <cell r="I1078" t="e">
            <v>#N/A</v>
          </cell>
          <cell r="J1078" t="e">
            <v>#N/A</v>
          </cell>
          <cell r="K1078">
            <v>42</v>
          </cell>
          <cell r="L1078">
            <v>32</v>
          </cell>
          <cell r="M1078" t="e">
            <v>#N/A</v>
          </cell>
          <cell r="N1078">
            <v>37</v>
          </cell>
          <cell r="O1078" t="e">
            <v>#N/A</v>
          </cell>
          <cell r="P1078" t="str">
            <v/>
          </cell>
          <cell r="Q1078" t="str">
            <v/>
          </cell>
          <cell r="R1078" t="e">
            <v>#N/A</v>
          </cell>
        </row>
        <row r="1079">
          <cell r="A1079" t="str">
            <v/>
          </cell>
          <cell r="B1079" t="str">
            <v/>
          </cell>
          <cell r="C1079" t="str">
            <v>Future</v>
          </cell>
          <cell r="D1079" t="e">
            <v>#N/A</v>
          </cell>
          <cell r="E1079">
            <v>-36.482964426877309</v>
          </cell>
          <cell r="F1079">
            <v>49.841146245059697</v>
          </cell>
          <cell r="G1079">
            <v>29.287786561263992</v>
          </cell>
          <cell r="H1079">
            <v>29.287786561263992</v>
          </cell>
          <cell r="I1079" t="e">
            <v>#N/A</v>
          </cell>
          <cell r="J1079" t="e">
            <v>#N/A</v>
          </cell>
          <cell r="K1079">
            <v>42</v>
          </cell>
          <cell r="L1079">
            <v>32</v>
          </cell>
          <cell r="M1079" t="e">
            <v>#N/A</v>
          </cell>
          <cell r="N1079">
            <v>37</v>
          </cell>
          <cell r="O1079" t="e">
            <v>#N/A</v>
          </cell>
          <cell r="P1079" t="str">
            <v/>
          </cell>
          <cell r="Q1079" t="str">
            <v/>
          </cell>
          <cell r="R1079" t="e">
            <v>#N/A</v>
          </cell>
        </row>
        <row r="1080">
          <cell r="A1080" t="str">
            <v/>
          </cell>
          <cell r="B1080" t="str">
            <v/>
          </cell>
          <cell r="C1080" t="str">
            <v>Future</v>
          </cell>
          <cell r="D1080" t="e">
            <v>#N/A</v>
          </cell>
          <cell r="E1080">
            <v>-36.619604743082846</v>
          </cell>
          <cell r="F1080">
            <v>49.870513833992504</v>
          </cell>
          <cell r="G1080">
            <v>29.277628458497194</v>
          </cell>
          <cell r="H1080">
            <v>29.277628458497194</v>
          </cell>
          <cell r="I1080" t="e">
            <v>#N/A</v>
          </cell>
          <cell r="J1080" t="e">
            <v>#N/A</v>
          </cell>
          <cell r="K1080">
            <v>42</v>
          </cell>
          <cell r="L1080">
            <v>32</v>
          </cell>
          <cell r="M1080" t="e">
            <v>#N/A</v>
          </cell>
          <cell r="N1080">
            <v>37</v>
          </cell>
          <cell r="O1080" t="e">
            <v>#N/A</v>
          </cell>
          <cell r="P1080" t="str">
            <v/>
          </cell>
          <cell r="Q1080" t="str">
            <v/>
          </cell>
          <cell r="R1080" t="e">
            <v>#N/A</v>
          </cell>
        </row>
        <row r="1081">
          <cell r="A1081" t="str">
            <v/>
          </cell>
          <cell r="B1081" t="str">
            <v/>
          </cell>
          <cell r="C1081" t="str">
            <v>Future</v>
          </cell>
          <cell r="D1081" t="e">
            <v>#N/A</v>
          </cell>
          <cell r="E1081">
            <v>-36.756245059288382</v>
          </cell>
          <cell r="F1081">
            <v>49.899881422925311</v>
          </cell>
          <cell r="G1081">
            <v>29.267470355730396</v>
          </cell>
          <cell r="H1081">
            <v>29.267470355730396</v>
          </cell>
          <cell r="I1081" t="e">
            <v>#N/A</v>
          </cell>
          <cell r="J1081" t="e">
            <v>#N/A</v>
          </cell>
          <cell r="K1081">
            <v>42</v>
          </cell>
          <cell r="L1081">
            <v>32</v>
          </cell>
          <cell r="M1081" t="e">
            <v>#N/A</v>
          </cell>
          <cell r="N1081">
            <v>37</v>
          </cell>
          <cell r="O1081" t="e">
            <v>#N/A</v>
          </cell>
          <cell r="P1081" t="str">
            <v/>
          </cell>
          <cell r="Q1081" t="str">
            <v/>
          </cell>
          <cell r="R1081" t="e">
            <v>#N/A</v>
          </cell>
        </row>
        <row r="1082">
          <cell r="A1082" t="str">
            <v/>
          </cell>
          <cell r="B1082" t="str">
            <v/>
          </cell>
          <cell r="C1082" t="str">
            <v>Future</v>
          </cell>
          <cell r="D1082" t="e">
            <v>#N/A</v>
          </cell>
          <cell r="E1082">
            <v>-36.892885375493918</v>
          </cell>
          <cell r="F1082">
            <v>49.929249011858118</v>
          </cell>
          <cell r="G1082">
            <v>29.257312252963597</v>
          </cell>
          <cell r="H1082">
            <v>29.257312252963597</v>
          </cell>
          <cell r="I1082" t="e">
            <v>#N/A</v>
          </cell>
          <cell r="J1082" t="e">
            <v>#N/A</v>
          </cell>
          <cell r="K1082">
            <v>42</v>
          </cell>
          <cell r="L1082">
            <v>32</v>
          </cell>
          <cell r="M1082" t="e">
            <v>#N/A</v>
          </cell>
          <cell r="N1082">
            <v>37</v>
          </cell>
          <cell r="O1082" t="e">
            <v>#N/A</v>
          </cell>
          <cell r="P1082" t="str">
            <v/>
          </cell>
          <cell r="Q1082" t="str">
            <v/>
          </cell>
          <cell r="R1082" t="e">
            <v>#N/A</v>
          </cell>
        </row>
        <row r="1083">
          <cell r="A1083" t="str">
            <v/>
          </cell>
          <cell r="B1083" t="str">
            <v/>
          </cell>
          <cell r="C1083" t="str">
            <v>Future</v>
          </cell>
          <cell r="D1083" t="e">
            <v>#N/A</v>
          </cell>
          <cell r="E1083">
            <v>-37.029525691699455</v>
          </cell>
          <cell r="F1083">
            <v>49.958616600790926</v>
          </cell>
          <cell r="G1083">
            <v>29.247154150196799</v>
          </cell>
          <cell r="H1083">
            <v>29.247154150196799</v>
          </cell>
          <cell r="I1083" t="e">
            <v>#N/A</v>
          </cell>
          <cell r="J1083" t="e">
            <v>#N/A</v>
          </cell>
          <cell r="K1083">
            <v>42</v>
          </cell>
          <cell r="L1083">
            <v>32</v>
          </cell>
          <cell r="M1083" t="e">
            <v>#N/A</v>
          </cell>
          <cell r="N1083">
            <v>37</v>
          </cell>
          <cell r="O1083" t="e">
            <v>#N/A</v>
          </cell>
          <cell r="P1083" t="str">
            <v/>
          </cell>
          <cell r="Q1083" t="str">
            <v/>
          </cell>
          <cell r="R1083" t="e">
            <v>#N/A</v>
          </cell>
        </row>
        <row r="1084">
          <cell r="A1084" t="str">
            <v/>
          </cell>
          <cell r="B1084" t="str">
            <v/>
          </cell>
          <cell r="C1084" t="str">
            <v>Future</v>
          </cell>
          <cell r="D1084" t="e">
            <v>#N/A</v>
          </cell>
          <cell r="E1084">
            <v>-37.166166007904991</v>
          </cell>
          <cell r="F1084">
            <v>49.987984189723733</v>
          </cell>
          <cell r="G1084">
            <v>29.236996047430001</v>
          </cell>
          <cell r="H1084">
            <v>29.236996047430001</v>
          </cell>
          <cell r="I1084" t="e">
            <v>#N/A</v>
          </cell>
          <cell r="J1084" t="e">
            <v>#N/A</v>
          </cell>
          <cell r="K1084">
            <v>42</v>
          </cell>
          <cell r="L1084">
            <v>32</v>
          </cell>
          <cell r="M1084" t="e">
            <v>#N/A</v>
          </cell>
          <cell r="N1084">
            <v>37</v>
          </cell>
          <cell r="O1084" t="e">
            <v>#N/A</v>
          </cell>
          <cell r="P1084" t="str">
            <v/>
          </cell>
          <cell r="Q1084" t="str">
            <v/>
          </cell>
          <cell r="R1084" t="e">
            <v>#N/A</v>
          </cell>
        </row>
        <row r="1085">
          <cell r="A1085" t="str">
            <v/>
          </cell>
          <cell r="B1085" t="str">
            <v/>
          </cell>
          <cell r="C1085" t="str">
            <v>Future</v>
          </cell>
          <cell r="D1085" t="e">
            <v>#N/A</v>
          </cell>
          <cell r="E1085">
            <v>-37.302806324110527</v>
          </cell>
          <cell r="F1085">
            <v>50.01735177865654</v>
          </cell>
          <cell r="G1085">
            <v>29.226837944663203</v>
          </cell>
          <cell r="H1085">
            <v>29.226837944663203</v>
          </cell>
          <cell r="I1085" t="e">
            <v>#N/A</v>
          </cell>
          <cell r="J1085" t="e">
            <v>#N/A</v>
          </cell>
          <cell r="K1085">
            <v>42</v>
          </cell>
          <cell r="L1085">
            <v>32</v>
          </cell>
          <cell r="M1085" t="e">
            <v>#N/A</v>
          </cell>
          <cell r="N1085">
            <v>37</v>
          </cell>
          <cell r="O1085" t="e">
            <v>#N/A</v>
          </cell>
          <cell r="P1085" t="str">
            <v/>
          </cell>
          <cell r="Q1085" t="str">
            <v/>
          </cell>
          <cell r="R1085" t="e">
            <v>#N/A</v>
          </cell>
        </row>
        <row r="1086">
          <cell r="A1086" t="str">
            <v/>
          </cell>
          <cell r="B1086" t="str">
            <v/>
          </cell>
          <cell r="C1086" t="str">
            <v>Future</v>
          </cell>
          <cell r="D1086" t="e">
            <v>#N/A</v>
          </cell>
          <cell r="E1086">
            <v>-37.439446640316064</v>
          </cell>
          <cell r="F1086">
            <v>50.046719367589347</v>
          </cell>
          <cell r="G1086">
            <v>29.216679841896404</v>
          </cell>
          <cell r="H1086">
            <v>29.216679841896404</v>
          </cell>
          <cell r="I1086" t="e">
            <v>#N/A</v>
          </cell>
          <cell r="J1086" t="e">
            <v>#N/A</v>
          </cell>
          <cell r="K1086">
            <v>42</v>
          </cell>
          <cell r="L1086">
            <v>32</v>
          </cell>
          <cell r="M1086" t="e">
            <v>#N/A</v>
          </cell>
          <cell r="N1086">
            <v>37</v>
          </cell>
          <cell r="O1086" t="e">
            <v>#N/A</v>
          </cell>
          <cell r="P1086" t="str">
            <v/>
          </cell>
          <cell r="Q1086" t="str">
            <v/>
          </cell>
          <cell r="R1086" t="e">
            <v>#N/A</v>
          </cell>
        </row>
        <row r="1087">
          <cell r="A1087" t="str">
            <v/>
          </cell>
          <cell r="B1087" t="str">
            <v/>
          </cell>
          <cell r="C1087" t="str">
            <v>Future</v>
          </cell>
          <cell r="D1087" t="e">
            <v>#N/A</v>
          </cell>
          <cell r="E1087">
            <v>-37.5760869565216</v>
          </cell>
          <cell r="F1087">
            <v>50.076086956522154</v>
          </cell>
          <cell r="G1087">
            <v>29.206521739129606</v>
          </cell>
          <cell r="H1087">
            <v>29.206521739129606</v>
          </cell>
          <cell r="I1087" t="e">
            <v>#N/A</v>
          </cell>
          <cell r="J1087" t="e">
            <v>#N/A</v>
          </cell>
          <cell r="K1087">
            <v>42</v>
          </cell>
          <cell r="L1087">
            <v>32</v>
          </cell>
          <cell r="M1087" t="e">
            <v>#N/A</v>
          </cell>
          <cell r="N1087">
            <v>37</v>
          </cell>
          <cell r="O1087" t="e">
            <v>#N/A</v>
          </cell>
          <cell r="P1087" t="str">
            <v/>
          </cell>
          <cell r="Q1087" t="str">
            <v/>
          </cell>
          <cell r="R1087" t="e">
            <v>#N/A</v>
          </cell>
        </row>
        <row r="1088">
          <cell r="A1088" t="str">
            <v/>
          </cell>
          <cell r="B1088" t="str">
            <v/>
          </cell>
          <cell r="C1088" t="str">
            <v>Future</v>
          </cell>
          <cell r="D1088" t="e">
            <v>#N/A</v>
          </cell>
          <cell r="E1088">
            <v>-37.712727272727136</v>
          </cell>
          <cell r="F1088">
            <v>50.105454545454961</v>
          </cell>
          <cell r="G1088">
            <v>29.196363636362808</v>
          </cell>
          <cell r="H1088">
            <v>29.196363636362808</v>
          </cell>
          <cell r="I1088" t="e">
            <v>#N/A</v>
          </cell>
          <cell r="J1088" t="e">
            <v>#N/A</v>
          </cell>
          <cell r="K1088">
            <v>42</v>
          </cell>
          <cell r="L1088">
            <v>32</v>
          </cell>
          <cell r="M1088" t="e">
            <v>#N/A</v>
          </cell>
          <cell r="N1088">
            <v>37</v>
          </cell>
          <cell r="O1088" t="e">
            <v>#N/A</v>
          </cell>
          <cell r="P1088" t="str">
            <v/>
          </cell>
          <cell r="Q1088" t="str">
            <v/>
          </cell>
          <cell r="R1088" t="e">
            <v>#N/A</v>
          </cell>
        </row>
        <row r="1089">
          <cell r="A1089" t="str">
            <v/>
          </cell>
          <cell r="B1089" t="str">
            <v/>
          </cell>
          <cell r="C1089" t="str">
            <v>Future</v>
          </cell>
          <cell r="D1089" t="e">
            <v>#N/A</v>
          </cell>
          <cell r="E1089">
            <v>-37.849367588932672</v>
          </cell>
          <cell r="F1089">
            <v>50.134822134387768</v>
          </cell>
          <cell r="G1089">
            <v>29.186205533596009</v>
          </cell>
          <cell r="H1089">
            <v>29.186205533596009</v>
          </cell>
          <cell r="I1089" t="e">
            <v>#N/A</v>
          </cell>
          <cell r="J1089" t="e">
            <v>#N/A</v>
          </cell>
          <cell r="K1089">
            <v>42</v>
          </cell>
          <cell r="L1089">
            <v>32</v>
          </cell>
          <cell r="M1089" t="e">
            <v>#N/A</v>
          </cell>
          <cell r="N1089">
            <v>37</v>
          </cell>
          <cell r="O1089" t="e">
            <v>#N/A</v>
          </cell>
          <cell r="P1089" t="str">
            <v/>
          </cell>
          <cell r="Q1089" t="str">
            <v/>
          </cell>
          <cell r="R1089" t="e">
            <v>#N/A</v>
          </cell>
        </row>
        <row r="1090">
          <cell r="A1090" t="str">
            <v/>
          </cell>
          <cell r="B1090" t="str">
            <v/>
          </cell>
          <cell r="C1090" t="str">
            <v>Future</v>
          </cell>
          <cell r="D1090" t="e">
            <v>#N/A</v>
          </cell>
          <cell r="E1090">
            <v>-37.986007905138209</v>
          </cell>
          <cell r="F1090">
            <v>50.164189723320575</v>
          </cell>
          <cell r="G1090">
            <v>29.176047430829211</v>
          </cell>
          <cell r="H1090">
            <v>29.176047430829211</v>
          </cell>
          <cell r="I1090" t="e">
            <v>#N/A</v>
          </cell>
          <cell r="J1090" t="e">
            <v>#N/A</v>
          </cell>
          <cell r="K1090">
            <v>42</v>
          </cell>
          <cell r="L1090">
            <v>32</v>
          </cell>
          <cell r="M1090" t="e">
            <v>#N/A</v>
          </cell>
          <cell r="N1090">
            <v>37</v>
          </cell>
          <cell r="O1090" t="e">
            <v>#N/A</v>
          </cell>
          <cell r="P1090" t="str">
            <v/>
          </cell>
          <cell r="Q1090" t="str">
            <v/>
          </cell>
          <cell r="R1090" t="e">
            <v>#N/A</v>
          </cell>
        </row>
        <row r="1091">
          <cell r="A1091" t="str">
            <v/>
          </cell>
          <cell r="B1091" t="str">
            <v/>
          </cell>
          <cell r="C1091" t="str">
            <v>Future</v>
          </cell>
          <cell r="D1091" t="e">
            <v>#N/A</v>
          </cell>
          <cell r="E1091">
            <v>-38.122648221343745</v>
          </cell>
          <cell r="F1091">
            <v>50.193557312253382</v>
          </cell>
          <cell r="G1091">
            <v>29.165889328062413</v>
          </cell>
          <cell r="H1091">
            <v>29.165889328062413</v>
          </cell>
          <cell r="I1091" t="e">
            <v>#N/A</v>
          </cell>
          <cell r="J1091" t="e">
            <v>#N/A</v>
          </cell>
          <cell r="K1091">
            <v>42</v>
          </cell>
          <cell r="L1091">
            <v>32</v>
          </cell>
          <cell r="M1091" t="e">
            <v>#N/A</v>
          </cell>
          <cell r="N1091">
            <v>37</v>
          </cell>
          <cell r="O1091" t="e">
            <v>#N/A</v>
          </cell>
          <cell r="P1091" t="str">
            <v/>
          </cell>
          <cell r="Q1091" t="str">
            <v/>
          </cell>
          <cell r="R1091" t="e">
            <v>#N/A</v>
          </cell>
        </row>
        <row r="1092">
          <cell r="A1092" t="str">
            <v/>
          </cell>
          <cell r="B1092" t="str">
            <v/>
          </cell>
          <cell r="C1092" t="str">
            <v>Future</v>
          </cell>
          <cell r="D1092" t="e">
            <v>#N/A</v>
          </cell>
          <cell r="E1092">
            <v>-38.259288537549281</v>
          </cell>
          <cell r="F1092">
            <v>50.22292490118619</v>
          </cell>
          <cell r="G1092">
            <v>29.155731225295614</v>
          </cell>
          <cell r="H1092">
            <v>29.155731225295614</v>
          </cell>
          <cell r="I1092" t="e">
            <v>#N/A</v>
          </cell>
          <cell r="J1092" t="e">
            <v>#N/A</v>
          </cell>
          <cell r="K1092">
            <v>42</v>
          </cell>
          <cell r="L1092">
            <v>32</v>
          </cell>
          <cell r="M1092" t="e">
            <v>#N/A</v>
          </cell>
          <cell r="N1092">
            <v>37</v>
          </cell>
          <cell r="O1092" t="e">
            <v>#N/A</v>
          </cell>
          <cell r="P1092" t="str">
            <v/>
          </cell>
          <cell r="Q1092" t="str">
            <v/>
          </cell>
          <cell r="R1092" t="e">
            <v>#N/A</v>
          </cell>
        </row>
        <row r="1093">
          <cell r="A1093" t="str">
            <v/>
          </cell>
          <cell r="B1093" t="str">
            <v/>
          </cell>
          <cell r="C1093" t="str">
            <v>Future</v>
          </cell>
          <cell r="D1093" t="e">
            <v>#N/A</v>
          </cell>
          <cell r="E1093">
            <v>-38.395928853754818</v>
          </cell>
          <cell r="F1093">
            <v>50.252292490118997</v>
          </cell>
          <cell r="G1093">
            <v>29.145573122528816</v>
          </cell>
          <cell r="H1093">
            <v>29.145573122528816</v>
          </cell>
          <cell r="I1093" t="e">
            <v>#N/A</v>
          </cell>
          <cell r="J1093" t="e">
            <v>#N/A</v>
          </cell>
          <cell r="K1093">
            <v>42</v>
          </cell>
          <cell r="L1093">
            <v>32</v>
          </cell>
          <cell r="M1093" t="e">
            <v>#N/A</v>
          </cell>
          <cell r="N1093">
            <v>37</v>
          </cell>
          <cell r="O1093" t="e">
            <v>#N/A</v>
          </cell>
          <cell r="P1093" t="str">
            <v/>
          </cell>
          <cell r="Q1093" t="str">
            <v/>
          </cell>
          <cell r="R1093" t="e">
            <v>#N/A</v>
          </cell>
        </row>
        <row r="1094">
          <cell r="A1094" t="str">
            <v/>
          </cell>
          <cell r="B1094" t="str">
            <v/>
          </cell>
          <cell r="C1094" t="str">
            <v>Future</v>
          </cell>
          <cell r="D1094" t="e">
            <v>#N/A</v>
          </cell>
          <cell r="E1094">
            <v>-38.532569169960354</v>
          </cell>
          <cell r="F1094">
            <v>50.281660079051804</v>
          </cell>
          <cell r="G1094">
            <v>29.135415019762018</v>
          </cell>
          <cell r="H1094">
            <v>29.135415019762018</v>
          </cell>
          <cell r="I1094" t="e">
            <v>#N/A</v>
          </cell>
          <cell r="J1094" t="e">
            <v>#N/A</v>
          </cell>
          <cell r="K1094">
            <v>42</v>
          </cell>
          <cell r="L1094">
            <v>32</v>
          </cell>
          <cell r="M1094" t="e">
            <v>#N/A</v>
          </cell>
          <cell r="N1094">
            <v>37</v>
          </cell>
          <cell r="O1094" t="e">
            <v>#N/A</v>
          </cell>
          <cell r="P1094" t="str">
            <v/>
          </cell>
          <cell r="Q1094" t="str">
            <v/>
          </cell>
          <cell r="R1094" t="e">
            <v>#N/A</v>
          </cell>
        </row>
        <row r="1095">
          <cell r="A1095" t="str">
            <v/>
          </cell>
          <cell r="B1095" t="str">
            <v/>
          </cell>
          <cell r="C1095" t="str">
            <v>Future</v>
          </cell>
          <cell r="D1095" t="e">
            <v>#N/A</v>
          </cell>
          <cell r="E1095">
            <v>-38.66920948616589</v>
          </cell>
          <cell r="F1095">
            <v>50.311027667984611</v>
          </cell>
          <cell r="G1095">
            <v>29.12525691699522</v>
          </cell>
          <cell r="H1095">
            <v>29.12525691699522</v>
          </cell>
          <cell r="I1095" t="e">
            <v>#N/A</v>
          </cell>
          <cell r="J1095" t="e">
            <v>#N/A</v>
          </cell>
          <cell r="K1095">
            <v>42</v>
          </cell>
          <cell r="L1095">
            <v>32</v>
          </cell>
          <cell r="M1095" t="e">
            <v>#N/A</v>
          </cell>
          <cell r="N1095">
            <v>37</v>
          </cell>
          <cell r="O1095" t="e">
            <v>#N/A</v>
          </cell>
          <cell r="P1095" t="str">
            <v/>
          </cell>
          <cell r="Q1095" t="str">
            <v/>
          </cell>
          <cell r="R1095" t="e">
            <v>#N/A</v>
          </cell>
        </row>
        <row r="1096">
          <cell r="A1096" t="str">
            <v/>
          </cell>
          <cell r="B1096" t="str">
            <v/>
          </cell>
          <cell r="C1096" t="str">
            <v>Future</v>
          </cell>
          <cell r="D1096" t="e">
            <v>#N/A</v>
          </cell>
          <cell r="E1096">
            <v>-38.805849802371426</v>
          </cell>
          <cell r="F1096">
            <v>50.340395256917418</v>
          </cell>
          <cell r="G1096">
            <v>29.115098814228421</v>
          </cell>
          <cell r="H1096">
            <v>29.115098814228421</v>
          </cell>
          <cell r="I1096" t="e">
            <v>#N/A</v>
          </cell>
          <cell r="J1096" t="e">
            <v>#N/A</v>
          </cell>
          <cell r="K1096">
            <v>42</v>
          </cell>
          <cell r="L1096">
            <v>32</v>
          </cell>
          <cell r="M1096" t="e">
            <v>#N/A</v>
          </cell>
          <cell r="N1096">
            <v>37</v>
          </cell>
          <cell r="O1096" t="e">
            <v>#N/A</v>
          </cell>
          <cell r="P1096" t="str">
            <v/>
          </cell>
          <cell r="Q1096" t="str">
            <v/>
          </cell>
          <cell r="R1096" t="e">
            <v>#N/A</v>
          </cell>
        </row>
        <row r="1097">
          <cell r="A1097" t="str">
            <v/>
          </cell>
          <cell r="B1097" t="str">
            <v/>
          </cell>
          <cell r="C1097" t="str">
            <v>Future</v>
          </cell>
          <cell r="D1097" t="e">
            <v>#N/A</v>
          </cell>
          <cell r="E1097">
            <v>-38.942490118576963</v>
          </cell>
          <cell r="F1097">
            <v>50.369762845850225</v>
          </cell>
          <cell r="G1097">
            <v>29.104940711461623</v>
          </cell>
          <cell r="H1097">
            <v>29.104940711461623</v>
          </cell>
          <cell r="I1097" t="e">
            <v>#N/A</v>
          </cell>
          <cell r="J1097" t="e">
            <v>#N/A</v>
          </cell>
          <cell r="K1097">
            <v>42</v>
          </cell>
          <cell r="L1097">
            <v>32</v>
          </cell>
          <cell r="M1097" t="e">
            <v>#N/A</v>
          </cell>
          <cell r="N1097">
            <v>37</v>
          </cell>
          <cell r="O1097" t="e">
            <v>#N/A</v>
          </cell>
          <cell r="P1097" t="str">
            <v/>
          </cell>
          <cell r="Q1097" t="str">
            <v/>
          </cell>
          <cell r="R1097" t="e">
            <v>#N/A</v>
          </cell>
        </row>
        <row r="1098">
          <cell r="A1098" t="str">
            <v/>
          </cell>
          <cell r="B1098" t="str">
            <v/>
          </cell>
          <cell r="C1098" t="str">
            <v>Future</v>
          </cell>
          <cell r="D1098" t="e">
            <v>#N/A</v>
          </cell>
          <cell r="E1098">
            <v>-39.079130434782499</v>
          </cell>
          <cell r="F1098">
            <v>50.399130434783032</v>
          </cell>
          <cell r="G1098">
            <v>29.094782608694825</v>
          </cell>
          <cell r="H1098">
            <v>29.094782608694825</v>
          </cell>
          <cell r="I1098" t="e">
            <v>#N/A</v>
          </cell>
          <cell r="J1098" t="e">
            <v>#N/A</v>
          </cell>
          <cell r="K1098">
            <v>42</v>
          </cell>
          <cell r="L1098">
            <v>32</v>
          </cell>
          <cell r="M1098" t="e">
            <v>#N/A</v>
          </cell>
          <cell r="N1098">
            <v>37</v>
          </cell>
          <cell r="O1098" t="e">
            <v>#N/A</v>
          </cell>
          <cell r="P1098" t="str">
            <v/>
          </cell>
          <cell r="Q1098" t="str">
            <v/>
          </cell>
          <cell r="R1098" t="e">
            <v>#N/A</v>
          </cell>
        </row>
        <row r="1099">
          <cell r="A1099" t="str">
            <v/>
          </cell>
          <cell r="B1099" t="str">
            <v/>
          </cell>
          <cell r="C1099" t="str">
            <v>Future</v>
          </cell>
          <cell r="D1099" t="e">
            <v>#N/A</v>
          </cell>
          <cell r="E1099">
            <v>-39.215770750988035</v>
          </cell>
          <cell r="F1099">
            <v>50.428498023715839</v>
          </cell>
          <cell r="G1099">
            <v>29.084624505928026</v>
          </cell>
          <cell r="H1099">
            <v>29.084624505928026</v>
          </cell>
          <cell r="I1099" t="e">
            <v>#N/A</v>
          </cell>
          <cell r="J1099" t="e">
            <v>#N/A</v>
          </cell>
          <cell r="K1099">
            <v>42</v>
          </cell>
          <cell r="L1099">
            <v>32</v>
          </cell>
          <cell r="M1099" t="e">
            <v>#N/A</v>
          </cell>
          <cell r="N1099">
            <v>37</v>
          </cell>
          <cell r="O1099" t="e">
            <v>#N/A</v>
          </cell>
          <cell r="P1099" t="str">
            <v/>
          </cell>
          <cell r="Q1099" t="str">
            <v/>
          </cell>
          <cell r="R1099" t="e">
            <v>#N/A</v>
          </cell>
        </row>
        <row r="1100">
          <cell r="A1100" t="str">
            <v/>
          </cell>
          <cell r="B1100" t="str">
            <v/>
          </cell>
          <cell r="C1100" t="str">
            <v>Future</v>
          </cell>
          <cell r="D1100" t="e">
            <v>#N/A</v>
          </cell>
          <cell r="E1100">
            <v>-39.352411067193572</v>
          </cell>
          <cell r="F1100">
            <v>50.457865612648646</v>
          </cell>
          <cell r="G1100">
            <v>29.074466403161228</v>
          </cell>
          <cell r="H1100">
            <v>29.074466403161228</v>
          </cell>
          <cell r="I1100" t="e">
            <v>#N/A</v>
          </cell>
          <cell r="J1100" t="e">
            <v>#N/A</v>
          </cell>
          <cell r="K1100">
            <v>42</v>
          </cell>
          <cell r="L1100">
            <v>32</v>
          </cell>
          <cell r="M1100" t="e">
            <v>#N/A</v>
          </cell>
          <cell r="N1100">
            <v>37</v>
          </cell>
          <cell r="O1100" t="e">
            <v>#N/A</v>
          </cell>
          <cell r="P1100" t="str">
            <v/>
          </cell>
          <cell r="Q1100" t="str">
            <v/>
          </cell>
          <cell r="R1100" t="e">
            <v>#N/A</v>
          </cell>
        </row>
        <row r="1101">
          <cell r="A1101" t="str">
            <v/>
          </cell>
          <cell r="B1101" t="str">
            <v/>
          </cell>
          <cell r="C1101" t="str">
            <v>Future</v>
          </cell>
          <cell r="D1101" t="e">
            <v>#N/A</v>
          </cell>
          <cell r="E1101">
            <v>-39.489051383399108</v>
          </cell>
          <cell r="F1101">
            <v>50.487233201581454</v>
          </cell>
          <cell r="G1101">
            <v>29.06430830039443</v>
          </cell>
          <cell r="H1101">
            <v>29.06430830039443</v>
          </cell>
          <cell r="I1101" t="e">
            <v>#N/A</v>
          </cell>
          <cell r="J1101" t="e">
            <v>#N/A</v>
          </cell>
          <cell r="K1101">
            <v>42</v>
          </cell>
          <cell r="L1101">
            <v>32</v>
          </cell>
          <cell r="M1101" t="e">
            <v>#N/A</v>
          </cell>
          <cell r="N1101">
            <v>37</v>
          </cell>
          <cell r="O1101" t="e">
            <v>#N/A</v>
          </cell>
          <cell r="P1101" t="str">
            <v/>
          </cell>
          <cell r="Q1101" t="str">
            <v/>
          </cell>
          <cell r="R1101" t="e">
            <v>#N/A</v>
          </cell>
        </row>
        <row r="1102">
          <cell r="A1102" t="str">
            <v/>
          </cell>
          <cell r="B1102" t="str">
            <v/>
          </cell>
          <cell r="C1102" t="str">
            <v>Future</v>
          </cell>
          <cell r="D1102" t="e">
            <v>#N/A</v>
          </cell>
          <cell r="E1102">
            <v>-39.625691699604644</v>
          </cell>
          <cell r="F1102">
            <v>50.516600790514261</v>
          </cell>
          <cell r="G1102">
            <v>29.054150197627632</v>
          </cell>
          <cell r="H1102">
            <v>29.054150197627632</v>
          </cell>
          <cell r="I1102" t="e">
            <v>#N/A</v>
          </cell>
          <cell r="J1102" t="e">
            <v>#N/A</v>
          </cell>
          <cell r="K1102">
            <v>42</v>
          </cell>
          <cell r="L1102">
            <v>32</v>
          </cell>
          <cell r="M1102" t="e">
            <v>#N/A</v>
          </cell>
          <cell r="N1102">
            <v>37</v>
          </cell>
          <cell r="O1102" t="e">
            <v>#N/A</v>
          </cell>
          <cell r="P1102" t="str">
            <v/>
          </cell>
          <cell r="Q1102" t="str">
            <v/>
          </cell>
          <cell r="R1102" t="e">
            <v>#N/A</v>
          </cell>
        </row>
        <row r="1103">
          <cell r="A1103" t="str">
            <v/>
          </cell>
          <cell r="B1103" t="str">
            <v/>
          </cell>
          <cell r="C1103" t="str">
            <v>Future</v>
          </cell>
          <cell r="D1103" t="e">
            <v>#N/A</v>
          </cell>
          <cell r="E1103">
            <v>-39.762332015810181</v>
          </cell>
          <cell r="F1103">
            <v>50.545968379447068</v>
          </cell>
          <cell r="G1103">
            <v>29.043992094860833</v>
          </cell>
          <cell r="H1103">
            <v>29.043992094860833</v>
          </cell>
          <cell r="I1103" t="e">
            <v>#N/A</v>
          </cell>
          <cell r="J1103" t="e">
            <v>#N/A</v>
          </cell>
          <cell r="K1103">
            <v>42</v>
          </cell>
          <cell r="L1103">
            <v>32</v>
          </cell>
          <cell r="M1103" t="e">
            <v>#N/A</v>
          </cell>
          <cell r="N1103">
            <v>37</v>
          </cell>
          <cell r="O1103" t="e">
            <v>#N/A</v>
          </cell>
          <cell r="P1103" t="str">
            <v/>
          </cell>
          <cell r="Q1103" t="str">
            <v/>
          </cell>
          <cell r="R1103" t="e">
            <v>#N/A</v>
          </cell>
        </row>
        <row r="1104">
          <cell r="A1104" t="str">
            <v/>
          </cell>
          <cell r="B1104" t="str">
            <v/>
          </cell>
          <cell r="C1104" t="str">
            <v>Future</v>
          </cell>
          <cell r="D1104" t="e">
            <v>#N/A</v>
          </cell>
          <cell r="E1104">
            <v>-39.898972332015717</v>
          </cell>
          <cell r="F1104">
            <v>50.575335968379875</v>
          </cell>
          <cell r="G1104">
            <v>29.033833992094035</v>
          </cell>
          <cell r="H1104">
            <v>29.033833992094035</v>
          </cell>
          <cell r="I1104" t="e">
            <v>#N/A</v>
          </cell>
          <cell r="J1104" t="e">
            <v>#N/A</v>
          </cell>
          <cell r="K1104">
            <v>42</v>
          </cell>
          <cell r="L1104">
            <v>32</v>
          </cell>
          <cell r="M1104" t="e">
            <v>#N/A</v>
          </cell>
          <cell r="N1104">
            <v>37</v>
          </cell>
          <cell r="O1104" t="e">
            <v>#N/A</v>
          </cell>
          <cell r="P1104" t="str">
            <v/>
          </cell>
          <cell r="Q1104" t="str">
            <v/>
          </cell>
          <cell r="R1104" t="e">
            <v>#N/A</v>
          </cell>
        </row>
        <row r="1105">
          <cell r="A1105" t="str">
            <v/>
          </cell>
          <cell r="B1105" t="str">
            <v/>
          </cell>
          <cell r="C1105" t="str">
            <v>Future</v>
          </cell>
          <cell r="D1105" t="e">
            <v>#N/A</v>
          </cell>
          <cell r="E1105">
            <v>-40.035612648221253</v>
          </cell>
          <cell r="F1105">
            <v>50.604703557312682</v>
          </cell>
          <cell r="G1105">
            <v>29.023675889327237</v>
          </cell>
          <cell r="H1105">
            <v>29.023675889327237</v>
          </cell>
          <cell r="I1105" t="e">
            <v>#N/A</v>
          </cell>
          <cell r="J1105" t="e">
            <v>#N/A</v>
          </cell>
          <cell r="K1105">
            <v>42</v>
          </cell>
          <cell r="L1105">
            <v>32</v>
          </cell>
          <cell r="M1105" t="e">
            <v>#N/A</v>
          </cell>
          <cell r="N1105">
            <v>37</v>
          </cell>
          <cell r="O1105" t="e">
            <v>#N/A</v>
          </cell>
          <cell r="P1105" t="str">
            <v/>
          </cell>
          <cell r="Q1105" t="str">
            <v/>
          </cell>
          <cell r="R1105" t="e">
            <v>#N/A</v>
          </cell>
        </row>
        <row r="1106">
          <cell r="A1106" t="str">
            <v/>
          </cell>
          <cell r="B1106" t="str">
            <v/>
          </cell>
          <cell r="C1106" t="str">
            <v>Future</v>
          </cell>
          <cell r="D1106" t="e">
            <v>#N/A</v>
          </cell>
          <cell r="E1106">
            <v>-40.172252964426789</v>
          </cell>
          <cell r="F1106">
            <v>50.634071146245489</v>
          </cell>
          <cell r="G1106">
            <v>29.013517786560438</v>
          </cell>
          <cell r="H1106">
            <v>29.013517786560438</v>
          </cell>
          <cell r="I1106" t="e">
            <v>#N/A</v>
          </cell>
          <cell r="J1106" t="e">
            <v>#N/A</v>
          </cell>
          <cell r="K1106">
            <v>42</v>
          </cell>
          <cell r="L1106">
            <v>32</v>
          </cell>
          <cell r="M1106" t="e">
            <v>#N/A</v>
          </cell>
          <cell r="N1106">
            <v>37</v>
          </cell>
          <cell r="O1106" t="e">
            <v>#N/A</v>
          </cell>
          <cell r="P1106" t="str">
            <v/>
          </cell>
          <cell r="Q1106" t="str">
            <v/>
          </cell>
          <cell r="R1106" t="e">
            <v>#N/A</v>
          </cell>
        </row>
        <row r="1107">
          <cell r="A1107" t="str">
            <v/>
          </cell>
          <cell r="B1107" t="str">
            <v/>
          </cell>
          <cell r="C1107" t="str">
            <v>Future</v>
          </cell>
          <cell r="D1107" t="e">
            <v>#N/A</v>
          </cell>
          <cell r="E1107">
            <v>-40.308893280632326</v>
          </cell>
          <cell r="F1107">
            <v>50.663438735178296</v>
          </cell>
          <cell r="G1107">
            <v>29.00335968379364</v>
          </cell>
          <cell r="H1107">
            <v>29.00335968379364</v>
          </cell>
          <cell r="I1107" t="e">
            <v>#N/A</v>
          </cell>
          <cell r="J1107" t="e">
            <v>#N/A</v>
          </cell>
          <cell r="K1107">
            <v>42</v>
          </cell>
          <cell r="L1107">
            <v>32</v>
          </cell>
          <cell r="M1107" t="e">
            <v>#N/A</v>
          </cell>
          <cell r="N1107">
            <v>37</v>
          </cell>
          <cell r="O1107" t="e">
            <v>#N/A</v>
          </cell>
          <cell r="P1107" t="str">
            <v/>
          </cell>
          <cell r="Q1107" t="str">
            <v/>
          </cell>
          <cell r="R1107" t="e">
            <v>#N/A</v>
          </cell>
        </row>
        <row r="1108">
          <cell r="A1108" t="str">
            <v/>
          </cell>
          <cell r="B1108" t="str">
            <v/>
          </cell>
          <cell r="C1108" t="str">
            <v>Future</v>
          </cell>
          <cell r="D1108" t="e">
            <v>#N/A</v>
          </cell>
          <cell r="E1108">
            <v>-40.445533596837862</v>
          </cell>
          <cell r="F1108">
            <v>50.692806324111103</v>
          </cell>
          <cell r="G1108">
            <v>28.993201581026842</v>
          </cell>
          <cell r="H1108">
            <v>28.993201581026842</v>
          </cell>
          <cell r="I1108" t="e">
            <v>#N/A</v>
          </cell>
          <cell r="J1108" t="e">
            <v>#N/A</v>
          </cell>
          <cell r="K1108">
            <v>42</v>
          </cell>
          <cell r="L1108">
            <v>32</v>
          </cell>
          <cell r="M1108" t="e">
            <v>#N/A</v>
          </cell>
          <cell r="N1108">
            <v>37</v>
          </cell>
          <cell r="O1108" t="e">
            <v>#N/A</v>
          </cell>
          <cell r="P1108" t="str">
            <v/>
          </cell>
          <cell r="Q1108" t="str">
            <v/>
          </cell>
          <cell r="R1108" t="e">
            <v>#N/A</v>
          </cell>
        </row>
        <row r="1109">
          <cell r="A1109" t="str">
            <v/>
          </cell>
          <cell r="B1109" t="str">
            <v/>
          </cell>
          <cell r="C1109" t="str">
            <v>Future</v>
          </cell>
          <cell r="D1109" t="e">
            <v>#N/A</v>
          </cell>
          <cell r="E1109">
            <v>-40.582173913043398</v>
          </cell>
          <cell r="F1109">
            <v>50.72217391304391</v>
          </cell>
          <cell r="G1109">
            <v>28.983043478260043</v>
          </cell>
          <cell r="H1109">
            <v>28.983043478260043</v>
          </cell>
          <cell r="I1109" t="e">
            <v>#N/A</v>
          </cell>
          <cell r="J1109" t="e">
            <v>#N/A</v>
          </cell>
          <cell r="K1109">
            <v>42</v>
          </cell>
          <cell r="L1109">
            <v>32</v>
          </cell>
          <cell r="M1109" t="e">
            <v>#N/A</v>
          </cell>
          <cell r="N1109">
            <v>37</v>
          </cell>
          <cell r="O1109" t="e">
            <v>#N/A</v>
          </cell>
          <cell r="P1109" t="str">
            <v/>
          </cell>
          <cell r="Q1109" t="str">
            <v/>
          </cell>
          <cell r="R1109" t="e">
            <v>#N/A</v>
          </cell>
        </row>
        <row r="1110">
          <cell r="A1110" t="str">
            <v/>
          </cell>
          <cell r="B1110" t="str">
            <v/>
          </cell>
          <cell r="C1110" t="str">
            <v>Future</v>
          </cell>
          <cell r="D1110" t="e">
            <v>#N/A</v>
          </cell>
          <cell r="E1110">
            <v>-40.718814229248935</v>
          </cell>
          <cell r="F1110">
            <v>50.751541501976718</v>
          </cell>
          <cell r="G1110">
            <v>28.972885375493245</v>
          </cell>
          <cell r="H1110">
            <v>28.972885375493245</v>
          </cell>
          <cell r="I1110" t="e">
            <v>#N/A</v>
          </cell>
          <cell r="J1110" t="e">
            <v>#N/A</v>
          </cell>
          <cell r="K1110">
            <v>42</v>
          </cell>
          <cell r="L1110">
            <v>32</v>
          </cell>
          <cell r="M1110" t="e">
            <v>#N/A</v>
          </cell>
          <cell r="N1110">
            <v>37</v>
          </cell>
          <cell r="O1110" t="e">
            <v>#N/A</v>
          </cell>
          <cell r="P1110" t="str">
            <v/>
          </cell>
          <cell r="Q1110" t="str">
            <v/>
          </cell>
          <cell r="R1110" t="e">
            <v>#N/A</v>
          </cell>
        </row>
        <row r="1111">
          <cell r="A1111" t="str">
            <v/>
          </cell>
          <cell r="B1111" t="str">
            <v/>
          </cell>
          <cell r="C1111" t="str">
            <v>Future</v>
          </cell>
          <cell r="D1111" t="e">
            <v>#N/A</v>
          </cell>
          <cell r="E1111">
            <v>-40.855454545454471</v>
          </cell>
          <cell r="F1111">
            <v>50.780909090909525</v>
          </cell>
          <cell r="G1111">
            <v>28.962727272726447</v>
          </cell>
          <cell r="H1111">
            <v>28.962727272726447</v>
          </cell>
          <cell r="I1111" t="e">
            <v>#N/A</v>
          </cell>
          <cell r="J1111" t="e">
            <v>#N/A</v>
          </cell>
          <cell r="K1111">
            <v>42</v>
          </cell>
          <cell r="L1111">
            <v>32</v>
          </cell>
          <cell r="M1111" t="e">
            <v>#N/A</v>
          </cell>
          <cell r="N1111">
            <v>37</v>
          </cell>
          <cell r="O1111" t="e">
            <v>#N/A</v>
          </cell>
          <cell r="P1111" t="str">
            <v/>
          </cell>
          <cell r="Q1111" t="str">
            <v/>
          </cell>
          <cell r="R1111" t="e">
            <v>#N/A</v>
          </cell>
        </row>
        <row r="1112">
          <cell r="A1112" t="str">
            <v/>
          </cell>
          <cell r="B1112" t="str">
            <v/>
          </cell>
          <cell r="C1112" t="str">
            <v>Future</v>
          </cell>
          <cell r="D1112" t="e">
            <v>#N/A</v>
          </cell>
          <cell r="E1112">
            <v>-40.992094861660007</v>
          </cell>
          <cell r="F1112">
            <v>50.810276679842332</v>
          </cell>
          <cell r="G1112">
            <v>28.952569169959649</v>
          </cell>
          <cell r="H1112">
            <v>28.952569169959649</v>
          </cell>
          <cell r="I1112" t="e">
            <v>#N/A</v>
          </cell>
          <cell r="J1112" t="e">
            <v>#N/A</v>
          </cell>
          <cell r="K1112">
            <v>42</v>
          </cell>
          <cell r="L1112">
            <v>32</v>
          </cell>
          <cell r="M1112" t="e">
            <v>#N/A</v>
          </cell>
          <cell r="N1112">
            <v>37</v>
          </cell>
          <cell r="O1112" t="e">
            <v>#N/A</v>
          </cell>
          <cell r="P1112" t="str">
            <v/>
          </cell>
          <cell r="Q1112" t="str">
            <v/>
          </cell>
          <cell r="R1112" t="e">
            <v>#N/A</v>
          </cell>
        </row>
        <row r="1113">
          <cell r="A1113" t="str">
            <v/>
          </cell>
          <cell r="B1113" t="str">
            <v/>
          </cell>
          <cell r="C1113" t="str">
            <v>Future</v>
          </cell>
          <cell r="D1113" t="e">
            <v>#N/A</v>
          </cell>
          <cell r="E1113">
            <v>-41.128735177865543</v>
          </cell>
          <cell r="F1113">
            <v>50.839644268775139</v>
          </cell>
          <cell r="G1113">
            <v>28.94241106719285</v>
          </cell>
          <cell r="H1113">
            <v>28.94241106719285</v>
          </cell>
          <cell r="I1113" t="e">
            <v>#N/A</v>
          </cell>
          <cell r="J1113" t="e">
            <v>#N/A</v>
          </cell>
          <cell r="K1113">
            <v>42</v>
          </cell>
          <cell r="L1113">
            <v>32</v>
          </cell>
          <cell r="M1113" t="e">
            <v>#N/A</v>
          </cell>
          <cell r="N1113">
            <v>37</v>
          </cell>
          <cell r="O1113" t="e">
            <v>#N/A</v>
          </cell>
          <cell r="P1113" t="str">
            <v/>
          </cell>
          <cell r="Q1113" t="str">
            <v/>
          </cell>
          <cell r="R1113" t="e">
            <v>#N/A</v>
          </cell>
        </row>
        <row r="1114">
          <cell r="A1114" t="str">
            <v/>
          </cell>
          <cell r="B1114" t="str">
            <v/>
          </cell>
          <cell r="C1114" t="str">
            <v>Future</v>
          </cell>
          <cell r="D1114" t="e">
            <v>#N/A</v>
          </cell>
          <cell r="E1114">
            <v>-41.26537549407108</v>
          </cell>
          <cell r="F1114">
            <v>50.869011857707946</v>
          </cell>
          <cell r="G1114">
            <v>28.932252964426052</v>
          </cell>
          <cell r="H1114">
            <v>28.932252964426052</v>
          </cell>
          <cell r="I1114" t="e">
            <v>#N/A</v>
          </cell>
          <cell r="J1114" t="e">
            <v>#N/A</v>
          </cell>
          <cell r="K1114">
            <v>42</v>
          </cell>
          <cell r="L1114">
            <v>32</v>
          </cell>
          <cell r="M1114" t="e">
            <v>#N/A</v>
          </cell>
          <cell r="N1114">
            <v>37</v>
          </cell>
          <cell r="O1114" t="e">
            <v>#N/A</v>
          </cell>
          <cell r="P1114" t="str">
            <v/>
          </cell>
          <cell r="Q1114" t="str">
            <v/>
          </cell>
          <cell r="R1114" t="e">
            <v>#N/A</v>
          </cell>
        </row>
        <row r="1115">
          <cell r="A1115" t="str">
            <v/>
          </cell>
          <cell r="B1115" t="str">
            <v/>
          </cell>
          <cell r="C1115" t="str">
            <v>Future</v>
          </cell>
          <cell r="D1115" t="e">
            <v>#N/A</v>
          </cell>
          <cell r="E1115">
            <v>-41.402015810276616</v>
          </cell>
          <cell r="F1115">
            <v>50.898379446640753</v>
          </cell>
          <cell r="G1115">
            <v>28.922094861659254</v>
          </cell>
          <cell r="H1115">
            <v>28.922094861659254</v>
          </cell>
          <cell r="I1115" t="e">
            <v>#N/A</v>
          </cell>
          <cell r="J1115" t="e">
            <v>#N/A</v>
          </cell>
          <cell r="K1115">
            <v>42</v>
          </cell>
          <cell r="L1115">
            <v>32</v>
          </cell>
          <cell r="M1115" t="e">
            <v>#N/A</v>
          </cell>
          <cell r="N1115">
            <v>37</v>
          </cell>
          <cell r="O1115" t="e">
            <v>#N/A</v>
          </cell>
          <cell r="P1115" t="str">
            <v/>
          </cell>
          <cell r="Q1115" t="str">
            <v/>
          </cell>
          <cell r="R1115" t="e">
            <v>#N/A</v>
          </cell>
        </row>
        <row r="1116">
          <cell r="A1116" t="str">
            <v/>
          </cell>
          <cell r="B1116" t="str">
            <v/>
          </cell>
          <cell r="C1116" t="str">
            <v>Future</v>
          </cell>
          <cell r="D1116" t="e">
            <v>#N/A</v>
          </cell>
          <cell r="E1116">
            <v>-41.538656126482152</v>
          </cell>
          <cell r="F1116">
            <v>50.92774703557356</v>
          </cell>
          <cell r="G1116">
            <v>28.911936758892455</v>
          </cell>
          <cell r="H1116">
            <v>28.911936758892455</v>
          </cell>
          <cell r="I1116" t="e">
            <v>#N/A</v>
          </cell>
          <cell r="J1116" t="e">
            <v>#N/A</v>
          </cell>
          <cell r="K1116">
            <v>42</v>
          </cell>
          <cell r="L1116">
            <v>32</v>
          </cell>
          <cell r="M1116" t="e">
            <v>#N/A</v>
          </cell>
          <cell r="N1116">
            <v>37</v>
          </cell>
          <cell r="O1116" t="e">
            <v>#N/A</v>
          </cell>
          <cell r="P1116" t="str">
            <v/>
          </cell>
          <cell r="Q1116" t="str">
            <v/>
          </cell>
          <cell r="R1116" t="e">
            <v>#N/A</v>
          </cell>
        </row>
        <row r="1117">
          <cell r="A1117" t="str">
            <v/>
          </cell>
          <cell r="B1117" t="str">
            <v/>
          </cell>
          <cell r="C1117" t="str">
            <v>Future</v>
          </cell>
          <cell r="D1117" t="e">
            <v>#N/A</v>
          </cell>
          <cell r="E1117">
            <v>-41.675296442687689</v>
          </cell>
          <cell r="F1117">
            <v>50.957114624506367</v>
          </cell>
          <cell r="G1117">
            <v>28.901778656125657</v>
          </cell>
          <cell r="H1117">
            <v>28.901778656125657</v>
          </cell>
          <cell r="I1117" t="e">
            <v>#N/A</v>
          </cell>
          <cell r="J1117" t="e">
            <v>#N/A</v>
          </cell>
          <cell r="K1117">
            <v>42</v>
          </cell>
          <cell r="L1117">
            <v>32</v>
          </cell>
          <cell r="M1117" t="e">
            <v>#N/A</v>
          </cell>
          <cell r="N1117">
            <v>37</v>
          </cell>
          <cell r="O1117" t="e">
            <v>#N/A</v>
          </cell>
          <cell r="P1117" t="str">
            <v/>
          </cell>
          <cell r="Q1117" t="str">
            <v/>
          </cell>
          <cell r="R1117" t="e">
            <v>#N/A</v>
          </cell>
        </row>
        <row r="1118">
          <cell r="A1118" t="str">
            <v/>
          </cell>
          <cell r="B1118" t="str">
            <v/>
          </cell>
          <cell r="C1118" t="str">
            <v>Future</v>
          </cell>
          <cell r="D1118" t="e">
            <v>#N/A</v>
          </cell>
          <cell r="E1118">
            <v>-41.811936758893225</v>
          </cell>
          <cell r="F1118">
            <v>50.986482213439174</v>
          </cell>
          <cell r="G1118">
            <v>28.891620553358859</v>
          </cell>
          <cell r="H1118">
            <v>28.891620553358859</v>
          </cell>
          <cell r="I1118" t="e">
            <v>#N/A</v>
          </cell>
          <cell r="J1118" t="e">
            <v>#N/A</v>
          </cell>
          <cell r="K1118">
            <v>42</v>
          </cell>
          <cell r="L1118">
            <v>32</v>
          </cell>
          <cell r="M1118" t="e">
            <v>#N/A</v>
          </cell>
          <cell r="N1118">
            <v>37</v>
          </cell>
          <cell r="O1118" t="e">
            <v>#N/A</v>
          </cell>
          <cell r="P1118" t="str">
            <v/>
          </cell>
          <cell r="Q1118" t="str">
            <v/>
          </cell>
          <cell r="R1118" t="e">
            <v>#N/A</v>
          </cell>
        </row>
        <row r="1119">
          <cell r="A1119" t="str">
            <v/>
          </cell>
          <cell r="B1119" t="str">
            <v/>
          </cell>
          <cell r="C1119" t="str">
            <v>Future</v>
          </cell>
          <cell r="D1119" t="e">
            <v>#N/A</v>
          </cell>
          <cell r="E1119">
            <v>-41.948577075098761</v>
          </cell>
          <cell r="F1119">
            <v>51.015849802371982</v>
          </cell>
          <cell r="G1119">
            <v>28.881462450592061</v>
          </cell>
          <cell r="H1119">
            <v>28.881462450592061</v>
          </cell>
          <cell r="I1119" t="e">
            <v>#N/A</v>
          </cell>
          <cell r="J1119" t="e">
            <v>#N/A</v>
          </cell>
          <cell r="K1119">
            <v>42</v>
          </cell>
          <cell r="L1119">
            <v>32</v>
          </cell>
          <cell r="M1119" t="e">
            <v>#N/A</v>
          </cell>
          <cell r="N1119">
            <v>37</v>
          </cell>
          <cell r="O1119" t="e">
            <v>#N/A</v>
          </cell>
          <cell r="P1119" t="str">
            <v/>
          </cell>
          <cell r="Q1119" t="str">
            <v/>
          </cell>
          <cell r="R1119" t="e">
            <v>#N/A</v>
          </cell>
        </row>
        <row r="1120">
          <cell r="A1120" t="str">
            <v/>
          </cell>
          <cell r="B1120" t="str">
            <v/>
          </cell>
          <cell r="C1120" t="str">
            <v>Future</v>
          </cell>
          <cell r="D1120" t="e">
            <v>#N/A</v>
          </cell>
          <cell r="E1120">
            <v>-42.085217391304298</v>
          </cell>
          <cell r="F1120">
            <v>51.045217391304789</v>
          </cell>
          <cell r="G1120">
            <v>28.871304347825262</v>
          </cell>
          <cell r="H1120">
            <v>28.871304347825262</v>
          </cell>
          <cell r="I1120" t="e">
            <v>#N/A</v>
          </cell>
          <cell r="J1120" t="e">
            <v>#N/A</v>
          </cell>
          <cell r="K1120">
            <v>42</v>
          </cell>
          <cell r="L1120">
            <v>32</v>
          </cell>
          <cell r="M1120" t="e">
            <v>#N/A</v>
          </cell>
          <cell r="N1120">
            <v>37</v>
          </cell>
          <cell r="O1120" t="e">
            <v>#N/A</v>
          </cell>
          <cell r="P1120" t="str">
            <v/>
          </cell>
          <cell r="Q1120" t="str">
            <v/>
          </cell>
          <cell r="R1120" t="e">
            <v>#N/A</v>
          </cell>
        </row>
        <row r="1121">
          <cell r="A1121" t="str">
            <v/>
          </cell>
          <cell r="B1121" t="str">
            <v/>
          </cell>
          <cell r="C1121" t="str">
            <v>Future</v>
          </cell>
          <cell r="D1121" t="e">
            <v>#N/A</v>
          </cell>
          <cell r="E1121">
            <v>-42.221857707509834</v>
          </cell>
          <cell r="F1121">
            <v>51.074584980237596</v>
          </cell>
          <cell r="G1121">
            <v>28.861146245058464</v>
          </cell>
          <cell r="H1121">
            <v>28.861146245058464</v>
          </cell>
          <cell r="I1121" t="e">
            <v>#N/A</v>
          </cell>
          <cell r="J1121" t="e">
            <v>#N/A</v>
          </cell>
          <cell r="K1121">
            <v>42</v>
          </cell>
          <cell r="L1121">
            <v>32</v>
          </cell>
          <cell r="M1121" t="e">
            <v>#N/A</v>
          </cell>
          <cell r="N1121">
            <v>37</v>
          </cell>
          <cell r="O1121" t="e">
            <v>#N/A</v>
          </cell>
          <cell r="P1121" t="str">
            <v/>
          </cell>
          <cell r="Q1121" t="str">
            <v/>
          </cell>
          <cell r="R1121" t="e">
            <v>#N/A</v>
          </cell>
        </row>
        <row r="1122">
          <cell r="A1122" t="str">
            <v/>
          </cell>
          <cell r="B1122" t="str">
            <v/>
          </cell>
          <cell r="C1122" t="str">
            <v>Future</v>
          </cell>
          <cell r="D1122" t="e">
            <v>#N/A</v>
          </cell>
          <cell r="E1122">
            <v>-42.35849802371537</v>
          </cell>
          <cell r="F1122">
            <v>51.103952569170403</v>
          </cell>
          <cell r="G1122">
            <v>28.850988142291666</v>
          </cell>
          <cell r="H1122">
            <v>28.850988142291666</v>
          </cell>
          <cell r="I1122" t="e">
            <v>#N/A</v>
          </cell>
          <cell r="J1122" t="e">
            <v>#N/A</v>
          </cell>
          <cell r="K1122">
            <v>42</v>
          </cell>
          <cell r="L1122">
            <v>32</v>
          </cell>
          <cell r="M1122" t="e">
            <v>#N/A</v>
          </cell>
          <cell r="N1122">
            <v>37</v>
          </cell>
          <cell r="O1122" t="e">
            <v>#N/A</v>
          </cell>
          <cell r="P1122" t="str">
            <v/>
          </cell>
          <cell r="Q1122" t="str">
            <v/>
          </cell>
          <cell r="R1122" t="e">
            <v>#N/A</v>
          </cell>
        </row>
        <row r="1123">
          <cell r="A1123" t="str">
            <v/>
          </cell>
          <cell r="B1123" t="str">
            <v/>
          </cell>
          <cell r="C1123" t="str">
            <v>Future</v>
          </cell>
          <cell r="D1123" t="e">
            <v>#N/A</v>
          </cell>
          <cell r="E1123">
            <v>-42.495138339920906</v>
          </cell>
          <cell r="F1123">
            <v>51.13332015810321</v>
          </cell>
          <cell r="G1123">
            <v>28.840830039524867</v>
          </cell>
          <cell r="H1123">
            <v>28.840830039524867</v>
          </cell>
          <cell r="I1123" t="e">
            <v>#N/A</v>
          </cell>
          <cell r="J1123" t="e">
            <v>#N/A</v>
          </cell>
          <cell r="K1123">
            <v>42</v>
          </cell>
          <cell r="L1123">
            <v>32</v>
          </cell>
          <cell r="M1123" t="e">
            <v>#N/A</v>
          </cell>
          <cell r="N1123">
            <v>37</v>
          </cell>
          <cell r="O1123" t="e">
            <v>#N/A</v>
          </cell>
          <cell r="P1123" t="str">
            <v/>
          </cell>
          <cell r="Q1123" t="str">
            <v/>
          </cell>
          <cell r="R1123" t="e">
            <v>#N/A</v>
          </cell>
        </row>
        <row r="1124">
          <cell r="A1124" t="str">
            <v/>
          </cell>
          <cell r="B1124" t="str">
            <v/>
          </cell>
          <cell r="C1124" t="str">
            <v>Future</v>
          </cell>
          <cell r="D1124" t="e">
            <v>#N/A</v>
          </cell>
          <cell r="E1124">
            <v>-42.631778656126443</v>
          </cell>
          <cell r="F1124">
            <v>51.162687747036017</v>
          </cell>
          <cell r="G1124">
            <v>28.830671936758069</v>
          </cell>
          <cell r="H1124">
            <v>28.830671936758069</v>
          </cell>
          <cell r="I1124" t="e">
            <v>#N/A</v>
          </cell>
          <cell r="J1124" t="e">
            <v>#N/A</v>
          </cell>
          <cell r="K1124">
            <v>42</v>
          </cell>
          <cell r="L1124">
            <v>32</v>
          </cell>
          <cell r="M1124" t="e">
            <v>#N/A</v>
          </cell>
          <cell r="N1124">
            <v>37</v>
          </cell>
          <cell r="O1124" t="e">
            <v>#N/A</v>
          </cell>
          <cell r="P1124" t="str">
            <v/>
          </cell>
          <cell r="Q1124" t="str">
            <v/>
          </cell>
          <cell r="R1124" t="e">
            <v>#N/A</v>
          </cell>
        </row>
        <row r="1125">
          <cell r="A1125" t="str">
            <v/>
          </cell>
          <cell r="B1125" t="str">
            <v/>
          </cell>
          <cell r="C1125" t="str">
            <v>Future</v>
          </cell>
          <cell r="D1125" t="e">
            <v>#N/A</v>
          </cell>
          <cell r="E1125">
            <v>-42.768418972331979</v>
          </cell>
          <cell r="F1125">
            <v>51.192055335968824</v>
          </cell>
          <cell r="G1125">
            <v>28.820513833991271</v>
          </cell>
          <cell r="H1125">
            <v>28.820513833991271</v>
          </cell>
          <cell r="I1125" t="e">
            <v>#N/A</v>
          </cell>
          <cell r="J1125" t="e">
            <v>#N/A</v>
          </cell>
          <cell r="K1125">
            <v>42</v>
          </cell>
          <cell r="L1125">
            <v>32</v>
          </cell>
          <cell r="M1125" t="e">
            <v>#N/A</v>
          </cell>
          <cell r="N1125">
            <v>37</v>
          </cell>
          <cell r="O1125" t="e">
            <v>#N/A</v>
          </cell>
          <cell r="P1125" t="str">
            <v/>
          </cell>
          <cell r="Q1125" t="str">
            <v/>
          </cell>
          <cell r="R1125" t="e">
            <v>#N/A</v>
          </cell>
        </row>
        <row r="1126">
          <cell r="A1126" t="str">
            <v/>
          </cell>
          <cell r="B1126" t="str">
            <v/>
          </cell>
          <cell r="C1126" t="str">
            <v>Future</v>
          </cell>
          <cell r="D1126" t="e">
            <v>#N/A</v>
          </cell>
          <cell r="E1126">
            <v>-42.905059288537515</v>
          </cell>
          <cell r="F1126">
            <v>51.221422924901631</v>
          </cell>
          <cell r="G1126">
            <v>28.810355731224472</v>
          </cell>
          <cell r="H1126">
            <v>28.810355731224472</v>
          </cell>
          <cell r="I1126" t="e">
            <v>#N/A</v>
          </cell>
          <cell r="J1126" t="e">
            <v>#N/A</v>
          </cell>
          <cell r="K1126">
            <v>42</v>
          </cell>
          <cell r="L1126">
            <v>32</v>
          </cell>
          <cell r="M1126" t="e">
            <v>#N/A</v>
          </cell>
          <cell r="N1126">
            <v>37</v>
          </cell>
          <cell r="O1126" t="e">
            <v>#N/A</v>
          </cell>
          <cell r="P1126" t="str">
            <v/>
          </cell>
          <cell r="Q1126" t="str">
            <v/>
          </cell>
          <cell r="R1126" t="e">
            <v>#N/A</v>
          </cell>
        </row>
        <row r="1127">
          <cell r="A1127" t="str">
            <v/>
          </cell>
          <cell r="B1127" t="str">
            <v/>
          </cell>
          <cell r="C1127" t="str">
            <v>Future</v>
          </cell>
          <cell r="D1127" t="e">
            <v>#N/A</v>
          </cell>
          <cell r="E1127">
            <v>-43.041699604743052</v>
          </cell>
          <cell r="F1127">
            <v>51.250790513834438</v>
          </cell>
          <cell r="G1127">
            <v>28.800197628457674</v>
          </cell>
          <cell r="H1127">
            <v>28.800197628457674</v>
          </cell>
          <cell r="I1127" t="e">
            <v>#N/A</v>
          </cell>
          <cell r="J1127" t="e">
            <v>#N/A</v>
          </cell>
          <cell r="K1127">
            <v>42</v>
          </cell>
          <cell r="L1127">
            <v>32</v>
          </cell>
          <cell r="M1127" t="e">
            <v>#N/A</v>
          </cell>
          <cell r="N1127">
            <v>37</v>
          </cell>
          <cell r="O1127" t="e">
            <v>#N/A</v>
          </cell>
          <cell r="P1127" t="str">
            <v/>
          </cell>
          <cell r="Q1127" t="str">
            <v/>
          </cell>
          <cell r="R1127" t="e">
            <v>#N/A</v>
          </cell>
        </row>
        <row r="1128">
          <cell r="A1128" t="str">
            <v/>
          </cell>
          <cell r="B1128" t="str">
            <v/>
          </cell>
          <cell r="C1128" t="str">
            <v>Future</v>
          </cell>
          <cell r="D1128" t="e">
            <v>#N/A</v>
          </cell>
          <cell r="E1128">
            <v>-43.178339920948588</v>
          </cell>
          <cell r="F1128">
            <v>51.280158102767246</v>
          </cell>
          <cell r="G1128">
            <v>28.790039525690876</v>
          </cell>
          <cell r="H1128">
            <v>28.790039525690876</v>
          </cell>
          <cell r="I1128" t="e">
            <v>#N/A</v>
          </cell>
          <cell r="J1128" t="e">
            <v>#N/A</v>
          </cell>
          <cell r="K1128">
            <v>42</v>
          </cell>
          <cell r="L1128">
            <v>32</v>
          </cell>
          <cell r="M1128" t="e">
            <v>#N/A</v>
          </cell>
          <cell r="N1128">
            <v>37</v>
          </cell>
          <cell r="O1128" t="e">
            <v>#N/A</v>
          </cell>
          <cell r="P1128" t="str">
            <v/>
          </cell>
          <cell r="Q1128" t="str">
            <v/>
          </cell>
          <cell r="R1128" t="e">
            <v>#N/A</v>
          </cell>
        </row>
        <row r="1129">
          <cell r="A1129" t="str">
            <v/>
          </cell>
          <cell r="B1129" t="str">
            <v/>
          </cell>
          <cell r="C1129" t="str">
            <v>Future</v>
          </cell>
          <cell r="D1129" t="e">
            <v>#N/A</v>
          </cell>
          <cell r="E1129">
            <v>-43.314980237154124</v>
          </cell>
          <cell r="F1129">
            <v>51.309525691700053</v>
          </cell>
          <cell r="G1129">
            <v>28.779881422924078</v>
          </cell>
          <cell r="H1129">
            <v>28.779881422924078</v>
          </cell>
          <cell r="I1129" t="e">
            <v>#N/A</v>
          </cell>
          <cell r="J1129" t="e">
            <v>#N/A</v>
          </cell>
          <cell r="K1129">
            <v>42</v>
          </cell>
          <cell r="L1129">
            <v>32</v>
          </cell>
          <cell r="M1129" t="e">
            <v>#N/A</v>
          </cell>
          <cell r="N1129">
            <v>37</v>
          </cell>
          <cell r="O1129" t="e">
            <v>#N/A</v>
          </cell>
          <cell r="P1129" t="str">
            <v/>
          </cell>
          <cell r="Q1129" t="str">
            <v/>
          </cell>
          <cell r="R1129" t="e">
            <v>#N/A</v>
          </cell>
        </row>
        <row r="1130">
          <cell r="A1130" t="str">
            <v/>
          </cell>
          <cell r="B1130" t="str">
            <v/>
          </cell>
          <cell r="C1130" t="str">
            <v>Future</v>
          </cell>
          <cell r="D1130" t="e">
            <v>#N/A</v>
          </cell>
          <cell r="E1130">
            <v>-43.45162055335966</v>
          </cell>
          <cell r="F1130">
            <v>51.33889328063286</v>
          </cell>
          <cell r="G1130">
            <v>28.769723320157279</v>
          </cell>
          <cell r="H1130">
            <v>28.769723320157279</v>
          </cell>
          <cell r="I1130" t="e">
            <v>#N/A</v>
          </cell>
          <cell r="J1130" t="e">
            <v>#N/A</v>
          </cell>
          <cell r="K1130">
            <v>42</v>
          </cell>
          <cell r="L1130">
            <v>32</v>
          </cell>
          <cell r="M1130" t="e">
            <v>#N/A</v>
          </cell>
          <cell r="N1130">
            <v>37</v>
          </cell>
          <cell r="O1130" t="e">
            <v>#N/A</v>
          </cell>
          <cell r="P1130" t="str">
            <v/>
          </cell>
          <cell r="Q1130" t="str">
            <v/>
          </cell>
          <cell r="R1130" t="e">
            <v>#N/A</v>
          </cell>
        </row>
        <row r="1131">
          <cell r="A1131" t="str">
            <v/>
          </cell>
          <cell r="B1131" t="str">
            <v/>
          </cell>
          <cell r="C1131" t="str">
            <v>Future</v>
          </cell>
          <cell r="D1131" t="e">
            <v>#N/A</v>
          </cell>
          <cell r="E1131">
            <v>-43.588260869565197</v>
          </cell>
          <cell r="F1131">
            <v>51.368260869565667</v>
          </cell>
          <cell r="G1131">
            <v>28.759565217390481</v>
          </cell>
          <cell r="H1131">
            <v>28.759565217390481</v>
          </cell>
          <cell r="I1131" t="e">
            <v>#N/A</v>
          </cell>
          <cell r="J1131" t="e">
            <v>#N/A</v>
          </cell>
          <cell r="K1131">
            <v>42</v>
          </cell>
          <cell r="L1131">
            <v>32</v>
          </cell>
          <cell r="M1131" t="e">
            <v>#N/A</v>
          </cell>
          <cell r="N1131">
            <v>37</v>
          </cell>
          <cell r="O1131" t="e">
            <v>#N/A</v>
          </cell>
          <cell r="P1131" t="str">
            <v/>
          </cell>
          <cell r="Q1131" t="str">
            <v/>
          </cell>
          <cell r="R1131" t="e">
            <v>#N/A</v>
          </cell>
        </row>
        <row r="1132">
          <cell r="A1132" t="str">
            <v/>
          </cell>
          <cell r="B1132" t="str">
            <v/>
          </cell>
          <cell r="C1132" t="str">
            <v>Future</v>
          </cell>
          <cell r="D1132" t="e">
            <v>#N/A</v>
          </cell>
          <cell r="E1132">
            <v>-43.724901185770733</v>
          </cell>
          <cell r="F1132">
            <v>51.397628458498474</v>
          </cell>
          <cell r="G1132">
            <v>28.749407114623683</v>
          </cell>
          <cell r="H1132">
            <v>28.749407114623683</v>
          </cell>
          <cell r="I1132" t="e">
            <v>#N/A</v>
          </cell>
          <cell r="J1132" t="e">
            <v>#N/A</v>
          </cell>
          <cell r="K1132">
            <v>42</v>
          </cell>
          <cell r="L1132">
            <v>32</v>
          </cell>
          <cell r="M1132" t="e">
            <v>#N/A</v>
          </cell>
          <cell r="N1132">
            <v>37</v>
          </cell>
          <cell r="O1132" t="e">
            <v>#N/A</v>
          </cell>
          <cell r="P1132" t="str">
            <v/>
          </cell>
          <cell r="Q1132" t="str">
            <v/>
          </cell>
          <cell r="R1132" t="e">
            <v>#N/A</v>
          </cell>
        </row>
        <row r="1133">
          <cell r="A1133" t="str">
            <v/>
          </cell>
          <cell r="B1133" t="str">
            <v/>
          </cell>
          <cell r="C1133" t="str">
            <v>Future</v>
          </cell>
          <cell r="D1133" t="e">
            <v>#N/A</v>
          </cell>
          <cell r="E1133">
            <v>-43.861541501976269</v>
          </cell>
          <cell r="F1133">
            <v>51.426996047431281</v>
          </cell>
          <cell r="G1133">
            <v>28.739249011856884</v>
          </cell>
          <cell r="H1133">
            <v>28.739249011856884</v>
          </cell>
          <cell r="I1133" t="e">
            <v>#N/A</v>
          </cell>
          <cell r="J1133" t="e">
            <v>#N/A</v>
          </cell>
          <cell r="K1133">
            <v>42</v>
          </cell>
          <cell r="L1133">
            <v>32</v>
          </cell>
          <cell r="M1133" t="e">
            <v>#N/A</v>
          </cell>
          <cell r="N1133">
            <v>37</v>
          </cell>
          <cell r="O1133" t="e">
            <v>#N/A</v>
          </cell>
          <cell r="P1133" t="str">
            <v/>
          </cell>
          <cell r="Q1133" t="str">
            <v/>
          </cell>
          <cell r="R1133" t="e">
            <v>#N/A</v>
          </cell>
        </row>
        <row r="1134">
          <cell r="A1134" t="str">
            <v/>
          </cell>
          <cell r="B1134" t="str">
            <v/>
          </cell>
          <cell r="C1134" t="str">
            <v>Future</v>
          </cell>
          <cell r="D1134" t="e">
            <v>#N/A</v>
          </cell>
          <cell r="E1134">
            <v>-43.998181818181806</v>
          </cell>
          <cell r="F1134">
            <v>51.456363636364088</v>
          </cell>
          <cell r="G1134">
            <v>28.729090909090086</v>
          </cell>
          <cell r="H1134">
            <v>28.729090909090086</v>
          </cell>
          <cell r="I1134" t="e">
            <v>#N/A</v>
          </cell>
          <cell r="J1134" t="e">
            <v>#N/A</v>
          </cell>
          <cell r="K1134">
            <v>42</v>
          </cell>
          <cell r="L1134">
            <v>32</v>
          </cell>
          <cell r="M1134" t="e">
            <v>#N/A</v>
          </cell>
          <cell r="N1134">
            <v>37</v>
          </cell>
          <cell r="O1134" t="e">
            <v>#N/A</v>
          </cell>
          <cell r="P1134" t="str">
            <v/>
          </cell>
          <cell r="Q1134" t="str">
            <v/>
          </cell>
          <cell r="R1134" t="e">
            <v>#N/A</v>
          </cell>
        </row>
        <row r="1135">
          <cell r="A1135" t="str">
            <v/>
          </cell>
          <cell r="B1135" t="str">
            <v/>
          </cell>
          <cell r="C1135" t="str">
            <v>Future</v>
          </cell>
          <cell r="D1135" t="e">
            <v>#N/A</v>
          </cell>
          <cell r="E1135">
            <v>-44.134822134387342</v>
          </cell>
          <cell r="F1135">
            <v>51.485731225296895</v>
          </cell>
          <cell r="G1135">
            <v>28.718932806323288</v>
          </cell>
          <cell r="H1135">
            <v>28.718932806323288</v>
          </cell>
          <cell r="I1135" t="e">
            <v>#N/A</v>
          </cell>
          <cell r="J1135" t="e">
            <v>#N/A</v>
          </cell>
          <cell r="K1135">
            <v>42</v>
          </cell>
          <cell r="L1135">
            <v>32</v>
          </cell>
          <cell r="M1135" t="e">
            <v>#N/A</v>
          </cell>
          <cell r="N1135">
            <v>37</v>
          </cell>
          <cell r="O1135" t="e">
            <v>#N/A</v>
          </cell>
          <cell r="P1135" t="str">
            <v/>
          </cell>
          <cell r="Q1135" t="str">
            <v/>
          </cell>
          <cell r="R1135" t="e">
            <v>#N/A</v>
          </cell>
        </row>
        <row r="1136">
          <cell r="A1136" t="str">
            <v/>
          </cell>
          <cell r="B1136" t="str">
            <v/>
          </cell>
          <cell r="C1136" t="str">
            <v>Future</v>
          </cell>
          <cell r="D1136" t="e">
            <v>#N/A</v>
          </cell>
          <cell r="E1136">
            <v>-44.271462450592878</v>
          </cell>
          <cell r="F1136">
            <v>51.515098814229702</v>
          </cell>
          <cell r="G1136">
            <v>28.70877470355649</v>
          </cell>
          <cell r="H1136">
            <v>28.70877470355649</v>
          </cell>
          <cell r="I1136" t="e">
            <v>#N/A</v>
          </cell>
          <cell r="J1136" t="e">
            <v>#N/A</v>
          </cell>
          <cell r="K1136">
            <v>42</v>
          </cell>
          <cell r="L1136">
            <v>32</v>
          </cell>
          <cell r="M1136" t="e">
            <v>#N/A</v>
          </cell>
          <cell r="N1136">
            <v>37</v>
          </cell>
          <cell r="O1136" t="e">
            <v>#N/A</v>
          </cell>
          <cell r="P1136" t="str">
            <v/>
          </cell>
          <cell r="Q1136" t="str">
            <v/>
          </cell>
          <cell r="R1136" t="e">
            <v>#N/A</v>
          </cell>
        </row>
        <row r="1137">
          <cell r="A1137" t="str">
            <v/>
          </cell>
          <cell r="B1137" t="str">
            <v/>
          </cell>
          <cell r="C1137" t="str">
            <v>Future</v>
          </cell>
          <cell r="D1137" t="e">
            <v>#N/A</v>
          </cell>
          <cell r="E1137">
            <v>-44.408102766798415</v>
          </cell>
          <cell r="F1137">
            <v>51.544466403162509</v>
          </cell>
          <cell r="G1137">
            <v>28.698616600789691</v>
          </cell>
          <cell r="H1137">
            <v>28.698616600789691</v>
          </cell>
          <cell r="I1137" t="e">
            <v>#N/A</v>
          </cell>
          <cell r="J1137" t="e">
            <v>#N/A</v>
          </cell>
          <cell r="K1137">
            <v>42</v>
          </cell>
          <cell r="L1137">
            <v>32</v>
          </cell>
          <cell r="M1137" t="e">
            <v>#N/A</v>
          </cell>
          <cell r="N1137">
            <v>37</v>
          </cell>
          <cell r="O1137" t="e">
            <v>#N/A</v>
          </cell>
          <cell r="P1137" t="str">
            <v/>
          </cell>
          <cell r="Q1137" t="str">
            <v/>
          </cell>
          <cell r="R1137" t="e">
            <v>#N/A</v>
          </cell>
        </row>
        <row r="1138">
          <cell r="A1138" t="str">
            <v/>
          </cell>
          <cell r="B1138" t="str">
            <v/>
          </cell>
          <cell r="C1138" t="str">
            <v>Future</v>
          </cell>
          <cell r="D1138" t="e">
            <v>#N/A</v>
          </cell>
          <cell r="E1138">
            <v>-44.544743083003951</v>
          </cell>
          <cell r="F1138">
            <v>51.573833992095317</v>
          </cell>
          <cell r="G1138">
            <v>28.688458498022893</v>
          </cell>
          <cell r="H1138">
            <v>28.688458498022893</v>
          </cell>
          <cell r="I1138" t="e">
            <v>#N/A</v>
          </cell>
          <cell r="J1138" t="e">
            <v>#N/A</v>
          </cell>
          <cell r="K1138">
            <v>42</v>
          </cell>
          <cell r="L1138">
            <v>32</v>
          </cell>
          <cell r="M1138" t="e">
            <v>#N/A</v>
          </cell>
          <cell r="N1138">
            <v>37</v>
          </cell>
          <cell r="O1138" t="e">
            <v>#N/A</v>
          </cell>
          <cell r="P1138" t="str">
            <v/>
          </cell>
          <cell r="Q1138" t="str">
            <v/>
          </cell>
          <cell r="R1138" t="e">
            <v>#N/A</v>
          </cell>
        </row>
        <row r="1139">
          <cell r="A1139" t="str">
            <v/>
          </cell>
          <cell r="B1139" t="str">
            <v/>
          </cell>
          <cell r="C1139" t="str">
            <v>Future</v>
          </cell>
          <cell r="D1139" t="e">
            <v>#N/A</v>
          </cell>
          <cell r="E1139">
            <v>-44.681383399209487</v>
          </cell>
          <cell r="F1139">
            <v>51.603201581028124</v>
          </cell>
          <cell r="G1139">
            <v>28.678300395256095</v>
          </cell>
          <cell r="H1139">
            <v>28.678300395256095</v>
          </cell>
          <cell r="I1139" t="e">
            <v>#N/A</v>
          </cell>
          <cell r="J1139" t="e">
            <v>#N/A</v>
          </cell>
          <cell r="K1139">
            <v>42</v>
          </cell>
          <cell r="L1139">
            <v>32</v>
          </cell>
          <cell r="M1139" t="e">
            <v>#N/A</v>
          </cell>
          <cell r="N1139">
            <v>37</v>
          </cell>
          <cell r="O1139" t="e">
            <v>#N/A</v>
          </cell>
          <cell r="P1139" t="str">
            <v/>
          </cell>
          <cell r="Q1139" t="str">
            <v/>
          </cell>
          <cell r="R1139" t="e">
            <v>#N/A</v>
          </cell>
        </row>
        <row r="1140">
          <cell r="A1140" t="str">
            <v/>
          </cell>
          <cell r="B1140" t="str">
            <v/>
          </cell>
          <cell r="C1140" t="str">
            <v>Future</v>
          </cell>
          <cell r="D1140" t="e">
            <v>#N/A</v>
          </cell>
          <cell r="E1140">
            <v>-44.818023715415023</v>
          </cell>
          <cell r="F1140">
            <v>51.632569169960931</v>
          </cell>
          <cell r="G1140">
            <v>28.668142292489296</v>
          </cell>
          <cell r="H1140">
            <v>28.668142292489296</v>
          </cell>
          <cell r="I1140" t="e">
            <v>#N/A</v>
          </cell>
          <cell r="J1140" t="e">
            <v>#N/A</v>
          </cell>
          <cell r="K1140">
            <v>42</v>
          </cell>
          <cell r="L1140">
            <v>32</v>
          </cell>
          <cell r="M1140" t="e">
            <v>#N/A</v>
          </cell>
          <cell r="N1140">
            <v>37</v>
          </cell>
          <cell r="O1140" t="e">
            <v>#N/A</v>
          </cell>
          <cell r="P1140" t="str">
            <v/>
          </cell>
          <cell r="Q1140" t="str">
            <v/>
          </cell>
          <cell r="R1140" t="e">
            <v>#N/A</v>
          </cell>
        </row>
        <row r="1141">
          <cell r="A1141" t="str">
            <v/>
          </cell>
          <cell r="B1141" t="str">
            <v/>
          </cell>
          <cell r="C1141" t="str">
            <v>Future</v>
          </cell>
          <cell r="D1141" t="e">
            <v>#N/A</v>
          </cell>
          <cell r="E1141">
            <v>-44.95466403162056</v>
          </cell>
          <cell r="F1141">
            <v>51.661936758893738</v>
          </cell>
          <cell r="G1141">
            <v>28.657984189722498</v>
          </cell>
          <cell r="H1141">
            <v>28.657984189722498</v>
          </cell>
          <cell r="I1141" t="e">
            <v>#N/A</v>
          </cell>
          <cell r="J1141" t="e">
            <v>#N/A</v>
          </cell>
          <cell r="K1141">
            <v>42</v>
          </cell>
          <cell r="L1141">
            <v>32</v>
          </cell>
          <cell r="M1141" t="e">
            <v>#N/A</v>
          </cell>
          <cell r="N1141">
            <v>37</v>
          </cell>
          <cell r="O1141" t="e">
            <v>#N/A</v>
          </cell>
          <cell r="P1141" t="str">
            <v/>
          </cell>
          <cell r="Q1141" t="str">
            <v/>
          </cell>
          <cell r="R1141" t="e">
            <v>#N/A</v>
          </cell>
        </row>
        <row r="1142">
          <cell r="A1142" t="str">
            <v/>
          </cell>
          <cell r="B1142" t="str">
            <v/>
          </cell>
          <cell r="C1142" t="str">
            <v>Future</v>
          </cell>
          <cell r="D1142" t="e">
            <v>#N/A</v>
          </cell>
          <cell r="E1142">
            <v>-45.091304347826096</v>
          </cell>
          <cell r="F1142">
            <v>51.691304347826545</v>
          </cell>
          <cell r="G1142">
            <v>28.6478260869557</v>
          </cell>
          <cell r="H1142">
            <v>28.6478260869557</v>
          </cell>
          <cell r="I1142" t="e">
            <v>#N/A</v>
          </cell>
          <cell r="J1142" t="e">
            <v>#N/A</v>
          </cell>
          <cell r="K1142">
            <v>42</v>
          </cell>
          <cell r="L1142">
            <v>32</v>
          </cell>
          <cell r="M1142" t="e">
            <v>#N/A</v>
          </cell>
          <cell r="N1142">
            <v>37</v>
          </cell>
          <cell r="O1142" t="e">
            <v>#N/A</v>
          </cell>
          <cell r="P1142" t="str">
            <v/>
          </cell>
          <cell r="Q1142" t="str">
            <v/>
          </cell>
          <cell r="R1142" t="e">
            <v>#N/A</v>
          </cell>
        </row>
        <row r="1143">
          <cell r="A1143" t="str">
            <v/>
          </cell>
          <cell r="B1143" t="str">
            <v/>
          </cell>
          <cell r="C1143" t="str">
            <v>Future</v>
          </cell>
          <cell r="D1143" t="e">
            <v>#N/A</v>
          </cell>
          <cell r="E1143">
            <v>-45.227944664031632</v>
          </cell>
          <cell r="F1143">
            <v>51.720671936759352</v>
          </cell>
          <cell r="G1143">
            <v>28.637667984188901</v>
          </cell>
          <cell r="H1143">
            <v>28.637667984188901</v>
          </cell>
          <cell r="I1143" t="e">
            <v>#N/A</v>
          </cell>
          <cell r="J1143" t="e">
            <v>#N/A</v>
          </cell>
          <cell r="K1143">
            <v>42</v>
          </cell>
          <cell r="L1143">
            <v>32</v>
          </cell>
          <cell r="M1143" t="e">
            <v>#N/A</v>
          </cell>
          <cell r="N1143">
            <v>37</v>
          </cell>
          <cell r="O1143" t="e">
            <v>#N/A</v>
          </cell>
          <cell r="P1143" t="str">
            <v/>
          </cell>
          <cell r="Q1143" t="str">
            <v/>
          </cell>
          <cell r="R1143" t="e">
            <v>#N/A</v>
          </cell>
        </row>
        <row r="1144">
          <cell r="A1144" t="str">
            <v/>
          </cell>
          <cell r="B1144" t="str">
            <v/>
          </cell>
          <cell r="C1144" t="str">
            <v>Future</v>
          </cell>
          <cell r="D1144" t="e">
            <v>#N/A</v>
          </cell>
          <cell r="E1144">
            <v>-45.364584980237169</v>
          </cell>
          <cell r="F1144">
            <v>51.750039525692159</v>
          </cell>
          <cell r="G1144">
            <v>28.627509881422103</v>
          </cell>
          <cell r="H1144">
            <v>28.627509881422103</v>
          </cell>
          <cell r="I1144" t="e">
            <v>#N/A</v>
          </cell>
          <cell r="J1144" t="e">
            <v>#N/A</v>
          </cell>
          <cell r="K1144">
            <v>42</v>
          </cell>
          <cell r="L1144">
            <v>32</v>
          </cell>
          <cell r="M1144" t="e">
            <v>#N/A</v>
          </cell>
          <cell r="N1144">
            <v>37</v>
          </cell>
          <cell r="O1144" t="e">
            <v>#N/A</v>
          </cell>
          <cell r="P1144" t="str">
            <v/>
          </cell>
          <cell r="Q1144" t="str">
            <v/>
          </cell>
          <cell r="R1144" t="e">
            <v>#N/A</v>
          </cell>
        </row>
        <row r="1145">
          <cell r="A1145" t="str">
            <v/>
          </cell>
          <cell r="B1145" t="str">
            <v/>
          </cell>
          <cell r="C1145" t="str">
            <v>Future</v>
          </cell>
          <cell r="D1145" t="e">
            <v>#N/A</v>
          </cell>
          <cell r="E1145">
            <v>-45.501225296442705</v>
          </cell>
          <cell r="F1145">
            <v>51.779407114624966</v>
          </cell>
          <cell r="G1145">
            <v>28.617351778655305</v>
          </cell>
          <cell r="H1145">
            <v>28.617351778655305</v>
          </cell>
          <cell r="I1145" t="e">
            <v>#N/A</v>
          </cell>
          <cell r="J1145" t="e">
            <v>#N/A</v>
          </cell>
          <cell r="K1145">
            <v>42</v>
          </cell>
          <cell r="L1145">
            <v>32</v>
          </cell>
          <cell r="M1145" t="e">
            <v>#N/A</v>
          </cell>
          <cell r="N1145">
            <v>37</v>
          </cell>
          <cell r="O1145" t="e">
            <v>#N/A</v>
          </cell>
          <cell r="P1145" t="str">
            <v/>
          </cell>
          <cell r="Q1145" t="str">
            <v/>
          </cell>
          <cell r="R1145" t="e">
            <v>#N/A</v>
          </cell>
        </row>
        <row r="1146">
          <cell r="A1146" t="str">
            <v/>
          </cell>
          <cell r="B1146" t="str">
            <v/>
          </cell>
          <cell r="C1146" t="str">
            <v>Future</v>
          </cell>
          <cell r="D1146" t="e">
            <v>#N/A</v>
          </cell>
          <cell r="E1146">
            <v>-45.637865612648241</v>
          </cell>
          <cell r="F1146">
            <v>51.808774703557773</v>
          </cell>
          <cell r="G1146">
            <v>28.607193675888507</v>
          </cell>
          <cell r="H1146">
            <v>28.607193675888507</v>
          </cell>
          <cell r="I1146" t="e">
            <v>#N/A</v>
          </cell>
          <cell r="J1146" t="e">
            <v>#N/A</v>
          </cell>
          <cell r="K1146">
            <v>42</v>
          </cell>
          <cell r="L1146">
            <v>32</v>
          </cell>
          <cell r="M1146" t="e">
            <v>#N/A</v>
          </cell>
          <cell r="N1146">
            <v>37</v>
          </cell>
          <cell r="O1146" t="e">
            <v>#N/A</v>
          </cell>
          <cell r="P1146" t="str">
            <v/>
          </cell>
          <cell r="Q1146" t="str">
            <v/>
          </cell>
          <cell r="R1146" t="e">
            <v>#N/A</v>
          </cell>
        </row>
        <row r="1147">
          <cell r="A1147" t="str">
            <v/>
          </cell>
          <cell r="B1147" t="str">
            <v/>
          </cell>
          <cell r="C1147" t="str">
            <v>Future</v>
          </cell>
          <cell r="D1147" t="e">
            <v>#N/A</v>
          </cell>
          <cell r="E1147">
            <v>-45.774505928853777</v>
          </cell>
          <cell r="F1147">
            <v>51.838142292490581</v>
          </cell>
          <cell r="G1147">
            <v>28.597035573121708</v>
          </cell>
          <cell r="H1147">
            <v>28.597035573121708</v>
          </cell>
          <cell r="I1147" t="e">
            <v>#N/A</v>
          </cell>
          <cell r="J1147" t="e">
            <v>#N/A</v>
          </cell>
          <cell r="K1147">
            <v>42</v>
          </cell>
          <cell r="L1147">
            <v>32</v>
          </cell>
          <cell r="M1147" t="e">
            <v>#N/A</v>
          </cell>
          <cell r="N1147">
            <v>37</v>
          </cell>
          <cell r="O1147" t="e">
            <v>#N/A</v>
          </cell>
          <cell r="P1147" t="str">
            <v/>
          </cell>
          <cell r="Q1147" t="str">
            <v/>
          </cell>
          <cell r="R1147" t="e">
            <v>#N/A</v>
          </cell>
        </row>
        <row r="1148">
          <cell r="A1148" t="str">
            <v/>
          </cell>
          <cell r="B1148" t="str">
            <v/>
          </cell>
          <cell r="C1148" t="str">
            <v>Future</v>
          </cell>
          <cell r="D1148" t="e">
            <v>#N/A</v>
          </cell>
          <cell r="E1148">
            <v>-45.911146245059314</v>
          </cell>
          <cell r="F1148">
            <v>51.867509881423388</v>
          </cell>
          <cell r="G1148">
            <v>28.58687747035491</v>
          </cell>
          <cell r="H1148">
            <v>28.58687747035491</v>
          </cell>
          <cell r="I1148" t="e">
            <v>#N/A</v>
          </cell>
          <cell r="J1148" t="e">
            <v>#N/A</v>
          </cell>
          <cell r="K1148">
            <v>42</v>
          </cell>
          <cell r="L1148">
            <v>32</v>
          </cell>
          <cell r="M1148" t="e">
            <v>#N/A</v>
          </cell>
          <cell r="N1148">
            <v>37</v>
          </cell>
          <cell r="O1148" t="e">
            <v>#N/A</v>
          </cell>
          <cell r="P1148" t="str">
            <v/>
          </cell>
          <cell r="Q1148" t="str">
            <v/>
          </cell>
          <cell r="R1148" t="e">
            <v>#N/A</v>
          </cell>
        </row>
        <row r="1149">
          <cell r="A1149" t="str">
            <v/>
          </cell>
          <cell r="B1149" t="str">
            <v/>
          </cell>
          <cell r="C1149" t="str">
            <v>Future</v>
          </cell>
          <cell r="D1149" t="e">
            <v>#N/A</v>
          </cell>
          <cell r="E1149">
            <v>-46.04778656126485</v>
          </cell>
          <cell r="F1149">
            <v>51.896877470356195</v>
          </cell>
          <cell r="G1149">
            <v>28.576719367588112</v>
          </cell>
          <cell r="H1149">
            <v>28.576719367588112</v>
          </cell>
          <cell r="I1149" t="e">
            <v>#N/A</v>
          </cell>
          <cell r="J1149" t="e">
            <v>#N/A</v>
          </cell>
          <cell r="K1149">
            <v>42</v>
          </cell>
          <cell r="L1149">
            <v>32</v>
          </cell>
          <cell r="M1149" t="e">
            <v>#N/A</v>
          </cell>
          <cell r="N1149">
            <v>37</v>
          </cell>
          <cell r="O1149" t="e">
            <v>#N/A</v>
          </cell>
          <cell r="P1149" t="str">
            <v/>
          </cell>
          <cell r="Q1149" t="str">
            <v/>
          </cell>
          <cell r="R1149" t="e">
            <v>#N/A</v>
          </cell>
        </row>
        <row r="1150">
          <cell r="A1150" t="str">
            <v/>
          </cell>
          <cell r="B1150" t="str">
            <v/>
          </cell>
          <cell r="C1150" t="str">
            <v>Future</v>
          </cell>
          <cell r="D1150" t="e">
            <v>#N/A</v>
          </cell>
          <cell r="E1150">
            <v>-46.184426877470386</v>
          </cell>
          <cell r="F1150">
            <v>51.926245059289002</v>
          </cell>
          <cell r="G1150">
            <v>28.566561264821313</v>
          </cell>
          <cell r="H1150">
            <v>28.566561264821313</v>
          </cell>
          <cell r="I1150" t="e">
            <v>#N/A</v>
          </cell>
          <cell r="J1150" t="e">
            <v>#N/A</v>
          </cell>
          <cell r="K1150">
            <v>42</v>
          </cell>
          <cell r="L1150">
            <v>32</v>
          </cell>
          <cell r="M1150" t="e">
            <v>#N/A</v>
          </cell>
          <cell r="N1150">
            <v>37</v>
          </cell>
          <cell r="O1150" t="e">
            <v>#N/A</v>
          </cell>
          <cell r="P1150" t="str">
            <v/>
          </cell>
          <cell r="Q1150" t="str">
            <v/>
          </cell>
          <cell r="R1150" t="e">
            <v>#N/A</v>
          </cell>
        </row>
        <row r="1151">
          <cell r="A1151" t="str">
            <v/>
          </cell>
          <cell r="B1151" t="str">
            <v/>
          </cell>
          <cell r="C1151" t="str">
            <v>Future</v>
          </cell>
          <cell r="D1151" t="e">
            <v>#N/A</v>
          </cell>
          <cell r="E1151">
            <v>-46.321067193675923</v>
          </cell>
          <cell r="F1151">
            <v>51.955612648221809</v>
          </cell>
          <cell r="G1151">
            <v>28.556403162054515</v>
          </cell>
          <cell r="H1151">
            <v>28.556403162054515</v>
          </cell>
          <cell r="I1151" t="e">
            <v>#N/A</v>
          </cell>
          <cell r="J1151" t="e">
            <v>#N/A</v>
          </cell>
          <cell r="K1151">
            <v>42</v>
          </cell>
          <cell r="L1151">
            <v>32</v>
          </cell>
          <cell r="M1151" t="e">
            <v>#N/A</v>
          </cell>
          <cell r="N1151">
            <v>37</v>
          </cell>
          <cell r="O1151" t="e">
            <v>#N/A</v>
          </cell>
          <cell r="P1151" t="str">
            <v/>
          </cell>
          <cell r="Q1151" t="str">
            <v/>
          </cell>
          <cell r="R1151" t="e">
            <v>#N/A</v>
          </cell>
        </row>
        <row r="1152">
          <cell r="A1152" t="str">
            <v/>
          </cell>
          <cell r="B1152" t="str">
            <v/>
          </cell>
          <cell r="C1152" t="str">
            <v>Future</v>
          </cell>
          <cell r="D1152" t="e">
            <v>#N/A</v>
          </cell>
          <cell r="E1152">
            <v>-46.457707509881459</v>
          </cell>
          <cell r="F1152">
            <v>51.984980237154616</v>
          </cell>
          <cell r="G1152">
            <v>28.546245059287717</v>
          </cell>
          <cell r="H1152">
            <v>28.546245059287717</v>
          </cell>
          <cell r="I1152" t="e">
            <v>#N/A</v>
          </cell>
          <cell r="J1152" t="e">
            <v>#N/A</v>
          </cell>
          <cell r="K1152">
            <v>42</v>
          </cell>
          <cell r="L1152">
            <v>32</v>
          </cell>
          <cell r="M1152" t="e">
            <v>#N/A</v>
          </cell>
          <cell r="N1152">
            <v>37</v>
          </cell>
          <cell r="O1152" t="e">
            <v>#N/A</v>
          </cell>
          <cell r="P1152" t="str">
            <v/>
          </cell>
          <cell r="Q1152" t="str">
            <v/>
          </cell>
          <cell r="R1152" t="e">
            <v>#N/A</v>
          </cell>
        </row>
        <row r="1153">
          <cell r="A1153" t="str">
            <v/>
          </cell>
          <cell r="B1153" t="str">
            <v/>
          </cell>
          <cell r="C1153" t="str">
            <v>Future</v>
          </cell>
          <cell r="D1153" t="e">
            <v>#N/A</v>
          </cell>
          <cell r="E1153">
            <v>-46.594347826086995</v>
          </cell>
          <cell r="F1153">
            <v>52.014347826087423</v>
          </cell>
          <cell r="G1153">
            <v>28.536086956520919</v>
          </cell>
          <cell r="H1153">
            <v>28.536086956520919</v>
          </cell>
          <cell r="I1153" t="e">
            <v>#N/A</v>
          </cell>
          <cell r="J1153" t="e">
            <v>#N/A</v>
          </cell>
          <cell r="K1153">
            <v>42</v>
          </cell>
          <cell r="L1153">
            <v>32</v>
          </cell>
          <cell r="M1153" t="e">
            <v>#N/A</v>
          </cell>
          <cell r="N1153">
            <v>37</v>
          </cell>
          <cell r="O1153" t="e">
            <v>#N/A</v>
          </cell>
          <cell r="P1153" t="str">
            <v/>
          </cell>
          <cell r="Q1153" t="str">
            <v/>
          </cell>
          <cell r="R1153" t="e">
            <v>#N/A</v>
          </cell>
        </row>
        <row r="1154">
          <cell r="A1154" t="str">
            <v/>
          </cell>
          <cell r="B1154" t="str">
            <v/>
          </cell>
          <cell r="C1154" t="str">
            <v>Future</v>
          </cell>
          <cell r="D1154" t="e">
            <v>#N/A</v>
          </cell>
          <cell r="E1154">
            <v>-46.730988142292532</v>
          </cell>
          <cell r="F1154">
            <v>52.04371541502023</v>
          </cell>
          <cell r="G1154">
            <v>28.52592885375412</v>
          </cell>
          <cell r="H1154">
            <v>28.52592885375412</v>
          </cell>
          <cell r="I1154" t="e">
            <v>#N/A</v>
          </cell>
          <cell r="J1154" t="e">
            <v>#N/A</v>
          </cell>
          <cell r="K1154">
            <v>42</v>
          </cell>
          <cell r="L1154">
            <v>32</v>
          </cell>
          <cell r="M1154" t="e">
            <v>#N/A</v>
          </cell>
          <cell r="N1154">
            <v>37</v>
          </cell>
          <cell r="O1154" t="e">
            <v>#N/A</v>
          </cell>
          <cell r="P1154" t="str">
            <v/>
          </cell>
          <cell r="Q1154" t="str">
            <v/>
          </cell>
          <cell r="R1154" t="e">
            <v>#N/A</v>
          </cell>
        </row>
        <row r="1155">
          <cell r="A1155" t="str">
            <v/>
          </cell>
          <cell r="B1155" t="str">
            <v/>
          </cell>
          <cell r="C1155" t="str">
            <v>Future</v>
          </cell>
          <cell r="D1155" t="e">
            <v>#N/A</v>
          </cell>
          <cell r="E1155">
            <v>-46.867628458498068</v>
          </cell>
          <cell r="F1155">
            <v>52.073083003953037</v>
          </cell>
          <cell r="G1155">
            <v>28.515770750987322</v>
          </cell>
          <cell r="H1155">
            <v>28.515770750987322</v>
          </cell>
          <cell r="I1155" t="e">
            <v>#N/A</v>
          </cell>
          <cell r="J1155" t="e">
            <v>#N/A</v>
          </cell>
          <cell r="K1155">
            <v>42</v>
          </cell>
          <cell r="L1155">
            <v>32</v>
          </cell>
          <cell r="M1155" t="e">
            <v>#N/A</v>
          </cell>
          <cell r="N1155">
            <v>37</v>
          </cell>
          <cell r="O1155" t="e">
            <v>#N/A</v>
          </cell>
          <cell r="P1155" t="str">
            <v/>
          </cell>
          <cell r="Q1155" t="str">
            <v/>
          </cell>
          <cell r="R1155" t="e">
            <v>#N/A</v>
          </cell>
        </row>
        <row r="1156">
          <cell r="A1156" t="str">
            <v/>
          </cell>
          <cell r="B1156" t="str">
            <v/>
          </cell>
          <cell r="C1156" t="str">
            <v>Future</v>
          </cell>
          <cell r="D1156" t="e">
            <v>#N/A</v>
          </cell>
          <cell r="E1156">
            <v>-47.004268774703604</v>
          </cell>
          <cell r="F1156">
            <v>52.102450592885845</v>
          </cell>
          <cell r="G1156">
            <v>28.505612648220524</v>
          </cell>
          <cell r="H1156">
            <v>28.505612648220524</v>
          </cell>
          <cell r="I1156" t="e">
            <v>#N/A</v>
          </cell>
          <cell r="J1156" t="e">
            <v>#N/A</v>
          </cell>
          <cell r="K1156">
            <v>42</v>
          </cell>
          <cell r="L1156">
            <v>32</v>
          </cell>
          <cell r="M1156" t="e">
            <v>#N/A</v>
          </cell>
          <cell r="N1156">
            <v>37</v>
          </cell>
          <cell r="O1156" t="e">
            <v>#N/A</v>
          </cell>
          <cell r="P1156" t="str">
            <v/>
          </cell>
          <cell r="Q1156" t="str">
            <v/>
          </cell>
          <cell r="R1156" t="e">
            <v>#N/A</v>
          </cell>
        </row>
        <row r="1157">
          <cell r="A1157" t="str">
            <v/>
          </cell>
          <cell r="B1157" t="str">
            <v/>
          </cell>
          <cell r="C1157" t="str">
            <v>Future</v>
          </cell>
          <cell r="D1157" t="e">
            <v>#N/A</v>
          </cell>
          <cell r="E1157">
            <v>-47.14090909090914</v>
          </cell>
          <cell r="F1157">
            <v>52.131818181818652</v>
          </cell>
          <cell r="G1157">
            <v>28.495454545453725</v>
          </cell>
          <cell r="H1157">
            <v>28.495454545453725</v>
          </cell>
          <cell r="I1157" t="e">
            <v>#N/A</v>
          </cell>
          <cell r="J1157" t="e">
            <v>#N/A</v>
          </cell>
          <cell r="K1157">
            <v>42</v>
          </cell>
          <cell r="L1157">
            <v>32</v>
          </cell>
          <cell r="M1157" t="e">
            <v>#N/A</v>
          </cell>
          <cell r="N1157">
            <v>37</v>
          </cell>
          <cell r="O1157" t="e">
            <v>#N/A</v>
          </cell>
          <cell r="P1157" t="str">
            <v/>
          </cell>
          <cell r="Q1157" t="str">
            <v/>
          </cell>
          <cell r="R1157" t="e">
            <v>#N/A</v>
          </cell>
        </row>
        <row r="1158">
          <cell r="A1158" t="str">
            <v/>
          </cell>
          <cell r="B1158" t="str">
            <v/>
          </cell>
          <cell r="C1158" t="str">
            <v>Future</v>
          </cell>
          <cell r="D1158" t="e">
            <v>#N/A</v>
          </cell>
          <cell r="E1158">
            <v>-47.277549407114677</v>
          </cell>
          <cell r="F1158">
            <v>52.161185770751459</v>
          </cell>
          <cell r="G1158">
            <v>28.485296442686927</v>
          </cell>
          <cell r="H1158">
            <v>28.485296442686927</v>
          </cell>
          <cell r="I1158" t="e">
            <v>#N/A</v>
          </cell>
          <cell r="J1158" t="e">
            <v>#N/A</v>
          </cell>
          <cell r="K1158">
            <v>42</v>
          </cell>
          <cell r="L1158">
            <v>32</v>
          </cell>
          <cell r="M1158" t="e">
            <v>#N/A</v>
          </cell>
          <cell r="N1158">
            <v>37</v>
          </cell>
          <cell r="O1158" t="e">
            <v>#N/A</v>
          </cell>
          <cell r="P1158" t="str">
            <v/>
          </cell>
          <cell r="Q1158" t="str">
            <v/>
          </cell>
          <cell r="R1158" t="e">
            <v>#N/A</v>
          </cell>
        </row>
        <row r="1159">
          <cell r="A1159" t="str">
            <v/>
          </cell>
          <cell r="B1159" t="str">
            <v/>
          </cell>
          <cell r="C1159" t="str">
            <v>Future</v>
          </cell>
          <cell r="D1159" t="e">
            <v>#N/A</v>
          </cell>
          <cell r="E1159">
            <v>-47.414189723320213</v>
          </cell>
          <cell r="F1159">
            <v>52.190553359684266</v>
          </cell>
          <cell r="G1159">
            <v>28.475138339920129</v>
          </cell>
          <cell r="H1159">
            <v>28.475138339920129</v>
          </cell>
          <cell r="I1159" t="e">
            <v>#N/A</v>
          </cell>
          <cell r="J1159" t="e">
            <v>#N/A</v>
          </cell>
          <cell r="K1159">
            <v>42</v>
          </cell>
          <cell r="L1159">
            <v>32</v>
          </cell>
          <cell r="M1159" t="e">
            <v>#N/A</v>
          </cell>
          <cell r="N1159">
            <v>37</v>
          </cell>
          <cell r="O1159" t="e">
            <v>#N/A</v>
          </cell>
          <cell r="P1159" t="str">
            <v/>
          </cell>
          <cell r="Q1159" t="str">
            <v/>
          </cell>
          <cell r="R1159" t="e">
            <v>#N/A</v>
          </cell>
        </row>
        <row r="1160">
          <cell r="A1160" t="str">
            <v/>
          </cell>
          <cell r="B1160" t="str">
            <v/>
          </cell>
          <cell r="C1160" t="str">
            <v>Future</v>
          </cell>
          <cell r="D1160" t="e">
            <v>#N/A</v>
          </cell>
          <cell r="E1160">
            <v>-47.550830039525749</v>
          </cell>
          <cell r="F1160">
            <v>52.219920948617073</v>
          </cell>
          <cell r="G1160">
            <v>28.46498023715333</v>
          </cell>
          <cell r="H1160">
            <v>28.46498023715333</v>
          </cell>
          <cell r="I1160" t="e">
            <v>#N/A</v>
          </cell>
          <cell r="J1160" t="e">
            <v>#N/A</v>
          </cell>
          <cell r="K1160">
            <v>42</v>
          </cell>
          <cell r="L1160">
            <v>32</v>
          </cell>
          <cell r="M1160" t="e">
            <v>#N/A</v>
          </cell>
          <cell r="N1160">
            <v>37</v>
          </cell>
          <cell r="O1160" t="e">
            <v>#N/A</v>
          </cell>
          <cell r="P1160" t="str">
            <v/>
          </cell>
          <cell r="Q1160" t="str">
            <v/>
          </cell>
          <cell r="R1160" t="e">
            <v>#N/A</v>
          </cell>
        </row>
        <row r="1161">
          <cell r="A1161" t="str">
            <v/>
          </cell>
          <cell r="B1161" t="str">
            <v/>
          </cell>
          <cell r="C1161" t="str">
            <v>Future</v>
          </cell>
          <cell r="D1161" t="e">
            <v>#N/A</v>
          </cell>
          <cell r="E1161">
            <v>-47.687470355731286</v>
          </cell>
          <cell r="F1161">
            <v>52.24928853754988</v>
          </cell>
          <cell r="G1161">
            <v>28.454822134386532</v>
          </cell>
          <cell r="H1161">
            <v>28.454822134386532</v>
          </cell>
          <cell r="I1161" t="e">
            <v>#N/A</v>
          </cell>
          <cell r="J1161" t="e">
            <v>#N/A</v>
          </cell>
          <cell r="K1161">
            <v>42</v>
          </cell>
          <cell r="L1161">
            <v>32</v>
          </cell>
          <cell r="M1161" t="e">
            <v>#N/A</v>
          </cell>
          <cell r="N1161">
            <v>37</v>
          </cell>
          <cell r="O1161" t="e">
            <v>#N/A</v>
          </cell>
          <cell r="P1161" t="str">
            <v/>
          </cell>
          <cell r="Q1161" t="str">
            <v/>
          </cell>
          <cell r="R1161" t="e">
            <v>#N/A</v>
          </cell>
        </row>
        <row r="1162">
          <cell r="A1162" t="str">
            <v/>
          </cell>
          <cell r="B1162" t="str">
            <v/>
          </cell>
          <cell r="C1162" t="str">
            <v>Future</v>
          </cell>
          <cell r="D1162" t="e">
            <v>#N/A</v>
          </cell>
          <cell r="E1162">
            <v>-47.824110671936822</v>
          </cell>
          <cell r="F1162">
            <v>52.278656126482687</v>
          </cell>
          <cell r="G1162">
            <v>28.444664031619734</v>
          </cell>
          <cell r="H1162">
            <v>28.444664031619734</v>
          </cell>
          <cell r="I1162" t="e">
            <v>#N/A</v>
          </cell>
          <cell r="J1162" t="e">
            <v>#N/A</v>
          </cell>
          <cell r="K1162">
            <v>42</v>
          </cell>
          <cell r="L1162">
            <v>32</v>
          </cell>
          <cell r="M1162" t="e">
            <v>#N/A</v>
          </cell>
          <cell r="N1162">
            <v>37</v>
          </cell>
          <cell r="O1162" t="e">
            <v>#N/A</v>
          </cell>
          <cell r="P1162" t="str">
            <v/>
          </cell>
          <cell r="Q1162" t="str">
            <v/>
          </cell>
          <cell r="R1162" t="e">
            <v>#N/A</v>
          </cell>
        </row>
        <row r="1163">
          <cell r="A1163" t="str">
            <v/>
          </cell>
          <cell r="B1163" t="str">
            <v/>
          </cell>
          <cell r="C1163" t="str">
            <v>Future</v>
          </cell>
          <cell r="D1163" t="e">
            <v>#N/A</v>
          </cell>
          <cell r="E1163">
            <v>-47.960750988142358</v>
          </cell>
          <cell r="F1163">
            <v>52.308023715415494</v>
          </cell>
          <cell r="G1163">
            <v>28.434505928852936</v>
          </cell>
          <cell r="H1163">
            <v>28.434505928852936</v>
          </cell>
          <cell r="I1163" t="e">
            <v>#N/A</v>
          </cell>
          <cell r="J1163" t="e">
            <v>#N/A</v>
          </cell>
          <cell r="K1163">
            <v>42</v>
          </cell>
          <cell r="L1163">
            <v>32</v>
          </cell>
          <cell r="M1163" t="e">
            <v>#N/A</v>
          </cell>
          <cell r="N1163">
            <v>37</v>
          </cell>
          <cell r="O1163" t="e">
            <v>#N/A</v>
          </cell>
          <cell r="P1163" t="str">
            <v/>
          </cell>
          <cell r="Q1163" t="str">
            <v/>
          </cell>
          <cell r="R1163" t="e">
            <v>#N/A</v>
          </cell>
        </row>
        <row r="1164">
          <cell r="A1164" t="str">
            <v/>
          </cell>
          <cell r="B1164" t="str">
            <v/>
          </cell>
          <cell r="C1164" t="str">
            <v>Future</v>
          </cell>
          <cell r="D1164" t="e">
            <v>#N/A</v>
          </cell>
          <cell r="E1164">
            <v>-48.097391304347894</v>
          </cell>
          <cell r="F1164">
            <v>52.337391304348301</v>
          </cell>
          <cell r="G1164">
            <v>28.424347826086137</v>
          </cell>
          <cell r="H1164">
            <v>28.424347826086137</v>
          </cell>
          <cell r="I1164" t="e">
            <v>#N/A</v>
          </cell>
          <cell r="J1164" t="e">
            <v>#N/A</v>
          </cell>
          <cell r="K1164">
            <v>42</v>
          </cell>
          <cell r="L1164">
            <v>32</v>
          </cell>
          <cell r="M1164" t="e">
            <v>#N/A</v>
          </cell>
          <cell r="N1164">
            <v>37</v>
          </cell>
          <cell r="O1164" t="e">
            <v>#N/A</v>
          </cell>
          <cell r="P1164" t="str">
            <v/>
          </cell>
          <cell r="Q1164" t="str">
            <v/>
          </cell>
          <cell r="R1164" t="e">
            <v>#N/A</v>
          </cell>
        </row>
        <row r="1165">
          <cell r="A1165" t="str">
            <v/>
          </cell>
          <cell r="B1165" t="str">
            <v/>
          </cell>
          <cell r="C1165" t="str">
            <v>Future</v>
          </cell>
          <cell r="D1165" t="e">
            <v>#N/A</v>
          </cell>
          <cell r="E1165">
            <v>-48.234031620553431</v>
          </cell>
          <cell r="F1165">
            <v>52.366758893281109</v>
          </cell>
          <cell r="G1165">
            <v>28.414189723319339</v>
          </cell>
          <cell r="H1165">
            <v>28.414189723319339</v>
          </cell>
          <cell r="I1165" t="e">
            <v>#N/A</v>
          </cell>
          <cell r="J1165" t="e">
            <v>#N/A</v>
          </cell>
          <cell r="K1165">
            <v>42</v>
          </cell>
          <cell r="L1165">
            <v>32</v>
          </cell>
          <cell r="M1165" t="e">
            <v>#N/A</v>
          </cell>
          <cell r="N1165">
            <v>37</v>
          </cell>
          <cell r="O1165" t="e">
            <v>#N/A</v>
          </cell>
          <cell r="P1165" t="str">
            <v/>
          </cell>
          <cell r="Q1165" t="str">
            <v/>
          </cell>
          <cell r="R1165" t="e">
            <v>#N/A</v>
          </cell>
        </row>
        <row r="1166">
          <cell r="A1166" t="str">
            <v/>
          </cell>
          <cell r="B1166" t="str">
            <v/>
          </cell>
          <cell r="C1166" t="str">
            <v>Future</v>
          </cell>
          <cell r="D1166" t="e">
            <v>#N/A</v>
          </cell>
          <cell r="E1166">
            <v>-48.370671936758967</v>
          </cell>
          <cell r="F1166">
            <v>52.396126482213916</v>
          </cell>
          <cell r="G1166">
            <v>28.404031620552541</v>
          </cell>
          <cell r="H1166">
            <v>28.404031620552541</v>
          </cell>
          <cell r="I1166" t="e">
            <v>#N/A</v>
          </cell>
          <cell r="J1166" t="e">
            <v>#N/A</v>
          </cell>
          <cell r="K1166">
            <v>42</v>
          </cell>
          <cell r="L1166">
            <v>32</v>
          </cell>
          <cell r="M1166" t="e">
            <v>#N/A</v>
          </cell>
          <cell r="N1166">
            <v>37</v>
          </cell>
          <cell r="O1166" t="e">
            <v>#N/A</v>
          </cell>
          <cell r="P1166" t="str">
            <v/>
          </cell>
          <cell r="Q1166" t="str">
            <v/>
          </cell>
          <cell r="R1166" t="e">
            <v>#N/A</v>
          </cell>
        </row>
        <row r="1167">
          <cell r="A1167" t="str">
            <v/>
          </cell>
          <cell r="B1167" t="str">
            <v/>
          </cell>
          <cell r="C1167" t="str">
            <v>Future</v>
          </cell>
          <cell r="D1167" t="e">
            <v>#N/A</v>
          </cell>
          <cell r="E1167">
            <v>-48.507312252964503</v>
          </cell>
          <cell r="F1167">
            <v>52.425494071146723</v>
          </cell>
          <cell r="G1167">
            <v>28.393873517785742</v>
          </cell>
          <cell r="H1167">
            <v>28.393873517785742</v>
          </cell>
          <cell r="I1167" t="e">
            <v>#N/A</v>
          </cell>
          <cell r="J1167" t="e">
            <v>#N/A</v>
          </cell>
          <cell r="K1167">
            <v>42</v>
          </cell>
          <cell r="L1167">
            <v>32</v>
          </cell>
          <cell r="M1167" t="e">
            <v>#N/A</v>
          </cell>
          <cell r="N1167">
            <v>37</v>
          </cell>
          <cell r="O1167" t="e">
            <v>#N/A</v>
          </cell>
          <cell r="P1167" t="str">
            <v/>
          </cell>
          <cell r="Q1167" t="str">
            <v/>
          </cell>
          <cell r="R1167" t="e">
            <v>#N/A</v>
          </cell>
        </row>
        <row r="1168">
          <cell r="A1168" t="str">
            <v/>
          </cell>
          <cell r="B1168" t="str">
            <v/>
          </cell>
          <cell r="C1168" t="str">
            <v>Future</v>
          </cell>
          <cell r="D1168" t="e">
            <v>#N/A</v>
          </cell>
          <cell r="E1168">
            <v>-48.64395256917004</v>
          </cell>
          <cell r="F1168">
            <v>52.45486166007953</v>
          </cell>
          <cell r="G1168">
            <v>28.383715415018944</v>
          </cell>
          <cell r="H1168">
            <v>28.383715415018944</v>
          </cell>
          <cell r="I1168" t="e">
            <v>#N/A</v>
          </cell>
          <cell r="J1168" t="e">
            <v>#N/A</v>
          </cell>
          <cell r="K1168">
            <v>42</v>
          </cell>
          <cell r="L1168">
            <v>32</v>
          </cell>
          <cell r="M1168" t="e">
            <v>#N/A</v>
          </cell>
          <cell r="N1168">
            <v>37</v>
          </cell>
          <cell r="O1168" t="e">
            <v>#N/A</v>
          </cell>
          <cell r="P1168" t="str">
            <v/>
          </cell>
          <cell r="Q1168" t="str">
            <v/>
          </cell>
          <cell r="R1168" t="e">
            <v>#N/A</v>
          </cell>
        </row>
        <row r="1169">
          <cell r="A1169" t="str">
            <v/>
          </cell>
          <cell r="B1169" t="str">
            <v/>
          </cell>
          <cell r="C1169" t="str">
            <v>Future</v>
          </cell>
          <cell r="D1169" t="e">
            <v>#N/A</v>
          </cell>
          <cell r="E1169">
            <v>-48.780592885375576</v>
          </cell>
          <cell r="F1169">
            <v>52.484229249012337</v>
          </cell>
          <cell r="G1169">
            <v>28.373557312252146</v>
          </cell>
          <cell r="H1169">
            <v>28.373557312252146</v>
          </cell>
          <cell r="I1169" t="e">
            <v>#N/A</v>
          </cell>
          <cell r="J1169" t="e">
            <v>#N/A</v>
          </cell>
          <cell r="K1169">
            <v>42</v>
          </cell>
          <cell r="L1169">
            <v>32</v>
          </cell>
          <cell r="M1169" t="e">
            <v>#N/A</v>
          </cell>
          <cell r="N1169">
            <v>37</v>
          </cell>
          <cell r="O1169" t="e">
            <v>#N/A</v>
          </cell>
          <cell r="P1169" t="str">
            <v/>
          </cell>
          <cell r="Q1169" t="str">
            <v/>
          </cell>
          <cell r="R1169" t="e">
            <v>#N/A</v>
          </cell>
        </row>
        <row r="1170">
          <cell r="A1170" t="str">
            <v/>
          </cell>
          <cell r="B1170" t="str">
            <v/>
          </cell>
          <cell r="C1170" t="str">
            <v>Future</v>
          </cell>
          <cell r="D1170" t="e">
            <v>#N/A</v>
          </cell>
          <cell r="E1170">
            <v>-48.917233201581112</v>
          </cell>
          <cell r="F1170">
            <v>52.513596837945144</v>
          </cell>
          <cell r="G1170">
            <v>28.363399209485348</v>
          </cell>
          <cell r="H1170">
            <v>28.363399209485348</v>
          </cell>
          <cell r="I1170" t="e">
            <v>#N/A</v>
          </cell>
          <cell r="J1170" t="e">
            <v>#N/A</v>
          </cell>
          <cell r="K1170">
            <v>42</v>
          </cell>
          <cell r="L1170">
            <v>32</v>
          </cell>
          <cell r="M1170" t="e">
            <v>#N/A</v>
          </cell>
          <cell r="N1170">
            <v>37</v>
          </cell>
          <cell r="O1170" t="e">
            <v>#N/A</v>
          </cell>
          <cell r="P1170" t="str">
            <v/>
          </cell>
          <cell r="Q1170" t="str">
            <v/>
          </cell>
          <cell r="R1170" t="e">
            <v>#N/A</v>
          </cell>
        </row>
        <row r="1171">
          <cell r="A1171" t="str">
            <v/>
          </cell>
          <cell r="B1171" t="str">
            <v/>
          </cell>
          <cell r="C1171" t="str">
            <v>Future</v>
          </cell>
          <cell r="D1171" t="e">
            <v>#N/A</v>
          </cell>
          <cell r="E1171">
            <v>-49.053873517786649</v>
          </cell>
          <cell r="F1171">
            <v>52.542964426877951</v>
          </cell>
          <cell r="G1171">
            <v>28.353241106718549</v>
          </cell>
          <cell r="H1171">
            <v>28.353241106718549</v>
          </cell>
          <cell r="I1171" t="e">
            <v>#N/A</v>
          </cell>
          <cell r="J1171" t="e">
            <v>#N/A</v>
          </cell>
          <cell r="K1171">
            <v>42</v>
          </cell>
          <cell r="L1171">
            <v>32</v>
          </cell>
          <cell r="M1171" t="e">
            <v>#N/A</v>
          </cell>
          <cell r="N1171">
            <v>37</v>
          </cell>
          <cell r="O1171" t="e">
            <v>#N/A</v>
          </cell>
          <cell r="P1171" t="str">
            <v/>
          </cell>
          <cell r="Q1171" t="str">
            <v/>
          </cell>
          <cell r="R1171" t="e">
            <v>#N/A</v>
          </cell>
        </row>
        <row r="1172">
          <cell r="A1172" t="str">
            <v/>
          </cell>
          <cell r="B1172" t="str">
            <v/>
          </cell>
          <cell r="C1172" t="str">
            <v>Future</v>
          </cell>
          <cell r="D1172" t="e">
            <v>#N/A</v>
          </cell>
          <cell r="E1172">
            <v>-49.190513833992185</v>
          </cell>
          <cell r="F1172">
            <v>52.572332015810758</v>
          </cell>
          <cell r="G1172">
            <v>28.343083003951751</v>
          </cell>
          <cell r="H1172">
            <v>28.343083003951751</v>
          </cell>
          <cell r="I1172" t="e">
            <v>#N/A</v>
          </cell>
          <cell r="J1172" t="e">
            <v>#N/A</v>
          </cell>
          <cell r="K1172">
            <v>42</v>
          </cell>
          <cell r="L1172">
            <v>32</v>
          </cell>
          <cell r="M1172" t="e">
            <v>#N/A</v>
          </cell>
          <cell r="N1172">
            <v>37</v>
          </cell>
          <cell r="O1172" t="e">
            <v>#N/A</v>
          </cell>
          <cell r="P1172" t="str">
            <v/>
          </cell>
          <cell r="Q1172" t="str">
            <v/>
          </cell>
          <cell r="R1172" t="e">
            <v>#N/A</v>
          </cell>
        </row>
        <row r="1173">
          <cell r="A1173" t="str">
            <v/>
          </cell>
          <cell r="B1173" t="str">
            <v/>
          </cell>
          <cell r="C1173" t="str">
            <v>Future</v>
          </cell>
          <cell r="D1173" t="e">
            <v>#N/A</v>
          </cell>
          <cell r="E1173">
            <v>-49.327154150197721</v>
          </cell>
          <cell r="F1173">
            <v>52.601699604743565</v>
          </cell>
          <cell r="G1173">
            <v>28.332924901184953</v>
          </cell>
          <cell r="H1173">
            <v>28.332924901184953</v>
          </cell>
          <cell r="I1173" t="e">
            <v>#N/A</v>
          </cell>
          <cell r="J1173" t="e">
            <v>#N/A</v>
          </cell>
          <cell r="K1173">
            <v>42</v>
          </cell>
          <cell r="L1173">
            <v>32</v>
          </cell>
          <cell r="M1173" t="e">
            <v>#N/A</v>
          </cell>
          <cell r="N1173">
            <v>37</v>
          </cell>
          <cell r="O1173" t="e">
            <v>#N/A</v>
          </cell>
          <cell r="P1173" t="str">
            <v/>
          </cell>
          <cell r="Q1173" t="str">
            <v/>
          </cell>
          <cell r="R1173" t="e">
            <v>#N/A</v>
          </cell>
        </row>
        <row r="1174">
          <cell r="A1174" t="str">
            <v/>
          </cell>
          <cell r="B1174" t="str">
            <v/>
          </cell>
          <cell r="C1174" t="str">
            <v>Future</v>
          </cell>
          <cell r="D1174" t="e">
            <v>#N/A</v>
          </cell>
          <cell r="E1174">
            <v>-49.463794466403257</v>
          </cell>
          <cell r="F1174">
            <v>52.631067193676373</v>
          </cell>
          <cell r="G1174">
            <v>28.322766798418154</v>
          </cell>
          <cell r="H1174">
            <v>28.322766798418154</v>
          </cell>
          <cell r="I1174" t="e">
            <v>#N/A</v>
          </cell>
          <cell r="J1174" t="e">
            <v>#N/A</v>
          </cell>
          <cell r="K1174">
            <v>42</v>
          </cell>
          <cell r="L1174">
            <v>32</v>
          </cell>
          <cell r="M1174" t="e">
            <v>#N/A</v>
          </cell>
          <cell r="N1174">
            <v>37</v>
          </cell>
          <cell r="O1174" t="e">
            <v>#N/A</v>
          </cell>
          <cell r="P1174" t="str">
            <v/>
          </cell>
          <cell r="Q1174" t="str">
            <v/>
          </cell>
          <cell r="R1174" t="e">
            <v>#N/A</v>
          </cell>
        </row>
        <row r="1175">
          <cell r="A1175" t="str">
            <v/>
          </cell>
          <cell r="B1175" t="str">
            <v/>
          </cell>
          <cell r="C1175" t="str">
            <v>Future</v>
          </cell>
          <cell r="D1175" t="e">
            <v>#N/A</v>
          </cell>
          <cell r="E1175">
            <v>-49.600434782608794</v>
          </cell>
          <cell r="F1175">
            <v>52.66043478260918</v>
          </cell>
          <cell r="G1175">
            <v>28.312608695651356</v>
          </cell>
          <cell r="H1175">
            <v>28.312608695651356</v>
          </cell>
          <cell r="I1175" t="e">
            <v>#N/A</v>
          </cell>
          <cell r="J1175" t="e">
            <v>#N/A</v>
          </cell>
          <cell r="K1175">
            <v>42</v>
          </cell>
          <cell r="L1175">
            <v>32</v>
          </cell>
          <cell r="M1175" t="e">
            <v>#N/A</v>
          </cell>
          <cell r="N1175">
            <v>37</v>
          </cell>
          <cell r="O1175" t="e">
            <v>#N/A</v>
          </cell>
          <cell r="P1175" t="str">
            <v/>
          </cell>
          <cell r="Q1175" t="str">
            <v/>
          </cell>
          <cell r="R1175" t="e">
            <v>#N/A</v>
          </cell>
        </row>
        <row r="1176">
          <cell r="A1176" t="str">
            <v/>
          </cell>
          <cell r="B1176" t="str">
            <v/>
          </cell>
          <cell r="C1176" t="str">
            <v>Future</v>
          </cell>
          <cell r="D1176" t="e">
            <v>#N/A</v>
          </cell>
          <cell r="E1176">
            <v>-49.73707509881433</v>
          </cell>
          <cell r="F1176">
            <v>52.689802371541987</v>
          </cell>
          <cell r="G1176">
            <v>28.302450592884558</v>
          </cell>
          <cell r="H1176">
            <v>28.302450592884558</v>
          </cell>
          <cell r="I1176" t="e">
            <v>#N/A</v>
          </cell>
          <cell r="J1176" t="e">
            <v>#N/A</v>
          </cell>
          <cell r="K1176">
            <v>42</v>
          </cell>
          <cell r="L1176">
            <v>32</v>
          </cell>
          <cell r="M1176" t="e">
            <v>#N/A</v>
          </cell>
          <cell r="N1176">
            <v>37</v>
          </cell>
          <cell r="O1176" t="e">
            <v>#N/A</v>
          </cell>
          <cell r="P1176" t="str">
            <v/>
          </cell>
          <cell r="Q1176" t="str">
            <v/>
          </cell>
          <cell r="R1176" t="e">
            <v>#N/A</v>
          </cell>
        </row>
        <row r="1177">
          <cell r="A1177" t="str">
            <v/>
          </cell>
          <cell r="B1177" t="str">
            <v/>
          </cell>
          <cell r="C1177" t="str">
            <v>Future</v>
          </cell>
          <cell r="D1177" t="e">
            <v>#N/A</v>
          </cell>
          <cell r="E1177">
            <v>-49.873715415019866</v>
          </cell>
          <cell r="F1177">
            <v>52.719169960474794</v>
          </cell>
          <cell r="G1177">
            <v>28.292292490117759</v>
          </cell>
          <cell r="H1177">
            <v>28.292292490117759</v>
          </cell>
          <cell r="I1177" t="e">
            <v>#N/A</v>
          </cell>
          <cell r="J1177" t="e">
            <v>#N/A</v>
          </cell>
          <cell r="K1177">
            <v>42</v>
          </cell>
          <cell r="L1177">
            <v>32</v>
          </cell>
          <cell r="M1177" t="e">
            <v>#N/A</v>
          </cell>
          <cell r="N1177">
            <v>37</v>
          </cell>
          <cell r="O1177" t="e">
            <v>#N/A</v>
          </cell>
          <cell r="P1177" t="str">
            <v/>
          </cell>
          <cell r="Q1177" t="str">
            <v/>
          </cell>
          <cell r="R1177" t="e">
            <v>#N/A</v>
          </cell>
        </row>
        <row r="1178">
          <cell r="A1178" t="str">
            <v/>
          </cell>
          <cell r="B1178" t="str">
            <v/>
          </cell>
          <cell r="C1178" t="str">
            <v>Future</v>
          </cell>
          <cell r="D1178" t="e">
            <v>#N/A</v>
          </cell>
          <cell r="E1178">
            <v>-50.010355731225403</v>
          </cell>
          <cell r="F1178">
            <v>52.748537549407601</v>
          </cell>
          <cell r="G1178">
            <v>28.282134387350961</v>
          </cell>
          <cell r="H1178">
            <v>28.282134387350961</v>
          </cell>
          <cell r="I1178" t="e">
            <v>#N/A</v>
          </cell>
          <cell r="J1178" t="e">
            <v>#N/A</v>
          </cell>
          <cell r="K1178">
            <v>42</v>
          </cell>
          <cell r="L1178">
            <v>32</v>
          </cell>
          <cell r="M1178" t="e">
            <v>#N/A</v>
          </cell>
          <cell r="N1178">
            <v>37</v>
          </cell>
          <cell r="O1178" t="e">
            <v>#N/A</v>
          </cell>
          <cell r="P1178" t="str">
            <v/>
          </cell>
          <cell r="Q1178" t="str">
            <v/>
          </cell>
          <cell r="R1178" t="e">
            <v>#N/A</v>
          </cell>
        </row>
        <row r="1179">
          <cell r="A1179" t="str">
            <v/>
          </cell>
          <cell r="B1179" t="str">
            <v/>
          </cell>
          <cell r="C1179" t="str">
            <v>Future</v>
          </cell>
          <cell r="D1179" t="e">
            <v>#N/A</v>
          </cell>
          <cell r="E1179">
            <v>-50.146996047430939</v>
          </cell>
          <cell r="F1179">
            <v>52.777905138340408</v>
          </cell>
          <cell r="G1179">
            <v>28.271976284584163</v>
          </cell>
          <cell r="H1179">
            <v>28.271976284584163</v>
          </cell>
          <cell r="I1179" t="e">
            <v>#N/A</v>
          </cell>
          <cell r="J1179" t="e">
            <v>#N/A</v>
          </cell>
          <cell r="K1179">
            <v>42</v>
          </cell>
          <cell r="L1179">
            <v>32</v>
          </cell>
          <cell r="M1179" t="e">
            <v>#N/A</v>
          </cell>
          <cell r="N1179">
            <v>37</v>
          </cell>
          <cell r="O1179" t="e">
            <v>#N/A</v>
          </cell>
          <cell r="P1179" t="str">
            <v/>
          </cell>
          <cell r="Q1179" t="str">
            <v/>
          </cell>
          <cell r="R1179" t="e">
            <v>#N/A</v>
          </cell>
        </row>
        <row r="1180">
          <cell r="A1180" t="str">
            <v/>
          </cell>
          <cell r="B1180" t="str">
            <v/>
          </cell>
          <cell r="C1180" t="str">
            <v>Future</v>
          </cell>
          <cell r="D1180" t="e">
            <v>#N/A</v>
          </cell>
          <cell r="E1180">
            <v>-50.283636363636475</v>
          </cell>
          <cell r="F1180">
            <v>52.807272727273215</v>
          </cell>
          <cell r="G1180">
            <v>28.261818181817365</v>
          </cell>
          <cell r="H1180">
            <v>28.261818181817365</v>
          </cell>
          <cell r="I1180" t="e">
            <v>#N/A</v>
          </cell>
          <cell r="J1180" t="e">
            <v>#N/A</v>
          </cell>
          <cell r="K1180">
            <v>42</v>
          </cell>
          <cell r="L1180">
            <v>32</v>
          </cell>
          <cell r="M1180" t="e">
            <v>#N/A</v>
          </cell>
          <cell r="N1180">
            <v>37</v>
          </cell>
          <cell r="O1180" t="e">
            <v>#N/A</v>
          </cell>
          <cell r="P1180" t="str">
            <v/>
          </cell>
          <cell r="Q1180" t="str">
            <v/>
          </cell>
          <cell r="R1180" t="e">
            <v>#N/A</v>
          </cell>
        </row>
        <row r="1181">
          <cell r="A1181" t="str">
            <v/>
          </cell>
          <cell r="B1181" t="str">
            <v/>
          </cell>
          <cell r="C1181" t="str">
            <v>Future</v>
          </cell>
          <cell r="D1181" t="e">
            <v>#N/A</v>
          </cell>
          <cell r="E1181">
            <v>-50.420276679842011</v>
          </cell>
          <cell r="F1181">
            <v>52.836640316206022</v>
          </cell>
          <cell r="G1181">
            <v>28.251660079050566</v>
          </cell>
          <cell r="H1181">
            <v>28.251660079050566</v>
          </cell>
          <cell r="I1181" t="e">
            <v>#N/A</v>
          </cell>
          <cell r="J1181" t="e">
            <v>#N/A</v>
          </cell>
          <cell r="K1181">
            <v>42</v>
          </cell>
          <cell r="L1181">
            <v>32</v>
          </cell>
          <cell r="M1181" t="e">
            <v>#N/A</v>
          </cell>
          <cell r="N1181">
            <v>37</v>
          </cell>
          <cell r="O1181" t="e">
            <v>#N/A</v>
          </cell>
          <cell r="P1181" t="str">
            <v/>
          </cell>
          <cell r="Q1181" t="str">
            <v/>
          </cell>
          <cell r="R1181" t="e">
            <v>#N/A</v>
          </cell>
        </row>
        <row r="1182">
          <cell r="A1182" t="str">
            <v/>
          </cell>
          <cell r="B1182" t="str">
            <v/>
          </cell>
          <cell r="C1182" t="str">
            <v>Future</v>
          </cell>
          <cell r="D1182" t="e">
            <v>#N/A</v>
          </cell>
          <cell r="E1182">
            <v>-50.556916996047548</v>
          </cell>
          <cell r="F1182">
            <v>52.866007905138829</v>
          </cell>
          <cell r="G1182">
            <v>28.241501976283768</v>
          </cell>
          <cell r="H1182">
            <v>28.241501976283768</v>
          </cell>
          <cell r="I1182" t="e">
            <v>#N/A</v>
          </cell>
          <cell r="J1182" t="e">
            <v>#N/A</v>
          </cell>
          <cell r="K1182">
            <v>42</v>
          </cell>
          <cell r="L1182">
            <v>32</v>
          </cell>
          <cell r="M1182" t="e">
            <v>#N/A</v>
          </cell>
          <cell r="N1182">
            <v>37</v>
          </cell>
          <cell r="O1182" t="e">
            <v>#N/A</v>
          </cell>
          <cell r="P1182" t="str">
            <v/>
          </cell>
          <cell r="Q1182" t="str">
            <v/>
          </cell>
          <cell r="R1182" t="e">
            <v>#N/A</v>
          </cell>
        </row>
        <row r="1183">
          <cell r="A1183" t="str">
            <v/>
          </cell>
          <cell r="B1183" t="str">
            <v/>
          </cell>
          <cell r="C1183" t="str">
            <v>Future</v>
          </cell>
          <cell r="D1183" t="e">
            <v>#N/A</v>
          </cell>
          <cell r="E1183">
            <v>-50.693557312253084</v>
          </cell>
          <cell r="F1183">
            <v>52.895375494071637</v>
          </cell>
          <cell r="G1183">
            <v>28.23134387351697</v>
          </cell>
          <cell r="H1183">
            <v>28.23134387351697</v>
          </cell>
          <cell r="I1183" t="e">
            <v>#N/A</v>
          </cell>
          <cell r="J1183" t="e">
            <v>#N/A</v>
          </cell>
          <cell r="K1183">
            <v>42</v>
          </cell>
          <cell r="L1183">
            <v>32</v>
          </cell>
          <cell r="M1183" t="e">
            <v>#N/A</v>
          </cell>
          <cell r="N1183">
            <v>37</v>
          </cell>
          <cell r="O1183" t="e">
            <v>#N/A</v>
          </cell>
          <cell r="P1183" t="str">
            <v/>
          </cell>
          <cell r="Q1183" t="str">
            <v/>
          </cell>
          <cell r="R1183" t="e">
            <v>#N/A</v>
          </cell>
        </row>
        <row r="1184">
          <cell r="A1184" t="str">
            <v/>
          </cell>
          <cell r="B1184" t="str">
            <v/>
          </cell>
          <cell r="C1184" t="str">
            <v>Future</v>
          </cell>
          <cell r="D1184" t="e">
            <v>#N/A</v>
          </cell>
          <cell r="E1184">
            <v>-50.83019762845862</v>
          </cell>
          <cell r="F1184">
            <v>52.924743083004444</v>
          </cell>
          <cell r="G1184">
            <v>28.221185770750171</v>
          </cell>
          <cell r="H1184">
            <v>28.221185770750171</v>
          </cell>
          <cell r="I1184" t="e">
            <v>#N/A</v>
          </cell>
          <cell r="J1184" t="e">
            <v>#N/A</v>
          </cell>
          <cell r="K1184">
            <v>42</v>
          </cell>
          <cell r="L1184">
            <v>32</v>
          </cell>
          <cell r="M1184" t="e">
            <v>#N/A</v>
          </cell>
          <cell r="N1184">
            <v>37</v>
          </cell>
          <cell r="O1184" t="e">
            <v>#N/A</v>
          </cell>
          <cell r="P1184" t="str">
            <v/>
          </cell>
          <cell r="Q1184" t="str">
            <v/>
          </cell>
          <cell r="R1184" t="e">
            <v>#N/A</v>
          </cell>
        </row>
        <row r="1185">
          <cell r="A1185" t="str">
            <v/>
          </cell>
          <cell r="B1185" t="str">
            <v/>
          </cell>
          <cell r="C1185" t="str">
            <v>Future</v>
          </cell>
          <cell r="D1185" t="e">
            <v>#N/A</v>
          </cell>
          <cell r="E1185">
            <v>-50.966837944664157</v>
          </cell>
          <cell r="F1185">
            <v>52.954110671937251</v>
          </cell>
          <cell r="G1185">
            <v>28.211027667983373</v>
          </cell>
          <cell r="H1185">
            <v>28.211027667983373</v>
          </cell>
          <cell r="I1185" t="e">
            <v>#N/A</v>
          </cell>
          <cell r="J1185" t="e">
            <v>#N/A</v>
          </cell>
          <cell r="K1185">
            <v>42</v>
          </cell>
          <cell r="L1185">
            <v>32</v>
          </cell>
          <cell r="M1185" t="e">
            <v>#N/A</v>
          </cell>
          <cell r="N1185">
            <v>37</v>
          </cell>
          <cell r="O1185" t="e">
            <v>#N/A</v>
          </cell>
          <cell r="P1185" t="str">
            <v/>
          </cell>
          <cell r="Q1185" t="str">
            <v/>
          </cell>
          <cell r="R1185" t="e">
            <v>#N/A</v>
          </cell>
        </row>
        <row r="1186">
          <cell r="A1186" t="str">
            <v/>
          </cell>
          <cell r="B1186" t="str">
            <v/>
          </cell>
          <cell r="C1186" t="str">
            <v>Future</v>
          </cell>
          <cell r="D1186" t="e">
            <v>#N/A</v>
          </cell>
          <cell r="E1186">
            <v>-51.103478260869693</v>
          </cell>
          <cell r="F1186">
            <v>52.983478260870058</v>
          </cell>
          <cell r="G1186">
            <v>28.200869565216575</v>
          </cell>
          <cell r="H1186">
            <v>28.200869565216575</v>
          </cell>
          <cell r="I1186" t="e">
            <v>#N/A</v>
          </cell>
          <cell r="J1186" t="e">
            <v>#N/A</v>
          </cell>
          <cell r="K1186">
            <v>42</v>
          </cell>
          <cell r="L1186">
            <v>32</v>
          </cell>
          <cell r="M1186" t="e">
            <v>#N/A</v>
          </cell>
          <cell r="N1186">
            <v>37</v>
          </cell>
          <cell r="O1186" t="e">
            <v>#N/A</v>
          </cell>
          <cell r="P1186" t="str">
            <v/>
          </cell>
          <cell r="Q1186" t="str">
            <v/>
          </cell>
          <cell r="R1186" t="e">
            <v>#N/A</v>
          </cell>
        </row>
        <row r="1187">
          <cell r="A1187" t="str">
            <v/>
          </cell>
          <cell r="B1187" t="str">
            <v/>
          </cell>
          <cell r="C1187" t="str">
            <v>Future</v>
          </cell>
          <cell r="D1187" t="e">
            <v>#N/A</v>
          </cell>
          <cell r="E1187">
            <v>-51.240118577075229</v>
          </cell>
          <cell r="F1187">
            <v>53.012845849802865</v>
          </cell>
          <cell r="G1187">
            <v>28.190711462449777</v>
          </cell>
          <cell r="H1187">
            <v>28.190711462449777</v>
          </cell>
          <cell r="I1187" t="e">
            <v>#N/A</v>
          </cell>
          <cell r="J1187" t="e">
            <v>#N/A</v>
          </cell>
          <cell r="K1187">
            <v>42</v>
          </cell>
          <cell r="L1187">
            <v>32</v>
          </cell>
          <cell r="M1187" t="e">
            <v>#N/A</v>
          </cell>
          <cell r="N1187">
            <v>37</v>
          </cell>
          <cell r="O1187" t="e">
            <v>#N/A</v>
          </cell>
          <cell r="P1187" t="str">
            <v/>
          </cell>
          <cell r="Q1187" t="str">
            <v/>
          </cell>
          <cell r="R1187" t="e">
            <v>#N/A</v>
          </cell>
        </row>
        <row r="1188">
          <cell r="A1188" t="str">
            <v/>
          </cell>
          <cell r="B1188" t="str">
            <v/>
          </cell>
          <cell r="C1188" t="str">
            <v>Future</v>
          </cell>
          <cell r="D1188" t="e">
            <v>#N/A</v>
          </cell>
          <cell r="E1188">
            <v>-51.376758893280766</v>
          </cell>
          <cell r="F1188">
            <v>53.042213438735672</v>
          </cell>
          <cell r="G1188">
            <v>28.180553359682978</v>
          </cell>
          <cell r="H1188">
            <v>28.180553359682978</v>
          </cell>
          <cell r="I1188" t="e">
            <v>#N/A</v>
          </cell>
          <cell r="J1188" t="e">
            <v>#N/A</v>
          </cell>
          <cell r="K1188">
            <v>42</v>
          </cell>
          <cell r="L1188">
            <v>32</v>
          </cell>
          <cell r="M1188" t="e">
            <v>#N/A</v>
          </cell>
          <cell r="N1188">
            <v>37</v>
          </cell>
          <cell r="O1188" t="e">
            <v>#N/A</v>
          </cell>
          <cell r="P1188" t="str">
            <v/>
          </cell>
          <cell r="Q1188" t="str">
            <v/>
          </cell>
          <cell r="R1188" t="e">
            <v>#N/A</v>
          </cell>
        </row>
        <row r="1189">
          <cell r="A1189" t="str">
            <v/>
          </cell>
          <cell r="B1189" t="str">
            <v/>
          </cell>
          <cell r="C1189" t="str">
            <v>Future</v>
          </cell>
          <cell r="D1189" t="e">
            <v>#N/A</v>
          </cell>
          <cell r="E1189">
            <v>-51.513399209486302</v>
          </cell>
          <cell r="F1189">
            <v>53.071581027668479</v>
          </cell>
          <cell r="G1189">
            <v>28.17039525691618</v>
          </cell>
          <cell r="H1189">
            <v>28.17039525691618</v>
          </cell>
          <cell r="I1189" t="e">
            <v>#N/A</v>
          </cell>
          <cell r="J1189" t="e">
            <v>#N/A</v>
          </cell>
          <cell r="K1189">
            <v>42</v>
          </cell>
          <cell r="L1189">
            <v>32</v>
          </cell>
          <cell r="M1189" t="e">
            <v>#N/A</v>
          </cell>
          <cell r="N1189">
            <v>37</v>
          </cell>
          <cell r="O1189" t="e">
            <v>#N/A</v>
          </cell>
          <cell r="P1189" t="str">
            <v/>
          </cell>
          <cell r="Q1189" t="str">
            <v/>
          </cell>
          <cell r="R1189" t="e">
            <v>#N/A</v>
          </cell>
        </row>
        <row r="1190">
          <cell r="A1190" t="str">
            <v/>
          </cell>
          <cell r="B1190" t="str">
            <v/>
          </cell>
          <cell r="C1190" t="str">
            <v>Future</v>
          </cell>
          <cell r="D1190" t="e">
            <v>#N/A</v>
          </cell>
          <cell r="E1190">
            <v>-51.650039525691838</v>
          </cell>
          <cell r="F1190">
            <v>53.100948616601286</v>
          </cell>
          <cell r="G1190">
            <v>28.160237154149382</v>
          </cell>
          <cell r="H1190">
            <v>28.160237154149382</v>
          </cell>
          <cell r="I1190" t="e">
            <v>#N/A</v>
          </cell>
          <cell r="J1190" t="e">
            <v>#N/A</v>
          </cell>
          <cell r="K1190">
            <v>42</v>
          </cell>
          <cell r="L1190">
            <v>32</v>
          </cell>
          <cell r="M1190" t="e">
            <v>#N/A</v>
          </cell>
          <cell r="N1190">
            <v>37</v>
          </cell>
          <cell r="O1190" t="e">
            <v>#N/A</v>
          </cell>
          <cell r="P1190" t="str">
            <v/>
          </cell>
          <cell r="Q1190" t="str">
            <v/>
          </cell>
          <cell r="R1190" t="e">
            <v>#N/A</v>
          </cell>
        </row>
        <row r="1191">
          <cell r="A1191" t="str">
            <v/>
          </cell>
          <cell r="B1191" t="str">
            <v/>
          </cell>
          <cell r="C1191" t="str">
            <v>Future</v>
          </cell>
          <cell r="D1191" t="e">
            <v>#N/A</v>
          </cell>
          <cell r="E1191">
            <v>-51.786679841897374</v>
          </cell>
          <cell r="F1191">
            <v>53.130316205534093</v>
          </cell>
          <cell r="G1191">
            <v>28.150079051382583</v>
          </cell>
          <cell r="H1191">
            <v>28.150079051382583</v>
          </cell>
          <cell r="I1191" t="e">
            <v>#N/A</v>
          </cell>
          <cell r="J1191" t="e">
            <v>#N/A</v>
          </cell>
          <cell r="K1191">
            <v>42</v>
          </cell>
          <cell r="L1191">
            <v>32</v>
          </cell>
          <cell r="M1191" t="e">
            <v>#N/A</v>
          </cell>
          <cell r="N1191">
            <v>37</v>
          </cell>
          <cell r="O1191" t="e">
            <v>#N/A</v>
          </cell>
          <cell r="P1191" t="str">
            <v/>
          </cell>
          <cell r="Q1191" t="str">
            <v/>
          </cell>
          <cell r="R1191" t="e">
            <v>#N/A</v>
          </cell>
        </row>
        <row r="1192">
          <cell r="A1192" t="str">
            <v/>
          </cell>
          <cell r="B1192" t="str">
            <v/>
          </cell>
          <cell r="C1192" t="str">
            <v>Future</v>
          </cell>
          <cell r="D1192" t="e">
            <v>#N/A</v>
          </cell>
          <cell r="E1192">
            <v>-51.923320158102911</v>
          </cell>
          <cell r="F1192">
            <v>53.159683794466901</v>
          </cell>
          <cell r="G1192">
            <v>28.139920948615785</v>
          </cell>
          <cell r="H1192">
            <v>28.139920948615785</v>
          </cell>
          <cell r="I1192" t="e">
            <v>#N/A</v>
          </cell>
          <cell r="J1192" t="e">
            <v>#N/A</v>
          </cell>
          <cell r="K1192">
            <v>42</v>
          </cell>
          <cell r="L1192">
            <v>32</v>
          </cell>
          <cell r="M1192" t="e">
            <v>#N/A</v>
          </cell>
          <cell r="N1192">
            <v>37</v>
          </cell>
          <cell r="O1192" t="e">
            <v>#N/A</v>
          </cell>
          <cell r="P1192" t="str">
            <v/>
          </cell>
          <cell r="Q1192" t="str">
            <v/>
          </cell>
          <cell r="R1192" t="e">
            <v>#N/A</v>
          </cell>
        </row>
        <row r="1193">
          <cell r="A1193" t="str">
            <v/>
          </cell>
          <cell r="B1193" t="str">
            <v/>
          </cell>
          <cell r="C1193" t="str">
            <v>Future</v>
          </cell>
          <cell r="D1193" t="e">
            <v>#N/A</v>
          </cell>
          <cell r="E1193">
            <v>-52.059960474308447</v>
          </cell>
          <cell r="F1193">
            <v>53.189051383399708</v>
          </cell>
          <cell r="G1193">
            <v>28.129762845848987</v>
          </cell>
          <cell r="H1193">
            <v>28.129762845848987</v>
          </cell>
          <cell r="I1193" t="e">
            <v>#N/A</v>
          </cell>
          <cell r="J1193" t="e">
            <v>#N/A</v>
          </cell>
          <cell r="K1193">
            <v>42</v>
          </cell>
          <cell r="L1193">
            <v>32</v>
          </cell>
          <cell r="M1193" t="e">
            <v>#N/A</v>
          </cell>
          <cell r="N1193">
            <v>37</v>
          </cell>
          <cell r="O1193" t="e">
            <v>#N/A</v>
          </cell>
          <cell r="P1193" t="str">
            <v/>
          </cell>
          <cell r="Q1193" t="str">
            <v/>
          </cell>
          <cell r="R1193" t="e">
            <v>#N/A</v>
          </cell>
        </row>
        <row r="1194">
          <cell r="A1194" t="str">
            <v/>
          </cell>
          <cell r="B1194" t="str">
            <v/>
          </cell>
          <cell r="C1194" t="str">
            <v>Future</v>
          </cell>
          <cell r="D1194" t="e">
            <v>#N/A</v>
          </cell>
          <cell r="E1194">
            <v>-52.196600790513983</v>
          </cell>
          <cell r="F1194">
            <v>53.218418972332515</v>
          </cell>
          <cell r="G1194">
            <v>28.119604743082188</v>
          </cell>
          <cell r="H1194">
            <v>28.119604743082188</v>
          </cell>
          <cell r="I1194" t="e">
            <v>#N/A</v>
          </cell>
          <cell r="J1194" t="e">
            <v>#N/A</v>
          </cell>
          <cell r="K1194">
            <v>42</v>
          </cell>
          <cell r="L1194">
            <v>32</v>
          </cell>
          <cell r="M1194" t="e">
            <v>#N/A</v>
          </cell>
          <cell r="N1194">
            <v>37</v>
          </cell>
          <cell r="O1194" t="e">
            <v>#N/A</v>
          </cell>
          <cell r="P1194" t="str">
            <v/>
          </cell>
          <cell r="Q1194" t="str">
            <v/>
          </cell>
          <cell r="R1194" t="e">
            <v>#N/A</v>
          </cell>
        </row>
        <row r="1195">
          <cell r="A1195" t="str">
            <v/>
          </cell>
          <cell r="B1195" t="str">
            <v/>
          </cell>
          <cell r="C1195" t="str">
            <v>Future</v>
          </cell>
          <cell r="D1195" t="e">
            <v>#N/A</v>
          </cell>
          <cell r="E1195">
            <v>-52.33324110671952</v>
          </cell>
          <cell r="F1195">
            <v>53.247786561265322</v>
          </cell>
          <cell r="G1195">
            <v>28.10944664031539</v>
          </cell>
          <cell r="H1195">
            <v>28.10944664031539</v>
          </cell>
          <cell r="I1195" t="e">
            <v>#N/A</v>
          </cell>
          <cell r="J1195" t="e">
            <v>#N/A</v>
          </cell>
          <cell r="K1195">
            <v>42</v>
          </cell>
          <cell r="L1195">
            <v>32</v>
          </cell>
          <cell r="M1195" t="e">
            <v>#N/A</v>
          </cell>
          <cell r="N1195">
            <v>37</v>
          </cell>
          <cell r="O1195" t="e">
            <v>#N/A</v>
          </cell>
          <cell r="P1195" t="str">
            <v/>
          </cell>
          <cell r="Q1195" t="str">
            <v/>
          </cell>
          <cell r="R1195" t="e">
            <v>#N/A</v>
          </cell>
        </row>
        <row r="1196">
          <cell r="A1196" t="str">
            <v/>
          </cell>
          <cell r="B1196" t="str">
            <v/>
          </cell>
          <cell r="C1196" t="str">
            <v>Future</v>
          </cell>
          <cell r="D1196" t="e">
            <v>#N/A</v>
          </cell>
          <cell r="E1196">
            <v>-52.469881422925056</v>
          </cell>
          <cell r="F1196">
            <v>53.277154150198129</v>
          </cell>
          <cell r="G1196">
            <v>28.099288537548592</v>
          </cell>
          <cell r="H1196">
            <v>28.099288537548592</v>
          </cell>
          <cell r="I1196" t="e">
            <v>#N/A</v>
          </cell>
          <cell r="J1196" t="e">
            <v>#N/A</v>
          </cell>
          <cell r="K1196">
            <v>42</v>
          </cell>
          <cell r="L1196">
            <v>32</v>
          </cell>
          <cell r="M1196" t="e">
            <v>#N/A</v>
          </cell>
          <cell r="N1196">
            <v>37</v>
          </cell>
          <cell r="O1196" t="e">
            <v>#N/A</v>
          </cell>
          <cell r="P1196" t="str">
            <v/>
          </cell>
          <cell r="Q1196" t="str">
            <v/>
          </cell>
          <cell r="R1196" t="e">
            <v>#N/A</v>
          </cell>
        </row>
        <row r="1197">
          <cell r="A1197" t="str">
            <v/>
          </cell>
          <cell r="B1197" t="str">
            <v/>
          </cell>
          <cell r="C1197" t="str">
            <v>Future</v>
          </cell>
          <cell r="D1197" t="e">
            <v>#N/A</v>
          </cell>
          <cell r="E1197">
            <v>-52.606521739130592</v>
          </cell>
          <cell r="F1197">
            <v>53.306521739130936</v>
          </cell>
          <cell r="G1197">
            <v>28.089130434781794</v>
          </cell>
          <cell r="H1197">
            <v>28.089130434781794</v>
          </cell>
          <cell r="I1197" t="e">
            <v>#N/A</v>
          </cell>
          <cell r="J1197" t="e">
            <v>#N/A</v>
          </cell>
          <cell r="K1197">
            <v>42</v>
          </cell>
          <cell r="L1197">
            <v>32</v>
          </cell>
          <cell r="M1197" t="e">
            <v>#N/A</v>
          </cell>
          <cell r="N1197">
            <v>37</v>
          </cell>
          <cell r="O1197" t="e">
            <v>#N/A</v>
          </cell>
          <cell r="P1197" t="str">
            <v/>
          </cell>
          <cell r="Q1197" t="str">
            <v/>
          </cell>
          <cell r="R1197" t="e">
            <v>#N/A</v>
          </cell>
        </row>
        <row r="1198">
          <cell r="A1198" t="str">
            <v/>
          </cell>
          <cell r="B1198" t="str">
            <v/>
          </cell>
          <cell r="C1198" t="str">
            <v>Future</v>
          </cell>
          <cell r="D1198" t="e">
            <v>#N/A</v>
          </cell>
          <cell r="E1198">
            <v>-52.743162055336128</v>
          </cell>
          <cell r="F1198">
            <v>53.335889328063743</v>
          </cell>
          <cell r="G1198">
            <v>28.078972332014995</v>
          </cell>
          <cell r="H1198">
            <v>28.078972332014995</v>
          </cell>
          <cell r="I1198" t="e">
            <v>#N/A</v>
          </cell>
          <cell r="J1198" t="e">
            <v>#N/A</v>
          </cell>
          <cell r="K1198">
            <v>42</v>
          </cell>
          <cell r="L1198">
            <v>32</v>
          </cell>
          <cell r="M1198" t="e">
            <v>#N/A</v>
          </cell>
          <cell r="N1198">
            <v>37</v>
          </cell>
          <cell r="O1198" t="e">
            <v>#N/A</v>
          </cell>
          <cell r="P1198" t="str">
            <v/>
          </cell>
          <cell r="Q1198" t="str">
            <v/>
          </cell>
          <cell r="R1198" t="e">
            <v>#N/A</v>
          </cell>
        </row>
        <row r="1199">
          <cell r="A1199" t="str">
            <v/>
          </cell>
          <cell r="B1199" t="str">
            <v/>
          </cell>
          <cell r="C1199" t="str">
            <v>Future</v>
          </cell>
          <cell r="D1199" t="e">
            <v>#N/A</v>
          </cell>
          <cell r="E1199">
            <v>-52.879802371541665</v>
          </cell>
          <cell r="F1199">
            <v>53.36525691699655</v>
          </cell>
          <cell r="G1199">
            <v>28.068814229248197</v>
          </cell>
          <cell r="H1199">
            <v>28.068814229248197</v>
          </cell>
          <cell r="I1199" t="e">
            <v>#N/A</v>
          </cell>
          <cell r="J1199" t="e">
            <v>#N/A</v>
          </cell>
          <cell r="K1199">
            <v>42</v>
          </cell>
          <cell r="L1199">
            <v>32</v>
          </cell>
          <cell r="M1199" t="e">
            <v>#N/A</v>
          </cell>
          <cell r="N1199">
            <v>37</v>
          </cell>
          <cell r="O1199" t="e">
            <v>#N/A</v>
          </cell>
          <cell r="P1199" t="str">
            <v/>
          </cell>
          <cell r="Q1199" t="str">
            <v/>
          </cell>
          <cell r="R1199" t="e">
            <v>#N/A</v>
          </cell>
        </row>
        <row r="1200">
          <cell r="A1200" t="str">
            <v/>
          </cell>
          <cell r="B1200" t="str">
            <v/>
          </cell>
          <cell r="C1200" t="str">
            <v>Future</v>
          </cell>
          <cell r="D1200" t="e">
            <v>#N/A</v>
          </cell>
          <cell r="E1200">
            <v>-53.016442687747201</v>
          </cell>
          <cell r="F1200">
            <v>53.394624505929357</v>
          </cell>
          <cell r="G1200">
            <v>28.058656126481399</v>
          </cell>
          <cell r="H1200">
            <v>28.058656126481399</v>
          </cell>
          <cell r="I1200" t="e">
            <v>#N/A</v>
          </cell>
          <cell r="J1200" t="e">
            <v>#N/A</v>
          </cell>
          <cell r="K1200">
            <v>42</v>
          </cell>
          <cell r="L1200">
            <v>32</v>
          </cell>
          <cell r="M1200" t="e">
            <v>#N/A</v>
          </cell>
          <cell r="N1200">
            <v>37</v>
          </cell>
          <cell r="O1200" t="e">
            <v>#N/A</v>
          </cell>
          <cell r="P1200" t="str">
            <v/>
          </cell>
          <cell r="Q1200" t="str">
            <v/>
          </cell>
          <cell r="R1200" t="e">
            <v>#N/A</v>
          </cell>
        </row>
        <row r="1201">
          <cell r="A1201" t="str">
            <v/>
          </cell>
          <cell r="B1201" t="str">
            <v/>
          </cell>
          <cell r="C1201" t="str">
            <v>Future</v>
          </cell>
          <cell r="D1201" t="e">
            <v>#N/A</v>
          </cell>
          <cell r="E1201">
            <v>-53.153083003952737</v>
          </cell>
          <cell r="F1201">
            <v>53.423992094862164</v>
          </cell>
          <cell r="G1201">
            <v>28.0484980237146</v>
          </cell>
          <cell r="H1201">
            <v>28.0484980237146</v>
          </cell>
          <cell r="I1201" t="e">
            <v>#N/A</v>
          </cell>
          <cell r="J1201" t="e">
            <v>#N/A</v>
          </cell>
          <cell r="K1201">
            <v>42</v>
          </cell>
          <cell r="L1201">
            <v>32</v>
          </cell>
          <cell r="M1201" t="e">
            <v>#N/A</v>
          </cell>
          <cell r="N1201">
            <v>37</v>
          </cell>
          <cell r="O1201" t="e">
            <v>#N/A</v>
          </cell>
          <cell r="P1201" t="str">
            <v/>
          </cell>
          <cell r="Q1201" t="str">
            <v/>
          </cell>
          <cell r="R1201" t="e">
            <v>#N/A</v>
          </cell>
        </row>
        <row r="1202">
          <cell r="A1202" t="str">
            <v/>
          </cell>
          <cell r="B1202" t="str">
            <v/>
          </cell>
          <cell r="C1202" t="str">
            <v>Future</v>
          </cell>
          <cell r="D1202" t="e">
            <v>#N/A</v>
          </cell>
          <cell r="E1202">
            <v>-53.289723320158274</v>
          </cell>
          <cell r="F1202">
            <v>53.453359683794972</v>
          </cell>
          <cell r="G1202">
            <v>28.038339920947802</v>
          </cell>
          <cell r="H1202">
            <v>28.038339920947802</v>
          </cell>
          <cell r="I1202" t="e">
            <v>#N/A</v>
          </cell>
          <cell r="J1202" t="e">
            <v>#N/A</v>
          </cell>
          <cell r="K1202">
            <v>42</v>
          </cell>
          <cell r="L1202">
            <v>32</v>
          </cell>
          <cell r="M1202" t="e">
            <v>#N/A</v>
          </cell>
          <cell r="N1202">
            <v>37</v>
          </cell>
          <cell r="O1202" t="e">
            <v>#N/A</v>
          </cell>
          <cell r="P1202" t="str">
            <v/>
          </cell>
          <cell r="Q1202" t="str">
            <v/>
          </cell>
          <cell r="R1202" t="e">
            <v>#N/A</v>
          </cell>
        </row>
        <row r="1203">
          <cell r="A1203" t="str">
            <v/>
          </cell>
          <cell r="B1203" t="str">
            <v/>
          </cell>
          <cell r="C1203" t="str">
            <v>Future</v>
          </cell>
          <cell r="D1203" t="e">
            <v>#N/A</v>
          </cell>
          <cell r="E1203">
            <v>-53.42636363636381</v>
          </cell>
          <cell r="F1203">
            <v>53.482727272727779</v>
          </cell>
          <cell r="G1203">
            <v>28.028181818181004</v>
          </cell>
          <cell r="H1203">
            <v>28.028181818181004</v>
          </cell>
          <cell r="I1203" t="e">
            <v>#N/A</v>
          </cell>
          <cell r="J1203" t="e">
            <v>#N/A</v>
          </cell>
          <cell r="K1203">
            <v>42</v>
          </cell>
          <cell r="L1203">
            <v>32</v>
          </cell>
          <cell r="M1203" t="e">
            <v>#N/A</v>
          </cell>
          <cell r="N1203">
            <v>37</v>
          </cell>
          <cell r="O1203" t="e">
            <v>#N/A</v>
          </cell>
          <cell r="P1203" t="str">
            <v/>
          </cell>
          <cell r="Q1203" t="str">
            <v/>
          </cell>
          <cell r="R1203" t="e">
            <v>#N/A</v>
          </cell>
        </row>
        <row r="1204">
          <cell r="A1204" t="str">
            <v/>
          </cell>
          <cell r="B1204" t="str">
            <v/>
          </cell>
          <cell r="C1204" t="str">
            <v>Future</v>
          </cell>
          <cell r="D1204" t="e">
            <v>#N/A</v>
          </cell>
          <cell r="E1204">
            <v>-53.563003952569346</v>
          </cell>
          <cell r="F1204">
            <v>53.512094861660586</v>
          </cell>
          <cell r="G1204">
            <v>28.018023715414206</v>
          </cell>
          <cell r="H1204">
            <v>28.018023715414206</v>
          </cell>
          <cell r="I1204" t="e">
            <v>#N/A</v>
          </cell>
          <cell r="J1204" t="e">
            <v>#N/A</v>
          </cell>
          <cell r="K1204">
            <v>42</v>
          </cell>
          <cell r="L1204">
            <v>32</v>
          </cell>
          <cell r="M1204" t="e">
            <v>#N/A</v>
          </cell>
          <cell r="N1204">
            <v>37</v>
          </cell>
          <cell r="O1204" t="e">
            <v>#N/A</v>
          </cell>
          <cell r="P1204" t="str">
            <v/>
          </cell>
          <cell r="Q1204" t="str">
            <v/>
          </cell>
          <cell r="R1204" t="e">
            <v>#N/A</v>
          </cell>
        </row>
        <row r="1205">
          <cell r="A1205" t="str">
            <v/>
          </cell>
          <cell r="B1205" t="str">
            <v/>
          </cell>
          <cell r="C1205" t="str">
            <v>Future</v>
          </cell>
          <cell r="D1205" t="e">
            <v>#N/A</v>
          </cell>
          <cell r="E1205">
            <v>-53.699644268774883</v>
          </cell>
          <cell r="F1205">
            <v>53.541462450593393</v>
          </cell>
          <cell r="G1205">
            <v>28.007865612647407</v>
          </cell>
          <cell r="H1205">
            <v>28.007865612647407</v>
          </cell>
          <cell r="I1205" t="e">
            <v>#N/A</v>
          </cell>
          <cell r="J1205" t="e">
            <v>#N/A</v>
          </cell>
          <cell r="K1205">
            <v>42</v>
          </cell>
          <cell r="L1205">
            <v>32</v>
          </cell>
          <cell r="M1205" t="e">
            <v>#N/A</v>
          </cell>
          <cell r="N1205">
            <v>37</v>
          </cell>
          <cell r="O1205" t="e">
            <v>#N/A</v>
          </cell>
          <cell r="P1205" t="str">
            <v/>
          </cell>
          <cell r="Q1205" t="str">
            <v/>
          </cell>
          <cell r="R1205" t="e">
            <v>#N/A</v>
          </cell>
        </row>
        <row r="1206">
          <cell r="A1206" t="str">
            <v/>
          </cell>
          <cell r="B1206" t="str">
            <v/>
          </cell>
          <cell r="C1206" t="str">
            <v>Future</v>
          </cell>
          <cell r="D1206" t="e">
            <v>#N/A</v>
          </cell>
          <cell r="E1206">
            <v>-53.836284584980419</v>
          </cell>
          <cell r="F1206">
            <v>53.5708300395262</v>
          </cell>
          <cell r="G1206">
            <v>27.997707509880609</v>
          </cell>
          <cell r="H1206">
            <v>27.997707509880609</v>
          </cell>
          <cell r="I1206" t="e">
            <v>#N/A</v>
          </cell>
          <cell r="J1206" t="e">
            <v>#N/A</v>
          </cell>
          <cell r="K1206">
            <v>42</v>
          </cell>
          <cell r="L1206">
            <v>32</v>
          </cell>
          <cell r="M1206" t="e">
            <v>#N/A</v>
          </cell>
          <cell r="N1206">
            <v>37</v>
          </cell>
          <cell r="O1206" t="e">
            <v>#N/A</v>
          </cell>
          <cell r="P1206" t="str">
            <v/>
          </cell>
          <cell r="Q1206" t="str">
            <v/>
          </cell>
          <cell r="R1206" t="e">
            <v>#N/A</v>
          </cell>
        </row>
        <row r="1207">
          <cell r="A1207" t="str">
            <v/>
          </cell>
          <cell r="B1207" t="str">
            <v/>
          </cell>
          <cell r="C1207" t="str">
            <v>Future</v>
          </cell>
          <cell r="D1207" t="e">
            <v>#N/A</v>
          </cell>
          <cell r="E1207">
            <v>-53.972924901185955</v>
          </cell>
          <cell r="F1207">
            <v>53.600197628459007</v>
          </cell>
          <cell r="G1207">
            <v>27.987549407113811</v>
          </cell>
          <cell r="H1207">
            <v>27.987549407113811</v>
          </cell>
          <cell r="I1207" t="e">
            <v>#N/A</v>
          </cell>
          <cell r="J1207" t="e">
            <v>#N/A</v>
          </cell>
          <cell r="K1207">
            <v>42</v>
          </cell>
          <cell r="L1207">
            <v>32</v>
          </cell>
          <cell r="M1207" t="e">
            <v>#N/A</v>
          </cell>
          <cell r="N1207">
            <v>37</v>
          </cell>
          <cell r="O1207" t="e">
            <v>#N/A</v>
          </cell>
          <cell r="P1207" t="str">
            <v/>
          </cell>
          <cell r="Q1207" t="str">
            <v/>
          </cell>
          <cell r="R1207" t="e">
            <v>#N/A</v>
          </cell>
        </row>
        <row r="1208">
          <cell r="A1208" t="str">
            <v/>
          </cell>
          <cell r="B1208" t="str">
            <v/>
          </cell>
          <cell r="C1208" t="str">
            <v>Future</v>
          </cell>
          <cell r="D1208" t="e">
            <v>#N/A</v>
          </cell>
          <cell r="E1208">
            <v>-54.109565217391491</v>
          </cell>
          <cell r="F1208">
            <v>53.629565217391814</v>
          </cell>
          <cell r="G1208">
            <v>27.977391304347012</v>
          </cell>
          <cell r="H1208">
            <v>27.977391304347012</v>
          </cell>
          <cell r="I1208" t="e">
            <v>#N/A</v>
          </cell>
          <cell r="J1208" t="e">
            <v>#N/A</v>
          </cell>
          <cell r="K1208">
            <v>42</v>
          </cell>
          <cell r="L1208">
            <v>32</v>
          </cell>
          <cell r="M1208" t="e">
            <v>#N/A</v>
          </cell>
          <cell r="N1208">
            <v>37</v>
          </cell>
          <cell r="O1208" t="e">
            <v>#N/A</v>
          </cell>
          <cell r="P1208" t="str">
            <v/>
          </cell>
          <cell r="Q1208" t="str">
            <v/>
          </cell>
          <cell r="R1208" t="e">
            <v>#N/A</v>
          </cell>
        </row>
        <row r="1209">
          <cell r="A1209" t="str">
            <v/>
          </cell>
          <cell r="B1209" t="str">
            <v/>
          </cell>
          <cell r="C1209" t="str">
            <v>Future</v>
          </cell>
          <cell r="D1209" t="e">
            <v>#N/A</v>
          </cell>
          <cell r="E1209">
            <v>-54.246205533597028</v>
          </cell>
          <cell r="F1209">
            <v>53.658932806324621</v>
          </cell>
          <cell r="G1209">
            <v>27.967233201580214</v>
          </cell>
          <cell r="H1209">
            <v>27.967233201580214</v>
          </cell>
          <cell r="I1209" t="e">
            <v>#N/A</v>
          </cell>
          <cell r="J1209" t="e">
            <v>#N/A</v>
          </cell>
          <cell r="K1209">
            <v>42</v>
          </cell>
          <cell r="L1209">
            <v>32</v>
          </cell>
          <cell r="M1209" t="e">
            <v>#N/A</v>
          </cell>
          <cell r="N1209">
            <v>37</v>
          </cell>
          <cell r="O1209" t="e">
            <v>#N/A</v>
          </cell>
          <cell r="P1209" t="str">
            <v/>
          </cell>
          <cell r="Q1209" t="str">
            <v/>
          </cell>
          <cell r="R1209" t="e">
            <v>#N/A</v>
          </cell>
        </row>
        <row r="1210">
          <cell r="A1210" t="str">
            <v/>
          </cell>
          <cell r="B1210" t="str">
            <v/>
          </cell>
          <cell r="C1210" t="str">
            <v>Future</v>
          </cell>
          <cell r="D1210" t="e">
            <v>#N/A</v>
          </cell>
          <cell r="E1210">
            <v>-54.382845849802564</v>
          </cell>
          <cell r="F1210">
            <v>53.688300395257428</v>
          </cell>
          <cell r="G1210">
            <v>27.957075098813416</v>
          </cell>
          <cell r="H1210">
            <v>27.957075098813416</v>
          </cell>
          <cell r="I1210" t="e">
            <v>#N/A</v>
          </cell>
          <cell r="J1210" t="e">
            <v>#N/A</v>
          </cell>
          <cell r="K1210">
            <v>42</v>
          </cell>
          <cell r="L1210">
            <v>32</v>
          </cell>
          <cell r="M1210" t="e">
            <v>#N/A</v>
          </cell>
          <cell r="N1210">
            <v>37</v>
          </cell>
          <cell r="O1210" t="e">
            <v>#N/A</v>
          </cell>
          <cell r="P1210" t="str">
            <v/>
          </cell>
          <cell r="Q1210" t="str">
            <v/>
          </cell>
          <cell r="R1210" t="e">
            <v>#N/A</v>
          </cell>
        </row>
        <row r="1211">
          <cell r="A1211" t="str">
            <v/>
          </cell>
          <cell r="B1211" t="str">
            <v/>
          </cell>
          <cell r="C1211" t="str">
            <v>Future</v>
          </cell>
          <cell r="D1211" t="e">
            <v>#N/A</v>
          </cell>
          <cell r="E1211">
            <v>-54.5194861660081</v>
          </cell>
          <cell r="F1211">
            <v>53.717667984190236</v>
          </cell>
          <cell r="G1211">
            <v>27.946916996046617</v>
          </cell>
          <cell r="H1211">
            <v>27.946916996046617</v>
          </cell>
          <cell r="I1211" t="e">
            <v>#N/A</v>
          </cell>
          <cell r="J1211" t="e">
            <v>#N/A</v>
          </cell>
          <cell r="K1211">
            <v>42</v>
          </cell>
          <cell r="L1211">
            <v>32</v>
          </cell>
          <cell r="M1211" t="e">
            <v>#N/A</v>
          </cell>
          <cell r="N1211">
            <v>37</v>
          </cell>
          <cell r="O1211" t="e">
            <v>#N/A</v>
          </cell>
          <cell r="P1211" t="str">
            <v/>
          </cell>
          <cell r="Q1211" t="str">
            <v/>
          </cell>
          <cell r="R1211" t="e">
            <v>#N/A</v>
          </cell>
        </row>
        <row r="1212">
          <cell r="A1212" t="str">
            <v/>
          </cell>
          <cell r="B1212" t="str">
            <v/>
          </cell>
          <cell r="C1212" t="str">
            <v>Future</v>
          </cell>
          <cell r="D1212" t="e">
            <v>#N/A</v>
          </cell>
          <cell r="E1212">
            <v>-54.656126482213637</v>
          </cell>
          <cell r="F1212">
            <v>53.747035573123043</v>
          </cell>
          <cell r="G1212">
            <v>27.936758893279819</v>
          </cell>
          <cell r="H1212">
            <v>27.936758893279819</v>
          </cell>
          <cell r="I1212" t="e">
            <v>#N/A</v>
          </cell>
          <cell r="J1212" t="e">
            <v>#N/A</v>
          </cell>
          <cell r="K1212">
            <v>42</v>
          </cell>
          <cell r="L1212">
            <v>32</v>
          </cell>
          <cell r="M1212" t="e">
            <v>#N/A</v>
          </cell>
          <cell r="N1212">
            <v>37</v>
          </cell>
          <cell r="O1212" t="e">
            <v>#N/A</v>
          </cell>
          <cell r="P1212" t="str">
            <v/>
          </cell>
          <cell r="Q1212" t="str">
            <v/>
          </cell>
          <cell r="R1212" t="e">
            <v>#N/A</v>
          </cell>
        </row>
        <row r="1213">
          <cell r="A1213" t="str">
            <v/>
          </cell>
          <cell r="B1213" t="str">
            <v/>
          </cell>
          <cell r="C1213" t="str">
            <v>Future</v>
          </cell>
          <cell r="D1213" t="e">
            <v>#N/A</v>
          </cell>
          <cell r="E1213">
            <v>-54.792766798419173</v>
          </cell>
          <cell r="F1213">
            <v>53.77640316205585</v>
          </cell>
          <cell r="G1213">
            <v>27.926600790513021</v>
          </cell>
          <cell r="H1213">
            <v>27.926600790513021</v>
          </cell>
          <cell r="I1213" t="e">
            <v>#N/A</v>
          </cell>
          <cell r="J1213" t="e">
            <v>#N/A</v>
          </cell>
          <cell r="K1213">
            <v>42</v>
          </cell>
          <cell r="L1213">
            <v>32</v>
          </cell>
          <cell r="M1213" t="e">
            <v>#N/A</v>
          </cell>
          <cell r="N1213">
            <v>37</v>
          </cell>
          <cell r="O1213" t="e">
            <v>#N/A</v>
          </cell>
          <cell r="P1213" t="str">
            <v/>
          </cell>
          <cell r="Q1213" t="str">
            <v/>
          </cell>
          <cell r="R1213" t="e">
            <v>#N/A</v>
          </cell>
        </row>
        <row r="1214">
          <cell r="A1214" t="str">
            <v/>
          </cell>
          <cell r="B1214" t="str">
            <v/>
          </cell>
          <cell r="C1214" t="str">
            <v>Future</v>
          </cell>
          <cell r="D1214" t="e">
            <v>#N/A</v>
          </cell>
          <cell r="E1214">
            <v>-54.929407114624709</v>
          </cell>
          <cell r="F1214">
            <v>53.805770750988657</v>
          </cell>
          <cell r="G1214">
            <v>27.916442687746223</v>
          </cell>
          <cell r="H1214">
            <v>27.916442687746223</v>
          </cell>
          <cell r="I1214" t="e">
            <v>#N/A</v>
          </cell>
          <cell r="J1214" t="e">
            <v>#N/A</v>
          </cell>
          <cell r="K1214">
            <v>42</v>
          </cell>
          <cell r="L1214">
            <v>32</v>
          </cell>
          <cell r="M1214" t="e">
            <v>#N/A</v>
          </cell>
          <cell r="N1214">
            <v>37</v>
          </cell>
          <cell r="O1214" t="e">
            <v>#N/A</v>
          </cell>
          <cell r="P1214" t="str">
            <v/>
          </cell>
          <cell r="Q1214" t="str">
            <v/>
          </cell>
          <cell r="R1214" t="e">
            <v>#N/A</v>
          </cell>
        </row>
        <row r="1215">
          <cell r="A1215" t="str">
            <v/>
          </cell>
          <cell r="B1215" t="str">
            <v/>
          </cell>
          <cell r="C1215" t="str">
            <v>Future</v>
          </cell>
          <cell r="D1215" t="e">
            <v>#N/A</v>
          </cell>
          <cell r="E1215">
            <v>-55.066047430830245</v>
          </cell>
          <cell r="F1215">
            <v>53.835138339921464</v>
          </cell>
          <cell r="G1215">
            <v>27.906284584979424</v>
          </cell>
          <cell r="H1215">
            <v>27.906284584979424</v>
          </cell>
          <cell r="I1215" t="e">
            <v>#N/A</v>
          </cell>
          <cell r="J1215" t="e">
            <v>#N/A</v>
          </cell>
          <cell r="K1215">
            <v>42</v>
          </cell>
          <cell r="L1215">
            <v>32</v>
          </cell>
          <cell r="M1215" t="e">
            <v>#N/A</v>
          </cell>
          <cell r="N1215">
            <v>37</v>
          </cell>
          <cell r="O1215" t="e">
            <v>#N/A</v>
          </cell>
          <cell r="P1215" t="str">
            <v/>
          </cell>
          <cell r="Q1215" t="str">
            <v/>
          </cell>
          <cell r="R1215" t="e">
            <v>#N/A</v>
          </cell>
        </row>
        <row r="1216">
          <cell r="A1216" t="str">
            <v/>
          </cell>
          <cell r="B1216" t="str">
            <v/>
          </cell>
          <cell r="C1216" t="str">
            <v>Future</v>
          </cell>
          <cell r="D1216" t="e">
            <v>#N/A</v>
          </cell>
          <cell r="E1216">
            <v>-55.202687747035782</v>
          </cell>
          <cell r="F1216">
            <v>53.864505928854271</v>
          </cell>
          <cell r="G1216">
            <v>27.896126482212626</v>
          </cell>
          <cell r="H1216">
            <v>27.896126482212626</v>
          </cell>
          <cell r="I1216" t="e">
            <v>#N/A</v>
          </cell>
          <cell r="J1216" t="e">
            <v>#N/A</v>
          </cell>
          <cell r="K1216">
            <v>42</v>
          </cell>
          <cell r="L1216">
            <v>32</v>
          </cell>
          <cell r="M1216" t="e">
            <v>#N/A</v>
          </cell>
          <cell r="N1216">
            <v>37</v>
          </cell>
          <cell r="O1216" t="e">
            <v>#N/A</v>
          </cell>
          <cell r="P1216" t="str">
            <v/>
          </cell>
          <cell r="Q1216" t="str">
            <v/>
          </cell>
          <cell r="R1216" t="e">
            <v>#N/A</v>
          </cell>
        </row>
        <row r="1217">
          <cell r="A1217" t="str">
            <v/>
          </cell>
          <cell r="B1217" t="str">
            <v/>
          </cell>
          <cell r="C1217" t="str">
            <v>Future</v>
          </cell>
          <cell r="D1217" t="e">
            <v>#N/A</v>
          </cell>
          <cell r="E1217">
            <v>-55.339328063241318</v>
          </cell>
          <cell r="F1217">
            <v>53.893873517787078</v>
          </cell>
          <cell r="G1217">
            <v>27.885968379445828</v>
          </cell>
          <cell r="H1217">
            <v>27.885968379445828</v>
          </cell>
          <cell r="I1217" t="e">
            <v>#N/A</v>
          </cell>
          <cell r="J1217" t="e">
            <v>#N/A</v>
          </cell>
          <cell r="K1217">
            <v>42</v>
          </cell>
          <cell r="L1217">
            <v>32</v>
          </cell>
          <cell r="M1217" t="e">
            <v>#N/A</v>
          </cell>
          <cell r="N1217">
            <v>37</v>
          </cell>
          <cell r="O1217" t="e">
            <v>#N/A</v>
          </cell>
          <cell r="P1217" t="str">
            <v/>
          </cell>
          <cell r="Q1217" t="str">
            <v/>
          </cell>
          <cell r="R1217" t="e">
            <v>#N/A</v>
          </cell>
        </row>
        <row r="1218">
          <cell r="A1218" t="str">
            <v/>
          </cell>
          <cell r="B1218" t="str">
            <v/>
          </cell>
          <cell r="C1218" t="str">
            <v>Future</v>
          </cell>
          <cell r="D1218" t="e">
            <v>#N/A</v>
          </cell>
          <cell r="E1218">
            <v>-55.475968379446854</v>
          </cell>
          <cell r="F1218">
            <v>53.923241106719885</v>
          </cell>
          <cell r="G1218">
            <v>27.875810276679029</v>
          </cell>
          <cell r="H1218">
            <v>27.875810276679029</v>
          </cell>
          <cell r="I1218" t="e">
            <v>#N/A</v>
          </cell>
          <cell r="J1218" t="e">
            <v>#N/A</v>
          </cell>
          <cell r="K1218">
            <v>42</v>
          </cell>
          <cell r="L1218">
            <v>32</v>
          </cell>
          <cell r="M1218" t="e">
            <v>#N/A</v>
          </cell>
          <cell r="N1218">
            <v>37</v>
          </cell>
          <cell r="O1218" t="e">
            <v>#N/A</v>
          </cell>
          <cell r="P1218" t="str">
            <v/>
          </cell>
          <cell r="Q1218" t="str">
            <v/>
          </cell>
          <cell r="R1218" t="e">
            <v>#N/A</v>
          </cell>
        </row>
        <row r="1219">
          <cell r="A1219" t="str">
            <v/>
          </cell>
          <cell r="B1219" t="str">
            <v/>
          </cell>
          <cell r="C1219" t="str">
            <v>Future</v>
          </cell>
          <cell r="D1219" t="e">
            <v>#N/A</v>
          </cell>
          <cell r="E1219">
            <v>-55.612608695652391</v>
          </cell>
          <cell r="F1219">
            <v>53.952608695652692</v>
          </cell>
          <cell r="G1219">
            <v>27.865652173912231</v>
          </cell>
          <cell r="H1219">
            <v>27.865652173912231</v>
          </cell>
          <cell r="I1219" t="e">
            <v>#N/A</v>
          </cell>
          <cell r="J1219" t="e">
            <v>#N/A</v>
          </cell>
          <cell r="K1219">
            <v>42</v>
          </cell>
          <cell r="L1219">
            <v>32</v>
          </cell>
          <cell r="M1219" t="e">
            <v>#N/A</v>
          </cell>
          <cell r="N1219">
            <v>37</v>
          </cell>
          <cell r="O1219" t="e">
            <v>#N/A</v>
          </cell>
          <cell r="P1219" t="str">
            <v/>
          </cell>
          <cell r="Q1219" t="str">
            <v/>
          </cell>
          <cell r="R1219" t="e">
            <v>#N/A</v>
          </cell>
        </row>
        <row r="1220">
          <cell r="A1220" t="str">
            <v/>
          </cell>
          <cell r="B1220" t="str">
            <v/>
          </cell>
          <cell r="C1220" t="str">
            <v>Future</v>
          </cell>
          <cell r="D1220" t="e">
            <v>#N/A</v>
          </cell>
          <cell r="E1220">
            <v>-55.749249011857927</v>
          </cell>
          <cell r="F1220">
            <v>53.9819762845855</v>
          </cell>
          <cell r="G1220">
            <v>27.855494071145433</v>
          </cell>
          <cell r="H1220">
            <v>27.855494071145433</v>
          </cell>
          <cell r="I1220" t="e">
            <v>#N/A</v>
          </cell>
          <cell r="J1220" t="e">
            <v>#N/A</v>
          </cell>
          <cell r="K1220">
            <v>42</v>
          </cell>
          <cell r="L1220">
            <v>32</v>
          </cell>
          <cell r="M1220" t="e">
            <v>#N/A</v>
          </cell>
          <cell r="N1220">
            <v>37</v>
          </cell>
          <cell r="O1220" t="e">
            <v>#N/A</v>
          </cell>
          <cell r="P1220" t="str">
            <v/>
          </cell>
          <cell r="Q1220" t="str">
            <v/>
          </cell>
          <cell r="R1220" t="e">
            <v>#N/A</v>
          </cell>
        </row>
        <row r="1221">
          <cell r="A1221" t="str">
            <v/>
          </cell>
          <cell r="B1221" t="str">
            <v/>
          </cell>
          <cell r="C1221" t="str">
            <v>Future</v>
          </cell>
          <cell r="D1221" t="e">
            <v>#N/A</v>
          </cell>
          <cell r="E1221">
            <v>-55.885889328063463</v>
          </cell>
          <cell r="F1221">
            <v>54.011343873518307</v>
          </cell>
          <cell r="G1221">
            <v>27.845335968378635</v>
          </cell>
          <cell r="H1221">
            <v>27.845335968378635</v>
          </cell>
          <cell r="I1221" t="e">
            <v>#N/A</v>
          </cell>
          <cell r="J1221" t="e">
            <v>#N/A</v>
          </cell>
          <cell r="K1221">
            <v>42</v>
          </cell>
          <cell r="L1221">
            <v>32</v>
          </cell>
          <cell r="M1221" t="e">
            <v>#N/A</v>
          </cell>
          <cell r="N1221">
            <v>37</v>
          </cell>
          <cell r="O1221" t="e">
            <v>#N/A</v>
          </cell>
          <cell r="P1221" t="str">
            <v/>
          </cell>
          <cell r="Q1221" t="str">
            <v/>
          </cell>
          <cell r="R1221" t="e">
            <v>#N/A</v>
          </cell>
        </row>
        <row r="1222">
          <cell r="A1222" t="str">
            <v/>
          </cell>
          <cell r="B1222" t="str">
            <v/>
          </cell>
          <cell r="C1222" t="str">
            <v>Future</v>
          </cell>
          <cell r="D1222" t="e">
            <v>#N/A</v>
          </cell>
          <cell r="E1222">
            <v>-56.022529644269</v>
          </cell>
          <cell r="F1222">
            <v>54.040711462451114</v>
          </cell>
          <cell r="G1222">
            <v>27.835177865611836</v>
          </cell>
          <cell r="H1222">
            <v>27.835177865611836</v>
          </cell>
          <cell r="I1222" t="e">
            <v>#N/A</v>
          </cell>
          <cell r="J1222" t="e">
            <v>#N/A</v>
          </cell>
          <cell r="K1222">
            <v>42</v>
          </cell>
          <cell r="L1222">
            <v>32</v>
          </cell>
          <cell r="M1222" t="e">
            <v>#N/A</v>
          </cell>
          <cell r="N1222">
            <v>37</v>
          </cell>
          <cell r="O1222" t="e">
            <v>#N/A</v>
          </cell>
          <cell r="P1222" t="str">
            <v/>
          </cell>
          <cell r="Q1222" t="str">
            <v/>
          </cell>
          <cell r="R1222" t="e">
            <v>#N/A</v>
          </cell>
        </row>
        <row r="1223">
          <cell r="A1223" t="str">
            <v/>
          </cell>
          <cell r="B1223" t="str">
            <v/>
          </cell>
          <cell r="C1223" t="str">
            <v>Future</v>
          </cell>
          <cell r="D1223" t="e">
            <v>#N/A</v>
          </cell>
          <cell r="E1223">
            <v>-56.159169960474536</v>
          </cell>
          <cell r="F1223">
            <v>54.070079051383921</v>
          </cell>
          <cell r="G1223">
            <v>27.825019762845038</v>
          </cell>
          <cell r="H1223">
            <v>27.825019762845038</v>
          </cell>
          <cell r="I1223" t="e">
            <v>#N/A</v>
          </cell>
          <cell r="J1223" t="e">
            <v>#N/A</v>
          </cell>
          <cell r="K1223">
            <v>42</v>
          </cell>
          <cell r="L1223">
            <v>32</v>
          </cell>
          <cell r="M1223" t="e">
            <v>#N/A</v>
          </cell>
          <cell r="N1223">
            <v>37</v>
          </cell>
          <cell r="O1223" t="e">
            <v>#N/A</v>
          </cell>
          <cell r="P1223" t="str">
            <v/>
          </cell>
          <cell r="Q1223" t="str">
            <v/>
          </cell>
          <cell r="R1223" t="e">
            <v>#N/A</v>
          </cell>
        </row>
        <row r="1224">
          <cell r="A1224" t="str">
            <v/>
          </cell>
          <cell r="B1224" t="str">
            <v/>
          </cell>
          <cell r="C1224" t="str">
            <v>Future</v>
          </cell>
          <cell r="D1224" t="e">
            <v>#N/A</v>
          </cell>
          <cell r="E1224">
            <v>-56.295810276680072</v>
          </cell>
          <cell r="F1224">
            <v>54.099446640316728</v>
          </cell>
          <cell r="G1224">
            <v>27.81486166007824</v>
          </cell>
          <cell r="H1224">
            <v>27.81486166007824</v>
          </cell>
          <cell r="I1224" t="e">
            <v>#N/A</v>
          </cell>
          <cell r="J1224" t="e">
            <v>#N/A</v>
          </cell>
          <cell r="K1224">
            <v>42</v>
          </cell>
          <cell r="L1224">
            <v>32</v>
          </cell>
          <cell r="M1224" t="e">
            <v>#N/A</v>
          </cell>
          <cell r="N1224">
            <v>37</v>
          </cell>
          <cell r="O1224" t="e">
            <v>#N/A</v>
          </cell>
          <cell r="P1224" t="str">
            <v/>
          </cell>
          <cell r="Q1224" t="str">
            <v/>
          </cell>
          <cell r="R1224" t="e">
            <v>#N/A</v>
          </cell>
        </row>
        <row r="1225">
          <cell r="A1225" t="str">
            <v/>
          </cell>
          <cell r="B1225" t="str">
            <v/>
          </cell>
          <cell r="C1225" t="str">
            <v>Future</v>
          </cell>
          <cell r="D1225" t="e">
            <v>#N/A</v>
          </cell>
          <cell r="E1225">
            <v>-56.432450592885608</v>
          </cell>
          <cell r="F1225">
            <v>54.128814229249535</v>
          </cell>
          <cell r="G1225">
            <v>27.804703557311441</v>
          </cell>
          <cell r="H1225">
            <v>27.804703557311441</v>
          </cell>
          <cell r="I1225" t="e">
            <v>#N/A</v>
          </cell>
          <cell r="J1225" t="e">
            <v>#N/A</v>
          </cell>
          <cell r="K1225">
            <v>42</v>
          </cell>
          <cell r="L1225">
            <v>32</v>
          </cell>
          <cell r="M1225" t="e">
            <v>#N/A</v>
          </cell>
          <cell r="N1225">
            <v>37</v>
          </cell>
          <cell r="O1225" t="e">
            <v>#N/A</v>
          </cell>
          <cell r="P1225" t="str">
            <v/>
          </cell>
          <cell r="Q1225" t="str">
            <v/>
          </cell>
          <cell r="R1225" t="e">
            <v>#N/A</v>
          </cell>
        </row>
        <row r="1226">
          <cell r="A1226" t="str">
            <v/>
          </cell>
          <cell r="B1226" t="str">
            <v/>
          </cell>
          <cell r="C1226" t="str">
            <v>Future</v>
          </cell>
          <cell r="D1226" t="e">
            <v>#N/A</v>
          </cell>
          <cell r="E1226">
            <v>-56.569090909091145</v>
          </cell>
          <cell r="F1226">
            <v>54.158181818182342</v>
          </cell>
          <cell r="G1226">
            <v>27.794545454544643</v>
          </cell>
          <cell r="H1226">
            <v>27.794545454544643</v>
          </cell>
          <cell r="I1226" t="e">
            <v>#N/A</v>
          </cell>
          <cell r="J1226" t="e">
            <v>#N/A</v>
          </cell>
          <cell r="K1226">
            <v>42</v>
          </cell>
          <cell r="L1226">
            <v>32</v>
          </cell>
          <cell r="M1226" t="e">
            <v>#N/A</v>
          </cell>
          <cell r="N1226">
            <v>37</v>
          </cell>
          <cell r="O1226" t="e">
            <v>#N/A</v>
          </cell>
          <cell r="P1226" t="str">
            <v/>
          </cell>
          <cell r="Q1226" t="str">
            <v/>
          </cell>
          <cell r="R1226" t="e">
            <v>#N/A</v>
          </cell>
        </row>
        <row r="1227">
          <cell r="A1227" t="str">
            <v/>
          </cell>
          <cell r="B1227" t="str">
            <v/>
          </cell>
          <cell r="C1227" t="str">
            <v>Future</v>
          </cell>
          <cell r="D1227" t="e">
            <v>#N/A</v>
          </cell>
          <cell r="E1227">
            <v>-56.705731225296681</v>
          </cell>
          <cell r="F1227">
            <v>54.187549407115149</v>
          </cell>
          <cell r="G1227">
            <v>27.784387351777845</v>
          </cell>
          <cell r="H1227">
            <v>27.784387351777845</v>
          </cell>
          <cell r="I1227" t="e">
            <v>#N/A</v>
          </cell>
          <cell r="J1227" t="e">
            <v>#N/A</v>
          </cell>
          <cell r="K1227">
            <v>42</v>
          </cell>
          <cell r="L1227">
            <v>32</v>
          </cell>
          <cell r="M1227" t="e">
            <v>#N/A</v>
          </cell>
          <cell r="N1227">
            <v>37</v>
          </cell>
          <cell r="O1227" t="e">
            <v>#N/A</v>
          </cell>
          <cell r="P1227" t="str">
            <v/>
          </cell>
          <cell r="Q1227" t="str">
            <v/>
          </cell>
          <cell r="R1227" t="e">
            <v>#N/A</v>
          </cell>
        </row>
        <row r="1228">
          <cell r="A1228" t="str">
            <v/>
          </cell>
          <cell r="B1228" t="str">
            <v/>
          </cell>
          <cell r="C1228" t="str">
            <v>Future</v>
          </cell>
          <cell r="D1228" t="e">
            <v>#N/A</v>
          </cell>
          <cell r="E1228">
            <v>-56.842371541502217</v>
          </cell>
          <cell r="F1228">
            <v>54.216916996047956</v>
          </cell>
          <cell r="G1228">
            <v>27.774229249011047</v>
          </cell>
          <cell r="H1228">
            <v>27.774229249011047</v>
          </cell>
          <cell r="I1228" t="e">
            <v>#N/A</v>
          </cell>
          <cell r="J1228" t="e">
            <v>#N/A</v>
          </cell>
          <cell r="K1228">
            <v>42</v>
          </cell>
          <cell r="L1228">
            <v>32</v>
          </cell>
          <cell r="M1228" t="e">
            <v>#N/A</v>
          </cell>
          <cell r="N1228">
            <v>37</v>
          </cell>
          <cell r="O1228" t="e">
            <v>#N/A</v>
          </cell>
          <cell r="P1228" t="str">
            <v/>
          </cell>
          <cell r="Q1228" t="str">
            <v/>
          </cell>
          <cell r="R1228" t="e">
            <v>#N/A</v>
          </cell>
        </row>
        <row r="1229">
          <cell r="A1229" t="str">
            <v/>
          </cell>
          <cell r="B1229" t="str">
            <v/>
          </cell>
          <cell r="C1229" t="str">
            <v>Future</v>
          </cell>
          <cell r="D1229" t="e">
            <v>#N/A</v>
          </cell>
          <cell r="E1229">
            <v>-56.979011857707754</v>
          </cell>
          <cell r="F1229">
            <v>54.246284584980764</v>
          </cell>
          <cell r="G1229">
            <v>27.764071146244248</v>
          </cell>
          <cell r="H1229">
            <v>27.764071146244248</v>
          </cell>
          <cell r="I1229" t="e">
            <v>#N/A</v>
          </cell>
          <cell r="J1229" t="e">
            <v>#N/A</v>
          </cell>
          <cell r="K1229">
            <v>42</v>
          </cell>
          <cell r="L1229">
            <v>32</v>
          </cell>
          <cell r="M1229" t="e">
            <v>#N/A</v>
          </cell>
          <cell r="N1229">
            <v>37</v>
          </cell>
          <cell r="O1229" t="e">
            <v>#N/A</v>
          </cell>
          <cell r="P1229" t="str">
            <v/>
          </cell>
          <cell r="Q1229" t="str">
            <v/>
          </cell>
          <cell r="R1229" t="e">
            <v>#N/A</v>
          </cell>
        </row>
        <row r="1230">
          <cell r="A1230" t="str">
            <v/>
          </cell>
          <cell r="B1230" t="str">
            <v/>
          </cell>
          <cell r="C1230" t="str">
            <v>Future</v>
          </cell>
          <cell r="D1230" t="e">
            <v>#N/A</v>
          </cell>
          <cell r="E1230">
            <v>-57.11565217391329</v>
          </cell>
          <cell r="F1230">
            <v>54.275652173913571</v>
          </cell>
          <cell r="G1230">
            <v>27.75391304347745</v>
          </cell>
          <cell r="H1230">
            <v>27.75391304347745</v>
          </cell>
          <cell r="I1230" t="e">
            <v>#N/A</v>
          </cell>
          <cell r="J1230" t="e">
            <v>#N/A</v>
          </cell>
          <cell r="K1230">
            <v>42</v>
          </cell>
          <cell r="L1230">
            <v>32</v>
          </cell>
          <cell r="M1230" t="e">
            <v>#N/A</v>
          </cell>
          <cell r="N1230">
            <v>37</v>
          </cell>
          <cell r="O1230" t="e">
            <v>#N/A</v>
          </cell>
          <cell r="P1230" t="str">
            <v/>
          </cell>
          <cell r="Q1230" t="str">
            <v/>
          </cell>
          <cell r="R1230" t="e">
            <v>#N/A</v>
          </cell>
        </row>
        <row r="1231">
          <cell r="A1231" t="str">
            <v/>
          </cell>
          <cell r="B1231" t="str">
            <v/>
          </cell>
          <cell r="C1231" t="str">
            <v>Future</v>
          </cell>
          <cell r="D1231" t="e">
            <v>#N/A</v>
          </cell>
          <cell r="E1231">
            <v>-57.252292490118826</v>
          </cell>
          <cell r="F1231">
            <v>54.305019762846378</v>
          </cell>
          <cell r="G1231">
            <v>27.743754940710652</v>
          </cell>
          <cell r="H1231">
            <v>27.743754940710652</v>
          </cell>
          <cell r="I1231" t="e">
            <v>#N/A</v>
          </cell>
          <cell r="J1231" t="e">
            <v>#N/A</v>
          </cell>
          <cell r="K1231">
            <v>42</v>
          </cell>
          <cell r="L1231">
            <v>32</v>
          </cell>
          <cell r="M1231" t="e">
            <v>#N/A</v>
          </cell>
          <cell r="N1231">
            <v>37</v>
          </cell>
          <cell r="O1231" t="e">
            <v>#N/A</v>
          </cell>
          <cell r="P1231" t="str">
            <v/>
          </cell>
          <cell r="Q1231" t="str">
            <v/>
          </cell>
          <cell r="R1231" t="e">
            <v>#N/A</v>
          </cell>
        </row>
        <row r="1232">
          <cell r="A1232" t="str">
            <v/>
          </cell>
          <cell r="B1232" t="str">
            <v/>
          </cell>
          <cell r="C1232" t="str">
            <v>Future</v>
          </cell>
          <cell r="D1232" t="e">
            <v>#N/A</v>
          </cell>
          <cell r="E1232">
            <v>-57.388932806324362</v>
          </cell>
          <cell r="F1232">
            <v>54.334387351779185</v>
          </cell>
          <cell r="G1232">
            <v>27.733596837943853</v>
          </cell>
          <cell r="H1232">
            <v>27.733596837943853</v>
          </cell>
          <cell r="I1232" t="e">
            <v>#N/A</v>
          </cell>
          <cell r="J1232" t="e">
            <v>#N/A</v>
          </cell>
          <cell r="K1232">
            <v>42</v>
          </cell>
          <cell r="L1232">
            <v>32</v>
          </cell>
          <cell r="M1232" t="e">
            <v>#N/A</v>
          </cell>
          <cell r="N1232">
            <v>37</v>
          </cell>
          <cell r="O1232" t="e">
            <v>#N/A</v>
          </cell>
          <cell r="P1232" t="str">
            <v/>
          </cell>
          <cell r="Q1232" t="str">
            <v/>
          </cell>
          <cell r="R1232" t="e">
            <v>#N/A</v>
          </cell>
        </row>
        <row r="1233">
          <cell r="A1233" t="str">
            <v/>
          </cell>
          <cell r="B1233" t="str">
            <v/>
          </cell>
          <cell r="C1233" t="str">
            <v>Future</v>
          </cell>
          <cell r="D1233" t="e">
            <v>#N/A</v>
          </cell>
          <cell r="E1233">
            <v>-57.525573122529899</v>
          </cell>
          <cell r="F1233">
            <v>54.363754940711992</v>
          </cell>
          <cell r="G1233">
            <v>27.723438735177055</v>
          </cell>
          <cell r="H1233">
            <v>27.723438735177055</v>
          </cell>
          <cell r="I1233" t="e">
            <v>#N/A</v>
          </cell>
          <cell r="J1233" t="e">
            <v>#N/A</v>
          </cell>
          <cell r="K1233">
            <v>42</v>
          </cell>
          <cell r="L1233">
            <v>32</v>
          </cell>
          <cell r="M1233" t="e">
            <v>#N/A</v>
          </cell>
          <cell r="N1233">
            <v>37</v>
          </cell>
          <cell r="O1233" t="e">
            <v>#N/A</v>
          </cell>
          <cell r="P1233" t="str">
            <v/>
          </cell>
          <cell r="Q1233" t="str">
            <v/>
          </cell>
          <cell r="R1233" t="e">
            <v>#N/A</v>
          </cell>
        </row>
        <row r="1234">
          <cell r="A1234" t="str">
            <v/>
          </cell>
          <cell r="B1234" t="str">
            <v/>
          </cell>
          <cell r="C1234" t="str">
            <v>Future</v>
          </cell>
          <cell r="D1234" t="e">
            <v>#N/A</v>
          </cell>
          <cell r="E1234">
            <v>-57.662213438735435</v>
          </cell>
          <cell r="F1234">
            <v>54.393122529644799</v>
          </cell>
          <cell r="G1234">
            <v>27.713280632410257</v>
          </cell>
          <cell r="H1234">
            <v>27.713280632410257</v>
          </cell>
          <cell r="I1234" t="e">
            <v>#N/A</v>
          </cell>
          <cell r="J1234" t="e">
            <v>#N/A</v>
          </cell>
          <cell r="K1234">
            <v>42</v>
          </cell>
          <cell r="L1234">
            <v>32</v>
          </cell>
          <cell r="M1234" t="e">
            <v>#N/A</v>
          </cell>
          <cell r="N1234">
            <v>37</v>
          </cell>
          <cell r="O1234" t="e">
            <v>#N/A</v>
          </cell>
          <cell r="P1234" t="str">
            <v/>
          </cell>
          <cell r="Q1234" t="str">
            <v/>
          </cell>
          <cell r="R1234" t="e">
            <v>#N/A</v>
          </cell>
        </row>
        <row r="1235">
          <cell r="A1235" t="str">
            <v/>
          </cell>
          <cell r="B1235" t="str">
            <v/>
          </cell>
          <cell r="C1235" t="str">
            <v>Future</v>
          </cell>
          <cell r="D1235" t="e">
            <v>#N/A</v>
          </cell>
          <cell r="E1235">
            <v>-57.798853754940971</v>
          </cell>
          <cell r="F1235">
            <v>54.422490118577606</v>
          </cell>
          <cell r="G1235">
            <v>27.703122529643458</v>
          </cell>
          <cell r="H1235">
            <v>27.703122529643458</v>
          </cell>
          <cell r="I1235" t="e">
            <v>#N/A</v>
          </cell>
          <cell r="J1235" t="e">
            <v>#N/A</v>
          </cell>
          <cell r="K1235">
            <v>42</v>
          </cell>
          <cell r="L1235">
            <v>32</v>
          </cell>
          <cell r="M1235" t="e">
            <v>#N/A</v>
          </cell>
          <cell r="N1235">
            <v>37</v>
          </cell>
          <cell r="O1235" t="e">
            <v>#N/A</v>
          </cell>
          <cell r="P1235" t="str">
            <v/>
          </cell>
          <cell r="Q1235" t="str">
            <v/>
          </cell>
          <cell r="R1235" t="e">
            <v>#N/A</v>
          </cell>
        </row>
        <row r="1236">
          <cell r="A1236" t="str">
            <v/>
          </cell>
          <cell r="B1236" t="str">
            <v/>
          </cell>
          <cell r="C1236" t="str">
            <v>Future</v>
          </cell>
          <cell r="D1236" t="e">
            <v>#N/A</v>
          </cell>
          <cell r="E1236">
            <v>-57.935494071146508</v>
          </cell>
          <cell r="F1236">
            <v>54.451857707510413</v>
          </cell>
          <cell r="G1236">
            <v>27.69296442687666</v>
          </cell>
          <cell r="H1236">
            <v>27.69296442687666</v>
          </cell>
          <cell r="I1236" t="e">
            <v>#N/A</v>
          </cell>
          <cell r="J1236" t="e">
            <v>#N/A</v>
          </cell>
          <cell r="K1236">
            <v>42</v>
          </cell>
          <cell r="L1236">
            <v>32</v>
          </cell>
          <cell r="M1236" t="e">
            <v>#N/A</v>
          </cell>
          <cell r="N1236">
            <v>37</v>
          </cell>
          <cell r="O1236" t="e">
            <v>#N/A</v>
          </cell>
          <cell r="P1236" t="str">
            <v/>
          </cell>
          <cell r="Q1236" t="str">
            <v/>
          </cell>
          <cell r="R1236" t="e">
            <v>#N/A</v>
          </cell>
        </row>
        <row r="1237">
          <cell r="A1237" t="str">
            <v/>
          </cell>
          <cell r="B1237" t="str">
            <v/>
          </cell>
          <cell r="C1237" t="str">
            <v>Future</v>
          </cell>
          <cell r="D1237" t="e">
            <v>#N/A</v>
          </cell>
          <cell r="E1237">
            <v>-58.072134387352044</v>
          </cell>
          <cell r="F1237">
            <v>54.48122529644322</v>
          </cell>
          <cell r="G1237">
            <v>27.682806324109862</v>
          </cell>
          <cell r="H1237">
            <v>27.682806324109862</v>
          </cell>
          <cell r="I1237" t="e">
            <v>#N/A</v>
          </cell>
          <cell r="J1237" t="e">
            <v>#N/A</v>
          </cell>
          <cell r="K1237">
            <v>42</v>
          </cell>
          <cell r="L1237">
            <v>32</v>
          </cell>
          <cell r="M1237" t="e">
            <v>#N/A</v>
          </cell>
          <cell r="N1237">
            <v>37</v>
          </cell>
          <cell r="O1237" t="e">
            <v>#N/A</v>
          </cell>
          <cell r="P1237" t="str">
            <v/>
          </cell>
          <cell r="Q1237" t="str">
            <v/>
          </cell>
          <cell r="R1237" t="e">
            <v>#N/A</v>
          </cell>
        </row>
        <row r="1238">
          <cell r="A1238" t="str">
            <v/>
          </cell>
          <cell r="B1238" t="str">
            <v/>
          </cell>
          <cell r="C1238" t="str">
            <v>Future</v>
          </cell>
          <cell r="D1238" t="e">
            <v>#N/A</v>
          </cell>
          <cell r="E1238">
            <v>-58.20877470355758</v>
          </cell>
          <cell r="F1238">
            <v>54.510592885376028</v>
          </cell>
          <cell r="G1238">
            <v>27.672648221343064</v>
          </cell>
          <cell r="H1238">
            <v>27.672648221343064</v>
          </cell>
          <cell r="I1238" t="e">
            <v>#N/A</v>
          </cell>
          <cell r="J1238" t="e">
            <v>#N/A</v>
          </cell>
          <cell r="K1238">
            <v>42</v>
          </cell>
          <cell r="L1238">
            <v>32</v>
          </cell>
          <cell r="M1238" t="e">
            <v>#N/A</v>
          </cell>
          <cell r="N1238">
            <v>37</v>
          </cell>
          <cell r="O1238" t="e">
            <v>#N/A</v>
          </cell>
          <cell r="P1238" t="str">
            <v/>
          </cell>
          <cell r="Q1238" t="str">
            <v/>
          </cell>
          <cell r="R1238" t="e">
            <v>#N/A</v>
          </cell>
        </row>
        <row r="1239">
          <cell r="A1239" t="str">
            <v/>
          </cell>
          <cell r="B1239" t="str">
            <v/>
          </cell>
          <cell r="C1239" t="str">
            <v>Future</v>
          </cell>
          <cell r="D1239" t="e">
            <v>#N/A</v>
          </cell>
          <cell r="E1239">
            <v>-58.345415019763117</v>
          </cell>
          <cell r="F1239">
            <v>54.539960474308835</v>
          </cell>
          <cell r="G1239">
            <v>27.662490118576265</v>
          </cell>
          <cell r="H1239">
            <v>27.662490118576265</v>
          </cell>
          <cell r="I1239" t="e">
            <v>#N/A</v>
          </cell>
          <cell r="J1239" t="e">
            <v>#N/A</v>
          </cell>
          <cell r="K1239">
            <v>42</v>
          </cell>
          <cell r="L1239">
            <v>32</v>
          </cell>
          <cell r="M1239" t="e">
            <v>#N/A</v>
          </cell>
          <cell r="N1239">
            <v>37</v>
          </cell>
          <cell r="O1239" t="e">
            <v>#N/A</v>
          </cell>
          <cell r="P1239" t="str">
            <v/>
          </cell>
          <cell r="Q1239" t="str">
            <v/>
          </cell>
          <cell r="R1239" t="e">
            <v>#N/A</v>
          </cell>
        </row>
        <row r="1240">
          <cell r="A1240" t="str">
            <v/>
          </cell>
          <cell r="B1240" t="str">
            <v/>
          </cell>
          <cell r="C1240" t="str">
            <v>Future</v>
          </cell>
          <cell r="D1240" t="e">
            <v>#N/A</v>
          </cell>
          <cell r="E1240">
            <v>-58.482055335968653</v>
          </cell>
          <cell r="F1240">
            <v>54.569328063241642</v>
          </cell>
          <cell r="G1240">
            <v>27.652332015809467</v>
          </cell>
          <cell r="H1240">
            <v>27.652332015809467</v>
          </cell>
          <cell r="I1240" t="e">
            <v>#N/A</v>
          </cell>
          <cell r="J1240" t="e">
            <v>#N/A</v>
          </cell>
          <cell r="K1240">
            <v>42</v>
          </cell>
          <cell r="L1240">
            <v>32</v>
          </cell>
          <cell r="M1240" t="e">
            <v>#N/A</v>
          </cell>
          <cell r="N1240">
            <v>37</v>
          </cell>
          <cell r="O1240" t="e">
            <v>#N/A</v>
          </cell>
          <cell r="P1240" t="str">
            <v/>
          </cell>
          <cell r="Q1240" t="str">
            <v/>
          </cell>
          <cell r="R1240" t="e">
            <v>#N/A</v>
          </cell>
        </row>
        <row r="1241">
          <cell r="A1241" t="str">
            <v/>
          </cell>
          <cell r="B1241" t="str">
            <v/>
          </cell>
          <cell r="C1241" t="str">
            <v>Future</v>
          </cell>
          <cell r="D1241" t="e">
            <v>#N/A</v>
          </cell>
          <cell r="E1241">
            <v>-58.618695652174189</v>
          </cell>
          <cell r="F1241">
            <v>54.598695652174449</v>
          </cell>
          <cell r="G1241">
            <v>27.642173913042669</v>
          </cell>
          <cell r="H1241">
            <v>27.642173913042669</v>
          </cell>
          <cell r="I1241" t="e">
            <v>#N/A</v>
          </cell>
          <cell r="J1241" t="e">
            <v>#N/A</v>
          </cell>
          <cell r="K1241">
            <v>42</v>
          </cell>
          <cell r="L1241">
            <v>32</v>
          </cell>
          <cell r="M1241" t="e">
            <v>#N/A</v>
          </cell>
          <cell r="N1241">
            <v>37</v>
          </cell>
          <cell r="O1241" t="e">
            <v>#N/A</v>
          </cell>
          <cell r="P1241" t="str">
            <v/>
          </cell>
          <cell r="Q1241" t="str">
            <v/>
          </cell>
          <cell r="R1241" t="e">
            <v>#N/A</v>
          </cell>
        </row>
        <row r="1242">
          <cell r="A1242" t="str">
            <v/>
          </cell>
          <cell r="B1242" t="str">
            <v/>
          </cell>
          <cell r="C1242" t="str">
            <v>Future</v>
          </cell>
          <cell r="D1242" t="e">
            <v>#N/A</v>
          </cell>
          <cell r="E1242">
            <v>-58.755335968379725</v>
          </cell>
          <cell r="F1242">
            <v>54.628063241107256</v>
          </cell>
          <cell r="G1242">
            <v>27.63201581027587</v>
          </cell>
          <cell r="H1242">
            <v>27.63201581027587</v>
          </cell>
          <cell r="I1242" t="e">
            <v>#N/A</v>
          </cell>
          <cell r="J1242" t="e">
            <v>#N/A</v>
          </cell>
          <cell r="K1242">
            <v>42</v>
          </cell>
          <cell r="L1242">
            <v>32</v>
          </cell>
          <cell r="M1242" t="e">
            <v>#N/A</v>
          </cell>
          <cell r="N1242">
            <v>37</v>
          </cell>
          <cell r="O1242" t="e">
            <v>#N/A</v>
          </cell>
          <cell r="P1242" t="str">
            <v/>
          </cell>
          <cell r="Q1242" t="str">
            <v/>
          </cell>
          <cell r="R1242" t="e">
            <v>#N/A</v>
          </cell>
        </row>
        <row r="1243">
          <cell r="A1243" t="str">
            <v/>
          </cell>
          <cell r="B1243" t="str">
            <v/>
          </cell>
          <cell r="C1243" t="str">
            <v>Future</v>
          </cell>
          <cell r="D1243" t="e">
            <v>#N/A</v>
          </cell>
          <cell r="E1243">
            <v>-58.891976284585262</v>
          </cell>
          <cell r="F1243">
            <v>54.657430830040063</v>
          </cell>
          <cell r="G1243">
            <v>27.621857707509072</v>
          </cell>
          <cell r="H1243">
            <v>27.621857707509072</v>
          </cell>
          <cell r="I1243" t="e">
            <v>#N/A</v>
          </cell>
          <cell r="J1243" t="e">
            <v>#N/A</v>
          </cell>
          <cell r="K1243">
            <v>42</v>
          </cell>
          <cell r="L1243">
            <v>32</v>
          </cell>
          <cell r="M1243" t="e">
            <v>#N/A</v>
          </cell>
          <cell r="N1243">
            <v>37</v>
          </cell>
          <cell r="O1243" t="e">
            <v>#N/A</v>
          </cell>
          <cell r="P1243" t="str">
            <v/>
          </cell>
          <cell r="Q1243" t="str">
            <v/>
          </cell>
          <cell r="R1243" t="e">
            <v>#N/A</v>
          </cell>
        </row>
        <row r="1244">
          <cell r="A1244" t="str">
            <v/>
          </cell>
          <cell r="B1244" t="str">
            <v/>
          </cell>
          <cell r="C1244" t="str">
            <v>Future</v>
          </cell>
          <cell r="D1244" t="e">
            <v>#N/A</v>
          </cell>
          <cell r="E1244">
            <v>-59.028616600790798</v>
          </cell>
          <cell r="F1244">
            <v>54.68679841897287</v>
          </cell>
          <cell r="G1244">
            <v>27.611699604742274</v>
          </cell>
          <cell r="H1244">
            <v>27.611699604742274</v>
          </cell>
          <cell r="I1244" t="e">
            <v>#N/A</v>
          </cell>
          <cell r="J1244" t="e">
            <v>#N/A</v>
          </cell>
          <cell r="K1244">
            <v>42</v>
          </cell>
          <cell r="L1244">
            <v>32</v>
          </cell>
          <cell r="M1244" t="e">
            <v>#N/A</v>
          </cell>
          <cell r="N1244">
            <v>37</v>
          </cell>
          <cell r="O1244" t="e">
            <v>#N/A</v>
          </cell>
          <cell r="P1244" t="str">
            <v/>
          </cell>
          <cell r="Q1244" t="str">
            <v/>
          </cell>
          <cell r="R1244" t="e">
            <v>#N/A</v>
          </cell>
        </row>
        <row r="1245">
          <cell r="A1245" t="str">
            <v/>
          </cell>
          <cell r="B1245" t="str">
            <v/>
          </cell>
          <cell r="C1245" t="str">
            <v>Future</v>
          </cell>
          <cell r="D1245" t="e">
            <v>#N/A</v>
          </cell>
          <cell r="E1245">
            <v>-59.165256916996334</v>
          </cell>
          <cell r="F1245">
            <v>54.716166007905677</v>
          </cell>
          <cell r="G1245">
            <v>27.601541501975476</v>
          </cell>
          <cell r="H1245">
            <v>27.601541501975476</v>
          </cell>
          <cell r="I1245" t="e">
            <v>#N/A</v>
          </cell>
          <cell r="J1245" t="e">
            <v>#N/A</v>
          </cell>
          <cell r="K1245">
            <v>42</v>
          </cell>
          <cell r="L1245">
            <v>32</v>
          </cell>
          <cell r="M1245" t="e">
            <v>#N/A</v>
          </cell>
          <cell r="N1245">
            <v>37</v>
          </cell>
          <cell r="O1245" t="e">
            <v>#N/A</v>
          </cell>
          <cell r="P1245" t="str">
            <v/>
          </cell>
          <cell r="Q1245" t="str">
            <v/>
          </cell>
          <cell r="R1245" t="e">
            <v>#N/A</v>
          </cell>
        </row>
        <row r="1246">
          <cell r="A1246" t="str">
            <v/>
          </cell>
          <cell r="B1246" t="str">
            <v/>
          </cell>
          <cell r="C1246" t="str">
            <v>Future</v>
          </cell>
          <cell r="D1246" t="e">
            <v>#N/A</v>
          </cell>
          <cell r="E1246">
            <v>-59.301897233201871</v>
          </cell>
          <cell r="F1246">
            <v>54.745533596838484</v>
          </cell>
          <cell r="G1246">
            <v>27.591383399208677</v>
          </cell>
          <cell r="H1246">
            <v>27.591383399208677</v>
          </cell>
          <cell r="I1246" t="e">
            <v>#N/A</v>
          </cell>
          <cell r="J1246" t="e">
            <v>#N/A</v>
          </cell>
          <cell r="K1246">
            <v>42</v>
          </cell>
          <cell r="L1246">
            <v>32</v>
          </cell>
          <cell r="M1246" t="e">
            <v>#N/A</v>
          </cell>
          <cell r="N1246">
            <v>37</v>
          </cell>
          <cell r="O1246" t="e">
            <v>#N/A</v>
          </cell>
          <cell r="P1246" t="str">
            <v/>
          </cell>
          <cell r="Q1246" t="str">
            <v/>
          </cell>
          <cell r="R1246" t="e">
            <v>#N/A</v>
          </cell>
        </row>
        <row r="1247">
          <cell r="A1247" t="str">
            <v/>
          </cell>
          <cell r="B1247" t="str">
            <v/>
          </cell>
          <cell r="C1247" t="str">
            <v>Future</v>
          </cell>
          <cell r="D1247" t="e">
            <v>#N/A</v>
          </cell>
          <cell r="E1247">
            <v>-59.438537549407407</v>
          </cell>
          <cell r="F1247">
            <v>54.774901185771292</v>
          </cell>
          <cell r="G1247">
            <v>27.581225296441879</v>
          </cell>
          <cell r="H1247">
            <v>27.581225296441879</v>
          </cell>
          <cell r="I1247" t="e">
            <v>#N/A</v>
          </cell>
          <cell r="J1247" t="e">
            <v>#N/A</v>
          </cell>
          <cell r="K1247">
            <v>42</v>
          </cell>
          <cell r="L1247">
            <v>32</v>
          </cell>
          <cell r="M1247" t="e">
            <v>#N/A</v>
          </cell>
          <cell r="N1247">
            <v>37</v>
          </cell>
          <cell r="O1247" t="e">
            <v>#N/A</v>
          </cell>
          <cell r="P1247" t="str">
            <v/>
          </cell>
          <cell r="Q1247" t="str">
            <v/>
          </cell>
          <cell r="R1247" t="e">
            <v>#N/A</v>
          </cell>
        </row>
        <row r="1248">
          <cell r="A1248" t="str">
            <v/>
          </cell>
          <cell r="B1248" t="str">
            <v/>
          </cell>
          <cell r="C1248" t="str">
            <v>Future</v>
          </cell>
          <cell r="D1248" t="e">
            <v>#N/A</v>
          </cell>
          <cell r="E1248">
            <v>-59.575177865612943</v>
          </cell>
          <cell r="F1248">
            <v>54.804268774704099</v>
          </cell>
          <cell r="G1248">
            <v>27.571067193675081</v>
          </cell>
          <cell r="H1248">
            <v>27.571067193675081</v>
          </cell>
          <cell r="I1248" t="e">
            <v>#N/A</v>
          </cell>
          <cell r="J1248" t="e">
            <v>#N/A</v>
          </cell>
          <cell r="K1248">
            <v>42</v>
          </cell>
          <cell r="L1248">
            <v>32</v>
          </cell>
          <cell r="M1248" t="e">
            <v>#N/A</v>
          </cell>
          <cell r="N1248">
            <v>37</v>
          </cell>
          <cell r="O1248" t="e">
            <v>#N/A</v>
          </cell>
          <cell r="P1248" t="str">
            <v/>
          </cell>
          <cell r="Q1248" t="str">
            <v/>
          </cell>
          <cell r="R1248" t="e">
            <v>#N/A</v>
          </cell>
        </row>
        <row r="1249">
          <cell r="A1249" t="str">
            <v/>
          </cell>
          <cell r="B1249" t="str">
            <v/>
          </cell>
          <cell r="C1249" t="str">
            <v>Future</v>
          </cell>
          <cell r="D1249" t="e">
            <v>#N/A</v>
          </cell>
          <cell r="E1249">
            <v>-59.711818181818479</v>
          </cell>
          <cell r="F1249">
            <v>54.833636363636906</v>
          </cell>
          <cell r="G1249">
            <v>27.560909090908282</v>
          </cell>
          <cell r="H1249">
            <v>27.560909090908282</v>
          </cell>
          <cell r="I1249" t="e">
            <v>#N/A</v>
          </cell>
          <cell r="J1249" t="e">
            <v>#N/A</v>
          </cell>
          <cell r="K1249">
            <v>42</v>
          </cell>
          <cell r="L1249">
            <v>32</v>
          </cell>
          <cell r="M1249" t="e">
            <v>#N/A</v>
          </cell>
          <cell r="N1249">
            <v>37</v>
          </cell>
          <cell r="O1249" t="e">
            <v>#N/A</v>
          </cell>
          <cell r="P1249" t="str">
            <v/>
          </cell>
          <cell r="Q1249" t="str">
            <v/>
          </cell>
          <cell r="R1249" t="e">
            <v>#N/A</v>
          </cell>
        </row>
        <row r="1250">
          <cell r="A1250" t="str">
            <v/>
          </cell>
          <cell r="B1250" t="str">
            <v/>
          </cell>
          <cell r="C1250" t="str">
            <v>Future</v>
          </cell>
          <cell r="D1250" t="e">
            <v>#N/A</v>
          </cell>
          <cell r="E1250">
            <v>-59.848458498024016</v>
          </cell>
          <cell r="F1250">
            <v>54.863003952569713</v>
          </cell>
          <cell r="G1250">
            <v>27.550750988141484</v>
          </cell>
          <cell r="H1250">
            <v>27.550750988141484</v>
          </cell>
          <cell r="I1250" t="e">
            <v>#N/A</v>
          </cell>
          <cell r="J1250" t="e">
            <v>#N/A</v>
          </cell>
          <cell r="K1250">
            <v>42</v>
          </cell>
          <cell r="L1250">
            <v>32</v>
          </cell>
          <cell r="M1250" t="e">
            <v>#N/A</v>
          </cell>
          <cell r="N1250">
            <v>37</v>
          </cell>
          <cell r="O1250" t="e">
            <v>#N/A</v>
          </cell>
          <cell r="P1250" t="str">
            <v/>
          </cell>
          <cell r="Q1250" t="str">
            <v/>
          </cell>
          <cell r="R1250" t="e">
            <v>#N/A</v>
          </cell>
        </row>
        <row r="1251">
          <cell r="A1251" t="str">
            <v/>
          </cell>
          <cell r="B1251" t="str">
            <v/>
          </cell>
          <cell r="C1251" t="str">
            <v>Future</v>
          </cell>
          <cell r="D1251" t="e">
            <v>#N/A</v>
          </cell>
          <cell r="E1251">
            <v>-59.985098814229552</v>
          </cell>
          <cell r="F1251">
            <v>54.89237154150252</v>
          </cell>
          <cell r="G1251">
            <v>27.540592885374686</v>
          </cell>
          <cell r="H1251">
            <v>27.540592885374686</v>
          </cell>
          <cell r="I1251" t="e">
            <v>#N/A</v>
          </cell>
          <cell r="J1251" t="e">
            <v>#N/A</v>
          </cell>
          <cell r="K1251">
            <v>42</v>
          </cell>
          <cell r="L1251">
            <v>32</v>
          </cell>
          <cell r="M1251" t="e">
            <v>#N/A</v>
          </cell>
          <cell r="N1251">
            <v>37</v>
          </cell>
          <cell r="O1251" t="e">
            <v>#N/A</v>
          </cell>
          <cell r="P1251" t="str">
            <v/>
          </cell>
          <cell r="Q1251" t="str">
            <v/>
          </cell>
          <cell r="R1251" t="e">
            <v>#N/A</v>
          </cell>
        </row>
        <row r="1252">
          <cell r="A1252" t="str">
            <v/>
          </cell>
          <cell r="B1252" t="str">
            <v/>
          </cell>
          <cell r="C1252" t="str">
            <v>Future</v>
          </cell>
          <cell r="D1252" t="e">
            <v>#N/A</v>
          </cell>
          <cell r="E1252">
            <v>-60.121739130435088</v>
          </cell>
          <cell r="F1252">
            <v>54.921739130435327</v>
          </cell>
          <cell r="G1252">
            <v>27.530434782607887</v>
          </cell>
          <cell r="H1252">
            <v>27.530434782607887</v>
          </cell>
          <cell r="I1252" t="e">
            <v>#N/A</v>
          </cell>
          <cell r="J1252" t="e">
            <v>#N/A</v>
          </cell>
          <cell r="K1252">
            <v>42</v>
          </cell>
          <cell r="L1252">
            <v>32</v>
          </cell>
          <cell r="M1252" t="e">
            <v>#N/A</v>
          </cell>
          <cell r="N1252">
            <v>37</v>
          </cell>
          <cell r="O1252" t="e">
            <v>#N/A</v>
          </cell>
          <cell r="P1252" t="str">
            <v/>
          </cell>
          <cell r="Q1252" t="str">
            <v/>
          </cell>
          <cell r="R1252" t="e">
            <v>#N/A</v>
          </cell>
        </row>
        <row r="1253">
          <cell r="A1253" t="str">
            <v/>
          </cell>
          <cell r="P1253" t="str">
            <v/>
          </cell>
          <cell r="Q1253" t="str">
            <v/>
          </cell>
        </row>
      </sheetData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/>
      <sheetData sheetId="44"/>
      <sheetData sheetId="45"/>
      <sheetData sheetId="46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mwareTaxoPres"/>
      <sheetName val="LOG"/>
      <sheetName val="MS Est vs. Rpt"/>
      <sheetName val="Changes to the Model"/>
      <sheetName val="Quarterly"/>
      <sheetName val="mwareValPrintout"/>
      <sheetName val="Annual"/>
      <sheetName val="Balance Sheet "/>
      <sheetName val="Cashflow"/>
      <sheetName val="Avastin"/>
      <sheetName val="Herceptin"/>
      <sheetName val="Rituxan"/>
      <sheetName val="Raptiva"/>
      <sheetName val="Xolair"/>
      <sheetName val="Avastin-Patient Ramp"/>
      <sheetName val="DCF Valuation"/>
      <sheetName val="Model_Template"/>
      <sheetName val="Clinical data"/>
      <sheetName val="Sheet1"/>
      <sheetName val="Sheet1 (2)"/>
      <sheetName val="Marketing"/>
      <sheetName val="mwareDates"/>
      <sheetName val="MWare_Cached"/>
      <sheetName val="Manufacturing"/>
      <sheetName val="NY UPLOAD shadow"/>
      <sheetName val="mwareSettings"/>
      <sheetName val="mStartup"/>
      <sheetName val="MainCode"/>
      <sheetName val="Figures"/>
      <sheetName val="MS Est. Vs Actual"/>
      <sheetName val="ProcritAranesp"/>
      <sheetName val="Changes to Model"/>
    </sheetNames>
    <sheetDataSet>
      <sheetData sheetId="0" refreshError="1"/>
      <sheetData sheetId="1" refreshError="1"/>
      <sheetData sheetId="2" refreshError="1"/>
      <sheetData sheetId="3" refreshError="1">
        <row r="2">
          <cell r="B2" t="str">
            <v>Earnings Snapshot</v>
          </cell>
        </row>
        <row r="3">
          <cell r="C3" t="str">
            <v>1Q05</v>
          </cell>
          <cell r="D3" t="str">
            <v>1Q06</v>
          </cell>
          <cell r="E3" t="str">
            <v>1Q06</v>
          </cell>
          <cell r="F3" t="str">
            <v>% Var.</v>
          </cell>
          <cell r="G3" t="str">
            <v>Y/Y</v>
          </cell>
        </row>
        <row r="4">
          <cell r="C4" t="str">
            <v>Actual</v>
          </cell>
          <cell r="D4" t="str">
            <v>MS Est</v>
          </cell>
          <cell r="E4" t="str">
            <v>Actual</v>
          </cell>
          <cell r="F4" t="str">
            <v>from est.</v>
          </cell>
          <cell r="G4" t="str">
            <v>% chg</v>
          </cell>
          <cell r="H4" t="str">
            <v>Comments</v>
          </cell>
        </row>
        <row r="5">
          <cell r="B5" t="str">
            <v>Revenues:</v>
          </cell>
        </row>
        <row r="6">
          <cell r="B6" t="str">
            <v>Rituxan US</v>
          </cell>
          <cell r="C6">
            <v>440.55</v>
          </cell>
          <cell r="D6">
            <v>505</v>
          </cell>
          <cell r="E6">
            <v>477</v>
          </cell>
          <cell r="F6">
            <v>-5.5445544554455495E-2</v>
          </cell>
          <cell r="G6">
            <v>0.14629440472137101</v>
          </cell>
          <cell r="H6" t="str">
            <v>Rituxan sales meaningfully weaker than indicated by IMS sales trends.</v>
          </cell>
        </row>
        <row r="7">
          <cell r="B7" t="str">
            <v>Avastin US</v>
          </cell>
          <cell r="C7">
            <v>202.85499999999999</v>
          </cell>
          <cell r="D7">
            <v>405</v>
          </cell>
          <cell r="E7">
            <v>398</v>
          </cell>
          <cell r="F7">
            <v>-1.7283950617283939E-2</v>
          </cell>
          <cell r="G7">
            <v>0.99649996302777866</v>
          </cell>
          <cell r="H7" t="str">
            <v xml:space="preserve">US sales were $10M short of our estimate after adjusting for $3M add back for destroyed shipment. </v>
          </cell>
        </row>
        <row r="8">
          <cell r="B8" t="str">
            <v>Herceptin US</v>
          </cell>
          <cell r="C8">
            <v>129.63</v>
          </cell>
          <cell r="D8">
            <v>273</v>
          </cell>
          <cell r="E8">
            <v>290</v>
          </cell>
          <cell r="F8">
            <v>6.2271062271062272E-2</v>
          </cell>
          <cell r="G8">
            <v>1.1059939828743346</v>
          </cell>
          <cell r="H8" t="str">
            <v>Herceptin strength in line with IMS sales data ($2M added back for destroyed shipment).</v>
          </cell>
        </row>
        <row r="9">
          <cell r="B9" t="str">
            <v>Xolair</v>
          </cell>
          <cell r="C9">
            <v>68.597000000000008</v>
          </cell>
          <cell r="D9">
            <v>98</v>
          </cell>
          <cell r="E9">
            <v>95</v>
          </cell>
          <cell r="F9">
            <v>-3.0612244897959218E-2</v>
          </cell>
          <cell r="G9">
            <v>0.42863390527282519</v>
          </cell>
        </row>
        <row r="10">
          <cell r="B10" t="str">
            <v>Tarceva - US</v>
          </cell>
          <cell r="C10">
            <v>47.585000000000001</v>
          </cell>
          <cell r="D10">
            <v>97</v>
          </cell>
          <cell r="E10">
            <v>93</v>
          </cell>
          <cell r="F10">
            <v>-4.123711340206182E-2</v>
          </cell>
          <cell r="G10" t="str">
            <v>NM</v>
          </cell>
          <cell r="H10" t="str">
            <v>US Tarceva sales below expectations based on IMS prescription trends and the November price increase.</v>
          </cell>
        </row>
        <row r="11">
          <cell r="B11" t="str">
            <v>Raptiva</v>
          </cell>
          <cell r="C11">
            <v>24.114999999999998</v>
          </cell>
          <cell r="D11">
            <v>22</v>
          </cell>
          <cell r="E11">
            <v>21</v>
          </cell>
          <cell r="F11">
            <v>-4.5454545454545414E-2</v>
          </cell>
          <cell r="G11">
            <v>-8.7704748082106487E-2</v>
          </cell>
        </row>
        <row r="12">
          <cell r="B12" t="str">
            <v>Growth Hormone Products</v>
          </cell>
          <cell r="C12">
            <v>92.087999999999994</v>
          </cell>
          <cell r="D12">
            <v>94</v>
          </cell>
          <cell r="E12">
            <v>87</v>
          </cell>
          <cell r="F12">
            <v>-7.4468085106383031E-2</v>
          </cell>
          <cell r="G12">
            <v>2.0762748675180243E-2</v>
          </cell>
        </row>
        <row r="13">
          <cell r="B13" t="str">
            <v>Thrombolytics</v>
          </cell>
          <cell r="C13">
            <v>53.57</v>
          </cell>
          <cell r="D13">
            <v>59</v>
          </cell>
          <cell r="E13">
            <v>59</v>
          </cell>
          <cell r="F13">
            <v>0</v>
          </cell>
          <cell r="G13">
            <v>0.10136270300541339</v>
          </cell>
        </row>
        <row r="14">
          <cell r="B14" t="str">
            <v>Pulmozyme</v>
          </cell>
          <cell r="C14">
            <v>51.745999999999995</v>
          </cell>
          <cell r="D14">
            <v>51</v>
          </cell>
          <cell r="E14">
            <v>49</v>
          </cell>
          <cell r="F14">
            <v>-3.9215686274509776E-2</v>
          </cell>
          <cell r="G14">
            <v>-1.4416573261701315E-2</v>
          </cell>
        </row>
        <row r="15">
          <cell r="B15" t="str">
            <v>Royalties, Contracts and Other</v>
          </cell>
          <cell r="C15">
            <v>275.60000000000002</v>
          </cell>
          <cell r="D15">
            <v>316.2</v>
          </cell>
          <cell r="E15">
            <v>342</v>
          </cell>
          <cell r="F15">
            <v>8.1593927893738094E-2</v>
          </cell>
          <cell r="G15">
            <v>0.1473149492017416</v>
          </cell>
        </row>
        <row r="16">
          <cell r="B16" t="str">
            <v>Total Revenues</v>
          </cell>
          <cell r="C16">
            <v>1461.6020000000003</v>
          </cell>
          <cell r="D16">
            <v>2013.12</v>
          </cell>
          <cell r="E16">
            <v>1986</v>
          </cell>
          <cell r="F16">
            <v>-1.3471626132570247E-2</v>
          </cell>
          <cell r="G16">
            <v>0.37733801677884915</v>
          </cell>
        </row>
        <row r="17">
          <cell r="B17" t="str">
            <v>Operating Expenses:</v>
          </cell>
        </row>
        <row r="18">
          <cell r="B18" t="str">
            <v>Cost of Sales</v>
          </cell>
          <cell r="C18">
            <v>251.041</v>
          </cell>
          <cell r="D18">
            <v>268.11336</v>
          </cell>
          <cell r="E18">
            <v>262</v>
          </cell>
          <cell r="F18">
            <v>-2.28014001241863E-2</v>
          </cell>
          <cell r="G18">
            <v>6.8006261925342981E-2</v>
          </cell>
        </row>
        <row r="19">
          <cell r="B19" t="str">
            <v>R&amp;D</v>
          </cell>
          <cell r="C19">
            <v>243.24</v>
          </cell>
          <cell r="D19">
            <v>367.39440000000002</v>
          </cell>
          <cell r="E19">
            <v>341</v>
          </cell>
          <cell r="F19">
            <v>-7.1842140217706185E-2</v>
          </cell>
          <cell r="G19">
            <v>0.51041933892451907</v>
          </cell>
        </row>
        <row r="20">
          <cell r="B20" t="str">
            <v>SG&amp;A</v>
          </cell>
          <cell r="C20">
            <v>315.214</v>
          </cell>
          <cell r="D20">
            <v>417.72239999999999</v>
          </cell>
          <cell r="E20">
            <v>400</v>
          </cell>
          <cell r="F20">
            <v>-4.2426262034307882E-2</v>
          </cell>
          <cell r="G20">
            <v>0.32520256079996446</v>
          </cell>
        </row>
        <row r="21">
          <cell r="B21" t="str">
            <v>Collaborative Profit Split</v>
          </cell>
          <cell r="C21">
            <v>176.27699999999999</v>
          </cell>
          <cell r="D21">
            <v>240</v>
          </cell>
          <cell r="E21">
            <v>226</v>
          </cell>
          <cell r="F21">
            <v>-5.8333333333333348E-2</v>
          </cell>
          <cell r="G21">
            <v>0.36149355843360187</v>
          </cell>
        </row>
        <row r="22">
          <cell r="B22" t="str">
            <v>Total Op.Expenses</v>
          </cell>
          <cell r="C22">
            <v>985.77199999999993</v>
          </cell>
          <cell r="D22">
            <v>1293.2301600000001</v>
          </cell>
          <cell r="E22">
            <v>1229</v>
          </cell>
          <cell r="F22">
            <v>-4.9666456897355382E-2</v>
          </cell>
          <cell r="G22">
            <v>0.31189581363641916</v>
          </cell>
        </row>
        <row r="23">
          <cell r="B23" t="str">
            <v>Operating Income (Loss)</v>
          </cell>
          <cell r="C23">
            <v>475.83000000000027</v>
          </cell>
          <cell r="D23">
            <v>719.88984000000005</v>
          </cell>
          <cell r="E23">
            <v>757</v>
          </cell>
          <cell r="F23">
            <v>5.154977600461752E-2</v>
          </cell>
          <cell r="G23">
            <v>0.51291393985246758</v>
          </cell>
        </row>
        <row r="24">
          <cell r="B24" t="str">
            <v xml:space="preserve">   Net Other Income</v>
          </cell>
          <cell r="C24">
            <v>16.396000000000001</v>
          </cell>
          <cell r="D24">
            <v>16</v>
          </cell>
          <cell r="E24">
            <v>34</v>
          </cell>
          <cell r="F24">
            <v>1.125</v>
          </cell>
          <cell r="G24">
            <v>-2.4152232251768768E-2</v>
          </cell>
        </row>
        <row r="25">
          <cell r="B25" t="str">
            <v xml:space="preserve">   Tax Expense</v>
          </cell>
          <cell r="C25">
            <v>180.58500000000001</v>
          </cell>
          <cell r="D25">
            <v>272.27924080000003</v>
          </cell>
          <cell r="E25">
            <v>300</v>
          </cell>
          <cell r="F25">
            <v>0.10181003560371304</v>
          </cell>
          <cell r="G25">
            <v>0.50776222166846652</v>
          </cell>
        </row>
        <row r="26">
          <cell r="B26" t="str">
            <v>Net Income (Loss)</v>
          </cell>
          <cell r="C26">
            <v>311.6410000000003</v>
          </cell>
          <cell r="D26">
            <v>463.61059920000002</v>
          </cell>
          <cell r="E26">
            <v>491</v>
          </cell>
          <cell r="F26">
            <v>5.9078461207018762E-2</v>
          </cell>
          <cell r="G26">
            <v>0.48764315093328414</v>
          </cell>
        </row>
        <row r="27">
          <cell r="B27" t="str">
            <v>EPS, Diluted</v>
          </cell>
          <cell r="C27">
            <v>0.29205273126155645</v>
          </cell>
          <cell r="D27">
            <v>0.42985344635725764</v>
          </cell>
          <cell r="E27">
            <v>0.45674418604651162</v>
          </cell>
          <cell r="F27">
            <v>6.2557925072222575E-2</v>
          </cell>
          <cell r="G27">
            <v>0.47183505013103155</v>
          </cell>
        </row>
        <row r="28">
          <cell r="B28" t="str">
            <v>Consensus EPS</v>
          </cell>
          <cell r="D28">
            <v>0.41</v>
          </cell>
        </row>
        <row r="29">
          <cell r="B29" t="str">
            <v xml:space="preserve">Diluted Shares Outstanding </v>
          </cell>
          <cell r="C29">
            <v>1067.0709999999999</v>
          </cell>
          <cell r="D29">
            <v>1078.531772</v>
          </cell>
          <cell r="E29">
            <v>1075</v>
          </cell>
          <cell r="F29">
            <v>-3.2746109958826652E-3</v>
          </cell>
          <cell r="G29">
            <v>1.0740402466190346E-2</v>
          </cell>
        </row>
      </sheetData>
      <sheetData sheetId="4" refreshError="1">
        <row r="2">
          <cell r="B2" t="str">
            <v>Changes To Model</v>
          </cell>
        </row>
        <row r="3">
          <cell r="C3">
            <v>2003</v>
          </cell>
          <cell r="E3">
            <v>2004</v>
          </cell>
          <cell r="G3">
            <v>2005</v>
          </cell>
          <cell r="I3">
            <v>2006</v>
          </cell>
          <cell r="K3">
            <v>2007</v>
          </cell>
          <cell r="M3">
            <v>2008</v>
          </cell>
          <cell r="O3">
            <v>2009</v>
          </cell>
          <cell r="Q3">
            <v>2010</v>
          </cell>
          <cell r="R3" t="str">
            <v>Comments</v>
          </cell>
        </row>
        <row r="4">
          <cell r="B4" t="str">
            <v>Avastin US Sales</v>
          </cell>
          <cell r="R4" t="str">
            <v>Lowered near term (2006-09) estimates based on current usage trends.  Long term, sales projections become more dependent upon additional indications.</v>
          </cell>
        </row>
        <row r="5">
          <cell r="B5" t="str">
            <v xml:space="preserve">   Current</v>
          </cell>
          <cell r="C5">
            <v>0</v>
          </cell>
          <cell r="E5">
            <v>552.34</v>
          </cell>
          <cell r="G5">
            <v>1132.721</v>
          </cell>
          <cell r="I5">
            <v>1876</v>
          </cell>
          <cell r="K5">
            <v>2817.9611602894643</v>
          </cell>
          <cell r="M5">
            <v>3802.1294573955038</v>
          </cell>
          <cell r="O5">
            <v>4624.6783247655285</v>
          </cell>
          <cell r="Q5">
            <v>5307.1770570587933</v>
          </cell>
        </row>
        <row r="6">
          <cell r="B6" t="str">
            <v xml:space="preserve">   Prior</v>
          </cell>
          <cell r="C6">
            <v>0</v>
          </cell>
          <cell r="E6">
            <v>545.5</v>
          </cell>
          <cell r="G6">
            <v>1132.721</v>
          </cell>
          <cell r="I6">
            <v>1991</v>
          </cell>
          <cell r="K6">
            <v>3237.062488981529</v>
          </cell>
          <cell r="M6">
            <v>4383.5907709546664</v>
          </cell>
          <cell r="O6">
            <v>4968.255300105604</v>
          </cell>
          <cell r="Q6">
            <v>5357.3388751605999</v>
          </cell>
        </row>
        <row r="7">
          <cell r="B7" t="str">
            <v>Rituxan US Sales</v>
          </cell>
        </row>
        <row r="8">
          <cell r="B8" t="str">
            <v xml:space="preserve">   Current</v>
          </cell>
          <cell r="C8">
            <v>1360.2</v>
          </cell>
          <cell r="E8">
            <v>1574</v>
          </cell>
          <cell r="G8">
            <v>1831.481</v>
          </cell>
          <cell r="I8">
            <v>2097</v>
          </cell>
          <cell r="K8">
            <v>2430.2807564833265</v>
          </cell>
          <cell r="M8">
            <v>2695.0166005063993</v>
          </cell>
          <cell r="O8">
            <v>2950.119381396431</v>
          </cell>
          <cell r="Q8">
            <v>3220</v>
          </cell>
        </row>
        <row r="9">
          <cell r="B9" t="str">
            <v xml:space="preserve">   Prior</v>
          </cell>
          <cell r="C9">
            <v>1360.2</v>
          </cell>
          <cell r="E9">
            <v>1574</v>
          </cell>
          <cell r="G9">
            <v>1831.481</v>
          </cell>
          <cell r="I9">
            <v>2160</v>
          </cell>
          <cell r="K9">
            <v>2437.3514265485192</v>
          </cell>
          <cell r="M9">
            <v>2692.5171673115556</v>
          </cell>
          <cell r="O9">
            <v>2933.0759826633407</v>
          </cell>
          <cell r="Q9">
            <v>3195</v>
          </cell>
        </row>
        <row r="10">
          <cell r="B10" t="str">
            <v>Herceptin US Sales</v>
          </cell>
        </row>
        <row r="11">
          <cell r="B11" t="str">
            <v xml:space="preserve">   Current</v>
          </cell>
          <cell r="C11">
            <v>424.8</v>
          </cell>
          <cell r="E11">
            <v>482.27499999999998</v>
          </cell>
          <cell r="G11">
            <v>747.24699999999996</v>
          </cell>
          <cell r="I11">
            <v>1375</v>
          </cell>
          <cell r="K11">
            <v>1566.9607618585742</v>
          </cell>
          <cell r="M11">
            <v>1676.8953104490511</v>
          </cell>
          <cell r="O11">
            <v>1772.633441089682</v>
          </cell>
          <cell r="Q11">
            <v>1873.880898727371</v>
          </cell>
        </row>
        <row r="12">
          <cell r="B12" t="str">
            <v xml:space="preserve">   Prior</v>
          </cell>
          <cell r="C12">
            <v>424.8</v>
          </cell>
          <cell r="E12">
            <v>482.27499999999998</v>
          </cell>
          <cell r="G12">
            <v>747.24699999999996</v>
          </cell>
          <cell r="I12">
            <v>1236</v>
          </cell>
          <cell r="K12">
            <v>1467.230824775874</v>
          </cell>
          <cell r="M12">
            <v>1572.4179521860037</v>
          </cell>
          <cell r="O12">
            <v>1676.1602207869551</v>
          </cell>
          <cell r="Q12">
            <v>1802.0633882939715</v>
          </cell>
        </row>
        <row r="13">
          <cell r="B13" t="str">
            <v>Xolair</v>
          </cell>
        </row>
        <row r="14">
          <cell r="B14" t="str">
            <v xml:space="preserve">   Current</v>
          </cell>
          <cell r="C14">
            <v>25.3</v>
          </cell>
          <cell r="E14">
            <v>188.5</v>
          </cell>
          <cell r="G14">
            <v>323.79700000000003</v>
          </cell>
          <cell r="I14">
            <v>423</v>
          </cell>
          <cell r="K14">
            <v>496.67639851943272</v>
          </cell>
          <cell r="M14">
            <v>549.18117450569844</v>
          </cell>
          <cell r="O14">
            <v>609.0179751523707</v>
          </cell>
          <cell r="Q14">
            <v>656.42413544863268</v>
          </cell>
        </row>
        <row r="15">
          <cell r="B15" t="str">
            <v xml:space="preserve">   Prior</v>
          </cell>
          <cell r="C15">
            <v>25.3</v>
          </cell>
          <cell r="E15">
            <v>188.5</v>
          </cell>
          <cell r="G15">
            <v>332.99700000000001</v>
          </cell>
          <cell r="I15">
            <v>443.81706468549254</v>
          </cell>
          <cell r="K15">
            <v>496.67639851943272</v>
          </cell>
          <cell r="M15">
            <v>583.43592955279041</v>
          </cell>
          <cell r="O15">
            <v>583.43592955279041</v>
          </cell>
          <cell r="Q15">
            <v>583.43592955279041</v>
          </cell>
        </row>
        <row r="16">
          <cell r="B16" t="str">
            <v>Raptiva</v>
          </cell>
        </row>
        <row r="17">
          <cell r="B17" t="str">
            <v xml:space="preserve">   Current</v>
          </cell>
          <cell r="C17">
            <v>1.4</v>
          </cell>
          <cell r="E17">
            <v>56.300000000000004</v>
          </cell>
          <cell r="G17">
            <v>86.754999999999995</v>
          </cell>
          <cell r="I17">
            <v>93</v>
          </cell>
          <cell r="K17">
            <v>114.74883545485645</v>
          </cell>
          <cell r="M17">
            <v>111.02507700089812</v>
          </cell>
          <cell r="O17">
            <v>116.64294589714356</v>
          </cell>
          <cell r="Q17">
            <v>122.54507895953904</v>
          </cell>
        </row>
        <row r="18">
          <cell r="B18" t="str">
            <v xml:space="preserve">   Prior</v>
          </cell>
          <cell r="C18">
            <v>1.4</v>
          </cell>
          <cell r="E18">
            <v>56.3</v>
          </cell>
          <cell r="G18">
            <v>96.415000000000006</v>
          </cell>
          <cell r="I18">
            <v>128.34202046044302</v>
          </cell>
          <cell r="K18">
            <v>154.41809851788798</v>
          </cell>
          <cell r="M18">
            <v>190.17374516347169</v>
          </cell>
          <cell r="O18">
            <v>190.17374516347169</v>
          </cell>
          <cell r="Q18">
            <v>190.17374516347169</v>
          </cell>
        </row>
        <row r="19">
          <cell r="B19" t="str">
            <v>Lucentis</v>
          </cell>
        </row>
        <row r="20">
          <cell r="B20" t="str">
            <v xml:space="preserve">   Current</v>
          </cell>
          <cell r="C20">
            <v>0</v>
          </cell>
          <cell r="E20">
            <v>0</v>
          </cell>
          <cell r="G20">
            <v>0</v>
          </cell>
          <cell r="I20">
            <v>135</v>
          </cell>
          <cell r="K20">
            <v>550</v>
          </cell>
          <cell r="M20">
            <v>850</v>
          </cell>
          <cell r="O20">
            <v>1050</v>
          </cell>
          <cell r="Q20">
            <v>1200</v>
          </cell>
        </row>
        <row r="21">
          <cell r="B21" t="str">
            <v xml:space="preserve">   Prior</v>
          </cell>
          <cell r="C21">
            <v>1.4</v>
          </cell>
          <cell r="E21">
            <v>0</v>
          </cell>
          <cell r="G21">
            <v>0</v>
          </cell>
          <cell r="I21">
            <v>150</v>
          </cell>
          <cell r="K21">
            <v>700</v>
          </cell>
          <cell r="M21">
            <v>1150</v>
          </cell>
          <cell r="O21">
            <v>1150</v>
          </cell>
          <cell r="Q21">
            <v>1150</v>
          </cell>
        </row>
        <row r="22">
          <cell r="B22" t="str">
            <v>Total Revenue</v>
          </cell>
          <cell r="R22" t="str">
            <v>2006 Guidance: Sales to Collaborators= YoY growth of 30%; Royalties = YoY growth of 30%; Net Interest Income = YoY growth of 30%</v>
          </cell>
        </row>
        <row r="23">
          <cell r="B23" t="str">
            <v xml:space="preserve">   Current</v>
          </cell>
          <cell r="C23">
            <v>3300.2629999999999</v>
          </cell>
          <cell r="E23">
            <v>4621.2</v>
          </cell>
          <cell r="G23">
            <v>6633.4230000000007</v>
          </cell>
          <cell r="I23">
            <v>9120.36</v>
          </cell>
          <cell r="K23">
            <v>11279.125121683228</v>
          </cell>
          <cell r="M23">
            <v>13104.186311101828</v>
          </cell>
          <cell r="O23">
            <v>14586.038977915103</v>
          </cell>
          <cell r="Q23">
            <v>15778.109649377711</v>
          </cell>
        </row>
        <row r="24">
          <cell r="B24" t="str">
            <v xml:space="preserve">   Prior</v>
          </cell>
          <cell r="C24">
            <v>3300.2629999999999</v>
          </cell>
          <cell r="E24">
            <v>4614.3599999999997</v>
          </cell>
          <cell r="G24">
            <v>6633.4230000000007</v>
          </cell>
          <cell r="I24">
            <v>9060.77</v>
          </cell>
          <cell r="K24">
            <v>11649.799183357783</v>
          </cell>
          <cell r="M24">
            <v>13530.991983203103</v>
          </cell>
          <cell r="O24">
            <v>14825.172049719364</v>
          </cell>
          <cell r="Q24">
            <v>15802.880857526117</v>
          </cell>
        </row>
        <row r="25">
          <cell r="B25" t="str">
            <v>COGS ($MM)</v>
          </cell>
          <cell r="R25" t="str">
            <v xml:space="preserve">2006 Guidance: 16% of sales (from 15-16%);  </v>
          </cell>
        </row>
        <row r="26">
          <cell r="B26" t="str">
            <v xml:space="preserve">   Current</v>
          </cell>
          <cell r="C26">
            <v>480.15100000000001</v>
          </cell>
          <cell r="E26">
            <v>672.5</v>
          </cell>
          <cell r="G26">
            <v>1011.0629999999999</v>
          </cell>
          <cell r="I26">
            <v>1222.5376000000001</v>
          </cell>
          <cell r="K26">
            <v>1506.7599287814626</v>
          </cell>
          <cell r="M26">
            <v>1619.0699996815897</v>
          </cell>
          <cell r="O26">
            <v>1702.8029601920346</v>
          </cell>
          <cell r="Q26">
            <v>1774.5598005138277</v>
          </cell>
        </row>
        <row r="27">
          <cell r="B27" t="str">
            <v xml:space="preserve">   Prior</v>
          </cell>
          <cell r="C27">
            <v>480.15100000000001</v>
          </cell>
          <cell r="E27">
            <v>672.5</v>
          </cell>
          <cell r="G27">
            <v>1011.0629999999999</v>
          </cell>
          <cell r="I27">
            <v>1202.9025999999999</v>
          </cell>
          <cell r="K27">
            <v>1565.9989624404361</v>
          </cell>
          <cell r="M27">
            <v>1695.7885048324765</v>
          </cell>
          <cell r="O27">
            <v>1751.9607945750547</v>
          </cell>
          <cell r="Q27">
            <v>1797.2421266516367</v>
          </cell>
        </row>
        <row r="28">
          <cell r="B28" t="str">
            <v>R&amp;D ($MM)</v>
          </cell>
          <cell r="R28" t="str">
            <v>2006 Guidance: 18-19% of operating revenue.</v>
          </cell>
        </row>
        <row r="29">
          <cell r="B29" t="str">
            <v xml:space="preserve">   Current</v>
          </cell>
          <cell r="C29">
            <v>721.96299999999997</v>
          </cell>
          <cell r="D29">
            <v>0.15795323682159235</v>
          </cell>
          <cell r="E29">
            <v>947.5</v>
          </cell>
          <cell r="F29">
            <v>0.3123941254607232</v>
          </cell>
          <cell r="G29">
            <v>1261.8240000000001</v>
          </cell>
          <cell r="H29">
            <v>0.33174036939314</v>
          </cell>
          <cell r="I29">
            <v>1677.1420800000001</v>
          </cell>
          <cell r="J29">
            <v>0.3291410529519172</v>
          </cell>
          <cell r="K29">
            <v>2058.4403347071889</v>
          </cell>
          <cell r="M29">
            <v>2384.9619086205325</v>
          </cell>
          <cell r="O29">
            <v>2654.6590939805487</v>
          </cell>
          <cell r="Q29">
            <v>2871.6159561867435</v>
          </cell>
        </row>
        <row r="30">
          <cell r="B30" t="str">
            <v xml:space="preserve">   Prior</v>
          </cell>
          <cell r="C30">
            <v>721.96299999999997</v>
          </cell>
          <cell r="E30">
            <v>947.5</v>
          </cell>
          <cell r="F30">
            <v>0.3123941254607232</v>
          </cell>
          <cell r="G30">
            <v>1261.8240000000001</v>
          </cell>
          <cell r="H30">
            <v>0.33174036939314</v>
          </cell>
          <cell r="I30">
            <v>1677.54035</v>
          </cell>
          <cell r="J30">
            <v>0.32945668334094136</v>
          </cell>
          <cell r="K30">
            <v>2126.0883509627956</v>
          </cell>
          <cell r="M30">
            <v>2462.6405409429644</v>
          </cell>
          <cell r="O30">
            <v>2698.181313048924</v>
          </cell>
          <cell r="Q30">
            <v>2876.1243160697531</v>
          </cell>
        </row>
        <row r="31">
          <cell r="B31" t="str">
            <v>SG&amp;A ($MM)</v>
          </cell>
          <cell r="R31" t="str">
            <v>2006 Guidance: 21% of operating revenue (from 21-22%)</v>
          </cell>
        </row>
        <row r="32">
          <cell r="B32" t="str">
            <v xml:space="preserve">   Current</v>
          </cell>
          <cell r="C32">
            <v>794.88499999999999</v>
          </cell>
          <cell r="D32">
            <v>0.45509778939583656</v>
          </cell>
          <cell r="E32">
            <v>1088.2</v>
          </cell>
          <cell r="F32">
            <v>0.36900306333620603</v>
          </cell>
          <cell r="G32">
            <v>1435.0319999999999</v>
          </cell>
          <cell r="H32">
            <v>0.31872082337805541</v>
          </cell>
          <cell r="I32">
            <v>1928.0563000000002</v>
          </cell>
          <cell r="J32">
            <v>0.34356327942512799</v>
          </cell>
          <cell r="K32">
            <v>2114.835960315605</v>
          </cell>
          <cell r="M32">
            <v>2293.2326044428196</v>
          </cell>
          <cell r="O32">
            <v>2406.696431355992</v>
          </cell>
          <cell r="Q32">
            <v>2406.1617215301007</v>
          </cell>
        </row>
        <row r="33">
          <cell r="B33" t="str">
            <v xml:space="preserve">   Prior</v>
          </cell>
          <cell r="C33">
            <v>794.88499999999999</v>
          </cell>
          <cell r="D33">
            <v>0.45509778939583656</v>
          </cell>
          <cell r="E33">
            <v>1088.2</v>
          </cell>
          <cell r="F33">
            <v>0.36900306333620603</v>
          </cell>
          <cell r="G33">
            <v>1435.0319999999999</v>
          </cell>
          <cell r="H33">
            <v>0.31872082337805541</v>
          </cell>
          <cell r="I33">
            <v>1955.315885</v>
          </cell>
          <cell r="J33">
            <v>0.36255908230617861</v>
          </cell>
          <cell r="K33">
            <v>2184.3373468795844</v>
          </cell>
          <cell r="M33">
            <v>2367.9235970605428</v>
          </cell>
          <cell r="O33">
            <v>2446.1533882036952</v>
          </cell>
          <cell r="Q33">
            <v>2409.9393307727328</v>
          </cell>
        </row>
        <row r="34">
          <cell r="B34" t="str">
            <v>Interest, Other Income</v>
          </cell>
        </row>
        <row r="35">
          <cell r="B35" t="str">
            <v xml:space="preserve">   Current</v>
          </cell>
          <cell r="C35">
            <v>92.807000000000002</v>
          </cell>
          <cell r="D35">
            <v>0</v>
          </cell>
          <cell r="E35">
            <v>82.597000000000008</v>
          </cell>
          <cell r="F35">
            <v>0</v>
          </cell>
          <cell r="G35">
            <v>140.9</v>
          </cell>
          <cell r="H35">
            <v>0</v>
          </cell>
          <cell r="I35">
            <v>228</v>
          </cell>
          <cell r="J35">
            <v>0</v>
          </cell>
          <cell r="K35">
            <v>158.27981570681379</v>
          </cell>
          <cell r="M35">
            <v>214.14721389467866</v>
          </cell>
          <cell r="O35">
            <v>298.9218808473185</v>
          </cell>
          <cell r="Q35">
            <v>424.04459975088002</v>
          </cell>
        </row>
        <row r="36">
          <cell r="B36" t="str">
            <v xml:space="preserve">   Prior</v>
          </cell>
          <cell r="C36">
            <v>92.8</v>
          </cell>
          <cell r="E36">
            <v>82.597000000000008</v>
          </cell>
          <cell r="F36">
            <v>0</v>
          </cell>
          <cell r="G36">
            <v>140.9</v>
          </cell>
          <cell r="H36">
            <v>0</v>
          </cell>
          <cell r="I36">
            <v>175</v>
          </cell>
          <cell r="J36">
            <v>0</v>
          </cell>
          <cell r="K36">
            <v>144.98120766629103</v>
          </cell>
          <cell r="M36">
            <v>198.6848384525747</v>
          </cell>
          <cell r="O36">
            <v>299.84795970525033</v>
          </cell>
          <cell r="Q36">
            <v>427.16721415138414</v>
          </cell>
        </row>
        <row r="37">
          <cell r="B37" t="str">
            <v xml:space="preserve">Net Income ($MM) </v>
          </cell>
        </row>
        <row r="38">
          <cell r="B38" t="str">
            <v xml:space="preserve">   Current</v>
          </cell>
          <cell r="C38">
            <v>634.65584265857763</v>
          </cell>
          <cell r="D38">
            <v>0.31253732024758918</v>
          </cell>
          <cell r="E38">
            <v>894.36599999999964</v>
          </cell>
          <cell r="F38">
            <v>0.4092141596829777</v>
          </cell>
          <cell r="G38">
            <v>1387.3240000000012</v>
          </cell>
          <cell r="H38">
            <v>0.55118150734710603</v>
          </cell>
          <cell r="I38">
            <v>2124.9055085800001</v>
          </cell>
          <cell r="J38">
            <v>0.53165771555887331</v>
          </cell>
          <cell r="K38">
            <v>2800.6211029553579</v>
          </cell>
          <cell r="M38">
            <v>3493.9576522401981</v>
          </cell>
          <cell r="O38">
            <v>4096.4026406736639</v>
          </cell>
          <cell r="Q38">
            <v>4671.2691888702175</v>
          </cell>
        </row>
        <row r="39">
          <cell r="B39" t="str">
            <v xml:space="preserve">   Prior</v>
          </cell>
          <cell r="C39">
            <v>634.65584265857763</v>
          </cell>
          <cell r="E39">
            <v>887.5259999999995</v>
          </cell>
          <cell r="F39">
            <v>0.3984366649523734</v>
          </cell>
          <cell r="G39">
            <v>1387.3240000000012</v>
          </cell>
          <cell r="H39">
            <v>0.55118150734710603</v>
          </cell>
          <cell r="I39">
            <v>2034.2770339500007</v>
          </cell>
          <cell r="J39">
            <v>0.4663316095951624</v>
          </cell>
          <cell r="K39">
            <v>2904.7667281963868</v>
          </cell>
          <cell r="M39">
            <v>3614.4886831826261</v>
          </cell>
          <cell r="O39">
            <v>4174.1361237760229</v>
          </cell>
          <cell r="Q39">
            <v>4681.8126100993795</v>
          </cell>
        </row>
        <row r="40">
          <cell r="B40" t="str">
            <v>Non-GAAP EPS, Diluted</v>
          </cell>
          <cell r="R40" t="str">
            <v>2006 Guidance: 45-55% YoY growth.  Raised guidance again (company raised guidance from 35-45% to 40%-50% at its analyst day three weeks ago).  Horizon 2010 guidance of 5-year CAGR of 25% (our model assumes 28%).  We are lowering 2007-09 EPS estimates.</v>
          </cell>
        </row>
        <row r="41">
          <cell r="B41" t="str">
            <v xml:space="preserve">   Current</v>
          </cell>
          <cell r="C41">
            <v>0.60195636879300407</v>
          </cell>
          <cell r="D41">
            <v>0.30585864252004424</v>
          </cell>
          <cell r="E41">
            <v>0.82872362999196592</v>
          </cell>
          <cell r="F41">
            <v>0.37671710601493902</v>
          </cell>
          <cell r="G41">
            <v>1.2834315032439099</v>
          </cell>
          <cell r="H41">
            <v>0.54868457564840067</v>
          </cell>
          <cell r="I41">
            <v>1.9766562870511628</v>
          </cell>
          <cell r="J41">
            <v>0.54013383811688231</v>
          </cell>
          <cell r="K41">
            <v>2.6131703146035923</v>
          </cell>
          <cell r="M41">
            <v>3.2657035401917991</v>
          </cell>
          <cell r="O41">
            <v>3.8441841959191563</v>
          </cell>
          <cell r="Q41">
            <v>4.4101388095141756</v>
          </cell>
        </row>
        <row r="42">
          <cell r="B42" t="str">
            <v xml:space="preserve">       Prior</v>
          </cell>
          <cell r="C42">
            <v>0.60195636879300407</v>
          </cell>
          <cell r="E42">
            <v>0.82238565467856495</v>
          </cell>
          <cell r="F42">
            <v>0.36618814471146544</v>
          </cell>
          <cell r="G42">
            <v>1.2834315032439099</v>
          </cell>
          <cell r="H42">
            <v>0.54868457564840067</v>
          </cell>
          <cell r="I42">
            <v>1.8875696940202418</v>
          </cell>
          <cell r="J42">
            <v>0.47072102348224698</v>
          </cell>
          <cell r="K42">
            <v>2.7103452791100371</v>
          </cell>
          <cell r="M42">
            <v>3.3783604907416378</v>
          </cell>
          <cell r="O42">
            <v>3.9171315727880218</v>
          </cell>
          <cell r="Q42">
            <v>4.4200928389797802</v>
          </cell>
        </row>
        <row r="43">
          <cell r="B43" t="str">
            <v>Non-GAAP EPS, Diluted (incl options expense)</v>
          </cell>
        </row>
        <row r="44">
          <cell r="B44" t="str">
            <v xml:space="preserve">   Current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H44">
            <v>0</v>
          </cell>
          <cell r="I44">
            <v>1.670437236911628</v>
          </cell>
          <cell r="J44">
            <v>0</v>
          </cell>
          <cell r="K44">
            <v>2.2605437247777207</v>
          </cell>
          <cell r="M44">
            <v>2.8726239093062675</v>
          </cell>
          <cell r="O44">
            <v>3.4182573129078739</v>
          </cell>
          <cell r="Q44">
            <v>3.9597085440583326</v>
          </cell>
        </row>
        <row r="45">
          <cell r="B45" t="str">
            <v xml:space="preserve">   Prior</v>
          </cell>
          <cell r="C45">
            <v>0.60195636879300407</v>
          </cell>
          <cell r="E45">
            <v>0.82238565467856495</v>
          </cell>
          <cell r="F45">
            <v>0.36618814471146544</v>
          </cell>
          <cell r="H45">
            <v>0</v>
          </cell>
          <cell r="I45">
            <v>1.7230350353762618</v>
          </cell>
          <cell r="J45">
            <v>0</v>
          </cell>
          <cell r="K45">
            <v>2.5124428538629009</v>
          </cell>
          <cell r="M45">
            <v>3.1575521802291613</v>
          </cell>
          <cell r="O45">
            <v>3.6217186312474188</v>
          </cell>
          <cell r="Q45">
            <v>4.1138707857302448</v>
          </cell>
        </row>
        <row r="46">
          <cell r="B46" t="str">
            <v>Capital Expenditures</v>
          </cell>
          <cell r="R46" t="str">
            <v>2006 Guidance: $1.5B; expect decrease to ~$800 by 2010</v>
          </cell>
        </row>
        <row r="47">
          <cell r="B47" t="str">
            <v xml:space="preserve">   Current</v>
          </cell>
          <cell r="C47">
            <v>321.95</v>
          </cell>
          <cell r="D47">
            <v>649.85799999999995</v>
          </cell>
          <cell r="E47">
            <v>649.85799999999995</v>
          </cell>
          <cell r="F47">
            <v>1482.0585000000001</v>
          </cell>
          <cell r="G47">
            <v>1399.8240000000001</v>
          </cell>
          <cell r="H47">
            <v>1179.3767679991645</v>
          </cell>
          <cell r="I47">
            <v>1482.0585000000001</v>
          </cell>
          <cell r="J47">
            <v>828.35075659232984</v>
          </cell>
          <cell r="K47">
            <v>1579.0775170356521</v>
          </cell>
          <cell r="M47">
            <v>1179.3767679991645</v>
          </cell>
          <cell r="O47">
            <v>875.1623386749061</v>
          </cell>
          <cell r="Q47">
            <v>828.35075659232984</v>
          </cell>
        </row>
        <row r="48">
          <cell r="B48" t="str">
            <v xml:space="preserve">   Prior</v>
          </cell>
          <cell r="C48">
            <v>322</v>
          </cell>
          <cell r="E48">
            <v>649.85799999999995</v>
          </cell>
          <cell r="F48">
            <v>1073.9414548082564</v>
          </cell>
          <cell r="G48">
            <v>1399.8240000000001</v>
          </cell>
          <cell r="H48">
            <v>1217.7892784882793</v>
          </cell>
          <cell r="I48">
            <v>1472.375125</v>
          </cell>
          <cell r="J48">
            <v>829.65124502012111</v>
          </cell>
          <cell r="K48">
            <v>1630.9718856700899</v>
          </cell>
          <cell r="M48">
            <v>1217.7892784882793</v>
          </cell>
          <cell r="O48">
            <v>889.51032298316204</v>
          </cell>
          <cell r="Q48">
            <v>829.651245020121</v>
          </cell>
        </row>
        <row r="49">
          <cell r="B49" t="str">
            <v>Basic Shares Outstanding</v>
          </cell>
        </row>
        <row r="50">
          <cell r="B50" t="str">
            <v xml:space="preserve">   Current</v>
          </cell>
          <cell r="C50">
            <v>1034.4565</v>
          </cell>
          <cell r="D50">
            <v>-3.901749480143768E-3</v>
          </cell>
          <cell r="E50">
            <v>1055.165</v>
          </cell>
          <cell r="F50">
            <v>2.0018724808631427E-2</v>
          </cell>
          <cell r="G50">
            <v>1054.952</v>
          </cell>
          <cell r="H50">
            <v>-2.0186416342460323E-4</v>
          </cell>
          <cell r="I50">
            <v>1054</v>
          </cell>
          <cell r="J50">
            <v>-9.0241072579599901E-4</v>
          </cell>
          <cell r="K50">
            <v>1053.713</v>
          </cell>
          <cell r="M50">
            <v>1053.713</v>
          </cell>
          <cell r="O50">
            <v>1053.713</v>
          </cell>
          <cell r="Q50">
            <v>1053.713</v>
          </cell>
        </row>
        <row r="51">
          <cell r="B51" t="str">
            <v xml:space="preserve">   Prior</v>
          </cell>
          <cell r="C51">
            <v>1034.46</v>
          </cell>
          <cell r="E51">
            <v>1055.165</v>
          </cell>
          <cell r="F51">
            <v>2.0018724808631427E-2</v>
          </cell>
          <cell r="G51">
            <v>1054.952</v>
          </cell>
          <cell r="H51">
            <v>-2.0186416342460323E-4</v>
          </cell>
          <cell r="I51">
            <v>1054.7239999999999</v>
          </cell>
          <cell r="J51">
            <v>-2.1612357718647779E-4</v>
          </cell>
          <cell r="K51">
            <v>1053.713</v>
          </cell>
          <cell r="M51">
            <v>1053.713</v>
          </cell>
          <cell r="O51">
            <v>1053.713</v>
          </cell>
          <cell r="Q51">
            <v>1053.713</v>
          </cell>
        </row>
        <row r="52">
          <cell r="B52" t="str">
            <v>Diluted Shares Outstanding</v>
          </cell>
          <cell r="R52" t="str">
            <v xml:space="preserve">2006 Guidance: Flat YoY growth. </v>
          </cell>
        </row>
        <row r="53">
          <cell r="B53" t="str">
            <v xml:space="preserve">   Current</v>
          </cell>
          <cell r="C53">
            <v>1054.3219999999999</v>
          </cell>
          <cell r="D53">
            <v>5.1538922087179806E-3</v>
          </cell>
          <cell r="E53">
            <v>1079.2090000000001</v>
          </cell>
          <cell r="F53">
            <v>2.3604743142986884E-2</v>
          </cell>
          <cell r="G53">
            <v>1080.9490000000001</v>
          </cell>
          <cell r="H53">
            <v>1.6122919656897938E-3</v>
          </cell>
          <cell r="I53">
            <v>1075</v>
          </cell>
          <cell r="J53">
            <v>-5.5034973897936101E-3</v>
          </cell>
          <cell r="K53">
            <v>1071.7330926745205</v>
          </cell>
          <cell r="M53">
            <v>1069.8943150347914</v>
          </cell>
          <cell r="O53">
            <v>1065.6103953141094</v>
          </cell>
          <cell r="Q53">
            <v>1059.2113742072459</v>
          </cell>
        </row>
        <row r="54">
          <cell r="B54" t="str">
            <v xml:space="preserve">   Prior</v>
          </cell>
          <cell r="C54">
            <v>1054.32</v>
          </cell>
          <cell r="E54">
            <v>1079.2090000000001</v>
          </cell>
          <cell r="F54">
            <v>2.3604743142986884E-2</v>
          </cell>
          <cell r="G54">
            <v>1080.9490000000001</v>
          </cell>
          <cell r="H54">
            <v>1.6122919656897938E-3</v>
          </cell>
          <cell r="I54">
            <v>1077.7228731710002</v>
          </cell>
          <cell r="J54">
            <v>-2.9845319520160896E-3</v>
          </cell>
          <cell r="K54">
            <v>1071.7330926745205</v>
          </cell>
          <cell r="M54">
            <v>1069.8943150347914</v>
          </cell>
          <cell r="O54">
            <v>1065.6103953141094</v>
          </cell>
          <cell r="Q54">
            <v>1059.2113742072459</v>
          </cell>
        </row>
      </sheetData>
      <sheetData sheetId="5" refreshError="1">
        <row r="1">
          <cell r="B1" t="str">
            <v>Genentech Quarterly Income Statement</v>
          </cell>
          <cell r="BC1">
            <v>6.0159760359460801E-2</v>
          </cell>
          <cell r="BE1">
            <v>3.0609842241582363E-2</v>
          </cell>
        </row>
        <row r="2">
          <cell r="B2" t="str">
            <v>(Dollars in thousands except per-share data)</v>
          </cell>
          <cell r="BW2">
            <v>55</v>
          </cell>
        </row>
        <row r="3">
          <cell r="BW3">
            <v>0.11121852970795569</v>
          </cell>
        </row>
        <row r="4">
          <cell r="C4" t="str">
            <v>1Q99A</v>
          </cell>
          <cell r="E4" t="str">
            <v>2Q99A</v>
          </cell>
          <cell r="G4" t="str">
            <v>3Q99A</v>
          </cell>
          <cell r="I4" t="str">
            <v>4Q99A</v>
          </cell>
          <cell r="K4" t="str">
            <v>1999A</v>
          </cell>
          <cell r="M4" t="str">
            <v>1Q00A</v>
          </cell>
          <cell r="O4" t="str">
            <v>2Q00A</v>
          </cell>
          <cell r="Q4" t="str">
            <v>3Q00A</v>
          </cell>
          <cell r="S4" t="str">
            <v>4Q00A</v>
          </cell>
          <cell r="U4" t="str">
            <v>2000A</v>
          </cell>
          <cell r="W4" t="str">
            <v>1Q01A</v>
          </cell>
          <cell r="Y4" t="str">
            <v>2Q01A</v>
          </cell>
          <cell r="AA4" t="str">
            <v>3Q01A</v>
          </cell>
          <cell r="AC4" t="str">
            <v>4Q01A</v>
          </cell>
          <cell r="AE4" t="str">
            <v>2001A</v>
          </cell>
          <cell r="AG4" t="str">
            <v>1Q02A</v>
          </cell>
          <cell r="AI4" t="str">
            <v>2Q02A</v>
          </cell>
          <cell r="AK4" t="str">
            <v>3Q02A</v>
          </cell>
          <cell r="AM4" t="str">
            <v>4Q02A</v>
          </cell>
          <cell r="AO4" t="str">
            <v>2002A</v>
          </cell>
          <cell r="AQ4" t="str">
            <v>1Q03A</v>
          </cell>
          <cell r="AS4" t="str">
            <v>2Q03A</v>
          </cell>
          <cell r="AU4" t="str">
            <v>3Q03A</v>
          </cell>
          <cell r="AW4" t="str">
            <v>4Q03A</v>
          </cell>
          <cell r="AY4" t="str">
            <v>2003A</v>
          </cell>
          <cell r="BA4" t="str">
            <v>1Q04A</v>
          </cell>
          <cell r="BB4" t="str">
            <v>% chg</v>
          </cell>
          <cell r="BC4" t="str">
            <v>2Q04A</v>
          </cell>
          <cell r="BD4" t="str">
            <v>% chg</v>
          </cell>
          <cell r="BE4" t="str">
            <v>3Q04A</v>
          </cell>
          <cell r="BF4" t="str">
            <v>% chg</v>
          </cell>
          <cell r="BG4" t="str">
            <v>4Q04A</v>
          </cell>
          <cell r="BH4" t="str">
            <v>% chg</v>
          </cell>
          <cell r="BI4" t="str">
            <v>2004A</v>
          </cell>
          <cell r="BJ4" t="str">
            <v>% chg</v>
          </cell>
          <cell r="BL4" t="str">
            <v>1Q05A</v>
          </cell>
          <cell r="BM4" t="str">
            <v>% chg</v>
          </cell>
          <cell r="BN4" t="str">
            <v>2Q05A</v>
          </cell>
          <cell r="BO4" t="str">
            <v>% chg</v>
          </cell>
          <cell r="BP4" t="str">
            <v>3Q05A</v>
          </cell>
          <cell r="BQ4" t="str">
            <v>% chg</v>
          </cell>
          <cell r="BR4" t="str">
            <v>4Q05A</v>
          </cell>
          <cell r="BS4" t="str">
            <v>% chg</v>
          </cell>
          <cell r="BT4" t="str">
            <v>2005A</v>
          </cell>
          <cell r="BU4" t="str">
            <v>% chg</v>
          </cell>
          <cell r="BW4" t="str">
            <v>1Q06A</v>
          </cell>
          <cell r="BX4" t="str">
            <v>% chg</v>
          </cell>
          <cell r="BY4" t="str">
            <v>2Q06E</v>
          </cell>
          <cell r="BZ4" t="str">
            <v>% chg</v>
          </cell>
          <cell r="CA4" t="str">
            <v>3Q06E</v>
          </cell>
          <cell r="CB4" t="str">
            <v>% chg</v>
          </cell>
          <cell r="CC4" t="str">
            <v>4Q06E</v>
          </cell>
          <cell r="CD4" t="str">
            <v>% chg</v>
          </cell>
          <cell r="CE4" t="str">
            <v>2006E</v>
          </cell>
          <cell r="CF4" t="str">
            <v>% chg</v>
          </cell>
        </row>
        <row r="5">
          <cell r="B5" t="str">
            <v>Rituxan -US</v>
          </cell>
          <cell r="C5" t="str">
            <v>52</v>
          </cell>
          <cell r="E5" t="str">
            <v>68.3</v>
          </cell>
          <cell r="G5" t="str">
            <v>70.2</v>
          </cell>
          <cell r="I5" t="str">
            <v>72.2</v>
          </cell>
          <cell r="K5" t="str">
            <v>262.7</v>
          </cell>
          <cell r="M5" t="str">
            <v>78</v>
          </cell>
          <cell r="O5" t="str">
            <v>96.7</v>
          </cell>
          <cell r="Q5" t="str">
            <v>115.5</v>
          </cell>
          <cell r="S5" t="str">
            <v>134</v>
          </cell>
          <cell r="U5" t="str">
            <v>424.2</v>
          </cell>
          <cell r="W5" t="str">
            <v>168</v>
          </cell>
          <cell r="Y5" t="str">
            <v>180</v>
          </cell>
          <cell r="AA5" t="str">
            <v>205</v>
          </cell>
          <cell r="AC5" t="str">
            <v>226</v>
          </cell>
          <cell r="AE5" t="str">
            <v>779</v>
          </cell>
          <cell r="AG5" t="str">
            <v>235</v>
          </cell>
          <cell r="AI5" t="str">
            <v>257.4</v>
          </cell>
          <cell r="AK5" t="str">
            <v>269.6</v>
          </cell>
          <cell r="AM5" t="str">
            <v>318.2</v>
          </cell>
          <cell r="AO5" t="str">
            <v>1080.2</v>
          </cell>
          <cell r="AQ5" t="str">
            <v>310</v>
          </cell>
          <cell r="AS5" t="str">
            <v>328</v>
          </cell>
          <cell r="AU5" t="str">
            <v>353.6</v>
          </cell>
          <cell r="AW5" t="str">
            <v>368.6</v>
          </cell>
          <cell r="AY5">
            <v>1360.2</v>
          </cell>
          <cell r="BA5">
            <v>361.8</v>
          </cell>
          <cell r="BC5">
            <v>390</v>
          </cell>
          <cell r="BE5">
            <v>393</v>
          </cell>
          <cell r="BG5">
            <v>429.2</v>
          </cell>
          <cell r="BI5">
            <v>1574</v>
          </cell>
          <cell r="BJ5">
            <v>0.15718276724011182</v>
          </cell>
          <cell r="BL5">
            <v>440.55</v>
          </cell>
          <cell r="BN5">
            <v>450.3</v>
          </cell>
          <cell r="BP5">
            <v>456.22699999999998</v>
          </cell>
          <cell r="BR5">
            <v>484.404</v>
          </cell>
          <cell r="BT5">
            <v>1831.481</v>
          </cell>
          <cell r="BU5">
            <v>0.1635838627700128</v>
          </cell>
          <cell r="BW5">
            <v>477</v>
          </cell>
          <cell r="BY5">
            <v>520</v>
          </cell>
          <cell r="CA5">
            <v>540</v>
          </cell>
          <cell r="CC5">
            <v>560</v>
          </cell>
          <cell r="CE5">
            <v>2097</v>
          </cell>
          <cell r="CF5">
            <v>0.14497502294591103</v>
          </cell>
        </row>
        <row r="6">
          <cell r="B6" t="str">
            <v>Rituxan- Ex-US</v>
          </cell>
          <cell r="C6">
            <v>17</v>
          </cell>
          <cell r="E6" t="str">
            <v>20.3</v>
          </cell>
          <cell r="G6">
            <v>8</v>
          </cell>
          <cell r="I6" t="str">
            <v>10.3</v>
          </cell>
          <cell r="K6">
            <v>55.800000000000011</v>
          </cell>
          <cell r="M6">
            <v>31.696428571428569</v>
          </cell>
          <cell r="O6">
            <v>27.232142857142854</v>
          </cell>
          <cell r="Q6">
            <v>10.714285714285714</v>
          </cell>
          <cell r="S6">
            <v>19.196428571428569</v>
          </cell>
          <cell r="U6">
            <v>88.800000000000011</v>
          </cell>
          <cell r="W6">
            <v>24.500000000000028</v>
          </cell>
          <cell r="Y6">
            <v>51.28</v>
          </cell>
          <cell r="AA6">
            <v>56.370000000000005</v>
          </cell>
          <cell r="AC6">
            <v>54.5</v>
          </cell>
          <cell r="AE6">
            <v>186.65000000000003</v>
          </cell>
          <cell r="AG6">
            <v>106.90000000000003</v>
          </cell>
          <cell r="AI6">
            <v>94.760000000000048</v>
          </cell>
          <cell r="AK6">
            <v>119</v>
          </cell>
          <cell r="AM6">
            <v>129.24000000000007</v>
          </cell>
          <cell r="AO6">
            <v>449.90000000000015</v>
          </cell>
          <cell r="AQ6">
            <v>111.58999999999997</v>
          </cell>
          <cell r="AS6">
            <v>161.09999999999997</v>
          </cell>
          <cell r="AU6">
            <v>159.76</v>
          </cell>
          <cell r="AW6">
            <v>217.14999999999998</v>
          </cell>
          <cell r="AY6">
            <v>649.59999999999991</v>
          </cell>
          <cell r="BA6">
            <v>261</v>
          </cell>
          <cell r="BC6">
            <v>270</v>
          </cell>
          <cell r="BE6">
            <v>305</v>
          </cell>
          <cell r="BG6">
            <v>313</v>
          </cell>
          <cell r="BI6">
            <v>1149</v>
          </cell>
          <cell r="BL6">
            <v>330</v>
          </cell>
          <cell r="BM6">
            <v>0.2</v>
          </cell>
          <cell r="BN6">
            <v>361</v>
          </cell>
          <cell r="BO6">
            <v>0.18</v>
          </cell>
          <cell r="BP6">
            <v>350</v>
          </cell>
          <cell r="BQ6">
            <v>0.17</v>
          </cell>
          <cell r="BR6">
            <v>370</v>
          </cell>
          <cell r="BS6">
            <v>0.15</v>
          </cell>
          <cell r="BT6">
            <v>1411</v>
          </cell>
          <cell r="BU6">
            <v>0.22802436901653622</v>
          </cell>
          <cell r="BW6">
            <v>440</v>
          </cell>
          <cell r="BY6">
            <v>460</v>
          </cell>
          <cell r="CA6">
            <v>475</v>
          </cell>
          <cell r="CC6">
            <v>490</v>
          </cell>
          <cell r="CE6">
            <v>1865</v>
          </cell>
          <cell r="CF6">
            <v>0.32175761871013475</v>
          </cell>
        </row>
        <row r="7">
          <cell r="B7" t="str">
            <v xml:space="preserve">Rituxan - Transfer to Roche </v>
          </cell>
          <cell r="C7" t="str">
            <v>5.1</v>
          </cell>
          <cell r="E7" t="str">
            <v>6.1</v>
          </cell>
          <cell r="G7" t="str">
            <v>2.4</v>
          </cell>
          <cell r="I7" t="str">
            <v>3.1</v>
          </cell>
          <cell r="K7" t="str">
            <v>16.7</v>
          </cell>
          <cell r="M7" t="str">
            <v>7.1</v>
          </cell>
          <cell r="O7" t="str">
            <v>6.1</v>
          </cell>
          <cell r="Q7" t="str">
            <v>2.4</v>
          </cell>
          <cell r="S7" t="str">
            <v>4.3</v>
          </cell>
          <cell r="U7">
            <v>19.899999999999977</v>
          </cell>
          <cell r="W7" t="str">
            <v>4.1</v>
          </cell>
          <cell r="Y7" t="str">
            <v>7.7</v>
          </cell>
          <cell r="AA7" t="str">
            <v>7.8</v>
          </cell>
          <cell r="AC7" t="str">
            <v>20</v>
          </cell>
          <cell r="AE7" t="str">
            <v>39.6</v>
          </cell>
          <cell r="AG7" t="str">
            <v>12.5</v>
          </cell>
          <cell r="AI7" t="str">
            <v>17.5</v>
          </cell>
          <cell r="AK7" t="str">
            <v>24.3</v>
          </cell>
          <cell r="AM7" t="str">
            <v>28.4</v>
          </cell>
          <cell r="AO7" t="str">
            <v>82.7</v>
          </cell>
          <cell r="AQ7" t="str">
            <v>31</v>
          </cell>
          <cell r="AS7" t="str">
            <v>35.4</v>
          </cell>
          <cell r="AU7" t="str">
            <v>18.1</v>
          </cell>
          <cell r="AW7" t="str">
            <v>44.4</v>
          </cell>
          <cell r="AY7">
            <v>128.9</v>
          </cell>
          <cell r="BA7">
            <v>38.799999999999997</v>
          </cell>
          <cell r="BC7">
            <v>34.700000000000003</v>
          </cell>
          <cell r="BE7">
            <v>44.7</v>
          </cell>
          <cell r="BG7">
            <v>19</v>
          </cell>
          <cell r="BI7">
            <v>137.19999999999999</v>
          </cell>
          <cell r="BJ7">
            <v>6.4391000775795071E-2</v>
          </cell>
          <cell r="BL7">
            <v>33.049999999999997</v>
          </cell>
          <cell r="BN7">
            <v>32</v>
          </cell>
          <cell r="BP7">
            <v>45.7</v>
          </cell>
          <cell r="BR7">
            <v>47.2</v>
          </cell>
          <cell r="BT7">
            <v>157.94999999999999</v>
          </cell>
          <cell r="BU7">
            <v>0.15123906705539358</v>
          </cell>
          <cell r="BW7">
            <v>32</v>
          </cell>
          <cell r="BY7">
            <v>73.600000000000009</v>
          </cell>
          <cell r="CA7">
            <v>76</v>
          </cell>
          <cell r="CC7">
            <v>78.400000000000006</v>
          </cell>
          <cell r="CE7">
            <v>260</v>
          </cell>
          <cell r="CF7">
            <v>0.64609053497942392</v>
          </cell>
        </row>
        <row r="8">
          <cell r="B8" t="str">
            <v>Rituxan - US &amp; Sales to Roche</v>
          </cell>
          <cell r="C8">
            <v>57.1</v>
          </cell>
          <cell r="E8">
            <v>74.400000000000006</v>
          </cell>
          <cell r="G8">
            <v>72.599999999999994</v>
          </cell>
          <cell r="I8">
            <v>75.3</v>
          </cell>
          <cell r="K8">
            <v>279.39999999999998</v>
          </cell>
          <cell r="M8">
            <v>85.1</v>
          </cell>
          <cell r="O8">
            <v>102.8</v>
          </cell>
          <cell r="Q8">
            <v>117.9</v>
          </cell>
          <cell r="S8">
            <v>138.30000000000001</v>
          </cell>
          <cell r="U8">
            <v>444.09999999999997</v>
          </cell>
          <cell r="W8">
            <v>172.1</v>
          </cell>
          <cell r="Y8">
            <v>187.7</v>
          </cell>
          <cell r="AA8">
            <v>212.8</v>
          </cell>
          <cell r="AC8">
            <v>246</v>
          </cell>
          <cell r="AE8">
            <v>818.59999999999991</v>
          </cell>
          <cell r="AG8">
            <v>247.5</v>
          </cell>
          <cell r="AI8">
            <v>274.89999999999998</v>
          </cell>
          <cell r="AK8">
            <v>293.90000000000003</v>
          </cell>
          <cell r="AM8">
            <v>346.59999999999997</v>
          </cell>
          <cell r="AO8">
            <v>1162.8999999999999</v>
          </cell>
          <cell r="AQ8">
            <v>341</v>
          </cell>
          <cell r="AS8">
            <v>363.4</v>
          </cell>
          <cell r="AU8">
            <v>371.70000000000005</v>
          </cell>
          <cell r="AW8">
            <v>413</v>
          </cell>
          <cell r="AY8">
            <v>1489.1</v>
          </cell>
          <cell r="BA8">
            <v>400.6</v>
          </cell>
          <cell r="BB8">
            <v>0.17478005865102642</v>
          </cell>
          <cell r="BC8">
            <v>424.7</v>
          </cell>
          <cell r="BD8">
            <v>0.1686846450192625</v>
          </cell>
          <cell r="BE8">
            <v>437.7</v>
          </cell>
          <cell r="BF8">
            <v>0.17756255044390623</v>
          </cell>
          <cell r="BG8">
            <v>448.2</v>
          </cell>
          <cell r="BH8">
            <v>8.5230024213075017E-2</v>
          </cell>
          <cell r="BI8">
            <v>1711.2</v>
          </cell>
          <cell r="BJ8">
            <v>0.14915049358673027</v>
          </cell>
          <cell r="BL8">
            <v>473.6</v>
          </cell>
          <cell r="BM8">
            <v>0.18222666000998511</v>
          </cell>
          <cell r="BN8">
            <v>482.3</v>
          </cell>
          <cell r="BO8">
            <v>0.13562514716270324</v>
          </cell>
          <cell r="BP8">
            <v>501.92699999999996</v>
          </cell>
          <cell r="BQ8">
            <v>0.14673749143248793</v>
          </cell>
          <cell r="BR8">
            <v>531.60400000000004</v>
          </cell>
          <cell r="BS8">
            <v>0.18608656849620719</v>
          </cell>
          <cell r="BT8">
            <v>1989.431</v>
          </cell>
          <cell r="BU8">
            <v>0.16259408602150538</v>
          </cell>
          <cell r="BW8">
            <v>509</v>
          </cell>
          <cell r="BX8">
            <v>7.474662162162149E-2</v>
          </cell>
          <cell r="BY8">
            <v>593.6</v>
          </cell>
          <cell r="BZ8">
            <v>0.23076923076923084</v>
          </cell>
          <cell r="CA8">
            <v>616</v>
          </cell>
          <cell r="CB8">
            <v>0.22727010103062795</v>
          </cell>
          <cell r="CC8">
            <v>638.4</v>
          </cell>
          <cell r="CD8">
            <v>0.2008938984657751</v>
          </cell>
          <cell r="CE8">
            <v>2357</v>
          </cell>
          <cell r="CF8">
            <v>0.18476086881123299</v>
          </cell>
        </row>
        <row r="9">
          <cell r="B9" t="str">
            <v>Avastin - US</v>
          </cell>
          <cell r="BA9">
            <v>38.1</v>
          </cell>
          <cell r="BC9">
            <v>133</v>
          </cell>
          <cell r="BE9">
            <v>183</v>
          </cell>
          <cell r="BG9">
            <v>198.24</v>
          </cell>
          <cell r="BI9">
            <v>552.34</v>
          </cell>
          <cell r="BL9">
            <v>202.85499999999999</v>
          </cell>
          <cell r="BN9">
            <v>245.6</v>
          </cell>
          <cell r="BP9">
            <v>325.15600000000001</v>
          </cell>
          <cell r="BR9">
            <v>359.11</v>
          </cell>
          <cell r="BT9">
            <v>1132.721</v>
          </cell>
          <cell r="BW9">
            <v>398</v>
          </cell>
          <cell r="BY9">
            <v>442</v>
          </cell>
          <cell r="CA9">
            <v>486</v>
          </cell>
          <cell r="CC9">
            <v>550</v>
          </cell>
          <cell r="CE9">
            <v>1876</v>
          </cell>
        </row>
        <row r="10">
          <cell r="B10" t="str">
            <v>Avastin - Ex-US</v>
          </cell>
          <cell r="BA10">
            <v>0</v>
          </cell>
          <cell r="BC10">
            <v>0</v>
          </cell>
          <cell r="BE10">
            <v>0</v>
          </cell>
          <cell r="BG10">
            <v>10</v>
          </cell>
          <cell r="BI10">
            <v>10</v>
          </cell>
          <cell r="BL10">
            <v>16.899999999999999</v>
          </cell>
          <cell r="BN10">
            <v>38.200000000000003</v>
          </cell>
          <cell r="BP10">
            <v>60.6</v>
          </cell>
          <cell r="BR10">
            <v>75</v>
          </cell>
          <cell r="BT10">
            <v>190.7</v>
          </cell>
          <cell r="BW10">
            <v>105</v>
          </cell>
          <cell r="BY10">
            <v>130</v>
          </cell>
          <cell r="CA10">
            <v>150</v>
          </cell>
          <cell r="CC10">
            <v>180</v>
          </cell>
          <cell r="CE10">
            <v>565</v>
          </cell>
        </row>
        <row r="11">
          <cell r="B11" t="str">
            <v>Avastin - Transfer to Roche</v>
          </cell>
          <cell r="BG11">
            <v>2.16</v>
          </cell>
          <cell r="BI11">
            <v>2.16</v>
          </cell>
          <cell r="BL11">
            <v>11.632</v>
          </cell>
          <cell r="BN11">
            <v>3.6</v>
          </cell>
          <cell r="BP11">
            <v>35</v>
          </cell>
          <cell r="BR11">
            <v>33.799999999999997</v>
          </cell>
          <cell r="BT11">
            <v>84.031999999999996</v>
          </cell>
          <cell r="BW11">
            <v>18</v>
          </cell>
          <cell r="BY11">
            <v>28.08</v>
          </cell>
          <cell r="CA11">
            <v>32.4</v>
          </cell>
          <cell r="CC11">
            <v>38.879999999999995</v>
          </cell>
          <cell r="CE11">
            <v>117.35999999999999</v>
          </cell>
        </row>
        <row r="12">
          <cell r="B12" t="str">
            <v>Avastin -  US &amp; Sales to Roche</v>
          </cell>
          <cell r="BA12">
            <v>38.1</v>
          </cell>
          <cell r="BB12" t="str">
            <v>NM</v>
          </cell>
          <cell r="BC12">
            <v>133</v>
          </cell>
          <cell r="BD12" t="str">
            <v>NM</v>
          </cell>
          <cell r="BE12">
            <v>183</v>
          </cell>
          <cell r="BF12" t="str">
            <v>NM</v>
          </cell>
          <cell r="BG12">
            <v>200.4</v>
          </cell>
          <cell r="BH12" t="str">
            <v>NM</v>
          </cell>
          <cell r="BI12">
            <v>554.5</v>
          </cell>
          <cell r="BJ12" t="str">
            <v>NM</v>
          </cell>
          <cell r="BL12">
            <v>214.48699999999999</v>
          </cell>
          <cell r="BM12">
            <v>4.6295800524934378</v>
          </cell>
          <cell r="BN12">
            <v>249.2</v>
          </cell>
          <cell r="BO12">
            <v>0.87368421052631562</v>
          </cell>
          <cell r="BP12">
            <v>360.15600000000001</v>
          </cell>
          <cell r="BQ12">
            <v>0.96806557377049174</v>
          </cell>
          <cell r="BR12">
            <v>392.91</v>
          </cell>
          <cell r="BS12">
            <v>0.96062874251497021</v>
          </cell>
          <cell r="BT12">
            <v>1216.7530000000002</v>
          </cell>
          <cell r="BU12">
            <v>1.1943246167718669</v>
          </cell>
          <cell r="BW12">
            <v>416</v>
          </cell>
          <cell r="BX12">
            <v>0.93951148554457853</v>
          </cell>
          <cell r="BY12">
            <v>470.08</v>
          </cell>
          <cell r="BZ12">
            <v>0.88635634028892452</v>
          </cell>
          <cell r="CA12">
            <v>518.4</v>
          </cell>
          <cell r="CB12">
            <v>0.4393762702828774</v>
          </cell>
          <cell r="CC12">
            <v>588.88</v>
          </cell>
          <cell r="CD12">
            <v>0.49876562062558838</v>
          </cell>
          <cell r="CE12">
            <v>1993.3600000000001</v>
          </cell>
          <cell r="CF12">
            <v>0.63826183292747163</v>
          </cell>
        </row>
        <row r="13">
          <cell r="B13" t="str">
            <v>Herceptin - US</v>
          </cell>
          <cell r="C13">
            <v>39.200000000000003</v>
          </cell>
          <cell r="E13">
            <v>42.6</v>
          </cell>
          <cell r="G13">
            <v>47.5</v>
          </cell>
          <cell r="I13">
            <v>54.4</v>
          </cell>
          <cell r="K13">
            <v>183.70000000000002</v>
          </cell>
          <cell r="M13">
            <v>56.7</v>
          </cell>
          <cell r="O13">
            <v>62.6</v>
          </cell>
          <cell r="Q13">
            <v>64.099999999999994</v>
          </cell>
          <cell r="S13">
            <v>66.3</v>
          </cell>
          <cell r="U13">
            <v>249.7</v>
          </cell>
          <cell r="W13">
            <v>70.099999999999994</v>
          </cell>
          <cell r="Y13">
            <v>74.099999999999994</v>
          </cell>
          <cell r="AA13">
            <v>75.900000000000006</v>
          </cell>
          <cell r="AC13">
            <v>95.3</v>
          </cell>
          <cell r="AE13">
            <v>315.39999999999998</v>
          </cell>
          <cell r="AG13">
            <v>77.3</v>
          </cell>
          <cell r="AI13">
            <v>82.5</v>
          </cell>
          <cell r="AK13">
            <v>88.3</v>
          </cell>
          <cell r="AM13">
            <v>96.8</v>
          </cell>
          <cell r="AO13">
            <v>344.9</v>
          </cell>
          <cell r="AQ13">
            <v>93.7</v>
          </cell>
          <cell r="AS13">
            <v>99</v>
          </cell>
          <cell r="AU13">
            <v>106.2</v>
          </cell>
          <cell r="AW13">
            <v>107.1</v>
          </cell>
          <cell r="AY13">
            <v>406</v>
          </cell>
          <cell r="BA13">
            <v>108.7</v>
          </cell>
          <cell r="BC13">
            <v>110</v>
          </cell>
          <cell r="BE13">
            <v>122.7</v>
          </cell>
          <cell r="BG13">
            <v>125</v>
          </cell>
          <cell r="BI13">
            <v>466.4</v>
          </cell>
          <cell r="BJ13">
            <v>0.14876847290640383</v>
          </cell>
          <cell r="BL13">
            <v>129.63</v>
          </cell>
          <cell r="BM13">
            <v>0.19254829806807727</v>
          </cell>
          <cell r="BN13">
            <v>152.4</v>
          </cell>
          <cell r="BO13">
            <v>0.38545454545454549</v>
          </cell>
          <cell r="BP13">
            <v>215.148</v>
          </cell>
          <cell r="BQ13">
            <v>0.75344743276283621</v>
          </cell>
          <cell r="BR13">
            <v>250.06899999999999</v>
          </cell>
          <cell r="BS13">
            <v>1.0005519999999999</v>
          </cell>
          <cell r="BT13">
            <v>747.24699999999996</v>
          </cell>
          <cell r="BU13">
            <v>0.60215909090909081</v>
          </cell>
          <cell r="BW13">
            <v>290</v>
          </cell>
          <cell r="BX13">
            <v>1.2371364653243848</v>
          </cell>
          <cell r="BY13">
            <v>330</v>
          </cell>
          <cell r="BZ13">
            <v>1.1653543307086611</v>
          </cell>
          <cell r="CA13">
            <v>365</v>
          </cell>
          <cell r="CB13">
            <v>0.69650659081190636</v>
          </cell>
          <cell r="CC13">
            <v>390</v>
          </cell>
          <cell r="CD13">
            <v>0.55956955880177084</v>
          </cell>
          <cell r="CE13">
            <v>1375</v>
          </cell>
          <cell r="CF13">
            <v>0.84008768185084737</v>
          </cell>
        </row>
        <row r="14">
          <cell r="B14" t="str">
            <v xml:space="preserve">Herceptin - Ex-US </v>
          </cell>
          <cell r="K14">
            <v>0</v>
          </cell>
          <cell r="M14">
            <v>26.490066225165563</v>
          </cell>
          <cell r="O14">
            <v>9.0507726269315665</v>
          </cell>
          <cell r="Q14">
            <v>18.763796909492275</v>
          </cell>
          <cell r="S14">
            <v>3.7527593818984544</v>
          </cell>
          <cell r="U14">
            <v>58.099999999999966</v>
          </cell>
          <cell r="W14">
            <v>26.799999999999997</v>
          </cell>
          <cell r="Y14">
            <v>31.92</v>
          </cell>
          <cell r="AA14">
            <v>40.379999999999981</v>
          </cell>
          <cell r="AC14">
            <v>44.92</v>
          </cell>
          <cell r="AE14">
            <v>144.01999999999998</v>
          </cell>
          <cell r="AG14">
            <v>67.65000000000002</v>
          </cell>
          <cell r="AI14">
            <v>70.02000000000001</v>
          </cell>
          <cell r="AK14">
            <v>83.89</v>
          </cell>
          <cell r="AM14">
            <v>94.280000000000015</v>
          </cell>
          <cell r="AO14">
            <v>315.84000000000003</v>
          </cell>
          <cell r="AQ14">
            <v>89.149999999999991</v>
          </cell>
          <cell r="AS14">
            <v>109.78</v>
          </cell>
          <cell r="AU14">
            <v>117.71999999999998</v>
          </cell>
          <cell r="AW14">
            <v>129.15</v>
          </cell>
          <cell r="AY14">
            <v>445.79999999999995</v>
          </cell>
          <cell r="BA14">
            <v>147.13999999999999</v>
          </cell>
          <cell r="BC14">
            <v>145</v>
          </cell>
          <cell r="BE14">
            <v>148</v>
          </cell>
          <cell r="BG14">
            <v>150</v>
          </cell>
          <cell r="BI14">
            <v>590.14</v>
          </cell>
          <cell r="BL14">
            <v>201</v>
          </cell>
          <cell r="BM14">
            <v>0.36604594263966295</v>
          </cell>
          <cell r="BN14">
            <v>223</v>
          </cell>
          <cell r="BO14">
            <v>0.53793103448275859</v>
          </cell>
          <cell r="BP14">
            <v>252</v>
          </cell>
          <cell r="BQ14">
            <v>0.70270270270270263</v>
          </cell>
          <cell r="BR14">
            <v>272</v>
          </cell>
          <cell r="BS14">
            <v>0.81333333333333324</v>
          </cell>
          <cell r="BT14">
            <v>948</v>
          </cell>
          <cell r="BU14">
            <v>0.60639848171620292</v>
          </cell>
          <cell r="BW14">
            <v>255</v>
          </cell>
          <cell r="BX14">
            <v>0.26865671641791056</v>
          </cell>
          <cell r="BY14">
            <v>275</v>
          </cell>
          <cell r="BZ14">
            <v>0.23318385650224216</v>
          </cell>
          <cell r="CA14">
            <v>315</v>
          </cell>
          <cell r="CB14">
            <v>0.25</v>
          </cell>
          <cell r="CC14">
            <v>330</v>
          </cell>
          <cell r="CD14">
            <v>0.21323529411764697</v>
          </cell>
          <cell r="CE14">
            <v>1175</v>
          </cell>
          <cell r="CF14">
            <v>0.23945147679324896</v>
          </cell>
        </row>
        <row r="15">
          <cell r="B15" t="str">
            <v>Herceptin - Transfer to Roche</v>
          </cell>
          <cell r="C15">
            <v>0.7</v>
          </cell>
          <cell r="E15">
            <v>3.6</v>
          </cell>
          <cell r="G15">
            <v>0.4</v>
          </cell>
          <cell r="I15">
            <v>0</v>
          </cell>
          <cell r="K15">
            <v>4.7</v>
          </cell>
          <cell r="M15">
            <v>12</v>
          </cell>
          <cell r="O15">
            <v>4.0999999999999996</v>
          </cell>
          <cell r="Q15">
            <v>8.5</v>
          </cell>
          <cell r="S15">
            <v>1.7</v>
          </cell>
          <cell r="U15">
            <v>26.3</v>
          </cell>
          <cell r="W15">
            <v>11.3</v>
          </cell>
          <cell r="Y15">
            <v>4.7</v>
          </cell>
          <cell r="AA15">
            <v>7.9</v>
          </cell>
          <cell r="AC15">
            <v>7.4</v>
          </cell>
          <cell r="AE15">
            <v>31.299999999999997</v>
          </cell>
          <cell r="AG15">
            <v>9.5</v>
          </cell>
          <cell r="AI15">
            <v>12.6</v>
          </cell>
          <cell r="AK15">
            <v>8.4</v>
          </cell>
          <cell r="AM15">
            <v>9.8000000000000007</v>
          </cell>
          <cell r="AO15">
            <v>40.299999999999997</v>
          </cell>
          <cell r="AQ15">
            <v>0</v>
          </cell>
          <cell r="AS15">
            <v>10.1</v>
          </cell>
          <cell r="AU15">
            <v>1.5</v>
          </cell>
          <cell r="AW15">
            <v>7.2</v>
          </cell>
          <cell r="AY15">
            <v>18.8</v>
          </cell>
          <cell r="BA15">
            <v>4.8</v>
          </cell>
          <cell r="BC15">
            <v>3.625</v>
          </cell>
          <cell r="BE15">
            <v>3.7</v>
          </cell>
          <cell r="BG15">
            <v>3.75</v>
          </cell>
          <cell r="BI15">
            <v>15.875</v>
          </cell>
          <cell r="BJ15">
            <v>-0.15558510638297873</v>
          </cell>
          <cell r="BL15">
            <v>10.888</v>
          </cell>
          <cell r="BM15">
            <v>1.2683333333333335</v>
          </cell>
          <cell r="BN15">
            <v>-1.7669999999999999</v>
          </cell>
          <cell r="BO15">
            <v>-1.4874482758620688</v>
          </cell>
          <cell r="BP15">
            <v>5</v>
          </cell>
          <cell r="BQ15">
            <v>0.35135135135135132</v>
          </cell>
          <cell r="BR15">
            <v>2.5</v>
          </cell>
          <cell r="BS15">
            <v>-0.33333333333333337</v>
          </cell>
          <cell r="BT15">
            <v>16.621000000000002</v>
          </cell>
          <cell r="BU15">
            <v>4.6992125984252064E-2</v>
          </cell>
          <cell r="BW15">
            <v>5</v>
          </cell>
          <cell r="BX15">
            <v>-0.54077883908890523</v>
          </cell>
          <cell r="BY15">
            <v>0</v>
          </cell>
          <cell r="CA15">
            <v>0</v>
          </cell>
          <cell r="CC15">
            <v>0</v>
          </cell>
          <cell r="CE15">
            <v>5</v>
          </cell>
          <cell r="CF15">
            <v>-0.69917574153179718</v>
          </cell>
        </row>
        <row r="16">
          <cell r="B16" t="str">
            <v>Herceptin- US &amp; Sales to Roche</v>
          </cell>
          <cell r="C16">
            <v>39.899999999000009</v>
          </cell>
          <cell r="E16">
            <v>46.2</v>
          </cell>
          <cell r="G16">
            <v>47.900000000999995</v>
          </cell>
          <cell r="I16">
            <v>54.4</v>
          </cell>
          <cell r="K16">
            <v>188.4</v>
          </cell>
          <cell r="M16">
            <v>68.700000000999992</v>
          </cell>
          <cell r="O16">
            <v>66.700000000999992</v>
          </cell>
          <cell r="Q16">
            <v>72.599999999999994</v>
          </cell>
          <cell r="S16">
            <v>67.900000000000006</v>
          </cell>
          <cell r="U16">
            <v>275.90000000199996</v>
          </cell>
          <cell r="W16">
            <v>81.400000000000006</v>
          </cell>
          <cell r="Y16">
            <v>78.799999999000008</v>
          </cell>
          <cell r="AA16">
            <v>83.9</v>
          </cell>
          <cell r="AC16">
            <v>102.52497556000002</v>
          </cell>
          <cell r="AE16">
            <v>346.62497555900001</v>
          </cell>
          <cell r="AG16">
            <v>86.835243488000017</v>
          </cell>
          <cell r="AI16">
            <v>95.107865390720022</v>
          </cell>
          <cell r="AK16">
            <v>96.7</v>
          </cell>
          <cell r="AM16">
            <v>106.62597458240003</v>
          </cell>
          <cell r="AO16">
            <v>385.26908346112009</v>
          </cell>
          <cell r="AQ16">
            <v>93.7</v>
          </cell>
          <cell r="AS16">
            <v>109.1</v>
          </cell>
          <cell r="AU16">
            <v>107.7</v>
          </cell>
          <cell r="AW16">
            <v>114.3</v>
          </cell>
          <cell r="AY16">
            <v>424.8</v>
          </cell>
          <cell r="BA16">
            <v>113.5</v>
          </cell>
          <cell r="BB16">
            <v>0.21131270010672365</v>
          </cell>
          <cell r="BC16">
            <v>117.7</v>
          </cell>
          <cell r="BD16">
            <v>7.8826764436296992E-2</v>
          </cell>
          <cell r="BE16">
            <v>126</v>
          </cell>
          <cell r="BF16">
            <v>0.16991643454038985</v>
          </cell>
          <cell r="BG16">
            <v>126</v>
          </cell>
          <cell r="BH16">
            <v>0.10236220472440949</v>
          </cell>
          <cell r="BI16">
            <v>483.2</v>
          </cell>
          <cell r="BJ16">
            <v>0.1374764595103577</v>
          </cell>
          <cell r="BL16">
            <v>140.518</v>
          </cell>
          <cell r="BM16">
            <v>0.23804405286343622</v>
          </cell>
          <cell r="BN16">
            <v>150.63300000000001</v>
          </cell>
          <cell r="BO16">
            <v>0.27980458793542917</v>
          </cell>
          <cell r="BP16">
            <v>220.148</v>
          </cell>
          <cell r="BQ16">
            <v>0.74720634920634921</v>
          </cell>
          <cell r="BR16">
            <v>252.56899999999999</v>
          </cell>
          <cell r="BS16">
            <v>1.004515873015873</v>
          </cell>
          <cell r="BT16">
            <v>763.86799999999994</v>
          </cell>
          <cell r="BU16">
            <v>0.58085264900662237</v>
          </cell>
          <cell r="BW16">
            <v>295</v>
          </cell>
          <cell r="BX16">
            <v>1.0993751690174922</v>
          </cell>
          <cell r="BY16">
            <v>330</v>
          </cell>
          <cell r="BZ16">
            <v>1.1907550138415885</v>
          </cell>
          <cell r="CA16">
            <v>365</v>
          </cell>
          <cell r="CB16">
            <v>0.65797554372513045</v>
          </cell>
          <cell r="CC16">
            <v>390</v>
          </cell>
          <cell r="CD16">
            <v>0.54413249448665524</v>
          </cell>
          <cell r="CE16">
            <v>1380</v>
          </cell>
          <cell r="CF16">
            <v>0.8065948567029908</v>
          </cell>
        </row>
        <row r="17">
          <cell r="B17" t="str">
            <v>Xolair</v>
          </cell>
          <cell r="C17">
            <v>0</v>
          </cell>
          <cell r="E17">
            <v>0</v>
          </cell>
          <cell r="G17">
            <v>0</v>
          </cell>
          <cell r="I17">
            <v>0</v>
          </cell>
          <cell r="K17">
            <v>0</v>
          </cell>
          <cell r="M17">
            <v>0</v>
          </cell>
          <cell r="O17">
            <v>0</v>
          </cell>
          <cell r="Q17">
            <v>0</v>
          </cell>
          <cell r="S17">
            <v>0</v>
          </cell>
          <cell r="U17">
            <v>0</v>
          </cell>
          <cell r="W17">
            <v>0</v>
          </cell>
          <cell r="Y17">
            <v>0</v>
          </cell>
          <cell r="AA17">
            <v>0</v>
          </cell>
          <cell r="AC17">
            <v>0</v>
          </cell>
          <cell r="AE17">
            <v>0</v>
          </cell>
          <cell r="AG17">
            <v>0</v>
          </cell>
          <cell r="AI17">
            <v>0</v>
          </cell>
          <cell r="AK17">
            <v>0</v>
          </cell>
          <cell r="AM17">
            <v>0</v>
          </cell>
          <cell r="AO17">
            <v>0</v>
          </cell>
          <cell r="AQ17">
            <v>0</v>
          </cell>
          <cell r="AS17">
            <v>0</v>
          </cell>
          <cell r="AU17">
            <v>6.8</v>
          </cell>
          <cell r="AW17">
            <v>18.5</v>
          </cell>
          <cell r="AY17">
            <v>25.3</v>
          </cell>
          <cell r="BA17">
            <v>30</v>
          </cell>
          <cell r="BB17" t="str">
            <v>NM</v>
          </cell>
          <cell r="BC17">
            <v>43.7</v>
          </cell>
          <cell r="BE17">
            <v>53.9</v>
          </cell>
          <cell r="BG17">
            <v>60.9</v>
          </cell>
          <cell r="BH17">
            <v>2.291891891891892</v>
          </cell>
          <cell r="BI17">
            <v>188.5</v>
          </cell>
          <cell r="BJ17">
            <v>6.4505928853754941</v>
          </cell>
          <cell r="BL17">
            <v>68.597000000000008</v>
          </cell>
          <cell r="BM17">
            <v>1.2865666666666669</v>
          </cell>
          <cell r="BN17">
            <v>80.400000000000006</v>
          </cell>
          <cell r="BO17">
            <v>0.83981693363844401</v>
          </cell>
          <cell r="BP17">
            <v>81.55</v>
          </cell>
          <cell r="BQ17">
            <v>0.51298701298701288</v>
          </cell>
          <cell r="BR17">
            <v>93.25</v>
          </cell>
          <cell r="BS17">
            <v>0.53119868637110024</v>
          </cell>
          <cell r="BT17">
            <v>323.79700000000003</v>
          </cell>
          <cell r="BU17">
            <v>0.71775596816976139</v>
          </cell>
          <cell r="BW17">
            <v>95</v>
          </cell>
          <cell r="BX17">
            <v>0.3849002142950857</v>
          </cell>
          <cell r="BY17">
            <v>106</v>
          </cell>
          <cell r="BZ17">
            <v>0.31840796019900486</v>
          </cell>
          <cell r="CA17">
            <v>108</v>
          </cell>
          <cell r="CB17">
            <v>0.32434089515634579</v>
          </cell>
          <cell r="CC17">
            <v>114</v>
          </cell>
          <cell r="CD17">
            <v>0.22252010723860582</v>
          </cell>
          <cell r="CE17">
            <v>423</v>
          </cell>
          <cell r="CF17">
            <v>0.30637405534949358</v>
          </cell>
        </row>
        <row r="18">
          <cell r="B18" t="str">
            <v>Raptiva</v>
          </cell>
          <cell r="C18">
            <v>0</v>
          </cell>
          <cell r="E18">
            <v>0</v>
          </cell>
          <cell r="G18">
            <v>0</v>
          </cell>
          <cell r="I18">
            <v>0</v>
          </cell>
          <cell r="K18">
            <v>0</v>
          </cell>
          <cell r="M18">
            <v>0</v>
          </cell>
          <cell r="O18">
            <v>0</v>
          </cell>
          <cell r="Q18">
            <v>0</v>
          </cell>
          <cell r="S18">
            <v>0</v>
          </cell>
          <cell r="U18">
            <v>0</v>
          </cell>
          <cell r="W18">
            <v>0</v>
          </cell>
          <cell r="Y18">
            <v>0</v>
          </cell>
          <cell r="AA18">
            <v>0</v>
          </cell>
          <cell r="AC18">
            <v>0</v>
          </cell>
          <cell r="AE18">
            <v>0</v>
          </cell>
          <cell r="AG18">
            <v>0</v>
          </cell>
          <cell r="AI18">
            <v>0</v>
          </cell>
          <cell r="AK18">
            <v>0</v>
          </cell>
          <cell r="AM18">
            <v>0</v>
          </cell>
          <cell r="AO18">
            <v>0</v>
          </cell>
          <cell r="AQ18">
            <v>0</v>
          </cell>
          <cell r="AS18">
            <v>0</v>
          </cell>
          <cell r="AU18">
            <v>0</v>
          </cell>
          <cell r="AW18">
            <v>1.4</v>
          </cell>
          <cell r="AY18">
            <v>1.4</v>
          </cell>
          <cell r="BA18">
            <v>6.3</v>
          </cell>
          <cell r="BB18" t="str">
            <v>NM</v>
          </cell>
          <cell r="BC18">
            <v>13.4</v>
          </cell>
          <cell r="BD18" t="str">
            <v>NM</v>
          </cell>
          <cell r="BE18">
            <v>18</v>
          </cell>
          <cell r="BF18" t="str">
            <v>NM</v>
          </cell>
          <cell r="BG18">
            <v>18.600000000000001</v>
          </cell>
          <cell r="BH18" t="str">
            <v>NM</v>
          </cell>
          <cell r="BI18">
            <v>56.300000000000004</v>
          </cell>
          <cell r="BJ18" t="str">
            <v>NM</v>
          </cell>
          <cell r="BL18">
            <v>24.114999999999998</v>
          </cell>
          <cell r="BM18">
            <v>2.8277777777777775</v>
          </cell>
          <cell r="BN18">
            <v>21.3</v>
          </cell>
          <cell r="BO18">
            <v>0.58955223880597019</v>
          </cell>
          <cell r="BP18">
            <v>20.887</v>
          </cell>
          <cell r="BQ18">
            <v>0.16038888888888891</v>
          </cell>
          <cell r="BR18">
            <v>20.452999999999999</v>
          </cell>
          <cell r="BS18">
            <v>9.9623655913978482E-2</v>
          </cell>
          <cell r="BT18">
            <v>86.754999999999995</v>
          </cell>
          <cell r="BU18">
            <v>0.54094138543516856</v>
          </cell>
          <cell r="BW18">
            <v>21</v>
          </cell>
          <cell r="BX18">
            <v>-0.12917271407837438</v>
          </cell>
          <cell r="BY18">
            <v>23</v>
          </cell>
          <cell r="BZ18">
            <v>7.9812206572769995E-2</v>
          </cell>
          <cell r="CA18">
            <v>24</v>
          </cell>
          <cell r="CB18">
            <v>0.14904007277253783</v>
          </cell>
          <cell r="CC18">
            <v>25</v>
          </cell>
          <cell r="CD18">
            <v>0.22231457487899098</v>
          </cell>
          <cell r="CE18">
            <v>93</v>
          </cell>
          <cell r="CF18">
            <v>7.1984323670105432E-2</v>
          </cell>
        </row>
        <row r="19">
          <cell r="B19" t="str">
            <v>Tarceva - US</v>
          </cell>
          <cell r="BA19">
            <v>0</v>
          </cell>
          <cell r="BC19">
            <v>0</v>
          </cell>
          <cell r="BE19">
            <v>0</v>
          </cell>
          <cell r="BG19">
            <v>13.3</v>
          </cell>
          <cell r="BI19">
            <v>13.3</v>
          </cell>
          <cell r="BL19">
            <v>47.585000000000001</v>
          </cell>
          <cell r="BN19">
            <v>70.2</v>
          </cell>
          <cell r="BP19">
            <v>73.22</v>
          </cell>
          <cell r="BR19">
            <v>83.891000000000005</v>
          </cell>
          <cell r="BT19">
            <v>274.89600000000002</v>
          </cell>
          <cell r="BU19" t="str">
            <v>NM</v>
          </cell>
          <cell r="BW19">
            <v>93</v>
          </cell>
          <cell r="BY19">
            <v>102</v>
          </cell>
          <cell r="CA19">
            <v>109</v>
          </cell>
          <cell r="CC19">
            <v>120</v>
          </cell>
          <cell r="CE19">
            <v>424</v>
          </cell>
          <cell r="CF19" t="str">
            <v>NM</v>
          </cell>
        </row>
        <row r="20">
          <cell r="B20" t="str">
            <v>Lucentis - US</v>
          </cell>
          <cell r="BW20">
            <v>0</v>
          </cell>
          <cell r="BY20">
            <v>0</v>
          </cell>
          <cell r="CA20">
            <v>40</v>
          </cell>
          <cell r="CC20">
            <v>95</v>
          </cell>
          <cell r="CE20">
            <v>135</v>
          </cell>
        </row>
        <row r="21">
          <cell r="B21" t="str">
            <v>Growth Hormone Products</v>
          </cell>
          <cell r="C21">
            <v>56.2</v>
          </cell>
          <cell r="E21">
            <v>59.3</v>
          </cell>
          <cell r="G21">
            <v>59.900000000999995</v>
          </cell>
          <cell r="I21">
            <v>45.8</v>
          </cell>
          <cell r="K21">
            <v>221.20000000099998</v>
          </cell>
          <cell r="M21">
            <v>55.1</v>
          </cell>
          <cell r="O21">
            <v>49.9</v>
          </cell>
          <cell r="Q21">
            <v>61.1</v>
          </cell>
          <cell r="S21">
            <v>60.5</v>
          </cell>
          <cell r="U21">
            <v>226.6</v>
          </cell>
          <cell r="W21">
            <v>55.499999999000018</v>
          </cell>
          <cell r="Y21">
            <v>62.5</v>
          </cell>
          <cell r="AA21">
            <v>67.7</v>
          </cell>
          <cell r="AC21">
            <v>64.53</v>
          </cell>
          <cell r="AE21">
            <v>250.229999999</v>
          </cell>
          <cell r="AG21">
            <v>67.680000000000007</v>
          </cell>
          <cell r="AI21">
            <v>75.33</v>
          </cell>
          <cell r="AK21">
            <v>77.400000000000006</v>
          </cell>
          <cell r="AM21">
            <v>76.814999999999998</v>
          </cell>
          <cell r="AO21">
            <v>297.22500000000002</v>
          </cell>
          <cell r="AQ21">
            <v>76.7</v>
          </cell>
          <cell r="AS21">
            <v>81.599999999999994</v>
          </cell>
          <cell r="AU21">
            <v>80.599999999999994</v>
          </cell>
          <cell r="AW21">
            <v>83</v>
          </cell>
          <cell r="AY21">
            <v>321.89999999999998</v>
          </cell>
          <cell r="BA21">
            <v>85.5</v>
          </cell>
          <cell r="BB21">
            <v>0.11473272490221631</v>
          </cell>
          <cell r="BC21">
            <v>88.4</v>
          </cell>
          <cell r="BD21">
            <v>8.3333333333333481E-2</v>
          </cell>
          <cell r="BE21">
            <v>87.2</v>
          </cell>
          <cell r="BF21">
            <v>8.1885856079404684E-2</v>
          </cell>
          <cell r="BG21">
            <v>92.5</v>
          </cell>
          <cell r="BH21">
            <v>0.1144578313253013</v>
          </cell>
          <cell r="BI21">
            <v>353.6</v>
          </cell>
          <cell r="BJ21">
            <v>9.8477788132960598E-2</v>
          </cell>
          <cell r="BL21">
            <v>92.087999999999994</v>
          </cell>
          <cell r="BM21">
            <v>7.7052631578947262E-2</v>
          </cell>
          <cell r="BN21">
            <v>97.116</v>
          </cell>
          <cell r="BO21">
            <v>9.8597285067873131E-2</v>
          </cell>
          <cell r="BP21">
            <v>88.584999999999994</v>
          </cell>
          <cell r="BQ21">
            <v>1.5883027522935578E-2</v>
          </cell>
          <cell r="BR21">
            <v>94.891000000000005</v>
          </cell>
          <cell r="BS21">
            <v>2.5848648648648664E-2</v>
          </cell>
          <cell r="BT21">
            <v>372.68</v>
          </cell>
          <cell r="BU21">
            <v>5.3959276018099578E-2</v>
          </cell>
          <cell r="BW21">
            <v>87</v>
          </cell>
          <cell r="BX21">
            <v>-5.5251498566588397E-2</v>
          </cell>
          <cell r="BY21">
            <v>97</v>
          </cell>
          <cell r="BZ21">
            <v>-1.194447876765925E-3</v>
          </cell>
          <cell r="CA21">
            <v>97</v>
          </cell>
          <cell r="CB21">
            <v>9.4993509059095871E-2</v>
          </cell>
          <cell r="CC21">
            <v>97</v>
          </cell>
          <cell r="CD21">
            <v>2.2225500837803391E-2</v>
          </cell>
          <cell r="CE21">
            <v>378</v>
          </cell>
          <cell r="CF21">
            <v>1.427498121712989E-2</v>
          </cell>
        </row>
        <row r="22">
          <cell r="B22" t="str">
            <v>Thrombolytics</v>
          </cell>
          <cell r="C22">
            <v>51.999999999000003</v>
          </cell>
          <cell r="E22">
            <v>58.100000000999991</v>
          </cell>
          <cell r="G22">
            <v>59.2</v>
          </cell>
          <cell r="I22">
            <v>66.700000000999992</v>
          </cell>
          <cell r="K22">
            <v>236.00000000099999</v>
          </cell>
          <cell r="M22">
            <v>47.5</v>
          </cell>
          <cell r="O22">
            <v>56.8</v>
          </cell>
          <cell r="Q22">
            <v>50.7</v>
          </cell>
          <cell r="S22">
            <v>51.2</v>
          </cell>
          <cell r="U22">
            <v>206.2</v>
          </cell>
          <cell r="W22">
            <v>52.099999999000005</v>
          </cell>
          <cell r="Y22">
            <v>51.6</v>
          </cell>
          <cell r="AA22">
            <v>48.6</v>
          </cell>
          <cell r="AC22">
            <v>44.805593250000001</v>
          </cell>
          <cell r="AE22">
            <v>197.10559324899998</v>
          </cell>
          <cell r="AG22">
            <v>42.834863389724994</v>
          </cell>
          <cell r="AI22">
            <v>43.103975852272498</v>
          </cell>
          <cell r="AK22">
            <v>45.6</v>
          </cell>
          <cell r="AM22">
            <v>48.655636966529997</v>
          </cell>
          <cell r="AO22">
            <v>180.19447620852748</v>
          </cell>
          <cell r="AQ22">
            <v>47.5</v>
          </cell>
          <cell r="AS22">
            <v>47.6</v>
          </cell>
          <cell r="AU22">
            <v>46</v>
          </cell>
          <cell r="AW22">
            <v>44.1</v>
          </cell>
          <cell r="AY22">
            <v>185.2</v>
          </cell>
          <cell r="BA22">
            <v>46.3</v>
          </cell>
          <cell r="BB22">
            <v>-2.5263157894736876E-2</v>
          </cell>
          <cell r="BC22">
            <v>51.5</v>
          </cell>
          <cell r="BD22">
            <v>8.1932773109243628E-2</v>
          </cell>
          <cell r="BE22">
            <v>54</v>
          </cell>
          <cell r="BF22">
            <v>0.17391304347826098</v>
          </cell>
          <cell r="BG22">
            <v>48.2</v>
          </cell>
          <cell r="BH22">
            <v>9.2970521541950069E-2</v>
          </cell>
          <cell r="BI22">
            <v>200</v>
          </cell>
          <cell r="BJ22">
            <v>7.9913606911447221E-2</v>
          </cell>
          <cell r="BL22">
            <v>53.57</v>
          </cell>
          <cell r="BM22">
            <v>0.15701943844492439</v>
          </cell>
          <cell r="BN22">
            <v>51.6</v>
          </cell>
          <cell r="BO22">
            <v>1.9417475728156219E-3</v>
          </cell>
          <cell r="BP22">
            <v>57.902999999999999</v>
          </cell>
          <cell r="BQ22">
            <v>7.2277777777777663E-2</v>
          </cell>
          <cell r="BR22">
            <v>58.389000000000003</v>
          </cell>
          <cell r="BS22">
            <v>0.21139004149377594</v>
          </cell>
          <cell r="BT22">
            <v>221.46200000000002</v>
          </cell>
          <cell r="BU22">
            <v>0.10731000000000002</v>
          </cell>
          <cell r="BW22">
            <v>59</v>
          </cell>
          <cell r="BX22">
            <v>0.10136270300541339</v>
          </cell>
          <cell r="BY22">
            <v>60</v>
          </cell>
          <cell r="BZ22">
            <v>0.16279069767441867</v>
          </cell>
          <cell r="CA22">
            <v>60</v>
          </cell>
          <cell r="CB22">
            <v>3.6215740117092388E-2</v>
          </cell>
          <cell r="CC22">
            <v>60</v>
          </cell>
          <cell r="CD22">
            <v>2.7590813338128628E-2</v>
          </cell>
          <cell r="CE22">
            <v>239</v>
          </cell>
          <cell r="CF22">
            <v>7.91919155430727E-2</v>
          </cell>
        </row>
        <row r="23">
          <cell r="B23" t="str">
            <v>Pulmozyme</v>
          </cell>
          <cell r="C23">
            <v>28.199999999000003</v>
          </cell>
          <cell r="E23">
            <v>30.600000000999994</v>
          </cell>
          <cell r="G23">
            <v>26.999999999000003</v>
          </cell>
          <cell r="I23">
            <v>25.599999999000005</v>
          </cell>
          <cell r="K23">
            <v>111.399999998</v>
          </cell>
          <cell r="M23">
            <v>26.8</v>
          </cell>
          <cell r="O23">
            <v>32.300000000999994</v>
          </cell>
          <cell r="Q23">
            <v>29.999999999000003</v>
          </cell>
          <cell r="S23">
            <v>32.700000000999992</v>
          </cell>
          <cell r="U23">
            <v>121.80000000099999</v>
          </cell>
          <cell r="W23">
            <v>29.899999999000006</v>
          </cell>
          <cell r="Y23">
            <v>28.1</v>
          </cell>
          <cell r="AA23">
            <v>32.799999999999997</v>
          </cell>
          <cell r="AC23">
            <v>32.077500000000001</v>
          </cell>
          <cell r="AE23">
            <v>122.87749999900001</v>
          </cell>
          <cell r="AG23">
            <v>31.6875</v>
          </cell>
          <cell r="AI23">
            <v>35.1</v>
          </cell>
          <cell r="AK23">
            <v>38.200000000000003</v>
          </cell>
          <cell r="AM23">
            <v>33.052500000000002</v>
          </cell>
          <cell r="AO23">
            <v>138.04</v>
          </cell>
          <cell r="AQ23">
            <v>39.6</v>
          </cell>
          <cell r="AS23">
            <v>42.6</v>
          </cell>
          <cell r="AU23">
            <v>40.4</v>
          </cell>
          <cell r="AW23">
            <v>44.6</v>
          </cell>
          <cell r="AY23">
            <v>167.2</v>
          </cell>
          <cell r="BA23">
            <v>43.4</v>
          </cell>
          <cell r="BB23">
            <v>9.59595959595958E-2</v>
          </cell>
          <cell r="BC23">
            <v>41</v>
          </cell>
          <cell r="BD23">
            <v>-3.7558685446009377E-2</v>
          </cell>
          <cell r="BE23">
            <v>45.7</v>
          </cell>
          <cell r="BF23">
            <v>0.1311881188118813</v>
          </cell>
          <cell r="BG23">
            <v>47.6</v>
          </cell>
          <cell r="BH23">
            <v>6.7264573991031362E-2</v>
          </cell>
          <cell r="BI23">
            <v>177.70000000000002</v>
          </cell>
          <cell r="BJ23">
            <v>6.2799043062201187E-2</v>
          </cell>
          <cell r="BL23">
            <v>51.745999999999995</v>
          </cell>
          <cell r="BM23">
            <v>0.19230414746543767</v>
          </cell>
          <cell r="BN23">
            <v>46.9</v>
          </cell>
          <cell r="BO23">
            <v>0.14390243902439015</v>
          </cell>
          <cell r="BP23">
            <v>46.593000000000004</v>
          </cell>
          <cell r="BQ23">
            <v>1.9540481400437626E-2</v>
          </cell>
          <cell r="BR23">
            <v>49.008000000000003</v>
          </cell>
          <cell r="BS23">
            <v>2.9579831932773137E-2</v>
          </cell>
          <cell r="BT23">
            <v>194.24699999999999</v>
          </cell>
          <cell r="BU23">
            <v>9.3117613956105627E-2</v>
          </cell>
          <cell r="BW23">
            <v>49</v>
          </cell>
          <cell r="BX23">
            <v>-5.3066903722026715E-2</v>
          </cell>
          <cell r="BY23">
            <v>52</v>
          </cell>
          <cell r="BZ23">
            <v>0.10874200426439229</v>
          </cell>
          <cell r="CA23">
            <v>52</v>
          </cell>
          <cell r="CB23">
            <v>0.11604747494258794</v>
          </cell>
          <cell r="CC23">
            <v>52</v>
          </cell>
          <cell r="CD23">
            <v>6.1051256937642684E-2</v>
          </cell>
          <cell r="CE23">
            <v>205</v>
          </cell>
          <cell r="CF23">
            <v>5.5357354296334149E-2</v>
          </cell>
        </row>
        <row r="24">
          <cell r="B24" t="str">
            <v>Actimmune</v>
          </cell>
          <cell r="C24">
            <v>0.7</v>
          </cell>
          <cell r="E24">
            <v>0.7</v>
          </cell>
          <cell r="G24">
            <v>0.4</v>
          </cell>
          <cell r="I24">
            <v>0.9</v>
          </cell>
          <cell r="K24">
            <v>2.6999999999999997</v>
          </cell>
          <cell r="M24">
            <v>0</v>
          </cell>
          <cell r="O24">
            <v>0.9</v>
          </cell>
          <cell r="Q24">
            <v>1.9</v>
          </cell>
          <cell r="S24">
            <v>0.9</v>
          </cell>
          <cell r="U24">
            <v>3.6999999999999997</v>
          </cell>
          <cell r="W24">
            <v>0.9</v>
          </cell>
          <cell r="Y24">
            <v>1.6</v>
          </cell>
          <cell r="AA24">
            <v>2.9</v>
          </cell>
          <cell r="AC24">
            <v>1.5</v>
          </cell>
          <cell r="AE24">
            <v>6.9</v>
          </cell>
          <cell r="AG24">
            <v>0</v>
          </cell>
          <cell r="AI24">
            <v>0</v>
          </cell>
          <cell r="AK24">
            <v>0</v>
          </cell>
          <cell r="AM24">
            <v>0</v>
          </cell>
          <cell r="AO24">
            <v>0</v>
          </cell>
          <cell r="AQ24">
            <v>0</v>
          </cell>
          <cell r="AS24">
            <v>0</v>
          </cell>
          <cell r="AU24">
            <v>0</v>
          </cell>
          <cell r="AW24">
            <v>0</v>
          </cell>
          <cell r="AY24">
            <v>0</v>
          </cell>
          <cell r="BA24">
            <v>0</v>
          </cell>
          <cell r="BC24">
            <v>0</v>
          </cell>
          <cell r="BE24">
            <v>0</v>
          </cell>
          <cell r="BG24">
            <v>0</v>
          </cell>
          <cell r="BI24">
            <v>0</v>
          </cell>
          <cell r="BL24">
            <v>0</v>
          </cell>
          <cell r="BN24">
            <v>0</v>
          </cell>
          <cell r="BP24">
            <v>0</v>
          </cell>
          <cell r="BR24">
            <v>0</v>
          </cell>
          <cell r="BT24">
            <v>0</v>
          </cell>
          <cell r="BW24">
            <v>0</v>
          </cell>
          <cell r="BY24">
            <v>0</v>
          </cell>
          <cell r="CA24">
            <v>0</v>
          </cell>
          <cell r="CC24">
            <v>0</v>
          </cell>
          <cell r="CE24">
            <v>0</v>
          </cell>
        </row>
        <row r="25">
          <cell r="B25" t="str">
            <v>Other</v>
          </cell>
          <cell r="AU25">
            <v>1.7220000000000937</v>
          </cell>
          <cell r="AW25">
            <v>4.9000000000000004</v>
          </cell>
          <cell r="AY25">
            <v>6.622000000000094</v>
          </cell>
          <cell r="BA25">
            <v>0</v>
          </cell>
          <cell r="BC25">
            <v>0</v>
          </cell>
          <cell r="BE25">
            <v>0</v>
          </cell>
          <cell r="BG25">
            <v>10.6</v>
          </cell>
          <cell r="BI25">
            <v>10.6</v>
          </cell>
          <cell r="BL25">
            <v>19.696000000000002</v>
          </cell>
          <cell r="BN25">
            <v>24.5</v>
          </cell>
          <cell r="BP25">
            <v>0</v>
          </cell>
          <cell r="BR25">
            <v>0</v>
          </cell>
          <cell r="BT25">
            <v>44.195999999999998</v>
          </cell>
          <cell r="BW25">
            <v>20</v>
          </cell>
          <cell r="BY25">
            <v>0</v>
          </cell>
          <cell r="CA25">
            <v>0</v>
          </cell>
          <cell r="CC25">
            <v>0</v>
          </cell>
          <cell r="CE25">
            <v>20</v>
          </cell>
        </row>
        <row r="26">
          <cell r="B26" t="str">
            <v>Product Sales</v>
          </cell>
          <cell r="C26">
            <v>273.99999999700003</v>
          </cell>
          <cell r="E26">
            <v>315.50000000200004</v>
          </cell>
          <cell r="G26">
            <v>314.90000000099997</v>
          </cell>
          <cell r="I26">
            <v>323.09999999999991</v>
          </cell>
          <cell r="K26">
            <v>1227.5000000000002</v>
          </cell>
          <cell r="M26">
            <v>378.39006622616557</v>
          </cell>
          <cell r="O26">
            <v>385.15077262893152</v>
          </cell>
          <cell r="Q26">
            <v>425.56379690849229</v>
          </cell>
          <cell r="S26">
            <v>423.25275938289838</v>
          </cell>
          <cell r="U26">
            <v>1612.3573951464878</v>
          </cell>
          <cell r="W26">
            <v>500.09999999700005</v>
          </cell>
          <cell r="Y26">
            <v>521.01999999899999</v>
          </cell>
          <cell r="AA26">
            <v>572.87999999999988</v>
          </cell>
          <cell r="AC26">
            <v>639.05806881000001</v>
          </cell>
          <cell r="AE26">
            <v>2233.0580688059999</v>
          </cell>
          <cell r="AG26">
            <v>476.53760687772501</v>
          </cell>
          <cell r="AI26">
            <v>523.54184124299252</v>
          </cell>
          <cell r="AK26">
            <v>551.80000000000007</v>
          </cell>
          <cell r="AM26">
            <v>611.74911154892993</v>
          </cell>
          <cell r="AO26">
            <v>2163.6285596696475</v>
          </cell>
          <cell r="AQ26">
            <v>598.5</v>
          </cell>
          <cell r="AS26">
            <v>644.29999999999995</v>
          </cell>
          <cell r="AU26">
            <v>654.92200000000014</v>
          </cell>
          <cell r="AW26">
            <v>723.8</v>
          </cell>
          <cell r="AY26">
            <v>2621.5219999999999</v>
          </cell>
          <cell r="BA26">
            <v>763.7</v>
          </cell>
          <cell r="BB26">
            <v>0.27602339181286561</v>
          </cell>
          <cell r="BC26">
            <v>913.36599999999999</v>
          </cell>
          <cell r="BD26">
            <v>0.41760980909514211</v>
          </cell>
          <cell r="BE26">
            <v>1005.5</v>
          </cell>
          <cell r="BF26">
            <v>0.53529733311753125</v>
          </cell>
          <cell r="BG26">
            <v>1066.3000000000002</v>
          </cell>
          <cell r="BH26">
            <v>0.47319701575020767</v>
          </cell>
          <cell r="BI26">
            <v>3748.9</v>
          </cell>
          <cell r="BJ26">
            <v>0.43004712529591593</v>
          </cell>
          <cell r="BL26">
            <v>1186.0020000000002</v>
          </cell>
          <cell r="BM26">
            <v>0.55296844310593185</v>
          </cell>
          <cell r="BN26">
            <v>1274.1490000000001</v>
          </cell>
          <cell r="BO26">
            <v>0.39500375534013754</v>
          </cell>
          <cell r="BP26">
            <v>1450.9689999999998</v>
          </cell>
          <cell r="BQ26">
            <v>0.44303232222774724</v>
          </cell>
          <cell r="BR26">
            <v>1576.9650000000001</v>
          </cell>
          <cell r="BS26">
            <v>0.47891306386570376</v>
          </cell>
          <cell r="BT26">
            <v>5488.085</v>
          </cell>
          <cell r="BU26">
            <v>0.46391874949985334</v>
          </cell>
          <cell r="BW26">
            <v>1644</v>
          </cell>
          <cell r="BX26">
            <v>0.38616966919111406</v>
          </cell>
          <cell r="BY26">
            <v>1833.6799999999998</v>
          </cell>
          <cell r="BZ26">
            <v>0.43914094819365679</v>
          </cell>
          <cell r="CA26">
            <v>1989.4</v>
          </cell>
          <cell r="CB26">
            <v>0.37108373783313109</v>
          </cell>
          <cell r="CC26">
            <v>2180.2800000000002</v>
          </cell>
          <cell r="CD26">
            <v>0.38257982897527842</v>
          </cell>
          <cell r="CE26">
            <v>7647.3600000000006</v>
          </cell>
          <cell r="CF26">
            <v>0.39344780556423609</v>
          </cell>
        </row>
        <row r="27">
          <cell r="B27" t="str">
            <v>Royalties</v>
          </cell>
          <cell r="C27">
            <v>46.618000000000002</v>
          </cell>
          <cell r="E27">
            <v>45.985999999999997</v>
          </cell>
          <cell r="G27">
            <v>46.128</v>
          </cell>
          <cell r="I27">
            <v>50.537999999999997</v>
          </cell>
          <cell r="K27">
            <v>189.26999999999998</v>
          </cell>
          <cell r="M27">
            <v>47.344000000000001</v>
          </cell>
          <cell r="O27">
            <v>49.643000000000001</v>
          </cell>
          <cell r="Q27">
            <v>51.817999999999998</v>
          </cell>
          <cell r="S27">
            <v>58.436</v>
          </cell>
          <cell r="U27">
            <v>207.24100000000001</v>
          </cell>
          <cell r="W27">
            <v>74.631</v>
          </cell>
          <cell r="Y27">
            <v>52.445999999999998</v>
          </cell>
          <cell r="AA27">
            <v>66.051000000000002</v>
          </cell>
          <cell r="AC27">
            <v>71.346000000000004</v>
          </cell>
          <cell r="AE27">
            <v>264.47399999999999</v>
          </cell>
          <cell r="AG27">
            <v>81.843000000000004</v>
          </cell>
          <cell r="AI27">
            <v>85.534999999999997</v>
          </cell>
          <cell r="AK27">
            <v>85.081999999999994</v>
          </cell>
          <cell r="AM27">
            <v>113.09</v>
          </cell>
          <cell r="AO27">
            <v>365.54999999999995</v>
          </cell>
          <cell r="AQ27">
            <v>113.27500000000001</v>
          </cell>
          <cell r="AS27">
            <v>122.786</v>
          </cell>
          <cell r="AU27">
            <v>116.5</v>
          </cell>
          <cell r="AW27">
            <v>148.30699999999999</v>
          </cell>
          <cell r="AY27">
            <v>500.86800000000005</v>
          </cell>
          <cell r="BA27">
            <v>154.09700000000001</v>
          </cell>
          <cell r="BB27">
            <v>0.36037960715073947</v>
          </cell>
          <cell r="BC27">
            <v>151.86000000000001</v>
          </cell>
          <cell r="BD27">
            <v>0.23678595279592152</v>
          </cell>
          <cell r="BE27">
            <v>153.9</v>
          </cell>
          <cell r="BF27">
            <v>0.32103004291845494</v>
          </cell>
          <cell r="BG27">
            <v>181.24300000000002</v>
          </cell>
          <cell r="BH27">
            <v>0.2220798748541879</v>
          </cell>
          <cell r="BI27">
            <v>641.1</v>
          </cell>
          <cell r="BJ27">
            <v>0.27997795826445282</v>
          </cell>
          <cell r="BL27">
            <v>231.9</v>
          </cell>
          <cell r="BM27">
            <v>0.50489626663724785</v>
          </cell>
          <cell r="BN27">
            <v>200.321</v>
          </cell>
          <cell r="BO27">
            <v>0.31911629132095332</v>
          </cell>
          <cell r="BP27">
            <v>237.77699999999999</v>
          </cell>
          <cell r="BQ27">
            <v>0.54500974658869383</v>
          </cell>
          <cell r="BR27">
            <v>265.09899999999999</v>
          </cell>
          <cell r="BS27">
            <v>0.46267166180211072</v>
          </cell>
          <cell r="BT27">
            <v>935.09699999999998</v>
          </cell>
          <cell r="BU27">
            <v>0.45858212447356106</v>
          </cell>
          <cell r="BW27">
            <v>286</v>
          </cell>
          <cell r="BX27">
            <v>0.23329021129797334</v>
          </cell>
          <cell r="BY27">
            <v>299.89999999999998</v>
          </cell>
          <cell r="BZ27">
            <v>0.49709715905970908</v>
          </cell>
          <cell r="CA27">
            <v>325.3</v>
          </cell>
          <cell r="CB27">
            <v>0.36808858720565918</v>
          </cell>
          <cell r="CC27">
            <v>346.8</v>
          </cell>
          <cell r="CD27">
            <v>0.30819052504913258</v>
          </cell>
          <cell r="CE27">
            <v>1258</v>
          </cell>
          <cell r="CF27">
            <v>0.34531497801832334</v>
          </cell>
        </row>
        <row r="28">
          <cell r="B28" t="str">
            <v>Contract and Other</v>
          </cell>
          <cell r="C28">
            <v>19.265999999999998</v>
          </cell>
          <cell r="E28">
            <v>37.578000000000003</v>
          </cell>
          <cell r="G28">
            <v>7.5030000000000001</v>
          </cell>
          <cell r="I28">
            <v>18.895</v>
          </cell>
          <cell r="K28">
            <v>83.242000000000004</v>
          </cell>
          <cell r="M28">
            <v>33.695999999999998</v>
          </cell>
          <cell r="O28">
            <v>32.348999999999997</v>
          </cell>
          <cell r="Q28">
            <v>33.478999999999999</v>
          </cell>
          <cell r="S28">
            <v>54.363999999999997</v>
          </cell>
          <cell r="U28">
            <v>151.72999999999999</v>
          </cell>
          <cell r="W28">
            <v>28.478999999999999</v>
          </cell>
          <cell r="Y28">
            <v>20.934999999999999</v>
          </cell>
          <cell r="AA28">
            <v>8.9410000000000007</v>
          </cell>
          <cell r="AC28">
            <v>6.0019999999999998</v>
          </cell>
          <cell r="AE28">
            <v>62.198999999999998</v>
          </cell>
          <cell r="AG28">
            <v>9.6999999999999993</v>
          </cell>
          <cell r="AI28">
            <v>13.2</v>
          </cell>
          <cell r="AK28">
            <v>13.22</v>
          </cell>
          <cell r="AM28">
            <v>18.3</v>
          </cell>
          <cell r="AO28">
            <v>54.42</v>
          </cell>
          <cell r="AQ28">
            <v>37.914999999999999</v>
          </cell>
          <cell r="AS28">
            <v>32.601999999999997</v>
          </cell>
          <cell r="AU28">
            <v>45.6</v>
          </cell>
          <cell r="AW28">
            <v>61.756</v>
          </cell>
          <cell r="AY28">
            <v>177.87299999999999</v>
          </cell>
          <cell r="BA28">
            <v>57.338000000000001</v>
          </cell>
          <cell r="BB28">
            <v>0.51227746274561525</v>
          </cell>
          <cell r="BC28">
            <v>62.851999999999997</v>
          </cell>
          <cell r="BD28">
            <v>0.92785718667566419</v>
          </cell>
          <cell r="BE28">
            <v>43.2</v>
          </cell>
          <cell r="BF28">
            <v>-5.2631578947368363E-2</v>
          </cell>
          <cell r="BG28">
            <v>67.809999999999988</v>
          </cell>
          <cell r="BH28">
            <v>9.8030960554439828E-2</v>
          </cell>
          <cell r="BI28">
            <v>231.2</v>
          </cell>
          <cell r="BJ28">
            <v>0.29980379259359213</v>
          </cell>
          <cell r="BL28">
            <v>43.7</v>
          </cell>
          <cell r="BM28">
            <v>-0.23785273291708808</v>
          </cell>
          <cell r="BN28">
            <v>52.442999999999998</v>
          </cell>
          <cell r="BO28">
            <v>-0.16561127728632341</v>
          </cell>
          <cell r="BP28">
            <v>63.066000000000003</v>
          </cell>
          <cell r="BQ28">
            <v>0.45986111111111105</v>
          </cell>
          <cell r="BR28">
            <v>51.031999999999996</v>
          </cell>
          <cell r="BS28">
            <v>-0.24742663323993508</v>
          </cell>
          <cell r="BT28">
            <v>210.24099999999999</v>
          </cell>
          <cell r="BU28">
            <v>-9.065311418685118E-2</v>
          </cell>
          <cell r="BW28">
            <v>56</v>
          </cell>
          <cell r="BX28">
            <v>0.28146453089244838</v>
          </cell>
          <cell r="BY28">
            <v>52</v>
          </cell>
          <cell r="BZ28">
            <v>-8.4472665560703097E-3</v>
          </cell>
          <cell r="CA28">
            <v>52</v>
          </cell>
          <cell r="CB28">
            <v>-0.17546697110963116</v>
          </cell>
          <cell r="CC28">
            <v>55</v>
          </cell>
          <cell r="CD28">
            <v>7.7755134033547613E-2</v>
          </cell>
          <cell r="CE28">
            <v>215</v>
          </cell>
          <cell r="CF28">
            <v>2.2635927340528328E-2</v>
          </cell>
        </row>
        <row r="29">
          <cell r="B29" t="str">
            <v>Total Operating Revenue</v>
          </cell>
          <cell r="C29">
            <v>339.88399999700005</v>
          </cell>
          <cell r="E29">
            <v>399.06400000200006</v>
          </cell>
          <cell r="G29">
            <v>368.53100000099994</v>
          </cell>
          <cell r="I29">
            <v>392.5329999999999</v>
          </cell>
          <cell r="K29">
            <v>1500.0120000000002</v>
          </cell>
          <cell r="M29">
            <v>459.43006622616554</v>
          </cell>
          <cell r="O29">
            <v>467.14277262893148</v>
          </cell>
          <cell r="Q29">
            <v>510.86079690849226</v>
          </cell>
          <cell r="S29">
            <v>536.05275938289833</v>
          </cell>
          <cell r="U29">
            <v>1973.4863951464877</v>
          </cell>
          <cell r="W29">
            <v>603.20999999700007</v>
          </cell>
          <cell r="Y29">
            <v>594.40099999899996</v>
          </cell>
          <cell r="AA29">
            <v>647.87199999999996</v>
          </cell>
          <cell r="AC29">
            <v>716.40606880999997</v>
          </cell>
          <cell r="AE29">
            <v>2561.8890688059996</v>
          </cell>
          <cell r="AG29">
            <v>568.08060687772502</v>
          </cell>
          <cell r="AI29">
            <v>622.27684124299253</v>
          </cell>
          <cell r="AK29">
            <v>650.10200000000009</v>
          </cell>
          <cell r="AM29">
            <v>743.13911154892992</v>
          </cell>
          <cell r="AO29">
            <v>2583.5985596696473</v>
          </cell>
          <cell r="AQ29">
            <v>749.68999999999994</v>
          </cell>
          <cell r="AS29">
            <v>799.68799999999999</v>
          </cell>
          <cell r="AU29">
            <v>817.02200000000016</v>
          </cell>
          <cell r="AW29">
            <v>933.86299999999994</v>
          </cell>
          <cell r="AY29">
            <v>3300.2629999999999</v>
          </cell>
          <cell r="BA29">
            <v>975.13499999999999</v>
          </cell>
          <cell r="BB29">
            <v>0.30071762995371421</v>
          </cell>
          <cell r="BC29">
            <v>1128.0780000000002</v>
          </cell>
          <cell r="BD29">
            <v>0.41064765258450819</v>
          </cell>
          <cell r="BE29">
            <v>1202.6000000000001</v>
          </cell>
          <cell r="BF29">
            <v>0.47193098839443715</v>
          </cell>
          <cell r="BG29">
            <v>1315.3530000000001</v>
          </cell>
          <cell r="BH29">
            <v>0.40850745773202291</v>
          </cell>
          <cell r="BI29">
            <v>4621.2</v>
          </cell>
          <cell r="BJ29">
            <v>0.40025204051919494</v>
          </cell>
          <cell r="BL29">
            <v>1461.6020000000003</v>
          </cell>
          <cell r="BM29">
            <v>0.49887143831366965</v>
          </cell>
          <cell r="BN29">
            <v>1526.913</v>
          </cell>
          <cell r="BO29">
            <v>0.35355267986788119</v>
          </cell>
          <cell r="BP29">
            <v>1751.8119999999999</v>
          </cell>
          <cell r="BQ29">
            <v>0.45668717778147316</v>
          </cell>
          <cell r="BR29">
            <v>1893.096</v>
          </cell>
          <cell r="BS29">
            <v>0.43923038150215188</v>
          </cell>
          <cell r="BT29">
            <v>6633.4230000000007</v>
          </cell>
          <cell r="BU29">
            <v>0.43543300441443811</v>
          </cell>
          <cell r="BW29">
            <v>1986</v>
          </cell>
          <cell r="BX29">
            <v>0.35878303395862865</v>
          </cell>
          <cell r="BY29">
            <v>2185.58</v>
          </cell>
          <cell r="BZ29">
            <v>0.43137166295656648</v>
          </cell>
          <cell r="CA29">
            <v>2366.7000000000003</v>
          </cell>
          <cell r="CB29">
            <v>0.35100113482496997</v>
          </cell>
          <cell r="CC29">
            <v>2582.0800000000004</v>
          </cell>
          <cell r="CD29">
            <v>0.36394562135253583</v>
          </cell>
          <cell r="CE29">
            <v>9120.36</v>
          </cell>
          <cell r="CF29">
            <v>0.37491005774846564</v>
          </cell>
        </row>
        <row r="30">
          <cell r="B30" t="str">
            <v>Cost of Sales</v>
          </cell>
          <cell r="C30">
            <v>45.722999999999999</v>
          </cell>
          <cell r="E30">
            <v>52.680999999999997</v>
          </cell>
          <cell r="G30">
            <v>45.936</v>
          </cell>
          <cell r="I30">
            <v>47.850999999999999</v>
          </cell>
          <cell r="K30">
            <v>192.191</v>
          </cell>
          <cell r="M30">
            <v>62.856999999999999</v>
          </cell>
          <cell r="O30">
            <v>66.283000000000001</v>
          </cell>
          <cell r="Q30">
            <v>75.584000000000003</v>
          </cell>
          <cell r="S30">
            <v>67.343999999999994</v>
          </cell>
          <cell r="U30">
            <v>272.06799999999998</v>
          </cell>
          <cell r="W30">
            <v>83.796000000000006</v>
          </cell>
          <cell r="Y30">
            <v>76.188000000000002</v>
          </cell>
          <cell r="AA30">
            <v>96.03</v>
          </cell>
          <cell r="AC30">
            <v>98.427999999999997</v>
          </cell>
          <cell r="AE30">
            <v>354.44200000000001</v>
          </cell>
          <cell r="AG30">
            <v>102.444</v>
          </cell>
          <cell r="AI30">
            <v>106.867</v>
          </cell>
          <cell r="AK30">
            <v>112.48099999999999</v>
          </cell>
          <cell r="AM30">
            <v>119.83799999999999</v>
          </cell>
          <cell r="AO30">
            <v>441.63</v>
          </cell>
          <cell r="AQ30">
            <v>114.842</v>
          </cell>
          <cell r="AS30">
            <v>123.407</v>
          </cell>
          <cell r="AU30">
            <v>115.7</v>
          </cell>
          <cell r="AW30">
            <v>126.202</v>
          </cell>
          <cell r="AY30">
            <v>480.15100000000001</v>
          </cell>
          <cell r="BA30">
            <v>114.48</v>
          </cell>
          <cell r="BB30">
            <v>-3.152156876404022E-3</v>
          </cell>
          <cell r="BC30">
            <v>186.68299999999999</v>
          </cell>
          <cell r="BD30">
            <v>0.51274238900548585</v>
          </cell>
          <cell r="BE30">
            <v>165.99</v>
          </cell>
          <cell r="BF30">
            <v>0.43465859982713928</v>
          </cell>
          <cell r="BG30">
            <v>205.34699999999998</v>
          </cell>
          <cell r="BH30">
            <v>0.62712952251152898</v>
          </cell>
          <cell r="BI30">
            <v>672.5</v>
          </cell>
          <cell r="BJ30">
            <v>0.40060106091625336</v>
          </cell>
          <cell r="BL30">
            <v>251.041</v>
          </cell>
          <cell r="BM30">
            <v>1.1928808525506636</v>
          </cell>
          <cell r="BN30">
            <v>269.48099999999999</v>
          </cell>
          <cell r="BO30">
            <v>0.44352190611892883</v>
          </cell>
          <cell r="BP30">
            <v>245.62700000000001</v>
          </cell>
          <cell r="BQ30">
            <v>0.47976986565455748</v>
          </cell>
          <cell r="BR30">
            <v>244.91399999999999</v>
          </cell>
          <cell r="BS30">
            <v>0.19268360385104244</v>
          </cell>
          <cell r="BT30">
            <v>1011.0629999999999</v>
          </cell>
          <cell r="BU30">
            <v>0.50343940520446084</v>
          </cell>
          <cell r="BW30">
            <v>262</v>
          </cell>
          <cell r="BX30">
            <v>4.3654223812046755E-2</v>
          </cell>
          <cell r="BY30">
            <v>293.3888</v>
          </cell>
          <cell r="BZ30">
            <v>8.8717943008969069E-2</v>
          </cell>
          <cell r="CA30">
            <v>318.30400000000003</v>
          </cell>
          <cell r="CB30">
            <v>0.29588359585876156</v>
          </cell>
          <cell r="CC30">
            <v>348.84480000000002</v>
          </cell>
          <cell r="CD30">
            <v>0.42435630466204488</v>
          </cell>
          <cell r="CE30">
            <v>1222.5376000000001</v>
          </cell>
          <cell r="CF30">
            <v>0.20916065566636322</v>
          </cell>
        </row>
        <row r="31">
          <cell r="B31" t="str">
            <v>% of Product Sales</v>
          </cell>
          <cell r="C31">
            <v>0.19589974293310924</v>
          </cell>
          <cell r="E31">
            <v>0.19613179448848747</v>
          </cell>
          <cell r="G31">
            <v>0.17230307576829593</v>
          </cell>
          <cell r="I31">
            <v>0.17868185212845411</v>
          </cell>
          <cell r="K31">
            <v>0.18544094944037051</v>
          </cell>
          <cell r="M31">
            <v>0.22195268361503551</v>
          </cell>
          <cell r="O31">
            <v>0.21485575364528459</v>
          </cell>
          <cell r="Q31">
            <v>0.22745711706357946</v>
          </cell>
          <cell r="S31">
            <v>0.19208214489391873</v>
          </cell>
          <cell r="U31">
            <v>0.21345363251165828</v>
          </cell>
          <cell r="W31">
            <v>0.2143120204620024</v>
          </cell>
          <cell r="Y31">
            <v>0.18641546366573625</v>
          </cell>
          <cell r="AA31">
            <v>0.21541049798115744</v>
          </cell>
          <cell r="AC31">
            <v>0.20089886103170068</v>
          </cell>
          <cell r="AE31">
            <v>0.20423776933962265</v>
          </cell>
          <cell r="AG31">
            <v>0.21497568821737537</v>
          </cell>
          <cell r="AI31">
            <v>0.20412313129792353</v>
          </cell>
          <cell r="AK31">
            <v>0.20384378397970276</v>
          </cell>
          <cell r="AM31">
            <v>0.1958940319448505</v>
          </cell>
          <cell r="AO31">
            <v>0.2041154421013143</v>
          </cell>
          <cell r="AQ31">
            <v>0.19188304093567252</v>
          </cell>
          <cell r="AS31">
            <v>0.19153655129598013</v>
          </cell>
          <cell r="AT31" t="e">
            <v>#DIV/0!</v>
          </cell>
          <cell r="AU31">
            <v>0.17666225901710431</v>
          </cell>
          <cell r="AW31">
            <v>0.1743603205305333</v>
          </cell>
          <cell r="AY31">
            <v>0.18315734142227302</v>
          </cell>
          <cell r="BA31">
            <v>0.14990179389812752</v>
          </cell>
          <cell r="BC31">
            <v>0.20439013495137764</v>
          </cell>
          <cell r="BE31">
            <v>0.16508204873197416</v>
          </cell>
          <cell r="BG31">
            <v>0.19257901153521517</v>
          </cell>
          <cell r="BI31">
            <v>0.17938595321294246</v>
          </cell>
          <cell r="BL31">
            <v>0.21166996345705991</v>
          </cell>
          <cell r="BN31">
            <v>0.21149881214834371</v>
          </cell>
          <cell r="BP31">
            <v>0.16928480208743263</v>
          </cell>
          <cell r="BR31">
            <v>0.15530718817475339</v>
          </cell>
          <cell r="BT31">
            <v>0.18422874281283907</v>
          </cell>
          <cell r="BW31">
            <v>0.15936739659367397</v>
          </cell>
          <cell r="BY31">
            <v>0.16</v>
          </cell>
          <cell r="CA31">
            <v>0.16</v>
          </cell>
          <cell r="CC31">
            <v>0.16</v>
          </cell>
          <cell r="CE31">
            <v>0.15986400535609674</v>
          </cell>
        </row>
        <row r="32">
          <cell r="B32" t="str">
            <v>Research and Development</v>
          </cell>
          <cell r="C32">
            <v>90.74</v>
          </cell>
          <cell r="E32">
            <v>94.210999999999999</v>
          </cell>
          <cell r="G32">
            <v>84.629000000000005</v>
          </cell>
          <cell r="I32">
            <v>96.572999999999993</v>
          </cell>
          <cell r="K32">
            <v>367.29099999999994</v>
          </cell>
          <cell r="M32">
            <v>111.40600000000001</v>
          </cell>
          <cell r="O32">
            <v>115.563</v>
          </cell>
          <cell r="Q32">
            <v>113.636</v>
          </cell>
          <cell r="S32">
            <v>149.274</v>
          </cell>
          <cell r="U32">
            <v>489.87900000000002</v>
          </cell>
          <cell r="W32">
            <v>136.34</v>
          </cell>
          <cell r="Y32">
            <v>123.44799999999999</v>
          </cell>
          <cell r="AA32">
            <v>128.19499999999999</v>
          </cell>
          <cell r="AC32">
            <v>138.24700000000001</v>
          </cell>
          <cell r="AE32">
            <v>526.23</v>
          </cell>
          <cell r="AG32">
            <v>146.691</v>
          </cell>
          <cell r="AI32">
            <v>147.922</v>
          </cell>
          <cell r="AK32">
            <v>143.65899999999999</v>
          </cell>
          <cell r="AM32">
            <v>185.21</v>
          </cell>
          <cell r="AO32">
            <v>623.48199999999997</v>
          </cell>
          <cell r="AQ32">
            <v>157.43299999999999</v>
          </cell>
          <cell r="AS32">
            <v>180.203</v>
          </cell>
          <cell r="AU32">
            <v>168.7</v>
          </cell>
          <cell r="AW32">
            <v>215.62700000000001</v>
          </cell>
          <cell r="AY32">
            <v>721.96299999999997</v>
          </cell>
          <cell r="BA32">
            <v>190.345</v>
          </cell>
          <cell r="BB32">
            <v>0.2090540102773879</v>
          </cell>
          <cell r="BC32">
            <v>212.886</v>
          </cell>
          <cell r="BD32">
            <v>0.18136767978335544</v>
          </cell>
          <cell r="BE32">
            <v>234.08600000000001</v>
          </cell>
          <cell r="BF32">
            <v>0.38758743331357448</v>
          </cell>
          <cell r="BG32">
            <v>310.18299999999999</v>
          </cell>
          <cell r="BH32">
            <v>0.43851651231061028</v>
          </cell>
          <cell r="BI32">
            <v>947.5</v>
          </cell>
          <cell r="BJ32">
            <v>0.3123941254607232</v>
          </cell>
          <cell r="BL32">
            <v>243.24</v>
          </cell>
          <cell r="BM32">
            <v>0.27789014683863522</v>
          </cell>
          <cell r="BN32">
            <v>278.12400000000002</v>
          </cell>
          <cell r="BO32">
            <v>0.30644570333417898</v>
          </cell>
          <cell r="BP32">
            <v>328.85</v>
          </cell>
          <cell r="BQ32">
            <v>0.40482557692471999</v>
          </cell>
          <cell r="BR32">
            <v>411.61</v>
          </cell>
          <cell r="BS32">
            <v>0.32699084089070007</v>
          </cell>
          <cell r="BT32">
            <v>1261.8240000000001</v>
          </cell>
          <cell r="BU32">
            <v>0.33174036939314</v>
          </cell>
          <cell r="BW32">
            <v>341</v>
          </cell>
          <cell r="BX32">
            <v>0.40190758098996859</v>
          </cell>
          <cell r="BY32">
            <v>399.96114</v>
          </cell>
          <cell r="BZ32">
            <v>0.438067696423178</v>
          </cell>
          <cell r="CA32">
            <v>437.83950000000004</v>
          </cell>
          <cell r="CB32">
            <v>0.33142618214991648</v>
          </cell>
          <cell r="CC32">
            <v>498.34144000000009</v>
          </cell>
          <cell r="CD32">
            <v>0.21071266490124163</v>
          </cell>
          <cell r="CE32">
            <v>1677.1420800000001</v>
          </cell>
          <cell r="CF32">
            <v>0.3291410529519172</v>
          </cell>
        </row>
        <row r="33">
          <cell r="BA33">
            <v>0.19519861352530676</v>
          </cell>
          <cell r="BC33">
            <v>0.215</v>
          </cell>
          <cell r="BE33">
            <v>0.22</v>
          </cell>
          <cell r="BG33">
            <v>0.24</v>
          </cell>
          <cell r="BI33">
            <v>0.20503332467757293</v>
          </cell>
          <cell r="BL33">
            <v>0.16642013352472149</v>
          </cell>
          <cell r="BN33">
            <v>0.18214790233628245</v>
          </cell>
          <cell r="BP33">
            <v>0.18771991515071254</v>
          </cell>
          <cell r="BR33">
            <v>0.21742690280894367</v>
          </cell>
          <cell r="BT33">
            <v>0.19022215227341902</v>
          </cell>
          <cell r="BW33">
            <v>0.17170191339375629</v>
          </cell>
          <cell r="BY33">
            <v>0.183</v>
          </cell>
          <cell r="CA33">
            <v>0.185</v>
          </cell>
          <cell r="CC33">
            <v>0.193</v>
          </cell>
          <cell r="CE33">
            <v>0.18388989908293094</v>
          </cell>
        </row>
        <row r="34">
          <cell r="B34" t="str">
            <v>Selling, General &amp; Administrative</v>
          </cell>
          <cell r="C34">
            <v>97.200999999999993</v>
          </cell>
          <cell r="E34">
            <v>117.372</v>
          </cell>
          <cell r="G34">
            <v>113.613</v>
          </cell>
          <cell r="I34">
            <v>140.928</v>
          </cell>
          <cell r="K34">
            <v>467.94299999999998</v>
          </cell>
          <cell r="M34">
            <v>101.946</v>
          </cell>
          <cell r="O34">
            <v>117.15600000000001</v>
          </cell>
          <cell r="Q34">
            <v>131.726</v>
          </cell>
          <cell r="S34">
            <v>146.208</v>
          </cell>
          <cell r="U34">
            <v>497.03599999999994</v>
          </cell>
          <cell r="W34">
            <v>127.92</v>
          </cell>
          <cell r="Y34">
            <v>107.8</v>
          </cell>
          <cell r="AA34">
            <v>109.36499999999999</v>
          </cell>
          <cell r="AC34">
            <v>129.32499999999999</v>
          </cell>
          <cell r="AE34">
            <v>474.40999999999997</v>
          </cell>
          <cell r="AG34">
            <v>115.4</v>
          </cell>
          <cell r="AI34">
            <v>125.7</v>
          </cell>
          <cell r="AK34">
            <v>135.55000000000001</v>
          </cell>
          <cell r="AM34">
            <v>169.6</v>
          </cell>
          <cell r="AO34">
            <v>546.25</v>
          </cell>
          <cell r="AQ34">
            <v>137.22200000000001</v>
          </cell>
          <cell r="AS34">
            <v>184.25800000000001</v>
          </cell>
          <cell r="AU34">
            <v>209.9</v>
          </cell>
          <cell r="AW34">
            <v>263.505</v>
          </cell>
          <cell r="AY34">
            <v>794.88499999999999</v>
          </cell>
          <cell r="BA34">
            <v>247.31399999999999</v>
          </cell>
          <cell r="BB34">
            <v>0.80229117779947812</v>
          </cell>
          <cell r="BC34">
            <v>276.654</v>
          </cell>
          <cell r="BD34">
            <v>0.50144905512922078</v>
          </cell>
          <cell r="BE34">
            <v>264.64800000000002</v>
          </cell>
          <cell r="BF34">
            <v>0.26082896617436879</v>
          </cell>
          <cell r="BG34">
            <v>299.58400000000006</v>
          </cell>
          <cell r="BH34">
            <v>0.13691960304358575</v>
          </cell>
          <cell r="BI34">
            <v>1088.2</v>
          </cell>
          <cell r="BJ34">
            <v>0.36900306333620603</v>
          </cell>
          <cell r="BL34">
            <v>315.214</v>
          </cell>
          <cell r="BM34">
            <v>0.27454976264991071</v>
          </cell>
          <cell r="BN34">
            <v>356.63799999999998</v>
          </cell>
          <cell r="BO34">
            <v>0.28911203163518318</v>
          </cell>
          <cell r="BP34">
            <v>333.82299999999998</v>
          </cell>
          <cell r="BQ34">
            <v>0.2613849339500014</v>
          </cell>
          <cell r="BR34">
            <v>429.35700000000003</v>
          </cell>
          <cell r="BS34">
            <v>0.43317733924375124</v>
          </cell>
          <cell r="BT34">
            <v>1435.0319999999999</v>
          </cell>
          <cell r="BU34">
            <v>0.31872082337805541</v>
          </cell>
          <cell r="BW34">
            <v>400</v>
          </cell>
          <cell r="BX34">
            <v>0.26897916970692926</v>
          </cell>
          <cell r="BY34">
            <v>475.36365000000001</v>
          </cell>
          <cell r="BZ34">
            <v>0.33290241084797478</v>
          </cell>
          <cell r="CA34">
            <v>491.09025000000003</v>
          </cell>
          <cell r="CB34">
            <v>0.47110968986558754</v>
          </cell>
          <cell r="CC34">
            <v>561.6024000000001</v>
          </cell>
          <cell r="CD34">
            <v>0.30800802129696292</v>
          </cell>
          <cell r="CE34">
            <v>1928.0563000000002</v>
          </cell>
          <cell r="CF34">
            <v>0.34356327942512799</v>
          </cell>
        </row>
        <row r="35">
          <cell r="BA35">
            <v>0.25362026796289744</v>
          </cell>
          <cell r="BC35">
            <v>0.24</v>
          </cell>
          <cell r="BE35">
            <v>0.23300000000000001</v>
          </cell>
          <cell r="BG35">
            <v>0.24</v>
          </cell>
          <cell r="BI35">
            <v>0.23547996191465423</v>
          </cell>
          <cell r="BL35">
            <v>0.21566336116124632</v>
          </cell>
          <cell r="BN35">
            <v>0.23356798979378654</v>
          </cell>
          <cell r="BP35">
            <v>0.19055869008774914</v>
          </cell>
          <cell r="BR35">
            <v>0.22680149342664083</v>
          </cell>
          <cell r="BT35">
            <v>0.2163335581041643</v>
          </cell>
          <cell r="BW35">
            <v>0.2014098690835851</v>
          </cell>
          <cell r="BY35">
            <v>0.2175</v>
          </cell>
          <cell r="CA35">
            <v>0.20749999999999999</v>
          </cell>
          <cell r="CC35">
            <v>0.2175</v>
          </cell>
          <cell r="CE35">
            <v>0.21140133722791646</v>
          </cell>
        </row>
        <row r="36">
          <cell r="B36" t="str">
            <v>Collaborative Profit Split</v>
          </cell>
          <cell r="C36">
            <v>0</v>
          </cell>
          <cell r="E36">
            <v>0</v>
          </cell>
          <cell r="G36">
            <v>0</v>
          </cell>
          <cell r="I36">
            <v>0</v>
          </cell>
          <cell r="K36">
            <v>0</v>
          </cell>
          <cell r="M36">
            <v>0</v>
          </cell>
          <cell r="O36">
            <v>0</v>
          </cell>
          <cell r="Q36">
            <v>0</v>
          </cell>
          <cell r="S36">
            <v>0</v>
          </cell>
          <cell r="U36">
            <v>0</v>
          </cell>
          <cell r="W36">
            <v>46.372999999999998</v>
          </cell>
          <cell r="Y36">
            <v>57.908000000000001</v>
          </cell>
          <cell r="AA36">
            <v>65.796000000000006</v>
          </cell>
          <cell r="AC36">
            <v>76.581000000000003</v>
          </cell>
          <cell r="AE36">
            <v>246.65800000000002</v>
          </cell>
          <cell r="AG36">
            <v>72.076999999999998</v>
          </cell>
          <cell r="AI36">
            <v>84.09</v>
          </cell>
          <cell r="AK36">
            <v>90.048000000000002</v>
          </cell>
          <cell r="AM36">
            <v>104.51</v>
          </cell>
          <cell r="AO36">
            <v>350.72500000000002</v>
          </cell>
          <cell r="AQ36">
            <v>96.6</v>
          </cell>
          <cell r="AS36">
            <v>107.307</v>
          </cell>
          <cell r="AU36">
            <v>119.7</v>
          </cell>
          <cell r="AW36">
            <v>133.92699999999999</v>
          </cell>
          <cell r="AY36">
            <v>457.53399999999999</v>
          </cell>
          <cell r="BA36">
            <v>126.43</v>
          </cell>
          <cell r="BB36">
            <v>0.30879917184265016</v>
          </cell>
          <cell r="BC36">
            <v>145.221</v>
          </cell>
          <cell r="BD36">
            <v>0.35332270960887913</v>
          </cell>
          <cell r="BE36">
            <v>151.89400000000001</v>
          </cell>
          <cell r="BF36">
            <v>0.26895572263993328</v>
          </cell>
          <cell r="BG36">
            <v>170.05500000000001</v>
          </cell>
          <cell r="BH36">
            <v>0.26975889850440926</v>
          </cell>
          <cell r="BI36">
            <v>593.6</v>
          </cell>
          <cell r="BJ36">
            <v>0.29738992074905912</v>
          </cell>
          <cell r="BL36">
            <v>176.27699999999999</v>
          </cell>
          <cell r="BM36">
            <v>0.39426560151862677</v>
          </cell>
          <cell r="BN36">
            <v>198.798</v>
          </cell>
          <cell r="BO36">
            <v>0.36893424504720396</v>
          </cell>
          <cell r="BP36">
            <v>219.59100000000001</v>
          </cell>
          <cell r="BQ36">
            <v>0.44568580720765794</v>
          </cell>
          <cell r="BR36">
            <v>228.417</v>
          </cell>
          <cell r="BS36">
            <v>0.34319484872541239</v>
          </cell>
          <cell r="BT36">
            <v>823.08299999999997</v>
          </cell>
          <cell r="BU36">
            <v>0.38659535040431248</v>
          </cell>
          <cell r="BW36">
            <v>226</v>
          </cell>
          <cell r="BX36">
            <v>0.28207310085830839</v>
          </cell>
          <cell r="BY36">
            <v>255</v>
          </cell>
          <cell r="BZ36">
            <v>0.28270908158029751</v>
          </cell>
          <cell r="CA36">
            <v>275</v>
          </cell>
          <cell r="CB36">
            <v>0.25232819195686518</v>
          </cell>
          <cell r="CC36">
            <v>285</v>
          </cell>
          <cell r="CD36">
            <v>0.24771798946663348</v>
          </cell>
          <cell r="CE36">
            <v>1041</v>
          </cell>
          <cell r="CF36">
            <v>0.26475701721454592</v>
          </cell>
        </row>
        <row r="37">
          <cell r="B37" t="str">
            <v>Total Operating Expenses</v>
          </cell>
          <cell r="C37">
            <v>233.66399999999999</v>
          </cell>
          <cell r="D37" t="e">
            <v>#REF!</v>
          </cell>
          <cell r="E37">
            <v>264.26400000000001</v>
          </cell>
          <cell r="F37" t="e">
            <v>#REF!</v>
          </cell>
          <cell r="G37">
            <v>244.17800000000003</v>
          </cell>
          <cell r="H37" t="e">
            <v>#REF!</v>
          </cell>
          <cell r="I37">
            <v>285.35199999999998</v>
          </cell>
          <cell r="J37" t="e">
            <v>#REF!</v>
          </cell>
          <cell r="K37">
            <v>1027.4580000000001</v>
          </cell>
          <cell r="M37">
            <v>276.209</v>
          </cell>
          <cell r="N37" t="e">
            <v>#REF!</v>
          </cell>
          <cell r="O37">
            <v>299.00200000000001</v>
          </cell>
          <cell r="P37" t="e">
            <v>#REF!</v>
          </cell>
          <cell r="Q37">
            <v>320.94600000000003</v>
          </cell>
          <cell r="R37" t="e">
            <v>#REF!</v>
          </cell>
          <cell r="S37">
            <v>362.82599999999996</v>
          </cell>
          <cell r="T37" t="e">
            <v>#REF!</v>
          </cell>
          <cell r="U37">
            <v>1258.9829999999999</v>
          </cell>
          <cell r="W37">
            <v>394.42900000000003</v>
          </cell>
          <cell r="X37" t="e">
            <v>#REF!</v>
          </cell>
          <cell r="Y37">
            <v>365.34399999999999</v>
          </cell>
          <cell r="Z37" t="e">
            <v>#REF!</v>
          </cell>
          <cell r="AA37">
            <v>399.38599999999997</v>
          </cell>
          <cell r="AB37" t="e">
            <v>#REF!</v>
          </cell>
          <cell r="AC37">
            <v>442.58100000000002</v>
          </cell>
          <cell r="AD37" t="e">
            <v>#REF!</v>
          </cell>
          <cell r="AE37">
            <v>1601.7400000000002</v>
          </cell>
          <cell r="AG37">
            <v>436.61200000000002</v>
          </cell>
          <cell r="AI37">
            <v>464.57900000000001</v>
          </cell>
          <cell r="AK37">
            <v>481.738</v>
          </cell>
          <cell r="AM37">
            <v>579.15800000000002</v>
          </cell>
          <cell r="AO37">
            <v>1962.087</v>
          </cell>
          <cell r="AQ37">
            <v>506.09699999999998</v>
          </cell>
          <cell r="AS37">
            <v>595.17500000000007</v>
          </cell>
          <cell r="AU37">
            <v>614</v>
          </cell>
          <cell r="AW37">
            <v>739.26099999999997</v>
          </cell>
          <cell r="AY37">
            <v>2454.7161573414223</v>
          </cell>
          <cell r="BA37">
            <v>678.56900000000007</v>
          </cell>
          <cell r="BB37">
            <v>0.34078842593415914</v>
          </cell>
          <cell r="BC37">
            <v>821.44399999999996</v>
          </cell>
          <cell r="BD37">
            <v>0.38017221825513481</v>
          </cell>
          <cell r="BE37">
            <v>816.61800000000005</v>
          </cell>
          <cell r="BF37">
            <v>0.32999674267100976</v>
          </cell>
          <cell r="BG37">
            <v>985.1690000000001</v>
          </cell>
          <cell r="BH37">
            <v>0.33264029889308389</v>
          </cell>
          <cell r="BI37">
            <v>3301.8</v>
          </cell>
          <cell r="BJ37">
            <v>0.34508423310987246</v>
          </cell>
          <cell r="BL37">
            <v>985.77200000000005</v>
          </cell>
          <cell r="BM37">
            <v>0.4527218307939207</v>
          </cell>
          <cell r="BN37">
            <v>1103.0409999999999</v>
          </cell>
          <cell r="BO37">
            <v>0.34280730031505491</v>
          </cell>
          <cell r="BP37">
            <v>1127.8910000000001</v>
          </cell>
          <cell r="BQ37">
            <v>0.38117332706357199</v>
          </cell>
          <cell r="BR37">
            <v>1314.298</v>
          </cell>
          <cell r="BS37">
            <v>0.33408379679019529</v>
          </cell>
          <cell r="BT37">
            <v>4531.0020000000004</v>
          </cell>
          <cell r="BU37">
            <v>0.37228239142286035</v>
          </cell>
          <cell r="BW37">
            <v>1229</v>
          </cell>
          <cell r="BX37">
            <v>0.24673859675462473</v>
          </cell>
          <cell r="BY37">
            <v>1423.7135900000001</v>
          </cell>
          <cell r="BZ37">
            <v>0.29071683645485535</v>
          </cell>
          <cell r="CA37">
            <v>1522.2337500000001</v>
          </cell>
          <cell r="CB37">
            <v>0.34962842154073392</v>
          </cell>
          <cell r="CC37">
            <v>1693.7886400000002</v>
          </cell>
          <cell r="CD37">
            <v>0.28874017916789052</v>
          </cell>
          <cell r="CE37">
            <v>5868.7359800000013</v>
          </cell>
          <cell r="CF37">
            <v>0.29524020956071095</v>
          </cell>
        </row>
        <row r="38">
          <cell r="B38" t="str">
            <v>Operating Income (Loss)</v>
          </cell>
          <cell r="C38">
            <v>106.21999999700006</v>
          </cell>
          <cell r="D38" t="e">
            <v>#REF!</v>
          </cell>
          <cell r="E38">
            <v>134.80000000200005</v>
          </cell>
          <cell r="F38" t="e">
            <v>#REF!</v>
          </cell>
          <cell r="G38">
            <v>124.35300000099991</v>
          </cell>
          <cell r="H38" t="e">
            <v>#REF!</v>
          </cell>
          <cell r="I38">
            <v>107.18099999999993</v>
          </cell>
          <cell r="J38" t="e">
            <v>#REF!</v>
          </cell>
          <cell r="K38">
            <v>472.55400000000009</v>
          </cell>
          <cell r="M38">
            <v>183.22106622616553</v>
          </cell>
          <cell r="N38" t="e">
            <v>#REF!</v>
          </cell>
          <cell r="O38">
            <v>168.14077262893147</v>
          </cell>
          <cell r="P38" t="e">
            <v>#REF!</v>
          </cell>
          <cell r="Q38">
            <v>189.91479690849224</v>
          </cell>
          <cell r="R38" t="e">
            <v>#REF!</v>
          </cell>
          <cell r="S38">
            <v>173.22675938289836</v>
          </cell>
          <cell r="T38" t="e">
            <v>#REF!</v>
          </cell>
          <cell r="U38">
            <v>714.50339514648749</v>
          </cell>
          <cell r="W38">
            <v>208.78099999700004</v>
          </cell>
          <cell r="X38" t="e">
            <v>#REF!</v>
          </cell>
          <cell r="Y38">
            <v>229.05699999899997</v>
          </cell>
          <cell r="Z38" t="e">
            <v>#REF!</v>
          </cell>
          <cell r="AA38">
            <v>248.48599999999999</v>
          </cell>
          <cell r="AB38" t="e">
            <v>#REF!</v>
          </cell>
          <cell r="AC38">
            <v>273.82506880999995</v>
          </cell>
          <cell r="AD38" t="e">
            <v>#REF!</v>
          </cell>
          <cell r="AE38">
            <v>960.14906880599995</v>
          </cell>
          <cell r="AG38">
            <v>131.46860687772499</v>
          </cell>
          <cell r="AI38">
            <v>157.69784124299252</v>
          </cell>
          <cell r="AK38">
            <v>168.36400000000009</v>
          </cell>
          <cell r="AM38">
            <v>163.9811115489299</v>
          </cell>
          <cell r="AO38">
            <v>621.51155966964757</v>
          </cell>
          <cell r="AQ38">
            <v>243.59299999999996</v>
          </cell>
          <cell r="AS38">
            <v>204.51299999999992</v>
          </cell>
          <cell r="AU38">
            <v>203.02200000000016</v>
          </cell>
          <cell r="AW38">
            <v>194.60199999999998</v>
          </cell>
          <cell r="AY38">
            <v>845.54684265857759</v>
          </cell>
          <cell r="BA38">
            <v>296.56599999999992</v>
          </cell>
          <cell r="BB38">
            <v>0.21746519809682541</v>
          </cell>
          <cell r="BC38">
            <v>306.63400000000024</v>
          </cell>
          <cell r="BD38">
            <v>0.49933745043102573</v>
          </cell>
          <cell r="BE38">
            <v>385.98200000000008</v>
          </cell>
          <cell r="BF38">
            <v>0.9011831230112981</v>
          </cell>
          <cell r="BG38">
            <v>330.18399999999997</v>
          </cell>
          <cell r="BH38">
            <v>0.69671431948284201</v>
          </cell>
          <cell r="BI38">
            <v>1319.3999999999996</v>
          </cell>
          <cell r="BJ38">
            <v>0.56041029714158452</v>
          </cell>
          <cell r="BL38">
            <v>475.83000000000027</v>
          </cell>
          <cell r="BM38">
            <v>0.60446578501918768</v>
          </cell>
          <cell r="BN38">
            <v>423.87200000000007</v>
          </cell>
          <cell r="BO38">
            <v>0.38233855345460621</v>
          </cell>
          <cell r="BP38">
            <v>623.92099999999982</v>
          </cell>
          <cell r="BQ38">
            <v>0.61645102621365688</v>
          </cell>
          <cell r="BR38">
            <v>578.798</v>
          </cell>
          <cell r="BS38">
            <v>0.75295592760400276</v>
          </cell>
          <cell r="BT38">
            <v>2102.4210000000003</v>
          </cell>
          <cell r="BU38">
            <v>0.59346748522055548</v>
          </cell>
          <cell r="BW38">
            <v>757</v>
          </cell>
          <cell r="BX38">
            <v>0.59090431456612569</v>
          </cell>
          <cell r="BY38">
            <v>761.86640999999986</v>
          </cell>
          <cell r="BZ38">
            <v>0.79739735108711995</v>
          </cell>
          <cell r="CA38">
            <v>844.46625000000017</v>
          </cell>
          <cell r="CB38">
            <v>0.35348265245119248</v>
          </cell>
          <cell r="CC38">
            <v>888.29136000000017</v>
          </cell>
          <cell r="CD38">
            <v>0.53471739708844912</v>
          </cell>
          <cell r="CE38">
            <v>3251.6240200000002</v>
          </cell>
          <cell r="CF38">
            <v>0.54660937081583549</v>
          </cell>
        </row>
        <row r="39">
          <cell r="B39" t="str">
            <v>Interest and other Income net</v>
          </cell>
          <cell r="C39">
            <v>22.399000000000001</v>
          </cell>
          <cell r="E39">
            <v>21.986000000000001</v>
          </cell>
          <cell r="G39">
            <v>24.728999999999999</v>
          </cell>
          <cell r="I39">
            <v>20.32</v>
          </cell>
          <cell r="K39">
            <v>89.433999999999997</v>
          </cell>
          <cell r="M39">
            <v>21.474</v>
          </cell>
          <cell r="O39">
            <v>22.262</v>
          </cell>
          <cell r="Q39">
            <v>25.712</v>
          </cell>
          <cell r="S39">
            <v>20.96</v>
          </cell>
          <cell r="U39">
            <v>90.408000000000015</v>
          </cell>
          <cell r="W39">
            <v>35.064</v>
          </cell>
          <cell r="Y39">
            <v>32.234999999999999</v>
          </cell>
          <cell r="AA39">
            <v>32.472999999999999</v>
          </cell>
          <cell r="AC39">
            <v>30.771999999999998</v>
          </cell>
          <cell r="AE39">
            <v>130.54400000000001</v>
          </cell>
          <cell r="AG39">
            <v>36.4</v>
          </cell>
          <cell r="AI39">
            <v>28.8</v>
          </cell>
          <cell r="AK39">
            <v>15.2</v>
          </cell>
          <cell r="AM39">
            <v>27.4</v>
          </cell>
          <cell r="AO39">
            <v>107.80000000000001</v>
          </cell>
          <cell r="AQ39">
            <v>15.702999999999999</v>
          </cell>
          <cell r="AS39">
            <v>40.869999999999997</v>
          </cell>
          <cell r="AU39">
            <v>15.9</v>
          </cell>
          <cell r="AW39">
            <v>20.334</v>
          </cell>
          <cell r="AY39">
            <v>92.807000000000002</v>
          </cell>
          <cell r="BA39">
            <v>22.32</v>
          </cell>
          <cell r="BB39">
            <v>0.42138444883143356</v>
          </cell>
          <cell r="BC39">
            <v>15.444000000000001</v>
          </cell>
          <cell r="BD39">
            <v>-0.6221189136285783</v>
          </cell>
          <cell r="BE39">
            <v>23.51</v>
          </cell>
          <cell r="BF39">
            <v>0.47861635220125787</v>
          </cell>
          <cell r="BG39">
            <v>21.323</v>
          </cell>
          <cell r="BH39">
            <v>4.8637749581980971E-2</v>
          </cell>
          <cell r="BI39">
            <v>82.597000000000008</v>
          </cell>
          <cell r="BJ39">
            <v>-0.11001325331063383</v>
          </cell>
          <cell r="BL39">
            <v>16.396000000000001</v>
          </cell>
          <cell r="BM39">
            <v>-0.26541218637992825</v>
          </cell>
          <cell r="BN39">
            <v>31.501999999999999</v>
          </cell>
          <cell r="BO39">
            <v>1.0397565397565396</v>
          </cell>
          <cell r="BP39">
            <v>47.390999999999998</v>
          </cell>
          <cell r="BQ39">
            <v>1.0157805189281155</v>
          </cell>
          <cell r="BR39">
            <v>43.743000000000002</v>
          </cell>
          <cell r="BS39">
            <v>1.0514467945411061</v>
          </cell>
          <cell r="BT39">
            <v>140.9</v>
          </cell>
          <cell r="BU39">
            <v>0.70587309466445491</v>
          </cell>
          <cell r="BW39">
            <v>53</v>
          </cell>
          <cell r="BX39">
            <v>2.2324957306660158</v>
          </cell>
          <cell r="BY39">
            <v>80</v>
          </cell>
          <cell r="BZ39">
            <v>1.539521300234906</v>
          </cell>
          <cell r="CA39">
            <v>50</v>
          </cell>
          <cell r="CB39">
            <v>5.5052647127091792E-2</v>
          </cell>
          <cell r="CC39">
            <v>45</v>
          </cell>
          <cell r="CD39">
            <v>2.8736026335642206E-2</v>
          </cell>
          <cell r="CE39">
            <v>228</v>
          </cell>
          <cell r="CF39">
            <v>0.61816891412349184</v>
          </cell>
        </row>
        <row r="40">
          <cell r="B40" t="str">
            <v>Interest Expense</v>
          </cell>
          <cell r="C40">
            <v>-1.363</v>
          </cell>
          <cell r="E40">
            <v>-1.3560000000000001</v>
          </cell>
          <cell r="G40">
            <v>-1.3260000000000001</v>
          </cell>
          <cell r="I40">
            <v>-1.3149999999999999</v>
          </cell>
          <cell r="K40">
            <v>-5.3599999999999994</v>
          </cell>
          <cell r="M40">
            <v>-1.2869999999999999</v>
          </cell>
          <cell r="O40">
            <v>-1.24</v>
          </cell>
          <cell r="Q40">
            <v>-1.175</v>
          </cell>
          <cell r="S40">
            <v>-1.5760000000000001</v>
          </cell>
          <cell r="U40">
            <v>-5.2780000000000005</v>
          </cell>
          <cell r="W40">
            <v>-1.4910000000000001</v>
          </cell>
          <cell r="Y40">
            <v>-1.345</v>
          </cell>
          <cell r="AA40">
            <v>-1.7190000000000001</v>
          </cell>
          <cell r="AC40">
            <v>-1.1819999999999999</v>
          </cell>
          <cell r="AE40">
            <v>-5.7370000000000001</v>
          </cell>
          <cell r="AG40">
            <v>0</v>
          </cell>
          <cell r="AI40">
            <v>0</v>
          </cell>
          <cell r="AK40">
            <v>0</v>
          </cell>
          <cell r="AM40">
            <v>0</v>
          </cell>
          <cell r="AO40">
            <v>0</v>
          </cell>
          <cell r="AQ40">
            <v>0</v>
          </cell>
          <cell r="AS40">
            <v>0</v>
          </cell>
          <cell r="AU40">
            <v>0</v>
          </cell>
          <cell r="AW40">
            <v>0</v>
          </cell>
          <cell r="AY40">
            <v>0</v>
          </cell>
          <cell r="BA40">
            <v>0</v>
          </cell>
          <cell r="BB40" t="str">
            <v>NM</v>
          </cell>
          <cell r="BC40">
            <v>0</v>
          </cell>
          <cell r="BD40" t="str">
            <v>NM</v>
          </cell>
          <cell r="BE40">
            <v>0</v>
          </cell>
          <cell r="BF40" t="str">
            <v>NM</v>
          </cell>
          <cell r="BG40">
            <v>0</v>
          </cell>
          <cell r="BH40" t="str">
            <v>NM</v>
          </cell>
          <cell r="BI40">
            <v>0</v>
          </cell>
          <cell r="BJ40" t="str">
            <v>NM</v>
          </cell>
          <cell r="BL40">
            <v>0</v>
          </cell>
          <cell r="BM40" t="str">
            <v>NM</v>
          </cell>
          <cell r="BN40">
            <v>0</v>
          </cell>
          <cell r="BO40" t="str">
            <v>NM</v>
          </cell>
          <cell r="BP40">
            <v>-25</v>
          </cell>
          <cell r="BQ40" t="str">
            <v>NM</v>
          </cell>
          <cell r="BR40">
            <v>-23.035</v>
          </cell>
          <cell r="BS40" t="str">
            <v>NM</v>
          </cell>
          <cell r="BT40">
            <v>-49.9</v>
          </cell>
          <cell r="BU40" t="str">
            <v>NM</v>
          </cell>
          <cell r="BW40">
            <v>-19</v>
          </cell>
          <cell r="BX40" t="str">
            <v>NM</v>
          </cell>
          <cell r="BY40">
            <v>-24</v>
          </cell>
          <cell r="BZ40" t="str">
            <v>NM</v>
          </cell>
          <cell r="CA40">
            <v>-24</v>
          </cell>
          <cell r="CB40" t="str">
            <v>NM</v>
          </cell>
          <cell r="CC40">
            <v>-24</v>
          </cell>
          <cell r="CD40" t="str">
            <v>NM</v>
          </cell>
          <cell r="CE40">
            <v>-91</v>
          </cell>
          <cell r="CF40" t="str">
            <v>NM</v>
          </cell>
        </row>
        <row r="41">
          <cell r="B41" t="str">
            <v>Other</v>
          </cell>
          <cell r="C41">
            <v>-50</v>
          </cell>
          <cell r="E41">
            <v>0</v>
          </cell>
          <cell r="G41">
            <v>0</v>
          </cell>
          <cell r="I41">
            <v>0</v>
          </cell>
          <cell r="K41">
            <v>-50</v>
          </cell>
          <cell r="M41">
            <v>0</v>
          </cell>
          <cell r="O41">
            <v>0</v>
          </cell>
          <cell r="Q41">
            <v>0</v>
          </cell>
          <cell r="S41">
            <v>0</v>
          </cell>
          <cell r="U41">
            <v>0</v>
          </cell>
          <cell r="W41">
            <v>0</v>
          </cell>
          <cell r="Y41">
            <v>0</v>
          </cell>
          <cell r="AA41">
            <v>0</v>
          </cell>
          <cell r="AC41">
            <v>0</v>
          </cell>
          <cell r="AE41">
            <v>0</v>
          </cell>
          <cell r="AG41">
            <v>0</v>
          </cell>
          <cell r="AI41">
            <v>0</v>
          </cell>
          <cell r="AK41">
            <v>0</v>
          </cell>
          <cell r="AM41">
            <v>0</v>
          </cell>
          <cell r="AO41">
            <v>0</v>
          </cell>
          <cell r="AQ41">
            <v>0</v>
          </cell>
          <cell r="AS41">
            <v>0</v>
          </cell>
          <cell r="AU41">
            <v>0</v>
          </cell>
          <cell r="AW41">
            <v>0</v>
          </cell>
          <cell r="AY41">
            <v>0</v>
          </cell>
          <cell r="BA41">
            <v>0</v>
          </cell>
          <cell r="BB41" t="str">
            <v>NM</v>
          </cell>
          <cell r="BC41">
            <v>0</v>
          </cell>
          <cell r="BD41" t="str">
            <v>NM</v>
          </cell>
          <cell r="BE41">
            <v>0</v>
          </cell>
          <cell r="BF41" t="str">
            <v>NM</v>
          </cell>
          <cell r="BG41">
            <v>0</v>
          </cell>
          <cell r="BH41" t="str">
            <v>NM</v>
          </cell>
          <cell r="BI41">
            <v>0</v>
          </cell>
          <cell r="BJ41" t="str">
            <v>NM</v>
          </cell>
          <cell r="BL41">
            <v>0</v>
          </cell>
          <cell r="BM41" t="str">
            <v>NM</v>
          </cell>
          <cell r="BN41">
            <v>0</v>
          </cell>
          <cell r="BO41" t="str">
            <v>NM</v>
          </cell>
          <cell r="BP41">
            <v>0</v>
          </cell>
          <cell r="BQ41" t="str">
            <v>NM</v>
          </cell>
          <cell r="BR41">
            <v>0</v>
          </cell>
          <cell r="BS41" t="str">
            <v>NM</v>
          </cell>
          <cell r="BT41">
            <v>0</v>
          </cell>
          <cell r="BU41" t="str">
            <v>NM</v>
          </cell>
          <cell r="BW41">
            <v>0</v>
          </cell>
          <cell r="BX41" t="str">
            <v>NM</v>
          </cell>
          <cell r="BY41">
            <v>0</v>
          </cell>
          <cell r="BZ41" t="str">
            <v>NM</v>
          </cell>
          <cell r="CA41">
            <v>0</v>
          </cell>
          <cell r="CB41" t="str">
            <v>NM</v>
          </cell>
          <cell r="CC41">
            <v>0</v>
          </cell>
          <cell r="CD41" t="str">
            <v>NM</v>
          </cell>
          <cell r="CE41">
            <v>0</v>
          </cell>
          <cell r="CF41" t="str">
            <v>NM</v>
          </cell>
        </row>
        <row r="42">
          <cell r="B42" t="str">
            <v>Income (Loss) Before Taxes</v>
          </cell>
          <cell r="C42">
            <v>77.25599999700006</v>
          </cell>
          <cell r="D42" t="e">
            <v>#REF!</v>
          </cell>
          <cell r="E42">
            <v>155.43000000200004</v>
          </cell>
          <cell r="F42" t="e">
            <v>#REF!</v>
          </cell>
          <cell r="G42">
            <v>147.75600000099993</v>
          </cell>
          <cell r="H42" t="e">
            <v>#REF!</v>
          </cell>
          <cell r="I42">
            <v>126.18599999999992</v>
          </cell>
          <cell r="J42" t="e">
            <v>#REF!</v>
          </cell>
          <cell r="K42">
            <v>556.62800000000004</v>
          </cell>
          <cell r="M42">
            <v>203.40806622616552</v>
          </cell>
          <cell r="N42" t="e">
            <v>#REF!</v>
          </cell>
          <cell r="O42">
            <v>189.16277262893146</v>
          </cell>
          <cell r="P42" t="e">
            <v>#REF!</v>
          </cell>
          <cell r="Q42">
            <v>214.45179690849221</v>
          </cell>
          <cell r="R42" t="e">
            <v>#REF!</v>
          </cell>
          <cell r="S42">
            <v>192.61075938289838</v>
          </cell>
          <cell r="T42" t="e">
            <v>#REF!</v>
          </cell>
          <cell r="U42">
            <v>799.6333951464876</v>
          </cell>
          <cell r="W42">
            <v>242.35399999700002</v>
          </cell>
          <cell r="X42" t="e">
            <v>#REF!</v>
          </cell>
          <cell r="Y42">
            <v>259.94699999899996</v>
          </cell>
          <cell r="Z42" t="e">
            <v>#REF!</v>
          </cell>
          <cell r="AA42">
            <v>279.24</v>
          </cell>
          <cell r="AB42" t="e">
            <v>#REF!</v>
          </cell>
          <cell r="AC42">
            <v>303.41506880999992</v>
          </cell>
          <cell r="AD42" t="e">
            <v>#REF!</v>
          </cell>
          <cell r="AE42">
            <v>1084.9560688059998</v>
          </cell>
          <cell r="AG42">
            <v>167.868606877725</v>
          </cell>
          <cell r="AI42">
            <v>186.49784124299254</v>
          </cell>
          <cell r="AK42">
            <v>183.56400000000008</v>
          </cell>
          <cell r="AM42">
            <v>191.38111154892991</v>
          </cell>
          <cell r="AO42">
            <v>729.31155966964752</v>
          </cell>
          <cell r="AQ42">
            <v>259.29599999999994</v>
          </cell>
          <cell r="AS42">
            <v>245.38299999999992</v>
          </cell>
          <cell r="AU42">
            <v>218.92200000000017</v>
          </cell>
          <cell r="AW42">
            <v>214.93599999999998</v>
          </cell>
          <cell r="AY42">
            <v>938.35384265857761</v>
          </cell>
          <cell r="BA42">
            <v>318.88599999999991</v>
          </cell>
          <cell r="BB42">
            <v>0.2298145748488214</v>
          </cell>
          <cell r="BC42">
            <v>322.07800000000026</v>
          </cell>
          <cell r="BD42">
            <v>0.31255221429357527</v>
          </cell>
          <cell r="BE42">
            <v>409.49200000000008</v>
          </cell>
          <cell r="BF42">
            <v>0.8704926868930476</v>
          </cell>
          <cell r="BG42">
            <v>351.50699999999995</v>
          </cell>
          <cell r="BH42">
            <v>0.63540309673577244</v>
          </cell>
          <cell r="BI42">
            <v>1401.9969999999996</v>
          </cell>
          <cell r="BJ42">
            <v>0.4941026894799212</v>
          </cell>
          <cell r="BL42">
            <v>492.22600000000028</v>
          </cell>
          <cell r="BM42">
            <v>0.54357983730863202</v>
          </cell>
          <cell r="BN42">
            <v>455.37400000000008</v>
          </cell>
          <cell r="BO42">
            <v>0.41386248051714092</v>
          </cell>
          <cell r="BP42">
            <v>646.31199999999978</v>
          </cell>
          <cell r="BQ42">
            <v>0.57832631650923494</v>
          </cell>
          <cell r="BR42">
            <v>599.50600000000009</v>
          </cell>
          <cell r="BS42">
            <v>0.70553075756670625</v>
          </cell>
          <cell r="BT42">
            <v>2193.4180000000006</v>
          </cell>
          <cell r="BU42">
            <v>0.56449550177354246</v>
          </cell>
          <cell r="BW42">
            <v>791</v>
          </cell>
          <cell r="BX42">
            <v>0.60698540914132848</v>
          </cell>
          <cell r="BY42">
            <v>817.86640999999986</v>
          </cell>
          <cell r="BZ42">
            <v>0.79603229433388756</v>
          </cell>
          <cell r="CA42">
            <v>870.46625000000017</v>
          </cell>
          <cell r="CB42">
            <v>0.34682049845894936</v>
          </cell>
          <cell r="CC42">
            <v>909.29136000000017</v>
          </cell>
          <cell r="CD42">
            <v>0.51673437797119637</v>
          </cell>
          <cell r="CE42">
            <v>3388.6240200000002</v>
          </cell>
          <cell r="CF42">
            <v>0.54490572248426861</v>
          </cell>
        </row>
        <row r="43">
          <cell r="B43" t="str">
            <v>Income Tax (Benefit)</v>
          </cell>
          <cell r="C43">
            <v>22.91</v>
          </cell>
          <cell r="E43">
            <v>36.084000000000003</v>
          </cell>
          <cell r="G43">
            <v>32.942</v>
          </cell>
          <cell r="I43">
            <v>23.69</v>
          </cell>
          <cell r="K43">
            <v>121.56800000000001</v>
          </cell>
          <cell r="M43">
            <v>33.540999999999997</v>
          </cell>
          <cell r="O43">
            <v>35.161999999999999</v>
          </cell>
          <cell r="Q43">
            <v>38.149000000000001</v>
          </cell>
          <cell r="S43">
            <v>37.49</v>
          </cell>
          <cell r="U43">
            <v>143.67400000000001</v>
          </cell>
          <cell r="W43">
            <v>42.930999999999997</v>
          </cell>
          <cell r="Y43">
            <v>47.738999999999997</v>
          </cell>
          <cell r="AA43">
            <v>49.619</v>
          </cell>
          <cell r="AC43">
            <v>50.045000000000002</v>
          </cell>
          <cell r="AE43">
            <v>190.334</v>
          </cell>
          <cell r="AG43">
            <v>49.2</v>
          </cell>
          <cell r="AI43">
            <v>66.009</v>
          </cell>
          <cell r="AK43">
            <v>63.384999999999998</v>
          </cell>
          <cell r="AM43">
            <v>67.203000000000003</v>
          </cell>
          <cell r="AO43">
            <v>245.797</v>
          </cell>
          <cell r="AQ43">
            <v>76.762</v>
          </cell>
          <cell r="AS43">
            <v>81.891999999999996</v>
          </cell>
          <cell r="AU43">
            <v>75.099999999999994</v>
          </cell>
          <cell r="AW43">
            <v>69.944000000000003</v>
          </cell>
          <cell r="AY43">
            <v>303.69799999999998</v>
          </cell>
          <cell r="BA43">
            <v>111.33499999999999</v>
          </cell>
          <cell r="BB43">
            <v>0.45039212110158666</v>
          </cell>
          <cell r="BC43">
            <v>120.306</v>
          </cell>
          <cell r="BD43">
            <v>0.46908122893567139</v>
          </cell>
          <cell r="BE43">
            <v>149.88999999999999</v>
          </cell>
          <cell r="BF43">
            <v>0.99587217043941401</v>
          </cell>
          <cell r="BG43">
            <v>126.1</v>
          </cell>
          <cell r="BH43">
            <v>0.80287086812306963</v>
          </cell>
          <cell r="BI43">
            <v>507.63099999999997</v>
          </cell>
          <cell r="BJ43">
            <v>0.67149931840183341</v>
          </cell>
          <cell r="BL43">
            <v>180.58500000000001</v>
          </cell>
          <cell r="BM43">
            <v>0.62199667669645686</v>
          </cell>
          <cell r="BN43">
            <v>126.8</v>
          </cell>
          <cell r="BO43">
            <v>5.3979020165245251E-2</v>
          </cell>
          <cell r="BP43">
            <v>262.49099999999999</v>
          </cell>
          <cell r="BQ43">
            <v>0.75122423110280878</v>
          </cell>
          <cell r="BR43">
            <v>236.221</v>
          </cell>
          <cell r="BS43">
            <v>0.87328310864393344</v>
          </cell>
          <cell r="BT43">
            <v>806.09699999999998</v>
          </cell>
          <cell r="BU43">
            <v>0.5879585762098849</v>
          </cell>
          <cell r="BW43">
            <v>300</v>
          </cell>
          <cell r="BX43">
            <v>0.66126754713846658</v>
          </cell>
          <cell r="BY43">
            <v>303.42843810999995</v>
          </cell>
          <cell r="BZ43">
            <v>1.3929687548107252</v>
          </cell>
          <cell r="CA43">
            <v>322.94297875000007</v>
          </cell>
          <cell r="CB43">
            <v>0.23030114842032701</v>
          </cell>
          <cell r="CC43">
            <v>337.34709456000007</v>
          </cell>
          <cell r="CD43">
            <v>0.42809951088175935</v>
          </cell>
          <cell r="CE43">
            <v>1263.7185114200001</v>
          </cell>
          <cell r="CF43">
            <v>0.567700303338184</v>
          </cell>
        </row>
        <row r="44">
          <cell r="B44" t="str">
            <v>Tax Rate</v>
          </cell>
          <cell r="C44">
            <v>0.29654654655806179</v>
          </cell>
          <cell r="E44">
            <v>0.23215595444596077</v>
          </cell>
          <cell r="G44">
            <v>0.22294864506197423</v>
          </cell>
          <cell r="I44">
            <v>0.18773873488342618</v>
          </cell>
          <cell r="K44">
            <v>0.21840079909742235</v>
          </cell>
          <cell r="M44">
            <v>0.31057618156261746</v>
          </cell>
          <cell r="O44">
            <v>0.31062449585915947</v>
          </cell>
          <cell r="Q44">
            <v>0.31050325499576703</v>
          </cell>
          <cell r="S44">
            <v>0.31069126943984371</v>
          </cell>
          <cell r="U44">
            <v>0.17967483708416138</v>
          </cell>
          <cell r="W44">
            <v>0.320523684181443</v>
          </cell>
          <cell r="Y44">
            <v>0.32030716534990089</v>
          </cell>
          <cell r="AA44">
            <v>0.32044099205704007</v>
          </cell>
          <cell r="AC44">
            <v>0.32039990406928232</v>
          </cell>
          <cell r="AE44">
            <v>0.17543014456747877</v>
          </cell>
          <cell r="AG44">
            <v>0.29349894260372089</v>
          </cell>
          <cell r="AI44">
            <v>0.35428459719400968</v>
          </cell>
          <cell r="AK44">
            <v>0.345725382990834</v>
          </cell>
          <cell r="AM44">
            <v>0.35148524883632459</v>
          </cell>
          <cell r="AO44">
            <v>0.33702605798725771</v>
          </cell>
          <cell r="AQ44">
            <v>0.29619869560489492</v>
          </cell>
          <cell r="AS44">
            <v>0.33376329644768415</v>
          </cell>
          <cell r="AU44">
            <v>0.3432807897415317</v>
          </cell>
          <cell r="AW44">
            <v>0.32563596409549711</v>
          </cell>
          <cell r="AY44">
            <v>0.32364976429312847</v>
          </cell>
          <cell r="BA44">
            <v>0.34913730925785397</v>
          </cell>
          <cell r="BC44">
            <v>0.37353063543613629</v>
          </cell>
          <cell r="BE44">
            <v>0.3660388969747882</v>
          </cell>
          <cell r="BG44">
            <v>0.35874107770257779</v>
          </cell>
          <cell r="BI44">
            <v>0.36207709431617907</v>
          </cell>
          <cell r="BJ44">
            <v>0.11873121584679147</v>
          </cell>
          <cell r="BL44">
            <v>0.36687415943083035</v>
          </cell>
          <cell r="BN44">
            <v>0.27845243689802224</v>
          </cell>
          <cell r="BP44">
            <v>0.40613666464493942</v>
          </cell>
          <cell r="BR44">
            <v>0.39402608147374668</v>
          </cell>
          <cell r="BT44">
            <v>0.36750724212165659</v>
          </cell>
          <cell r="BU44">
            <v>1.4997214379807389E-2</v>
          </cell>
          <cell r="BW44">
            <v>0.37926675094816686</v>
          </cell>
          <cell r="BY44">
            <v>0.371</v>
          </cell>
          <cell r="CA44">
            <v>0.371</v>
          </cell>
          <cell r="CC44">
            <v>0.371</v>
          </cell>
          <cell r="CE44">
            <v>0.3729296918045219</v>
          </cell>
          <cell r="CF44">
            <v>1.4754674361139086E-2</v>
          </cell>
        </row>
        <row r="45">
          <cell r="B45" t="str">
            <v>Reported Net Income</v>
          </cell>
          <cell r="C45">
            <v>54.345999997000064</v>
          </cell>
          <cell r="D45" t="e">
            <v>#REF!</v>
          </cell>
          <cell r="E45">
            <v>119.34600000200004</v>
          </cell>
          <cell r="F45" t="e">
            <v>#REF!</v>
          </cell>
          <cell r="G45">
            <v>114.81400000099993</v>
          </cell>
          <cell r="H45" t="e">
            <v>#REF!</v>
          </cell>
          <cell r="I45">
            <v>102.49599999999992</v>
          </cell>
          <cell r="J45" t="e">
            <v>#REF!</v>
          </cell>
          <cell r="K45">
            <v>435.06000000000006</v>
          </cell>
          <cell r="M45">
            <v>169.86706622616552</v>
          </cell>
          <cell r="N45" t="e">
            <v>#REF!</v>
          </cell>
          <cell r="O45">
            <v>154.00077262893146</v>
          </cell>
          <cell r="P45" t="e">
            <v>#REF!</v>
          </cell>
          <cell r="Q45">
            <v>176.30279690849221</v>
          </cell>
          <cell r="R45" t="e">
            <v>#REF!</v>
          </cell>
          <cell r="S45">
            <v>155.12075938289837</v>
          </cell>
          <cell r="T45" t="e">
            <v>#REF!</v>
          </cell>
          <cell r="U45">
            <v>653.88039514648756</v>
          </cell>
          <cell r="W45">
            <v>199.42299999700003</v>
          </cell>
          <cell r="X45" t="e">
            <v>#REF!</v>
          </cell>
          <cell r="Y45">
            <v>212.20799999899995</v>
          </cell>
          <cell r="Z45" t="e">
            <v>#REF!</v>
          </cell>
          <cell r="AA45">
            <v>229.62100000000001</v>
          </cell>
          <cell r="AB45" t="e">
            <v>#REF!</v>
          </cell>
          <cell r="AC45">
            <v>253.37006880999991</v>
          </cell>
          <cell r="AD45" t="e">
            <v>#REF!</v>
          </cell>
          <cell r="AE45">
            <v>893.21106880599996</v>
          </cell>
          <cell r="AG45">
            <v>118.668606877725</v>
          </cell>
          <cell r="AI45">
            <v>120.48884124299254</v>
          </cell>
          <cell r="AK45">
            <v>120.17900000000009</v>
          </cell>
          <cell r="AM45">
            <v>124.17811154892991</v>
          </cell>
          <cell r="AO45">
            <v>483.5145596696475</v>
          </cell>
          <cell r="AQ45">
            <v>182.53399999999993</v>
          </cell>
          <cell r="AS45">
            <v>163.49099999999993</v>
          </cell>
          <cell r="AU45">
            <v>143.82200000000017</v>
          </cell>
          <cell r="AW45">
            <v>144.99199999999996</v>
          </cell>
          <cell r="AY45">
            <v>634.65584265857763</v>
          </cell>
          <cell r="BA45">
            <v>207.55099999999993</v>
          </cell>
          <cell r="BB45">
            <v>0.13705391872199146</v>
          </cell>
          <cell r="BC45">
            <v>201.77200000000028</v>
          </cell>
          <cell r="BD45">
            <v>0.23414744542513266</v>
          </cell>
          <cell r="BE45">
            <v>259.60200000000009</v>
          </cell>
          <cell r="BF45">
            <v>0.80502287549887908</v>
          </cell>
          <cell r="BG45">
            <v>225.40699999999995</v>
          </cell>
          <cell r="BH45">
            <v>0.55461680644449363</v>
          </cell>
          <cell r="BI45">
            <v>894.36599999999964</v>
          </cell>
          <cell r="BJ45">
            <v>0.4092141596829777</v>
          </cell>
          <cell r="BL45">
            <v>311.6410000000003</v>
          </cell>
          <cell r="BM45">
            <v>0.50151529021782792</v>
          </cell>
          <cell r="BN45">
            <v>328.57400000000007</v>
          </cell>
          <cell r="BO45">
            <v>0.6284420038459233</v>
          </cell>
          <cell r="BP45">
            <v>383.8209999999998</v>
          </cell>
          <cell r="BQ45">
            <v>0.47849785440789994</v>
          </cell>
          <cell r="BR45">
            <v>363.28500000000008</v>
          </cell>
          <cell r="BS45">
            <v>0.61168464155949076</v>
          </cell>
          <cell r="BT45">
            <v>1387.3210000000001</v>
          </cell>
          <cell r="BU45">
            <v>0.55117815301565654</v>
          </cell>
          <cell r="BW45">
            <v>491</v>
          </cell>
          <cell r="BX45">
            <v>0.57553081911558346</v>
          </cell>
          <cell r="BY45">
            <v>514.43797188999997</v>
          </cell>
          <cell r="BZ45">
            <v>0.56566853095497471</v>
          </cell>
          <cell r="CA45">
            <v>547.52327125000011</v>
          </cell>
          <cell r="CB45">
            <v>0.42650681242037414</v>
          </cell>
          <cell r="CC45">
            <v>571.94426544000009</v>
          </cell>
          <cell r="CD45">
            <v>0.57436796300425286</v>
          </cell>
          <cell r="CE45">
            <v>2124.9055085800001</v>
          </cell>
          <cell r="CF45">
            <v>0.53166102767852563</v>
          </cell>
        </row>
        <row r="46">
          <cell r="B46" t="str">
            <v>EPS, basic</v>
          </cell>
          <cell r="C46">
            <v>5.3195279706391409E-2</v>
          </cell>
          <cell r="D46" t="e">
            <v>#REF!</v>
          </cell>
          <cell r="E46">
            <v>0.1161134028662049</v>
          </cell>
          <cell r="F46" t="e">
            <v>#REF!</v>
          </cell>
          <cell r="G46">
            <v>0.11225174174395246</v>
          </cell>
          <cell r="H46" t="e">
            <v>#REF!</v>
          </cell>
          <cell r="I46">
            <v>9.9454483000867386E-2</v>
          </cell>
          <cell r="J46" t="e">
            <v>#REF!</v>
          </cell>
          <cell r="K46">
            <v>0.84830168077058077</v>
          </cell>
          <cell r="M46">
            <v>0.15719058841409891</v>
          </cell>
          <cell r="N46" t="e">
            <v>#REF!</v>
          </cell>
          <cell r="O46">
            <v>0.14772766505983081</v>
          </cell>
          <cell r="P46" t="e">
            <v>#REF!</v>
          </cell>
          <cell r="Q46">
            <v>0.16857272598569231</v>
          </cell>
          <cell r="R46" t="e">
            <v>#REF!</v>
          </cell>
          <cell r="S46">
            <v>0.14771576793625393</v>
          </cell>
          <cell r="T46" t="e">
            <v>#REF!</v>
          </cell>
          <cell r="U46">
            <v>0.62610751786886065</v>
          </cell>
          <cell r="W46">
            <v>0.18963949828069879</v>
          </cell>
          <cell r="X46" t="e">
            <v>#REF!</v>
          </cell>
          <cell r="Y46">
            <v>0.201336627462533</v>
          </cell>
          <cell r="Z46" t="e">
            <v>#REF!</v>
          </cell>
          <cell r="AA46">
            <v>0.21772122853328479</v>
          </cell>
          <cell r="AB46" t="e">
            <v>#REF!</v>
          </cell>
          <cell r="AC46">
            <v>0.23995422792662244</v>
          </cell>
          <cell r="AD46" t="e">
            <v>#REF!</v>
          </cell>
          <cell r="AE46">
            <v>0.84741827980205642</v>
          </cell>
          <cell r="AG46">
            <v>0.11262407288593676</v>
          </cell>
          <cell r="AI46">
            <v>0.11585443224435389</v>
          </cell>
          <cell r="AK46">
            <v>0.11644687757376106</v>
          </cell>
          <cell r="AM46">
            <v>0.12075917770961529</v>
          </cell>
          <cell r="AO46">
            <v>0.46558555820163972</v>
          </cell>
          <cell r="AQ46">
            <v>0.17828754720077195</v>
          </cell>
          <cell r="AS46">
            <v>0.15937622463243961</v>
          </cell>
          <cell r="AU46">
            <v>0.13818408916218311</v>
          </cell>
          <cell r="AW46">
            <v>0.13843172075349197</v>
          </cell>
          <cell r="AY46">
            <v>0.61351622099003444</v>
          </cell>
          <cell r="BA46">
            <v>0.19669389062526646</v>
          </cell>
          <cell r="BB46">
            <v>0.10323964692703358</v>
          </cell>
          <cell r="BC46">
            <v>0.19023985050239559</v>
          </cell>
          <cell r="BD46">
            <v>0.19365263508490682</v>
          </cell>
          <cell r="BE46">
            <v>0.24603559717193932</v>
          </cell>
          <cell r="BF46">
            <v>0.78049150711681192</v>
          </cell>
          <cell r="BG46">
            <v>0.21473468610079066</v>
          </cell>
          <cell r="BH46">
            <v>0.55119567200333264</v>
          </cell>
          <cell r="BI46">
            <v>0.84760772011960184</v>
          </cell>
          <cell r="BJ46">
            <v>0.38155714734292223</v>
          </cell>
          <cell r="BL46">
            <v>0.29769915325477275</v>
          </cell>
          <cell r="BM46">
            <v>0.51351499687368318</v>
          </cell>
          <cell r="BN46">
            <v>0.31068947127549734</v>
          </cell>
          <cell r="BO46">
            <v>0.6331461071642559</v>
          </cell>
          <cell r="BP46">
            <v>0.36191125456018103</v>
          </cell>
          <cell r="BQ46">
            <v>0.47097110629590433</v>
          </cell>
          <cell r="BR46">
            <v>0.3444360799602551</v>
          </cell>
          <cell r="BS46">
            <v>0.60400765341928087</v>
          </cell>
          <cell r="BT46">
            <v>1.3150560404644005</v>
          </cell>
          <cell r="BU46">
            <v>0.5514913435177764</v>
          </cell>
          <cell r="BW46">
            <v>0.46584440227703983</v>
          </cell>
          <cell r="BX46">
            <v>0.56481601369677836</v>
          </cell>
          <cell r="BY46">
            <v>0.48808156725806451</v>
          </cell>
          <cell r="BZ46">
            <v>0.57096268906154357</v>
          </cell>
          <cell r="CA46">
            <v>0.51947179435483881</v>
          </cell>
          <cell r="CB46">
            <v>0.43535683902987765</v>
          </cell>
          <cell r="CC46">
            <v>0.54264161806451627</v>
          </cell>
          <cell r="CD46">
            <v>0.57544940741147776</v>
          </cell>
          <cell r="CE46">
            <v>2.0160393819544593</v>
          </cell>
          <cell r="CF46">
            <v>0.53304446344546097</v>
          </cell>
        </row>
        <row r="47">
          <cell r="B47" t="str">
            <v>EPS, diluted</v>
          </cell>
          <cell r="C47">
            <v>5.1261300007734628E-2</v>
          </cell>
          <cell r="D47" t="e">
            <v>#REF!</v>
          </cell>
          <cell r="E47">
            <v>0.11182173883900132</v>
          </cell>
          <cell r="F47" t="e">
            <v>#REF!</v>
          </cell>
          <cell r="G47">
            <v>0.10948743622848416</v>
          </cell>
          <cell r="H47" t="e">
            <v>#REF!</v>
          </cell>
          <cell r="I47">
            <v>9.672335662963033E-2</v>
          </cell>
          <cell r="J47" t="e">
            <v>#REF!</v>
          </cell>
          <cell r="K47">
            <v>0.82168185466735921</v>
          </cell>
          <cell r="M47">
            <v>0.16360744536644534</v>
          </cell>
          <cell r="N47" t="e">
            <v>#REF!</v>
          </cell>
          <cell r="O47">
            <v>0.14302396905211939</v>
          </cell>
          <cell r="P47" t="e">
            <v>#REF!</v>
          </cell>
          <cell r="Q47">
            <v>0.16279624374956575</v>
          </cell>
          <cell r="R47" t="e">
            <v>#REF!</v>
          </cell>
          <cell r="S47">
            <v>0.1442675142833611</v>
          </cell>
          <cell r="T47" t="e">
            <v>#REF!</v>
          </cell>
          <cell r="U47">
            <v>0.60987544247047309</v>
          </cell>
          <cell r="W47">
            <v>0.18630385512668887</v>
          </cell>
          <cell r="X47" t="e">
            <v>#REF!</v>
          </cell>
          <cell r="Y47">
            <v>0.19827260801712437</v>
          </cell>
          <cell r="Z47" t="e">
            <v>#REF!</v>
          </cell>
          <cell r="AA47">
            <v>0.21513388423557631</v>
          </cell>
          <cell r="AB47" t="e">
            <v>#REF!</v>
          </cell>
          <cell r="AC47">
            <v>0.23597362148675347</v>
          </cell>
          <cell r="AD47" t="e">
            <v>#REF!</v>
          </cell>
          <cell r="AE47">
            <v>0.83443278873473636</v>
          </cell>
          <cell r="AG47">
            <v>0.11091602069521243</v>
          </cell>
          <cell r="AI47">
            <v>0.11486526747781373</v>
          </cell>
          <cell r="AK47">
            <v>0.11568376043694142</v>
          </cell>
          <cell r="AM47">
            <v>0.11963762442668824</v>
          </cell>
          <cell r="AO47">
            <v>0.46096594929398294</v>
          </cell>
          <cell r="AQ47">
            <v>0.17644113473531989</v>
          </cell>
          <cell r="AS47">
            <v>0.15632685298156096</v>
          </cell>
          <cell r="AU47">
            <v>0.13499342969776626</v>
          </cell>
          <cell r="AW47">
            <v>0.13531330959153653</v>
          </cell>
          <cell r="AY47">
            <v>0.60195636879300407</v>
          </cell>
          <cell r="BA47">
            <v>0.19188759906363365</v>
          </cell>
          <cell r="BB47">
            <v>8.7544575994056517E-2</v>
          </cell>
          <cell r="BC47">
            <v>0.1856079596205274</v>
          </cell>
          <cell r="BD47">
            <v>0.18730695386300766</v>
          </cell>
          <cell r="BE47">
            <v>0.24102097033403808</v>
          </cell>
          <cell r="BF47">
            <v>0.78542741579093511</v>
          </cell>
          <cell r="BG47">
            <v>0.21052144935874201</v>
          </cell>
          <cell r="BH47">
            <v>0.55580740722573774</v>
          </cell>
          <cell r="BI47">
            <v>0.82872362999196592</v>
          </cell>
          <cell r="BJ47">
            <v>0.37671710601493902</v>
          </cell>
          <cell r="BL47">
            <v>0.29205273126155645</v>
          </cell>
          <cell r="BM47">
            <v>0.52199898631649511</v>
          </cell>
          <cell r="BN47">
            <v>0.30315701288288605</v>
          </cell>
          <cell r="BO47">
            <v>0.63331903169824111</v>
          </cell>
          <cell r="BP47">
            <v>0.35311289058331263</v>
          </cell>
          <cell r="BQ47">
            <v>0.46507123464785272</v>
          </cell>
          <cell r="BR47">
            <v>0.33632766499529704</v>
          </cell>
          <cell r="BS47">
            <v>0.59759333796991476</v>
          </cell>
          <cell r="BT47">
            <v>1.2834287279048318</v>
          </cell>
          <cell r="BU47">
            <v>0.54868122671640718</v>
          </cell>
          <cell r="BW47">
            <v>0.45674418604651162</v>
          </cell>
          <cell r="BX47">
            <v>0.56390999691579968</v>
          </cell>
          <cell r="BY47">
            <v>0.4785469505953488</v>
          </cell>
          <cell r="BZ47">
            <v>0.57854488024071671</v>
          </cell>
          <cell r="CA47">
            <v>0.50932397325581402</v>
          </cell>
          <cell r="CB47">
            <v>0.44238283800530165</v>
          </cell>
          <cell r="CC47">
            <v>0.53204117715348842</v>
          </cell>
          <cell r="CD47">
            <v>0.58191321299997156</v>
          </cell>
          <cell r="CE47">
            <v>1.9766562870511628</v>
          </cell>
          <cell r="CF47">
            <v>0.54013716856565086</v>
          </cell>
        </row>
        <row r="49">
          <cell r="B49" t="str">
            <v>Option expense</v>
          </cell>
          <cell r="BW49">
            <v>74</v>
          </cell>
          <cell r="BY49">
            <v>78.304247450000005</v>
          </cell>
          <cell r="CA49">
            <v>83.722856250000007</v>
          </cell>
          <cell r="CC49">
            <v>93.158375200000009</v>
          </cell>
          <cell r="CE49">
            <v>329.18547890000002</v>
          </cell>
        </row>
        <row r="50">
          <cell r="B50" t="str">
            <v>Net Income (incl options exp)</v>
          </cell>
          <cell r="BW50">
            <v>417</v>
          </cell>
          <cell r="BY50">
            <v>436.13372443999998</v>
          </cell>
          <cell r="CA50">
            <v>463.8004150000001</v>
          </cell>
          <cell r="CC50">
            <v>478.78589024000007</v>
          </cell>
          <cell r="CE50">
            <v>1795.7200296800002</v>
          </cell>
        </row>
        <row r="52">
          <cell r="B52" t="str">
            <v>EPS, diluted (incl option exp)</v>
          </cell>
          <cell r="BW52">
            <v>0.38790697674418606</v>
          </cell>
          <cell r="BY52">
            <v>0.40570579017674419</v>
          </cell>
          <cell r="CA52">
            <v>0.43144224651162799</v>
          </cell>
          <cell r="CC52">
            <v>0.44538222347906986</v>
          </cell>
          <cell r="CE52">
            <v>1.670437236911628</v>
          </cell>
        </row>
        <row r="53">
          <cell r="B53" t="str">
            <v>EPS, GAAP, diluted (incl option exp)</v>
          </cell>
          <cell r="BW53">
            <v>0.39162790697674421</v>
          </cell>
          <cell r="BY53">
            <v>0.38464160413023252</v>
          </cell>
          <cell r="CA53">
            <v>0.41037806046511638</v>
          </cell>
          <cell r="CC53">
            <v>0.42431803743255819</v>
          </cell>
          <cell r="CE53">
            <v>1.6109656090046514</v>
          </cell>
        </row>
        <row r="54">
          <cell r="B54" t="str">
            <v>Shares Outstanding (Basic)</v>
          </cell>
          <cell r="C54">
            <v>1021.6319999999999</v>
          </cell>
          <cell r="D54">
            <v>0</v>
          </cell>
          <cell r="E54">
            <v>1027.8399999999999</v>
          </cell>
          <cell r="F54">
            <v>0</v>
          </cell>
          <cell r="G54">
            <v>1022.826</v>
          </cell>
          <cell r="H54">
            <v>0</v>
          </cell>
          <cell r="I54">
            <v>1030.5820000000001</v>
          </cell>
          <cell r="K54">
            <v>512.86</v>
          </cell>
          <cell r="M54">
            <v>1080.644</v>
          </cell>
          <cell r="N54">
            <v>0</v>
          </cell>
          <cell r="O54">
            <v>1042.4639999999999</v>
          </cell>
          <cell r="P54">
            <v>0</v>
          </cell>
          <cell r="Q54">
            <v>1045.856</v>
          </cell>
          <cell r="R54">
            <v>0</v>
          </cell>
          <cell r="S54">
            <v>1050.1300000000001</v>
          </cell>
          <cell r="T54">
            <v>0</v>
          </cell>
          <cell r="U54">
            <v>1044.3579999999999</v>
          </cell>
          <cell r="W54">
            <v>1051.5899999999999</v>
          </cell>
          <cell r="X54">
            <v>0</v>
          </cell>
          <cell r="Y54">
            <v>1053.9960000000001</v>
          </cell>
          <cell r="Z54">
            <v>0</v>
          </cell>
          <cell r="AA54">
            <v>1054.6559999999999</v>
          </cell>
          <cell r="AB54">
            <v>0</v>
          </cell>
          <cell r="AC54">
            <v>1055.9100000000001</v>
          </cell>
          <cell r="AD54">
            <v>0</v>
          </cell>
          <cell r="AE54">
            <v>1054.038</v>
          </cell>
          <cell r="AG54">
            <v>1053.67</v>
          </cell>
          <cell r="AH54">
            <v>0</v>
          </cell>
          <cell r="AI54">
            <v>1040.002</v>
          </cell>
          <cell r="AJ54">
            <v>0</v>
          </cell>
          <cell r="AK54">
            <v>1032.05</v>
          </cell>
          <cell r="AL54">
            <v>0</v>
          </cell>
          <cell r="AM54">
            <v>1028.3119999999999</v>
          </cell>
          <cell r="AN54">
            <v>0</v>
          </cell>
          <cell r="AO54">
            <v>1038.5084999999999</v>
          </cell>
          <cell r="AQ54">
            <v>1023.818</v>
          </cell>
          <cell r="AR54">
            <v>0</v>
          </cell>
          <cell r="AS54">
            <v>1025.818</v>
          </cell>
          <cell r="AT54">
            <v>0</v>
          </cell>
          <cell r="AU54">
            <v>1040.8</v>
          </cell>
          <cell r="AV54">
            <v>0</v>
          </cell>
          <cell r="AW54">
            <v>1047.3900000000001</v>
          </cell>
          <cell r="AY54">
            <v>1034.4565</v>
          </cell>
          <cell r="BA54">
            <v>1055.1980000000001</v>
          </cell>
          <cell r="BB54">
            <v>3.0649978804826672E-2</v>
          </cell>
          <cell r="BC54">
            <v>1060.6189999999999</v>
          </cell>
          <cell r="BD54">
            <v>3.392512122033331E-2</v>
          </cell>
          <cell r="BE54">
            <v>1055.1400000000001</v>
          </cell>
          <cell r="BF54">
            <v>1.3777863182167671E-2</v>
          </cell>
          <cell r="BG54">
            <v>1049.7</v>
          </cell>
          <cell r="BH54">
            <v>2.2054821986079443E-3</v>
          </cell>
          <cell r="BI54">
            <v>1055.165</v>
          </cell>
          <cell r="BJ54">
            <v>2.0018724808631427E-2</v>
          </cell>
          <cell r="BL54">
            <v>1046.8320000000001</v>
          </cell>
          <cell r="BM54">
            <v>-7.9283698414894799E-3</v>
          </cell>
          <cell r="BN54">
            <v>1057.5640000000001</v>
          </cell>
          <cell r="BO54">
            <v>-2.8803934306285139E-3</v>
          </cell>
          <cell r="BP54">
            <v>1060.539</v>
          </cell>
          <cell r="BQ54">
            <v>5.1168565308867819E-3</v>
          </cell>
          <cell r="BR54">
            <v>1054.7239999999999</v>
          </cell>
          <cell r="BS54">
            <v>4.7861293702962104E-3</v>
          </cell>
          <cell r="BT54">
            <v>1054.952</v>
          </cell>
          <cell r="BU54">
            <v>-2.0186416342460323E-4</v>
          </cell>
          <cell r="BW54">
            <v>1054</v>
          </cell>
          <cell r="BY54">
            <v>1054</v>
          </cell>
          <cell r="CA54">
            <v>1054</v>
          </cell>
          <cell r="CC54">
            <v>1054</v>
          </cell>
          <cell r="CE54">
            <v>1054</v>
          </cell>
          <cell r="CF54">
            <v>-9.0241072579599901E-4</v>
          </cell>
        </row>
        <row r="55">
          <cell r="B55" t="str">
            <v>Shares Outstanding (Diluted)</v>
          </cell>
          <cell r="C55">
            <v>1060.1759999999999</v>
          </cell>
          <cell r="D55">
            <v>0</v>
          </cell>
          <cell r="E55">
            <v>1067.288</v>
          </cell>
          <cell r="F55">
            <v>0</v>
          </cell>
          <cell r="G55">
            <v>1048.6500000000001</v>
          </cell>
          <cell r="H55">
            <v>0</v>
          </cell>
          <cell r="I55">
            <v>1059.682</v>
          </cell>
          <cell r="K55">
            <v>529.47500000000002</v>
          </cell>
          <cell r="M55">
            <v>1038.26</v>
          </cell>
          <cell r="N55">
            <v>0</v>
          </cell>
          <cell r="O55">
            <v>1076.748</v>
          </cell>
          <cell r="P55">
            <v>0</v>
          </cell>
          <cell r="Q55">
            <v>1082.9659999999999</v>
          </cell>
          <cell r="R55">
            <v>0</v>
          </cell>
          <cell r="S55">
            <v>1075.23</v>
          </cell>
          <cell r="T55">
            <v>0</v>
          </cell>
          <cell r="U55">
            <v>1072.154</v>
          </cell>
          <cell r="W55">
            <v>1070.4179999999999</v>
          </cell>
          <cell r="X55">
            <v>0</v>
          </cell>
          <cell r="Y55">
            <v>1070.2840000000001</v>
          </cell>
          <cell r="Z55">
            <v>0</v>
          </cell>
          <cell r="AA55">
            <v>1067.3399999999999</v>
          </cell>
          <cell r="AB55">
            <v>0</v>
          </cell>
          <cell r="AC55">
            <v>1073.722</v>
          </cell>
          <cell r="AD55">
            <v>0</v>
          </cell>
          <cell r="AE55">
            <v>1070.441</v>
          </cell>
          <cell r="AG55">
            <v>1069.896</v>
          </cell>
          <cell r="AH55">
            <v>0</v>
          </cell>
          <cell r="AI55">
            <v>1048.9580000000001</v>
          </cell>
          <cell r="AJ55">
            <v>0</v>
          </cell>
          <cell r="AK55">
            <v>1038.8579999999999</v>
          </cell>
          <cell r="AL55">
            <v>0</v>
          </cell>
          <cell r="AM55">
            <v>1037.952</v>
          </cell>
          <cell r="AN55">
            <v>0</v>
          </cell>
          <cell r="AO55">
            <v>1048.9160000000002</v>
          </cell>
          <cell r="AQ55">
            <v>1034.5319999999999</v>
          </cell>
          <cell r="AR55">
            <v>0</v>
          </cell>
          <cell r="AS55">
            <v>1045.828</v>
          </cell>
          <cell r="AT55">
            <v>0</v>
          </cell>
          <cell r="AU55">
            <v>1065.4000000000001</v>
          </cell>
          <cell r="AV55">
            <v>0</v>
          </cell>
          <cell r="AW55">
            <v>1071.528</v>
          </cell>
          <cell r="AY55">
            <v>1054.3219999999999</v>
          </cell>
          <cell r="BA55">
            <v>1081.6279999999999</v>
          </cell>
          <cell r="BB55">
            <v>4.5523966392533088E-2</v>
          </cell>
          <cell r="BC55">
            <v>1087.087</v>
          </cell>
          <cell r="BD55">
            <v>3.9451037837962E-2</v>
          </cell>
          <cell r="BE55">
            <v>1077.0930000000001</v>
          </cell>
          <cell r="BF55">
            <v>1.0975220574432232E-2</v>
          </cell>
          <cell r="BG55">
            <v>1070.7080000000001</v>
          </cell>
          <cell r="BH55">
            <v>-7.6526231699025615E-4</v>
          </cell>
          <cell r="BI55">
            <v>1079.2090000000001</v>
          </cell>
          <cell r="BJ55">
            <v>2.3604743142986884E-2</v>
          </cell>
          <cell r="BL55">
            <v>1067.0709999999999</v>
          </cell>
          <cell r="BM55">
            <v>-1.345841638714973E-2</v>
          </cell>
          <cell r="BN55">
            <v>1083.8409999999999</v>
          </cell>
          <cell r="BO55">
            <v>-2.9859615651738336E-3</v>
          </cell>
          <cell r="BP55">
            <v>1086.9639999999999</v>
          </cell>
          <cell r="BQ55">
            <v>9.1644825470036384E-3</v>
          </cell>
          <cell r="BR55">
            <v>1080.152</v>
          </cell>
          <cell r="BS55">
            <v>8.8203319672590652E-3</v>
          </cell>
          <cell r="BT55">
            <v>1080.9490000000001</v>
          </cell>
          <cell r="BU55">
            <v>1.6122919656897938E-3</v>
          </cell>
          <cell r="BW55">
            <v>1075</v>
          </cell>
          <cell r="BY55">
            <v>1075</v>
          </cell>
          <cell r="CA55">
            <v>1075</v>
          </cell>
          <cell r="CC55">
            <v>1075</v>
          </cell>
          <cell r="CE55">
            <v>1075</v>
          </cell>
          <cell r="CF55">
            <v>-5.5034973897936101E-3</v>
          </cell>
        </row>
        <row r="58">
          <cell r="B58" t="str">
            <v>GAAP Adjustments</v>
          </cell>
        </row>
        <row r="59">
          <cell r="B59" t="str">
            <v>Charges related to Redemption</v>
          </cell>
          <cell r="AG59">
            <v>-38.9</v>
          </cell>
          <cell r="AI59">
            <v>-38.9</v>
          </cell>
          <cell r="AK59">
            <v>-38.9</v>
          </cell>
          <cell r="AM59">
            <v>-38.9</v>
          </cell>
          <cell r="AO59">
            <v>-155.6</v>
          </cell>
          <cell r="AQ59">
            <v>-38.6</v>
          </cell>
          <cell r="AS59">
            <v>-38.6</v>
          </cell>
          <cell r="AU59">
            <v>-38.6</v>
          </cell>
          <cell r="BA59">
            <v>-38.209000000000003</v>
          </cell>
          <cell r="BC59">
            <v>-38.209000000000003</v>
          </cell>
          <cell r="BE59">
            <v>-30</v>
          </cell>
          <cell r="BG59">
            <v>-34.533999999999999</v>
          </cell>
          <cell r="BI59">
            <v>-140.952</v>
          </cell>
          <cell r="BL59">
            <v>-34.481999999999999</v>
          </cell>
          <cell r="BN59">
            <v>-34.481999999999999</v>
          </cell>
          <cell r="BP59">
            <v>-27.190999999999999</v>
          </cell>
          <cell r="BR59">
            <v>-25</v>
          </cell>
          <cell r="BT59">
            <v>-122.7</v>
          </cell>
          <cell r="BW59">
            <v>-26</v>
          </cell>
          <cell r="BY59">
            <v>-23</v>
          </cell>
          <cell r="CA59">
            <v>-23</v>
          </cell>
          <cell r="CC59">
            <v>-23</v>
          </cell>
          <cell r="CE59">
            <v>-95</v>
          </cell>
        </row>
        <row r="60">
          <cell r="B60" t="str">
            <v>Litigation related charges</v>
          </cell>
          <cell r="AG60">
            <v>0</v>
          </cell>
          <cell r="AI60">
            <v>-518</v>
          </cell>
          <cell r="AK60">
            <v>-12.5</v>
          </cell>
          <cell r="AM60">
            <v>-13.5</v>
          </cell>
          <cell r="AO60">
            <v>-544</v>
          </cell>
          <cell r="AQ60">
            <v>-13.2</v>
          </cell>
          <cell r="AS60">
            <v>-13.4</v>
          </cell>
          <cell r="AU60">
            <v>131.61699999999999</v>
          </cell>
          <cell r="BA60">
            <v>-13.398999999999999</v>
          </cell>
          <cell r="BC60">
            <v>-13.458</v>
          </cell>
          <cell r="BE60">
            <v>-13</v>
          </cell>
          <cell r="BG60">
            <v>3.1890000000000001</v>
          </cell>
          <cell r="BI60">
            <v>-36.667999999999999</v>
          </cell>
          <cell r="BL60">
            <v>-11.256</v>
          </cell>
          <cell r="BN60">
            <v>-19.527000000000001</v>
          </cell>
          <cell r="BP60">
            <v>-13.507</v>
          </cell>
          <cell r="BR60">
            <v>-13</v>
          </cell>
          <cell r="BT60">
            <v>-57.8</v>
          </cell>
          <cell r="BW60">
            <v>-13</v>
          </cell>
          <cell r="BY60">
            <v>-13</v>
          </cell>
          <cell r="CA60">
            <v>-13</v>
          </cell>
          <cell r="CC60">
            <v>-13</v>
          </cell>
          <cell r="CE60">
            <v>-52</v>
          </cell>
        </row>
        <row r="61">
          <cell r="B61" t="str">
            <v>Tax Effect</v>
          </cell>
          <cell r="AG61">
            <v>15.600000000000001</v>
          </cell>
          <cell r="AI61">
            <v>222.709</v>
          </cell>
          <cell r="AK61">
            <v>20.585000000000001</v>
          </cell>
          <cell r="AM61">
            <v>21.203000000000003</v>
          </cell>
          <cell r="AO61">
            <v>280.09699999999998</v>
          </cell>
          <cell r="AQ61">
            <v>20.762</v>
          </cell>
          <cell r="AS61">
            <v>20.791999999999994</v>
          </cell>
          <cell r="AU61">
            <v>-37.300000000000011</v>
          </cell>
          <cell r="BA61">
            <v>20.643999999999998</v>
          </cell>
          <cell r="BC61">
            <v>20.666</v>
          </cell>
          <cell r="BE61">
            <v>15.739672569915893</v>
          </cell>
          <cell r="BG61">
            <v>11.244739080587301</v>
          </cell>
          <cell r="BI61">
            <v>68.294411650503207</v>
          </cell>
          <cell r="BL61">
            <v>18.295000000000002</v>
          </cell>
          <cell r="BN61">
            <v>15.038937664425283</v>
          </cell>
          <cell r="BP61">
            <v>16.28</v>
          </cell>
          <cell r="BR61">
            <v>14.972991096002374</v>
          </cell>
          <cell r="BT61">
            <v>72.2</v>
          </cell>
          <cell r="BW61">
            <v>43</v>
          </cell>
          <cell r="BY61">
            <v>13.356</v>
          </cell>
          <cell r="CA61">
            <v>13.356</v>
          </cell>
          <cell r="CC61">
            <v>13.356</v>
          </cell>
          <cell r="CE61">
            <v>83.067999999999998</v>
          </cell>
        </row>
        <row r="62">
          <cell r="B62" t="str">
            <v>Total Adjustments</v>
          </cell>
          <cell r="AG62">
            <v>-23.299999999999997</v>
          </cell>
          <cell r="AI62">
            <v>-334.19099999999997</v>
          </cell>
          <cell r="AK62">
            <v>-30.814999999999998</v>
          </cell>
          <cell r="AM62">
            <v>-31.196999999999996</v>
          </cell>
          <cell r="AO62">
            <v>-419.50300000000004</v>
          </cell>
          <cell r="AQ62">
            <v>-31.037999999999997</v>
          </cell>
          <cell r="AS62">
            <v>-31.208000000000006</v>
          </cell>
          <cell r="AU62">
            <v>55.716999999999985</v>
          </cell>
          <cell r="BA62">
            <v>-30.964000000000006</v>
          </cell>
          <cell r="BC62">
            <v>-31.001000000000001</v>
          </cell>
          <cell r="BE62">
            <v>-27.260327430084107</v>
          </cell>
          <cell r="BG62">
            <v>-20.100260919412698</v>
          </cell>
          <cell r="BI62">
            <v>-109.3255883494968</v>
          </cell>
          <cell r="BL62">
            <v>-27.442999999999998</v>
          </cell>
          <cell r="BN62">
            <v>-38.970062335574717</v>
          </cell>
          <cell r="BP62">
            <v>-24.417999999999999</v>
          </cell>
          <cell r="BR62">
            <v>-23.027008903997626</v>
          </cell>
          <cell r="BT62">
            <v>-108.3</v>
          </cell>
          <cell r="BW62">
            <v>4</v>
          </cell>
          <cell r="BY62">
            <v>-22.643999999999998</v>
          </cell>
          <cell r="CA62">
            <v>-22.643999999999998</v>
          </cell>
          <cell r="CC62">
            <v>-22.643999999999998</v>
          </cell>
          <cell r="CE62">
            <v>-63.932000000000002</v>
          </cell>
        </row>
        <row r="63">
          <cell r="B63" t="str">
            <v>GAAP Net Income</v>
          </cell>
          <cell r="AG63">
            <v>95.368606877725</v>
          </cell>
          <cell r="AI63">
            <v>-213.70215875700745</v>
          </cell>
          <cell r="AK63">
            <v>89.36400000000009</v>
          </cell>
          <cell r="AM63">
            <v>92.981111548929903</v>
          </cell>
          <cell r="AO63">
            <v>64.011559669647454</v>
          </cell>
          <cell r="AQ63">
            <v>151.49599999999992</v>
          </cell>
          <cell r="AS63">
            <v>132.28299999999993</v>
          </cell>
          <cell r="AU63">
            <v>199.53900000000016</v>
          </cell>
          <cell r="BA63">
            <v>176.58699999999993</v>
          </cell>
          <cell r="BC63">
            <v>170.77100000000027</v>
          </cell>
          <cell r="BE63">
            <v>232.34167256991597</v>
          </cell>
          <cell r="BG63">
            <v>205.30673908058725</v>
          </cell>
          <cell r="BI63">
            <v>785.04041165050285</v>
          </cell>
          <cell r="BL63">
            <v>284.19800000000032</v>
          </cell>
          <cell r="BN63">
            <v>289.60393766442536</v>
          </cell>
          <cell r="BP63">
            <v>359.40299999999979</v>
          </cell>
          <cell r="BR63">
            <v>340.25799109600246</v>
          </cell>
          <cell r="BT63">
            <v>1279.0210000000002</v>
          </cell>
          <cell r="BW63">
            <v>421</v>
          </cell>
          <cell r="BY63">
            <v>413.48972443999997</v>
          </cell>
          <cell r="CA63">
            <v>441.1564150000001</v>
          </cell>
          <cell r="CC63">
            <v>456.14189024000007</v>
          </cell>
          <cell r="CE63">
            <v>1731.7880296800001</v>
          </cell>
        </row>
        <row r="64">
          <cell r="B64" t="str">
            <v>GAAP EPS - Basic</v>
          </cell>
          <cell r="AG64">
            <v>9.0510887543277296E-2</v>
          </cell>
          <cell r="AI64">
            <v>-0.20548244980010372</v>
          </cell>
          <cell r="AK64">
            <v>8.658882806065607E-2</v>
          </cell>
          <cell r="AM64">
            <v>9.042110910786795E-2</v>
          </cell>
          <cell r="AO64">
            <v>6.1637973757217641E-2</v>
          </cell>
          <cell r="AQ64">
            <v>0.14797161214200172</v>
          </cell>
          <cell r="AS64">
            <v>0.12895367404354371</v>
          </cell>
          <cell r="AU64">
            <v>0.19171694850115312</v>
          </cell>
          <cell r="BA64">
            <v>0.1673496348552593</v>
          </cell>
          <cell r="BC64">
            <v>0.1610106928124051</v>
          </cell>
          <cell r="BE64">
            <v>0.22019985269245404</v>
          </cell>
          <cell r="BG64">
            <v>0.19558610944135205</v>
          </cell>
          <cell r="BI64">
            <v>0.74399777442438186</v>
          </cell>
          <cell r="BL64">
            <v>0.27148386751646902</v>
          </cell>
          <cell r="BN64">
            <v>0.27384057859800953</v>
          </cell>
          <cell r="BP64">
            <v>0.33888711306232</v>
          </cell>
          <cell r="BR64">
            <v>0.32260381966846535</v>
          </cell>
          <cell r="BT64">
            <v>1.2123973413008367</v>
          </cell>
          <cell r="BW64">
            <v>0.39943074003795065</v>
          </cell>
          <cell r="BY64">
            <v>0.39230524140417455</v>
          </cell>
          <cell r="CA64">
            <v>0.41855447343453517</v>
          </cell>
          <cell r="CC64">
            <v>0.43277219187855792</v>
          </cell>
          <cell r="CE64">
            <v>1.6430626467552183</v>
          </cell>
        </row>
        <row r="65">
          <cell r="B65" t="str">
            <v>GAAP EPS - Diluted</v>
          </cell>
          <cell r="AG65">
            <v>8.9138203038169134E-2</v>
          </cell>
          <cell r="AI65">
            <v>-0.20372804131052666</v>
          </cell>
          <cell r="AK65">
            <v>8.6021381170477668E-2</v>
          </cell>
          <cell r="AM65">
            <v>8.9581321245038217E-2</v>
          </cell>
          <cell r="AO65">
            <v>6.1026392646930203E-2</v>
          </cell>
          <cell r="AQ65">
            <v>0.1464391628291826</v>
          </cell>
          <cell r="AS65">
            <v>0.1264863820819484</v>
          </cell>
          <cell r="AU65">
            <v>0.18729021963581766</v>
          </cell>
          <cell r="BA65">
            <v>0.16326038157296219</v>
          </cell>
          <cell r="BC65">
            <v>0.15709046286083844</v>
          </cell>
          <cell r="BE65">
            <v>0.21571180257407294</v>
          </cell>
          <cell r="BG65">
            <v>0.19174858045385598</v>
          </cell>
          <cell r="BI65">
            <v>0.72742203933668348</v>
          </cell>
          <cell r="BL65">
            <v>0.26633466751509538</v>
          </cell>
          <cell r="BN65">
            <v>0.26720149695797207</v>
          </cell>
          <cell r="BP65">
            <v>0.3306484851384221</v>
          </cell>
          <cell r="BR65">
            <v>0.31500936080848108</v>
          </cell>
          <cell r="BT65">
            <v>1.183238987223264</v>
          </cell>
          <cell r="BW65">
            <v>0.39162790697674421</v>
          </cell>
          <cell r="BY65">
            <v>0.38464160413023252</v>
          </cell>
          <cell r="CA65">
            <v>0.41037806046511638</v>
          </cell>
          <cell r="CC65">
            <v>0.42431803743255819</v>
          </cell>
          <cell r="CE65">
            <v>1.6109656090046514</v>
          </cell>
        </row>
      </sheetData>
      <sheetData sheetId="6" refreshError="1"/>
      <sheetData sheetId="7" refreshError="1">
        <row r="1">
          <cell r="B1" t="str">
            <v>Genentech Annual Income Statement</v>
          </cell>
          <cell r="AB1" t="str">
            <v>ElementName</v>
          </cell>
          <cell r="AC1" t="str">
            <v>ScaleOverride</v>
          </cell>
          <cell r="AD1" t="str">
            <v>UnitOverride</v>
          </cell>
          <cell r="AE1" t="str">
            <v>ReverseSign</v>
          </cell>
          <cell r="AF1" t="str">
            <v>IsDrivingAssumption</v>
          </cell>
          <cell r="AG1" t="str">
            <v>SegmentID</v>
          </cell>
        </row>
        <row r="2">
          <cell r="B2" t="str">
            <v>(Dollars in thousands except per-share data)</v>
          </cell>
        </row>
        <row r="3">
          <cell r="C3" t="str">
            <v>1999</v>
          </cell>
          <cell r="D3" t="str">
            <v>2000</v>
          </cell>
          <cell r="E3" t="str">
            <v>2001A</v>
          </cell>
          <cell r="F3" t="str">
            <v>2002A</v>
          </cell>
          <cell r="H3" t="str">
            <v>2003A</v>
          </cell>
          <cell r="I3" t="str">
            <v>% chg</v>
          </cell>
          <cell r="J3" t="str">
            <v>2004A</v>
          </cell>
          <cell r="K3" t="str">
            <v>% chg</v>
          </cell>
          <cell r="L3" t="str">
            <v>2005A</v>
          </cell>
          <cell r="M3" t="str">
            <v>% chg</v>
          </cell>
          <cell r="N3" t="str">
            <v>2006E</v>
          </cell>
          <cell r="O3" t="str">
            <v>% chg</v>
          </cell>
          <cell r="P3" t="str">
            <v>2007E</v>
          </cell>
          <cell r="Q3" t="str">
            <v>% chg</v>
          </cell>
          <cell r="R3" t="str">
            <v>2008E</v>
          </cell>
          <cell r="S3" t="str">
            <v>% chg</v>
          </cell>
          <cell r="T3" t="str">
            <v>2009E</v>
          </cell>
          <cell r="U3" t="str">
            <v>% chg</v>
          </cell>
          <cell r="V3" t="str">
            <v>2010E</v>
          </cell>
          <cell r="W3" t="str">
            <v>% chg</v>
          </cell>
        </row>
        <row r="4">
          <cell r="B4" t="str">
            <v>Rituxan - US</v>
          </cell>
          <cell r="C4">
            <v>262.7</v>
          </cell>
          <cell r="D4">
            <v>424.2</v>
          </cell>
          <cell r="E4">
            <v>779</v>
          </cell>
          <cell r="F4">
            <v>1080.2</v>
          </cell>
          <cell r="H4">
            <v>1360.2</v>
          </cell>
          <cell r="I4">
            <v>0.25921125717459725</v>
          </cell>
          <cell r="J4">
            <v>1574</v>
          </cell>
          <cell r="K4">
            <v>0.15718276724011182</v>
          </cell>
          <cell r="L4">
            <v>1831.481</v>
          </cell>
          <cell r="M4">
            <v>0.1635838627700128</v>
          </cell>
          <cell r="N4">
            <v>2097</v>
          </cell>
          <cell r="O4">
            <v>0.14497502294591103</v>
          </cell>
          <cell r="P4">
            <v>2430.2807564833265</v>
          </cell>
          <cell r="Q4">
            <v>0.15893216808933075</v>
          </cell>
          <cell r="R4">
            <v>2695.0166005063993</v>
          </cell>
          <cell r="S4">
            <v>0.10893220600822762</v>
          </cell>
          <cell r="T4">
            <v>2950.119381396431</v>
          </cell>
          <cell r="U4">
            <v>9.465722060565307E-2</v>
          </cell>
          <cell r="V4">
            <v>3220</v>
          </cell>
          <cell r="W4">
            <v>9.1481253370777837E-2</v>
          </cell>
        </row>
        <row r="5">
          <cell r="B5" t="str">
            <v>Rituxan - Ex-US</v>
          </cell>
          <cell r="F5">
            <v>449.90000000000015</v>
          </cell>
          <cell r="H5">
            <v>649.59999999999991</v>
          </cell>
          <cell r="I5">
            <v>0.44387641698155078</v>
          </cell>
          <cell r="J5">
            <v>1149</v>
          </cell>
          <cell r="K5">
            <v>0.76878078817734008</v>
          </cell>
          <cell r="L5">
            <v>1411</v>
          </cell>
          <cell r="M5">
            <v>0.22802436901653622</v>
          </cell>
          <cell r="N5">
            <v>1865</v>
          </cell>
          <cell r="O5">
            <v>0.15</v>
          </cell>
          <cell r="P5">
            <v>2144.75</v>
          </cell>
          <cell r="Q5">
            <v>0.15</v>
          </cell>
          <cell r="R5">
            <v>2316.33</v>
          </cell>
          <cell r="S5">
            <v>0.08</v>
          </cell>
          <cell r="T5">
            <v>2478.4731000000002</v>
          </cell>
          <cell r="U5">
            <v>7.0000000000000007E-2</v>
          </cell>
          <cell r="V5">
            <v>2627.1814860000004</v>
          </cell>
          <cell r="W5">
            <v>0.06</v>
          </cell>
        </row>
        <row r="6">
          <cell r="B6" t="str">
            <v xml:space="preserve">Rituxan - Transfer to Roche </v>
          </cell>
          <cell r="C6">
            <v>16.7</v>
          </cell>
          <cell r="D6">
            <v>19.899999999999999</v>
          </cell>
          <cell r="E6">
            <v>39.6</v>
          </cell>
          <cell r="F6">
            <v>82.7</v>
          </cell>
          <cell r="H6">
            <v>128.9</v>
          </cell>
          <cell r="I6">
            <v>0.55864570737605801</v>
          </cell>
          <cell r="J6">
            <v>137.19999999999999</v>
          </cell>
          <cell r="K6">
            <v>6.4391000775795071E-2</v>
          </cell>
          <cell r="L6">
            <v>157.94999999999999</v>
          </cell>
          <cell r="M6">
            <v>0.12</v>
          </cell>
          <cell r="N6">
            <v>260</v>
          </cell>
          <cell r="O6">
            <v>0.12</v>
          </cell>
          <cell r="P6">
            <v>280.8</v>
          </cell>
          <cell r="Q6">
            <v>0.08</v>
          </cell>
          <cell r="R6">
            <v>238.68</v>
          </cell>
          <cell r="S6">
            <v>-0.15</v>
          </cell>
          <cell r="T6">
            <v>159.91559999999998</v>
          </cell>
          <cell r="U6">
            <v>-0.33</v>
          </cell>
          <cell r="V6">
            <v>79.957799999999992</v>
          </cell>
          <cell r="W6">
            <v>-0.5</v>
          </cell>
        </row>
        <row r="7">
          <cell r="B7" t="str">
            <v>Rituxan - US &amp; Sales to Roche</v>
          </cell>
          <cell r="C7">
            <v>279.39999999999998</v>
          </cell>
          <cell r="D7">
            <v>444.09999999999997</v>
          </cell>
          <cell r="E7">
            <v>818.6</v>
          </cell>
          <cell r="F7">
            <v>1162.9000000000001</v>
          </cell>
          <cell r="H7">
            <v>1489.1000000000001</v>
          </cell>
          <cell r="I7">
            <v>0.28050563247054772</v>
          </cell>
          <cell r="J7">
            <v>1711.2</v>
          </cell>
          <cell r="K7">
            <v>0.14915049358673027</v>
          </cell>
          <cell r="L7">
            <v>1989.431</v>
          </cell>
          <cell r="M7">
            <v>0.16259408602150538</v>
          </cell>
          <cell r="N7">
            <v>2357</v>
          </cell>
          <cell r="O7">
            <v>0.18476086881123299</v>
          </cell>
          <cell r="P7">
            <v>2711.0807564833267</v>
          </cell>
          <cell r="Q7">
            <v>0.15022518306462729</v>
          </cell>
          <cell r="R7">
            <v>2933.6966005063991</v>
          </cell>
          <cell r="S7">
            <v>8.2113320855789595E-2</v>
          </cell>
          <cell r="T7">
            <v>3110.0349813964308</v>
          </cell>
          <cell r="U7">
            <v>6.0107913292599235E-2</v>
          </cell>
          <cell r="V7">
            <v>3299.9578000000001</v>
          </cell>
          <cell r="W7">
            <v>6.1067743526888707E-2</v>
          </cell>
        </row>
        <row r="8">
          <cell r="B8" t="str">
            <v>Avastin - US</v>
          </cell>
          <cell r="E8">
            <v>0</v>
          </cell>
          <cell r="F8">
            <v>0</v>
          </cell>
          <cell r="H8">
            <v>0</v>
          </cell>
          <cell r="J8">
            <v>552.34</v>
          </cell>
          <cell r="K8" t="str">
            <v>NM</v>
          </cell>
          <cell r="L8">
            <v>1132.721</v>
          </cell>
          <cell r="M8">
            <v>1.0507676431183688</v>
          </cell>
          <cell r="N8">
            <v>1876</v>
          </cell>
          <cell r="O8">
            <v>0.6561889467927231</v>
          </cell>
          <cell r="P8">
            <v>2817.9611602894643</v>
          </cell>
          <cell r="Q8">
            <v>0.50211149269161215</v>
          </cell>
          <cell r="R8">
            <v>3802.1294573955038</v>
          </cell>
          <cell r="S8">
            <v>0.34924835408481814</v>
          </cell>
          <cell r="T8">
            <v>4624.6783247655285</v>
          </cell>
          <cell r="U8">
            <v>0.21633899544637769</v>
          </cell>
          <cell r="V8">
            <v>5307.1770570587933</v>
          </cell>
          <cell r="W8">
            <v>0.14757755769486258</v>
          </cell>
        </row>
        <row r="9">
          <cell r="B9" t="str">
            <v>Avastin - Ex-US</v>
          </cell>
          <cell r="F9">
            <v>0</v>
          </cell>
          <cell r="H9">
            <v>0</v>
          </cell>
          <cell r="J9">
            <v>10</v>
          </cell>
          <cell r="K9" t="str">
            <v>NM</v>
          </cell>
          <cell r="L9">
            <v>200</v>
          </cell>
          <cell r="M9" t="str">
            <v>NM</v>
          </cell>
          <cell r="N9">
            <v>565</v>
          </cell>
          <cell r="O9">
            <v>1.8250000000000002</v>
          </cell>
          <cell r="P9">
            <v>1000</v>
          </cell>
          <cell r="Q9">
            <v>0.76991150442477885</v>
          </cell>
          <cell r="R9">
            <v>1850</v>
          </cell>
          <cell r="S9">
            <v>0.85000000000000009</v>
          </cell>
          <cell r="T9">
            <v>2500</v>
          </cell>
          <cell r="U9">
            <v>0.35135135135135132</v>
          </cell>
          <cell r="V9">
            <v>2900</v>
          </cell>
          <cell r="W9">
            <v>0.15999999999999992</v>
          </cell>
        </row>
        <row r="10">
          <cell r="B10" t="str">
            <v xml:space="preserve">Avastin - Transfer to Roche </v>
          </cell>
          <cell r="J10">
            <v>2.16</v>
          </cell>
          <cell r="K10" t="str">
            <v>NM</v>
          </cell>
          <cell r="L10">
            <v>84.031999999999996</v>
          </cell>
          <cell r="M10" t="str">
            <v>NM</v>
          </cell>
          <cell r="N10">
            <v>117.35999999999999</v>
          </cell>
          <cell r="O10">
            <v>0.3966108149276466</v>
          </cell>
          <cell r="P10">
            <v>108</v>
          </cell>
          <cell r="Q10">
            <v>-7.9754601226993738E-2</v>
          </cell>
          <cell r="R10">
            <v>79.92</v>
          </cell>
          <cell r="S10">
            <v>-0.26</v>
          </cell>
          <cell r="T10">
            <v>54</v>
          </cell>
          <cell r="U10">
            <v>-0.32432432432432434</v>
          </cell>
          <cell r="V10">
            <v>31.32</v>
          </cell>
          <cell r="W10">
            <v>-0.42000000000000004</v>
          </cell>
        </row>
        <row r="11">
          <cell r="B11" t="str">
            <v>Avastin -  US &amp; Sales to Roche</v>
          </cell>
          <cell r="F11">
            <v>0</v>
          </cell>
          <cell r="H11">
            <v>0</v>
          </cell>
          <cell r="I11" t="str">
            <v>NM</v>
          </cell>
          <cell r="J11">
            <v>554.5</v>
          </cell>
          <cell r="K11" t="str">
            <v>NM</v>
          </cell>
          <cell r="L11">
            <v>1216.7529999999999</v>
          </cell>
          <cell r="M11" t="str">
            <v>NM</v>
          </cell>
          <cell r="N11">
            <v>1993.36</v>
          </cell>
          <cell r="O11">
            <v>0.63826183292747163</v>
          </cell>
          <cell r="P11">
            <v>2925.9611602894643</v>
          </cell>
          <cell r="Q11">
            <v>0.46785385494314347</v>
          </cell>
          <cell r="R11">
            <v>3882.0494573955039</v>
          </cell>
          <cell r="S11">
            <v>0.32676041981755288</v>
          </cell>
          <cell r="T11">
            <v>4678.6783247655285</v>
          </cell>
          <cell r="U11">
            <v>0.20520832516762644</v>
          </cell>
          <cell r="V11">
            <v>5338.497057058793</v>
          </cell>
          <cell r="W11">
            <v>0.14102673586270353</v>
          </cell>
        </row>
        <row r="12">
          <cell r="B12" t="str">
            <v>Herceptin - US</v>
          </cell>
          <cell r="C12">
            <v>183.7</v>
          </cell>
          <cell r="D12">
            <v>249.7</v>
          </cell>
          <cell r="E12">
            <v>315.39999999999998</v>
          </cell>
          <cell r="F12">
            <v>344.9</v>
          </cell>
          <cell r="H12">
            <v>406</v>
          </cell>
          <cell r="I12">
            <v>0.17715279791243854</v>
          </cell>
          <cell r="J12">
            <v>466.4</v>
          </cell>
          <cell r="K12">
            <v>0.14876847290640383</v>
          </cell>
          <cell r="L12">
            <v>747.24699999999996</v>
          </cell>
          <cell r="M12">
            <v>0.60215909090909081</v>
          </cell>
          <cell r="N12">
            <v>1375</v>
          </cell>
          <cell r="O12">
            <v>0.84008768185084737</v>
          </cell>
          <cell r="P12">
            <v>1566.9607618585742</v>
          </cell>
          <cell r="Q12">
            <v>0.13960782680623574</v>
          </cell>
          <cell r="R12">
            <v>1676.8953104490511</v>
          </cell>
          <cell r="S12">
            <v>7.0157818412812878E-2</v>
          </cell>
          <cell r="T12">
            <v>1772.633441089682</v>
          </cell>
          <cell r="U12">
            <v>5.7092491131717438E-2</v>
          </cell>
          <cell r="V12">
            <v>1873.880898727371</v>
          </cell>
          <cell r="W12">
            <v>5.7116973701821561E-2</v>
          </cell>
        </row>
        <row r="13">
          <cell r="B13" t="str">
            <v>Herceptin - Ex-US</v>
          </cell>
          <cell r="F13">
            <v>315.84000000000003</v>
          </cell>
          <cell r="H13">
            <v>445.79999999999995</v>
          </cell>
          <cell r="I13">
            <v>0.41147416413373827</v>
          </cell>
          <cell r="J13">
            <v>590.14</v>
          </cell>
          <cell r="K13">
            <v>0.32377747868999562</v>
          </cell>
          <cell r="L13">
            <v>948</v>
          </cell>
          <cell r="M13">
            <v>0.60639848171620292</v>
          </cell>
          <cell r="N13">
            <v>1175</v>
          </cell>
          <cell r="O13">
            <v>0.2</v>
          </cell>
          <cell r="P13">
            <v>1468.75</v>
          </cell>
          <cell r="Q13">
            <v>0.25</v>
          </cell>
          <cell r="R13">
            <v>1586.25</v>
          </cell>
          <cell r="S13">
            <v>0.08</v>
          </cell>
          <cell r="T13">
            <v>1665.5625</v>
          </cell>
          <cell r="U13">
            <v>0.05</v>
          </cell>
          <cell r="V13">
            <v>1732.1849999999999</v>
          </cell>
          <cell r="W13">
            <v>0.04</v>
          </cell>
        </row>
        <row r="14">
          <cell r="B14" t="str">
            <v xml:space="preserve">Herceptin - Transfer to Roche </v>
          </cell>
          <cell r="C14">
            <v>4.7</v>
          </cell>
          <cell r="D14">
            <v>26.3</v>
          </cell>
          <cell r="E14">
            <v>31.3</v>
          </cell>
          <cell r="F14">
            <v>40.299999999999997</v>
          </cell>
          <cell r="H14">
            <v>18.8</v>
          </cell>
          <cell r="I14">
            <v>-0.53349875930521085</v>
          </cell>
          <cell r="J14">
            <v>15.875</v>
          </cell>
          <cell r="K14">
            <v>-0.15558510638297873</v>
          </cell>
          <cell r="L14">
            <v>16.621000000000002</v>
          </cell>
          <cell r="M14">
            <v>4.6992125984252064E-2</v>
          </cell>
          <cell r="N14">
            <v>5</v>
          </cell>
          <cell r="P14">
            <v>14.6875</v>
          </cell>
          <cell r="R14">
            <v>0</v>
          </cell>
          <cell r="T14">
            <v>0</v>
          </cell>
          <cell r="V14">
            <v>0</v>
          </cell>
        </row>
        <row r="15">
          <cell r="B15" t="str">
            <v>Herceptin- US &amp; Sales to Roche</v>
          </cell>
          <cell r="C15">
            <v>188.39999999999998</v>
          </cell>
          <cell r="D15">
            <v>276</v>
          </cell>
          <cell r="E15">
            <v>346.7</v>
          </cell>
          <cell r="F15">
            <v>385.2</v>
          </cell>
          <cell r="H15">
            <v>424.8</v>
          </cell>
          <cell r="I15">
            <v>0.10280373831775713</v>
          </cell>
          <cell r="J15">
            <v>482.27499999999998</v>
          </cell>
          <cell r="K15">
            <v>0.13529896421845566</v>
          </cell>
          <cell r="L15">
            <v>763.86799999999994</v>
          </cell>
          <cell r="M15">
            <v>0.58388471307863776</v>
          </cell>
          <cell r="N15">
            <v>1380</v>
          </cell>
          <cell r="O15">
            <v>0.8065948567029908</v>
          </cell>
          <cell r="P15">
            <v>1581.6482618585742</v>
          </cell>
          <cell r="Q15">
            <v>0.14612192888302467</v>
          </cell>
          <cell r="R15">
            <v>1676.8953104490511</v>
          </cell>
          <cell r="S15">
            <v>6.0220120293088097E-2</v>
          </cell>
          <cell r="T15">
            <v>1772.633441089682</v>
          </cell>
          <cell r="U15">
            <v>5.7092491131717438E-2</v>
          </cell>
          <cell r="V15">
            <v>1873.880898727371</v>
          </cell>
          <cell r="W15">
            <v>5.7116973701821561E-2</v>
          </cell>
        </row>
        <row r="16">
          <cell r="B16" t="str">
            <v>Xolair - US &amp; Sales to Novartis</v>
          </cell>
          <cell r="E16">
            <v>0</v>
          </cell>
          <cell r="F16">
            <v>0</v>
          </cell>
          <cell r="H16">
            <v>25.3</v>
          </cell>
          <cell r="I16" t="str">
            <v>NM</v>
          </cell>
          <cell r="J16">
            <v>188.5</v>
          </cell>
          <cell r="K16" t="str">
            <v>NM</v>
          </cell>
          <cell r="L16">
            <v>323.79700000000003</v>
          </cell>
          <cell r="M16">
            <v>0.71775596816976139</v>
          </cell>
          <cell r="N16">
            <v>423</v>
          </cell>
          <cell r="O16">
            <v>0.30637405534949358</v>
          </cell>
          <cell r="P16">
            <v>496.67639851943272</v>
          </cell>
          <cell r="Q16">
            <v>0.17417588302466358</v>
          </cell>
          <cell r="R16">
            <v>549.18117450569844</v>
          </cell>
          <cell r="S16">
            <v>0.10571224270527013</v>
          </cell>
          <cell r="T16">
            <v>609.0179751523707</v>
          </cell>
          <cell r="U16">
            <v>0.10895639440031712</v>
          </cell>
          <cell r="V16">
            <v>656.42413544863268</v>
          </cell>
          <cell r="W16">
            <v>7.7840330220797505E-2</v>
          </cell>
        </row>
        <row r="17">
          <cell r="B17" t="str">
            <v>Raptiva -US &amp; Sales to Serono</v>
          </cell>
          <cell r="E17">
            <v>0</v>
          </cell>
          <cell r="F17">
            <v>0</v>
          </cell>
          <cell r="H17">
            <v>1.4</v>
          </cell>
          <cell r="I17" t="str">
            <v>NM</v>
          </cell>
          <cell r="J17">
            <v>56.300000000000004</v>
          </cell>
          <cell r="K17" t="str">
            <v>NM</v>
          </cell>
          <cell r="L17">
            <v>86.754999999999995</v>
          </cell>
          <cell r="M17">
            <v>0.54094138543516856</v>
          </cell>
          <cell r="N17">
            <v>93</v>
          </cell>
          <cell r="O17">
            <v>7.1984323670105432E-2</v>
          </cell>
          <cell r="P17">
            <v>114.74883545485645</v>
          </cell>
          <cell r="Q17">
            <v>0.23385844575114456</v>
          </cell>
          <cell r="R17">
            <v>111.02507700089812</v>
          </cell>
          <cell r="S17">
            <v>-3.2451383399209277E-2</v>
          </cell>
          <cell r="T17">
            <v>116.64294589714356</v>
          </cell>
          <cell r="U17">
            <v>5.0599999999999978E-2</v>
          </cell>
          <cell r="V17">
            <v>122.54507895953904</v>
          </cell>
          <cell r="W17">
            <v>5.06000000000002E-2</v>
          </cell>
        </row>
        <row r="18">
          <cell r="B18" t="str">
            <v>Tarceva -US</v>
          </cell>
          <cell r="E18">
            <v>0</v>
          </cell>
          <cell r="F18">
            <v>0</v>
          </cell>
          <cell r="H18">
            <v>0</v>
          </cell>
          <cell r="I18" t="str">
            <v>NM</v>
          </cell>
          <cell r="J18">
            <v>13.3</v>
          </cell>
          <cell r="K18" t="str">
            <v>NM</v>
          </cell>
          <cell r="L18">
            <v>274.89600000000002</v>
          </cell>
          <cell r="M18" t="str">
            <v>NM</v>
          </cell>
          <cell r="N18">
            <v>424</v>
          </cell>
          <cell r="O18">
            <v>0.54240149001804316</v>
          </cell>
          <cell r="P18">
            <v>557.72266843795683</v>
          </cell>
          <cell r="Q18">
            <v>0.31538365197631335</v>
          </cell>
          <cell r="R18">
            <v>627.16500409829609</v>
          </cell>
          <cell r="S18">
            <v>0.12451051318181139</v>
          </cell>
          <cell r="T18">
            <v>709.46249058838214</v>
          </cell>
          <cell r="U18">
            <v>0.13122142650227886</v>
          </cell>
          <cell r="V18">
            <v>774.76330842001289</v>
          </cell>
          <cell r="W18">
            <v>9.2042664267528052E-2</v>
          </cell>
        </row>
        <row r="19">
          <cell r="B19" t="str">
            <v>Lucentis - US</v>
          </cell>
          <cell r="E19">
            <v>0</v>
          </cell>
          <cell r="F19">
            <v>0</v>
          </cell>
          <cell r="H19">
            <v>0</v>
          </cell>
          <cell r="I19" t="str">
            <v>NM</v>
          </cell>
          <cell r="J19">
            <v>0</v>
          </cell>
          <cell r="K19" t="str">
            <v>NM</v>
          </cell>
          <cell r="L19">
            <v>0</v>
          </cell>
          <cell r="M19" t="str">
            <v>NM</v>
          </cell>
          <cell r="N19">
            <v>135</v>
          </cell>
          <cell r="O19" t="str">
            <v>NM</v>
          </cell>
          <cell r="P19">
            <v>450</v>
          </cell>
          <cell r="Q19">
            <v>2.3333333333333335</v>
          </cell>
          <cell r="R19">
            <v>550</v>
          </cell>
          <cell r="S19">
            <v>0.22222222222222232</v>
          </cell>
          <cell r="T19">
            <v>600</v>
          </cell>
          <cell r="U19">
            <v>9.0909090909090828E-2</v>
          </cell>
          <cell r="V19">
            <v>650</v>
          </cell>
          <cell r="W19">
            <v>8.3333333333333259E-2</v>
          </cell>
        </row>
        <row r="20">
          <cell r="B20" t="str">
            <v>Lucentis - Ex-US</v>
          </cell>
          <cell r="F20">
            <v>0</v>
          </cell>
          <cell r="H20">
            <v>0</v>
          </cell>
          <cell r="I20" t="str">
            <v>NM</v>
          </cell>
          <cell r="J20">
            <v>0</v>
          </cell>
          <cell r="K20" t="str">
            <v>NM</v>
          </cell>
          <cell r="L20">
            <v>0</v>
          </cell>
          <cell r="M20" t="str">
            <v>NM</v>
          </cell>
          <cell r="N20">
            <v>0</v>
          </cell>
          <cell r="O20" t="str">
            <v>NM</v>
          </cell>
          <cell r="P20">
            <v>100</v>
          </cell>
          <cell r="Q20" t="str">
            <v>NM</v>
          </cell>
          <cell r="R20">
            <v>300</v>
          </cell>
          <cell r="S20">
            <v>2</v>
          </cell>
          <cell r="T20">
            <v>450</v>
          </cell>
          <cell r="U20">
            <v>0.5</v>
          </cell>
          <cell r="V20">
            <v>550</v>
          </cell>
          <cell r="W20">
            <v>0.22222222222222232</v>
          </cell>
        </row>
        <row r="21">
          <cell r="B21" t="str">
            <v>Growth Hormone Products</v>
          </cell>
          <cell r="C21">
            <v>221.20000000099998</v>
          </cell>
          <cell r="D21">
            <v>226.6</v>
          </cell>
          <cell r="E21">
            <v>250.229999999</v>
          </cell>
          <cell r="F21">
            <v>297.2</v>
          </cell>
          <cell r="H21">
            <v>321.89999999999998</v>
          </cell>
          <cell r="I21">
            <v>8.3109017496635129E-2</v>
          </cell>
          <cell r="J21">
            <v>353.6</v>
          </cell>
          <cell r="K21">
            <v>9.8477788132960598E-2</v>
          </cell>
          <cell r="L21">
            <v>372.68</v>
          </cell>
          <cell r="M21">
            <v>0.05</v>
          </cell>
          <cell r="N21">
            <v>378</v>
          </cell>
          <cell r="O21">
            <v>0.03</v>
          </cell>
          <cell r="P21">
            <v>378</v>
          </cell>
          <cell r="Q21">
            <v>0</v>
          </cell>
          <cell r="R21">
            <v>366.65999999999997</v>
          </cell>
          <cell r="S21">
            <v>-0.03</v>
          </cell>
          <cell r="T21">
            <v>348.32699999999994</v>
          </cell>
          <cell r="U21">
            <v>-0.05</v>
          </cell>
          <cell r="V21">
            <v>330.91064999999992</v>
          </cell>
          <cell r="W21">
            <v>-0.05</v>
          </cell>
        </row>
        <row r="22">
          <cell r="B22" t="str">
            <v>Thrombolytics</v>
          </cell>
          <cell r="C22">
            <v>236.00000000099999</v>
          </cell>
          <cell r="D22">
            <v>206.2</v>
          </cell>
          <cell r="E22">
            <v>197.10559324899998</v>
          </cell>
          <cell r="F22">
            <v>180.2</v>
          </cell>
          <cell r="H22">
            <v>185.2</v>
          </cell>
          <cell r="I22">
            <v>2.7746947835738167E-2</v>
          </cell>
          <cell r="J22">
            <v>200</v>
          </cell>
          <cell r="K22">
            <v>7.9913606911447221E-2</v>
          </cell>
          <cell r="L22">
            <v>221.46200000000002</v>
          </cell>
          <cell r="M22">
            <v>0.01</v>
          </cell>
          <cell r="N22">
            <v>239</v>
          </cell>
          <cell r="O22">
            <v>0.01</v>
          </cell>
          <cell r="P22">
            <v>241.39000000000001</v>
          </cell>
          <cell r="Q22">
            <v>0.01</v>
          </cell>
          <cell r="R22">
            <v>243.80390000000003</v>
          </cell>
          <cell r="S22">
            <v>0.01</v>
          </cell>
          <cell r="T22">
            <v>246.24193900000003</v>
          </cell>
          <cell r="U22">
            <v>0.01</v>
          </cell>
          <cell r="V22">
            <v>248.70435839000004</v>
          </cell>
          <cell r="W22">
            <v>0.01</v>
          </cell>
        </row>
        <row r="23">
          <cell r="B23" t="str">
            <v>Pulmozyme</v>
          </cell>
          <cell r="C23">
            <v>111.399999998</v>
          </cell>
          <cell r="D23">
            <v>121.80000000099999</v>
          </cell>
          <cell r="E23">
            <v>122.87749999900001</v>
          </cell>
          <cell r="F23">
            <v>138.1</v>
          </cell>
          <cell r="H23">
            <v>167.2</v>
          </cell>
          <cell r="I23">
            <v>0.21071687183200583</v>
          </cell>
          <cell r="J23">
            <v>177.70000000000002</v>
          </cell>
          <cell r="K23">
            <v>6.2799043062201187E-2</v>
          </cell>
          <cell r="L23">
            <v>194.24699999999999</v>
          </cell>
          <cell r="M23">
            <v>0.05</v>
          </cell>
          <cell r="N23">
            <v>205</v>
          </cell>
          <cell r="O23">
            <v>0.04</v>
          </cell>
          <cell r="P23">
            <v>211.15</v>
          </cell>
          <cell r="Q23">
            <v>0.03</v>
          </cell>
          <cell r="R23">
            <v>215.37300000000002</v>
          </cell>
          <cell r="S23">
            <v>0.02</v>
          </cell>
          <cell r="T23">
            <v>219.68046000000001</v>
          </cell>
          <cell r="U23">
            <v>0.02</v>
          </cell>
          <cell r="V23">
            <v>224.07406920000003</v>
          </cell>
          <cell r="W23">
            <v>0.02</v>
          </cell>
        </row>
        <row r="24">
          <cell r="B24" t="str">
            <v>Actimmune</v>
          </cell>
          <cell r="C24">
            <v>2.7</v>
          </cell>
          <cell r="D24">
            <v>3.7</v>
          </cell>
          <cell r="E24">
            <v>6.9</v>
          </cell>
          <cell r="F24">
            <v>0</v>
          </cell>
          <cell r="H24">
            <v>0</v>
          </cell>
          <cell r="I24" t="str">
            <v>NM</v>
          </cell>
          <cell r="J24">
            <v>0</v>
          </cell>
          <cell r="K24" t="str">
            <v>NM</v>
          </cell>
          <cell r="L24">
            <v>0</v>
          </cell>
          <cell r="N24">
            <v>0</v>
          </cell>
          <cell r="P24">
            <v>0</v>
          </cell>
          <cell r="R24">
            <v>0</v>
          </cell>
          <cell r="T24">
            <v>0</v>
          </cell>
          <cell r="V24">
            <v>0</v>
          </cell>
        </row>
        <row r="25">
          <cell r="B25" t="str">
            <v>Other</v>
          </cell>
          <cell r="E25">
            <v>0</v>
          </cell>
          <cell r="F25">
            <v>0</v>
          </cell>
          <cell r="H25">
            <v>6.622000000000094</v>
          </cell>
          <cell r="J25">
            <v>10.6</v>
          </cell>
          <cell r="K25" t="str">
            <v>NM</v>
          </cell>
          <cell r="L25">
            <v>44.195999999999998</v>
          </cell>
          <cell r="M25">
            <v>0</v>
          </cell>
          <cell r="N25">
            <v>20</v>
          </cell>
          <cell r="O25">
            <v>0</v>
          </cell>
          <cell r="P25">
            <v>20</v>
          </cell>
          <cell r="Q25">
            <v>0</v>
          </cell>
          <cell r="R25">
            <v>0</v>
          </cell>
          <cell r="S25">
            <v>0</v>
          </cell>
          <cell r="T25">
            <v>50</v>
          </cell>
          <cell r="U25">
            <v>0</v>
          </cell>
          <cell r="V25">
            <v>100</v>
          </cell>
          <cell r="W25">
            <v>0</v>
          </cell>
        </row>
        <row r="26">
          <cell r="B26" t="str">
            <v>Total Product Sales</v>
          </cell>
          <cell r="C26">
            <v>1039.1000000000001</v>
          </cell>
          <cell r="D26">
            <v>1278.4000000009999</v>
          </cell>
          <cell r="E26">
            <v>1742.8969999999999</v>
          </cell>
          <cell r="F26">
            <v>2163.6285596696475</v>
          </cell>
          <cell r="H26">
            <v>2621.5219999999999</v>
          </cell>
          <cell r="I26">
            <v>0.21163218533234085</v>
          </cell>
          <cell r="J26">
            <v>3748.9</v>
          </cell>
          <cell r="K26">
            <v>0.43004712529591593</v>
          </cell>
          <cell r="L26">
            <v>5488.0850000000009</v>
          </cell>
          <cell r="M26">
            <v>0.46391874949985357</v>
          </cell>
          <cell r="N26">
            <v>7647.36</v>
          </cell>
          <cell r="O26">
            <v>0.39344780556423564</v>
          </cell>
          <cell r="P26">
            <v>9688.378081043611</v>
          </cell>
          <cell r="Q26">
            <v>0.26689185301118434</v>
          </cell>
          <cell r="R26">
            <v>11155.849523955847</v>
          </cell>
          <cell r="S26">
            <v>0.15146719405836429</v>
          </cell>
          <cell r="T26">
            <v>12460.719557889535</v>
          </cell>
          <cell r="U26">
            <v>0.11696733907459378</v>
          </cell>
          <cell r="V26">
            <v>13619.757356204351</v>
          </cell>
          <cell r="W26">
            <v>9.3015318491857624E-2</v>
          </cell>
        </row>
        <row r="27">
          <cell r="B27" t="str">
            <v>Royalties</v>
          </cell>
          <cell r="C27">
            <v>189.27</v>
          </cell>
          <cell r="D27">
            <v>207.24100000000001</v>
          </cell>
          <cell r="E27">
            <v>264.47500000000002</v>
          </cell>
          <cell r="F27">
            <v>365.55</v>
          </cell>
          <cell r="H27">
            <v>500.86800000000005</v>
          </cell>
          <cell r="I27">
            <v>0.37017644645055414</v>
          </cell>
          <cell r="J27">
            <v>641.1</v>
          </cell>
          <cell r="K27">
            <v>0.27997795826445282</v>
          </cell>
          <cell r="L27">
            <v>935.09699999999998</v>
          </cell>
          <cell r="M27">
            <v>0.45858212447356106</v>
          </cell>
          <cell r="N27">
            <v>1258</v>
          </cell>
          <cell r="O27">
            <v>0.34531497801832334</v>
          </cell>
          <cell r="P27">
            <v>1354.247040639616</v>
          </cell>
          <cell r="Q27">
            <v>7.6507981430537386E-2</v>
          </cell>
          <cell r="R27">
            <v>1688.1867871459806</v>
          </cell>
          <cell r="S27">
            <v>0.24658702325732507</v>
          </cell>
          <cell r="T27">
            <v>1891.1844200255673</v>
          </cell>
          <cell r="U27">
            <v>0.12024595526113013</v>
          </cell>
          <cell r="V27">
            <v>1947.6307931733611</v>
          </cell>
          <cell r="W27">
            <v>2.9847101398514431E-2</v>
          </cell>
        </row>
        <row r="28">
          <cell r="B28" t="str">
            <v>Contract and Other</v>
          </cell>
          <cell r="C28">
            <v>83.242000000000004</v>
          </cell>
          <cell r="D28">
            <v>151.72999999999999</v>
          </cell>
          <cell r="E28">
            <v>36.659999999999997</v>
          </cell>
          <cell r="F28">
            <v>54.442999999999998</v>
          </cell>
          <cell r="H28">
            <v>177.87299999999999</v>
          </cell>
          <cell r="I28">
            <v>2.2671417813125654</v>
          </cell>
          <cell r="J28">
            <v>231.2</v>
          </cell>
          <cell r="K28">
            <v>0.29980379259359213</v>
          </cell>
          <cell r="L28">
            <v>210.24099999999999</v>
          </cell>
          <cell r="M28">
            <v>-9.0653114186851236E-2</v>
          </cell>
          <cell r="N28">
            <v>215</v>
          </cell>
          <cell r="O28">
            <v>0.12</v>
          </cell>
          <cell r="P28">
            <v>236.50000000000003</v>
          </cell>
          <cell r="Q28">
            <v>0.1</v>
          </cell>
          <cell r="R28">
            <v>260.15000000000003</v>
          </cell>
          <cell r="S28">
            <v>0.1</v>
          </cell>
          <cell r="T28">
            <v>234.13500000000005</v>
          </cell>
          <cell r="U28">
            <v>-0.1</v>
          </cell>
          <cell r="V28">
            <v>210.72150000000005</v>
          </cell>
          <cell r="W28">
            <v>-0.1</v>
          </cell>
        </row>
        <row r="29">
          <cell r="B29" t="str">
            <v>Total Revenues</v>
          </cell>
          <cell r="C29">
            <v>1311.6120000000001</v>
          </cell>
          <cell r="D29">
            <v>1637.3710000009999</v>
          </cell>
          <cell r="E29">
            <v>2044.0319999999999</v>
          </cell>
          <cell r="F29">
            <v>2583.6215596696479</v>
          </cell>
          <cell r="H29">
            <v>3300.2629999999999</v>
          </cell>
          <cell r="I29">
            <v>0.27737864225826647</v>
          </cell>
          <cell r="J29">
            <v>4621.2</v>
          </cell>
          <cell r="K29">
            <v>0.40025204051919494</v>
          </cell>
          <cell r="L29">
            <v>6633.4230000000007</v>
          </cell>
          <cell r="M29">
            <v>0.43543300441443811</v>
          </cell>
          <cell r="N29">
            <v>9120.36</v>
          </cell>
          <cell r="O29">
            <v>0.37491005774846564</v>
          </cell>
          <cell r="P29">
            <v>11279.125121683228</v>
          </cell>
          <cell r="Q29">
            <v>0.23669735862216257</v>
          </cell>
          <cell r="R29">
            <v>13104.186311101828</v>
          </cell>
          <cell r="S29">
            <v>0.16180875464445954</v>
          </cell>
          <cell r="T29">
            <v>14586.038977915103</v>
          </cell>
          <cell r="U29">
            <v>0.11308238692835526</v>
          </cell>
          <cell r="V29">
            <v>15778.109649377711</v>
          </cell>
          <cell r="W29">
            <v>8.1726826129255414E-2</v>
          </cell>
          <cell r="AB29" t="str">
            <v>mstag:revenueNet</v>
          </cell>
          <cell r="AC29">
            <v>6</v>
          </cell>
          <cell r="AD29" t="str">
            <v>ISO4217:USD</v>
          </cell>
          <cell r="AE29" t="b">
            <v>0</v>
          </cell>
          <cell r="AF29" t="b">
            <v>0</v>
          </cell>
        </row>
        <row r="30">
          <cell r="B30" t="str">
            <v>Operating Expenses:</v>
          </cell>
        </row>
        <row r="31">
          <cell r="B31" t="str">
            <v xml:space="preserve">   Cost of Sales</v>
          </cell>
          <cell r="C31">
            <v>192.191</v>
          </cell>
          <cell r="D31">
            <v>272.06799999999998</v>
          </cell>
          <cell r="E31">
            <v>354.44200000000001</v>
          </cell>
          <cell r="F31">
            <v>441.63</v>
          </cell>
          <cell r="H31">
            <v>480.15100000000001</v>
          </cell>
          <cell r="I31">
            <v>8.7224599778094714E-2</v>
          </cell>
          <cell r="J31">
            <v>672.5</v>
          </cell>
          <cell r="K31">
            <v>0.40060106091625336</v>
          </cell>
          <cell r="L31">
            <v>1011.0629999999999</v>
          </cell>
          <cell r="M31">
            <v>0.50343940520446084</v>
          </cell>
          <cell r="N31">
            <v>1222.5376000000001</v>
          </cell>
          <cell r="O31">
            <v>0.20916065566636322</v>
          </cell>
          <cell r="P31">
            <v>1506.7599287814626</v>
          </cell>
          <cell r="Q31">
            <v>0.23248555200385046</v>
          </cell>
          <cell r="R31">
            <v>1619.0699996815897</v>
          </cell>
          <cell r="S31">
            <v>7.453746861383137E-2</v>
          </cell>
          <cell r="T31">
            <v>1702.8029601920346</v>
          </cell>
          <cell r="U31">
            <v>5.1716701888684158E-2</v>
          </cell>
          <cell r="V31">
            <v>1774.5598005138277</v>
          </cell>
          <cell r="W31">
            <v>4.2140424934251186E-2</v>
          </cell>
          <cell r="AB31" t="str">
            <v>mstag:costOfSalesWithDepreciation</v>
          </cell>
          <cell r="AC31">
            <v>6</v>
          </cell>
          <cell r="AD31" t="str">
            <v>ISO4217:USD</v>
          </cell>
          <cell r="AE31" t="b">
            <v>0</v>
          </cell>
          <cell r="AF31" t="b">
            <v>0</v>
          </cell>
        </row>
        <row r="32">
          <cell r="B32" t="str">
            <v xml:space="preserve">   % of Total Product Sales</v>
          </cell>
          <cell r="C32">
            <v>0.18544094944037054</v>
          </cell>
          <cell r="D32">
            <v>0.21343688711052525</v>
          </cell>
          <cell r="E32">
            <v>0.20422894035150643</v>
          </cell>
          <cell r="F32">
            <v>0.20411813643926785</v>
          </cell>
          <cell r="H32">
            <v>0.18315734142227302</v>
          </cell>
          <cell r="J32">
            <v>0.17938595321294246</v>
          </cell>
          <cell r="L32">
            <v>0.18422874281283902</v>
          </cell>
          <cell r="N32">
            <v>0.15986400535609677</v>
          </cell>
          <cell r="P32">
            <v>0.15552241212898224</v>
          </cell>
          <cell r="R32">
            <v>0.1575</v>
          </cell>
          <cell r="T32">
            <v>0.158</v>
          </cell>
          <cell r="V32">
            <v>0.16</v>
          </cell>
        </row>
        <row r="33">
          <cell r="B33" t="str">
            <v xml:space="preserve">   R&amp;D</v>
          </cell>
          <cell r="C33">
            <v>367.29099999999994</v>
          </cell>
          <cell r="D33">
            <v>489.87900000000002</v>
          </cell>
          <cell r="E33">
            <v>526.23</v>
          </cell>
          <cell r="F33">
            <v>623.48199999999997</v>
          </cell>
          <cell r="H33">
            <v>721.96299999999997</v>
          </cell>
          <cell r="I33">
            <v>0.15795323682159235</v>
          </cell>
          <cell r="J33">
            <v>947.5</v>
          </cell>
          <cell r="K33">
            <v>0.3123941254607232</v>
          </cell>
          <cell r="L33">
            <v>1261.8240000000001</v>
          </cell>
          <cell r="M33">
            <v>0.33174036939314</v>
          </cell>
          <cell r="N33">
            <v>1677.1420800000001</v>
          </cell>
          <cell r="O33">
            <v>0.3291410529519172</v>
          </cell>
          <cell r="P33">
            <v>2058.4403347071889</v>
          </cell>
          <cell r="Q33">
            <v>0.22735000168094799</v>
          </cell>
          <cell r="R33">
            <v>2384.9619086205325</v>
          </cell>
          <cell r="S33">
            <v>0.15862571696050209</v>
          </cell>
          <cell r="T33">
            <v>2654.6590939805487</v>
          </cell>
          <cell r="U33">
            <v>0.11308238692835548</v>
          </cell>
          <cell r="V33">
            <v>2871.6159561867435</v>
          </cell>
          <cell r="W33">
            <v>8.1726826129255414E-2</v>
          </cell>
          <cell r="AB33" t="str">
            <v>mstag:researchAndDevelopment</v>
          </cell>
          <cell r="AC33">
            <v>6</v>
          </cell>
          <cell r="AD33" t="str">
            <v>ISO4217:USD</v>
          </cell>
          <cell r="AE33" t="b">
            <v>0</v>
          </cell>
          <cell r="AF33" t="b">
            <v>0</v>
          </cell>
        </row>
        <row r="34">
          <cell r="B34" t="str">
            <v xml:space="preserve">   % of Revenue</v>
          </cell>
          <cell r="C34">
            <v>0.28003022235234193</v>
          </cell>
          <cell r="D34">
            <v>0.29918631757842351</v>
          </cell>
          <cell r="E34">
            <v>0.25744704583881273</v>
          </cell>
          <cell r="F34">
            <v>0.24132094643138094</v>
          </cell>
          <cell r="H34">
            <v>0.21875923221876559</v>
          </cell>
          <cell r="J34">
            <v>0.20503332467757293</v>
          </cell>
          <cell r="L34">
            <v>0.19022215227341902</v>
          </cell>
          <cell r="N34">
            <v>0.18388989908293094</v>
          </cell>
          <cell r="P34">
            <v>0.1825</v>
          </cell>
          <cell r="R34">
            <v>0.182</v>
          </cell>
          <cell r="T34">
            <v>0.182</v>
          </cell>
          <cell r="V34">
            <v>0.182</v>
          </cell>
        </row>
        <row r="35">
          <cell r="B35" t="str">
            <v xml:space="preserve">   SG&amp;A</v>
          </cell>
          <cell r="C35">
            <v>467.94299999999998</v>
          </cell>
          <cell r="D35">
            <v>497.03599999999994</v>
          </cell>
          <cell r="E35">
            <v>446.90600000000001</v>
          </cell>
          <cell r="F35">
            <v>546.27599999999995</v>
          </cell>
          <cell r="H35">
            <v>794.88499999999999</v>
          </cell>
          <cell r="I35">
            <v>0.45509778939583656</v>
          </cell>
          <cell r="J35">
            <v>1088.2</v>
          </cell>
          <cell r="K35">
            <v>0.36900306333620603</v>
          </cell>
          <cell r="L35">
            <v>1435.0319999999999</v>
          </cell>
          <cell r="M35">
            <v>0.31872082337805541</v>
          </cell>
          <cell r="N35">
            <v>1928.0563000000002</v>
          </cell>
          <cell r="O35">
            <v>0.34356327942512799</v>
          </cell>
          <cell r="P35">
            <v>2114.835960315605</v>
          </cell>
          <cell r="Q35">
            <v>9.6874588317573895E-2</v>
          </cell>
          <cell r="R35">
            <v>2293.2326044428196</v>
          </cell>
          <cell r="S35">
            <v>8.4354837668162208E-2</v>
          </cell>
          <cell r="T35">
            <v>2406.696431355992</v>
          </cell>
          <cell r="U35">
            <v>4.9477679103878014E-2</v>
          </cell>
          <cell r="V35">
            <v>2406.1617215301007</v>
          </cell>
          <cell r="W35">
            <v>-2.2217585023387443E-4</v>
          </cell>
          <cell r="AB35" t="str">
            <v>mstag:sellingGeneralAndAdministrativeExpenses</v>
          </cell>
          <cell r="AC35">
            <v>6</v>
          </cell>
          <cell r="AD35" t="str">
            <v>ISO4217:USD</v>
          </cell>
          <cell r="AE35" t="b">
            <v>0</v>
          </cell>
          <cell r="AF35" t="b">
            <v>0</v>
          </cell>
        </row>
        <row r="36">
          <cell r="B36" t="str">
            <v xml:space="preserve">   % of Sales</v>
          </cell>
          <cell r="C36">
            <v>0.35676937996907621</v>
          </cell>
          <cell r="D36">
            <v>0.30355734894516662</v>
          </cell>
          <cell r="E36">
            <v>0.21863943421629409</v>
          </cell>
          <cell r="F36">
            <v>0.21143808695800206</v>
          </cell>
          <cell r="H36">
            <v>0.24085504700685975</v>
          </cell>
          <cell r="J36">
            <v>0.23547996191465423</v>
          </cell>
          <cell r="L36">
            <v>0.2163335581041643</v>
          </cell>
          <cell r="N36">
            <v>0.21140133722791646</v>
          </cell>
          <cell r="P36">
            <v>0.1875</v>
          </cell>
          <cell r="R36">
            <v>0.17499999999999999</v>
          </cell>
          <cell r="T36">
            <v>0.16500000000000001</v>
          </cell>
          <cell r="V36">
            <v>0.1525</v>
          </cell>
        </row>
        <row r="37">
          <cell r="B37" t="str">
            <v xml:space="preserve">  Collaborative payments</v>
          </cell>
          <cell r="C37">
            <v>0</v>
          </cell>
          <cell r="D37">
            <v>0</v>
          </cell>
          <cell r="E37">
            <v>246.65700000000001</v>
          </cell>
          <cell r="F37">
            <v>350.72500000000002</v>
          </cell>
          <cell r="H37">
            <v>457.53399999999999</v>
          </cell>
          <cell r="I37">
            <v>0.30453774324613292</v>
          </cell>
          <cell r="J37">
            <v>593.6</v>
          </cell>
          <cell r="K37">
            <v>0.29738992074905912</v>
          </cell>
          <cell r="L37">
            <v>823.08299999999997</v>
          </cell>
          <cell r="M37">
            <v>0.38659535040431248</v>
          </cell>
          <cell r="N37">
            <v>1041</v>
          </cell>
          <cell r="O37">
            <v>0.26475701721454592</v>
          </cell>
          <cell r="P37">
            <v>1191.2653338930295</v>
          </cell>
          <cell r="Q37">
            <v>0.14434710268302542</v>
          </cell>
          <cell r="R37">
            <v>1349.1657134442321</v>
          </cell>
          <cell r="S37">
            <v>0.1325484550408158</v>
          </cell>
          <cell r="T37">
            <v>1488.0617722997738</v>
          </cell>
          <cell r="U37">
            <v>0.1029495913448315</v>
          </cell>
          <cell r="V37">
            <v>1622.2236210060237</v>
          </cell>
          <cell r="W37">
            <v>9.0158789912938353E-2</v>
          </cell>
          <cell r="AB37" t="str">
            <v>mstag:otherOperatingExpense</v>
          </cell>
          <cell r="AC37">
            <v>6</v>
          </cell>
          <cell r="AD37" t="str">
            <v>ISO4217:USD</v>
          </cell>
          <cell r="AE37" t="b">
            <v>0</v>
          </cell>
          <cell r="AF37" t="b">
            <v>0</v>
          </cell>
        </row>
        <row r="38">
          <cell r="B38" t="str">
            <v>Total Operating Expenses</v>
          </cell>
          <cell r="C38">
            <v>1027.425</v>
          </cell>
          <cell r="D38">
            <v>1258.9829999999999</v>
          </cell>
          <cell r="E38">
            <v>1574.2349999999999</v>
          </cell>
          <cell r="F38">
            <v>1962.1129999999998</v>
          </cell>
          <cell r="H38">
            <v>2454.7161573414223</v>
          </cell>
          <cell r="I38">
            <v>0.25105748615977896</v>
          </cell>
          <cell r="J38">
            <v>3301.8</v>
          </cell>
          <cell r="K38">
            <v>0.34508423310987246</v>
          </cell>
          <cell r="L38">
            <v>4531.0019999999995</v>
          </cell>
          <cell r="M38">
            <v>0.37228239142286013</v>
          </cell>
          <cell r="N38">
            <v>5868.7359800000004</v>
          </cell>
          <cell r="O38">
            <v>0.29524020956071118</v>
          </cell>
          <cell r="P38">
            <v>6871.3015576972857</v>
          </cell>
          <cell r="Q38">
            <v>0.17083160345156401</v>
          </cell>
          <cell r="R38">
            <v>7646.4302261891735</v>
          </cell>
          <cell r="S38">
            <v>0.11280667308562276</v>
          </cell>
          <cell r="T38">
            <v>8252.2202578283486</v>
          </cell>
          <cell r="U38">
            <v>7.9225208851619655E-2</v>
          </cell>
          <cell r="V38">
            <v>8674.5610992366965</v>
          </cell>
          <cell r="W38">
            <v>5.117905584351079E-2</v>
          </cell>
        </row>
        <row r="39">
          <cell r="B39" t="str">
            <v xml:space="preserve">Operating Income (Loss) </v>
          </cell>
          <cell r="C39">
            <v>284.18700000000013</v>
          </cell>
          <cell r="D39">
            <v>378.38800000099991</v>
          </cell>
          <cell r="E39">
            <v>469.79700000000003</v>
          </cell>
          <cell r="F39">
            <v>621.50855966964809</v>
          </cell>
          <cell r="H39">
            <v>845.54684265857759</v>
          </cell>
          <cell r="I39">
            <v>0.36047497577187526</v>
          </cell>
          <cell r="J39">
            <v>1319.3999999999996</v>
          </cell>
          <cell r="K39">
            <v>0.56041029714158452</v>
          </cell>
          <cell r="L39">
            <v>2102.4210000000012</v>
          </cell>
          <cell r="M39">
            <v>0.59346748522055615</v>
          </cell>
          <cell r="N39">
            <v>3251.6240200000002</v>
          </cell>
          <cell r="O39">
            <v>0.54660937081583483</v>
          </cell>
          <cell r="P39">
            <v>4407.8235639859422</v>
          </cell>
          <cell r="Q39">
            <v>0.35557602504915131</v>
          </cell>
          <cell r="R39">
            <v>5457.7560849126548</v>
          </cell>
          <cell r="S39">
            <v>0.23819749263676759</v>
          </cell>
          <cell r="T39">
            <v>6333.8187200867542</v>
          </cell>
          <cell r="U39">
            <v>0.16051700031004956</v>
          </cell>
          <cell r="V39">
            <v>7103.5485501410149</v>
          </cell>
          <cell r="W39">
            <v>0.12152697512689747</v>
          </cell>
        </row>
        <row r="40">
          <cell r="B40" t="str">
            <v xml:space="preserve">        Operating Margin</v>
          </cell>
          <cell r="D40">
            <v>0.23109484655632037</v>
          </cell>
          <cell r="E40">
            <v>0.22983837826413678</v>
          </cell>
          <cell r="F40">
            <v>0.24055711926676934</v>
          </cell>
          <cell r="H40">
            <v>0.25620589712352548</v>
          </cell>
          <cell r="J40">
            <v>0.28551025707608407</v>
          </cell>
          <cell r="L40">
            <v>0.31694360513418202</v>
          </cell>
          <cell r="N40">
            <v>0.35652364818932586</v>
          </cell>
          <cell r="P40">
            <v>0.39079481045141073</v>
          </cell>
          <cell r="R40">
            <v>0.41648950612743196</v>
          </cell>
          <cell r="T40">
            <v>0.43423843372946319</v>
          </cell>
          <cell r="V40">
            <v>0.45021543822400667</v>
          </cell>
        </row>
        <row r="41">
          <cell r="B41" t="str">
            <v xml:space="preserve">   Interest, Other Income</v>
          </cell>
          <cell r="C41">
            <v>89.433999999999997</v>
          </cell>
          <cell r="D41">
            <v>90.4</v>
          </cell>
          <cell r="E41">
            <v>135.005</v>
          </cell>
          <cell r="F41">
            <v>107.822</v>
          </cell>
          <cell r="H41">
            <v>92.807000000000002</v>
          </cell>
          <cell r="J41">
            <v>82.597000000000008</v>
          </cell>
          <cell r="L41">
            <v>140.9</v>
          </cell>
          <cell r="N41">
            <v>228</v>
          </cell>
          <cell r="P41">
            <v>158.27981570681379</v>
          </cell>
          <cell r="R41">
            <v>214.14721389467866</v>
          </cell>
          <cell r="T41">
            <v>298.9218808473185</v>
          </cell>
          <cell r="V41">
            <v>424.04459975088002</v>
          </cell>
          <cell r="AB41" t="str">
            <v>mstag:interestAndDividendIncome</v>
          </cell>
          <cell r="AC41">
            <v>6</v>
          </cell>
          <cell r="AD41" t="str">
            <v>ISO4217:USD</v>
          </cell>
          <cell r="AE41" t="b">
            <v>0</v>
          </cell>
          <cell r="AF41" t="b">
            <v>0</v>
          </cell>
        </row>
        <row r="42">
          <cell r="B42" t="str">
            <v xml:space="preserve">   Interest, Other Expense</v>
          </cell>
          <cell r="C42">
            <v>-5.36</v>
          </cell>
          <cell r="D42">
            <v>-5.2780000000000005</v>
          </cell>
          <cell r="E42">
            <v>0</v>
          </cell>
          <cell r="F42">
            <v>0</v>
          </cell>
          <cell r="H42">
            <v>0</v>
          </cell>
          <cell r="J42">
            <v>0</v>
          </cell>
          <cell r="L42">
            <v>-49.9</v>
          </cell>
          <cell r="N42">
            <v>-91</v>
          </cell>
          <cell r="P42">
            <v>-99.403055999999992</v>
          </cell>
          <cell r="R42">
            <v>-99.403055999999992</v>
          </cell>
          <cell r="T42">
            <v>-99.403055999999992</v>
          </cell>
          <cell r="V42">
            <v>-77.403055999999992</v>
          </cell>
          <cell r="AB42" t="str">
            <v>mstag:interestAndDividendIncome</v>
          </cell>
          <cell r="AC42">
            <v>6</v>
          </cell>
          <cell r="AD42" t="str">
            <v>ISO4217:USD</v>
          </cell>
          <cell r="AE42" t="b">
            <v>0</v>
          </cell>
          <cell r="AF42" t="b">
            <v>0</v>
          </cell>
        </row>
        <row r="43">
          <cell r="B43" t="str">
            <v xml:space="preserve">Pretax Income (Loss) </v>
          </cell>
          <cell r="C43">
            <v>368.26100000000008</v>
          </cell>
          <cell r="D43">
            <v>463.51000000099987</v>
          </cell>
          <cell r="E43">
            <v>604.80200000000002</v>
          </cell>
          <cell r="F43">
            <v>729.3305596696481</v>
          </cell>
          <cell r="H43">
            <v>938.35384265857761</v>
          </cell>
          <cell r="I43">
            <v>0.28659608488585353</v>
          </cell>
          <cell r="J43">
            <v>1401.9969999999996</v>
          </cell>
          <cell r="K43">
            <v>0.4941026894799212</v>
          </cell>
          <cell r="L43">
            <v>2193.4210000000012</v>
          </cell>
          <cell r="M43">
            <v>0.56449764157840687</v>
          </cell>
          <cell r="N43">
            <v>3388.6240200000002</v>
          </cell>
          <cell r="O43">
            <v>0.54490360947579064</v>
          </cell>
          <cell r="P43">
            <v>4466.7003236927558</v>
          </cell>
          <cell r="Q43">
            <v>0.31814574214484725</v>
          </cell>
          <cell r="R43">
            <v>5572.5002428073331</v>
          </cell>
          <cell r="S43">
            <v>0.24756528062764227</v>
          </cell>
          <cell r="T43">
            <v>6533.3375449340729</v>
          </cell>
          <cell r="U43">
            <v>0.17242481117285435</v>
          </cell>
          <cell r="V43">
            <v>7450.1900938918943</v>
          </cell>
          <cell r="W43">
            <v>0.1403344833558684</v>
          </cell>
        </row>
        <row r="44">
          <cell r="B44" t="str">
            <v xml:space="preserve">   Provision For Income Taxes</v>
          </cell>
          <cell r="C44">
            <v>121.56800000000001</v>
          </cell>
          <cell r="D44">
            <v>143.67400000000001</v>
          </cell>
          <cell r="E44">
            <v>127.11199999999999</v>
          </cell>
          <cell r="F44">
            <v>245.797</v>
          </cell>
          <cell r="H44">
            <v>303.69799999999998</v>
          </cell>
          <cell r="J44">
            <v>507.63099999999997</v>
          </cell>
          <cell r="L44">
            <v>806.09699999999998</v>
          </cell>
          <cell r="N44">
            <v>1263.7185114200001</v>
          </cell>
          <cell r="P44">
            <v>1666.0792207373979</v>
          </cell>
          <cell r="R44">
            <v>2078.542590567135</v>
          </cell>
          <cell r="T44">
            <v>2436.934904260409</v>
          </cell>
          <cell r="V44">
            <v>2778.9209050216764</v>
          </cell>
          <cell r="AB44" t="str">
            <v>mstag:taxExpenseIncome</v>
          </cell>
          <cell r="AC44">
            <v>6</v>
          </cell>
          <cell r="AD44" t="str">
            <v>ISO4217:USD</v>
          </cell>
          <cell r="AE44" t="b">
            <v>0</v>
          </cell>
          <cell r="AF44" t="b">
            <v>0</v>
          </cell>
        </row>
        <row r="45">
          <cell r="B45" t="str">
            <v xml:space="preserve">   Effective Tax Rate</v>
          </cell>
          <cell r="C45">
            <v>0.21840079909742235</v>
          </cell>
          <cell r="D45">
            <v>0.17967483708416138</v>
          </cell>
          <cell r="E45">
            <v>0.17543014456747877</v>
          </cell>
          <cell r="F45">
            <v>0.33702605798725771</v>
          </cell>
          <cell r="H45">
            <v>0.32364976429312847</v>
          </cell>
          <cell r="J45">
            <v>0.36207709431617907</v>
          </cell>
          <cell r="L45">
            <v>0.36750724212165659</v>
          </cell>
          <cell r="N45">
            <v>0.3729296918045219</v>
          </cell>
          <cell r="P45">
            <v>0.373</v>
          </cell>
          <cell r="R45">
            <v>0.373</v>
          </cell>
          <cell r="T45">
            <v>0.373</v>
          </cell>
          <cell r="V45">
            <v>0.373</v>
          </cell>
        </row>
        <row r="46">
          <cell r="B46" t="str">
            <v>Net Income (Loss)</v>
          </cell>
          <cell r="C46">
            <v>246.69300000000007</v>
          </cell>
          <cell r="D46">
            <v>319.83600000099989</v>
          </cell>
          <cell r="E46">
            <v>477.69000000000005</v>
          </cell>
          <cell r="F46">
            <v>483.53355966964807</v>
          </cell>
          <cell r="H46">
            <v>634.65584265857763</v>
          </cell>
          <cell r="I46">
            <v>0.31253732024758918</v>
          </cell>
          <cell r="J46">
            <v>894.36599999999964</v>
          </cell>
          <cell r="K46">
            <v>0.4092141596829777</v>
          </cell>
          <cell r="L46">
            <v>1387.3240000000012</v>
          </cell>
          <cell r="M46">
            <v>0.55118150734710603</v>
          </cell>
          <cell r="N46">
            <v>2124.9055085800001</v>
          </cell>
          <cell r="O46">
            <v>0.53165771555887331</v>
          </cell>
          <cell r="P46">
            <v>2800.6211029553579</v>
          </cell>
          <cell r="Q46">
            <v>0.31799794938971893</v>
          </cell>
          <cell r="R46">
            <v>3493.9576522401981</v>
          </cell>
          <cell r="S46">
            <v>0.24756528062764227</v>
          </cell>
          <cell r="T46">
            <v>4096.4026406736639</v>
          </cell>
          <cell r="U46">
            <v>0.17242481117285435</v>
          </cell>
          <cell r="V46">
            <v>4671.2691888702175</v>
          </cell>
          <cell r="W46">
            <v>0.1403344833558684</v>
          </cell>
        </row>
        <row r="48">
          <cell r="B48" t="str">
            <v>EPS, basic</v>
          </cell>
          <cell r="C48">
            <v>0.240507155948992</v>
          </cell>
          <cell r="D48">
            <v>0.30625130463021294</v>
          </cell>
          <cell r="E48">
            <v>0.84741827980205642</v>
          </cell>
          <cell r="F48">
            <v>0.46558555820163972</v>
          </cell>
          <cell r="H48">
            <v>0.61351622099003444</v>
          </cell>
          <cell r="I48">
            <v>0.31773035091506774</v>
          </cell>
          <cell r="J48">
            <v>0.84760772011960184</v>
          </cell>
          <cell r="K48">
            <v>0.38155714734292223</v>
          </cell>
          <cell r="L48">
            <v>1.3150588841956803</v>
          </cell>
          <cell r="M48">
            <v>0.55149469852648192</v>
          </cell>
          <cell r="N48">
            <v>2.0160393819544593</v>
          </cell>
          <cell r="O48">
            <v>0.53304114833421656</v>
          </cell>
          <cell r="P48">
            <v>2.6578594958545239</v>
          </cell>
          <cell r="Q48">
            <v>0.31835693272908627</v>
          </cell>
          <cell r="R48">
            <v>3.3158532278145931</v>
          </cell>
          <cell r="S48">
            <v>0.24756528062764227</v>
          </cell>
          <cell r="T48">
            <v>3.8875885944974238</v>
          </cell>
          <cell r="U48">
            <v>0.17242481117285435</v>
          </cell>
          <cell r="V48">
            <v>4.4331513314063864</v>
          </cell>
          <cell r="W48">
            <v>0.1403344833558684</v>
          </cell>
          <cell r="Y48" t="str">
            <v>Growth</v>
          </cell>
          <cell r="Z48" t="str">
            <v>3 year</v>
          </cell>
          <cell r="AA48" t="str">
            <v>4 year</v>
          </cell>
        </row>
        <row r="49">
          <cell r="B49" t="str">
            <v>EPS, diluted</v>
          </cell>
          <cell r="C49">
            <v>0.23296000755465324</v>
          </cell>
          <cell r="D49">
            <v>0.29831162314462278</v>
          </cell>
          <cell r="E49">
            <v>0.83443278873473636</v>
          </cell>
          <cell r="F49">
            <v>0.46096594929398294</v>
          </cell>
          <cell r="H49">
            <v>0.60195636879300407</v>
          </cell>
          <cell r="I49">
            <v>0.30585864252004424</v>
          </cell>
          <cell r="J49">
            <v>0.82872362999196592</v>
          </cell>
          <cell r="K49">
            <v>0.37671710601493902</v>
          </cell>
          <cell r="L49">
            <v>1.2834315032439099</v>
          </cell>
          <cell r="M49">
            <v>0.54868457564840067</v>
          </cell>
          <cell r="N49">
            <v>1.9766562870511628</v>
          </cell>
          <cell r="O49">
            <v>0.54013383811688231</v>
          </cell>
          <cell r="P49">
            <v>2.6131703146035923</v>
          </cell>
          <cell r="Q49">
            <v>0.32201553285826989</v>
          </cell>
          <cell r="R49">
            <v>3.2657035401917991</v>
          </cell>
          <cell r="S49">
            <v>0.24970941309931183</v>
          </cell>
          <cell r="T49">
            <v>3.8441841959191563</v>
          </cell>
          <cell r="U49">
            <v>0.17713814147789497</v>
          </cell>
          <cell r="V49">
            <v>4.4101388095141756</v>
          </cell>
          <cell r="W49">
            <v>0.14722359407122476</v>
          </cell>
          <cell r="Z49">
            <v>0.36521595109433186</v>
          </cell>
          <cell r="AA49">
            <v>0.28001751631721422</v>
          </cell>
          <cell r="AB49" t="str">
            <v>mstag:adjEpsForConsensus</v>
          </cell>
          <cell r="AC49">
            <v>0</v>
          </cell>
          <cell r="AD49" t="str">
            <v>ISO4217:USD</v>
          </cell>
          <cell r="AE49" t="b">
            <v>0</v>
          </cell>
          <cell r="AF49" t="b">
            <v>0</v>
          </cell>
        </row>
        <row r="51">
          <cell r="B51" t="str">
            <v xml:space="preserve">  Options expense</v>
          </cell>
          <cell r="N51">
            <v>329.18547890000002</v>
          </cell>
          <cell r="P51">
            <v>377.92158567335071</v>
          </cell>
          <cell r="R51">
            <v>420.55366244040454</v>
          </cell>
          <cell r="T51">
            <v>453.87211418055915</v>
          </cell>
          <cell r="V51">
            <v>477.1008604580183</v>
          </cell>
          <cell r="AB51" t="str">
            <v>mstag:stockCompensation</v>
          </cell>
          <cell r="AC51">
            <v>6</v>
          </cell>
          <cell r="AD51" t="str">
            <v>ISO4217:USD</v>
          </cell>
          <cell r="AE51" t="b">
            <v>0</v>
          </cell>
          <cell r="AF51" t="b">
            <v>0</v>
          </cell>
        </row>
        <row r="52">
          <cell r="B52" t="str">
            <v>Net Income (incl options exp)</v>
          </cell>
          <cell r="N52">
            <v>1795.7200296800002</v>
          </cell>
          <cell r="P52">
            <v>2422.699517282007</v>
          </cell>
          <cell r="R52">
            <v>3073.4039897997936</v>
          </cell>
          <cell r="T52">
            <v>3642.5305264931048</v>
          </cell>
          <cell r="V52">
            <v>4194.1683284121991</v>
          </cell>
        </row>
        <row r="54">
          <cell r="B54" t="str">
            <v>EPS, diluted (incl option exp)</v>
          </cell>
          <cell r="N54">
            <v>1.670437236911628</v>
          </cell>
          <cell r="P54">
            <v>2.2605437247777207</v>
          </cell>
          <cell r="R54">
            <v>2.8726239093062675</v>
          </cell>
          <cell r="T54">
            <v>3.4182573129078739</v>
          </cell>
          <cell r="V54">
            <v>3.9597085440583326</v>
          </cell>
          <cell r="AA54">
            <v>22.250639386189256</v>
          </cell>
        </row>
        <row r="55">
          <cell r="B55" t="str">
            <v>EPS, GAAP, Diluted (incl option exp)</v>
          </cell>
          <cell r="N55">
            <v>1.6109656090046514</v>
          </cell>
          <cell r="P55">
            <v>2.1891696107162537</v>
          </cell>
          <cell r="R55">
            <v>2.8134339509056185</v>
          </cell>
          <cell r="T55">
            <v>3.3588294016576903</v>
          </cell>
          <cell r="V55">
            <v>3.8999216105509422</v>
          </cell>
          <cell r="AA55">
            <v>19.727270219320825</v>
          </cell>
        </row>
        <row r="56">
          <cell r="B56" t="str">
            <v xml:space="preserve">Basic Shares Outstanding </v>
          </cell>
          <cell r="C56">
            <v>1025.72</v>
          </cell>
          <cell r="D56">
            <v>1044.3579999999999</v>
          </cell>
          <cell r="E56">
            <v>1054.038</v>
          </cell>
          <cell r="F56">
            <v>1038.5084999999999</v>
          </cell>
          <cell r="H56">
            <v>1034.4565</v>
          </cell>
          <cell r="I56">
            <v>-3.901749480143768E-3</v>
          </cell>
          <cell r="J56">
            <v>1055.165</v>
          </cell>
          <cell r="K56">
            <v>2.0018724808631427E-2</v>
          </cell>
          <cell r="L56">
            <v>1054.952</v>
          </cell>
          <cell r="M56">
            <v>-2.0186416342460323E-4</v>
          </cell>
          <cell r="N56">
            <v>1054</v>
          </cell>
          <cell r="O56">
            <v>-9.0241072579599901E-4</v>
          </cell>
          <cell r="P56">
            <v>1053.713</v>
          </cell>
          <cell r="Q56">
            <v>-2.7229601518030666E-4</v>
          </cell>
          <cell r="R56">
            <v>1053.713</v>
          </cell>
          <cell r="S56">
            <v>0</v>
          </cell>
          <cell r="T56">
            <v>1053.713</v>
          </cell>
          <cell r="U56">
            <v>0</v>
          </cell>
          <cell r="V56">
            <v>1053.713</v>
          </cell>
          <cell r="W56">
            <v>0</v>
          </cell>
          <cell r="AB56" t="str">
            <v>mstag:averageBasicSharesOutstanding</v>
          </cell>
          <cell r="AC56">
            <v>6</v>
          </cell>
          <cell r="AD56" t="str">
            <v>ms_eqr_gcim_Decimal:ms_eqr_gcim_decimal</v>
          </cell>
          <cell r="AE56" t="b">
            <v>0</v>
          </cell>
          <cell r="AF56" t="b">
            <v>0</v>
          </cell>
        </row>
        <row r="57">
          <cell r="B57" t="str">
            <v>Diluted Shares Outstanding</v>
          </cell>
          <cell r="C57">
            <v>1058.95</v>
          </cell>
          <cell r="D57">
            <v>1072.154</v>
          </cell>
          <cell r="E57">
            <v>1070.441</v>
          </cell>
          <cell r="F57">
            <v>1048.9160000000002</v>
          </cell>
          <cell r="H57">
            <v>1054.3219999999999</v>
          </cell>
          <cell r="I57">
            <v>5.1538922087179806E-3</v>
          </cell>
          <cell r="J57">
            <v>1079.2090000000001</v>
          </cell>
          <cell r="K57">
            <v>2.3604743142986884E-2</v>
          </cell>
          <cell r="L57">
            <v>1080.9490000000001</v>
          </cell>
          <cell r="M57">
            <v>1.6122919656897938E-3</v>
          </cell>
          <cell r="N57">
            <v>1075</v>
          </cell>
          <cell r="O57">
            <v>-5.5034973897936101E-3</v>
          </cell>
          <cell r="P57">
            <v>1071.7330926745205</v>
          </cell>
          <cell r="Q57">
            <v>-3.0389835585855618E-3</v>
          </cell>
          <cell r="R57">
            <v>1069.8943150347914</v>
          </cell>
          <cell r="S57">
            <v>-1.7157048264139219E-3</v>
          </cell>
          <cell r="T57">
            <v>1065.6103953141094</v>
          </cell>
          <cell r="U57">
            <v>-4.0040587752283585E-3</v>
          </cell>
          <cell r="V57">
            <v>1059.2113742072459</v>
          </cell>
          <cell r="W57">
            <v>-6.0050287938279157E-3</v>
          </cell>
          <cell r="AB57" t="str">
            <v>mstag:averageDilutedSharesOutstanding</v>
          </cell>
          <cell r="AC57">
            <v>6</v>
          </cell>
          <cell r="AD57" t="str">
            <v>ms_eqr_gcim_Decimal:ms_eqr_gcim_decimal</v>
          </cell>
          <cell r="AE57" t="b">
            <v>0</v>
          </cell>
          <cell r="AF57" t="b">
            <v>0</v>
          </cell>
        </row>
        <row r="59">
          <cell r="H59" t="str">
            <v>2003-FY</v>
          </cell>
          <cell r="J59" t="str">
            <v>2004-FY</v>
          </cell>
          <cell r="L59" t="str">
            <v>2005-FY</v>
          </cell>
          <cell r="N59" t="str">
            <v>2006-FY</v>
          </cell>
          <cell r="P59" t="str">
            <v>2007-FY</v>
          </cell>
          <cell r="R59" t="str">
            <v>2008-FY</v>
          </cell>
          <cell r="T59" t="str">
            <v>2009-FY</v>
          </cell>
          <cell r="V59" t="str">
            <v>2010-FY</v>
          </cell>
        </row>
        <row r="60">
          <cell r="B60" t="str">
            <v>Reconciliation to GAAP earnings/loss</v>
          </cell>
          <cell r="E60">
            <v>-3.0000000001564331E-3</v>
          </cell>
        </row>
        <row r="61">
          <cell r="B61" t="str">
            <v>Adjustments:</v>
          </cell>
        </row>
        <row r="62">
          <cell r="B62" t="str">
            <v xml:space="preserve">   Contract revenue</v>
          </cell>
          <cell r="C62">
            <v>-19.399999999999999</v>
          </cell>
          <cell r="D62">
            <v>-125.1</v>
          </cell>
          <cell r="E62">
            <v>0</v>
          </cell>
          <cell r="AB62" t="str">
            <v>mstag:otherProvisionsOneTimeGrossOfTax</v>
          </cell>
          <cell r="AC62">
            <v>6</v>
          </cell>
          <cell r="AD62" t="str">
            <v>ISO4217:USD</v>
          </cell>
          <cell r="AE62" t="b">
            <v>0</v>
          </cell>
          <cell r="AF62" t="b">
            <v>0</v>
          </cell>
        </row>
        <row r="63">
          <cell r="B63" t="str">
            <v xml:space="preserve">   Cost of sales</v>
          </cell>
          <cell r="C63">
            <v>93.4</v>
          </cell>
          <cell r="D63">
            <v>92.9</v>
          </cell>
          <cell r="AB63" t="str">
            <v>mstag:otherProvisionsOneTimeGrossOfTax</v>
          </cell>
          <cell r="AC63">
            <v>6</v>
          </cell>
          <cell r="AD63" t="str">
            <v>ISO4217:USD</v>
          </cell>
          <cell r="AE63" t="b">
            <v>0</v>
          </cell>
          <cell r="AF63" t="b">
            <v>0</v>
          </cell>
        </row>
        <row r="64">
          <cell r="B64" t="str">
            <v>Recurring charges related to redemption</v>
          </cell>
          <cell r="C64">
            <v>197.7</v>
          </cell>
          <cell r="D64">
            <v>375.3</v>
          </cell>
          <cell r="E64">
            <v>321.81599999999997</v>
          </cell>
          <cell r="F64">
            <v>155.71299999999999</v>
          </cell>
          <cell r="H64">
            <v>154.30000000000001</v>
          </cell>
          <cell r="J64">
            <v>145.48500000000001</v>
          </cell>
          <cell r="L64">
            <v>122.7</v>
          </cell>
          <cell r="N64">
            <v>95</v>
          </cell>
          <cell r="P64">
            <v>70</v>
          </cell>
          <cell r="R64">
            <v>49</v>
          </cell>
          <cell r="T64">
            <v>49</v>
          </cell>
          <cell r="V64">
            <v>49</v>
          </cell>
          <cell r="AB64" t="str">
            <v>mstag:amortizationOfIntangiblesAssumedToHaveIndefiniteLifeIncomeStatement</v>
          </cell>
          <cell r="AC64">
            <v>6</v>
          </cell>
          <cell r="AD64" t="str">
            <v>ISO4217:USD</v>
          </cell>
          <cell r="AE64" t="b">
            <v>0</v>
          </cell>
          <cell r="AF64" t="b">
            <v>0</v>
          </cell>
        </row>
        <row r="65">
          <cell r="B65" t="str">
            <v>Litagation and other charges</v>
          </cell>
          <cell r="C65">
            <v>1437.7</v>
          </cell>
          <cell r="D65">
            <v>0</v>
          </cell>
          <cell r="E65">
            <v>0</v>
          </cell>
          <cell r="F65">
            <v>543.90499999999997</v>
          </cell>
          <cell r="J65">
            <v>37.1</v>
          </cell>
          <cell r="L65">
            <v>57.8</v>
          </cell>
          <cell r="N65">
            <v>52</v>
          </cell>
          <cell r="P65">
            <v>52</v>
          </cell>
          <cell r="R65">
            <v>52</v>
          </cell>
          <cell r="T65">
            <v>52</v>
          </cell>
          <cell r="V65">
            <v>52</v>
          </cell>
          <cell r="AB65" t="str">
            <v>mstag:restructuringCostsOneTime</v>
          </cell>
          <cell r="AC65">
            <v>6</v>
          </cell>
          <cell r="AD65" t="str">
            <v>ISO4217:USD</v>
          </cell>
          <cell r="AE65" t="b">
            <v>0</v>
          </cell>
          <cell r="AF65" t="b">
            <v>0</v>
          </cell>
        </row>
        <row r="66">
          <cell r="B66" t="str">
            <v xml:space="preserve">   Other</v>
          </cell>
          <cell r="C66">
            <v>32.299999999999997</v>
          </cell>
          <cell r="D66">
            <v>4.9000000000000004</v>
          </cell>
          <cell r="E66">
            <v>0</v>
          </cell>
          <cell r="H66">
            <v>115.8</v>
          </cell>
          <cell r="AB66" t="str">
            <v>mstag:otherProvisionsOneTimeGrossOfTax</v>
          </cell>
          <cell r="AC66">
            <v>6</v>
          </cell>
          <cell r="AD66" t="str">
            <v>ISO4217:USD</v>
          </cell>
          <cell r="AE66" t="b">
            <v>1</v>
          </cell>
          <cell r="AF66" t="b">
            <v>0</v>
          </cell>
        </row>
        <row r="67">
          <cell r="B67" t="str">
            <v xml:space="preserve">   Other income, net (adjustment)</v>
          </cell>
          <cell r="C67">
            <v>-12.933999999999997</v>
          </cell>
          <cell r="D67">
            <v>125.69999999999999</v>
          </cell>
          <cell r="E67">
            <v>0</v>
          </cell>
          <cell r="H67">
            <v>0</v>
          </cell>
          <cell r="J67">
            <v>0</v>
          </cell>
          <cell r="L67">
            <v>0</v>
          </cell>
          <cell r="N67">
            <v>0</v>
          </cell>
          <cell r="P67">
            <v>0</v>
          </cell>
          <cell r="R67">
            <v>0</v>
          </cell>
          <cell r="T67">
            <v>0</v>
          </cell>
          <cell r="V67">
            <v>0</v>
          </cell>
          <cell r="AB67" t="str">
            <v>mstag:otherOperatingExpense</v>
          </cell>
          <cell r="AC67">
            <v>6</v>
          </cell>
          <cell r="AD67" t="str">
            <v>ISO4217:USD</v>
          </cell>
          <cell r="AE67" t="b">
            <v>1</v>
          </cell>
          <cell r="AF67" t="b">
            <v>0</v>
          </cell>
        </row>
        <row r="68">
          <cell r="B68" t="str">
            <v xml:space="preserve">   Income tax (benefit) provision adjustment</v>
          </cell>
          <cell r="C68">
            <v>324.60000000000002</v>
          </cell>
          <cell r="D68">
            <v>126.7</v>
          </cell>
          <cell r="E68">
            <v>0</v>
          </cell>
          <cell r="H68">
            <v>13.3</v>
          </cell>
          <cell r="J68">
            <v>73.031000000000006</v>
          </cell>
          <cell r="L68">
            <v>72.2</v>
          </cell>
          <cell r="N68">
            <v>83.067999999999998</v>
          </cell>
          <cell r="P68">
            <v>45.506</v>
          </cell>
          <cell r="R68">
            <v>37.673000000000002</v>
          </cell>
          <cell r="T68">
            <v>37.673000000000002</v>
          </cell>
          <cell r="V68">
            <v>37.673000000000002</v>
          </cell>
          <cell r="AB68" t="str">
            <v>mstag:taxOnOtherProvisionsOneTime</v>
          </cell>
          <cell r="AC68">
            <v>6</v>
          </cell>
          <cell r="AD68" t="str">
            <v>ISO4217:USD</v>
          </cell>
          <cell r="AE68" t="b">
            <v>0</v>
          </cell>
          <cell r="AF68" t="b">
            <v>0</v>
          </cell>
        </row>
        <row r="69">
          <cell r="B69" t="str">
            <v xml:space="preserve">   Effect of accounting change</v>
          </cell>
          <cell r="C69">
            <v>0</v>
          </cell>
          <cell r="D69">
            <v>-57.8</v>
          </cell>
          <cell r="E69">
            <v>-5.6</v>
          </cell>
          <cell r="H69">
            <v>-47</v>
          </cell>
          <cell r="AB69" t="str">
            <v>mstag:cumulativeEffectOfChangeInAccountingPrincipleNetOfTax</v>
          </cell>
          <cell r="AC69">
            <v>6</v>
          </cell>
          <cell r="AD69" t="str">
            <v>ISO4217:USD</v>
          </cell>
          <cell r="AE69" t="b">
            <v>0</v>
          </cell>
          <cell r="AF69" t="b">
            <v>0</v>
          </cell>
        </row>
        <row r="70">
          <cell r="B70" t="str">
            <v xml:space="preserve">  GAAP Net income (loss)</v>
          </cell>
          <cell r="C70">
            <v>-1157.5410000000002</v>
          </cell>
          <cell r="D70">
            <v>-73.963999999000151</v>
          </cell>
          <cell r="E70">
            <v>150.27400000000009</v>
          </cell>
          <cell r="F70">
            <v>-216.08444033035187</v>
          </cell>
          <cell r="H70">
            <v>562.45584265857758</v>
          </cell>
          <cell r="J70">
            <v>784.81199999999967</v>
          </cell>
          <cell r="L70">
            <v>1279.0240000000013</v>
          </cell>
          <cell r="N70">
            <v>1731.7880296800001</v>
          </cell>
          <cell r="P70">
            <v>2346.2055172820069</v>
          </cell>
          <cell r="R70">
            <v>3010.0769897997934</v>
          </cell>
          <cell r="T70">
            <v>3579.2035264931046</v>
          </cell>
          <cell r="V70">
            <v>4130.8413284121989</v>
          </cell>
        </row>
        <row r="71">
          <cell r="B71" t="str">
            <v>EARNINGS (LOSS) PER SHARE</v>
          </cell>
          <cell r="F71">
            <v>699.61799999999994</v>
          </cell>
          <cell r="H71">
            <v>457.53399999999999</v>
          </cell>
          <cell r="L71">
            <v>1139.4573944602898</v>
          </cell>
        </row>
        <row r="72">
          <cell r="B72" t="str">
            <v xml:space="preserve">   Basic</v>
          </cell>
          <cell r="C72">
            <v>-1.128515579300394</v>
          </cell>
          <cell r="D72">
            <v>-7.0822457432221667E-2</v>
          </cell>
          <cell r="E72">
            <v>0.14256981247355416</v>
          </cell>
          <cell r="F72">
            <v>-0.20807190343685381</v>
          </cell>
          <cell r="H72">
            <v>0.54372111602428674</v>
          </cell>
          <cell r="J72">
            <v>0.7437813043457655</v>
          </cell>
          <cell r="L72">
            <v>1.2124001850321164</v>
          </cell>
          <cell r="N72">
            <v>1.6430626467552183</v>
          </cell>
          <cell r="P72">
            <v>2.2266077359603678</v>
          </cell>
          <cell r="R72">
            <v>2.8566383728774283</v>
          </cell>
          <cell r="T72">
            <v>3.3967536952596245</v>
          </cell>
          <cell r="V72">
            <v>3.92027177078787</v>
          </cell>
        </row>
        <row r="73">
          <cell r="B73" t="str">
            <v xml:space="preserve">   Diluted</v>
          </cell>
          <cell r="C73">
            <v>-1.0931026016336938</v>
          </cell>
          <cell r="D73">
            <v>-6.898635830207242E-2</v>
          </cell>
          <cell r="E73">
            <v>0.14038513098806948</v>
          </cell>
          <cell r="F73">
            <v>-0.20600738317496523</v>
          </cell>
          <cell r="H73">
            <v>0.53347634086984586</v>
          </cell>
          <cell r="J73">
            <v>0.72721039205566262</v>
          </cell>
          <cell r="L73">
            <v>1.1832417625623421</v>
          </cell>
          <cell r="N73">
            <v>1.6109656090046514</v>
          </cell>
          <cell r="P73">
            <v>2.1891696107162537</v>
          </cell>
          <cell r="R73">
            <v>2.8134339509056185</v>
          </cell>
          <cell r="T73">
            <v>3.3588294016576903</v>
          </cell>
          <cell r="V73">
            <v>3.8999216105509422</v>
          </cell>
        </row>
        <row r="74">
          <cell r="B74" t="str">
            <v>Period End Basic Shares</v>
          </cell>
          <cell r="D74">
            <v>0</v>
          </cell>
          <cell r="E74">
            <v>527.79422299999999</v>
          </cell>
          <cell r="F74">
            <v>1025.155974</v>
          </cell>
          <cell r="H74">
            <v>1047.3900000000001</v>
          </cell>
          <cell r="J74">
            <v>1047.127</v>
          </cell>
          <cell r="L74">
            <v>1053.713</v>
          </cell>
          <cell r="N74">
            <v>1053.713</v>
          </cell>
          <cell r="P74">
            <v>1053.713</v>
          </cell>
          <cell r="R74">
            <v>1053.713</v>
          </cell>
          <cell r="T74">
            <v>1053.713</v>
          </cell>
          <cell r="V74">
            <v>0</v>
          </cell>
        </row>
        <row r="75">
          <cell r="B75" t="str">
            <v>Federal tax rate</v>
          </cell>
          <cell r="C75">
            <v>0.35</v>
          </cell>
          <cell r="D75">
            <v>0.35</v>
          </cell>
          <cell r="E75">
            <v>0.35</v>
          </cell>
          <cell r="F75">
            <v>0.35</v>
          </cell>
          <cell r="H75">
            <v>0.35</v>
          </cell>
          <cell r="J75">
            <v>0.35</v>
          </cell>
          <cell r="L75">
            <v>0.35</v>
          </cell>
          <cell r="N75">
            <v>0.35</v>
          </cell>
          <cell r="P75">
            <v>0.35</v>
          </cell>
          <cell r="R75">
            <v>0.35</v>
          </cell>
          <cell r="T75">
            <v>0.35</v>
          </cell>
          <cell r="V75">
            <v>0.35</v>
          </cell>
        </row>
        <row r="76">
          <cell r="B76" t="str">
            <v xml:space="preserve">     Federal taxes</v>
          </cell>
          <cell r="C76">
            <v>-527.51800000000003</v>
          </cell>
          <cell r="D76">
            <v>1.391</v>
          </cell>
          <cell r="E76">
            <v>99.045000000000002</v>
          </cell>
          <cell r="F76">
            <v>10.412000000000001</v>
          </cell>
        </row>
        <row r="77">
          <cell r="B77" t="str">
            <v>Statutory tax rate</v>
          </cell>
          <cell r="C77">
            <v>0.36520971796223067</v>
          </cell>
          <cell r="D77">
            <v>0.5913012221423436</v>
          </cell>
          <cell r="E77">
            <v>0.40731384724115299</v>
          </cell>
          <cell r="F77">
            <v>0.37813580484056852</v>
          </cell>
          <cell r="H77">
            <v>0.32364976429312847</v>
          </cell>
          <cell r="J77">
            <v>0.36207709431617907</v>
          </cell>
          <cell r="L77">
            <v>0.36750724212165659</v>
          </cell>
          <cell r="N77">
            <v>0.3729296918045219</v>
          </cell>
          <cell r="P77">
            <v>0.373</v>
          </cell>
          <cell r="R77">
            <v>0.373</v>
          </cell>
          <cell r="T77">
            <v>0.373</v>
          </cell>
          <cell r="V77">
            <v>0.373</v>
          </cell>
          <cell r="AB77" t="str">
            <v>mstag:statutoryTaxRate</v>
          </cell>
          <cell r="AC77">
            <v>0</v>
          </cell>
          <cell r="AD77" t="str">
            <v>ms_eqr_gcim_Decimal:ms_eqr_gcim_decimal</v>
          </cell>
          <cell r="AE77" t="b">
            <v>0</v>
          </cell>
          <cell r="AF77" t="b">
            <v>0</v>
          </cell>
        </row>
        <row r="78">
          <cell r="B78" t="str">
            <v xml:space="preserve">     State taxes</v>
          </cell>
          <cell r="C78">
            <v>-22.923999999999999</v>
          </cell>
          <cell r="D78">
            <v>0.95899999999999996</v>
          </cell>
          <cell r="E78">
            <v>16.219000000000001</v>
          </cell>
          <cell r="F78">
            <v>0.83699999999999997</v>
          </cell>
        </row>
        <row r="79">
          <cell r="B79" t="str">
            <v>Unrecorded Goodwill</v>
          </cell>
          <cell r="D79">
            <v>0</v>
          </cell>
          <cell r="E79">
            <v>0</v>
          </cell>
          <cell r="F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AB79" t="str">
            <v>mstag:unrecordedGoodwillFromPoolingAndAmortizedOrWrittenOffGoodwill</v>
          </cell>
          <cell r="AC79">
            <v>6</v>
          </cell>
          <cell r="AD79" t="str">
            <v>ISO4217:USD</v>
          </cell>
          <cell r="AE79" t="b">
            <v>0</v>
          </cell>
          <cell r="AF79" t="b">
            <v>0</v>
          </cell>
        </row>
        <row r="80">
          <cell r="B80" t="str">
            <v>Common Dividends</v>
          </cell>
          <cell r="D80">
            <v>0</v>
          </cell>
          <cell r="E80">
            <v>0</v>
          </cell>
          <cell r="F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AB80" t="str">
            <v>mstag:commonDividends</v>
          </cell>
          <cell r="AC80">
            <v>6</v>
          </cell>
          <cell r="AD80" t="str">
            <v>ISO4217:USD</v>
          </cell>
          <cell r="AE80" t="b">
            <v>0</v>
          </cell>
          <cell r="AF80" t="b">
            <v>0</v>
          </cell>
        </row>
        <row r="82">
          <cell r="B82" t="str">
            <v>ROYALTIES</v>
          </cell>
        </row>
        <row r="83">
          <cell r="B83" t="str">
            <v>Rituxan Ex-US Royalty ($M)</v>
          </cell>
          <cell r="N83">
            <v>186.5</v>
          </cell>
          <cell r="P83">
            <v>214.47500000000002</v>
          </cell>
          <cell r="R83">
            <v>231.63300000000001</v>
          </cell>
          <cell r="T83">
            <v>247.84731000000002</v>
          </cell>
          <cell r="V83">
            <v>315.26177832000002</v>
          </cell>
        </row>
        <row r="84">
          <cell r="B84" t="str">
            <v>Rituxan Royalty Rate (%)</v>
          </cell>
          <cell r="N84">
            <v>0.1</v>
          </cell>
          <cell r="P84">
            <v>0.1</v>
          </cell>
          <cell r="R84">
            <v>0.1</v>
          </cell>
          <cell r="T84">
            <v>0.1</v>
          </cell>
          <cell r="V84">
            <v>0.12</v>
          </cell>
        </row>
        <row r="85">
          <cell r="B85" t="str">
            <v>Avastin Ex-US Royalty ($M)</v>
          </cell>
          <cell r="N85">
            <v>84.75</v>
          </cell>
          <cell r="P85">
            <v>150</v>
          </cell>
          <cell r="R85">
            <v>277.5</v>
          </cell>
          <cell r="T85">
            <v>375</v>
          </cell>
          <cell r="V85">
            <v>435</v>
          </cell>
        </row>
        <row r="86">
          <cell r="B86" t="str">
            <v>Avastin Royalty Rate (%)</v>
          </cell>
          <cell r="N86">
            <v>0.15</v>
          </cell>
          <cell r="P86">
            <v>0.15</v>
          </cell>
          <cell r="R86">
            <v>0.15</v>
          </cell>
          <cell r="T86">
            <v>0.15</v>
          </cell>
          <cell r="V86">
            <v>0.15</v>
          </cell>
        </row>
        <row r="87">
          <cell r="B87" t="str">
            <v>Herceptin Ex-US Royalty ($M)</v>
          </cell>
          <cell r="N87">
            <v>341.875</v>
          </cell>
          <cell r="P87">
            <v>407.96875</v>
          </cell>
          <cell r="R87">
            <v>434.40625</v>
          </cell>
          <cell r="T87">
            <v>452.25156250000003</v>
          </cell>
          <cell r="V87">
            <v>467.241625</v>
          </cell>
        </row>
        <row r="88">
          <cell r="B88" t="str">
            <v>Herceptin Ex-US Sales ($M)</v>
          </cell>
          <cell r="N88">
            <v>1175</v>
          </cell>
          <cell r="P88">
            <v>1468.75</v>
          </cell>
          <cell r="R88">
            <v>1586.25</v>
          </cell>
          <cell r="T88">
            <v>1665.5625</v>
          </cell>
          <cell r="V88">
            <v>1732.1849999999999</v>
          </cell>
        </row>
        <row r="89">
          <cell r="B89" t="str">
            <v>Royalty - $500M</v>
          </cell>
          <cell r="N89">
            <v>100</v>
          </cell>
          <cell r="P89">
            <v>100</v>
          </cell>
          <cell r="R89">
            <v>100</v>
          </cell>
          <cell r="T89">
            <v>100</v>
          </cell>
          <cell r="V89">
            <v>100</v>
          </cell>
        </row>
        <row r="90">
          <cell r="B90" t="str">
            <v>Royalty rate (%)</v>
          </cell>
          <cell r="N90">
            <v>0.2</v>
          </cell>
          <cell r="P90">
            <v>0.2</v>
          </cell>
          <cell r="R90">
            <v>0.2</v>
          </cell>
          <cell r="T90">
            <v>0.2</v>
          </cell>
          <cell r="V90">
            <v>0.2</v>
          </cell>
        </row>
        <row r="91">
          <cell r="B91" t="str">
            <v>Royalty - After $500M</v>
          </cell>
          <cell r="N91">
            <v>241.875</v>
          </cell>
          <cell r="P91">
            <v>307.96875</v>
          </cell>
          <cell r="R91">
            <v>334.40625</v>
          </cell>
          <cell r="T91">
            <v>352.25156250000003</v>
          </cell>
          <cell r="V91">
            <v>367.241625</v>
          </cell>
        </row>
        <row r="92">
          <cell r="B92" t="str">
            <v>Royalty rate (%)</v>
          </cell>
          <cell r="N92">
            <v>0.22500000000000001</v>
          </cell>
          <cell r="P92">
            <v>0.22500000000000001</v>
          </cell>
          <cell r="R92">
            <v>0.22500000000000001</v>
          </cell>
          <cell r="T92">
            <v>0.22500000000000001</v>
          </cell>
          <cell r="V92">
            <v>0.22500000000000001</v>
          </cell>
        </row>
        <row r="93">
          <cell r="B93" t="str">
            <v>Lucentis Ex-US Royalty ($M)</v>
          </cell>
          <cell r="N93">
            <v>0</v>
          </cell>
          <cell r="P93">
            <v>25</v>
          </cell>
          <cell r="R93">
            <v>75</v>
          </cell>
          <cell r="T93">
            <v>112.5</v>
          </cell>
          <cell r="V93">
            <v>137.5</v>
          </cell>
        </row>
        <row r="94">
          <cell r="B94" t="str">
            <v>Lucentis COGS (%)</v>
          </cell>
          <cell r="N94">
            <v>0.25</v>
          </cell>
          <cell r="P94">
            <v>0.25</v>
          </cell>
          <cell r="R94">
            <v>0.25</v>
          </cell>
          <cell r="T94">
            <v>0.25</v>
          </cell>
          <cell r="V94">
            <v>0.25</v>
          </cell>
        </row>
        <row r="95">
          <cell r="B95" t="str">
            <v>Raptiva Ex-US Royalty ($M)</v>
          </cell>
          <cell r="N95">
            <v>6.4756240620749992</v>
          </cell>
          <cell r="P95">
            <v>6.8032906396159953</v>
          </cell>
          <cell r="R95">
            <v>7.1475371459805652</v>
          </cell>
          <cell r="T95">
            <v>7.5092025255671828</v>
          </cell>
          <cell r="V95">
            <v>7.8891681733608801</v>
          </cell>
        </row>
        <row r="96">
          <cell r="B96" t="str">
            <v>Cabilly Royalty ($M)</v>
          </cell>
          <cell r="L96">
            <v>70</v>
          </cell>
          <cell r="N96">
            <v>80.5</v>
          </cell>
          <cell r="O96">
            <v>0.15</v>
          </cell>
          <cell r="P96">
            <v>92.574999999999989</v>
          </cell>
          <cell r="Q96">
            <v>0.15</v>
          </cell>
          <cell r="R96">
            <v>109.23849999999999</v>
          </cell>
          <cell r="S96">
            <v>0.18</v>
          </cell>
          <cell r="T96">
            <v>131.08619999999999</v>
          </cell>
          <cell r="U96">
            <v>0.2</v>
          </cell>
          <cell r="V96">
            <v>163.85774999999998</v>
          </cell>
          <cell r="W96">
            <v>0.25</v>
          </cell>
        </row>
        <row r="97">
          <cell r="B97" t="str">
            <v>Other Royalties ($M)</v>
          </cell>
          <cell r="N97">
            <v>440</v>
          </cell>
          <cell r="P97">
            <v>484.00000000000006</v>
          </cell>
          <cell r="Q97">
            <v>0.1</v>
          </cell>
          <cell r="R97">
            <v>532.40000000000009</v>
          </cell>
          <cell r="S97">
            <v>0.1</v>
          </cell>
          <cell r="T97">
            <v>585.6400000000001</v>
          </cell>
          <cell r="U97">
            <v>0.1</v>
          </cell>
          <cell r="V97">
            <v>644.20400000000018</v>
          </cell>
          <cell r="W97">
            <v>0.1</v>
          </cell>
        </row>
        <row r="98">
          <cell r="B98" t="str">
            <v>TOTAL ROYALTIES</v>
          </cell>
          <cell r="N98">
            <v>1140.100624062075</v>
          </cell>
          <cell r="P98">
            <v>1380.8220406396158</v>
          </cell>
          <cell r="R98">
            <v>1667.3252871459806</v>
          </cell>
          <cell r="T98">
            <v>1911.8342750255674</v>
          </cell>
          <cell r="V98">
            <v>2170.954321493361</v>
          </cell>
        </row>
        <row r="100">
          <cell r="B100" t="str">
            <v>COGS</v>
          </cell>
        </row>
        <row r="101">
          <cell r="B101" t="str">
            <v>Rituxan US COGS ($M)</v>
          </cell>
          <cell r="P101">
            <v>297.70939266920749</v>
          </cell>
          <cell r="R101">
            <v>330.13953356203393</v>
          </cell>
          <cell r="T101">
            <v>361.38962422106277</v>
          </cell>
          <cell r="V101">
            <v>394.45</v>
          </cell>
        </row>
        <row r="102">
          <cell r="B102" t="str">
            <v>Rituxan US COGS (%)</v>
          </cell>
          <cell r="P102">
            <v>0.1225</v>
          </cell>
          <cell r="R102">
            <v>0.1225</v>
          </cell>
          <cell r="T102">
            <v>0.1225</v>
          </cell>
          <cell r="V102">
            <v>0.1225</v>
          </cell>
        </row>
        <row r="103">
          <cell r="B103" t="str">
            <v>Avastin US COGS ($M)</v>
          </cell>
          <cell r="P103">
            <v>338.15533923473572</v>
          </cell>
          <cell r="R103">
            <v>456.25553488746044</v>
          </cell>
          <cell r="T103">
            <v>554.96139897186345</v>
          </cell>
          <cell r="V103">
            <v>636.86124684705521</v>
          </cell>
        </row>
        <row r="104">
          <cell r="B104" t="str">
            <v>Avastin US COGS (%)</v>
          </cell>
          <cell r="P104">
            <v>0.12</v>
          </cell>
          <cell r="R104">
            <v>0.12</v>
          </cell>
          <cell r="T104">
            <v>0.12</v>
          </cell>
          <cell r="V104">
            <v>0.12</v>
          </cell>
        </row>
        <row r="105">
          <cell r="B105" t="str">
            <v>Herceptin US COGS ($M)</v>
          </cell>
          <cell r="P105">
            <v>188.03529142302889</v>
          </cell>
          <cell r="R105">
            <v>201.22743725388611</v>
          </cell>
          <cell r="T105">
            <v>212.71601293076185</v>
          </cell>
          <cell r="V105">
            <v>224.86570784728451</v>
          </cell>
        </row>
        <row r="106">
          <cell r="B106" t="str">
            <v>Herceptin US COGS (%)</v>
          </cell>
          <cell r="P106">
            <v>0.12</v>
          </cell>
          <cell r="R106">
            <v>0.12</v>
          </cell>
          <cell r="T106">
            <v>0.12</v>
          </cell>
          <cell r="V106">
            <v>0.12</v>
          </cell>
        </row>
        <row r="107">
          <cell r="B107" t="str">
            <v>Lucentis COGS ($M)</v>
          </cell>
          <cell r="P107">
            <v>36</v>
          </cell>
          <cell r="R107">
            <v>44</v>
          </cell>
          <cell r="T107">
            <v>48</v>
          </cell>
          <cell r="V107">
            <v>52</v>
          </cell>
        </row>
        <row r="108">
          <cell r="B108" t="str">
            <v>Lucentis COGS (%)</v>
          </cell>
          <cell r="P108">
            <v>0.08</v>
          </cell>
          <cell r="R108">
            <v>0.08</v>
          </cell>
          <cell r="T108">
            <v>0.08</v>
          </cell>
          <cell r="V108">
            <v>0.08</v>
          </cell>
        </row>
        <row r="109">
          <cell r="B109" t="str">
            <v>Tarceva COGS ($M)</v>
          </cell>
          <cell r="P109">
            <v>27.886133421897846</v>
          </cell>
          <cell r="R109">
            <v>31.358250204914803</v>
          </cell>
          <cell r="T109">
            <v>35.47312452941911</v>
          </cell>
          <cell r="V109">
            <v>38.738165421000645</v>
          </cell>
        </row>
        <row r="110">
          <cell r="B110" t="str">
            <v>Xolair COGS ($M)</v>
          </cell>
          <cell r="P110">
            <v>162.55170346477431</v>
          </cell>
          <cell r="R110">
            <v>171.61265728377725</v>
          </cell>
          <cell r="T110">
            <v>183.38112754984081</v>
          </cell>
          <cell r="V110">
            <v>196.51930021468087</v>
          </cell>
        </row>
        <row r="111">
          <cell r="B111" t="str">
            <v>Xolair US COGS ($M))</v>
          </cell>
          <cell r="P111">
            <v>142.32963792903627</v>
          </cell>
          <cell r="R111">
            <v>145.82952372571125</v>
          </cell>
          <cell r="T111">
            <v>148.31606591087103</v>
          </cell>
          <cell r="V111">
            <v>151.8113466249944</v>
          </cell>
        </row>
        <row r="112">
          <cell r="B112" t="str">
            <v>Xolair EU COGS ($M))</v>
          </cell>
          <cell r="P112">
            <v>20.222065535738043</v>
          </cell>
          <cell r="R112">
            <v>25.783133558066002</v>
          </cell>
          <cell r="T112">
            <v>35.065061638969773</v>
          </cell>
          <cell r="V112">
            <v>44.707953589686461</v>
          </cell>
        </row>
        <row r="113">
          <cell r="B113" t="str">
            <v>Raptiva COGS ($M)</v>
          </cell>
          <cell r="P113">
            <v>31.567268567818218</v>
          </cell>
          <cell r="R113">
            <v>30.496158489517082</v>
          </cell>
          <cell r="T113">
            <v>32.039264109086645</v>
          </cell>
          <cell r="V113">
            <v>33.660450873006425</v>
          </cell>
        </row>
        <row r="114">
          <cell r="B114" t="str">
            <v>Raptiva US COGS ($M))</v>
          </cell>
          <cell r="P114">
            <v>17.960687288586225</v>
          </cell>
          <cell r="R114">
            <v>16.20108419755595</v>
          </cell>
          <cell r="T114">
            <v>17.020859057952279</v>
          </cell>
          <cell r="V114">
            <v>17.882114526284667</v>
          </cell>
        </row>
        <row r="115">
          <cell r="B115" t="str">
            <v>Raptiva EU COGS ($M))</v>
          </cell>
          <cell r="P115">
            <v>13.606581279231992</v>
          </cell>
          <cell r="R115">
            <v>14.295074291961132</v>
          </cell>
          <cell r="T115">
            <v>15.018405051134366</v>
          </cell>
          <cell r="V115">
            <v>15.778336346721762</v>
          </cell>
        </row>
        <row r="116">
          <cell r="B116" t="str">
            <v>Other Products COGS ($M)</v>
          </cell>
          <cell r="P116">
            <v>102.06479999999999</v>
          </cell>
          <cell r="R116">
            <v>99.100427999999994</v>
          </cell>
          <cell r="T116">
            <v>103.70992788</v>
          </cell>
          <cell r="V116">
            <v>108.44268931079999</v>
          </cell>
        </row>
        <row r="117">
          <cell r="B117" t="str">
            <v>Other Products COGS (%)</v>
          </cell>
          <cell r="P117">
            <v>0.12</v>
          </cell>
          <cell r="R117">
            <v>0.12</v>
          </cell>
          <cell r="T117">
            <v>0.12</v>
          </cell>
          <cell r="V117">
            <v>0.12</v>
          </cell>
        </row>
        <row r="118">
          <cell r="B118" t="str">
            <v>COGS on Roche Transfer ($M)</v>
          </cell>
          <cell r="P118">
            <v>322.79000000000002</v>
          </cell>
          <cell r="R118">
            <v>254.88000000000002</v>
          </cell>
          <cell r="T118">
            <v>171.13247999999999</v>
          </cell>
          <cell r="V118">
            <v>89.022239999999996</v>
          </cell>
        </row>
        <row r="119">
          <cell r="B119" t="str">
            <v>Roche Transfer COGS (%)</v>
          </cell>
          <cell r="P119">
            <v>0.8</v>
          </cell>
          <cell r="R119">
            <v>0.8</v>
          </cell>
          <cell r="T119">
            <v>0.8</v>
          </cell>
          <cell r="V119">
            <v>0.8</v>
          </cell>
        </row>
        <row r="120">
          <cell r="B120" t="str">
            <v>TOTAL COGS</v>
          </cell>
          <cell r="P120">
            <v>1506.7599287814626</v>
          </cell>
          <cell r="R120">
            <v>1619.0699996815897</v>
          </cell>
          <cell r="T120">
            <v>1702.8029601920346</v>
          </cell>
          <cell r="V120">
            <v>1774.5598005138277</v>
          </cell>
        </row>
        <row r="122">
          <cell r="B122" t="str">
            <v>COLLABORATIVE</v>
          </cell>
        </row>
        <row r="123">
          <cell r="B123" t="str">
            <v>Rituxan Payment ($M)</v>
          </cell>
          <cell r="P123">
            <v>777.68984207466451</v>
          </cell>
          <cell r="R123">
            <v>862.40531216204784</v>
          </cell>
          <cell r="T123">
            <v>944.03820204685792</v>
          </cell>
          <cell r="V123">
            <v>1030.4000000000001</v>
          </cell>
        </row>
        <row r="124">
          <cell r="B124" t="str">
            <v>Rituxan payment (%)</v>
          </cell>
          <cell r="P124">
            <v>0.32</v>
          </cell>
          <cell r="R124">
            <v>0.32</v>
          </cell>
          <cell r="T124">
            <v>0.32</v>
          </cell>
          <cell r="V124">
            <v>0.32</v>
          </cell>
        </row>
        <row r="125">
          <cell r="B125" t="str">
            <v>Tarceva Payment ($M)</v>
          </cell>
          <cell r="P125">
            <v>266.36815092992731</v>
          </cell>
          <cell r="R125">
            <v>327.82412715160547</v>
          </cell>
          <cell r="T125">
            <v>371.21780755890063</v>
          </cell>
          <cell r="V125">
            <v>409.91598848300674</v>
          </cell>
        </row>
        <row r="126">
          <cell r="B126" t="str">
            <v>Xolair Payment ($M)</v>
          </cell>
          <cell r="P126">
            <v>138.81661576624447</v>
          </cell>
          <cell r="R126">
            <v>148.69147088800673</v>
          </cell>
          <cell r="T126">
            <v>162.04257240736885</v>
          </cell>
          <cell r="V126">
            <v>170.5998248078663</v>
          </cell>
        </row>
        <row r="127">
          <cell r="B127" t="str">
            <v>Payment to Genentech ($M)</v>
          </cell>
          <cell r="P127">
            <v>147.07395919333749</v>
          </cell>
          <cell r="R127">
            <v>169.2664114673434</v>
          </cell>
          <cell r="T127">
            <v>193.95177849883135</v>
          </cell>
          <cell r="V127">
            <v>212.53588527499218</v>
          </cell>
        </row>
        <row r="128">
          <cell r="B128" t="str">
            <v>DNA Ex-US Profit ($M)</v>
          </cell>
          <cell r="P128">
            <v>-8.2573434270930335</v>
          </cell>
          <cell r="R128">
            <v>-20.574940579336669</v>
          </cell>
          <cell r="T128">
            <v>-31.909206091462487</v>
          </cell>
          <cell r="V128">
            <v>-41.936060467125898</v>
          </cell>
        </row>
        <row r="129">
          <cell r="B129" t="str">
            <v>Raptiva Payment ($M)</v>
          </cell>
          <cell r="P129">
            <v>8.3907251221930608</v>
          </cell>
          <cell r="R129">
            <v>10.244803242572145</v>
          </cell>
          <cell r="T129">
            <v>10.763190286646296</v>
          </cell>
          <cell r="V129">
            <v>11.307807715150599</v>
          </cell>
        </row>
        <row r="130">
          <cell r="B130" t="str">
            <v>TOTAL PAYMENTS</v>
          </cell>
          <cell r="P130">
            <v>1191.2653338930295</v>
          </cell>
          <cell r="R130">
            <v>1349.1657134442321</v>
          </cell>
          <cell r="T130">
            <v>1488.0617722997738</v>
          </cell>
          <cell r="V130">
            <v>1622.2236210060237</v>
          </cell>
        </row>
        <row r="132">
          <cell r="B132" t="str">
            <v>Current Basic Shares Outstanding</v>
          </cell>
          <cell r="H132">
            <v>1060.6189999999999</v>
          </cell>
          <cell r="AB132" t="str">
            <v>mstag:currentBasicSharesOutstanding</v>
          </cell>
          <cell r="AC132">
            <v>6</v>
          </cell>
          <cell r="AD132" t="str">
            <v>ms_eqr_gcim_Decimal:ms_eqr_gcim_decimal</v>
          </cell>
          <cell r="AE132" t="b">
            <v>0</v>
          </cell>
          <cell r="AF132" t="b">
            <v>0</v>
          </cell>
        </row>
        <row r="133">
          <cell r="B133" t="str">
            <v>Current Diluted Shares Outstanding</v>
          </cell>
          <cell r="H133">
            <v>1087.087</v>
          </cell>
          <cell r="AB133" t="str">
            <v>mstag:currentDilutedSharesOutstanding</v>
          </cell>
          <cell r="AC133">
            <v>6</v>
          </cell>
          <cell r="AD133" t="str">
            <v>ms_eqr_gcim_Decimal:ms_eqr_gcim_decimal</v>
          </cell>
          <cell r="AE133" t="b">
            <v>0</v>
          </cell>
          <cell r="AF133" t="b">
            <v>0</v>
          </cell>
        </row>
        <row r="134">
          <cell r="B134" t="str">
            <v>INTEREST CALCULATIONS</v>
          </cell>
        </row>
        <row r="135">
          <cell r="B135" t="str">
            <v>Cash and Equivalents</v>
          </cell>
          <cell r="E135">
            <v>2662.1325000000002</v>
          </cell>
          <cell r="F135">
            <v>2233.3744999999999</v>
          </cell>
          <cell r="H135">
            <v>2268.1279213292892</v>
          </cell>
          <cell r="J135">
            <v>2857.4149213292885</v>
          </cell>
          <cell r="L135">
            <v>3297.1620000000003</v>
          </cell>
          <cell r="N135">
            <v>3702.1018822259666</v>
          </cell>
          <cell r="P135">
            <v>3956.9953926703447</v>
          </cell>
          <cell r="R135">
            <v>5353.6803473669661</v>
          </cell>
          <cell r="T135">
            <v>7971.2501559284938</v>
          </cell>
          <cell r="V135">
            <v>11307.855993356801</v>
          </cell>
        </row>
        <row r="136">
          <cell r="B136" t="str">
            <v>Return on assets</v>
          </cell>
          <cell r="E136">
            <v>5.071310312315408E-2</v>
          </cell>
          <cell r="F136">
            <v>4.8277617569288091E-2</v>
          </cell>
          <cell r="H136">
            <v>4.0917886124169002E-2</v>
          </cell>
          <cell r="J136">
            <v>2.8906197480614865E-2</v>
          </cell>
          <cell r="L136">
            <v>4.2733720696768916E-2</v>
          </cell>
          <cell r="N136">
            <v>3.5000000000000003E-2</v>
          </cell>
          <cell r="P136">
            <v>0.04</v>
          </cell>
          <cell r="R136">
            <v>0.04</v>
          </cell>
          <cell r="T136">
            <v>3.7499999999999999E-2</v>
          </cell>
          <cell r="V136">
            <v>3.7499999999999999E-2</v>
          </cell>
        </row>
        <row r="137">
          <cell r="B137" t="str">
            <v>Interest Income</v>
          </cell>
          <cell r="E137">
            <v>135.005</v>
          </cell>
          <cell r="F137">
            <v>107.822</v>
          </cell>
          <cell r="H137">
            <v>92.807000000000002</v>
          </cell>
          <cell r="J137">
            <v>82.597000000000008</v>
          </cell>
          <cell r="L137">
            <v>140.9</v>
          </cell>
          <cell r="N137">
            <v>129.57356587790883</v>
          </cell>
          <cell r="P137">
            <v>158.27981570681379</v>
          </cell>
          <cell r="R137">
            <v>214.14721389467866</v>
          </cell>
          <cell r="T137">
            <v>298.9218808473185</v>
          </cell>
          <cell r="V137">
            <v>424.04459975088002</v>
          </cell>
        </row>
        <row r="138">
          <cell r="B138" t="str">
            <v>Test</v>
          </cell>
          <cell r="J138">
            <v>82.597000000000008</v>
          </cell>
          <cell r="L138">
            <v>140.9</v>
          </cell>
          <cell r="N138">
            <v>228</v>
          </cell>
          <cell r="P138">
            <v>158.27981570681379</v>
          </cell>
          <cell r="R138">
            <v>214.14721389467866</v>
          </cell>
          <cell r="T138">
            <v>298.9218808473185</v>
          </cell>
          <cell r="V138">
            <v>424.04459975088002</v>
          </cell>
        </row>
        <row r="140">
          <cell r="B140" t="str">
            <v>Interest Bearing Obligations</v>
          </cell>
          <cell r="F140">
            <v>0</v>
          </cell>
          <cell r="H140">
            <v>412.25</v>
          </cell>
          <cell r="J140">
            <v>412.25</v>
          </cell>
          <cell r="L140">
            <v>2083.0239999999999</v>
          </cell>
          <cell r="N140">
            <v>2083.0239999999999</v>
          </cell>
          <cell r="P140">
            <v>2083.0239999999999</v>
          </cell>
          <cell r="R140">
            <v>2083.0239999999999</v>
          </cell>
          <cell r="T140">
            <v>2083.0239999999999</v>
          </cell>
          <cell r="V140">
            <v>1583.0239999999999</v>
          </cell>
        </row>
        <row r="141">
          <cell r="B141" t="str">
            <v>Interest Rate</v>
          </cell>
          <cell r="F141">
            <v>9.3300000000000005E-5</v>
          </cell>
          <cell r="L141">
            <v>-4.7720552427624449E-2</v>
          </cell>
          <cell r="N141">
            <v>-4.7720552427624449E-2</v>
          </cell>
          <cell r="P141">
            <v>-4.7720552427624449E-2</v>
          </cell>
          <cell r="R141">
            <v>-4.7720552427624449E-2</v>
          </cell>
          <cell r="T141">
            <v>-4.7720552427624449E-2</v>
          </cell>
          <cell r="V141">
            <v>-4.8895693305976408E-2</v>
          </cell>
        </row>
        <row r="142">
          <cell r="B142" t="str">
            <v>Interest Expense</v>
          </cell>
          <cell r="F142">
            <v>0</v>
          </cell>
          <cell r="L142">
            <v>-99.403055999999992</v>
          </cell>
          <cell r="N142">
            <v>-99.403055999999992</v>
          </cell>
          <cell r="P142">
            <v>-99.403055999999992</v>
          </cell>
          <cell r="R142">
            <v>-99.403055999999992</v>
          </cell>
          <cell r="T142">
            <v>-99.403055999999992</v>
          </cell>
          <cell r="V142">
            <v>-77.403055999999992</v>
          </cell>
        </row>
        <row r="143">
          <cell r="B143" t="str">
            <v>Debt #1</v>
          </cell>
          <cell r="F143">
            <v>554.72799999999995</v>
          </cell>
          <cell r="H143">
            <v>623.29</v>
          </cell>
          <cell r="J143">
            <v>703.12</v>
          </cell>
          <cell r="L143">
            <v>583.02399999999989</v>
          </cell>
          <cell r="N143">
            <v>583.02399999999989</v>
          </cell>
          <cell r="P143">
            <v>583.02399999999989</v>
          </cell>
          <cell r="R143">
            <v>583.02399999999989</v>
          </cell>
          <cell r="T143">
            <v>583.02399999999989</v>
          </cell>
          <cell r="V143">
            <v>83.023999999999887</v>
          </cell>
        </row>
        <row r="144">
          <cell r="B144" t="str">
            <v>Interest Rate</v>
          </cell>
          <cell r="F144">
            <v>9.3300000000000005E-5</v>
          </cell>
          <cell r="H144">
            <v>9.3300000000000005E-5</v>
          </cell>
          <cell r="J144">
            <v>9.3300000000000005E-5</v>
          </cell>
          <cell r="L144">
            <v>4.3999999999999997E-2</v>
          </cell>
          <cell r="N144">
            <v>4.3999999999999997E-2</v>
          </cell>
          <cell r="P144">
            <v>4.3999999999999997E-2</v>
          </cell>
          <cell r="R144">
            <v>4.3999999999999997E-2</v>
          </cell>
          <cell r="T144">
            <v>4.3999999999999997E-2</v>
          </cell>
          <cell r="V144">
            <v>4.3999999999999997E-2</v>
          </cell>
        </row>
        <row r="145">
          <cell r="B145" t="str">
            <v>Interest Expense</v>
          </cell>
          <cell r="F145">
            <v>5.17561224E-2</v>
          </cell>
          <cell r="H145">
            <v>5.8152956999999998E-2</v>
          </cell>
          <cell r="J145">
            <v>6.5601095999999998E-2</v>
          </cell>
          <cell r="L145">
            <v>25.653055999999992</v>
          </cell>
          <cell r="N145">
            <v>25.653055999999992</v>
          </cell>
          <cell r="P145">
            <v>25.653055999999992</v>
          </cell>
          <cell r="R145">
            <v>25.653055999999992</v>
          </cell>
          <cell r="T145">
            <v>25.653055999999992</v>
          </cell>
          <cell r="V145">
            <v>3.653055999999995</v>
          </cell>
        </row>
        <row r="146">
          <cell r="B146" t="str">
            <v>Debt #2</v>
          </cell>
          <cell r="F146">
            <v>0</v>
          </cell>
          <cell r="H146">
            <v>0</v>
          </cell>
          <cell r="J146">
            <v>0</v>
          </cell>
          <cell r="L146">
            <v>1000</v>
          </cell>
          <cell r="N146">
            <v>1000</v>
          </cell>
          <cell r="P146">
            <v>1000</v>
          </cell>
          <cell r="R146">
            <v>1000</v>
          </cell>
          <cell r="T146">
            <v>1000</v>
          </cell>
          <cell r="V146">
            <v>1000</v>
          </cell>
        </row>
        <row r="147">
          <cell r="B147" t="str">
            <v>Interest Rate</v>
          </cell>
          <cell r="F147">
            <v>9.3300000000000005E-5</v>
          </cell>
          <cell r="H147">
            <v>0</v>
          </cell>
          <cell r="J147">
            <v>0</v>
          </cell>
          <cell r="L147">
            <v>4.7500000000000001E-2</v>
          </cell>
          <cell r="N147">
            <v>4.7500000000000001E-2</v>
          </cell>
          <cell r="P147">
            <v>4.7500000000000001E-2</v>
          </cell>
          <cell r="R147">
            <v>4.7500000000000001E-2</v>
          </cell>
          <cell r="T147">
            <v>4.7500000000000001E-2</v>
          </cell>
          <cell r="V147">
            <v>4.7500000000000001E-2</v>
          </cell>
        </row>
        <row r="148">
          <cell r="B148" t="str">
            <v>Interest Expense</v>
          </cell>
          <cell r="F148">
            <v>0</v>
          </cell>
          <cell r="H148">
            <v>0</v>
          </cell>
          <cell r="J148">
            <v>0</v>
          </cell>
          <cell r="L148">
            <v>47.5</v>
          </cell>
          <cell r="N148">
            <v>47.5</v>
          </cell>
          <cell r="P148">
            <v>47.5</v>
          </cell>
          <cell r="R148">
            <v>47.5</v>
          </cell>
          <cell r="T148">
            <v>47.5</v>
          </cell>
          <cell r="V148">
            <v>47.5</v>
          </cell>
        </row>
        <row r="149">
          <cell r="B149" t="str">
            <v>Debt #3</v>
          </cell>
          <cell r="F149">
            <v>-1590.366</v>
          </cell>
          <cell r="H149">
            <v>0</v>
          </cell>
          <cell r="J149">
            <v>0</v>
          </cell>
          <cell r="L149">
            <v>500</v>
          </cell>
          <cell r="N149">
            <v>500</v>
          </cell>
          <cell r="P149">
            <v>500</v>
          </cell>
          <cell r="R149">
            <v>500</v>
          </cell>
          <cell r="T149">
            <v>500</v>
          </cell>
          <cell r="V149">
            <v>500</v>
          </cell>
        </row>
        <row r="150">
          <cell r="B150" t="str">
            <v>Interest Rate</v>
          </cell>
          <cell r="F150">
            <v>9.3300000000000005E-5</v>
          </cell>
          <cell r="H150">
            <v>0</v>
          </cell>
          <cell r="J150">
            <v>0</v>
          </cell>
          <cell r="L150">
            <v>5.2499999999999998E-2</v>
          </cell>
          <cell r="N150">
            <v>5.2499999999999998E-2</v>
          </cell>
          <cell r="P150">
            <v>5.2499999999999998E-2</v>
          </cell>
          <cell r="R150">
            <v>5.2499999999999998E-2</v>
          </cell>
          <cell r="T150">
            <v>5.2499999999999998E-2</v>
          </cell>
          <cell r="V150">
            <v>5.2499999999999998E-2</v>
          </cell>
        </row>
        <row r="151">
          <cell r="B151" t="str">
            <v>Interest Expense</v>
          </cell>
          <cell r="F151">
            <v>-0.1483811478</v>
          </cell>
          <cell r="H151">
            <v>0</v>
          </cell>
          <cell r="J151">
            <v>0</v>
          </cell>
          <cell r="L151">
            <v>26.25</v>
          </cell>
          <cell r="N151">
            <v>26.25</v>
          </cell>
          <cell r="P151">
            <v>26.25</v>
          </cell>
          <cell r="R151">
            <v>26.25</v>
          </cell>
          <cell r="T151">
            <v>26.25</v>
          </cell>
          <cell r="V151">
            <v>26.25</v>
          </cell>
        </row>
        <row r="152">
          <cell r="D152" t="str">
            <v>2000A</v>
          </cell>
          <cell r="E152" t="str">
            <v>2001A</v>
          </cell>
          <cell r="F152" t="str">
            <v>2002A</v>
          </cell>
          <cell r="H152" t="str">
            <v>2003A</v>
          </cell>
          <cell r="I152" t="str">
            <v>2004E</v>
          </cell>
          <cell r="J152" t="str">
            <v>2005E</v>
          </cell>
          <cell r="K152" t="str">
            <v>2006E</v>
          </cell>
          <cell r="L152" t="str">
            <v>2007E</v>
          </cell>
          <cell r="M152" t="str">
            <v>2008E</v>
          </cell>
          <cell r="N152" t="str">
            <v>2009E</v>
          </cell>
          <cell r="O152" t="str">
            <v>2010E</v>
          </cell>
        </row>
        <row r="153">
          <cell r="B153" t="str">
            <v>RNOA</v>
          </cell>
        </row>
        <row r="154">
          <cell r="B154" t="str">
            <v>ROE</v>
          </cell>
        </row>
        <row r="155">
          <cell r="B155" t="str">
            <v>Operating Margin</v>
          </cell>
          <cell r="D155">
            <v>0.23109484655632037</v>
          </cell>
          <cell r="E155">
            <v>0.22983837826413678</v>
          </cell>
          <cell r="F155">
            <v>0.24055711926676934</v>
          </cell>
          <cell r="H155">
            <v>0.25620589712352548</v>
          </cell>
          <cell r="I155">
            <v>0.28551025707608407</v>
          </cell>
          <cell r="J155">
            <v>0.31694360513418202</v>
          </cell>
          <cell r="K155">
            <v>0.35652364818932586</v>
          </cell>
          <cell r="L155">
            <v>0.39079481045141073</v>
          </cell>
          <cell r="M155">
            <v>0.41648950612743196</v>
          </cell>
          <cell r="N155">
            <v>0.43423843372946319</v>
          </cell>
          <cell r="O155">
            <v>0.45021543822400667</v>
          </cell>
        </row>
        <row r="193">
          <cell r="N193">
            <v>44.013721844271316</v>
          </cell>
          <cell r="P193">
            <v>33.29289312441832</v>
          </cell>
          <cell r="R193">
            <v>26.640507605564949</v>
          </cell>
          <cell r="T193">
            <v>22.631589842223477</v>
          </cell>
          <cell r="V193">
            <v>19.727270219320825</v>
          </cell>
        </row>
      </sheetData>
      <sheetData sheetId="8" refreshError="1">
        <row r="1">
          <cell r="B1" t="str">
            <v>Genentech Balance Sheet</v>
          </cell>
          <cell r="Y1" t="str">
            <v>ElementName</v>
          </cell>
          <cell r="Z1" t="str">
            <v>ScaleOverride</v>
          </cell>
          <cell r="AA1" t="str">
            <v>UnitOverride</v>
          </cell>
          <cell r="AB1" t="str">
            <v>ReverseSign</v>
          </cell>
          <cell r="AC1" t="str">
            <v>IsDrivingAssumption</v>
          </cell>
          <cell r="AD1" t="str">
            <v>SegmentID</v>
          </cell>
        </row>
        <row r="2">
          <cell r="B2" t="str">
            <v>(Dollars in millions)</v>
          </cell>
        </row>
        <row r="4">
          <cell r="C4" t="str">
            <v>1999A</v>
          </cell>
          <cell r="D4" t="str">
            <v>2000A</v>
          </cell>
          <cell r="E4" t="str">
            <v>2001A</v>
          </cell>
          <cell r="F4" t="str">
            <v>2002A</v>
          </cell>
          <cell r="H4" t="str">
            <v>2003A</v>
          </cell>
          <cell r="J4" t="str">
            <v>2004A</v>
          </cell>
          <cell r="L4" t="str">
            <v>2005A</v>
          </cell>
          <cell r="N4" t="str">
            <v>2006E</v>
          </cell>
          <cell r="P4" t="str">
            <v>2007E</v>
          </cell>
          <cell r="R4" t="str">
            <v>2008E</v>
          </cell>
          <cell r="T4" t="str">
            <v>2009E</v>
          </cell>
          <cell r="V4" t="str">
            <v>2010E</v>
          </cell>
        </row>
        <row r="6">
          <cell r="B6" t="str">
            <v>Cash and Equivalents</v>
          </cell>
          <cell r="D6">
            <v>551.38400000000001</v>
          </cell>
          <cell r="E6">
            <v>395.20299999999997</v>
          </cell>
          <cell r="F6">
            <v>208.13</v>
          </cell>
          <cell r="H6">
            <v>371.87784265857772</v>
          </cell>
          <cell r="J6">
            <v>270.12299999999999</v>
          </cell>
          <cell r="L6">
            <v>1225.511</v>
          </cell>
          <cell r="N6">
            <v>1001.9307644519329</v>
          </cell>
          <cell r="P6">
            <v>1235.2980208887568</v>
          </cell>
          <cell r="R6">
            <v>2295.300673845175</v>
          </cell>
          <cell r="T6">
            <v>3470.4376380118142</v>
          </cell>
          <cell r="V6">
            <v>4968.5123487017881</v>
          </cell>
          <cell r="Y6" t="str">
            <v>mstag:cashAndCashEquivalents</v>
          </cell>
          <cell r="Z6">
            <v>6</v>
          </cell>
          <cell r="AA6" t="str">
            <v>ISO4217:USD</v>
          </cell>
          <cell r="AB6" t="b">
            <v>0</v>
          </cell>
          <cell r="AC6" t="b">
            <v>0</v>
          </cell>
        </row>
        <row r="7">
          <cell r="B7" t="str">
            <v>Short-term investments</v>
          </cell>
          <cell r="D7">
            <v>642.47500000000002</v>
          </cell>
          <cell r="E7">
            <v>952.875</v>
          </cell>
          <cell r="F7">
            <v>826.44200000000001</v>
          </cell>
          <cell r="H7">
            <v>1139.6199999999999</v>
          </cell>
          <cell r="J7">
            <v>1394.982</v>
          </cell>
          <cell r="L7">
            <v>1139.6500000000001</v>
          </cell>
          <cell r="N7">
            <v>1139.6500000000001</v>
          </cell>
          <cell r="P7">
            <v>1264.6500000000001</v>
          </cell>
          <cell r="R7">
            <v>1514.65</v>
          </cell>
          <cell r="T7">
            <v>2014.65</v>
          </cell>
          <cell r="V7">
            <v>2514.65</v>
          </cell>
          <cell r="Y7" t="str">
            <v>mstag:shortTermInvestments</v>
          </cell>
          <cell r="Z7">
            <v>6</v>
          </cell>
          <cell r="AA7" t="str">
            <v>ISO4217:USD</v>
          </cell>
          <cell r="AB7" t="b">
            <v>0</v>
          </cell>
          <cell r="AC7" t="b">
            <v>0</v>
          </cell>
        </row>
        <row r="8">
          <cell r="B8" t="str">
            <v>Receivables, trade</v>
          </cell>
          <cell r="D8">
            <v>162.12100000000001</v>
          </cell>
          <cell r="E8">
            <v>193.203</v>
          </cell>
          <cell r="F8">
            <v>224.34299999999999</v>
          </cell>
          <cell r="H8">
            <v>299.10000000000002</v>
          </cell>
          <cell r="J8">
            <v>599.05200000000002</v>
          </cell>
          <cell r="L8">
            <v>554.45500000000004</v>
          </cell>
          <cell r="N8">
            <v>760.03000000000009</v>
          </cell>
          <cell r="P8">
            <v>939.92709347360233</v>
          </cell>
          <cell r="R8">
            <v>1092.0155259251524</v>
          </cell>
          <cell r="T8">
            <v>1122.0029983011618</v>
          </cell>
          <cell r="V8">
            <v>1051.8739766251808</v>
          </cell>
          <cell r="Y8" t="str">
            <v>mstag:tradeReceivables</v>
          </cell>
          <cell r="Z8">
            <v>6</v>
          </cell>
          <cell r="AA8" t="str">
            <v>ISO4217:USD</v>
          </cell>
          <cell r="AB8" t="b">
            <v>0</v>
          </cell>
          <cell r="AC8" t="b">
            <v>0</v>
          </cell>
        </row>
        <row r="9">
          <cell r="B9" t="str">
            <v>Receivables, other</v>
          </cell>
          <cell r="D9">
            <v>63.262</v>
          </cell>
          <cell r="E9">
            <v>77.837000000000003</v>
          </cell>
          <cell r="F9">
            <v>87.244</v>
          </cell>
          <cell r="H9">
            <v>73.400000000000006</v>
          </cell>
          <cell r="J9">
            <v>140.83799999999999</v>
          </cell>
          <cell r="L9">
            <v>232.297</v>
          </cell>
          <cell r="N9">
            <v>228.00900000000001</v>
          </cell>
          <cell r="P9">
            <v>281.9781280420807</v>
          </cell>
          <cell r="R9">
            <v>327.6046577775457</v>
          </cell>
          <cell r="T9">
            <v>336.60089949034852</v>
          </cell>
          <cell r="V9">
            <v>315.56219298755423</v>
          </cell>
          <cell r="Y9" t="str">
            <v>mstag:tradeReceivables</v>
          </cell>
          <cell r="Z9">
            <v>6</v>
          </cell>
          <cell r="AA9" t="str">
            <v>ISO4217:USD</v>
          </cell>
          <cell r="AB9" t="b">
            <v>0</v>
          </cell>
          <cell r="AC9" t="b">
            <v>0</v>
          </cell>
        </row>
        <row r="10">
          <cell r="B10" t="str">
            <v>Receivables, related party</v>
          </cell>
          <cell r="D10">
            <v>36.298999999999999</v>
          </cell>
          <cell r="E10">
            <v>66.867000000000004</v>
          </cell>
          <cell r="F10">
            <v>106.89400000000001</v>
          </cell>
          <cell r="H10">
            <v>201.6</v>
          </cell>
          <cell r="J10">
            <v>217.482</v>
          </cell>
          <cell r="L10">
            <v>296.66399999999999</v>
          </cell>
          <cell r="N10">
            <v>532.02100000000007</v>
          </cell>
          <cell r="P10">
            <v>657.94896543152163</v>
          </cell>
          <cell r="R10">
            <v>764.41086814760661</v>
          </cell>
          <cell r="T10">
            <v>785.40209881081319</v>
          </cell>
          <cell r="V10">
            <v>736.31178363762649</v>
          </cell>
          <cell r="Y10" t="str">
            <v>mstag:tradeReceivables</v>
          </cell>
          <cell r="Z10">
            <v>6</v>
          </cell>
          <cell r="AA10" t="str">
            <v>ISO4217:USD</v>
          </cell>
          <cell r="AB10" t="b">
            <v>0</v>
          </cell>
          <cell r="AC10" t="b">
            <v>0</v>
          </cell>
        </row>
        <row r="11">
          <cell r="B11" t="str">
            <v>Inventories</v>
          </cell>
          <cell r="D11">
            <v>265.83</v>
          </cell>
          <cell r="E11">
            <v>356.94600000000003</v>
          </cell>
          <cell r="F11">
            <v>393.54199999999997</v>
          </cell>
          <cell r="H11">
            <v>469.64</v>
          </cell>
          <cell r="J11">
            <v>590.34299999999996</v>
          </cell>
          <cell r="L11">
            <v>702.51499999999999</v>
          </cell>
          <cell r="N11">
            <v>905.58340740740744</v>
          </cell>
          <cell r="P11">
            <v>1076.257091986759</v>
          </cell>
          <cell r="R11">
            <v>1156.4785712011355</v>
          </cell>
          <cell r="T11">
            <v>1216.2878287085962</v>
          </cell>
          <cell r="V11">
            <v>1267.542714652734</v>
          </cell>
          <cell r="Y11" t="str">
            <v>mstag:inventories</v>
          </cell>
          <cell r="Z11">
            <v>6</v>
          </cell>
          <cell r="AA11" t="str">
            <v>ISO4217:USD</v>
          </cell>
          <cell r="AB11" t="b">
            <v>0</v>
          </cell>
          <cell r="AC11" t="b">
            <v>0</v>
          </cell>
        </row>
        <row r="12">
          <cell r="B12" t="str">
            <v>Deferred Tax assets, Net</v>
          </cell>
          <cell r="D12">
            <v>40.619</v>
          </cell>
          <cell r="E12">
            <v>139.56700000000001</v>
          </cell>
          <cell r="F12">
            <v>82.299000000000007</v>
          </cell>
          <cell r="H12">
            <v>121.88500000000001</v>
          </cell>
          <cell r="J12">
            <v>148.37</v>
          </cell>
          <cell r="L12">
            <v>166.56100000000001</v>
          </cell>
          <cell r="N12">
            <v>166.56100000000001</v>
          </cell>
          <cell r="P12">
            <v>166.56100000000001</v>
          </cell>
          <cell r="R12">
            <v>166.56100000000001</v>
          </cell>
          <cell r="T12">
            <v>166.56100000000001</v>
          </cell>
          <cell r="V12">
            <v>166.56100000000001</v>
          </cell>
          <cell r="Y12" t="str">
            <v>mstag:deferredTaxAssets</v>
          </cell>
          <cell r="Z12">
            <v>6</v>
          </cell>
          <cell r="AA12" t="str">
            <v>ISO4217:USD</v>
          </cell>
          <cell r="AB12" t="b">
            <v>0</v>
          </cell>
          <cell r="AC12" t="b">
            <v>0</v>
          </cell>
        </row>
        <row r="13">
          <cell r="B13" t="str">
            <v>Prepaid expenses and other current assets</v>
          </cell>
          <cell r="D13">
            <v>31.431999999999999</v>
          </cell>
          <cell r="E13">
            <v>38.896000000000001</v>
          </cell>
          <cell r="F13">
            <v>153.88999999999999</v>
          </cell>
          <cell r="H13">
            <v>79.44</v>
          </cell>
          <cell r="J13">
            <v>61.567</v>
          </cell>
          <cell r="L13">
            <v>101.126</v>
          </cell>
          <cell r="N13">
            <v>146.7183995</v>
          </cell>
          <cell r="P13">
            <v>206.13904673091855</v>
          </cell>
          <cell r="R13">
            <v>229.39290678567519</v>
          </cell>
          <cell r="T13">
            <v>247.56660773485044</v>
          </cell>
          <cell r="V13">
            <v>260.2368329771009</v>
          </cell>
          <cell r="Y13" t="str">
            <v>mstag:prepaidExpenses</v>
          </cell>
          <cell r="Z13">
            <v>6</v>
          </cell>
          <cell r="AA13" t="str">
            <v>ISO4217:USD</v>
          </cell>
          <cell r="AB13" t="b">
            <v>0</v>
          </cell>
          <cell r="AC13" t="b">
            <v>0</v>
          </cell>
        </row>
        <row r="14">
          <cell r="B14" t="str">
            <v>Total current assets</v>
          </cell>
          <cell r="D14">
            <v>1793.4219999999998</v>
          </cell>
          <cell r="E14">
            <v>2221.3940000000002</v>
          </cell>
          <cell r="F14">
            <v>2082.7840000000001</v>
          </cell>
          <cell r="H14">
            <v>2756.5628426585777</v>
          </cell>
          <cell r="J14">
            <v>3422.7570000000001</v>
          </cell>
          <cell r="L14">
            <v>4418.7790000000005</v>
          </cell>
          <cell r="N14">
            <v>4880.5035713593397</v>
          </cell>
          <cell r="P14">
            <v>5828.7593465536384</v>
          </cell>
          <cell r="R14">
            <v>7546.4142036822905</v>
          </cell>
          <cell r="T14">
            <v>9359.5090710575842</v>
          </cell>
          <cell r="V14">
            <v>11281.250849581984</v>
          </cell>
        </row>
        <row r="16">
          <cell r="B16" t="str">
            <v>Long-term marketable securities</v>
          </cell>
          <cell r="D16">
            <v>1265.5150000000001</v>
          </cell>
          <cell r="E16">
            <v>1516.8130000000001</v>
          </cell>
          <cell r="F16">
            <v>567.28599999999994</v>
          </cell>
          <cell r="H16">
            <v>1422.9</v>
          </cell>
          <cell r="J16">
            <v>1115.327</v>
          </cell>
          <cell r="L16">
            <v>1448.731</v>
          </cell>
          <cell r="N16">
            <v>1448.731</v>
          </cell>
          <cell r="P16">
            <v>1823.731</v>
          </cell>
          <cell r="R16">
            <v>2573.7309999999998</v>
          </cell>
          <cell r="T16">
            <v>4073.7309999999998</v>
          </cell>
          <cell r="V16">
            <v>5573.7309999999998</v>
          </cell>
          <cell r="Y16" t="str">
            <v>mstag:longTermInvestmentsNonOperating</v>
          </cell>
          <cell r="Z16">
            <v>6</v>
          </cell>
          <cell r="AA16" t="str">
            <v>ISO4217:USD</v>
          </cell>
          <cell r="AB16" t="b">
            <v>0</v>
          </cell>
          <cell r="AC16" t="b">
            <v>0</v>
          </cell>
        </row>
        <row r="17">
          <cell r="B17" t="str">
            <v>Property, Plant &amp; Equipment, Net</v>
          </cell>
          <cell r="D17">
            <v>752.89200000000005</v>
          </cell>
          <cell r="E17">
            <v>865.66800000000001</v>
          </cell>
          <cell r="F17">
            <v>1068.7339999999999</v>
          </cell>
          <cell r="H17">
            <v>1617.9</v>
          </cell>
          <cell r="J17">
            <v>2091.404</v>
          </cell>
          <cell r="L17">
            <v>3349.3519999999999</v>
          </cell>
          <cell r="N17">
            <v>4554.0653750000001</v>
          </cell>
          <cell r="P17">
            <v>5783.2955411838693</v>
          </cell>
          <cell r="R17">
            <v>6559.6626049312927</v>
          </cell>
          <cell r="T17">
            <v>6993.2829589207122</v>
          </cell>
          <cell r="V17">
            <v>7343.3774458479393</v>
          </cell>
          <cell r="Y17" t="str">
            <v>mstag:propertyPlantAndEquipmentNet</v>
          </cell>
          <cell r="Z17">
            <v>6</v>
          </cell>
          <cell r="AA17" t="str">
            <v>ISO4217:USD</v>
          </cell>
          <cell r="AB17" t="b">
            <v>0</v>
          </cell>
          <cell r="AC17" t="b">
            <v>0</v>
          </cell>
        </row>
        <row r="18">
          <cell r="B18" t="str">
            <v>Goodwill</v>
          </cell>
          <cell r="D18">
            <v>1280.3589999999999</v>
          </cell>
          <cell r="E18">
            <v>1302.4929999999999</v>
          </cell>
          <cell r="F18">
            <v>1315.09</v>
          </cell>
          <cell r="H18">
            <v>1315.09</v>
          </cell>
          <cell r="J18">
            <v>1315.019</v>
          </cell>
          <cell r="L18">
            <v>1315.019</v>
          </cell>
          <cell r="N18">
            <v>1315.019</v>
          </cell>
          <cell r="P18">
            <v>1315.019</v>
          </cell>
          <cell r="R18">
            <v>1315.019</v>
          </cell>
          <cell r="T18">
            <v>1315.019</v>
          </cell>
          <cell r="V18">
            <v>1315.019</v>
          </cell>
          <cell r="Y18" t="str">
            <v>mstag:goodwill</v>
          </cell>
          <cell r="Z18">
            <v>6</v>
          </cell>
          <cell r="AA18" t="str">
            <v>ISO4217:USD</v>
          </cell>
          <cell r="AB18" t="b">
            <v>0</v>
          </cell>
          <cell r="AC18" t="b">
            <v>0</v>
          </cell>
        </row>
        <row r="19">
          <cell r="B19" t="str">
            <v>Intangible Assets, net</v>
          </cell>
          <cell r="D19">
            <v>1455.778</v>
          </cell>
          <cell r="E19">
            <v>1113.299</v>
          </cell>
          <cell r="F19">
            <v>927.5</v>
          </cell>
          <cell r="H19">
            <v>810.81</v>
          </cell>
          <cell r="J19">
            <v>668.39099999999996</v>
          </cell>
          <cell r="L19">
            <v>573.779</v>
          </cell>
          <cell r="N19">
            <v>452.07900000000001</v>
          </cell>
          <cell r="P19">
            <v>331.57900000000001</v>
          </cell>
          <cell r="R19">
            <v>213.07900000000001</v>
          </cell>
          <cell r="T19">
            <v>213.07900000000001</v>
          </cell>
          <cell r="V19">
            <v>213.07900000000001</v>
          </cell>
          <cell r="Y19" t="str">
            <v>mstag:otherIntangibleAssets</v>
          </cell>
          <cell r="Z19">
            <v>6</v>
          </cell>
          <cell r="AA19" t="str">
            <v>ISO4217:USD</v>
          </cell>
          <cell r="AB19" t="b">
            <v>0</v>
          </cell>
          <cell r="AC19" t="b">
            <v>0</v>
          </cell>
        </row>
        <row r="20">
          <cell r="B20" t="str">
            <v>Other assets</v>
          </cell>
          <cell r="D20">
            <v>168.458</v>
          </cell>
          <cell r="E20">
            <v>127.22200000000001</v>
          </cell>
          <cell r="F20">
            <v>796.65800000000002</v>
          </cell>
          <cell r="H20">
            <v>812.7</v>
          </cell>
          <cell r="J20">
            <v>790.49700000000007</v>
          </cell>
          <cell r="L20">
            <v>1041.2190000000001</v>
          </cell>
          <cell r="N20">
            <v>1041.2190000000001</v>
          </cell>
          <cell r="P20">
            <v>1041.2190000000001</v>
          </cell>
          <cell r="R20">
            <v>1041.2190000000001</v>
          </cell>
          <cell r="T20">
            <v>1041.2190000000001</v>
          </cell>
          <cell r="V20">
            <v>1041.2190000000001</v>
          </cell>
          <cell r="Y20" t="str">
            <v>mstag:otherAssetsNonOperating</v>
          </cell>
          <cell r="Z20">
            <v>6</v>
          </cell>
          <cell r="AA20" t="str">
            <v>ISO4217:USD</v>
          </cell>
          <cell r="AB20" t="b">
            <v>0</v>
          </cell>
          <cell r="AC20" t="b">
            <v>0</v>
          </cell>
        </row>
        <row r="21">
          <cell r="B21" t="str">
            <v>Total Non-current assets</v>
          </cell>
          <cell r="D21">
            <v>4923.0019999999995</v>
          </cell>
          <cell r="E21">
            <v>4925.4949999999999</v>
          </cell>
          <cell r="F21">
            <v>4675.268</v>
          </cell>
          <cell r="H21">
            <v>5979.4000000000005</v>
          </cell>
          <cell r="J21">
            <v>5980.6379999999999</v>
          </cell>
          <cell r="L21">
            <v>7728.0999999999995</v>
          </cell>
          <cell r="N21">
            <v>8811.1133750000008</v>
          </cell>
          <cell r="P21">
            <v>10294.843541183869</v>
          </cell>
          <cell r="R21">
            <v>11702.710604931293</v>
          </cell>
          <cell r="T21">
            <v>13636.330958920713</v>
          </cell>
          <cell r="V21">
            <v>15486.425445847937</v>
          </cell>
        </row>
        <row r="23">
          <cell r="B23" t="str">
            <v>Total assets</v>
          </cell>
          <cell r="D23">
            <v>6716.4239999999991</v>
          </cell>
          <cell r="E23">
            <v>7146.8890000000001</v>
          </cell>
          <cell r="F23">
            <v>6758.0519999999997</v>
          </cell>
          <cell r="H23">
            <v>8735.9628426585787</v>
          </cell>
          <cell r="J23">
            <v>9403.3950000000004</v>
          </cell>
          <cell r="L23">
            <v>12146.879000000001</v>
          </cell>
          <cell r="N23">
            <v>13691.61694635934</v>
          </cell>
          <cell r="P23">
            <v>16123.602887737507</v>
          </cell>
          <cell r="R23">
            <v>19249.124808613582</v>
          </cell>
          <cell r="T23">
            <v>22995.840029978295</v>
          </cell>
          <cell r="V23">
            <v>26767.676295429919</v>
          </cell>
        </row>
        <row r="25">
          <cell r="B25" t="str">
            <v>Accounts Payable</v>
          </cell>
          <cell r="D25">
            <v>39.113999999999997</v>
          </cell>
          <cell r="E25">
            <v>33.347999999999999</v>
          </cell>
          <cell r="F25">
            <v>51.38</v>
          </cell>
          <cell r="H25">
            <v>59.7</v>
          </cell>
          <cell r="J25">
            <v>104.83199999999999</v>
          </cell>
          <cell r="L25">
            <v>338.97800000000001</v>
          </cell>
          <cell r="N25">
            <v>407.51253333333335</v>
          </cell>
          <cell r="P25">
            <v>456.59391781256443</v>
          </cell>
          <cell r="R25">
            <v>490.62727263078477</v>
          </cell>
          <cell r="T25">
            <v>516.00089702788932</v>
          </cell>
          <cell r="V25">
            <v>537.7453940950993</v>
          </cell>
          <cell r="Y25" t="str">
            <v>mstag:tradeAndOtherPayables</v>
          </cell>
          <cell r="Z25">
            <v>6</v>
          </cell>
          <cell r="AA25" t="str">
            <v>ISO4217:USD</v>
          </cell>
          <cell r="AB25" t="b">
            <v>0</v>
          </cell>
          <cell r="AC25" t="b">
            <v>0</v>
          </cell>
        </row>
        <row r="26">
          <cell r="B26" t="str">
            <v>Accrued liabilities-related parties</v>
          </cell>
          <cell r="D26">
            <v>12.265000000000001</v>
          </cell>
          <cell r="E26">
            <v>45.259</v>
          </cell>
          <cell r="F26">
            <v>51.116</v>
          </cell>
          <cell r="H26">
            <v>58.1</v>
          </cell>
          <cell r="J26">
            <v>108.416</v>
          </cell>
          <cell r="L26">
            <v>131.774</v>
          </cell>
          <cell r="N26">
            <v>123.24345558</v>
          </cell>
          <cell r="P26">
            <v>137.42603115394573</v>
          </cell>
          <cell r="R26">
            <v>145.28217429759431</v>
          </cell>
          <cell r="T26">
            <v>148.53996464091026</v>
          </cell>
          <cell r="V26">
            <v>147.46753868702385</v>
          </cell>
          <cell r="Y26" t="str">
            <v>mstag:accruedExpenses</v>
          </cell>
          <cell r="Z26">
            <v>6</v>
          </cell>
          <cell r="AA26" t="str">
            <v>ISO4217:USD</v>
          </cell>
          <cell r="AB26" t="b">
            <v>0</v>
          </cell>
          <cell r="AC26" t="b">
            <v>0</v>
          </cell>
        </row>
        <row r="27">
          <cell r="B27" t="str">
            <v>Accrued Liabilities</v>
          </cell>
          <cell r="D27">
            <v>386.48</v>
          </cell>
          <cell r="E27">
            <v>415.95499999999998</v>
          </cell>
          <cell r="F27">
            <v>524.12</v>
          </cell>
          <cell r="H27">
            <v>707.75</v>
          </cell>
          <cell r="J27">
            <v>978.79300000000012</v>
          </cell>
          <cell r="L27">
            <v>1144.7530000000002</v>
          </cell>
          <cell r="N27">
            <v>1109.19110022</v>
          </cell>
          <cell r="P27">
            <v>1236.8342803855116</v>
          </cell>
          <cell r="R27">
            <v>1307.5395686783486</v>
          </cell>
          <cell r="T27">
            <v>1336.8596817681923</v>
          </cell>
          <cell r="V27">
            <v>1327.2078481832148</v>
          </cell>
          <cell r="Y27" t="str">
            <v>mstag:accruedExpenses</v>
          </cell>
          <cell r="Z27">
            <v>6</v>
          </cell>
          <cell r="AA27" t="str">
            <v>ISO4217:USD</v>
          </cell>
          <cell r="AB27" t="b">
            <v>0</v>
          </cell>
          <cell r="AC27" t="b">
            <v>0</v>
          </cell>
        </row>
        <row r="28">
          <cell r="B28" t="str">
            <v>Deferred Revenue</v>
          </cell>
          <cell r="D28">
            <v>15.433</v>
          </cell>
          <cell r="E28">
            <v>19.542999999999999</v>
          </cell>
          <cell r="F28">
            <v>20.044</v>
          </cell>
          <cell r="H28">
            <v>47.48</v>
          </cell>
          <cell r="J28">
            <v>45.988999999999997</v>
          </cell>
          <cell r="L28">
            <v>44.326999999999998</v>
          </cell>
          <cell r="N28">
            <v>68.402699999999996</v>
          </cell>
          <cell r="P28">
            <v>84.593438412624209</v>
          </cell>
          <cell r="R28">
            <v>98.281397333263726</v>
          </cell>
          <cell r="T28">
            <v>109.39529233436328</v>
          </cell>
          <cell r="V28">
            <v>118.33582237033283</v>
          </cell>
          <cell r="Y28" t="str">
            <v>mstag:deferredRevenue</v>
          </cell>
          <cell r="Z28">
            <v>6</v>
          </cell>
          <cell r="AA28" t="str">
            <v>ISO4217:USD</v>
          </cell>
          <cell r="AB28" t="b">
            <v>0</v>
          </cell>
          <cell r="AC28" t="b">
            <v>0</v>
          </cell>
        </row>
        <row r="29">
          <cell r="B29" t="str">
            <v>Total current liabilities</v>
          </cell>
          <cell r="D29">
            <v>453.29200000000003</v>
          </cell>
          <cell r="E29">
            <v>514.10500000000002</v>
          </cell>
          <cell r="F29">
            <v>646.66</v>
          </cell>
          <cell r="H29">
            <v>873.03</v>
          </cell>
          <cell r="J29">
            <v>1238.0300000000002</v>
          </cell>
          <cell r="L29">
            <v>1659.8320000000001</v>
          </cell>
          <cell r="N29">
            <v>1708.3497891333334</v>
          </cell>
          <cell r="P29">
            <v>1915.447667764646</v>
          </cell>
          <cell r="R29">
            <v>2041.7304129399913</v>
          </cell>
          <cell r="T29">
            <v>2110.7958357713551</v>
          </cell>
          <cell r="V29">
            <v>2130.7566033356707</v>
          </cell>
        </row>
        <row r="31">
          <cell r="B31" t="str">
            <v xml:space="preserve">Long-Term Debt </v>
          </cell>
          <cell r="D31">
            <v>149.69200000000001</v>
          </cell>
          <cell r="E31">
            <v>149.69200000000001</v>
          </cell>
          <cell r="F31">
            <v>0</v>
          </cell>
          <cell r="H31">
            <v>412.25</v>
          </cell>
          <cell r="J31">
            <v>412.25</v>
          </cell>
          <cell r="L31">
            <v>2083.0239999999999</v>
          </cell>
          <cell r="N31">
            <v>2083.0239999999999</v>
          </cell>
          <cell r="P31">
            <v>2083.0239999999999</v>
          </cell>
          <cell r="R31">
            <v>2083.0239999999999</v>
          </cell>
          <cell r="T31">
            <v>2083.0239999999999</v>
          </cell>
          <cell r="V31">
            <v>1583.0239999999999</v>
          </cell>
          <cell r="Y31" t="str">
            <v>mstag:longTermDebt</v>
          </cell>
          <cell r="Z31">
            <v>6</v>
          </cell>
          <cell r="AA31" t="str">
            <v>ISO4217:USD</v>
          </cell>
          <cell r="AB31" t="b">
            <v>0</v>
          </cell>
          <cell r="AC31" t="b">
            <v>0</v>
          </cell>
        </row>
        <row r="32">
          <cell r="B32" t="str">
            <v>Deferred Tax Liabilities</v>
          </cell>
          <cell r="D32">
            <v>349.84800000000001</v>
          </cell>
          <cell r="E32">
            <v>447.80900000000003</v>
          </cell>
          <cell r="F32">
            <v>148.24700000000001</v>
          </cell>
          <cell r="H32">
            <v>26.056000000000001</v>
          </cell>
          <cell r="J32">
            <v>0</v>
          </cell>
          <cell r="L32">
            <v>0</v>
          </cell>
          <cell r="N32">
            <v>0</v>
          </cell>
          <cell r="P32">
            <v>0</v>
          </cell>
          <cell r="R32">
            <v>0</v>
          </cell>
          <cell r="T32">
            <v>0</v>
          </cell>
          <cell r="V32">
            <v>0</v>
          </cell>
          <cell r="Y32" t="str">
            <v>mstag:deferredTaxLiabilities</v>
          </cell>
          <cell r="Z32">
            <v>6</v>
          </cell>
          <cell r="AA32" t="str">
            <v>ISO4217:USD</v>
          </cell>
          <cell r="AB32" t="b">
            <v>0</v>
          </cell>
          <cell r="AC32" t="b">
            <v>0</v>
          </cell>
        </row>
        <row r="33">
          <cell r="B33" t="str">
            <v>Deferred Revenue</v>
          </cell>
          <cell r="D33">
            <v>87.6</v>
          </cell>
          <cell r="E33">
            <v>68.033000000000001</v>
          </cell>
          <cell r="F33">
            <v>69.533000000000001</v>
          </cell>
          <cell r="H33">
            <v>281.2</v>
          </cell>
          <cell r="J33">
            <v>267.80500000000001</v>
          </cell>
          <cell r="L33">
            <v>220.09299999999999</v>
          </cell>
          <cell r="N33">
            <v>387.61529999999999</v>
          </cell>
          <cell r="P33">
            <v>479.36281767153719</v>
          </cell>
          <cell r="R33">
            <v>556.92791822182778</v>
          </cell>
          <cell r="T33">
            <v>619.90665656139197</v>
          </cell>
          <cell r="V33">
            <v>670.56966009855273</v>
          </cell>
          <cell r="Y33" t="str">
            <v>mstag:deferredRevenue</v>
          </cell>
          <cell r="Z33">
            <v>6</v>
          </cell>
          <cell r="AA33" t="str">
            <v>ISO4217:USD</v>
          </cell>
          <cell r="AB33" t="b">
            <v>0</v>
          </cell>
          <cell r="AC33" t="b">
            <v>0</v>
          </cell>
        </row>
        <row r="34">
          <cell r="B34" t="str">
            <v>Litigation related and other long-term liabilities</v>
          </cell>
          <cell r="D34">
            <v>1.7889999999999999</v>
          </cell>
          <cell r="E34">
            <v>47.430999999999997</v>
          </cell>
          <cell r="F34">
            <v>554.72799999999995</v>
          </cell>
          <cell r="H34">
            <v>623.29</v>
          </cell>
          <cell r="J34">
            <v>703.12</v>
          </cell>
          <cell r="L34">
            <v>714.346</v>
          </cell>
          <cell r="N34">
            <v>766.346</v>
          </cell>
          <cell r="P34">
            <v>818.346</v>
          </cell>
          <cell r="R34">
            <v>870.346</v>
          </cell>
          <cell r="T34">
            <v>922.346</v>
          </cell>
          <cell r="V34">
            <v>974.346</v>
          </cell>
          <cell r="Y34" t="str">
            <v>mstag:otherLiabilitiesNonOperating</v>
          </cell>
          <cell r="Z34">
            <v>6</v>
          </cell>
          <cell r="AA34" t="str">
            <v>ISO4217:USD</v>
          </cell>
          <cell r="AB34" t="b">
            <v>0</v>
          </cell>
          <cell r="AC34" t="b">
            <v>0</v>
          </cell>
        </row>
        <row r="35">
          <cell r="B35" t="str">
            <v>Total liabilities</v>
          </cell>
          <cell r="D35">
            <v>1042.221</v>
          </cell>
          <cell r="E35">
            <v>1227.07</v>
          </cell>
          <cell r="F35">
            <v>1419.1679999999999</v>
          </cell>
          <cell r="H35">
            <v>2215.826</v>
          </cell>
          <cell r="J35">
            <v>2621.2050000000004</v>
          </cell>
          <cell r="L35">
            <v>4677.2950000000001</v>
          </cell>
          <cell r="N35">
            <v>4945.3350891333339</v>
          </cell>
          <cell r="P35">
            <v>5296.1804854361835</v>
          </cell>
          <cell r="R35">
            <v>5552.0283311618186</v>
          </cell>
          <cell r="T35">
            <v>5736.0724923327471</v>
          </cell>
          <cell r="V35">
            <v>5358.6962634342235</v>
          </cell>
        </row>
        <row r="37">
          <cell r="B37" t="str">
            <v>Stockholders' equity:</v>
          </cell>
          <cell r="J37">
            <v>642.94200000000001</v>
          </cell>
        </row>
        <row r="38">
          <cell r="B38" t="str">
            <v xml:space="preserve">Common Stock </v>
          </cell>
          <cell r="D38">
            <v>10.51</v>
          </cell>
          <cell r="E38">
            <v>10.566000000000001</v>
          </cell>
          <cell r="F38">
            <v>10.256</v>
          </cell>
          <cell r="H38">
            <v>10.494999999999999</v>
          </cell>
          <cell r="J38">
            <v>20.943000000000001</v>
          </cell>
          <cell r="L38">
            <v>21.074000000000002</v>
          </cell>
          <cell r="N38">
            <v>21.074000000000002</v>
          </cell>
          <cell r="P38">
            <v>21.074000000000002</v>
          </cell>
          <cell r="R38">
            <v>21.074000000000002</v>
          </cell>
          <cell r="T38">
            <v>21.074000000000002</v>
          </cell>
          <cell r="V38">
            <v>21.074000000000002</v>
          </cell>
          <cell r="Y38" t="str">
            <v>mstag:commonStock</v>
          </cell>
          <cell r="Z38">
            <v>6</v>
          </cell>
          <cell r="AA38" t="str">
            <v>ISO4217:USD</v>
          </cell>
          <cell r="AB38" t="b">
            <v>0</v>
          </cell>
          <cell r="AC38" t="b">
            <v>0</v>
          </cell>
        </row>
        <row r="39">
          <cell r="B39" t="str">
            <v>APIC</v>
          </cell>
          <cell r="D39">
            <v>6651.4279999999999</v>
          </cell>
          <cell r="E39">
            <v>6794.8310000000001</v>
          </cell>
          <cell r="F39">
            <v>6650.3519999999999</v>
          </cell>
          <cell r="H39">
            <v>7370.26</v>
          </cell>
          <cell r="J39">
            <v>8002.7539999999999</v>
          </cell>
          <cell r="L39">
            <v>9262.6790000000001</v>
          </cell>
          <cell r="N39">
            <v>8807.5888275460075</v>
          </cell>
          <cell r="P39">
            <v>8542.5238553393174</v>
          </cell>
          <cell r="R39">
            <v>8402.1209406899634</v>
          </cell>
          <cell r="T39">
            <v>8385.5884743906445</v>
          </cell>
          <cell r="V39">
            <v>8403.9596403285959</v>
          </cell>
          <cell r="Y39" t="str">
            <v>mstag:additionalPaidInCapital</v>
          </cell>
          <cell r="Z39">
            <v>6</v>
          </cell>
          <cell r="AA39" t="str">
            <v>ISO4217:USD</v>
          </cell>
          <cell r="AB39" t="b">
            <v>0</v>
          </cell>
          <cell r="AC39" t="b">
            <v>0</v>
          </cell>
        </row>
        <row r="40">
          <cell r="B40" t="str">
            <v>(Accumulated Deficit) Retained Earnings</v>
          </cell>
          <cell r="D40">
            <v>-1319.3530000000001</v>
          </cell>
          <cell r="E40">
            <v>-1197.3</v>
          </cell>
          <cell r="F40">
            <v>-1590.366</v>
          </cell>
          <cell r="H40">
            <v>-1157.4680000000001</v>
          </cell>
          <cell r="J40">
            <v>-1532.4549999999999</v>
          </cell>
          <cell r="L40">
            <v>-2067.5909999999999</v>
          </cell>
          <cell r="N40">
            <v>-335.80297031999976</v>
          </cell>
          <cell r="P40">
            <v>2010.4025469620071</v>
          </cell>
          <cell r="R40">
            <v>5020.4795367618008</v>
          </cell>
          <cell r="T40">
            <v>8599.6830632549063</v>
          </cell>
          <cell r="V40">
            <v>12730.524391667106</v>
          </cell>
          <cell r="Y40" t="str">
            <v>mstag:retainedEarnings</v>
          </cell>
          <cell r="Z40">
            <v>6</v>
          </cell>
          <cell r="AA40" t="str">
            <v>ISO4217:USD</v>
          </cell>
          <cell r="AB40" t="b">
            <v>0</v>
          </cell>
          <cell r="AC40" t="b">
            <v>0</v>
          </cell>
        </row>
        <row r="41">
          <cell r="B41" t="str">
            <v>Accumulated Other Comprehensive Income</v>
          </cell>
          <cell r="D41">
            <v>331.61799999999999</v>
          </cell>
          <cell r="E41">
            <v>311.72199999999998</v>
          </cell>
          <cell r="F41">
            <v>268.642</v>
          </cell>
          <cell r="H41">
            <v>296.9026437</v>
          </cell>
          <cell r="J41">
            <v>290.94799999999998</v>
          </cell>
          <cell r="L41">
            <v>253.422</v>
          </cell>
          <cell r="N41">
            <v>253.422</v>
          </cell>
          <cell r="P41">
            <v>253.422</v>
          </cell>
          <cell r="R41">
            <v>253.422</v>
          </cell>
          <cell r="T41">
            <v>253.422</v>
          </cell>
          <cell r="V41">
            <v>253.422</v>
          </cell>
          <cell r="Y41" t="str">
            <v>mstag:accumulatedOtherComprehensiveIncomeLossAndReserves</v>
          </cell>
          <cell r="Z41">
            <v>6</v>
          </cell>
          <cell r="AA41" t="str">
            <v>ISO4217:USD</v>
          </cell>
          <cell r="AB41" t="b">
            <v>0</v>
          </cell>
          <cell r="AC41" t="b">
            <v>0</v>
          </cell>
        </row>
        <row r="42">
          <cell r="B42" t="str">
            <v>Total stockholders' equity</v>
          </cell>
          <cell r="D42">
            <v>5674.2030000000004</v>
          </cell>
          <cell r="E42">
            <v>5919.8189999999995</v>
          </cell>
          <cell r="F42">
            <v>5338.884</v>
          </cell>
          <cell r="H42">
            <v>6520.1896437000005</v>
          </cell>
          <cell r="J42">
            <v>6782.1900000000005</v>
          </cell>
          <cell r="L42">
            <v>7469.5839999999998</v>
          </cell>
          <cell r="N42">
            <v>8746.2818572260094</v>
          </cell>
          <cell r="P42">
            <v>10827.422402301325</v>
          </cell>
          <cell r="R42">
            <v>13697.096477451765</v>
          </cell>
          <cell r="T42">
            <v>17259.767537645552</v>
          </cell>
          <cell r="V42">
            <v>21408.980031995699</v>
          </cell>
        </row>
        <row r="44">
          <cell r="B44" t="str">
            <v>Total Liabilities and Equity</v>
          </cell>
          <cell r="D44">
            <v>6716.4240000000009</v>
          </cell>
          <cell r="E44">
            <v>7146.8889999999992</v>
          </cell>
          <cell r="F44">
            <v>6758.0519999999997</v>
          </cell>
          <cell r="H44">
            <v>8736.0156437000005</v>
          </cell>
          <cell r="J44">
            <v>9403.3950000000004</v>
          </cell>
          <cell r="L44">
            <v>12146.879000000001</v>
          </cell>
          <cell r="N44">
            <v>13691.616946359343</v>
          </cell>
          <cell r="P44">
            <v>16123.602887737508</v>
          </cell>
          <cell r="R44">
            <v>19249.124808613582</v>
          </cell>
          <cell r="T44">
            <v>22995.840029978299</v>
          </cell>
          <cell r="V44">
            <v>26767.676295429923</v>
          </cell>
        </row>
        <row r="45">
          <cell r="J45">
            <v>0</v>
          </cell>
          <cell r="L45">
            <v>0</v>
          </cell>
          <cell r="N45">
            <v>0</v>
          </cell>
          <cell r="P45">
            <v>0</v>
          </cell>
          <cell r="R45">
            <v>0</v>
          </cell>
          <cell r="T45">
            <v>0</v>
          </cell>
          <cell r="V45">
            <v>0</v>
          </cell>
        </row>
        <row r="46">
          <cell r="J46">
            <v>0</v>
          </cell>
          <cell r="L46">
            <v>0</v>
          </cell>
          <cell r="N46">
            <v>0</v>
          </cell>
          <cell r="P46">
            <v>0</v>
          </cell>
          <cell r="R46">
            <v>0</v>
          </cell>
          <cell r="T46">
            <v>0</v>
          </cell>
          <cell r="V46">
            <v>0</v>
          </cell>
        </row>
        <row r="48">
          <cell r="B48" t="str">
            <v>change in OCI</v>
          </cell>
          <cell r="E48">
            <v>-13.619999999999948</v>
          </cell>
          <cell r="F48">
            <v>-41.321999999999832</v>
          </cell>
          <cell r="H48">
            <v>28.549801041422199</v>
          </cell>
          <cell r="J48">
            <v>-6.5446836999998368</v>
          </cell>
          <cell r="L48">
            <v>-37.672239999998425</v>
          </cell>
          <cell r="N48">
            <v>0</v>
          </cell>
          <cell r="P48">
            <v>-5.6843418860808015E-13</v>
          </cell>
          <cell r="R48">
            <v>7.9580786405131221E-13</v>
          </cell>
          <cell r="T48">
            <v>-7.3896444519050419E-13</v>
          </cell>
          <cell r="V48">
            <v>-5.1159076974727213E-13</v>
          </cell>
        </row>
        <row r="49">
          <cell r="B49" t="str">
            <v>Related to Common Stock &amp; Apic</v>
          </cell>
          <cell r="H49">
            <v>129.84699999999998</v>
          </cell>
          <cell r="J49">
            <v>1159.2129600000001</v>
          </cell>
          <cell r="L49">
            <v>1813.9807600000015</v>
          </cell>
          <cell r="N49">
            <v>0</v>
          </cell>
          <cell r="P49">
            <v>-5.6843418860808015E-13</v>
          </cell>
          <cell r="R49">
            <v>7.9580786405131221E-13</v>
          </cell>
          <cell r="T49">
            <v>-7.3896444519050419E-13</v>
          </cell>
          <cell r="V49">
            <v>-5.1159076974727213E-13</v>
          </cell>
        </row>
        <row r="50">
          <cell r="B50" t="str">
            <v>Related to Retained Earnings</v>
          </cell>
          <cell r="H50">
            <v>-129.55784265857778</v>
          </cell>
          <cell r="J50">
            <v>-1159.8029999999999</v>
          </cell>
          <cell r="L50">
            <v>-1814.127</v>
          </cell>
          <cell r="N50">
            <v>0</v>
          </cell>
          <cell r="P50">
            <v>0</v>
          </cell>
          <cell r="R50">
            <v>0</v>
          </cell>
          <cell r="T50">
            <v>0</v>
          </cell>
          <cell r="V50">
            <v>0</v>
          </cell>
        </row>
        <row r="51">
          <cell r="B51" t="str">
            <v>Related to OCI</v>
          </cell>
          <cell r="H51">
            <v>28.260643700000003</v>
          </cell>
          <cell r="J51">
            <v>-5.9546437000000196</v>
          </cell>
          <cell r="L51">
            <v>-37.525999999999982</v>
          </cell>
          <cell r="N51">
            <v>0</v>
          </cell>
          <cell r="P51">
            <v>0</v>
          </cell>
          <cell r="R51">
            <v>0</v>
          </cell>
          <cell r="T51">
            <v>0</v>
          </cell>
          <cell r="V51">
            <v>0</v>
          </cell>
        </row>
        <row r="52">
          <cell r="E52" t="e">
            <v>#REF!</v>
          </cell>
        </row>
        <row r="53">
          <cell r="H53" t="str">
            <v>2003-FY</v>
          </cell>
          <cell r="J53" t="str">
            <v>2004-FY</v>
          </cell>
          <cell r="L53" t="str">
            <v>2005-FY</v>
          </cell>
          <cell r="N53" t="str">
            <v>2006-FY</v>
          </cell>
          <cell r="P53" t="str">
            <v>2007-FY</v>
          </cell>
          <cell r="R53" t="str">
            <v>2008-FY</v>
          </cell>
          <cell r="T53" t="str">
            <v>2009-FY</v>
          </cell>
          <cell r="V53" t="str">
            <v>2010-FY</v>
          </cell>
        </row>
        <row r="54">
          <cell r="B54" t="str">
            <v>CALCULATIONS</v>
          </cell>
          <cell r="D54">
            <v>5663.6930000000002</v>
          </cell>
          <cell r="E54">
            <v>5909.2529999999997</v>
          </cell>
          <cell r="F54">
            <v>5328.6279999999997</v>
          </cell>
        </row>
        <row r="55">
          <cell r="C55">
            <v>1999</v>
          </cell>
          <cell r="D55">
            <v>2000</v>
          </cell>
          <cell r="E55" t="str">
            <v>2001</v>
          </cell>
          <cell r="F55" t="str">
            <v>2002</v>
          </cell>
          <cell r="H55" t="str">
            <v>2003A</v>
          </cell>
          <cell r="J55" t="str">
            <v>2004A</v>
          </cell>
          <cell r="L55" t="str">
            <v>2005E</v>
          </cell>
          <cell r="N55" t="str">
            <v>2006E</v>
          </cell>
          <cell r="P55" t="str">
            <v>2007E</v>
          </cell>
          <cell r="R55" t="str">
            <v>2008E</v>
          </cell>
          <cell r="T55" t="str">
            <v>2009E</v>
          </cell>
          <cell r="V55" t="str">
            <v>2010E</v>
          </cell>
        </row>
        <row r="56">
          <cell r="B56" t="str">
            <v>Revenues</v>
          </cell>
          <cell r="D56">
            <v>1637.3710000009999</v>
          </cell>
          <cell r="E56">
            <v>2044.0319999999999</v>
          </cell>
          <cell r="F56">
            <v>2583.6215596696479</v>
          </cell>
          <cell r="H56">
            <v>3300.2629999999999</v>
          </cell>
          <cell r="J56">
            <v>4621.2</v>
          </cell>
          <cell r="L56">
            <v>6633.4230000000007</v>
          </cell>
          <cell r="N56">
            <v>9120.36</v>
          </cell>
          <cell r="P56">
            <v>11279.125121683228</v>
          </cell>
          <cell r="R56">
            <v>13104.186311101828</v>
          </cell>
          <cell r="T56">
            <v>14586.038977915103</v>
          </cell>
          <cell r="V56">
            <v>15778.109649377711</v>
          </cell>
        </row>
        <row r="57">
          <cell r="B57" t="str">
            <v>Operating expenses</v>
          </cell>
          <cell r="D57">
            <v>1258.9829999999999</v>
          </cell>
          <cell r="E57">
            <v>1574.2349999999999</v>
          </cell>
          <cell r="F57">
            <v>1962.1129999999998</v>
          </cell>
          <cell r="H57">
            <v>2454.7161573414223</v>
          </cell>
          <cell r="J57">
            <v>3301.8</v>
          </cell>
          <cell r="L57">
            <v>4531.0019999999995</v>
          </cell>
          <cell r="N57">
            <v>5868.7359800000004</v>
          </cell>
          <cell r="P57">
            <v>6871.3015576972857</v>
          </cell>
          <cell r="R57">
            <v>7646.4302261891735</v>
          </cell>
          <cell r="T57">
            <v>8252.2202578283486</v>
          </cell>
          <cell r="V57">
            <v>8674.5610992366965</v>
          </cell>
        </row>
        <row r="58">
          <cell r="B58" t="str">
            <v>COGS</v>
          </cell>
          <cell r="D58">
            <v>272.06799999999998</v>
          </cell>
          <cell r="E58">
            <v>354.44200000000001</v>
          </cell>
          <cell r="F58">
            <v>441.63</v>
          </cell>
          <cell r="H58">
            <v>480.15100000000001</v>
          </cell>
          <cell r="J58">
            <v>672.5</v>
          </cell>
          <cell r="L58">
            <v>1011.0629999999999</v>
          </cell>
          <cell r="N58">
            <v>1222.5376000000001</v>
          </cell>
          <cell r="P58">
            <v>1506.7599287814626</v>
          </cell>
          <cell r="R58">
            <v>1619.0699996815897</v>
          </cell>
          <cell r="T58">
            <v>1702.8029601920346</v>
          </cell>
          <cell r="V58">
            <v>1774.5598005138277</v>
          </cell>
        </row>
        <row r="59">
          <cell r="B59" t="str">
            <v>Interest and other income</v>
          </cell>
          <cell r="D59">
            <v>90.4</v>
          </cell>
          <cell r="E59">
            <v>135.005</v>
          </cell>
          <cell r="F59">
            <v>107.822</v>
          </cell>
          <cell r="H59">
            <v>92.807000000000002</v>
          </cell>
          <cell r="J59">
            <v>82.597000000000008</v>
          </cell>
          <cell r="L59">
            <v>140.9</v>
          </cell>
          <cell r="N59">
            <v>228</v>
          </cell>
          <cell r="P59">
            <v>158.27981570681379</v>
          </cell>
          <cell r="R59">
            <v>214.14721389467866</v>
          </cell>
          <cell r="T59">
            <v>298.9218808473185</v>
          </cell>
          <cell r="V59">
            <v>424.04459975088002</v>
          </cell>
        </row>
        <row r="61">
          <cell r="B61" t="str">
            <v>Depreciation and Amortization from</v>
          </cell>
        </row>
        <row r="62">
          <cell r="A62" t="str">
            <v xml:space="preserve">Existing PP&amp;E </v>
          </cell>
          <cell r="D62">
            <v>463.00400000000002</v>
          </cell>
          <cell r="E62">
            <v>428.09100000000001</v>
          </cell>
          <cell r="F62">
            <v>88.5</v>
          </cell>
          <cell r="H62">
            <v>88.5</v>
          </cell>
          <cell r="J62">
            <v>79.650000000000006</v>
          </cell>
          <cell r="L62">
            <v>71.685000000000002</v>
          </cell>
          <cell r="N62">
            <v>64.516500000000008</v>
          </cell>
          <cell r="P62">
            <v>58.064850000000007</v>
          </cell>
          <cell r="R62">
            <v>52.258365000000005</v>
          </cell>
          <cell r="T62">
            <v>47.032528500000005</v>
          </cell>
          <cell r="V62">
            <v>42.329275650000007</v>
          </cell>
        </row>
        <row r="63">
          <cell r="A63" t="str">
            <v>2002 capital expenditures</v>
          </cell>
          <cell r="F63">
            <v>16.1416</v>
          </cell>
          <cell r="H63">
            <v>16.1416</v>
          </cell>
          <cell r="J63">
            <v>16.1416</v>
          </cell>
          <cell r="L63">
            <v>16.1416</v>
          </cell>
          <cell r="N63">
            <v>16.1416</v>
          </cell>
          <cell r="P63">
            <v>16.1416</v>
          </cell>
          <cell r="R63">
            <v>16.1416</v>
          </cell>
          <cell r="T63">
            <v>16.1416</v>
          </cell>
          <cell r="V63">
            <v>16.1416</v>
          </cell>
          <cell r="X63">
            <v>20</v>
          </cell>
        </row>
        <row r="64">
          <cell r="A64" t="str">
            <v>2003 capital expenditures</v>
          </cell>
          <cell r="H64">
            <v>20.100000000000001</v>
          </cell>
          <cell r="J64">
            <v>20.100000000000001</v>
          </cell>
          <cell r="L64">
            <v>20.100000000000001</v>
          </cell>
          <cell r="N64">
            <v>20.100000000000001</v>
          </cell>
          <cell r="P64">
            <v>20.100000000000001</v>
          </cell>
          <cell r="R64">
            <v>20.100000000000001</v>
          </cell>
          <cell r="T64">
            <v>20.100000000000001</v>
          </cell>
          <cell r="V64">
            <v>20.100000000000001</v>
          </cell>
        </row>
        <row r="65">
          <cell r="A65" t="str">
            <v>2004 capital expenditures</v>
          </cell>
          <cell r="J65">
            <v>32.492899999999999</v>
          </cell>
          <cell r="L65">
            <v>32.492899999999999</v>
          </cell>
          <cell r="N65">
            <v>32.492899999999999</v>
          </cell>
          <cell r="P65">
            <v>32.492899999999999</v>
          </cell>
          <cell r="R65">
            <v>32.492899999999999</v>
          </cell>
          <cell r="T65">
            <v>32.492899999999999</v>
          </cell>
          <cell r="V65">
            <v>32.492899999999999</v>
          </cell>
        </row>
        <row r="66">
          <cell r="A66" t="str">
            <v>2005 capital expenditures</v>
          </cell>
          <cell r="L66">
            <v>69.991200000000006</v>
          </cell>
          <cell r="N66">
            <v>69.991200000000006</v>
          </cell>
          <cell r="P66">
            <v>69.991200000000006</v>
          </cell>
          <cell r="R66">
            <v>69.991200000000006</v>
          </cell>
          <cell r="T66">
            <v>69.991200000000006</v>
          </cell>
          <cell r="V66">
            <v>69.991200000000006</v>
          </cell>
        </row>
        <row r="67">
          <cell r="A67" t="str">
            <v>2006 capital expenditures</v>
          </cell>
          <cell r="N67">
            <v>74.102924999999999</v>
          </cell>
          <cell r="P67">
            <v>74.102924999999999</v>
          </cell>
          <cell r="R67">
            <v>74.102924999999999</v>
          </cell>
          <cell r="T67">
            <v>74.102924999999999</v>
          </cell>
          <cell r="V67">
            <v>74.102924999999999</v>
          </cell>
        </row>
        <row r="68">
          <cell r="A68" t="str">
            <v>2007 capital expenditures</v>
          </cell>
          <cell r="P68">
            <v>78.953875851782612</v>
          </cell>
          <cell r="R68">
            <v>78.953875851782612</v>
          </cell>
          <cell r="T68">
            <v>78.953875851782612</v>
          </cell>
          <cell r="V68">
            <v>78.953875851782612</v>
          </cell>
        </row>
        <row r="69">
          <cell r="A69" t="str">
            <v>2008 capital expenditures</v>
          </cell>
          <cell r="R69">
            <v>58.968838399958223</v>
          </cell>
          <cell r="T69">
            <v>58.968838399958223</v>
          </cell>
          <cell r="V69">
            <v>58.968838399958223</v>
          </cell>
        </row>
        <row r="70">
          <cell r="A70" t="str">
            <v>2009 capital expenditures</v>
          </cell>
          <cell r="T70">
            <v>43.758116933745306</v>
          </cell>
          <cell r="V70">
            <v>43.758116933745306</v>
          </cell>
        </row>
        <row r="71">
          <cell r="A71" t="str">
            <v>2010 capital expenditures</v>
          </cell>
          <cell r="V71">
            <v>41.417537829616492</v>
          </cell>
        </row>
        <row r="72">
          <cell r="A72" t="str">
            <v>Total depreciation</v>
          </cell>
          <cell r="F72">
            <v>104.55499999999998</v>
          </cell>
          <cell r="H72">
            <v>125</v>
          </cell>
          <cell r="J72">
            <v>171.221</v>
          </cell>
          <cell r="L72">
            <v>210.41070000000002</v>
          </cell>
          <cell r="N72">
            <v>277.34512500000005</v>
          </cell>
          <cell r="P72">
            <v>349.84735085178261</v>
          </cell>
          <cell r="R72">
            <v>403.00970425174086</v>
          </cell>
          <cell r="T72">
            <v>441.54198468548617</v>
          </cell>
          <cell r="V72">
            <v>478.25626966510265</v>
          </cell>
        </row>
        <row r="73">
          <cell r="A73" t="str">
            <v>Amortization of intangibles</v>
          </cell>
          <cell r="F73">
            <v>170.4</v>
          </cell>
          <cell r="H73">
            <v>170.4</v>
          </cell>
          <cell r="J73">
            <v>182</v>
          </cell>
          <cell r="L73">
            <v>159.75529999999998</v>
          </cell>
          <cell r="N73">
            <v>121.7</v>
          </cell>
          <cell r="P73">
            <v>120.5</v>
          </cell>
          <cell r="R73">
            <v>118.5</v>
          </cell>
          <cell r="T73">
            <v>0</v>
          </cell>
          <cell r="V73">
            <v>0</v>
          </cell>
        </row>
        <row r="74">
          <cell r="A74" t="str">
            <v>Total depreciation and amortization</v>
          </cell>
          <cell r="C74" t="e">
            <v>#REF!</v>
          </cell>
          <cell r="D74">
            <v>463.00400000000002</v>
          </cell>
          <cell r="E74">
            <v>428.09100000000001</v>
          </cell>
          <cell r="F74">
            <v>274.95499999999998</v>
          </cell>
          <cell r="H74">
            <v>295.39999999999998</v>
          </cell>
          <cell r="J74">
            <v>353.221</v>
          </cell>
          <cell r="L74">
            <v>370.166</v>
          </cell>
          <cell r="N74">
            <v>399.04512500000004</v>
          </cell>
          <cell r="P74">
            <v>470.34735085178261</v>
          </cell>
          <cell r="R74">
            <v>521.50970425174091</v>
          </cell>
          <cell r="T74">
            <v>441.54198468548617</v>
          </cell>
          <cell r="V74">
            <v>478.25626966510265</v>
          </cell>
        </row>
        <row r="75">
          <cell r="A75" t="str">
            <v xml:space="preserve">     Depreciation as % operating expenses</v>
          </cell>
          <cell r="F75">
            <v>5.3286941170054926E-2</v>
          </cell>
          <cell r="H75">
            <v>5.0922384498980573E-2</v>
          </cell>
          <cell r="J75">
            <v>5.1856865951905022E-2</v>
          </cell>
          <cell r="L75">
            <v>4.6438006427717324E-2</v>
          </cell>
          <cell r="N75">
            <v>4.7258068167517063E-2</v>
          </cell>
          <cell r="P75">
            <v>5.0914276998930558E-2</v>
          </cell>
          <cell r="R75">
            <v>5.27056014807308E-2</v>
          </cell>
          <cell r="T75">
            <v>5.3505840960391696E-2</v>
          </cell>
          <cell r="V75">
            <v>5.513319512006043E-2</v>
          </cell>
        </row>
        <row r="76">
          <cell r="A76" t="str">
            <v xml:space="preserve">    Amortization as % of operating expenses</v>
          </cell>
          <cell r="F76">
            <v>8.6845151120246392E-2</v>
          </cell>
          <cell r="H76">
            <v>6.9417394549010317E-2</v>
          </cell>
          <cell r="J76">
            <v>5.5121448906656975E-2</v>
          </cell>
          <cell r="L76">
            <v>3.5258271790654695E-2</v>
          </cell>
          <cell r="N76">
            <v>2.0737003745736744E-2</v>
          </cell>
          <cell r="P76">
            <v>1.7536706690599972E-2</v>
          </cell>
          <cell r="R76">
            <v>1.5497427753167115E-2</v>
          </cell>
          <cell r="T76">
            <v>0</v>
          </cell>
          <cell r="V76">
            <v>0</v>
          </cell>
        </row>
        <row r="78">
          <cell r="A78" t="str">
            <v>Working Capital</v>
          </cell>
        </row>
        <row r="79">
          <cell r="A79" t="str">
            <v>Receivables and other current assets</v>
          </cell>
          <cell r="D79">
            <v>333.73300000000006</v>
          </cell>
          <cell r="E79">
            <v>516.37</v>
          </cell>
          <cell r="F79">
            <v>418.48099999999999</v>
          </cell>
          <cell r="H79">
            <v>574.1</v>
          </cell>
          <cell r="J79">
            <v>957.37199999999996</v>
          </cell>
          <cell r="L79">
            <v>1083.4160000000002</v>
          </cell>
          <cell r="N79">
            <v>1520.0600000000002</v>
          </cell>
          <cell r="P79">
            <v>1879.8541869472047</v>
          </cell>
          <cell r="R79">
            <v>2184.0310518503047</v>
          </cell>
          <cell r="T79">
            <v>2244.0059966023236</v>
          </cell>
          <cell r="V79">
            <v>2103.7479532503617</v>
          </cell>
        </row>
        <row r="80">
          <cell r="A80" t="str">
            <v>% revenue</v>
          </cell>
          <cell r="D80">
            <v>0.20382246906766779</v>
          </cell>
          <cell r="E80">
            <v>0.25262324660279295</v>
          </cell>
          <cell r="F80">
            <v>0.16197457341759783</v>
          </cell>
          <cell r="H80">
            <v>0.17395583321692848</v>
          </cell>
          <cell r="J80">
            <v>0.20716956634640354</v>
          </cell>
          <cell r="L80">
            <v>0.16332683744124263</v>
          </cell>
          <cell r="N80">
            <v>0.16666666666666669</v>
          </cell>
          <cell r="P80">
            <v>0.16666666666666666</v>
          </cell>
          <cell r="R80">
            <v>0.16666666666666666</v>
          </cell>
          <cell r="T80">
            <v>0.15384615384615385</v>
          </cell>
          <cell r="V80">
            <v>0.13333333333333333</v>
          </cell>
        </row>
        <row r="81">
          <cell r="A81" t="str">
            <v>Days receivables outstanding (CHECK)</v>
          </cell>
          <cell r="D81">
            <v>74.39520120969874</v>
          </cell>
          <cell r="E81">
            <v>92.207485010019411</v>
          </cell>
          <cell r="F81">
            <v>59.120719297423214</v>
          </cell>
          <cell r="H81">
            <v>63.493879124178889</v>
          </cell>
          <cell r="J81">
            <v>75.61689171643728</v>
          </cell>
          <cell r="L81">
            <v>59.614295666053565</v>
          </cell>
          <cell r="N81">
            <v>60.833333333333336</v>
          </cell>
          <cell r="P81">
            <v>60.833333333333336</v>
          </cell>
          <cell r="R81">
            <v>60.833333333333336</v>
          </cell>
          <cell r="T81">
            <v>56.153846153846153</v>
          </cell>
          <cell r="V81">
            <v>48.666666666666671</v>
          </cell>
        </row>
        <row r="82">
          <cell r="A82" t="str">
            <v>Accounts receivable turnover</v>
          </cell>
          <cell r="D82">
            <v>4.906230429717767</v>
          </cell>
          <cell r="E82">
            <v>3.958463892170343</v>
          </cell>
          <cell r="F82">
            <v>6.1738085114250056</v>
          </cell>
          <cell r="H82">
            <v>5.748585612262672</v>
          </cell>
          <cell r="J82">
            <v>4.8269638134392903</v>
          </cell>
          <cell r="L82">
            <v>6.1226924837735455</v>
          </cell>
          <cell r="N82">
            <v>6</v>
          </cell>
          <cell r="P82">
            <v>6</v>
          </cell>
          <cell r="R82">
            <v>6</v>
          </cell>
          <cell r="T82">
            <v>6.5</v>
          </cell>
          <cell r="V82">
            <v>7.5</v>
          </cell>
        </row>
        <row r="83">
          <cell r="A83" t="str">
            <v>Prepaid Expenses and Other</v>
          </cell>
          <cell r="D83">
            <v>31.431999999999999</v>
          </cell>
          <cell r="E83">
            <v>38.896000000000001</v>
          </cell>
          <cell r="F83">
            <v>153.88999999999999</v>
          </cell>
          <cell r="H83">
            <v>79.44</v>
          </cell>
          <cell r="J83">
            <v>61.567</v>
          </cell>
          <cell r="L83">
            <v>101.126</v>
          </cell>
          <cell r="N83">
            <v>146.7183995</v>
          </cell>
          <cell r="P83">
            <v>206.13904673091855</v>
          </cell>
          <cell r="R83">
            <v>229.39290678567519</v>
          </cell>
          <cell r="T83">
            <v>247.56660773485044</v>
          </cell>
          <cell r="V83">
            <v>260.2368329771009</v>
          </cell>
        </row>
        <row r="84">
          <cell r="A84" t="str">
            <v>% operating expenses</v>
          </cell>
          <cell r="D84">
            <v>2.496618302232834E-2</v>
          </cell>
          <cell r="E84">
            <v>2.4707873983236303E-2</v>
          </cell>
          <cell r="F84">
            <v>7.8430752968865702E-2</v>
          </cell>
          <cell r="H84">
            <v>3.236219379679213E-2</v>
          </cell>
          <cell r="J84">
            <v>1.8646495850748075E-2</v>
          </cell>
          <cell r="L84">
            <v>2.2318683593606892E-2</v>
          </cell>
          <cell r="N84">
            <v>2.5000000000000001E-2</v>
          </cell>
          <cell r="P84">
            <v>0.03</v>
          </cell>
          <cell r="R84">
            <v>0.03</v>
          </cell>
          <cell r="T84">
            <v>0.03</v>
          </cell>
          <cell r="V84">
            <v>0.03</v>
          </cell>
        </row>
        <row r="85">
          <cell r="A85" t="str">
            <v>Inventories</v>
          </cell>
          <cell r="D85">
            <v>265.83</v>
          </cell>
          <cell r="E85">
            <v>356.94600000000003</v>
          </cell>
          <cell r="F85">
            <v>393.54199999999997</v>
          </cell>
          <cell r="H85">
            <v>469.64</v>
          </cell>
          <cell r="J85">
            <v>590.34299999999996</v>
          </cell>
          <cell r="L85">
            <v>702.51499999999999</v>
          </cell>
          <cell r="N85">
            <v>905.58340740740744</v>
          </cell>
          <cell r="P85">
            <v>1076.257091986759</v>
          </cell>
          <cell r="R85">
            <v>1156.4785712011355</v>
          </cell>
          <cell r="T85">
            <v>1216.2878287085962</v>
          </cell>
          <cell r="V85">
            <v>1267.542714652734</v>
          </cell>
        </row>
        <row r="86">
          <cell r="A86" t="str">
            <v>% revenue</v>
          </cell>
          <cell r="D86">
            <v>0.16235172114312374</v>
          </cell>
          <cell r="E86">
            <v>0.17462838155175656</v>
          </cell>
          <cell r="F86">
            <v>0.15232184393534778</v>
          </cell>
          <cell r="H86">
            <v>0.14230381033269165</v>
          </cell>
          <cell r="J86">
            <v>0.12774668917164372</v>
          </cell>
          <cell r="L86">
            <v>0.10590535233468451</v>
          </cell>
          <cell r="N86">
            <v>9.9292506809753933E-2</v>
          </cell>
          <cell r="P86">
            <v>9.5420263573257086E-2</v>
          </cell>
          <cell r="R86">
            <v>8.8252604453690514E-2</v>
          </cell>
          <cell r="T86">
            <v>8.3387123162785473E-2</v>
          </cell>
          <cell r="V86">
            <v>8.033552452227545E-2</v>
          </cell>
        </row>
        <row r="87">
          <cell r="A87" t="str">
            <v>Days inventory outstanding (CHECK)</v>
          </cell>
          <cell r="D87">
            <v>356.63124660011465</v>
          </cell>
          <cell r="E87">
            <v>367.57858831628306</v>
          </cell>
          <cell r="F87">
            <v>325.25605144578043</v>
          </cell>
          <cell r="H87">
            <v>357.00977400859313</v>
          </cell>
          <cell r="J87">
            <v>320.4092118959108</v>
          </cell>
          <cell r="L87">
            <v>253.61226253952526</v>
          </cell>
          <cell r="N87">
            <v>270.37037037037038</v>
          </cell>
          <cell r="P87">
            <v>260.71428571428567</v>
          </cell>
          <cell r="R87">
            <v>260.71428571428572</v>
          </cell>
          <cell r="T87">
            <v>260.71428571428572</v>
          </cell>
          <cell r="V87">
            <v>260.71428571428572</v>
          </cell>
        </row>
        <row r="88">
          <cell r="A88" t="str">
            <v>Inventory Turnover</v>
          </cell>
          <cell r="D88">
            <v>1.0234661249670842</v>
          </cell>
          <cell r="E88">
            <v>0.9929849332952323</v>
          </cell>
          <cell r="F88">
            <v>1.1221928028012258</v>
          </cell>
          <cell r="H88">
            <v>1.0223809726599098</v>
          </cell>
          <cell r="J88">
            <v>1.1391682462568371</v>
          </cell>
          <cell r="L88">
            <v>1.4392048568357969</v>
          </cell>
          <cell r="N88">
            <v>1.35</v>
          </cell>
          <cell r="P88">
            <v>1.4</v>
          </cell>
          <cell r="R88">
            <v>1.4</v>
          </cell>
          <cell r="T88">
            <v>1.4</v>
          </cell>
          <cell r="V88">
            <v>1.4</v>
          </cell>
        </row>
        <row r="89">
          <cell r="A89" t="str">
            <v>Accounts payable</v>
          </cell>
          <cell r="D89">
            <v>39.113999999999997</v>
          </cell>
          <cell r="E89">
            <v>33.347999999999999</v>
          </cell>
          <cell r="F89">
            <v>51.38</v>
          </cell>
          <cell r="H89">
            <v>59.7</v>
          </cell>
          <cell r="J89">
            <v>104.83199999999999</v>
          </cell>
          <cell r="L89">
            <v>338.97800000000001</v>
          </cell>
          <cell r="N89">
            <v>407.51253333333335</v>
          </cell>
          <cell r="P89">
            <v>456.59391781256443</v>
          </cell>
          <cell r="R89">
            <v>490.62727263078477</v>
          </cell>
          <cell r="T89">
            <v>516.00089702788932</v>
          </cell>
          <cell r="V89">
            <v>537.7453940950993</v>
          </cell>
        </row>
        <row r="90">
          <cell r="A90" t="str">
            <v>% operating expenses</v>
          </cell>
          <cell r="D90">
            <v>3.1067933403389879E-2</v>
          </cell>
          <cell r="E90">
            <v>2.1183622521415164E-2</v>
          </cell>
          <cell r="F90">
            <v>2.6186055543182277E-2</v>
          </cell>
          <cell r="H90">
            <v>2.4320530836713122E-2</v>
          </cell>
          <cell r="J90">
            <v>3.1749954570234412E-2</v>
          </cell>
          <cell r="L90">
            <v>7.4813032525697418E-2</v>
          </cell>
          <cell r="N90">
            <v>6.943787124213642E-2</v>
          </cell>
          <cell r="P90">
            <v>6.6449407580007072E-2</v>
          </cell>
          <cell r="R90">
            <v>6.4164225412059184E-2</v>
          </cell>
          <cell r="T90">
            <v>6.2528735407709535E-2</v>
          </cell>
          <cell r="V90">
            <v>6.1991078043408712E-2</v>
          </cell>
        </row>
        <row r="91">
          <cell r="A91" t="str">
            <v>Days payable outstanding (CHECK)</v>
          </cell>
          <cell r="D91">
            <v>52.47441816016584</v>
          </cell>
          <cell r="E91">
            <v>34.34135909401256</v>
          </cell>
          <cell r="F91">
            <v>42.46473292122365</v>
          </cell>
          <cell r="H91">
            <v>45.382598390922858</v>
          </cell>
          <cell r="J91">
            <v>56.897665427509295</v>
          </cell>
          <cell r="L91">
            <v>122.37315577763206</v>
          </cell>
          <cell r="N91">
            <v>121.66666666666667</v>
          </cell>
          <cell r="P91">
            <v>110.60606060606061</v>
          </cell>
          <cell r="R91">
            <v>110.60606060606061</v>
          </cell>
          <cell r="T91">
            <v>110.60606060606061</v>
          </cell>
          <cell r="V91">
            <v>110.60606060606061</v>
          </cell>
        </row>
        <row r="92">
          <cell r="A92" t="str">
            <v>Accounts payable turnover</v>
          </cell>
          <cell r="D92">
            <v>5.1847740201630499</v>
          </cell>
          <cell r="E92">
            <v>10.32114072799749</v>
          </cell>
          <cell r="F92">
            <v>10.399924116307714</v>
          </cell>
          <cell r="H92">
            <v>10.580068506964043</v>
          </cell>
          <cell r="J92">
            <v>11.819465613344038</v>
          </cell>
          <cell r="L92">
            <v>8.2621306411124422</v>
          </cell>
          <cell r="N92">
            <v>3</v>
          </cell>
          <cell r="P92">
            <v>3.3</v>
          </cell>
          <cell r="R92">
            <v>3.3</v>
          </cell>
          <cell r="S92">
            <v>3</v>
          </cell>
          <cell r="T92">
            <v>3.3</v>
          </cell>
          <cell r="V92">
            <v>3.3</v>
          </cell>
        </row>
        <row r="93">
          <cell r="A93" t="str">
            <v>Accrued Liabilites and Other</v>
          </cell>
          <cell r="D93">
            <v>398.745</v>
          </cell>
          <cell r="E93">
            <v>461.214</v>
          </cell>
          <cell r="F93">
            <v>575.23599999999999</v>
          </cell>
          <cell r="H93">
            <v>765.85</v>
          </cell>
          <cell r="J93">
            <v>1087.2090000000001</v>
          </cell>
          <cell r="L93">
            <v>1276.527</v>
          </cell>
          <cell r="N93">
            <v>1232.4345558</v>
          </cell>
          <cell r="P93">
            <v>1374.2603115394572</v>
          </cell>
          <cell r="R93">
            <v>1452.8217429759429</v>
          </cell>
          <cell r="T93">
            <v>1485.3996464091026</v>
          </cell>
          <cell r="V93">
            <v>1474.6753868702385</v>
          </cell>
        </row>
        <row r="94">
          <cell r="A94" t="str">
            <v>% operating expenses</v>
          </cell>
          <cell r="D94">
            <v>0.31671992393860759</v>
          </cell>
          <cell r="E94">
            <v>0.29297658862876258</v>
          </cell>
          <cell r="F94">
            <v>0.29317169806224208</v>
          </cell>
          <cell r="H94">
            <v>0.3119912653483542</v>
          </cell>
          <cell r="J94">
            <v>0.32927766672723968</v>
          </cell>
          <cell r="L94">
            <v>0.28173172291691778</v>
          </cell>
          <cell r="N94">
            <v>0.21</v>
          </cell>
          <cell r="P94">
            <v>0.2</v>
          </cell>
          <cell r="R94">
            <v>0.19</v>
          </cell>
          <cell r="T94">
            <v>0.18</v>
          </cell>
          <cell r="V94">
            <v>0.17</v>
          </cell>
        </row>
        <row r="95">
          <cell r="A95" t="str">
            <v>Deferred Revenues</v>
          </cell>
          <cell r="D95">
            <v>468.72500000000002</v>
          </cell>
          <cell r="E95">
            <v>87.575999999999993</v>
          </cell>
          <cell r="F95">
            <v>89.576999999999998</v>
          </cell>
          <cell r="H95">
            <v>328.68</v>
          </cell>
          <cell r="J95">
            <v>313.79399999999998</v>
          </cell>
          <cell r="L95">
            <v>264.41999999999996</v>
          </cell>
          <cell r="N95">
            <v>456.01800000000003</v>
          </cell>
          <cell r="P95">
            <v>563.9562560841614</v>
          </cell>
          <cell r="R95">
            <v>655.20931555509151</v>
          </cell>
          <cell r="T95">
            <v>729.30194889575523</v>
          </cell>
          <cell r="V95">
            <v>788.90548246888557</v>
          </cell>
        </row>
        <row r="96">
          <cell r="A96" t="str">
            <v>% operating expenses</v>
          </cell>
          <cell r="D96">
            <v>5.185011061946903</v>
          </cell>
          <cell r="E96">
            <v>4.2844730415179409E-2</v>
          </cell>
          <cell r="F96">
            <v>3.4671099435883972E-2</v>
          </cell>
          <cell r="H96">
            <v>9.959206281438783E-2</v>
          </cell>
          <cell r="J96">
            <v>6.7903142041028305E-2</v>
          </cell>
          <cell r="L96">
            <v>3.9861772722770722E-2</v>
          </cell>
          <cell r="N96">
            <v>0.05</v>
          </cell>
          <cell r="P96">
            <v>0.05</v>
          </cell>
          <cell r="R96">
            <v>0.05</v>
          </cell>
          <cell r="T96">
            <v>0.05</v>
          </cell>
          <cell r="V96">
            <v>0.05</v>
          </cell>
        </row>
        <row r="101">
          <cell r="A101" t="str">
            <v>Property and Equipment, Net</v>
          </cell>
        </row>
        <row r="102">
          <cell r="A102" t="str">
            <v>Beginning balance</v>
          </cell>
          <cell r="F102">
            <v>865.66800000000001</v>
          </cell>
          <cell r="H102">
            <v>1068.7339999999999</v>
          </cell>
          <cell r="J102">
            <v>1617.9</v>
          </cell>
          <cell r="L102">
            <v>2091.404</v>
          </cell>
          <cell r="N102">
            <v>3349.3519999999999</v>
          </cell>
          <cell r="P102">
            <v>4554.0653750000001</v>
          </cell>
          <cell r="R102">
            <v>5783.2955411838693</v>
          </cell>
          <cell r="T102">
            <v>6559.6626049312927</v>
          </cell>
          <cell r="V102">
            <v>6993.2829589207122</v>
          </cell>
        </row>
        <row r="103">
          <cell r="A103" t="str">
            <v>Capital expenditures</v>
          </cell>
          <cell r="D103">
            <v>112.681</v>
          </cell>
          <cell r="E103">
            <v>213.351</v>
          </cell>
          <cell r="F103">
            <v>322.83199999999999</v>
          </cell>
          <cell r="H103">
            <v>321.95</v>
          </cell>
          <cell r="J103">
            <v>649.85799999999995</v>
          </cell>
          <cell r="L103">
            <v>1399.8240000000001</v>
          </cell>
          <cell r="N103">
            <v>1482.0585000000001</v>
          </cell>
          <cell r="P103">
            <v>1579.0775170356521</v>
          </cell>
          <cell r="R103">
            <v>1179.3767679991645</v>
          </cell>
          <cell r="T103">
            <v>875.1623386749061</v>
          </cell>
          <cell r="V103">
            <v>828.35075659232984</v>
          </cell>
        </row>
        <row r="104">
          <cell r="A104" t="str">
            <v>% revenue</v>
          </cell>
          <cell r="D104">
            <v>6.8818245834286293E-2</v>
          </cell>
          <cell r="E104">
            <v>0.10437752442231825</v>
          </cell>
          <cell r="F104">
            <v>0.12495328458293194</v>
          </cell>
          <cell r="H104">
            <v>9.7552831395558467E-2</v>
          </cell>
          <cell r="J104">
            <v>0.14062537868951785</v>
          </cell>
          <cell r="L104">
            <v>0.22190900773092165</v>
          </cell>
          <cell r="N104">
            <v>0.16250000000000001</v>
          </cell>
          <cell r="P104">
            <v>0.14000000000000001</v>
          </cell>
          <cell r="R104">
            <v>0.09</v>
          </cell>
          <cell r="T104">
            <v>0.06</v>
          </cell>
          <cell r="V104">
            <v>5.2499999999999998E-2</v>
          </cell>
        </row>
        <row r="105">
          <cell r="A105" t="str">
            <v>Depreciation</v>
          </cell>
          <cell r="F105">
            <v>-104.55499999999998</v>
          </cell>
          <cell r="H105">
            <v>-125</v>
          </cell>
          <cell r="J105">
            <v>-171.221</v>
          </cell>
          <cell r="L105">
            <v>-210.41070000000002</v>
          </cell>
          <cell r="N105">
            <v>-277.34512500000005</v>
          </cell>
          <cell r="P105">
            <v>-349.84735085178261</v>
          </cell>
          <cell r="R105">
            <v>-403.00970425174086</v>
          </cell>
          <cell r="T105">
            <v>-441.54198468548617</v>
          </cell>
          <cell r="V105">
            <v>-478.25626966510265</v>
          </cell>
        </row>
        <row r="106">
          <cell r="A106" t="str">
            <v>Ending balance</v>
          </cell>
          <cell r="E106">
            <v>865.66800000000001</v>
          </cell>
          <cell r="F106">
            <v>1068.7339999999999</v>
          </cell>
          <cell r="H106">
            <v>1617.9</v>
          </cell>
          <cell r="J106">
            <v>2091.404</v>
          </cell>
          <cell r="L106">
            <v>3349.3519999999999</v>
          </cell>
          <cell r="N106">
            <v>4554.0653750000001</v>
          </cell>
          <cell r="P106">
            <v>5783.2955411838693</v>
          </cell>
          <cell r="R106">
            <v>6559.6626049312927</v>
          </cell>
          <cell r="T106">
            <v>6993.2829589207122</v>
          </cell>
          <cell r="V106">
            <v>7343.3774458479393</v>
          </cell>
        </row>
        <row r="108">
          <cell r="A108" t="str">
            <v>Fixed Asset Turnover (CHECK)</v>
          </cell>
          <cell r="E108">
            <v>2.361219312715729</v>
          </cell>
          <cell r="F108">
            <v>2.6712354098782445</v>
          </cell>
          <cell r="H108">
            <v>2.4568013357978793</v>
          </cell>
          <cell r="J108">
            <v>2.4916803799311138</v>
          </cell>
          <cell r="L108">
            <v>2.4384195872779451</v>
          </cell>
          <cell r="N108">
            <v>2.3079535262428172</v>
          </cell>
          <cell r="P108">
            <v>2.1822059253101944</v>
          </cell>
          <cell r="R108">
            <v>2.2658683475164985</v>
          </cell>
          <cell r="T108">
            <v>2.2235959158859635</v>
          </cell>
          <cell r="V108">
            <v>2.2561806439207457</v>
          </cell>
        </row>
        <row r="109">
          <cell r="A109" t="str">
            <v>Employee Stock Option Analysis</v>
          </cell>
        </row>
        <row r="110">
          <cell r="C110">
            <v>1999</v>
          </cell>
          <cell r="D110">
            <v>2000</v>
          </cell>
          <cell r="E110" t="str">
            <v>2001</v>
          </cell>
          <cell r="F110" t="str">
            <v>2002</v>
          </cell>
          <cell r="H110" t="str">
            <v>2003E</v>
          </cell>
          <cell r="J110" t="str">
            <v>2004A</v>
          </cell>
          <cell r="L110" t="str">
            <v>2005A</v>
          </cell>
          <cell r="N110" t="str">
            <v>2006E</v>
          </cell>
          <cell r="P110" t="str">
            <v>2007E</v>
          </cell>
          <cell r="R110" t="str">
            <v>2008E</v>
          </cell>
          <cell r="T110" t="str">
            <v>2009E</v>
          </cell>
          <cell r="V110" t="str">
            <v>2010E</v>
          </cell>
        </row>
        <row r="111">
          <cell r="A111" t="str">
            <v xml:space="preserve">Stock Price (average) </v>
          </cell>
          <cell r="E111">
            <v>81.5</v>
          </cell>
          <cell r="F111">
            <v>33.159999999999997</v>
          </cell>
          <cell r="H111">
            <v>38</v>
          </cell>
          <cell r="J111">
            <v>52.85</v>
          </cell>
          <cell r="L111">
            <v>76.13</v>
          </cell>
          <cell r="N111">
            <v>85</v>
          </cell>
          <cell r="P111">
            <v>92.31</v>
          </cell>
          <cell r="R111">
            <v>100.24866000000002</v>
          </cell>
          <cell r="T111">
            <v>108.87004476000003</v>
          </cell>
          <cell r="V111">
            <v>118.23286860936004</v>
          </cell>
          <cell r="X111">
            <v>8.5999999999999993E-2</v>
          </cell>
        </row>
        <row r="112">
          <cell r="A112" t="str">
            <v>Option Balance (Beginning Year)</v>
          </cell>
          <cell r="E112">
            <v>40.945</v>
          </cell>
          <cell r="F112">
            <v>93.28</v>
          </cell>
          <cell r="H112">
            <v>98.182999999999993</v>
          </cell>
          <cell r="J112">
            <v>96.126000000000005</v>
          </cell>
          <cell r="L112">
            <v>93.766000000000005</v>
          </cell>
          <cell r="N112">
            <v>82.804000000000002</v>
          </cell>
          <cell r="P112">
            <v>74.523600000000002</v>
          </cell>
          <cell r="R112">
            <v>70.052184000000011</v>
          </cell>
          <cell r="T112">
            <v>67.950618480000003</v>
          </cell>
          <cell r="V112">
            <v>67.950618480000003</v>
          </cell>
        </row>
        <row r="113">
          <cell r="A113" t="str">
            <v xml:space="preserve"> Average Options "in the money"</v>
          </cell>
          <cell r="H113">
            <v>38.799999999999997</v>
          </cell>
          <cell r="J113">
            <v>46.338999999999999</v>
          </cell>
          <cell r="L113">
            <v>37.451000000000001</v>
          </cell>
          <cell r="N113">
            <v>39.331900000000005</v>
          </cell>
          <cell r="P113">
            <v>36.143946</v>
          </cell>
          <cell r="R113">
            <v>34.500700620000003</v>
          </cell>
          <cell r="T113">
            <v>27.180247392000002</v>
          </cell>
          <cell r="V113">
            <v>13.590123696000001</v>
          </cell>
        </row>
        <row r="114">
          <cell r="A114" t="str">
            <v xml:space="preserve">   % "in the money"</v>
          </cell>
          <cell r="F114">
            <v>0</v>
          </cell>
          <cell r="H114">
            <v>0.39936389976789544</v>
          </cell>
          <cell r="J114">
            <v>0.48206520608368181</v>
          </cell>
          <cell r="L114">
            <v>0.39940916750207961</v>
          </cell>
          <cell r="N114">
            <v>0.5</v>
          </cell>
          <cell r="P114">
            <v>0.5</v>
          </cell>
          <cell r="R114">
            <v>0.5</v>
          </cell>
          <cell r="T114">
            <v>0.4</v>
          </cell>
          <cell r="V114">
            <v>0.4</v>
          </cell>
        </row>
        <row r="115">
          <cell r="A115" t="str">
            <v>Weighted Average Exercise Price</v>
          </cell>
          <cell r="H115">
            <v>21.418882283745745</v>
          </cell>
          <cell r="J115">
            <v>25</v>
          </cell>
          <cell r="L115">
            <v>35</v>
          </cell>
          <cell r="N115">
            <v>40.25</v>
          </cell>
          <cell r="P115">
            <v>46.287499999999994</v>
          </cell>
          <cell r="R115">
            <v>53.230624999999989</v>
          </cell>
          <cell r="T115">
            <v>61.215218749999984</v>
          </cell>
          <cell r="V115">
            <v>70.397501562499983</v>
          </cell>
          <cell r="X115">
            <v>0.15</v>
          </cell>
        </row>
        <row r="116">
          <cell r="A116" t="str">
            <v>Options Cancelled</v>
          </cell>
          <cell r="E116">
            <v>2.15</v>
          </cell>
          <cell r="F116">
            <v>4.4059999999999997</v>
          </cell>
          <cell r="H116">
            <v>4.4139999999999997</v>
          </cell>
          <cell r="J116">
            <v>1.843</v>
          </cell>
          <cell r="L116">
            <v>1.8140000000000001</v>
          </cell>
          <cell r="N116">
            <v>3.31216</v>
          </cell>
          <cell r="P116">
            <v>2.980944</v>
          </cell>
          <cell r="R116">
            <v>2.8020873600000007</v>
          </cell>
          <cell r="T116">
            <v>2.7180247392000001</v>
          </cell>
          <cell r="V116">
            <v>2.7180247392000001</v>
          </cell>
        </row>
        <row r="117">
          <cell r="A117" t="str">
            <v xml:space="preserve">   % Cancelled </v>
          </cell>
          <cell r="E117">
            <v>5.2509463915007937E-2</v>
          </cell>
          <cell r="F117">
            <v>4.7234133790737563E-2</v>
          </cell>
          <cell r="H117">
            <v>4.4956866259943169E-2</v>
          </cell>
          <cell r="J117">
            <v>0.04</v>
          </cell>
          <cell r="L117">
            <v>0.04</v>
          </cell>
          <cell r="N117">
            <v>0.04</v>
          </cell>
          <cell r="P117">
            <v>0.04</v>
          </cell>
          <cell r="R117">
            <v>0.04</v>
          </cell>
          <cell r="T117">
            <v>0.04</v>
          </cell>
          <cell r="V117">
            <v>0.04</v>
          </cell>
        </row>
        <row r="118">
          <cell r="A118" t="str">
            <v>Options Exercised</v>
          </cell>
          <cell r="E118">
            <v>2.899</v>
          </cell>
          <cell r="F118">
            <v>3.3460000000000001</v>
          </cell>
          <cell r="H118">
            <v>32.078000000000003</v>
          </cell>
          <cell r="J118">
            <v>21.484000000000002</v>
          </cell>
          <cell r="L118">
            <v>28.823</v>
          </cell>
          <cell r="N118">
            <v>23.185120000000001</v>
          </cell>
          <cell r="P118">
            <v>18.6309</v>
          </cell>
          <cell r="R118">
            <v>16.112002320000002</v>
          </cell>
          <cell r="T118">
            <v>13.590123696000001</v>
          </cell>
          <cell r="V118">
            <v>13.590123696000001</v>
          </cell>
        </row>
        <row r="119">
          <cell r="A119" t="str">
            <v xml:space="preserve">     % of Outstanding Options</v>
          </cell>
          <cell r="E119">
            <v>7.080229576260838E-2</v>
          </cell>
          <cell r="F119">
            <v>3.5870497427101203E-2</v>
          </cell>
          <cell r="H119">
            <v>0.32671643767250957</v>
          </cell>
          <cell r="J119">
            <v>0.35</v>
          </cell>
          <cell r="L119">
            <v>0.3</v>
          </cell>
          <cell r="N119">
            <v>0.28000000000000003</v>
          </cell>
          <cell r="P119">
            <v>0.25</v>
          </cell>
          <cell r="R119">
            <v>0.23</v>
          </cell>
          <cell r="T119">
            <v>0.2</v>
          </cell>
          <cell r="V119">
            <v>0.2</v>
          </cell>
        </row>
        <row r="120">
          <cell r="A120" t="str">
            <v>Weighted Average Exercise Price of exercised</v>
          </cell>
          <cell r="E120">
            <v>24.69</v>
          </cell>
          <cell r="F120">
            <v>11.715</v>
          </cell>
          <cell r="H120">
            <v>34.134999999999998</v>
          </cell>
          <cell r="J120">
            <v>20.81</v>
          </cell>
          <cell r="L120">
            <v>25.88</v>
          </cell>
          <cell r="N120">
            <v>31.055999999999997</v>
          </cell>
          <cell r="P120">
            <v>37.267199999999995</v>
          </cell>
          <cell r="R120">
            <v>44.720639999999996</v>
          </cell>
          <cell r="T120">
            <v>53.664767999999995</v>
          </cell>
          <cell r="V120">
            <v>64.397721599999997</v>
          </cell>
          <cell r="X120">
            <v>0.2</v>
          </cell>
        </row>
        <row r="121">
          <cell r="A121" t="str">
            <v xml:space="preserve">     Tax rate</v>
          </cell>
          <cell r="E121">
            <v>0.17543014456747877</v>
          </cell>
          <cell r="F121">
            <v>0.33702605798725771</v>
          </cell>
          <cell r="H121">
            <v>0.32364976429312847</v>
          </cell>
          <cell r="J121">
            <v>0.36207709431617907</v>
          </cell>
          <cell r="L121">
            <v>0.36750724212165659</v>
          </cell>
          <cell r="N121">
            <v>0.3729296918045219</v>
          </cell>
          <cell r="P121">
            <v>0.373</v>
          </cell>
          <cell r="R121">
            <v>0.373</v>
          </cell>
          <cell r="T121">
            <v>0.373</v>
          </cell>
          <cell r="V121">
            <v>0.373</v>
          </cell>
        </row>
        <row r="122">
          <cell r="A122" t="str">
            <v>Proceeds from option</v>
          </cell>
          <cell r="H122">
            <v>1094.98253</v>
          </cell>
          <cell r="J122">
            <v>447.08204000000001</v>
          </cell>
          <cell r="L122">
            <v>745.93923999999993</v>
          </cell>
          <cell r="N122">
            <v>720.03708671999993</v>
          </cell>
          <cell r="P122">
            <v>694.32147647999989</v>
          </cell>
          <cell r="R122">
            <v>720.53905543188478</v>
          </cell>
          <cell r="T122">
            <v>729.31083523714256</v>
          </cell>
          <cell r="V122">
            <v>875.173002284571</v>
          </cell>
        </row>
        <row r="123">
          <cell r="A123" t="str">
            <v>Tax Benefit from Options</v>
          </cell>
          <cell r="H123">
            <v>40.126573542215603</v>
          </cell>
          <cell r="J123">
            <v>329.47</v>
          </cell>
          <cell r="L123">
            <v>641.34799999999996</v>
          </cell>
          <cell r="N123">
            <v>466.42246192600749</v>
          </cell>
          <cell r="P123">
            <v>382.51034463996001</v>
          </cell>
          <cell r="R123">
            <v>333.71100997524758</v>
          </cell>
          <cell r="T123">
            <v>279.84195936043733</v>
          </cell>
          <cell r="V123">
            <v>272.89661252948122</v>
          </cell>
        </row>
        <row r="124">
          <cell r="A124" t="str">
            <v>Options Granted</v>
          </cell>
          <cell r="E124">
            <v>10.74</v>
          </cell>
          <cell r="F124">
            <v>12.654999999999999</v>
          </cell>
          <cell r="H124">
            <v>10.89</v>
          </cell>
          <cell r="J124">
            <v>20.966999999999999</v>
          </cell>
          <cell r="L124">
            <v>19.675000000000001</v>
          </cell>
          <cell r="N124">
            <v>18.21688</v>
          </cell>
          <cell r="P124">
            <v>17.140428</v>
          </cell>
          <cell r="R124">
            <v>16.812524160000002</v>
          </cell>
          <cell r="T124">
            <v>16.3081484352</v>
          </cell>
          <cell r="V124">
            <v>16.3081484352</v>
          </cell>
        </row>
        <row r="125">
          <cell r="A125" t="str">
            <v xml:space="preserve">     % of Outstanding Options</v>
          </cell>
          <cell r="E125">
            <v>0.26230308951031872</v>
          </cell>
          <cell r="F125">
            <v>0.13566680960548885</v>
          </cell>
          <cell r="H125">
            <v>0.11091533157471255</v>
          </cell>
          <cell r="J125">
            <v>0.21811996754260032</v>
          </cell>
          <cell r="L125">
            <v>0.20983085553398886</v>
          </cell>
          <cell r="N125">
            <v>0.22</v>
          </cell>
          <cell r="P125">
            <v>0.23</v>
          </cell>
          <cell r="R125">
            <v>0.24</v>
          </cell>
          <cell r="T125">
            <v>0.24</v>
          </cell>
          <cell r="V125">
            <v>0.24</v>
          </cell>
        </row>
        <row r="126">
          <cell r="A126" t="str">
            <v>Shares Issued</v>
          </cell>
          <cell r="D126">
            <v>0</v>
          </cell>
          <cell r="E126">
            <v>0.83799999999999997</v>
          </cell>
          <cell r="F126">
            <v>2.1320000000000001</v>
          </cell>
          <cell r="H126">
            <v>2.8</v>
          </cell>
          <cell r="J126">
            <v>2.5</v>
          </cell>
          <cell r="L126">
            <v>0.9812163404702483</v>
          </cell>
          <cell r="N126">
            <v>0</v>
          </cell>
          <cell r="P126">
            <v>0</v>
          </cell>
          <cell r="R126">
            <v>0</v>
          </cell>
          <cell r="T126">
            <v>0</v>
          </cell>
          <cell r="V126">
            <v>0</v>
          </cell>
        </row>
        <row r="127">
          <cell r="A127" t="str">
            <v>Proceeds from share issuance</v>
          </cell>
          <cell r="D127">
            <v>0</v>
          </cell>
          <cell r="E127">
            <v>0</v>
          </cell>
          <cell r="F127">
            <v>0</v>
          </cell>
          <cell r="H127">
            <v>0</v>
          </cell>
          <cell r="J127">
            <v>58.86</v>
          </cell>
          <cell r="L127">
            <v>74.7</v>
          </cell>
          <cell r="N127">
            <v>0</v>
          </cell>
          <cell r="P127">
            <v>0</v>
          </cell>
          <cell r="R127">
            <v>0</v>
          </cell>
          <cell r="T127">
            <v>0</v>
          </cell>
          <cell r="V127">
            <v>0</v>
          </cell>
        </row>
        <row r="128">
          <cell r="A128" t="str">
            <v>Shares Repurchased (mm)</v>
          </cell>
          <cell r="E128">
            <v>0.9</v>
          </cell>
          <cell r="F128">
            <v>36.4</v>
          </cell>
          <cell r="H128">
            <v>11</v>
          </cell>
          <cell r="J128">
            <v>25.6</v>
          </cell>
          <cell r="L128">
            <v>26.479863391567058</v>
          </cell>
          <cell r="N128">
            <v>23.185120000000001</v>
          </cell>
          <cell r="P128">
            <v>18.6309</v>
          </cell>
          <cell r="R128">
            <v>16.112002320000002</v>
          </cell>
          <cell r="T128">
            <v>13.590123696000001</v>
          </cell>
          <cell r="V128">
            <v>13.590123696000001</v>
          </cell>
        </row>
        <row r="129">
          <cell r="A129" t="str">
            <v>Share Repurchase Cost</v>
          </cell>
          <cell r="E129">
            <v>39.700000000000003</v>
          </cell>
          <cell r="F129">
            <v>692.8</v>
          </cell>
          <cell r="H129">
            <v>201.34</v>
          </cell>
          <cell r="J129">
            <v>1351.683</v>
          </cell>
          <cell r="L129">
            <v>2015.912</v>
          </cell>
          <cell r="N129">
            <v>1970.7352000000001</v>
          </cell>
          <cell r="P129">
            <v>1719.818379</v>
          </cell>
          <cell r="R129">
            <v>1615.2066424968916</v>
          </cell>
          <cell r="T129">
            <v>1479.5573750774572</v>
          </cell>
          <cell r="V129">
            <v>1606.7993093341186</v>
          </cell>
        </row>
        <row r="130">
          <cell r="B130" t="str">
            <v>Allocated to APIC</v>
          </cell>
          <cell r="F130">
            <v>235.5</v>
          </cell>
          <cell r="H130">
            <v>71.584000000000003</v>
          </cell>
          <cell r="J130">
            <v>191.042</v>
          </cell>
          <cell r="L130">
            <v>806.36480000000006</v>
          </cell>
          <cell r="N130">
            <v>788.29408000000012</v>
          </cell>
          <cell r="P130">
            <v>687.92735160000007</v>
          </cell>
          <cell r="R130">
            <v>646.08265699875665</v>
          </cell>
          <cell r="T130">
            <v>591.82295003098295</v>
          </cell>
          <cell r="V130">
            <v>642.71972373364747</v>
          </cell>
        </row>
        <row r="131">
          <cell r="B131" t="str">
            <v>Allocated to Retained Earnings</v>
          </cell>
          <cell r="F131">
            <v>457.29999999999995</v>
          </cell>
          <cell r="H131">
            <v>129.756</v>
          </cell>
          <cell r="J131">
            <v>1160.6410000000001</v>
          </cell>
          <cell r="L131">
            <v>1209.5472</v>
          </cell>
          <cell r="N131">
            <v>1182.44112</v>
          </cell>
          <cell r="P131">
            <v>1031.8910274</v>
          </cell>
          <cell r="R131">
            <v>969.12398549813497</v>
          </cell>
          <cell r="T131">
            <v>887.73442504647426</v>
          </cell>
          <cell r="V131">
            <v>964.07958560047109</v>
          </cell>
        </row>
        <row r="132">
          <cell r="A132" t="str">
            <v>Stock options expense</v>
          </cell>
          <cell r="N132">
            <v>329.18547890000002</v>
          </cell>
          <cell r="P132">
            <v>377.92158567335071</v>
          </cell>
          <cell r="R132">
            <v>420.55366244040454</v>
          </cell>
          <cell r="T132">
            <v>453.87211418055915</v>
          </cell>
          <cell r="V132">
            <v>477.1008604580183</v>
          </cell>
        </row>
        <row r="133">
          <cell r="A133" t="str">
            <v>Total Change in APIC</v>
          </cell>
          <cell r="D133">
            <v>0</v>
          </cell>
          <cell r="E133">
            <v>109</v>
          </cell>
          <cell r="F133">
            <v>-603.4</v>
          </cell>
          <cell r="H133">
            <v>590.29999999999995</v>
          </cell>
          <cell r="J133">
            <v>-516.27096000000006</v>
          </cell>
          <cell r="L133">
            <v>-553.92476000000011</v>
          </cell>
          <cell r="N133">
            <v>-455.09017245399264</v>
          </cell>
          <cell r="P133">
            <v>-265.0649722066895</v>
          </cell>
          <cell r="R133">
            <v>-140.40291464935478</v>
          </cell>
          <cell r="T133">
            <v>-16.532466299318173</v>
          </cell>
          <cell r="V133">
            <v>18.371165937951957</v>
          </cell>
          <cell r="Y133" t="str">
            <v>mstag:netIssuanceRepurchaseOfCommonStock</v>
          </cell>
          <cell r="Z133">
            <v>6</v>
          </cell>
          <cell r="AA133" t="str">
            <v>ISO4217:USD</v>
          </cell>
          <cell r="AB133" t="b">
            <v>0</v>
          </cell>
          <cell r="AC133" t="b">
            <v>0</v>
          </cell>
        </row>
        <row r="134">
          <cell r="A134" t="str">
            <v>Beginning Period Shares</v>
          </cell>
          <cell r="H134">
            <v>1025.155974</v>
          </cell>
          <cell r="J134">
            <v>1049.5</v>
          </cell>
          <cell r="L134">
            <v>1047.127</v>
          </cell>
          <cell r="N134">
            <v>1053.713</v>
          </cell>
          <cell r="P134">
            <v>1053.713</v>
          </cell>
          <cell r="R134">
            <v>1053.713</v>
          </cell>
          <cell r="T134">
            <v>1053.713</v>
          </cell>
          <cell r="V134">
            <v>1053.713</v>
          </cell>
        </row>
        <row r="135">
          <cell r="A135" t="str">
            <v>End of Period Shares</v>
          </cell>
          <cell r="D135">
            <v>0</v>
          </cell>
          <cell r="E135">
            <v>527.79422299999999</v>
          </cell>
          <cell r="F135">
            <v>1025.155974</v>
          </cell>
          <cell r="H135">
            <v>1047.3900000000001</v>
          </cell>
          <cell r="J135">
            <v>1047.127</v>
          </cell>
          <cell r="L135">
            <v>1053.713</v>
          </cell>
          <cell r="N135">
            <v>1053.713</v>
          </cell>
          <cell r="P135">
            <v>1053.713</v>
          </cell>
          <cell r="R135">
            <v>1053.713</v>
          </cell>
          <cell r="T135">
            <v>1053.713</v>
          </cell>
          <cell r="V135">
            <v>1053.713</v>
          </cell>
          <cell r="Y135" t="str">
            <v>mstag:periodEndBasicSharesOutstanding</v>
          </cell>
          <cell r="Z135">
            <v>6</v>
          </cell>
          <cell r="AA135" t="str">
            <v>ms_eqr_gcim_Decimal:ms_eqr_gcim_decimal</v>
          </cell>
          <cell r="AB135" t="b">
            <v>0</v>
          </cell>
          <cell r="AC135" t="b">
            <v>0</v>
          </cell>
        </row>
        <row r="136">
          <cell r="A136" t="str">
            <v xml:space="preserve">Average Shares Outstanding-basic </v>
          </cell>
          <cell r="D136">
            <v>0</v>
          </cell>
          <cell r="E136">
            <v>1054.038</v>
          </cell>
          <cell r="F136">
            <v>1038.5084999999999</v>
          </cell>
          <cell r="H136">
            <v>1034.4565</v>
          </cell>
          <cell r="J136">
            <v>1055.165</v>
          </cell>
          <cell r="L136">
            <v>1054.952</v>
          </cell>
          <cell r="N136">
            <v>1053.713</v>
          </cell>
          <cell r="P136">
            <v>1053.713</v>
          </cell>
          <cell r="R136">
            <v>1053.713</v>
          </cell>
          <cell r="T136">
            <v>1053.713</v>
          </cell>
          <cell r="V136">
            <v>1053.713</v>
          </cell>
        </row>
        <row r="137">
          <cell r="A137" t="str">
            <v>Average Shares Outstanding-diluted</v>
          </cell>
          <cell r="D137">
            <v>0</v>
          </cell>
          <cell r="E137">
            <v>1070.441</v>
          </cell>
          <cell r="F137">
            <v>1048.9160000000002</v>
          </cell>
          <cell r="H137">
            <v>1054.3219999999999</v>
          </cell>
          <cell r="J137">
            <v>1079.2090000000001</v>
          </cell>
          <cell r="L137">
            <v>1080.9490000000001</v>
          </cell>
          <cell r="N137">
            <v>1074.4200885294117</v>
          </cell>
          <cell r="P137">
            <v>1071.7330926745205</v>
          </cell>
          <cell r="R137">
            <v>1069.8943150347914</v>
          </cell>
          <cell r="T137">
            <v>1065.6103953141094</v>
          </cell>
          <cell r="V137">
            <v>1059.2113742072459</v>
          </cell>
        </row>
        <row r="139">
          <cell r="A139" t="str">
            <v>Option Expense (cash repurchase)</v>
          </cell>
          <cell r="H139">
            <v>-83.854896457784662</v>
          </cell>
          <cell r="J139">
            <v>-688.34736000000021</v>
          </cell>
          <cell r="L139">
            <v>-1448.3557499999999</v>
          </cell>
          <cell r="N139">
            <v>-1250.6981132800001</v>
          </cell>
          <cell r="P139">
            <v>-1025.4969025200003</v>
          </cell>
          <cell r="R139">
            <v>-894.66758706500684</v>
          </cell>
          <cell r="T139">
            <v>-750.24653984031465</v>
          </cell>
          <cell r="V139">
            <v>-731.62630704954756</v>
          </cell>
        </row>
      </sheetData>
      <sheetData sheetId="9" refreshError="1">
        <row r="1">
          <cell r="B1" t="str">
            <v>Genentech Cash Flow Statements</v>
          </cell>
          <cell r="X1" t="str">
            <v>ElementName</v>
          </cell>
          <cell r="Y1" t="str">
            <v>ScaleOverride</v>
          </cell>
          <cell r="Z1" t="str">
            <v>UnitOverride</v>
          </cell>
          <cell r="AA1" t="str">
            <v>ReverseSign</v>
          </cell>
          <cell r="AB1" t="str">
            <v>IsDrivingAssumption</v>
          </cell>
          <cell r="AC1" t="str">
            <v>SegmentID</v>
          </cell>
        </row>
        <row r="2">
          <cell r="B2" t="str">
            <v>(Dollars in thousands)</v>
          </cell>
        </row>
        <row r="3">
          <cell r="C3" t="str">
            <v>2000A</v>
          </cell>
          <cell r="D3" t="str">
            <v>2001A</v>
          </cell>
          <cell r="E3" t="str">
            <v>2002A</v>
          </cell>
          <cell r="G3" t="str">
            <v>2003A</v>
          </cell>
          <cell r="I3" t="str">
            <v>2004A</v>
          </cell>
          <cell r="K3" t="str">
            <v>2005A</v>
          </cell>
          <cell r="M3" t="str">
            <v>2006E</v>
          </cell>
          <cell r="O3" t="str">
            <v>2007E</v>
          </cell>
          <cell r="Q3" t="str">
            <v>2008E</v>
          </cell>
          <cell r="S3" t="str">
            <v>2009E</v>
          </cell>
          <cell r="U3" t="str">
            <v>2010E</v>
          </cell>
        </row>
        <row r="4">
          <cell r="B4" t="str">
            <v>CASH FLOWS FROM OPERATING ACTIVITIES</v>
          </cell>
        </row>
        <row r="5">
          <cell r="B5" t="str">
            <v>Net Income (Loss)</v>
          </cell>
          <cell r="C5">
            <v>-74.241</v>
          </cell>
          <cell r="D5">
            <v>150.23599999999999</v>
          </cell>
          <cell r="E5">
            <v>63.786999999999999</v>
          </cell>
          <cell r="G5">
            <v>562.45584265857758</v>
          </cell>
          <cell r="I5">
            <v>784.81600000000003</v>
          </cell>
          <cell r="K5">
            <v>1278.991</v>
          </cell>
          <cell r="M5">
            <v>1731.7880296800001</v>
          </cell>
          <cell r="O5">
            <v>2346.2055172820069</v>
          </cell>
          <cell r="Q5">
            <v>3010.0769897997934</v>
          </cell>
          <cell r="S5">
            <v>3579.2035264931046</v>
          </cell>
          <cell r="U5">
            <v>4130.8413284121989</v>
          </cell>
          <cell r="X5" t="str">
            <v>mstag:netIncomeReported</v>
          </cell>
          <cell r="Y5">
            <v>6</v>
          </cell>
          <cell r="Z5" t="str">
            <v>ISO4217:USD</v>
          </cell>
          <cell r="AA5" t="b">
            <v>0</v>
          </cell>
          <cell r="AB5" t="b">
            <v>0</v>
          </cell>
        </row>
        <row r="6">
          <cell r="B6" t="str">
            <v>Effect of Acconting Change</v>
          </cell>
          <cell r="C6">
            <v>0</v>
          </cell>
          <cell r="D6">
            <v>5.6</v>
          </cell>
          <cell r="E6">
            <v>0</v>
          </cell>
          <cell r="G6">
            <v>47.655000000000001</v>
          </cell>
          <cell r="I6">
            <v>0</v>
          </cell>
          <cell r="K6">
            <v>0</v>
          </cell>
          <cell r="M6">
            <v>0</v>
          </cell>
          <cell r="O6">
            <v>0</v>
          </cell>
          <cell r="Q6">
            <v>0</v>
          </cell>
          <cell r="S6">
            <v>0</v>
          </cell>
          <cell r="U6">
            <v>0</v>
          </cell>
          <cell r="X6" t="str">
            <v>mstag:otherCashFlow</v>
          </cell>
          <cell r="Y6">
            <v>6</v>
          </cell>
          <cell r="Z6" t="str">
            <v>ISO4217:USD</v>
          </cell>
          <cell r="AA6" t="b">
            <v>0</v>
          </cell>
          <cell r="AB6" t="b">
            <v>0</v>
          </cell>
        </row>
        <row r="7">
          <cell r="B7" t="str">
            <v>Depreciation &amp; Amort.</v>
          </cell>
          <cell r="C7">
            <v>463.00400000000002</v>
          </cell>
          <cell r="D7">
            <v>428.09100000000001</v>
          </cell>
          <cell r="E7">
            <v>274.95499999999998</v>
          </cell>
          <cell r="G7">
            <v>295.39999999999998</v>
          </cell>
          <cell r="I7">
            <v>353.221</v>
          </cell>
          <cell r="K7">
            <v>370.166</v>
          </cell>
          <cell r="M7">
            <v>399.04512500000004</v>
          </cell>
          <cell r="O7">
            <v>470.34735085178261</v>
          </cell>
          <cell r="Q7">
            <v>521.50970425174091</v>
          </cell>
          <cell r="S7">
            <v>441.54198468548617</v>
          </cell>
          <cell r="U7">
            <v>478.25626966510265</v>
          </cell>
        </row>
        <row r="8">
          <cell r="B8" t="str">
            <v xml:space="preserve">     Depreciation</v>
          </cell>
          <cell r="C8">
            <v>0</v>
          </cell>
          <cell r="D8">
            <v>428.09100000000001</v>
          </cell>
          <cell r="E8">
            <v>104.55499999999998</v>
          </cell>
          <cell r="G8">
            <v>125</v>
          </cell>
          <cell r="I8">
            <v>171.221</v>
          </cell>
          <cell r="K8">
            <v>210.41070000000002</v>
          </cell>
          <cell r="M8">
            <v>277.34512500000005</v>
          </cell>
          <cell r="O8">
            <v>349.84735085178261</v>
          </cell>
          <cell r="Q8">
            <v>403.00970425174086</v>
          </cell>
          <cell r="S8">
            <v>441.54198468548617</v>
          </cell>
          <cell r="U8">
            <v>478.25626966510265</v>
          </cell>
          <cell r="X8" t="str">
            <v>mstag:depreciation</v>
          </cell>
          <cell r="Y8">
            <v>6</v>
          </cell>
          <cell r="Z8" t="str">
            <v>ISO4217:USD</v>
          </cell>
          <cell r="AA8" t="b">
            <v>0</v>
          </cell>
          <cell r="AB8" t="b">
            <v>0</v>
          </cell>
        </row>
        <row r="9">
          <cell r="B9" t="str">
            <v xml:space="preserve">     Amortization</v>
          </cell>
          <cell r="C9">
            <v>0</v>
          </cell>
          <cell r="D9">
            <v>0</v>
          </cell>
          <cell r="E9">
            <v>170.4</v>
          </cell>
          <cell r="G9">
            <v>170.4</v>
          </cell>
          <cell r="I9">
            <v>182</v>
          </cell>
          <cell r="K9">
            <v>159.75529999999998</v>
          </cell>
          <cell r="M9">
            <v>121.7</v>
          </cell>
          <cell r="O9">
            <v>120.5</v>
          </cell>
          <cell r="Q9">
            <v>118.5</v>
          </cell>
          <cell r="S9">
            <v>0</v>
          </cell>
          <cell r="U9">
            <v>0</v>
          </cell>
          <cell r="X9" t="str">
            <v>mstag:amortizationOfIntangiblesAssumedToHaveIndefiniteLife</v>
          </cell>
          <cell r="Y9">
            <v>6</v>
          </cell>
          <cell r="Z9" t="str">
            <v>ISO4217:USD</v>
          </cell>
          <cell r="AA9" t="b">
            <v>0</v>
          </cell>
          <cell r="AB9" t="b">
            <v>0</v>
          </cell>
        </row>
        <row r="10">
          <cell r="B10" t="str">
            <v>Tax Benefits Related to Employee Stock Options</v>
          </cell>
          <cell r="C10">
            <v>0</v>
          </cell>
          <cell r="D10">
            <v>0</v>
          </cell>
          <cell r="E10">
            <v>0</v>
          </cell>
          <cell r="G10">
            <v>0</v>
          </cell>
          <cell r="I10">
            <v>329.47</v>
          </cell>
          <cell r="K10">
            <v>632.29999999999995</v>
          </cell>
          <cell r="M10">
            <v>0</v>
          </cell>
          <cell r="O10">
            <v>0</v>
          </cell>
          <cell r="Q10">
            <v>0</v>
          </cell>
          <cell r="S10">
            <v>0</v>
          </cell>
          <cell r="U10">
            <v>0</v>
          </cell>
          <cell r="X10" t="str">
            <v>mstag:taxBenefitFromExerciseOfEsosCashFlowStatement</v>
          </cell>
          <cell r="Y10">
            <v>6</v>
          </cell>
          <cell r="Z10" t="str">
            <v>ISO4217:USD</v>
          </cell>
          <cell r="AA10" t="b">
            <v>0</v>
          </cell>
          <cell r="AB10" t="b">
            <v>0</v>
          </cell>
        </row>
        <row r="11">
          <cell r="B11" t="str">
            <v>Stock Options Expense (add back)</v>
          </cell>
          <cell r="M11">
            <v>329.18547890000002</v>
          </cell>
          <cell r="O11">
            <v>377.92158567335071</v>
          </cell>
          <cell r="Q11">
            <v>420.55366244040454</v>
          </cell>
          <cell r="S11">
            <v>453.87211418055915</v>
          </cell>
          <cell r="U11">
            <v>477.1008604580183</v>
          </cell>
          <cell r="X11" t="str">
            <v>mstag:otherCashFlow</v>
          </cell>
          <cell r="Y11">
            <v>6</v>
          </cell>
          <cell r="Z11" t="str">
            <v>ISO4217:USD</v>
          </cell>
          <cell r="AA11" t="b">
            <v>0</v>
          </cell>
          <cell r="AB11" t="b">
            <v>0</v>
          </cell>
        </row>
        <row r="12">
          <cell r="B12" t="str">
            <v>Write-Off Of In-Process Research and Development</v>
          </cell>
          <cell r="C12">
            <v>0</v>
          </cell>
          <cell r="D12">
            <v>0</v>
          </cell>
          <cell r="E12">
            <v>0</v>
          </cell>
          <cell r="G12">
            <v>0</v>
          </cell>
          <cell r="I12">
            <v>0</v>
          </cell>
          <cell r="K12">
            <v>0</v>
          </cell>
          <cell r="M12">
            <v>0</v>
          </cell>
          <cell r="O12">
            <v>0</v>
          </cell>
          <cell r="Q12">
            <v>0</v>
          </cell>
          <cell r="S12">
            <v>0</v>
          </cell>
          <cell r="U12">
            <v>0</v>
          </cell>
          <cell r="X12" t="str">
            <v>mstag:acquiredInProcessRAndD</v>
          </cell>
          <cell r="Y12">
            <v>6</v>
          </cell>
          <cell r="Z12" t="str">
            <v>ISO4217:USD</v>
          </cell>
          <cell r="AA12" t="b">
            <v>0</v>
          </cell>
          <cell r="AB12" t="b">
            <v>0</v>
          </cell>
        </row>
        <row r="13">
          <cell r="B13" t="str">
            <v>Deferred Income Taxes</v>
          </cell>
          <cell r="C13">
            <v>-235.315</v>
          </cell>
          <cell r="D13">
            <v>29.356999999999999</v>
          </cell>
          <cell r="E13">
            <v>-196.64400000000001</v>
          </cell>
          <cell r="G13">
            <v>-149</v>
          </cell>
          <cell r="I13">
            <v>-73.584999999999994</v>
          </cell>
          <cell r="K13">
            <v>-109.69499999999999</v>
          </cell>
          <cell r="M13">
            <v>0</v>
          </cell>
          <cell r="O13">
            <v>0</v>
          </cell>
          <cell r="Q13">
            <v>0</v>
          </cell>
          <cell r="S13">
            <v>0</v>
          </cell>
          <cell r="U13">
            <v>0</v>
          </cell>
          <cell r="X13" t="str">
            <v>mstag:deferredTax</v>
          </cell>
          <cell r="Y13">
            <v>6</v>
          </cell>
          <cell r="Z13" t="str">
            <v>ISO4217:USD</v>
          </cell>
          <cell r="AA13" t="b">
            <v>0</v>
          </cell>
          <cell r="AB13" t="b">
            <v>0</v>
          </cell>
        </row>
        <row r="14">
          <cell r="B14" t="str">
            <v xml:space="preserve">        Gain on sales of securities available for-sale</v>
          </cell>
          <cell r="C14">
            <v>-132.30699999999999</v>
          </cell>
          <cell r="D14">
            <v>-39.4</v>
          </cell>
          <cell r="E14">
            <v>-53.71</v>
          </cell>
          <cell r="G14">
            <v>-23.1</v>
          </cell>
          <cell r="I14">
            <v>-13.577</v>
          </cell>
          <cell r="K14">
            <v>-11.606</v>
          </cell>
          <cell r="M14">
            <v>0</v>
          </cell>
          <cell r="O14">
            <v>0</v>
          </cell>
          <cell r="Q14">
            <v>0</v>
          </cell>
          <cell r="S14">
            <v>0</v>
          </cell>
          <cell r="U14">
            <v>0</v>
          </cell>
          <cell r="X14" t="str">
            <v>mstag:gainsLossesFromSaleOfOperatingAssetsOneTime</v>
          </cell>
          <cell r="Y14">
            <v>6</v>
          </cell>
          <cell r="Z14" t="str">
            <v>ISO4217:USD</v>
          </cell>
          <cell r="AA14" t="b">
            <v>1</v>
          </cell>
          <cell r="AB14" t="b">
            <v>0</v>
          </cell>
        </row>
        <row r="15">
          <cell r="B15" t="str">
            <v xml:space="preserve">        Loss on sales of securities available for-sale</v>
          </cell>
          <cell r="C15">
            <v>3.9569999999999999</v>
          </cell>
          <cell r="D15">
            <v>2.0110000000000001</v>
          </cell>
          <cell r="E15">
            <v>5.8680000000000003</v>
          </cell>
          <cell r="G15">
            <v>3.1</v>
          </cell>
          <cell r="I15">
            <v>1.839</v>
          </cell>
          <cell r="K15">
            <v>3.1640000000000001</v>
          </cell>
          <cell r="M15">
            <v>0</v>
          </cell>
          <cell r="O15">
            <v>0</v>
          </cell>
          <cell r="Q15">
            <v>0</v>
          </cell>
          <cell r="S15">
            <v>0</v>
          </cell>
          <cell r="U15">
            <v>0</v>
          </cell>
          <cell r="X15" t="str">
            <v>mstag:gainsLossesFromSaleOfOperatingAssetsOneTime</v>
          </cell>
          <cell r="Y15">
            <v>6</v>
          </cell>
          <cell r="Z15" t="str">
            <v>ISO4217:USD</v>
          </cell>
          <cell r="AA15" t="b">
            <v>1</v>
          </cell>
          <cell r="AB15" t="b">
            <v>0</v>
          </cell>
        </row>
        <row r="16">
          <cell r="B16" t="str">
            <v xml:space="preserve">        Write-down of securities available for-sale</v>
          </cell>
          <cell r="C16">
            <v>4.8</v>
          </cell>
          <cell r="D16">
            <v>27.504000000000001</v>
          </cell>
          <cell r="E16">
            <v>40.759</v>
          </cell>
          <cell r="G16">
            <v>3.8</v>
          </cell>
          <cell r="I16">
            <v>12.34</v>
          </cell>
          <cell r="K16">
            <v>10.044</v>
          </cell>
          <cell r="M16">
            <v>0</v>
          </cell>
          <cell r="O16">
            <v>0</v>
          </cell>
          <cell r="Q16">
            <v>0</v>
          </cell>
          <cell r="S16">
            <v>0</v>
          </cell>
          <cell r="U16">
            <v>0</v>
          </cell>
          <cell r="X16" t="str">
            <v>mstag:assetImpairmentNonGoodwillOneTime</v>
          </cell>
          <cell r="Y16">
            <v>6</v>
          </cell>
          <cell r="Z16" t="str">
            <v>ISO4217:USD</v>
          </cell>
          <cell r="AA16" t="b">
            <v>0</v>
          </cell>
          <cell r="AB16" t="b">
            <v>0</v>
          </cell>
        </row>
        <row r="17">
          <cell r="B17" t="str">
            <v xml:space="preserve">        Write-down of nonmarketable securities</v>
          </cell>
          <cell r="C17">
            <v>0</v>
          </cell>
          <cell r="D17">
            <v>0</v>
          </cell>
          <cell r="E17">
            <v>0</v>
          </cell>
          <cell r="G17">
            <v>0</v>
          </cell>
          <cell r="I17">
            <v>0</v>
          </cell>
          <cell r="K17">
            <v>0</v>
          </cell>
          <cell r="M17">
            <v>0</v>
          </cell>
          <cell r="O17">
            <v>0</v>
          </cell>
          <cell r="Q17">
            <v>0</v>
          </cell>
          <cell r="S17">
            <v>0</v>
          </cell>
          <cell r="U17">
            <v>0</v>
          </cell>
          <cell r="X17" t="str">
            <v>mstag:assetImpairmentNonGoodwillOneTime</v>
          </cell>
          <cell r="Y17">
            <v>6</v>
          </cell>
          <cell r="Z17" t="str">
            <v>ISO4217:USD</v>
          </cell>
          <cell r="AA17" t="b">
            <v>0</v>
          </cell>
          <cell r="AB17" t="b">
            <v>0</v>
          </cell>
        </row>
        <row r="18">
          <cell r="B18" t="str">
            <v xml:space="preserve">        Loss (gain) on fixed asset dispositions</v>
          </cell>
          <cell r="C18">
            <v>1.123</v>
          </cell>
          <cell r="D18">
            <v>4.2110000000000003</v>
          </cell>
          <cell r="E18">
            <v>15.882999999999999</v>
          </cell>
          <cell r="G18">
            <v>10.76</v>
          </cell>
          <cell r="I18">
            <v>5.1150000000000002</v>
          </cell>
          <cell r="K18">
            <v>9.65</v>
          </cell>
          <cell r="M18">
            <v>0</v>
          </cell>
          <cell r="O18">
            <v>0</v>
          </cell>
          <cell r="Q18">
            <v>0</v>
          </cell>
          <cell r="S18">
            <v>0</v>
          </cell>
          <cell r="U18">
            <v>0</v>
          </cell>
          <cell r="X18" t="str">
            <v>mstag:gainsLossesFromSaleOfOperatingAssetsRecurring</v>
          </cell>
          <cell r="Y18">
            <v>6</v>
          </cell>
          <cell r="Z18" t="str">
            <v>ISO4217:USD</v>
          </cell>
          <cell r="AA18" t="b">
            <v>1</v>
          </cell>
          <cell r="AB18" t="b">
            <v>0</v>
          </cell>
        </row>
        <row r="19">
          <cell r="B19" t="str">
            <v>Changes in operating assets and liabilities</v>
          </cell>
        </row>
        <row r="20">
          <cell r="B20" t="str">
            <v xml:space="preserve">           Litigation related liability</v>
          </cell>
          <cell r="C20">
            <v>0</v>
          </cell>
          <cell r="D20">
            <v>0</v>
          </cell>
          <cell r="E20">
            <v>552.18499999999995</v>
          </cell>
          <cell r="G20">
            <v>56.1</v>
          </cell>
          <cell r="I20">
            <v>34.722000000000001</v>
          </cell>
          <cell r="K20">
            <v>51.423999999999999</v>
          </cell>
          <cell r="M20">
            <v>52</v>
          </cell>
          <cell r="O20">
            <v>52</v>
          </cell>
          <cell r="Q20">
            <v>52</v>
          </cell>
          <cell r="S20">
            <v>52</v>
          </cell>
          <cell r="U20">
            <v>52</v>
          </cell>
          <cell r="X20" t="str">
            <v>mstag:netIncreaseInOtherLiabilitiesNonOperating</v>
          </cell>
          <cell r="Y20">
            <v>6</v>
          </cell>
          <cell r="Z20" t="str">
            <v>ISO4217:USD</v>
          </cell>
          <cell r="AA20" t="b">
            <v>0</v>
          </cell>
          <cell r="AB20" t="b">
            <v>0</v>
          </cell>
        </row>
        <row r="21">
          <cell r="B21" t="str">
            <v xml:space="preserve">            Receivables and other current assets</v>
          </cell>
          <cell r="C21">
            <v>-65.33</v>
          </cell>
          <cell r="D21">
            <v>-59.5</v>
          </cell>
          <cell r="E21">
            <v>-107.483</v>
          </cell>
          <cell r="G21">
            <v>-146.1</v>
          </cell>
          <cell r="I21">
            <v>-363.80500000000001</v>
          </cell>
          <cell r="K21">
            <v>-129.11799999999999</v>
          </cell>
          <cell r="M21">
            <v>-482.23639950000012</v>
          </cell>
          <cell r="O21">
            <v>-419.21483417812306</v>
          </cell>
          <cell r="Q21">
            <v>-327.43072495785668</v>
          </cell>
          <cell r="S21">
            <v>-78.148645701194113</v>
          </cell>
          <cell r="U21">
            <v>127.58781810971152</v>
          </cell>
          <cell r="X21" t="str">
            <v>mstag:netDecreaseInTradeReceivables</v>
          </cell>
          <cell r="Y21">
            <v>6</v>
          </cell>
          <cell r="Z21" t="str">
            <v>ISO4217:USD</v>
          </cell>
          <cell r="AA21" t="b">
            <v>0</v>
          </cell>
          <cell r="AB21" t="b">
            <v>0</v>
          </cell>
        </row>
        <row r="22">
          <cell r="B22" t="str">
            <v xml:space="preserve">            Inventories, including write-up effects</v>
          </cell>
          <cell r="C22">
            <v>9.4149999999999991</v>
          </cell>
          <cell r="D22">
            <v>-91.116</v>
          </cell>
          <cell r="E22">
            <v>-36.595999999999997</v>
          </cell>
          <cell r="G22">
            <v>-93.26</v>
          </cell>
          <cell r="I22">
            <v>-120.703</v>
          </cell>
          <cell r="K22">
            <v>-112.172</v>
          </cell>
          <cell r="M22">
            <v>-203.06840740740745</v>
          </cell>
          <cell r="O22">
            <v>-170.67368457935152</v>
          </cell>
          <cell r="Q22">
            <v>-80.221479214376586</v>
          </cell>
          <cell r="S22">
            <v>-59.809257507460643</v>
          </cell>
          <cell r="U22">
            <v>-51.254885944137868</v>
          </cell>
          <cell r="X22" t="str">
            <v>mstag:netDecreaseInInventories</v>
          </cell>
          <cell r="Y22">
            <v>6</v>
          </cell>
          <cell r="Z22" t="str">
            <v>ISO4217:USD</v>
          </cell>
          <cell r="AA22" t="b">
            <v>0</v>
          </cell>
          <cell r="AB22" t="b">
            <v>0</v>
          </cell>
        </row>
        <row r="23">
          <cell r="B23" t="str">
            <v xml:space="preserve">            Deferred Revenue</v>
          </cell>
          <cell r="C23">
            <v>0</v>
          </cell>
          <cell r="D23">
            <v>-15.497</v>
          </cell>
          <cell r="E23">
            <v>2</v>
          </cell>
          <cell r="G23">
            <v>239.14500000000001</v>
          </cell>
          <cell r="I23">
            <v>-14.927</v>
          </cell>
          <cell r="K23">
            <v>-49.375</v>
          </cell>
          <cell r="M23">
            <v>191.59800000000001</v>
          </cell>
          <cell r="O23">
            <v>107.93825608416142</v>
          </cell>
          <cell r="Q23">
            <v>91.253059470930111</v>
          </cell>
          <cell r="S23">
            <v>74.092633340663724</v>
          </cell>
          <cell r="U23">
            <v>59.603533573130335</v>
          </cell>
          <cell r="X23" t="str">
            <v>mstag:netIncreaseInDeferredRevenue</v>
          </cell>
          <cell r="Y23">
            <v>6</v>
          </cell>
          <cell r="Z23" t="str">
            <v>ISO4217:USD</v>
          </cell>
          <cell r="AA23" t="b">
            <v>0</v>
          </cell>
          <cell r="AB23" t="b">
            <v>0</v>
          </cell>
        </row>
        <row r="24">
          <cell r="B24" t="str">
            <v xml:space="preserve">            Accounts payable, and other liabilities </v>
          </cell>
          <cell r="C24">
            <v>239.38800000000001</v>
          </cell>
          <cell r="D24">
            <v>124.77</v>
          </cell>
          <cell r="E24">
            <v>148.68199999999999</v>
          </cell>
          <cell r="G24">
            <v>463.6</v>
          </cell>
          <cell r="I24">
            <v>335.54199999999997</v>
          </cell>
          <cell r="K24">
            <v>437.54899999999998</v>
          </cell>
          <cell r="M24">
            <v>24.442089133333141</v>
          </cell>
          <cell r="O24">
            <v>190.90714021868848</v>
          </cell>
          <cell r="Q24">
            <v>112.59478625470587</v>
          </cell>
          <cell r="S24">
            <v>57.95152783026424</v>
          </cell>
          <cell r="U24">
            <v>11.020237528346001</v>
          </cell>
          <cell r="X24" t="str">
            <v>mstag:netIncreaseInTradeAndOtherPayables</v>
          </cell>
          <cell r="Y24">
            <v>6</v>
          </cell>
          <cell r="Z24" t="str">
            <v>ISO4217:USD</v>
          </cell>
          <cell r="AA24" t="b">
            <v>0</v>
          </cell>
          <cell r="AB24" t="b">
            <v>0</v>
          </cell>
        </row>
        <row r="25">
          <cell r="B25" t="str">
            <v>Net cash provided by (used in) operating activities</v>
          </cell>
          <cell r="C25">
            <v>214.49400000000006</v>
          </cell>
          <cell r="D25">
            <v>566.26700000000005</v>
          </cell>
          <cell r="E25">
            <v>709.68599999999981</v>
          </cell>
          <cell r="G25">
            <v>1270.5558426585776</v>
          </cell>
          <cell r="I25">
            <v>1270.4680000000001</v>
          </cell>
          <cell r="K25">
            <v>2381.3220000000001</v>
          </cell>
          <cell r="M25">
            <v>2042.7539158059255</v>
          </cell>
          <cell r="O25">
            <v>2955.4313313525158</v>
          </cell>
          <cell r="Q25">
            <v>3800.3359980453415</v>
          </cell>
          <cell r="S25">
            <v>4520.7038833214228</v>
          </cell>
          <cell r="U25">
            <v>5285.1551618023705</v>
          </cell>
        </row>
        <row r="26">
          <cell r="B26" t="str">
            <v>CASH FLOWS FROM INVESTING ACTIVITIES</v>
          </cell>
        </row>
        <row r="27">
          <cell r="B27" t="str">
            <v xml:space="preserve">       Investment in marketable securities, net of sales</v>
          </cell>
          <cell r="C27">
            <v>-12.960000000000036</v>
          </cell>
          <cell r="D27">
            <v>-566.21399999999994</v>
          </cell>
          <cell r="E27">
            <v>811.46400000000017</v>
          </cell>
          <cell r="G27">
            <v>-1054.1300000000001</v>
          </cell>
          <cell r="I27">
            <v>177.0250000000002</v>
          </cell>
          <cell r="K27">
            <v>-297.928</v>
          </cell>
          <cell r="M27">
            <v>0</v>
          </cell>
          <cell r="O27">
            <v>-500</v>
          </cell>
          <cell r="Q27">
            <v>-1000</v>
          </cell>
          <cell r="S27">
            <v>-2000</v>
          </cell>
          <cell r="U27">
            <v>-2000</v>
          </cell>
          <cell r="X27" t="str">
            <v>mstag:netDecreaseInOtherAssets</v>
          </cell>
          <cell r="Y27">
            <v>6</v>
          </cell>
          <cell r="Z27" t="str">
            <v>ISO4217:USD</v>
          </cell>
          <cell r="AA27" t="b">
            <v>0</v>
          </cell>
          <cell r="AB27" t="b">
            <v>0</v>
          </cell>
        </row>
        <row r="28">
          <cell r="B28" t="str">
            <v xml:space="preserve">        Capital expenditures</v>
          </cell>
          <cell r="C28">
            <v>-112.681</v>
          </cell>
          <cell r="D28">
            <v>-213.351</v>
          </cell>
          <cell r="E28">
            <v>-322.83199999999999</v>
          </cell>
          <cell r="G28">
            <v>-321.95</v>
          </cell>
          <cell r="I28">
            <v>-649.85799999999995</v>
          </cell>
          <cell r="K28">
            <v>-1399.8240000000001</v>
          </cell>
          <cell r="M28">
            <v>-1482.0585000000001</v>
          </cell>
          <cell r="O28">
            <v>-1579.0775170356521</v>
          </cell>
          <cell r="Q28">
            <v>-1179.3767679991645</v>
          </cell>
          <cell r="S28">
            <v>-875.1623386749061</v>
          </cell>
          <cell r="U28">
            <v>-828.35075659232984</v>
          </cell>
          <cell r="X28" t="str">
            <v>mstag:capitalExpenditures</v>
          </cell>
          <cell r="Y28">
            <v>6</v>
          </cell>
          <cell r="Z28" t="str">
            <v>ISO4217:USD</v>
          </cell>
          <cell r="AA28" t="b">
            <v>1</v>
          </cell>
          <cell r="AB28" t="b">
            <v>0</v>
          </cell>
        </row>
        <row r="29">
          <cell r="B29" t="str">
            <v xml:space="preserve">        Change in other assets</v>
          </cell>
          <cell r="C29">
            <v>-55.603999999999999</v>
          </cell>
          <cell r="D29">
            <v>-10.105</v>
          </cell>
          <cell r="E29">
            <v>12.875</v>
          </cell>
          <cell r="G29">
            <v>-56.1</v>
          </cell>
          <cell r="I29">
            <v>-57.954999999999998</v>
          </cell>
          <cell r="K29">
            <v>-42.716000000000001</v>
          </cell>
          <cell r="M29">
            <v>0</v>
          </cell>
          <cell r="O29">
            <v>0</v>
          </cell>
          <cell r="Q29">
            <v>0</v>
          </cell>
          <cell r="S29">
            <v>0</v>
          </cell>
          <cell r="U29">
            <v>0</v>
          </cell>
          <cell r="X29" t="str">
            <v>mstag:netDecreaseInOtherAssets</v>
          </cell>
          <cell r="Y29">
            <v>6</v>
          </cell>
          <cell r="Z29" t="str">
            <v>ISO4217:USD</v>
          </cell>
          <cell r="AA29" t="b">
            <v>0</v>
          </cell>
          <cell r="AB29" t="b">
            <v>0</v>
          </cell>
        </row>
        <row r="30">
          <cell r="B30" t="str">
            <v xml:space="preserve">        Transfer of restricted cash included in other long-term assets</v>
          </cell>
          <cell r="C30">
            <v>0</v>
          </cell>
          <cell r="D30">
            <v>0</v>
          </cell>
          <cell r="E30">
            <v>-630</v>
          </cell>
          <cell r="G30">
            <v>0</v>
          </cell>
          <cell r="I30">
            <v>4.5999999999999996</v>
          </cell>
          <cell r="K30">
            <v>-53</v>
          </cell>
          <cell r="M30">
            <v>0</v>
          </cell>
          <cell r="O30">
            <v>0</v>
          </cell>
          <cell r="Q30">
            <v>0</v>
          </cell>
          <cell r="S30">
            <v>0</v>
          </cell>
          <cell r="U30">
            <v>0</v>
          </cell>
          <cell r="X30" t="str">
            <v>mstag:netDecreaseInOtherAssets</v>
          </cell>
          <cell r="Y30">
            <v>6</v>
          </cell>
          <cell r="Z30" t="str">
            <v>ISO4217:USD</v>
          </cell>
          <cell r="AA30" t="b">
            <v>0</v>
          </cell>
          <cell r="AB30" t="b">
            <v>0</v>
          </cell>
        </row>
        <row r="31">
          <cell r="B31" t="str">
            <v>Net cash used in investing activities</v>
          </cell>
          <cell r="C31">
            <v>-181.24500000000003</v>
          </cell>
          <cell r="D31">
            <v>-789.67</v>
          </cell>
          <cell r="E31">
            <v>-128.49299999999982</v>
          </cell>
          <cell r="G31">
            <v>-1432.18</v>
          </cell>
          <cell r="I31">
            <v>-526.18799999999976</v>
          </cell>
          <cell r="K31">
            <v>-1793.4679999999998</v>
          </cell>
          <cell r="M31">
            <v>-1482.0585000000001</v>
          </cell>
          <cell r="O31">
            <v>-2079.0775170356519</v>
          </cell>
          <cell r="Q31">
            <v>-2179.3767679991643</v>
          </cell>
          <cell r="S31">
            <v>-2875.1623386749061</v>
          </cell>
          <cell r="U31">
            <v>-2828.3507565923301</v>
          </cell>
        </row>
        <row r="32">
          <cell r="B32" t="str">
            <v>CASH FLOWS FROM FINANCING ACTIVITIES</v>
          </cell>
        </row>
        <row r="33">
          <cell r="B33" t="str">
            <v xml:space="preserve">        Stock issuances</v>
          </cell>
          <cell r="C33">
            <v>180.37899999999999</v>
          </cell>
          <cell r="D33">
            <v>106.866</v>
          </cell>
          <cell r="E33">
            <v>74.164000000000001</v>
          </cell>
          <cell r="G33">
            <v>526.86</v>
          </cell>
          <cell r="I33">
            <v>505.37400000000002</v>
          </cell>
          <cell r="K33">
            <v>820.49300000000005</v>
          </cell>
          <cell r="M33">
            <v>720.03708671999993</v>
          </cell>
          <cell r="O33">
            <v>694.32147647999989</v>
          </cell>
          <cell r="Q33">
            <v>720.53905543188478</v>
          </cell>
          <cell r="S33">
            <v>729.31083523714256</v>
          </cell>
          <cell r="U33">
            <v>875.173002284571</v>
          </cell>
          <cell r="X33" t="str">
            <v>mstag:proceedsFromIssuanceFundsUsedToRepurchaseCommonStock</v>
          </cell>
          <cell r="Y33">
            <v>6</v>
          </cell>
          <cell r="Z33" t="str">
            <v>ISO4217:USD</v>
          </cell>
          <cell r="AA33" t="b">
            <v>0</v>
          </cell>
          <cell r="AB33" t="b">
            <v>0</v>
          </cell>
        </row>
        <row r="34">
          <cell r="B34" t="str">
            <v xml:space="preserve">        Stock repurchases</v>
          </cell>
          <cell r="C34">
            <v>0</v>
          </cell>
          <cell r="D34">
            <v>-39.704000000000001</v>
          </cell>
          <cell r="E34">
            <v>-692.75199999999995</v>
          </cell>
          <cell r="G34">
            <v>-201.34</v>
          </cell>
          <cell r="I34">
            <v>-1351.683</v>
          </cell>
          <cell r="K34">
            <v>-2015.912</v>
          </cell>
          <cell r="M34">
            <v>-1970.7352000000001</v>
          </cell>
          <cell r="O34">
            <v>-1719.818379</v>
          </cell>
          <cell r="Q34">
            <v>-1615.2066424968916</v>
          </cell>
          <cell r="S34">
            <v>-1479.5573750774572</v>
          </cell>
          <cell r="U34">
            <v>-1606.7993093341186</v>
          </cell>
          <cell r="X34" t="str">
            <v>mstag:proceedsFromIssuanceFundsUsedToRepurchaseCommonStock</v>
          </cell>
          <cell r="Y34">
            <v>6</v>
          </cell>
          <cell r="Z34" t="str">
            <v>ISO4217:USD</v>
          </cell>
          <cell r="AA34" t="b">
            <v>0</v>
          </cell>
          <cell r="AB34" t="b">
            <v>0</v>
          </cell>
        </row>
        <row r="35">
          <cell r="B35" t="str">
            <v xml:space="preserve">        Tax benefits from stock options</v>
          </cell>
          <cell r="C35">
            <v>0</v>
          </cell>
          <cell r="D35">
            <v>0</v>
          </cell>
          <cell r="E35">
            <v>0</v>
          </cell>
          <cell r="M35">
            <v>466.42246192600749</v>
          </cell>
          <cell r="O35">
            <v>382.51034463996001</v>
          </cell>
          <cell r="Q35">
            <v>333.71100997524758</v>
          </cell>
          <cell r="S35">
            <v>279.84195936043733</v>
          </cell>
          <cell r="U35">
            <v>272.89661252948122</v>
          </cell>
          <cell r="X35" t="str">
            <v>mstag:taxBenefitFromExerciseOfEsosCashFlowStatement</v>
          </cell>
          <cell r="Y35">
            <v>6</v>
          </cell>
          <cell r="Z35" t="str">
            <v>ISO4217:USD</v>
          </cell>
          <cell r="AA35" t="b">
            <v>0</v>
          </cell>
          <cell r="AB35" t="b">
            <v>0</v>
          </cell>
        </row>
        <row r="36">
          <cell r="B36" t="str">
            <v xml:space="preserve">        Debt issuance</v>
          </cell>
          <cell r="C36">
            <v>0</v>
          </cell>
          <cell r="D36">
            <v>0</v>
          </cell>
          <cell r="E36">
            <v>-149.69200000000001</v>
          </cell>
          <cell r="G36">
            <v>0</v>
          </cell>
          <cell r="I36">
            <v>0</v>
          </cell>
          <cell r="K36">
            <v>1562.953</v>
          </cell>
          <cell r="M36">
            <v>0</v>
          </cell>
          <cell r="O36">
            <v>0</v>
          </cell>
          <cell r="Q36">
            <v>0</v>
          </cell>
          <cell r="S36">
            <v>0</v>
          </cell>
          <cell r="U36">
            <v>-500</v>
          </cell>
          <cell r="X36" t="str">
            <v>mstag:proceedsFromIssuanceAndCashUsedToRepayShortTermBorrowings</v>
          </cell>
          <cell r="Y36">
            <v>6</v>
          </cell>
          <cell r="Z36" t="str">
            <v>ISO4217:USD</v>
          </cell>
          <cell r="AA36" t="b">
            <v>0</v>
          </cell>
          <cell r="AB36" t="b">
            <v>0</v>
          </cell>
        </row>
        <row r="37">
          <cell r="B37" t="str">
            <v>Net cash provided by financing activities</v>
          </cell>
          <cell r="C37">
            <v>180.37899999999999</v>
          </cell>
          <cell r="D37">
            <v>67.162000000000006</v>
          </cell>
          <cell r="E37">
            <v>-768.28</v>
          </cell>
          <cell r="G37">
            <v>325.52</v>
          </cell>
          <cell r="I37">
            <v>-846.30899999999997</v>
          </cell>
          <cell r="K37">
            <v>367.53400000000011</v>
          </cell>
          <cell r="M37">
            <v>-784.27565135399266</v>
          </cell>
          <cell r="O37">
            <v>-642.98655788004021</v>
          </cell>
          <cell r="Q37">
            <v>-560.95657708975932</v>
          </cell>
          <cell r="S37">
            <v>-470.40458047987732</v>
          </cell>
          <cell r="U37">
            <v>-958.72969452006635</v>
          </cell>
        </row>
        <row r="38">
          <cell r="B38" t="str">
            <v xml:space="preserve">Change in cash </v>
          </cell>
          <cell r="C38">
            <v>213.62800000000001</v>
          </cell>
          <cell r="D38">
            <v>-156.24099999999987</v>
          </cell>
          <cell r="E38">
            <v>-187.08699999999999</v>
          </cell>
          <cell r="G38">
            <v>163.89584265857752</v>
          </cell>
          <cell r="I38">
            <v>-102.02899999999977</v>
          </cell>
          <cell r="K38">
            <v>955.38800000000037</v>
          </cell>
          <cell r="M38">
            <v>-223.58023554806709</v>
          </cell>
          <cell r="O38">
            <v>233.36725643682394</v>
          </cell>
          <cell r="Q38">
            <v>1060.0026529564179</v>
          </cell>
          <cell r="S38">
            <v>1175.1369641666392</v>
          </cell>
          <cell r="U38">
            <v>1498.0747106899739</v>
          </cell>
        </row>
        <row r="39">
          <cell r="B39" t="str">
            <v>Cash at beginning of year</v>
          </cell>
          <cell r="C39">
            <v>337.68200000000002</v>
          </cell>
          <cell r="D39">
            <v>551.31000000000006</v>
          </cell>
          <cell r="E39">
            <v>395.06900000000019</v>
          </cell>
          <cell r="G39">
            <v>207.9820000000002</v>
          </cell>
          <cell r="I39">
            <v>371.87784265857772</v>
          </cell>
          <cell r="K39">
            <v>270.12299999999999</v>
          </cell>
          <cell r="M39">
            <v>1225.5110000000004</v>
          </cell>
          <cell r="O39">
            <v>1001.9307644519333</v>
          </cell>
          <cell r="Q39">
            <v>1235.2980208887573</v>
          </cell>
          <cell r="S39">
            <v>2295.300673845175</v>
          </cell>
          <cell r="U39">
            <v>3470.4376380118142</v>
          </cell>
        </row>
        <row r="40">
          <cell r="B40" t="str">
            <v>Cash at end of year</v>
          </cell>
          <cell r="C40">
            <v>551.31000000000006</v>
          </cell>
          <cell r="D40">
            <v>395.06900000000019</v>
          </cell>
          <cell r="E40">
            <v>207.9820000000002</v>
          </cell>
          <cell r="G40">
            <v>371.87784265857772</v>
          </cell>
          <cell r="I40">
            <v>270.12299999999999</v>
          </cell>
          <cell r="K40">
            <v>1225.5110000000004</v>
          </cell>
          <cell r="M40">
            <v>1001.9307644519333</v>
          </cell>
          <cell r="O40">
            <v>1235.2980208887573</v>
          </cell>
          <cell r="Q40">
            <v>2295.300673845175</v>
          </cell>
          <cell r="S40">
            <v>3470.4376380118142</v>
          </cell>
          <cell r="U40">
            <v>4968.5123487017881</v>
          </cell>
        </row>
        <row r="41">
          <cell r="B41" t="str">
            <v>Cash and Marketable Securities at end of year</v>
          </cell>
          <cell r="G41">
            <v>2934.3978426585777</v>
          </cell>
          <cell r="I41">
            <v>2780.4319999999998</v>
          </cell>
          <cell r="K41">
            <v>3813.8920000000007</v>
          </cell>
          <cell r="M41">
            <v>3590.3117644519334</v>
          </cell>
          <cell r="O41">
            <v>4323.6790208887569</v>
          </cell>
          <cell r="Q41">
            <v>6383.6816738451744</v>
          </cell>
          <cell r="S41">
            <v>9558.8186380118132</v>
          </cell>
          <cell r="U41">
            <v>13056.893348701788</v>
          </cell>
        </row>
        <row r="45">
          <cell r="G45" t="str">
            <v>2003-FY</v>
          </cell>
          <cell r="I45" t="str">
            <v>2004-FY</v>
          </cell>
          <cell r="K45" t="str">
            <v>2005-FY</v>
          </cell>
          <cell r="M45" t="str">
            <v>2006-FY</v>
          </cell>
          <cell r="O45" t="str">
            <v>2007-FY</v>
          </cell>
          <cell r="Q45" t="str">
            <v>2008-FY</v>
          </cell>
          <cell r="S45" t="str">
            <v>2009-FY</v>
          </cell>
          <cell r="U45" t="str">
            <v>2010-FY</v>
          </cell>
        </row>
        <row r="47">
          <cell r="B47" t="str">
            <v>Free Cash Flow</v>
          </cell>
          <cell r="G47">
            <v>948.60584265857756</v>
          </cell>
          <cell r="I47">
            <v>620.61000000000013</v>
          </cell>
          <cell r="K47">
            <v>981.49800000000005</v>
          </cell>
          <cell r="M47">
            <v>1027.1178777319328</v>
          </cell>
          <cell r="O47">
            <v>1758.8641589568238</v>
          </cell>
          <cell r="Q47">
            <v>2954.6702400214249</v>
          </cell>
          <cell r="S47">
            <v>3925.3835040069539</v>
          </cell>
          <cell r="U47">
            <v>4729.7010177395214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C2" t="str">
            <v>Patient Growth Rate</v>
          </cell>
          <cell r="D2">
            <v>1.65E-3</v>
          </cell>
        </row>
        <row r="4">
          <cell r="B4" t="str">
            <v>Front - Line</v>
          </cell>
          <cell r="C4">
            <v>38047</v>
          </cell>
          <cell r="D4">
            <v>38078</v>
          </cell>
          <cell r="E4">
            <v>38108</v>
          </cell>
          <cell r="F4">
            <v>38139</v>
          </cell>
          <cell r="G4">
            <v>38169</v>
          </cell>
          <cell r="H4">
            <v>38200</v>
          </cell>
          <cell r="I4">
            <v>38231</v>
          </cell>
          <cell r="J4">
            <v>38261</v>
          </cell>
          <cell r="K4">
            <v>38292</v>
          </cell>
          <cell r="L4">
            <v>38322</v>
          </cell>
          <cell r="M4">
            <v>2004</v>
          </cell>
          <cell r="P4" t="str">
            <v>Front - Line</v>
          </cell>
          <cell r="Q4">
            <v>38353</v>
          </cell>
          <cell r="R4">
            <v>38384</v>
          </cell>
          <cell r="S4">
            <v>38412</v>
          </cell>
          <cell r="T4">
            <v>38443</v>
          </cell>
          <cell r="U4">
            <v>38473</v>
          </cell>
          <cell r="V4">
            <v>38504</v>
          </cell>
          <cell r="W4">
            <v>38534</v>
          </cell>
          <cell r="X4">
            <v>38565</v>
          </cell>
          <cell r="Y4">
            <v>38596</v>
          </cell>
          <cell r="Z4">
            <v>38626</v>
          </cell>
          <cell r="AA4">
            <v>38657</v>
          </cell>
          <cell r="AB4">
            <v>38687</v>
          </cell>
          <cell r="AC4">
            <v>2005</v>
          </cell>
        </row>
        <row r="5">
          <cell r="B5" t="str">
            <v>Previously Diagnosed Patients</v>
          </cell>
          <cell r="C5">
            <v>8000</v>
          </cell>
        </row>
        <row r="6">
          <cell r="B6" t="str">
            <v>New Stage III/IV Diagnoses Per Month</v>
          </cell>
          <cell r="C6">
            <v>3022</v>
          </cell>
          <cell r="D6">
            <v>3026.9862999999996</v>
          </cell>
          <cell r="E6">
            <v>3031.9808273949993</v>
          </cell>
          <cell r="F6">
            <v>3036.9835957602008</v>
          </cell>
          <cell r="G6">
            <v>3041.9946186932048</v>
          </cell>
          <cell r="H6">
            <v>3047.0139098140485</v>
          </cell>
          <cell r="I6">
            <v>3052.0414827652417</v>
          </cell>
          <cell r="J6">
            <v>3057.0773512118039</v>
          </cell>
          <cell r="K6">
            <v>3062.1215288413032</v>
          </cell>
          <cell r="L6">
            <v>3067.1740293638909</v>
          </cell>
          <cell r="M6">
            <v>30445.373643844694</v>
          </cell>
          <cell r="P6" t="str">
            <v>New Stage III/IV Diagnoses Per Month</v>
          </cell>
          <cell r="Q6">
            <v>3072.2348665123409</v>
          </cell>
          <cell r="R6">
            <v>3077.3040540420861</v>
          </cell>
          <cell r="S6">
            <v>3082.3816057312551</v>
          </cell>
          <cell r="T6">
            <v>3087.4675353807115</v>
          </cell>
          <cell r="U6">
            <v>3092.5618568140894</v>
          </cell>
          <cell r="V6">
            <v>3097.6645838778322</v>
          </cell>
          <cell r="W6">
            <v>3102.7757304412303</v>
          </cell>
          <cell r="X6">
            <v>3107.8953103964582</v>
          </cell>
          <cell r="Y6">
            <v>3113.023337658612</v>
          </cell>
          <cell r="Z6">
            <v>3118.1598261657487</v>
          </cell>
          <cell r="AA6">
            <v>3123.3047898789218</v>
          </cell>
          <cell r="AB6">
            <v>3128.458242782222</v>
          </cell>
          <cell r="AC6">
            <v>37203.231739681505</v>
          </cell>
        </row>
        <row r="7">
          <cell r="C7">
            <v>0.40827436037016873</v>
          </cell>
          <cell r="D7">
            <v>0.22</v>
          </cell>
          <cell r="E7">
            <v>0.21</v>
          </cell>
          <cell r="F7">
            <v>0.22</v>
          </cell>
          <cell r="G7">
            <v>0.4</v>
          </cell>
          <cell r="H7">
            <v>0.4</v>
          </cell>
          <cell r="I7">
            <v>0.4</v>
          </cell>
          <cell r="J7">
            <v>0.45</v>
          </cell>
          <cell r="K7">
            <v>0.46</v>
          </cell>
          <cell r="L7">
            <v>0.48</v>
          </cell>
          <cell r="M7">
            <v>0.47244332649680609</v>
          </cell>
          <cell r="Q7">
            <v>0.53</v>
          </cell>
          <cell r="R7">
            <v>0.55000000000000004</v>
          </cell>
          <cell r="S7">
            <v>0.61</v>
          </cell>
          <cell r="T7">
            <v>0.62</v>
          </cell>
          <cell r="U7">
            <v>0.63</v>
          </cell>
          <cell r="V7">
            <v>0.64</v>
          </cell>
          <cell r="W7">
            <v>0.64</v>
          </cell>
          <cell r="X7">
            <v>0.65</v>
          </cell>
          <cell r="Y7">
            <v>0.66</v>
          </cell>
          <cell r="Z7">
            <v>0.67</v>
          </cell>
          <cell r="AA7">
            <v>0.67</v>
          </cell>
          <cell r="AB7">
            <v>0.67</v>
          </cell>
          <cell r="AC7">
            <v>0.62855979730513767</v>
          </cell>
        </row>
        <row r="8">
          <cell r="B8" t="str">
            <v>New Patients Starting Therapy</v>
          </cell>
          <cell r="C8">
            <v>4500</v>
          </cell>
          <cell r="D8">
            <v>665.93698599999993</v>
          </cell>
          <cell r="E8">
            <v>636.71597375294982</v>
          </cell>
          <cell r="F8">
            <v>668.13639106724418</v>
          </cell>
          <cell r="G8">
            <v>1216.7978474772819</v>
          </cell>
          <cell r="H8">
            <v>1218.8055639256195</v>
          </cell>
          <cell r="I8">
            <v>1220.8165931060967</v>
          </cell>
          <cell r="J8">
            <v>1375.6848080453119</v>
          </cell>
          <cell r="K8">
            <v>1408.5759032669996</v>
          </cell>
          <cell r="L8">
            <v>1472.2435340946677</v>
          </cell>
          <cell r="M8">
            <v>14383.713600736173</v>
          </cell>
          <cell r="P8" t="str">
            <v>New Patients Starting Therapy</v>
          </cell>
          <cell r="Q8">
            <v>1628.2844792515407</v>
          </cell>
          <cell r="R8">
            <v>1692.5172297231475</v>
          </cell>
          <cell r="S8">
            <v>1880.2527794960656</v>
          </cell>
          <cell r="T8">
            <v>1914.229871936041</v>
          </cell>
          <cell r="U8">
            <v>1948.3139697928764</v>
          </cell>
          <cell r="V8">
            <v>1982.5053336818128</v>
          </cell>
          <cell r="W8">
            <v>1985.7764674823875</v>
          </cell>
          <cell r="X8">
            <v>2020.1319517576978</v>
          </cell>
          <cell r="Y8">
            <v>2054.5954028546839</v>
          </cell>
          <cell r="Z8">
            <v>2089.1670835310515</v>
          </cell>
          <cell r="AA8">
            <v>2092.6142092188779</v>
          </cell>
          <cell r="AB8">
            <v>2096.0670226640887</v>
          </cell>
          <cell r="AC8">
            <v>23384.455801390272</v>
          </cell>
        </row>
        <row r="9">
          <cell r="B9" t="str">
            <v>Failures</v>
          </cell>
          <cell r="P9" t="str">
            <v>Failures</v>
          </cell>
          <cell r="AE9" t="str">
            <v>Distribution of Failure Timing</v>
          </cell>
        </row>
        <row r="10">
          <cell r="B10" t="str">
            <v>1 Month</v>
          </cell>
          <cell r="C10">
            <v>52.05655526992286</v>
          </cell>
          <cell r="D10">
            <v>7.7036412262210767</v>
          </cell>
          <cell r="E10">
            <v>7.3656089508695972</v>
          </cell>
          <cell r="F10">
            <v>7.7290842154308423</v>
          </cell>
          <cell r="G10">
            <v>14.076067644338734</v>
          </cell>
          <cell r="H10">
            <v>14.099293155951893</v>
          </cell>
          <cell r="I10">
            <v>14.122556989659211</v>
          </cell>
          <cell r="J10">
            <v>15.914091609778668</v>
          </cell>
          <cell r="K10">
            <v>16.294579857844464</v>
          </cell>
          <cell r="L10">
            <v>17.031094867419029</v>
          </cell>
          <cell r="P10" t="str">
            <v>1 Month</v>
          </cell>
          <cell r="Q10">
            <v>18.836195775403421</v>
          </cell>
          <cell r="R10">
            <v>19.579248158751057</v>
          </cell>
          <cell r="S10">
            <v>21.750996163836227</v>
          </cell>
          <cell r="T10">
            <v>22.144047361727974</v>
          </cell>
          <cell r="U10">
            <v>22.538336411485709</v>
          </cell>
          <cell r="V10">
            <v>22.933866327938702</v>
          </cell>
          <cell r="W10">
            <v>22.971707207379797</v>
          </cell>
          <cell r="X10">
            <v>23.369135688713722</v>
          </cell>
          <cell r="Y10">
            <v>23.767813143563174</v>
          </cell>
          <cell r="Z10">
            <v>24.167742611541719</v>
          </cell>
          <cell r="AA10">
            <v>24.207619386850766</v>
          </cell>
          <cell r="AB10">
            <v>24.247561958839064</v>
          </cell>
          <cell r="AE10">
            <v>1</v>
          </cell>
          <cell r="AF10">
            <v>0.9</v>
          </cell>
          <cell r="AG10">
            <v>1.1568123393316192E-2</v>
          </cell>
        </row>
        <row r="11">
          <cell r="B11" t="str">
            <v>2 Months</v>
          </cell>
          <cell r="D11">
            <v>69.408740359897152</v>
          </cell>
          <cell r="E11">
            <v>10.271521634961434</v>
          </cell>
          <cell r="F11">
            <v>9.8208119344927951</v>
          </cell>
          <cell r="G11">
            <v>10.305445620574456</v>
          </cell>
          <cell r="H11">
            <v>18.768090192451641</v>
          </cell>
          <cell r="I11">
            <v>18.799057541269189</v>
          </cell>
          <cell r="J11">
            <v>18.830075986212282</v>
          </cell>
          <cell r="K11">
            <v>21.218788813038223</v>
          </cell>
          <cell r="L11">
            <v>21.726106477125949</v>
          </cell>
          <cell r="P11" t="str">
            <v>2 Months</v>
          </cell>
          <cell r="Q11">
            <v>22.708126489892038</v>
          </cell>
          <cell r="R11">
            <v>25.114927700537894</v>
          </cell>
          <cell r="S11">
            <v>26.105664211668074</v>
          </cell>
          <cell r="T11">
            <v>29.001328218448304</v>
          </cell>
          <cell r="U11">
            <v>29.525396482303965</v>
          </cell>
          <cell r="V11">
            <v>30.05111521531428</v>
          </cell>
          <cell r="W11">
            <v>30.5784884372516</v>
          </cell>
          <cell r="X11">
            <v>30.628942943173062</v>
          </cell>
          <cell r="Y11">
            <v>31.158847584951626</v>
          </cell>
          <cell r="Z11">
            <v>31.690417524750899</v>
          </cell>
          <cell r="AA11">
            <v>32.223656815388956</v>
          </cell>
          <cell r="AB11">
            <v>32.276825849134354</v>
          </cell>
          <cell r="AE11">
            <v>2</v>
          </cell>
          <cell r="AF11">
            <v>1.2</v>
          </cell>
          <cell r="AG11">
            <v>1.5424164524421588E-2</v>
          </cell>
        </row>
        <row r="12">
          <cell r="B12" t="str">
            <v>3 Months</v>
          </cell>
          <cell r="E12">
            <v>86.760925449871436</v>
          </cell>
          <cell r="F12">
            <v>12.839402043701794</v>
          </cell>
          <cell r="G12">
            <v>12.276014918115994</v>
          </cell>
          <cell r="H12">
            <v>12.88180702571807</v>
          </cell>
          <cell r="I12">
            <v>23.460112740564554</v>
          </cell>
          <cell r="J12">
            <v>23.498821926586483</v>
          </cell>
          <cell r="K12">
            <v>23.537594982765352</v>
          </cell>
          <cell r="L12">
            <v>26.523486016297777</v>
          </cell>
          <cell r="P12" t="str">
            <v>3 Months</v>
          </cell>
          <cell r="Q12">
            <v>27.157633096407437</v>
          </cell>
          <cell r="R12">
            <v>28.385158112365048</v>
          </cell>
          <cell r="S12">
            <v>31.393659625672367</v>
          </cell>
          <cell r="T12">
            <v>32.632080264585092</v>
          </cell>
          <cell r="U12">
            <v>36.251660273060381</v>
          </cell>
          <cell r="V12">
            <v>36.906745602879951</v>
          </cell>
          <cell r="W12">
            <v>37.563894019142843</v>
          </cell>
          <cell r="X12">
            <v>38.223110546564499</v>
          </cell>
          <cell r="Y12">
            <v>38.286178678966323</v>
          </cell>
          <cell r="Z12">
            <v>38.948559481189534</v>
          </cell>
          <cell r="AA12">
            <v>39.613021905938623</v>
          </cell>
          <cell r="AB12">
            <v>40.279571019236194</v>
          </cell>
          <cell r="AE12">
            <v>3</v>
          </cell>
          <cell r="AF12">
            <v>1.5</v>
          </cell>
          <cell r="AG12">
            <v>1.9280205655526985E-2</v>
          </cell>
        </row>
        <row r="13">
          <cell r="B13" t="str">
            <v>4 Months</v>
          </cell>
          <cell r="F13">
            <v>115.68123393316191</v>
          </cell>
          <cell r="G13">
            <v>17.119202724935725</v>
          </cell>
          <cell r="H13">
            <v>16.368019890821326</v>
          </cell>
          <cell r="I13">
            <v>17.175742700957429</v>
          </cell>
          <cell r="J13">
            <v>31.280150320752739</v>
          </cell>
          <cell r="K13">
            <v>31.331762568781979</v>
          </cell>
          <cell r="L13">
            <v>31.383459977020468</v>
          </cell>
          <cell r="P13" t="str">
            <v>4 Months</v>
          </cell>
          <cell r="Q13">
            <v>35.364648021730368</v>
          </cell>
          <cell r="R13">
            <v>36.210177461876583</v>
          </cell>
          <cell r="S13">
            <v>37.846877483153399</v>
          </cell>
          <cell r="T13">
            <v>41.858212834229825</v>
          </cell>
          <cell r="U13">
            <v>43.509440352780125</v>
          </cell>
          <cell r="V13">
            <v>48.335547030747172</v>
          </cell>
          <cell r="W13">
            <v>49.208994137173271</v>
          </cell>
          <cell r="X13">
            <v>50.085192025523796</v>
          </cell>
          <cell r="Y13">
            <v>50.964147395419332</v>
          </cell>
          <cell r="Z13">
            <v>51.048238238621764</v>
          </cell>
          <cell r="AA13">
            <v>51.931412641586043</v>
          </cell>
          <cell r="AB13">
            <v>52.817362541251498</v>
          </cell>
          <cell r="AE13">
            <v>4</v>
          </cell>
          <cell r="AF13">
            <v>2</v>
          </cell>
          <cell r="AG13">
            <v>2.570694087403598E-2</v>
          </cell>
        </row>
        <row r="14">
          <cell r="B14" t="str">
            <v>5 Months</v>
          </cell>
          <cell r="G14">
            <v>173.52185089974287</v>
          </cell>
          <cell r="H14">
            <v>25.678804087403588</v>
          </cell>
          <cell r="I14">
            <v>24.552029836231988</v>
          </cell>
          <cell r="J14">
            <v>25.763614051436139</v>
          </cell>
          <cell r="K14">
            <v>46.920225481129108</v>
          </cell>
          <cell r="L14">
            <v>46.997643853172967</v>
          </cell>
          <cell r="P14" t="str">
            <v>5 Months</v>
          </cell>
          <cell r="Q14">
            <v>47.075189965530704</v>
          </cell>
          <cell r="R14">
            <v>53.046972032595555</v>
          </cell>
          <cell r="S14">
            <v>54.315266192814875</v>
          </cell>
          <cell r="T14">
            <v>56.770316224730095</v>
          </cell>
          <cell r="U14">
            <v>62.787319251344734</v>
          </cell>
          <cell r="V14">
            <v>65.264160529170184</v>
          </cell>
          <cell r="W14">
            <v>72.503320546120761</v>
          </cell>
          <cell r="X14">
            <v>73.813491205759902</v>
          </cell>
          <cell r="Y14">
            <v>75.127788038285686</v>
          </cell>
          <cell r="Z14">
            <v>76.446221093128997</v>
          </cell>
          <cell r="AA14">
            <v>76.572357357932646</v>
          </cell>
          <cell r="AB14">
            <v>77.897118962379068</v>
          </cell>
          <cell r="AE14">
            <v>5</v>
          </cell>
          <cell r="AF14">
            <v>3</v>
          </cell>
          <cell r="AG14">
            <v>3.856041131105397E-2</v>
          </cell>
        </row>
        <row r="15">
          <cell r="B15" t="str">
            <v>6 Months</v>
          </cell>
          <cell r="H15">
            <v>231.36246786632381</v>
          </cell>
          <cell r="I15">
            <v>34.238405449871451</v>
          </cell>
          <cell r="J15">
            <v>32.736039781642653</v>
          </cell>
          <cell r="K15">
            <v>34.351485401914857</v>
          </cell>
          <cell r="L15">
            <v>62.560300641505478</v>
          </cell>
          <cell r="P15" t="str">
            <v>6 Months</v>
          </cell>
          <cell r="Q15">
            <v>62.663525137563958</v>
          </cell>
          <cell r="R15">
            <v>62.766919954040937</v>
          </cell>
          <cell r="S15">
            <v>70.729296043460735</v>
          </cell>
          <cell r="T15">
            <v>72.420354923753166</v>
          </cell>
          <cell r="U15">
            <v>75.693754966306798</v>
          </cell>
          <cell r="V15">
            <v>83.71642566845965</v>
          </cell>
          <cell r="W15">
            <v>87.01888070556025</v>
          </cell>
          <cell r="X15">
            <v>96.671094061494344</v>
          </cell>
          <cell r="Y15">
            <v>98.417988274346541</v>
          </cell>
          <cell r="Z15">
            <v>100.17038405104759</v>
          </cell>
          <cell r="AA15">
            <v>101.92829479083866</v>
          </cell>
          <cell r="AB15">
            <v>102.09647647724353</v>
          </cell>
          <cell r="AE15">
            <v>6</v>
          </cell>
          <cell r="AF15">
            <v>4</v>
          </cell>
          <cell r="AG15">
            <v>5.141388174807196E-2</v>
          </cell>
        </row>
        <row r="16">
          <cell r="B16" t="str">
            <v>7 Months</v>
          </cell>
          <cell r="I16">
            <v>318.12339331619529</v>
          </cell>
          <cell r="J16">
            <v>47.077807493573246</v>
          </cell>
          <cell r="K16">
            <v>45.01205469975865</v>
          </cell>
          <cell r="L16">
            <v>47.233292427632925</v>
          </cell>
          <cell r="P16" t="str">
            <v>7 Months</v>
          </cell>
          <cell r="Q16">
            <v>86.020413382070032</v>
          </cell>
          <cell r="R16">
            <v>86.162347064150453</v>
          </cell>
          <cell r="S16">
            <v>86.304514936806285</v>
          </cell>
          <cell r="T16">
            <v>97.252782059758516</v>
          </cell>
          <cell r="U16">
            <v>99.577988020160603</v>
          </cell>
          <cell r="V16">
            <v>104.07891307867185</v>
          </cell>
          <cell r="W16">
            <v>115.11008529413202</v>
          </cell>
          <cell r="X16">
            <v>119.65096097014535</v>
          </cell>
          <cell r="Y16">
            <v>132.92275433455472</v>
          </cell>
          <cell r="Z16">
            <v>135.32473387722652</v>
          </cell>
          <cell r="AA16">
            <v>137.73427807019044</v>
          </cell>
          <cell r="AB16">
            <v>140.15140533740316</v>
          </cell>
          <cell r="AE16">
            <v>7</v>
          </cell>
          <cell r="AF16">
            <v>5.5</v>
          </cell>
          <cell r="AG16">
            <v>7.0694087403598949E-2</v>
          </cell>
        </row>
        <row r="17">
          <cell r="B17" t="str">
            <v>8 Months</v>
          </cell>
          <cell r="J17">
            <v>381.74807197943426</v>
          </cell>
          <cell r="K17">
            <v>56.493368992287891</v>
          </cell>
          <cell r="L17">
            <v>54.014465639710373</v>
          </cell>
          <cell r="P17" t="str">
            <v>8 Months</v>
          </cell>
          <cell r="Q17">
            <v>56.679950913159509</v>
          </cell>
          <cell r="R17">
            <v>103.22449605848404</v>
          </cell>
          <cell r="S17">
            <v>103.39481647698052</v>
          </cell>
          <cell r="T17">
            <v>103.56541792416753</v>
          </cell>
          <cell r="U17">
            <v>116.70333847171021</v>
          </cell>
          <cell r="V17">
            <v>119.49358562419272</v>
          </cell>
          <cell r="W17">
            <v>124.8946956944062</v>
          </cell>
          <cell r="X17">
            <v>138.13210235295841</v>
          </cell>
          <cell r="Y17">
            <v>143.5811531641744</v>
          </cell>
          <cell r="Z17">
            <v>159.50730520146564</v>
          </cell>
          <cell r="AA17">
            <v>162.38968065267179</v>
          </cell>
          <cell r="AB17">
            <v>165.28113368422851</v>
          </cell>
          <cell r="AE17">
            <v>8</v>
          </cell>
          <cell r="AF17">
            <v>6.6</v>
          </cell>
          <cell r="AG17">
            <v>8.483290488431873E-2</v>
          </cell>
        </row>
        <row r="18">
          <cell r="B18" t="str">
            <v>9 Months</v>
          </cell>
          <cell r="K18">
            <v>404.88431876606671</v>
          </cell>
          <cell r="L18">
            <v>59.917209537275042</v>
          </cell>
          <cell r="P18" t="str">
            <v>9 Months</v>
          </cell>
          <cell r="Q18">
            <v>57.288069617874648</v>
          </cell>
          <cell r="R18">
            <v>60.115099453351</v>
          </cell>
          <cell r="S18">
            <v>109.48052612263459</v>
          </cell>
          <cell r="T18">
            <v>109.66116899073694</v>
          </cell>
          <cell r="U18">
            <v>109.84210991957164</v>
          </cell>
          <cell r="V18">
            <v>123.77626807605631</v>
          </cell>
          <cell r="W18">
            <v>126.73562111656805</v>
          </cell>
          <cell r="X18">
            <v>132.46407119103691</v>
          </cell>
          <cell r="Y18">
            <v>146.50374491980438</v>
          </cell>
          <cell r="Z18">
            <v>152.28304123473043</v>
          </cell>
          <cell r="AA18">
            <v>169.17441460761512</v>
          </cell>
          <cell r="AB18">
            <v>172.23147948010646</v>
          </cell>
          <cell r="AE18">
            <v>9</v>
          </cell>
          <cell r="AF18">
            <v>7</v>
          </cell>
          <cell r="AG18">
            <v>8.9974293059125937E-2</v>
          </cell>
        </row>
        <row r="19">
          <cell r="B19" t="str">
            <v>10 Months</v>
          </cell>
          <cell r="L19">
            <v>416.45244215938288</v>
          </cell>
          <cell r="P19" t="str">
            <v>10 Months</v>
          </cell>
          <cell r="Q19">
            <v>61.629129809768614</v>
          </cell>
          <cell r="R19">
            <v>58.924871606956778</v>
          </cell>
          <cell r="S19">
            <v>61.832673723446739</v>
          </cell>
          <cell r="T19">
            <v>112.60854115470987</v>
          </cell>
          <cell r="U19">
            <v>112.79434524761514</v>
          </cell>
          <cell r="V19">
            <v>112.98045591727369</v>
          </cell>
          <cell r="W19">
            <v>127.31273287822934</v>
          </cell>
          <cell r="X19">
            <v>130.35663886275572</v>
          </cell>
          <cell r="Y19">
            <v>136.24875893935223</v>
          </cell>
          <cell r="Z19">
            <v>150.68956620322737</v>
          </cell>
          <cell r="AA19">
            <v>156.63398527000845</v>
          </cell>
          <cell r="AB19">
            <v>174.00796931068982</v>
          </cell>
          <cell r="AE19">
            <v>10</v>
          </cell>
          <cell r="AF19">
            <v>7.2</v>
          </cell>
          <cell r="AG19">
            <v>9.2544987146529534E-2</v>
          </cell>
          <cell r="AH19">
            <v>77.800000000000026</v>
          </cell>
        </row>
        <row r="20">
          <cell r="B20" t="str">
            <v>11 Months</v>
          </cell>
          <cell r="P20" t="str">
            <v>11 Months</v>
          </cell>
          <cell r="Q20">
            <v>416.45244215938288</v>
          </cell>
          <cell r="R20">
            <v>61.629129809768614</v>
          </cell>
          <cell r="S20">
            <v>58.924871606956778</v>
          </cell>
          <cell r="T20">
            <v>61.832673723446739</v>
          </cell>
          <cell r="U20">
            <v>112.60854115470987</v>
          </cell>
          <cell r="V20">
            <v>112.79434524761514</v>
          </cell>
          <cell r="W20">
            <v>112.98045591727369</v>
          </cell>
          <cell r="X20">
            <v>127.31273287822934</v>
          </cell>
          <cell r="Y20">
            <v>130.35663886275572</v>
          </cell>
          <cell r="Z20">
            <v>136.24875893935223</v>
          </cell>
          <cell r="AA20">
            <v>150.68956620322737</v>
          </cell>
          <cell r="AB20">
            <v>156.63398527000845</v>
          </cell>
          <cell r="AE20">
            <v>11</v>
          </cell>
          <cell r="AF20">
            <v>7.2</v>
          </cell>
          <cell r="AG20">
            <v>9.2544987146529534E-2</v>
          </cell>
        </row>
        <row r="21">
          <cell r="B21" t="str">
            <v>12 Months</v>
          </cell>
          <cell r="P21" t="str">
            <v>12 Months</v>
          </cell>
          <cell r="R21">
            <v>404.88431876606671</v>
          </cell>
          <cell r="S21">
            <v>59.917209537275042</v>
          </cell>
          <cell r="T21">
            <v>57.288069617874648</v>
          </cell>
          <cell r="U21">
            <v>60.115099453351</v>
          </cell>
          <cell r="V21">
            <v>109.48052612263459</v>
          </cell>
          <cell r="W21">
            <v>109.66116899073694</v>
          </cell>
          <cell r="X21">
            <v>109.84210991957164</v>
          </cell>
          <cell r="Y21">
            <v>123.77626807605631</v>
          </cell>
          <cell r="Z21">
            <v>126.73562111656805</v>
          </cell>
          <cell r="AA21">
            <v>132.46407119103691</v>
          </cell>
          <cell r="AB21">
            <v>146.50374491980438</v>
          </cell>
          <cell r="AE21">
            <v>12</v>
          </cell>
          <cell r="AF21">
            <v>7</v>
          </cell>
          <cell r="AG21">
            <v>8.9974293059125937E-2</v>
          </cell>
        </row>
        <row r="22">
          <cell r="B22" t="str">
            <v>13 Months</v>
          </cell>
          <cell r="P22" t="str">
            <v>13 Months</v>
          </cell>
          <cell r="S22">
            <v>381.74807197943426</v>
          </cell>
          <cell r="T22">
            <v>56.493368992287891</v>
          </cell>
          <cell r="U22">
            <v>54.014465639710373</v>
          </cell>
          <cell r="V22">
            <v>56.679950913159509</v>
          </cell>
          <cell r="W22">
            <v>103.22449605848404</v>
          </cell>
          <cell r="X22">
            <v>103.39481647698052</v>
          </cell>
          <cell r="Y22">
            <v>103.56541792416753</v>
          </cell>
          <cell r="Z22">
            <v>116.70333847171021</v>
          </cell>
          <cell r="AA22">
            <v>119.49358562419272</v>
          </cell>
          <cell r="AB22">
            <v>124.8946956944062</v>
          </cell>
          <cell r="AE22">
            <v>13</v>
          </cell>
          <cell r="AF22">
            <v>6.6</v>
          </cell>
          <cell r="AG22">
            <v>8.483290488431873E-2</v>
          </cell>
        </row>
        <row r="23">
          <cell r="B23" t="str">
            <v>14 Months</v>
          </cell>
          <cell r="P23" t="str">
            <v>14 Months</v>
          </cell>
          <cell r="T23">
            <v>318.12339331619529</v>
          </cell>
          <cell r="U23">
            <v>47.077807493573246</v>
          </cell>
          <cell r="V23">
            <v>45.01205469975865</v>
          </cell>
          <cell r="W23">
            <v>47.233292427632925</v>
          </cell>
          <cell r="X23">
            <v>86.020413382070032</v>
          </cell>
          <cell r="Y23">
            <v>86.162347064150453</v>
          </cell>
          <cell r="Z23">
            <v>86.304514936806285</v>
          </cell>
          <cell r="AA23">
            <v>97.252782059758516</v>
          </cell>
          <cell r="AB23">
            <v>99.577988020160603</v>
          </cell>
          <cell r="AE23">
            <v>14</v>
          </cell>
          <cell r="AF23">
            <v>5.5</v>
          </cell>
          <cell r="AG23">
            <v>7.0694087403598949E-2</v>
          </cell>
        </row>
        <row r="24">
          <cell r="B24" t="str">
            <v>15 Months</v>
          </cell>
          <cell r="P24" t="str">
            <v>15 Months</v>
          </cell>
          <cell r="U24">
            <v>231.36246786632381</v>
          </cell>
          <cell r="V24">
            <v>34.238405449871451</v>
          </cell>
          <cell r="W24">
            <v>32.736039781642653</v>
          </cell>
          <cell r="X24">
            <v>34.351485401914857</v>
          </cell>
          <cell r="Y24">
            <v>62.560300641505478</v>
          </cell>
          <cell r="Z24">
            <v>62.663525137563958</v>
          </cell>
          <cell r="AA24">
            <v>62.766919954040937</v>
          </cell>
          <cell r="AB24">
            <v>70.729296043460735</v>
          </cell>
          <cell r="AE24">
            <v>15</v>
          </cell>
          <cell r="AF24">
            <v>4</v>
          </cell>
          <cell r="AG24">
            <v>5.141388174807196E-2</v>
          </cell>
        </row>
        <row r="25">
          <cell r="B25" t="str">
            <v>16 Months</v>
          </cell>
          <cell r="P25" t="str">
            <v>16 Months</v>
          </cell>
          <cell r="V25">
            <v>173.52185089974287</v>
          </cell>
          <cell r="W25">
            <v>25.678804087403588</v>
          </cell>
          <cell r="X25">
            <v>24.552029836231988</v>
          </cell>
          <cell r="Y25">
            <v>25.763614051436139</v>
          </cell>
          <cell r="Z25">
            <v>46.920225481129108</v>
          </cell>
          <cell r="AA25">
            <v>46.997643853172967</v>
          </cell>
          <cell r="AB25">
            <v>47.075189965530704</v>
          </cell>
          <cell r="AE25">
            <v>16</v>
          </cell>
          <cell r="AF25">
            <v>3</v>
          </cell>
          <cell r="AG25">
            <v>3.856041131105397E-2</v>
          </cell>
        </row>
        <row r="26">
          <cell r="B26" t="str">
            <v>17 Months</v>
          </cell>
          <cell r="P26" t="str">
            <v>17 Months</v>
          </cell>
          <cell r="W26">
            <v>115.68123393316191</v>
          </cell>
          <cell r="X26">
            <v>17.119202724935725</v>
          </cell>
          <cell r="Y26">
            <v>16.368019890821326</v>
          </cell>
          <cell r="Z26">
            <v>17.175742700957429</v>
          </cell>
          <cell r="AA26">
            <v>31.280150320752739</v>
          </cell>
          <cell r="AB26">
            <v>31.331762568781979</v>
          </cell>
          <cell r="AE26">
            <v>17</v>
          </cell>
          <cell r="AF26">
            <v>2</v>
          </cell>
          <cell r="AG26">
            <v>2.570694087403598E-2</v>
          </cell>
        </row>
        <row r="27">
          <cell r="B27" t="str">
            <v>18 Months</v>
          </cell>
          <cell r="P27" t="str">
            <v>18 Months</v>
          </cell>
          <cell r="X27">
            <v>86.760925449871436</v>
          </cell>
          <cell r="Y27">
            <v>12.839402043701794</v>
          </cell>
          <cell r="Z27">
            <v>12.276014918115994</v>
          </cell>
          <cell r="AA27">
            <v>12.88180702571807</v>
          </cell>
          <cell r="AB27">
            <v>23.460112740564554</v>
          </cell>
          <cell r="AE27">
            <v>18</v>
          </cell>
          <cell r="AF27">
            <v>1.5</v>
          </cell>
          <cell r="AG27">
            <v>1.9280205655526985E-2</v>
          </cell>
        </row>
        <row r="28">
          <cell r="B28" t="str">
            <v>19 Months</v>
          </cell>
          <cell r="P28" t="str">
            <v>19 Months</v>
          </cell>
          <cell r="Y28">
            <v>69.408740359897152</v>
          </cell>
          <cell r="Z28">
            <v>10.271521634961434</v>
          </cell>
          <cell r="AA28">
            <v>9.8208119344927951</v>
          </cell>
          <cell r="AB28">
            <v>10.305445620574456</v>
          </cell>
          <cell r="AE28">
            <v>19</v>
          </cell>
          <cell r="AF28">
            <v>1.2</v>
          </cell>
          <cell r="AG28">
            <v>1.5424164524421588E-2</v>
          </cell>
        </row>
        <row r="29">
          <cell r="B29" t="str">
            <v>20 Months</v>
          </cell>
          <cell r="P29" t="str">
            <v>20 Months</v>
          </cell>
          <cell r="Z29">
            <v>52.05655526992286</v>
          </cell>
          <cell r="AA29">
            <v>7.7036412262210767</v>
          </cell>
          <cell r="AB29">
            <v>7.3656089508695972</v>
          </cell>
          <cell r="AE29">
            <v>20</v>
          </cell>
          <cell r="AF29">
            <v>0.9</v>
          </cell>
          <cell r="AG29">
            <v>1.1568123393316192E-2</v>
          </cell>
        </row>
        <row r="30">
          <cell r="B30" t="str">
            <v>Total Patient Drop-Outs</v>
          </cell>
          <cell r="C30">
            <v>52.05655526992286</v>
          </cell>
          <cell r="D30">
            <v>77.112381586118232</v>
          </cell>
          <cell r="E30">
            <v>104.39805603570247</v>
          </cell>
          <cell r="F30">
            <v>146.07053212678733</v>
          </cell>
          <cell r="G30">
            <v>227.29858180770779</v>
          </cell>
          <cell r="H30">
            <v>319.15848221867031</v>
          </cell>
          <cell r="I30">
            <v>450.47129857474908</v>
          </cell>
          <cell r="J30">
            <v>576.84867314941653</v>
          </cell>
          <cell r="K30">
            <v>680.04417956358725</v>
          </cell>
          <cell r="L30">
            <v>783.83950159654296</v>
          </cell>
          <cell r="P30" t="str">
            <v>Total Patient Drop-Outs</v>
          </cell>
          <cell r="Q30">
            <v>891.87532436878359</v>
          </cell>
          <cell r="R30">
            <v>1000.0436661789447</v>
          </cell>
          <cell r="S30">
            <v>1103.74444410414</v>
          </cell>
          <cell r="T30">
            <v>1171.6517556066519</v>
          </cell>
          <cell r="U30">
            <v>1214.4020710040077</v>
          </cell>
          <cell r="V30">
            <v>1279.2642164034869</v>
          </cell>
          <cell r="W30">
            <v>1341.0939112322997</v>
          </cell>
          <cell r="X30">
            <v>1422.7484559179313</v>
          </cell>
          <cell r="Y30">
            <v>1507.7799233879105</v>
          </cell>
          <cell r="Z30">
            <v>1587.6320281240182</v>
          </cell>
          <cell r="AA30">
            <v>1623.7597008916359</v>
          </cell>
          <cell r="AB30">
            <v>1699.1647344146727</v>
          </cell>
        </row>
        <row r="31">
          <cell r="B31" t="str">
            <v>Patients at Start of Period</v>
          </cell>
          <cell r="C31">
            <v>0</v>
          </cell>
          <cell r="D31">
            <v>4447.9434447300773</v>
          </cell>
          <cell r="E31">
            <v>5036.7680491439587</v>
          </cell>
          <cell r="F31">
            <v>5569.0859668612065</v>
          </cell>
          <cell r="G31">
            <v>6091.151825801664</v>
          </cell>
          <cell r="H31">
            <v>7080.651091471238</v>
          </cell>
          <cell r="I31">
            <v>7980.2981731781874</v>
          </cell>
          <cell r="J31">
            <v>8750.6434677095367</v>
          </cell>
          <cell r="K31">
            <v>9549.4796026054319</v>
          </cell>
          <cell r="L31">
            <v>10278.011326308844</v>
          </cell>
          <cell r="P31" t="str">
            <v>Patients at Start of Period</v>
          </cell>
          <cell r="Q31">
            <v>10966.415358806968</v>
          </cell>
          <cell r="R31">
            <v>11702.824513689724</v>
          </cell>
          <cell r="S31">
            <v>12395.298077233927</v>
          </cell>
          <cell r="T31">
            <v>13171.806412625852</v>
          </cell>
          <cell r="U31">
            <v>13914.384528955241</v>
          </cell>
          <cell r="V31">
            <v>14648.29642774411</v>
          </cell>
          <cell r="W31">
            <v>15351.537545022435</v>
          </cell>
          <cell r="X31">
            <v>15996.220101272524</v>
          </cell>
          <cell r="Y31">
            <v>16593.603597112291</v>
          </cell>
          <cell r="Z31">
            <v>17140.419076579063</v>
          </cell>
          <cell r="AA31">
            <v>17641.954131986095</v>
          </cell>
          <cell r="AB31">
            <v>18110.808640313338</v>
          </cell>
        </row>
        <row r="32">
          <cell r="B32" t="str">
            <v>Patients at End of Period</v>
          </cell>
          <cell r="C32">
            <v>4447.9434447300773</v>
          </cell>
          <cell r="D32">
            <v>5036.7680491439587</v>
          </cell>
          <cell r="E32">
            <v>5569.0859668612065</v>
          </cell>
          <cell r="F32">
            <v>6091.151825801664</v>
          </cell>
          <cell r="G32">
            <v>7080.651091471238</v>
          </cell>
          <cell r="H32">
            <v>7980.2981731781874</v>
          </cell>
          <cell r="I32">
            <v>8750.6434677095367</v>
          </cell>
          <cell r="J32">
            <v>9549.4796026054319</v>
          </cell>
          <cell r="K32">
            <v>10278.011326308844</v>
          </cell>
          <cell r="L32">
            <v>10966.415358806968</v>
          </cell>
          <cell r="P32" t="str">
            <v>Patients at End of Period</v>
          </cell>
          <cell r="Q32">
            <v>11702.824513689724</v>
          </cell>
          <cell r="R32">
            <v>12395.298077233927</v>
          </cell>
          <cell r="S32">
            <v>13171.806412625852</v>
          </cell>
          <cell r="T32">
            <v>13914.384528955241</v>
          </cell>
          <cell r="U32">
            <v>14648.29642774411</v>
          </cell>
          <cell r="V32">
            <v>15351.537545022435</v>
          </cell>
          <cell r="W32">
            <v>15996.220101272524</v>
          </cell>
          <cell r="X32">
            <v>16593.603597112291</v>
          </cell>
          <cell r="Y32">
            <v>17140.419076579063</v>
          </cell>
          <cell r="Z32">
            <v>17641.954131986095</v>
          </cell>
          <cell r="AA32">
            <v>18110.808640313338</v>
          </cell>
          <cell r="AB32">
            <v>18507.710928562756</v>
          </cell>
        </row>
        <row r="34">
          <cell r="B34" t="str">
            <v>Total Patient Days</v>
          </cell>
          <cell r="C34">
            <v>82509.350899742945</v>
          </cell>
          <cell r="D34">
            <v>131450.00183242085</v>
          </cell>
          <cell r="E34">
            <v>146351.83166713189</v>
          </cell>
          <cell r="F34">
            <v>160496.79843688456</v>
          </cell>
          <cell r="G34">
            <v>179945.42295666158</v>
          </cell>
          <cell r="H34">
            <v>205105.32511190866</v>
          </cell>
          <cell r="I34">
            <v>226644.72736962023</v>
          </cell>
          <cell r="J34">
            <v>246681.37251187017</v>
          </cell>
          <cell r="K34">
            <v>266585.24979247933</v>
          </cell>
          <cell r="L34">
            <v>284902.36485847033</v>
          </cell>
          <cell r="P34" t="str">
            <v>Total Patient Days</v>
          </cell>
          <cell r="Q34">
            <v>304256.21414927888</v>
          </cell>
          <cell r="R34">
            <v>322721.48581298249</v>
          </cell>
          <cell r="S34">
            <v>340512.77522210806</v>
          </cell>
          <cell r="T34">
            <v>360793.60723810934</v>
          </cell>
          <cell r="U34">
            <v>380830.17473145231</v>
          </cell>
          <cell r="V34">
            <v>400006.34598871687</v>
          </cell>
          <cell r="W34">
            <v>418008.22700002068</v>
          </cell>
          <cell r="X34">
            <v>434217.91484519071</v>
          </cell>
          <cell r="Y34">
            <v>449010.07333125081</v>
          </cell>
          <cell r="Z34">
            <v>462532.75108846836</v>
          </cell>
          <cell r="AA34">
            <v>475608.79808002932</v>
          </cell>
          <cell r="AB34">
            <v>486670.0973086626</v>
          </cell>
        </row>
        <row r="35">
          <cell r="B35" t="str">
            <v>Average Cost/Day</v>
          </cell>
          <cell r="C35">
            <v>146.66666666666666</v>
          </cell>
          <cell r="D35">
            <v>146.66666666666666</v>
          </cell>
          <cell r="E35">
            <v>146.66666666666666</v>
          </cell>
          <cell r="F35">
            <v>146.66666666666666</v>
          </cell>
          <cell r="G35">
            <v>146.66666666666666</v>
          </cell>
          <cell r="H35">
            <v>146.66666666666666</v>
          </cell>
          <cell r="I35">
            <v>146.66666666666666</v>
          </cell>
          <cell r="J35">
            <v>146.66666666666666</v>
          </cell>
          <cell r="K35">
            <v>146.66666666666666</v>
          </cell>
          <cell r="L35">
            <v>146.66666666666666</v>
          </cell>
          <cell r="P35" t="str">
            <v>Average Cost/Day</v>
          </cell>
          <cell r="Q35">
            <v>146.66666666666666</v>
          </cell>
          <cell r="R35">
            <v>146.66666666666666</v>
          </cell>
          <cell r="S35">
            <v>146.66666666666666</v>
          </cell>
          <cell r="T35">
            <v>146.66666666666666</v>
          </cell>
          <cell r="U35">
            <v>146.66666666666666</v>
          </cell>
          <cell r="V35">
            <v>146.66666666666666</v>
          </cell>
          <cell r="W35">
            <v>146.66666666666666</v>
          </cell>
          <cell r="X35">
            <v>146.66666666666666</v>
          </cell>
          <cell r="Y35">
            <v>146.66666666666666</v>
          </cell>
          <cell r="Z35">
            <v>146.66666666666666</v>
          </cell>
          <cell r="AA35">
            <v>146.66666666666666</v>
          </cell>
          <cell r="AB35">
            <v>146.66666666666666</v>
          </cell>
        </row>
        <row r="37">
          <cell r="B37" t="str">
            <v>Monthly Sales</v>
          </cell>
          <cell r="C37">
            <v>12101.371465295631</v>
          </cell>
          <cell r="D37">
            <v>19279.333602088391</v>
          </cell>
          <cell r="E37">
            <v>21464.935311179343</v>
          </cell>
          <cell r="F37">
            <v>23539.530437409736</v>
          </cell>
          <cell r="G37">
            <v>26391.995366977033</v>
          </cell>
          <cell r="H37">
            <v>30082.114349746604</v>
          </cell>
          <cell r="I37">
            <v>33241.226680877633</v>
          </cell>
          <cell r="J37">
            <v>36179.934635074285</v>
          </cell>
          <cell r="K37">
            <v>39099.169969563634</v>
          </cell>
          <cell r="L37">
            <v>41785.680179242314</v>
          </cell>
          <cell r="M37">
            <v>283165.29199745459</v>
          </cell>
          <cell r="P37" t="str">
            <v>Monthly Sales</v>
          </cell>
          <cell r="Q37">
            <v>44624.244741894232</v>
          </cell>
          <cell r="R37">
            <v>47332.484585904094</v>
          </cell>
          <cell r="S37">
            <v>49941.873699242511</v>
          </cell>
          <cell r="T37">
            <v>52916.39572825603</v>
          </cell>
          <cell r="U37">
            <v>55855.092293946334</v>
          </cell>
          <cell r="V37">
            <v>58667.597411678471</v>
          </cell>
          <cell r="W37">
            <v>61307.873293336364</v>
          </cell>
          <cell r="X37">
            <v>63685.294177294636</v>
          </cell>
          <cell r="Y37">
            <v>65854.810755250117</v>
          </cell>
          <cell r="Z37">
            <v>67838.136826308677</v>
          </cell>
          <cell r="AA37">
            <v>69755.957051737627</v>
          </cell>
          <cell r="AB37">
            <v>71378.280938603843</v>
          </cell>
          <cell r="AC37">
            <v>709158.04150345293</v>
          </cell>
        </row>
        <row r="38">
          <cell r="C38" t="str">
            <v>1Q04</v>
          </cell>
          <cell r="F38" t="str">
            <v>2Q04</v>
          </cell>
          <cell r="I38" t="str">
            <v>3Q04</v>
          </cell>
          <cell r="L38" t="str">
            <v>4Q04</v>
          </cell>
          <cell r="M38">
            <v>2004</v>
          </cell>
          <cell r="S38" t="str">
            <v>1Q05</v>
          </cell>
          <cell r="V38" t="str">
            <v>2Q05</v>
          </cell>
          <cell r="Y38" t="str">
            <v>3Q05</v>
          </cell>
          <cell r="AB38" t="str">
            <v>4Q05</v>
          </cell>
          <cell r="AC38">
            <v>2005</v>
          </cell>
        </row>
        <row r="39">
          <cell r="B39" t="str">
            <v>Front-line Sales</v>
          </cell>
          <cell r="C39">
            <v>12101.371465295631</v>
          </cell>
          <cell r="F39">
            <v>64283.799350677466</v>
          </cell>
          <cell r="I39">
            <v>89715.336397601262</v>
          </cell>
          <cell r="L39">
            <v>117064.78478388023</v>
          </cell>
          <cell r="M39">
            <v>283165.29199745459</v>
          </cell>
          <cell r="P39" t="str">
            <v>Total Sales</v>
          </cell>
          <cell r="S39">
            <v>141898.60302704084</v>
          </cell>
          <cell r="V39">
            <v>167439.08543388083</v>
          </cell>
          <cell r="Y39">
            <v>190847.97822588112</v>
          </cell>
          <cell r="AB39">
            <v>208972.37481665018</v>
          </cell>
          <cell r="AC39">
            <v>709158.04150345293</v>
          </cell>
        </row>
        <row r="41">
          <cell r="B41" t="str">
            <v>Relapsed / Refractory</v>
          </cell>
          <cell r="C41">
            <v>38047</v>
          </cell>
          <cell r="D41">
            <v>38078</v>
          </cell>
          <cell r="E41">
            <v>38108</v>
          </cell>
          <cell r="F41">
            <v>38139</v>
          </cell>
          <cell r="G41">
            <v>38169</v>
          </cell>
          <cell r="H41">
            <v>38200</v>
          </cell>
          <cell r="I41">
            <v>38231</v>
          </cell>
          <cell r="J41">
            <v>38261</v>
          </cell>
          <cell r="K41">
            <v>38292</v>
          </cell>
          <cell r="L41">
            <v>38322</v>
          </cell>
          <cell r="M41">
            <v>2004</v>
          </cell>
          <cell r="P41" t="str">
            <v>Relapsed / Refractory</v>
          </cell>
          <cell r="Q41">
            <v>38353</v>
          </cell>
          <cell r="R41">
            <v>38384</v>
          </cell>
          <cell r="S41">
            <v>38412</v>
          </cell>
          <cell r="T41">
            <v>38443</v>
          </cell>
          <cell r="U41">
            <v>38473</v>
          </cell>
          <cell r="V41">
            <v>38504</v>
          </cell>
          <cell r="W41">
            <v>38534</v>
          </cell>
          <cell r="X41">
            <v>38565</v>
          </cell>
          <cell r="Y41">
            <v>38596</v>
          </cell>
          <cell r="Z41">
            <v>38626</v>
          </cell>
          <cell r="AA41">
            <v>38657</v>
          </cell>
          <cell r="AB41">
            <v>38687</v>
          </cell>
          <cell r="AC41">
            <v>2005</v>
          </cell>
        </row>
        <row r="42">
          <cell r="B42" t="str">
            <v>Previously relapsed Pts Wainting for Therapy</v>
          </cell>
          <cell r="C42">
            <v>25000</v>
          </cell>
        </row>
        <row r="43">
          <cell r="B43" t="str">
            <v>New Relapsing Patients</v>
          </cell>
          <cell r="C43">
            <v>2593</v>
          </cell>
          <cell r="D43">
            <v>2597.2784499999998</v>
          </cell>
          <cell r="E43">
            <v>2601.5639594424997</v>
          </cell>
          <cell r="F43">
            <v>2605.8565399755798</v>
          </cell>
          <cell r="G43">
            <v>2610.1562032665393</v>
          </cell>
          <cell r="H43">
            <v>2614.4629610019288</v>
          </cell>
          <cell r="I43">
            <v>2618.7768248875818</v>
          </cell>
          <cell r="J43">
            <v>2623.0978066486459</v>
          </cell>
          <cell r="K43">
            <v>2627.4259180296158</v>
          </cell>
          <cell r="L43">
            <v>2631.7611707943643</v>
          </cell>
          <cell r="M43">
            <v>26123.379834046755</v>
          </cell>
          <cell r="P43" t="str">
            <v>New Relapsing Patients</v>
          </cell>
          <cell r="Q43">
            <v>2636.1035767261747</v>
          </cell>
          <cell r="R43">
            <v>2640.4531476277725</v>
          </cell>
          <cell r="S43">
            <v>2644.809895321358</v>
          </cell>
          <cell r="T43">
            <v>2649.173831648638</v>
          </cell>
          <cell r="U43">
            <v>2653.5449684708583</v>
          </cell>
          <cell r="V43">
            <v>2657.9233176688349</v>
          </cell>
          <cell r="W43">
            <v>2662.3088911429882</v>
          </cell>
          <cell r="X43">
            <v>2666.7017008133739</v>
          </cell>
          <cell r="Y43">
            <v>2671.1017586197158</v>
          </cell>
          <cell r="Z43">
            <v>2675.5090765214381</v>
          </cell>
          <cell r="AA43">
            <v>2679.9236664976984</v>
          </cell>
          <cell r="AB43">
            <v>2684.3455405474192</v>
          </cell>
          <cell r="AC43">
            <v>31921.899371606272</v>
          </cell>
        </row>
        <row r="44">
          <cell r="C44">
            <v>0.18</v>
          </cell>
          <cell r="D44">
            <v>0.34</v>
          </cell>
          <cell r="E44">
            <v>0.34</v>
          </cell>
          <cell r="F44">
            <v>0.34</v>
          </cell>
          <cell r="G44">
            <v>0.34</v>
          </cell>
          <cell r="H44">
            <v>0.34</v>
          </cell>
          <cell r="I44">
            <v>0.34</v>
          </cell>
          <cell r="J44">
            <v>0.36</v>
          </cell>
          <cell r="K44">
            <v>0.36</v>
          </cell>
          <cell r="L44">
            <v>0.36</v>
          </cell>
          <cell r="Q44">
            <v>0.4</v>
          </cell>
          <cell r="R44">
            <v>0.43</v>
          </cell>
          <cell r="S44">
            <v>0.47</v>
          </cell>
          <cell r="T44">
            <v>0.48</v>
          </cell>
          <cell r="U44">
            <v>0.49</v>
          </cell>
          <cell r="V44">
            <v>0.49</v>
          </cell>
          <cell r="W44">
            <v>0.5</v>
          </cell>
          <cell r="X44">
            <v>0.5</v>
          </cell>
          <cell r="Y44">
            <v>0.5</v>
          </cell>
          <cell r="Z44">
            <v>0.5</v>
          </cell>
          <cell r="AA44">
            <v>0.5</v>
          </cell>
          <cell r="AB44">
            <v>0.5</v>
          </cell>
          <cell r="AC44">
            <v>0.48014264355070313</v>
          </cell>
        </row>
        <row r="45">
          <cell r="B45" t="str">
            <v>New Patients Starting Therapy</v>
          </cell>
          <cell r="C45">
            <v>4600</v>
          </cell>
          <cell r="D45">
            <v>883.07467299999996</v>
          </cell>
          <cell r="E45">
            <v>884.53174621044991</v>
          </cell>
          <cell r="F45">
            <v>885.99122359169723</v>
          </cell>
          <cell r="G45">
            <v>887.45310911062336</v>
          </cell>
          <cell r="H45">
            <v>888.91740674065579</v>
          </cell>
          <cell r="I45">
            <v>890.38412046177791</v>
          </cell>
          <cell r="J45">
            <v>944.31521039351253</v>
          </cell>
          <cell r="K45">
            <v>945.8733304906616</v>
          </cell>
          <cell r="L45">
            <v>947.43402148597113</v>
          </cell>
          <cell r="M45">
            <v>12757.974841485349</v>
          </cell>
          <cell r="P45" t="str">
            <v>New Patients Starting Therapy</v>
          </cell>
          <cell r="Q45">
            <v>1054.4414306904698</v>
          </cell>
          <cell r="R45">
            <v>1135.3948534799422</v>
          </cell>
          <cell r="S45">
            <v>1243.0606508010383</v>
          </cell>
          <cell r="T45">
            <v>1271.6034391913463</v>
          </cell>
          <cell r="U45">
            <v>1300.2370345507206</v>
          </cell>
          <cell r="V45">
            <v>1302.3824256577291</v>
          </cell>
          <cell r="W45">
            <v>1331.1544455714941</v>
          </cell>
          <cell r="X45">
            <v>1333.350850406687</v>
          </cell>
          <cell r="Y45">
            <v>1335.5508793098579</v>
          </cell>
          <cell r="Z45">
            <v>1337.7545382607191</v>
          </cell>
          <cell r="AA45">
            <v>1339.9618332488492</v>
          </cell>
          <cell r="AB45">
            <v>1342.1727702737096</v>
          </cell>
          <cell r="AC45">
            <v>15327.065151442564</v>
          </cell>
        </row>
        <row r="46">
          <cell r="B46" t="str">
            <v>Failures</v>
          </cell>
          <cell r="P46" t="str">
            <v>Failures</v>
          </cell>
          <cell r="AE46" t="str">
            <v>Distribution of Failure Rates</v>
          </cell>
        </row>
        <row r="47">
          <cell r="B47" t="str">
            <v>1 Month</v>
          </cell>
          <cell r="C47">
            <v>8.9008176767992015</v>
          </cell>
          <cell r="D47">
            <v>1.708714491167842</v>
          </cell>
          <cell r="E47">
            <v>1.711533870078269</v>
          </cell>
          <cell r="F47">
            <v>1.7143579009638983</v>
          </cell>
          <cell r="G47">
            <v>1.7171865915004882</v>
          </cell>
          <cell r="H47">
            <v>1.7200199493764639</v>
          </cell>
          <cell r="I47">
            <v>1.7228579822929351</v>
          </cell>
          <cell r="J47">
            <v>1.8272125037262896</v>
          </cell>
          <cell r="K47">
            <v>1.8302274043574376</v>
          </cell>
          <cell r="L47">
            <v>1.8332472795746273</v>
          </cell>
          <cell r="P47" t="str">
            <v>1 Month</v>
          </cell>
          <cell r="Q47">
            <v>2.0403023750954725</v>
          </cell>
          <cell r="R47">
            <v>2.1969440395654583</v>
          </cell>
          <cell r="S47">
            <v>2.4052730899963914</v>
          </cell>
          <cell r="T47">
            <v>2.4605022542245636</v>
          </cell>
          <cell r="U47">
            <v>2.5159071263387016</v>
          </cell>
          <cell r="V47">
            <v>2.52005837309716</v>
          </cell>
          <cell r="W47">
            <v>2.5757310912375204</v>
          </cell>
          <cell r="X47">
            <v>2.579981047538062</v>
          </cell>
          <cell r="Y47">
            <v>2.5842380162664997</v>
          </cell>
          <cell r="Z47">
            <v>2.5885020089933395</v>
          </cell>
          <cell r="AA47">
            <v>2.5927730373081781</v>
          </cell>
          <cell r="AB47">
            <v>2.5970511128197362</v>
          </cell>
          <cell r="AE47">
            <v>1</v>
          </cell>
          <cell r="AF47">
            <v>0.62</v>
          </cell>
          <cell r="AG47">
            <v>1.9349603645215654E-3</v>
          </cell>
        </row>
        <row r="48">
          <cell r="B48" t="str">
            <v>2 Months</v>
          </cell>
          <cell r="D48">
            <v>34.454778103738839</v>
          </cell>
          <cell r="E48">
            <v>6.6143786754884211</v>
          </cell>
          <cell r="F48">
            <v>6.6252924003029765</v>
          </cell>
          <cell r="G48">
            <v>6.636224132763477</v>
          </cell>
          <cell r="H48">
            <v>6.6471739025825354</v>
          </cell>
          <cell r="I48">
            <v>6.6581417395217954</v>
          </cell>
          <cell r="J48">
            <v>6.6691276733920066</v>
          </cell>
          <cell r="K48">
            <v>7.0730806595856377</v>
          </cell>
          <cell r="L48">
            <v>7.0847512426739518</v>
          </cell>
          <cell r="P48" t="str">
            <v>2 Months</v>
          </cell>
          <cell r="Q48">
            <v>7.0964410822243638</v>
          </cell>
          <cell r="R48">
            <v>7.8979446777889253</v>
          </cell>
          <cell r="S48">
            <v>8.5042995079953219</v>
          </cell>
          <cell r="T48">
            <v>9.310734541921514</v>
          </cell>
          <cell r="U48">
            <v>9.5245248550628272</v>
          </cell>
          <cell r="V48">
            <v>9.7389953277627157</v>
          </cell>
          <cell r="W48">
            <v>9.7550646700535228</v>
          </cell>
          <cell r="X48">
            <v>9.9705719660807244</v>
          </cell>
          <cell r="Y48">
            <v>9.9870234098247561</v>
          </cell>
          <cell r="Z48">
            <v>10.003501998450966</v>
          </cell>
          <cell r="AA48">
            <v>10.020007776748411</v>
          </cell>
          <cell r="AB48">
            <v>10.036540789580044</v>
          </cell>
          <cell r="AE48">
            <v>2</v>
          </cell>
          <cell r="AF48">
            <v>2.4</v>
          </cell>
          <cell r="AG48">
            <v>7.4901691529867045E-3</v>
          </cell>
        </row>
        <row r="49">
          <cell r="B49" t="str">
            <v>3 Months</v>
          </cell>
          <cell r="E49">
            <v>117.72049185444104</v>
          </cell>
          <cell r="F49">
            <v>22.599127141252104</v>
          </cell>
          <cell r="G49">
            <v>22.636415701035169</v>
          </cell>
          <cell r="H49">
            <v>22.673765786941878</v>
          </cell>
          <cell r="I49">
            <v>22.711177500490326</v>
          </cell>
          <cell r="J49">
            <v>22.748650943366133</v>
          </cell>
          <cell r="K49">
            <v>22.786186217422689</v>
          </cell>
          <cell r="L49">
            <v>24.166358920250925</v>
          </cell>
          <cell r="P49" t="str">
            <v>3 Months</v>
          </cell>
          <cell r="Q49">
            <v>24.206233412469334</v>
          </cell>
          <cell r="R49">
            <v>24.246173697599907</v>
          </cell>
          <cell r="S49">
            <v>26.984644315778826</v>
          </cell>
          <cell r="T49">
            <v>29.056356652317348</v>
          </cell>
          <cell r="U49">
            <v>31.811676351565172</v>
          </cell>
          <cell r="V49">
            <v>32.542126588131325</v>
          </cell>
          <cell r="W49">
            <v>33.274900703189275</v>
          </cell>
          <cell r="X49">
            <v>33.329804289349532</v>
          </cell>
          <cell r="Y49">
            <v>34.066120884109139</v>
          </cell>
          <cell r="Z49">
            <v>34.122329983567916</v>
          </cell>
          <cell r="AA49">
            <v>34.1786318280408</v>
          </cell>
          <cell r="AB49">
            <v>34.235026570557068</v>
          </cell>
          <cell r="AE49">
            <v>3</v>
          </cell>
          <cell r="AF49">
            <v>8.1999999999999993</v>
          </cell>
          <cell r="AG49">
            <v>2.5591411272704572E-2</v>
          </cell>
        </row>
        <row r="50">
          <cell r="B50" t="str">
            <v>4 Months</v>
          </cell>
          <cell r="F50">
            <v>301.47930840771488</v>
          </cell>
          <cell r="G50">
            <v>57.875813410523683</v>
          </cell>
          <cell r="H50">
            <v>57.971308502651041</v>
          </cell>
          <cell r="I50">
            <v>58.066961161680425</v>
          </cell>
          <cell r="J50">
            <v>58.162771647597182</v>
          </cell>
          <cell r="K50">
            <v>58.258740220815717</v>
          </cell>
          <cell r="L50">
            <v>58.354867142180062</v>
          </cell>
          <cell r="P50" t="str">
            <v>4 Months</v>
          </cell>
          <cell r="Q50">
            <v>61.88945577137433</v>
          </cell>
          <cell r="R50">
            <v>61.991573373397081</v>
          </cell>
          <cell r="S50">
            <v>62.093859469463183</v>
          </cell>
          <cell r="T50">
            <v>69.107015930653091</v>
          </cell>
          <cell r="U50">
            <v>74.412620694959074</v>
          </cell>
          <cell r="V50">
            <v>81.468927241813248</v>
          </cell>
          <cell r="W50">
            <v>83.339592481799741</v>
          </cell>
          <cell r="X50">
            <v>85.216209117923768</v>
          </cell>
          <cell r="Y50">
            <v>85.356815862968318</v>
          </cell>
          <cell r="Z50">
            <v>87.242504703206336</v>
          </cell>
          <cell r="AA50">
            <v>87.386454835966617</v>
          </cell>
          <cell r="AB50">
            <v>87.53064248644597</v>
          </cell>
          <cell r="AE50">
            <v>4</v>
          </cell>
          <cell r="AF50">
            <v>21</v>
          </cell>
          <cell r="AG50">
            <v>6.5538980088633667E-2</v>
          </cell>
        </row>
        <row r="51">
          <cell r="B51" t="str">
            <v>5 Months</v>
          </cell>
          <cell r="G51">
            <v>674.73940453155228</v>
          </cell>
          <cell r="H51">
            <v>129.53158239498157</v>
          </cell>
          <cell r="I51">
            <v>129.74530950593328</v>
          </cell>
          <cell r="J51">
            <v>129.95938926661807</v>
          </cell>
          <cell r="K51">
            <v>130.17382225890796</v>
          </cell>
          <cell r="L51">
            <v>130.38860906563517</v>
          </cell>
          <cell r="P51" t="str">
            <v>5 Months</v>
          </cell>
          <cell r="Q51">
            <v>130.60375027059345</v>
          </cell>
          <cell r="R51">
            <v>138.51449625021871</v>
          </cell>
          <cell r="S51">
            <v>138.74304516903155</v>
          </cell>
          <cell r="T51">
            <v>138.97197119356045</v>
          </cell>
          <cell r="U51">
            <v>154.66808327336645</v>
          </cell>
          <cell r="V51">
            <v>166.54253203157504</v>
          </cell>
          <cell r="W51">
            <v>182.33521811262966</v>
          </cell>
          <cell r="X51">
            <v>186.52194507831368</v>
          </cell>
          <cell r="Y51">
            <v>190.72199183535318</v>
          </cell>
          <cell r="Z51">
            <v>191.03668312188145</v>
          </cell>
          <cell r="AA51">
            <v>195.25703433574751</v>
          </cell>
          <cell r="AB51">
            <v>195.57920844240147</v>
          </cell>
          <cell r="AE51">
            <v>5</v>
          </cell>
          <cell r="AF51">
            <v>47</v>
          </cell>
          <cell r="AG51">
            <v>0.14668247924598962</v>
          </cell>
        </row>
        <row r="52">
          <cell r="B52" t="str">
            <v>6 Months</v>
          </cell>
          <cell r="H52">
            <v>1162.8487610011857</v>
          </cell>
          <cell r="I52">
            <v>223.23528029773419</v>
          </cell>
          <cell r="J52">
            <v>223.60361851022543</v>
          </cell>
          <cell r="K52">
            <v>223.97256448076732</v>
          </cell>
          <cell r="L52">
            <v>224.34211921216055</v>
          </cell>
          <cell r="P52" t="str">
            <v>6 Months</v>
          </cell>
          <cell r="Q52">
            <v>224.71228370886058</v>
          </cell>
          <cell r="R52">
            <v>225.08305897698023</v>
          </cell>
          <cell r="S52">
            <v>238.71647226101524</v>
          </cell>
          <cell r="T52">
            <v>239.11035444024586</v>
          </cell>
          <cell r="U52">
            <v>239.50488652507227</v>
          </cell>
          <cell r="V52">
            <v>266.5556328753762</v>
          </cell>
          <cell r="W52">
            <v>287.02010839484211</v>
          </cell>
          <cell r="X52">
            <v>314.2372907898511</v>
          </cell>
          <cell r="Y52">
            <v>321.45271385837037</v>
          </cell>
          <cell r="Z52">
            <v>328.69109231199161</v>
          </cell>
          <cell r="AA52">
            <v>329.23343261430637</v>
          </cell>
          <cell r="AB52">
            <v>336.5068038552244</v>
          </cell>
          <cell r="AE52">
            <v>6</v>
          </cell>
          <cell r="AF52">
            <v>81</v>
          </cell>
          <cell r="AG52">
            <v>0.25279320891330126</v>
          </cell>
        </row>
        <row r="53">
          <cell r="B53" t="str">
            <v>7 Months</v>
          </cell>
          <cell r="I53">
            <v>1162.8487610011857</v>
          </cell>
          <cell r="J53">
            <v>223.23528029773419</v>
          </cell>
          <cell r="K53">
            <v>223.60361851022543</v>
          </cell>
          <cell r="L53">
            <v>223.97256448076732</v>
          </cell>
          <cell r="P53" t="str">
            <v>7 Months</v>
          </cell>
          <cell r="Q53">
            <v>224.34211921216055</v>
          </cell>
          <cell r="R53">
            <v>224.71228370886058</v>
          </cell>
          <cell r="S53">
            <v>225.08305897698023</v>
          </cell>
          <cell r="T53">
            <v>238.71647226101524</v>
          </cell>
          <cell r="U53">
            <v>239.11035444024586</v>
          </cell>
          <cell r="V53">
            <v>239.50488652507227</v>
          </cell>
          <cell r="W53">
            <v>266.5556328753762</v>
          </cell>
          <cell r="X53">
            <v>287.02010839484211</v>
          </cell>
          <cell r="Y53">
            <v>314.2372907898511</v>
          </cell>
          <cell r="Z53">
            <v>321.45271385837037</v>
          </cell>
          <cell r="AA53">
            <v>328.69109231199161</v>
          </cell>
          <cell r="AB53">
            <v>329.23343261430637</v>
          </cell>
          <cell r="AE53">
            <v>7</v>
          </cell>
          <cell r="AF53">
            <v>81</v>
          </cell>
          <cell r="AG53">
            <v>0.25279320891330126</v>
          </cell>
          <cell r="AH53">
            <v>320.42</v>
          </cell>
        </row>
        <row r="54">
          <cell r="B54" t="str">
            <v>8 Months</v>
          </cell>
          <cell r="J54">
            <v>674.73940453155228</v>
          </cell>
          <cell r="K54">
            <v>129.53158239498157</v>
          </cell>
          <cell r="L54">
            <v>129.74530950593328</v>
          </cell>
          <cell r="P54" t="str">
            <v>8 Months</v>
          </cell>
          <cell r="Q54">
            <v>129.95938926661807</v>
          </cell>
          <cell r="R54">
            <v>130.17382225890796</v>
          </cell>
          <cell r="S54">
            <v>130.38860906563517</v>
          </cell>
          <cell r="T54">
            <v>130.60375027059345</v>
          </cell>
          <cell r="U54">
            <v>138.51449625021871</v>
          </cell>
          <cell r="V54">
            <v>138.74304516903155</v>
          </cell>
          <cell r="W54">
            <v>138.97197119356045</v>
          </cell>
          <cell r="X54">
            <v>154.66808327336645</v>
          </cell>
          <cell r="Y54">
            <v>166.54253203157504</v>
          </cell>
          <cell r="Z54">
            <v>182.33521811262966</v>
          </cell>
          <cell r="AA54">
            <v>186.52194507831368</v>
          </cell>
          <cell r="AB54">
            <v>190.72199183535318</v>
          </cell>
          <cell r="AE54">
            <v>8</v>
          </cell>
          <cell r="AF54">
            <v>47</v>
          </cell>
          <cell r="AG54">
            <v>0.14668247924598962</v>
          </cell>
        </row>
        <row r="55">
          <cell r="B55" t="str">
            <v>9 Months</v>
          </cell>
          <cell r="K55">
            <v>301.47930840771488</v>
          </cell>
          <cell r="L55">
            <v>57.875813410523683</v>
          </cell>
          <cell r="P55" t="str">
            <v>9 Months</v>
          </cell>
          <cell r="Q55">
            <v>57.971308502651041</v>
          </cell>
          <cell r="R55">
            <v>58.066961161680425</v>
          </cell>
          <cell r="S55">
            <v>58.162771647597182</v>
          </cell>
          <cell r="T55">
            <v>58.258740220815717</v>
          </cell>
          <cell r="U55">
            <v>58.354867142180062</v>
          </cell>
          <cell r="V55">
            <v>61.88945577137433</v>
          </cell>
          <cell r="W55">
            <v>61.991573373397081</v>
          </cell>
          <cell r="X55">
            <v>62.093859469463183</v>
          </cell>
          <cell r="Y55">
            <v>69.107015930653091</v>
          </cell>
          <cell r="Z55">
            <v>74.412620694959074</v>
          </cell>
          <cell r="AA55">
            <v>81.468927241813248</v>
          </cell>
          <cell r="AB55">
            <v>83.339592481799741</v>
          </cell>
          <cell r="AE55">
            <v>9</v>
          </cell>
          <cell r="AF55">
            <v>21</v>
          </cell>
          <cell r="AG55">
            <v>6.5538980088633667E-2</v>
          </cell>
        </row>
        <row r="56">
          <cell r="B56" t="str">
            <v>10 Months</v>
          </cell>
          <cell r="L56">
            <v>117.72049185444104</v>
          </cell>
          <cell r="P56" t="str">
            <v>10 Months</v>
          </cell>
          <cell r="Q56">
            <v>22.599127141252104</v>
          </cell>
          <cell r="R56">
            <v>22.636415701035169</v>
          </cell>
          <cell r="S56">
            <v>22.673765786941878</v>
          </cell>
          <cell r="T56">
            <v>22.711177500490326</v>
          </cell>
          <cell r="U56">
            <v>22.748650943366133</v>
          </cell>
          <cell r="V56">
            <v>22.786186217422689</v>
          </cell>
          <cell r="W56">
            <v>24.166358920250925</v>
          </cell>
          <cell r="X56">
            <v>24.206233412469334</v>
          </cell>
          <cell r="Y56">
            <v>24.246173697599907</v>
          </cell>
          <cell r="Z56">
            <v>26.984644315778826</v>
          </cell>
          <cell r="AA56">
            <v>29.056356652317348</v>
          </cell>
          <cell r="AB56">
            <v>31.811676351565172</v>
          </cell>
          <cell r="AE56">
            <v>10</v>
          </cell>
          <cell r="AF56">
            <v>8.1999999999999993</v>
          </cell>
          <cell r="AG56">
            <v>2.5591411272704572E-2</v>
          </cell>
        </row>
        <row r="57">
          <cell r="P57" t="str">
            <v>11 Months</v>
          </cell>
          <cell r="Q57">
            <v>34.454778103738839</v>
          </cell>
          <cell r="R57">
            <v>6.6143786754884211</v>
          </cell>
          <cell r="S57">
            <v>6.6252924003029765</v>
          </cell>
          <cell r="T57">
            <v>6.636224132763477</v>
          </cell>
          <cell r="U57">
            <v>6.6471739025825354</v>
          </cell>
          <cell r="V57">
            <v>6.6581417395217954</v>
          </cell>
          <cell r="W57">
            <v>6.6691276733920066</v>
          </cell>
          <cell r="X57">
            <v>7.0730806595856377</v>
          </cell>
          <cell r="Y57">
            <v>7.0847512426739518</v>
          </cell>
          <cell r="Z57">
            <v>7.0964410822243638</v>
          </cell>
          <cell r="AA57">
            <v>7.8979446777889253</v>
          </cell>
          <cell r="AB57">
            <v>8.5042995079953219</v>
          </cell>
          <cell r="AE57">
            <v>11</v>
          </cell>
          <cell r="AF57">
            <v>2.4</v>
          </cell>
          <cell r="AG57">
            <v>7.4901691529867045E-3</v>
          </cell>
        </row>
        <row r="58">
          <cell r="P58" t="str">
            <v>12 Months</v>
          </cell>
          <cell r="R58">
            <v>8.6136945259347097</v>
          </cell>
          <cell r="S58">
            <v>1.6535946688721053</v>
          </cell>
          <cell r="T58">
            <v>1.6563231000757441</v>
          </cell>
          <cell r="U58">
            <v>1.6590560331908693</v>
          </cell>
          <cell r="V58">
            <v>1.6617934756456338</v>
          </cell>
          <cell r="W58">
            <v>1.6645354348804489</v>
          </cell>
          <cell r="X58">
            <v>1.6672819183480017</v>
          </cell>
          <cell r="Y58">
            <v>1.7682701648964094</v>
          </cell>
          <cell r="Z58">
            <v>1.771187810668488</v>
          </cell>
          <cell r="AA58">
            <v>1.7741102705560909</v>
          </cell>
          <cell r="AB58">
            <v>1.9744861694472313</v>
          </cell>
          <cell r="AE58">
            <v>12</v>
          </cell>
          <cell r="AF58">
            <v>0.6</v>
          </cell>
          <cell r="AG58">
            <v>1.8725422882466761E-3</v>
          </cell>
        </row>
        <row r="59">
          <cell r="B59" t="str">
            <v>Total Patient Drop-Outs</v>
          </cell>
          <cell r="C59">
            <v>8.9008176767992015</v>
          </cell>
          <cell r="D59">
            <v>36.163492594906678</v>
          </cell>
          <cell r="E59">
            <v>126.04640440000773</v>
          </cell>
          <cell r="F59">
            <v>332.41808585023387</v>
          </cell>
          <cell r="G59">
            <v>763.60504436737506</v>
          </cell>
          <cell r="H59">
            <v>1381.3926115377192</v>
          </cell>
          <cell r="I59">
            <v>1604.9884891888387</v>
          </cell>
          <cell r="J59">
            <v>1340.9454553742116</v>
          </cell>
          <cell r="K59">
            <v>1098.7091305547785</v>
          </cell>
          <cell r="L59">
            <v>975.48413211414072</v>
          </cell>
          <cell r="P59" t="str">
            <v>Total Patient Drop-Outs</v>
          </cell>
          <cell r="Q59">
            <v>919.8751888470382</v>
          </cell>
          <cell r="R59">
            <v>910.74774704745766</v>
          </cell>
          <cell r="S59">
            <v>922.03468635961008</v>
          </cell>
          <cell r="T59">
            <v>946.59962249867669</v>
          </cell>
          <cell r="U59">
            <v>979.4722975381485</v>
          </cell>
          <cell r="V59">
            <v>1030.6117813358239</v>
          </cell>
          <cell r="W59">
            <v>1098.3198149246091</v>
          </cell>
          <cell r="X59">
            <v>1168.5844494171315</v>
          </cell>
          <cell r="Y59">
            <v>1227.1549377241417</v>
          </cell>
          <cell r="Z59">
            <v>1267.7374400027222</v>
          </cell>
          <cell r="AA59">
            <v>1294.0787106608987</v>
          </cell>
          <cell r="AB59">
            <v>1312.0707522174955</v>
          </cell>
        </row>
        <row r="60">
          <cell r="B60" t="str">
            <v>Patients at Start of Period</v>
          </cell>
          <cell r="C60">
            <v>0</v>
          </cell>
          <cell r="D60">
            <v>4591.0991823232007</v>
          </cell>
          <cell r="E60">
            <v>5438.0103627282942</v>
          </cell>
          <cell r="F60">
            <v>6196.4957045387364</v>
          </cell>
          <cell r="G60">
            <v>6750.0688422801995</v>
          </cell>
          <cell r="H60">
            <v>6873.9169070234484</v>
          </cell>
          <cell r="I60">
            <v>6381.4417022263851</v>
          </cell>
          <cell r="J60">
            <v>5666.8373334993239</v>
          </cell>
          <cell r="K60">
            <v>5270.2070885186249</v>
          </cell>
          <cell r="L60">
            <v>5117.3712884545084</v>
          </cell>
          <cell r="P60" t="str">
            <v>Patients at Start of Period</v>
          </cell>
          <cell r="Q60">
            <v>5089.3211778263394</v>
          </cell>
          <cell r="R60">
            <v>5223.8874196697716</v>
          </cell>
          <cell r="S60">
            <v>5448.5345261022558</v>
          </cell>
          <cell r="T60">
            <v>5769.5604905436849</v>
          </cell>
          <cell r="U60">
            <v>6094.5643072363546</v>
          </cell>
          <cell r="V60">
            <v>6415.3290442489269</v>
          </cell>
          <cell r="W60">
            <v>6687.0996885708319</v>
          </cell>
          <cell r="X60">
            <v>6919.9343192177166</v>
          </cell>
          <cell r="Y60">
            <v>7084.7007202072718</v>
          </cell>
          <cell r="Z60">
            <v>7193.0966617929889</v>
          </cell>
          <cell r="AA60">
            <v>7263.1137600509865</v>
          </cell>
          <cell r="AB60">
            <v>7308.9968826389377</v>
          </cell>
        </row>
        <row r="61">
          <cell r="B61" t="str">
            <v>Patients at End of Period</v>
          </cell>
          <cell r="C61">
            <v>4591.0991823232007</v>
          </cell>
          <cell r="D61">
            <v>5438.0103627282942</v>
          </cell>
          <cell r="E61">
            <v>6196.4957045387364</v>
          </cell>
          <cell r="F61">
            <v>6750.0688422801995</v>
          </cell>
          <cell r="G61">
            <v>6873.9169070234484</v>
          </cell>
          <cell r="H61">
            <v>6381.4417022263851</v>
          </cell>
          <cell r="I61">
            <v>5666.8373334993239</v>
          </cell>
          <cell r="J61">
            <v>5270.2070885186249</v>
          </cell>
          <cell r="K61">
            <v>5117.3712884545084</v>
          </cell>
          <cell r="L61">
            <v>5089.3211778263394</v>
          </cell>
          <cell r="P61" t="str">
            <v>Patients at End of Period</v>
          </cell>
          <cell r="Q61">
            <v>5223.8874196697716</v>
          </cell>
          <cell r="R61">
            <v>5448.5345261022558</v>
          </cell>
          <cell r="S61">
            <v>5769.5604905436849</v>
          </cell>
          <cell r="T61">
            <v>6094.5643072363546</v>
          </cell>
          <cell r="U61">
            <v>6415.3290442489269</v>
          </cell>
          <cell r="V61">
            <v>6687.0996885708319</v>
          </cell>
          <cell r="W61">
            <v>6919.9343192177166</v>
          </cell>
          <cell r="X61">
            <v>7084.7007202072718</v>
          </cell>
          <cell r="Y61">
            <v>7193.0966617929889</v>
          </cell>
          <cell r="Z61">
            <v>7263.1137600509865</v>
          </cell>
          <cell r="AA61">
            <v>7308.9968826389377</v>
          </cell>
          <cell r="AB61">
            <v>7339.0989006951522</v>
          </cell>
        </row>
        <row r="63">
          <cell r="B63" t="str">
            <v>Total Patient Days</v>
          </cell>
          <cell r="C63">
            <v>85164.889832095359</v>
          </cell>
          <cell r="D63">
            <v>139344.90769040224</v>
          </cell>
          <cell r="E63">
            <v>160189.67694661734</v>
          </cell>
          <cell r="F63">
            <v>175667.75966879056</v>
          </cell>
          <cell r="G63">
            <v>179113.50410454167</v>
          </cell>
          <cell r="H63">
            <v>165302.16069089193</v>
          </cell>
          <cell r="I63">
            <v>145271.16432503134</v>
          </cell>
          <cell r="J63">
            <v>133353.85456209915</v>
          </cell>
          <cell r="K63">
            <v>129051.00245284176</v>
          </cell>
          <cell r="L63">
            <v>128242.11095577363</v>
          </cell>
          <cell r="P63" t="str">
            <v>Total Patient Days</v>
          </cell>
          <cell r="Q63">
            <v>130842.36961975202</v>
          </cell>
          <cell r="R63">
            <v>135948.1400244516</v>
          </cell>
          <cell r="S63">
            <v>142839.63094066753</v>
          </cell>
          <cell r="T63">
            <v>151510.16884278817</v>
          </cell>
          <cell r="U63">
            <v>160060.64586898161</v>
          </cell>
          <cell r="V63">
            <v>167637.93577383447</v>
          </cell>
          <cell r="W63">
            <v>173724.28653224508</v>
          </cell>
          <cell r="X63">
            <v>178304.68986718298</v>
          </cell>
          <cell r="Y63">
            <v>181306.6657965903</v>
          </cell>
          <cell r="Z63">
            <v>183233.9794806038</v>
          </cell>
          <cell r="AA63">
            <v>184485.48712349506</v>
          </cell>
          <cell r="AB63">
            <v>185295.06902684493</v>
          </cell>
        </row>
        <row r="64">
          <cell r="B64" t="str">
            <v>Average Cost/Day</v>
          </cell>
          <cell r="C64">
            <v>146.66666666666666</v>
          </cell>
          <cell r="D64">
            <v>146.66666666666666</v>
          </cell>
          <cell r="E64">
            <v>146.66666666666666</v>
          </cell>
          <cell r="F64">
            <v>146.66666666666666</v>
          </cell>
          <cell r="G64">
            <v>146.66666666666666</v>
          </cell>
          <cell r="H64">
            <v>146.66666666666666</v>
          </cell>
          <cell r="I64">
            <v>146.66666666666666</v>
          </cell>
          <cell r="J64">
            <v>146.66666666666666</v>
          </cell>
          <cell r="K64">
            <v>146.66666666666666</v>
          </cell>
          <cell r="L64">
            <v>146.66666666666666</v>
          </cell>
          <cell r="P64" t="str">
            <v>Average Cost/Day</v>
          </cell>
          <cell r="Q64">
            <v>146.66666666666666</v>
          </cell>
          <cell r="R64">
            <v>146.66666666666666</v>
          </cell>
          <cell r="S64">
            <v>146.66666666666666</v>
          </cell>
          <cell r="T64">
            <v>146.66666666666666</v>
          </cell>
          <cell r="U64">
            <v>146.66666666666666</v>
          </cell>
          <cell r="V64">
            <v>146.66666666666666</v>
          </cell>
          <cell r="W64">
            <v>146.66666666666666</v>
          </cell>
          <cell r="X64">
            <v>146.66666666666666</v>
          </cell>
          <cell r="Y64">
            <v>146.66666666666666</v>
          </cell>
          <cell r="Z64">
            <v>146.66666666666666</v>
          </cell>
          <cell r="AA64">
            <v>146.66666666666666</v>
          </cell>
          <cell r="AB64">
            <v>146.66666666666666</v>
          </cell>
        </row>
        <row r="66">
          <cell r="B66" t="str">
            <v>Monthly Sales</v>
          </cell>
          <cell r="C66">
            <v>12490.850508707319</v>
          </cell>
          <cell r="D66">
            <v>20437.253127925662</v>
          </cell>
          <cell r="E66">
            <v>23494.485952170544</v>
          </cell>
          <cell r="F66">
            <v>25764.604751422616</v>
          </cell>
          <cell r="G66">
            <v>26269.980601999443</v>
          </cell>
          <cell r="H66">
            <v>24244.316901330814</v>
          </cell>
          <cell r="I66">
            <v>21306.437434337928</v>
          </cell>
          <cell r="J66">
            <v>19558.56533577454</v>
          </cell>
          <cell r="K66">
            <v>18927.480359750123</v>
          </cell>
          <cell r="L66">
            <v>18808.84294018013</v>
          </cell>
          <cell r="M66">
            <v>211302.81791359911</v>
          </cell>
          <cell r="P66" t="str">
            <v>Monthly Sales</v>
          </cell>
          <cell r="Q66">
            <v>19190.21421089696</v>
          </cell>
          <cell r="R66">
            <v>19939.060536919569</v>
          </cell>
          <cell r="S66">
            <v>20949.812537964572</v>
          </cell>
          <cell r="T66">
            <v>22221.491430275597</v>
          </cell>
          <cell r="U66">
            <v>23475.5613941173</v>
          </cell>
          <cell r="V66">
            <v>24586.897246829056</v>
          </cell>
          <cell r="W66">
            <v>25479.562024729279</v>
          </cell>
          <cell r="X66">
            <v>26151.354513853501</v>
          </cell>
          <cell r="Y66">
            <v>26591.644316833244</v>
          </cell>
          <cell r="Z66">
            <v>26874.316990488554</v>
          </cell>
          <cell r="AA66">
            <v>27057.871444779274</v>
          </cell>
          <cell r="AB66">
            <v>27176.610123937255</v>
          </cell>
          <cell r="AC66">
            <v>289694.3967716241</v>
          </cell>
        </row>
        <row r="67">
          <cell r="C67" t="str">
            <v>1Q04</v>
          </cell>
          <cell r="F67" t="str">
            <v>2Q04</v>
          </cell>
          <cell r="I67" t="str">
            <v>3Q04</v>
          </cell>
          <cell r="L67" t="str">
            <v>4Q04</v>
          </cell>
          <cell r="M67">
            <v>2004</v>
          </cell>
          <cell r="S67" t="str">
            <v>1Q05</v>
          </cell>
          <cell r="V67" t="str">
            <v>2Q05</v>
          </cell>
          <cell r="Y67" t="str">
            <v>3Q05</v>
          </cell>
          <cell r="AB67" t="str">
            <v>4Q05</v>
          </cell>
          <cell r="AC67">
            <v>2005</v>
          </cell>
        </row>
        <row r="68">
          <cell r="B68" t="str">
            <v>Relapsed/Refractory Sales</v>
          </cell>
          <cell r="C68">
            <v>12490.850508707319</v>
          </cell>
          <cell r="F68">
            <v>69696.34383151881</v>
          </cell>
          <cell r="I68">
            <v>71820.734937668181</v>
          </cell>
          <cell r="L68">
            <v>57294.888635704789</v>
          </cell>
          <cell r="M68">
            <v>211302.81791359911</v>
          </cell>
          <cell r="P68" t="str">
            <v>Total Sales</v>
          </cell>
          <cell r="S68">
            <v>60079.087285781097</v>
          </cell>
          <cell r="V68">
            <v>70283.95007122196</v>
          </cell>
          <cell r="Y68">
            <v>78222.560855416028</v>
          </cell>
          <cell r="AB68">
            <v>81108.798559205083</v>
          </cell>
          <cell r="AC68">
            <v>289694.39677162416</v>
          </cell>
        </row>
        <row r="70">
          <cell r="C70" t="str">
            <v>1Q04</v>
          </cell>
          <cell r="F70" t="str">
            <v>2Q04</v>
          </cell>
          <cell r="I70" t="str">
            <v>3Q04</v>
          </cell>
          <cell r="L70" t="str">
            <v>4Q04</v>
          </cell>
          <cell r="M70">
            <v>2004</v>
          </cell>
          <cell r="S70" t="str">
            <v>1Q05</v>
          </cell>
          <cell r="V70" t="str">
            <v>2Q05</v>
          </cell>
          <cell r="Y70" t="str">
            <v>3Q05</v>
          </cell>
          <cell r="AB70" t="str">
            <v>4Q05</v>
          </cell>
          <cell r="AC70">
            <v>2005</v>
          </cell>
        </row>
        <row r="71">
          <cell r="B71" t="str">
            <v>Total Sales</v>
          </cell>
          <cell r="C71">
            <v>24592.22197400295</v>
          </cell>
          <cell r="F71">
            <v>133980.14318219628</v>
          </cell>
          <cell r="I71">
            <v>161536.07133526943</v>
          </cell>
          <cell r="L71">
            <v>174359.67341958501</v>
          </cell>
          <cell r="M71">
            <v>494468.10991105367</v>
          </cell>
          <cell r="P71" t="str">
            <v>Total Sales</v>
          </cell>
          <cell r="S71">
            <v>201977.69031282194</v>
          </cell>
          <cell r="V71">
            <v>237723.03550510277</v>
          </cell>
          <cell r="Y71">
            <v>269070.53908129712</v>
          </cell>
          <cell r="AB71">
            <v>290081.17337585526</v>
          </cell>
          <cell r="AC71">
            <v>998852.43827507715</v>
          </cell>
        </row>
        <row r="74">
          <cell r="B74" t="str">
            <v>New Diagnoses</v>
          </cell>
          <cell r="C74">
            <v>0.25</v>
          </cell>
          <cell r="D74">
            <v>0.3</v>
          </cell>
          <cell r="E74">
            <v>0.35</v>
          </cell>
          <cell r="F74">
            <v>0.4</v>
          </cell>
        </row>
        <row r="75">
          <cell r="B75" t="str">
            <v>Total Q3 Sales</v>
          </cell>
          <cell r="C75">
            <v>153979.96593385277</v>
          </cell>
          <cell r="D75">
            <v>156638.59668507241</v>
          </cell>
          <cell r="E75">
            <v>159297.22743629201</v>
          </cell>
          <cell r="F75">
            <v>161955.85818751174</v>
          </cell>
        </row>
        <row r="76">
          <cell r="B76" t="str">
            <v>Total Q4 Sales</v>
          </cell>
          <cell r="C76">
            <v>159919.35890491318</v>
          </cell>
          <cell r="D76">
            <v>167772.72580992253</v>
          </cell>
          <cell r="E76">
            <v>175626.09271493187</v>
          </cell>
          <cell r="F76">
            <v>183479.45961994119</v>
          </cell>
        </row>
        <row r="77">
          <cell r="B77" t="str">
            <v>FY2004</v>
          </cell>
          <cell r="C77">
            <v>471721.72845186933</v>
          </cell>
          <cell r="D77">
            <v>482233.7261080984</v>
          </cell>
          <cell r="E77">
            <v>492745.72376432741</v>
          </cell>
          <cell r="F77">
            <v>503257.72142055631</v>
          </cell>
        </row>
        <row r="79">
          <cell r="B79" t="str">
            <v>Relapsing</v>
          </cell>
          <cell r="C79">
            <v>0.25</v>
          </cell>
          <cell r="D79">
            <v>0.3</v>
          </cell>
          <cell r="E79">
            <v>0.35</v>
          </cell>
          <cell r="F79">
            <v>0.4</v>
          </cell>
        </row>
        <row r="80">
          <cell r="B80" t="str">
            <v>Total Q3 Sales</v>
          </cell>
          <cell r="C80">
            <v>149404.15650281997</v>
          </cell>
          <cell r="D80">
            <v>151725.76358521846</v>
          </cell>
          <cell r="E80">
            <v>154047.37066761701</v>
          </cell>
          <cell r="F80">
            <v>156368.9777500155</v>
          </cell>
        </row>
        <row r="81">
          <cell r="B81" t="str">
            <v>Total Q4 Sales</v>
          </cell>
          <cell r="C81">
            <v>153623.49900867679</v>
          </cell>
          <cell r="D81">
            <v>160172.05022159428</v>
          </cell>
          <cell r="E81">
            <v>166720.60143451183</v>
          </cell>
          <cell r="F81">
            <v>173269.15264742935</v>
          </cell>
        </row>
        <row r="82">
          <cell r="B82" t="str">
            <v>FY2004</v>
          </cell>
          <cell r="C82">
            <v>460850.0591246002</v>
          </cell>
          <cell r="D82">
            <v>469720.21741991618</v>
          </cell>
          <cell r="E82">
            <v>478590.37571523222</v>
          </cell>
          <cell r="F82">
            <v>487460.53401054826</v>
          </cell>
        </row>
        <row r="85">
          <cell r="B85" t="str">
            <v xml:space="preserve">Front-Line </v>
          </cell>
        </row>
        <row r="86">
          <cell r="C86" t="str">
            <v>Patients Start of Period</v>
          </cell>
          <cell r="D86" t="str">
            <v>New Patient Additions</v>
          </cell>
          <cell r="E86" t="str">
            <v>Drop-Outs</v>
          </cell>
          <cell r="F86" t="str">
            <v>Patients End of Period</v>
          </cell>
          <cell r="G86" t="str">
            <v>Total Patient Days</v>
          </cell>
          <cell r="H86" t="str">
            <v>Sales</v>
          </cell>
        </row>
        <row r="87">
          <cell r="B87" t="str">
            <v>March</v>
          </cell>
          <cell r="C87">
            <v>0</v>
          </cell>
          <cell r="D87">
            <v>4500</v>
          </cell>
          <cell r="E87">
            <v>52.05655526992286</v>
          </cell>
          <cell r="F87">
            <v>4447.9434447300773</v>
          </cell>
          <cell r="G87">
            <v>82509.350899742945</v>
          </cell>
          <cell r="H87">
            <v>12101.371465295631</v>
          </cell>
        </row>
        <row r="88">
          <cell r="B88" t="str">
            <v>April</v>
          </cell>
          <cell r="C88">
            <v>4447.9434447300773</v>
          </cell>
          <cell r="D88">
            <v>665.93698599999993</v>
          </cell>
          <cell r="E88">
            <v>77.112381586118232</v>
          </cell>
          <cell r="F88">
            <v>5036.7680491439587</v>
          </cell>
          <cell r="G88">
            <v>131450.00183242085</v>
          </cell>
          <cell r="H88">
            <v>19279.333602088391</v>
          </cell>
        </row>
        <row r="89">
          <cell r="B89" t="str">
            <v>May</v>
          </cell>
          <cell r="C89">
            <v>5036.7680491439587</v>
          </cell>
          <cell r="D89">
            <v>636.71597375294982</v>
          </cell>
          <cell r="E89">
            <v>104.39805603570247</v>
          </cell>
          <cell r="F89">
            <v>5569.0859668612065</v>
          </cell>
          <cell r="G89">
            <v>146351.83166713189</v>
          </cell>
          <cell r="H89">
            <v>21464.935311179343</v>
          </cell>
        </row>
        <row r="90">
          <cell r="B90" t="str">
            <v>June</v>
          </cell>
          <cell r="C90">
            <v>5569.0859668612065</v>
          </cell>
          <cell r="D90">
            <v>668.13639106724418</v>
          </cell>
          <cell r="E90">
            <v>146.07053212678733</v>
          </cell>
          <cell r="F90">
            <v>6091.151825801664</v>
          </cell>
          <cell r="G90">
            <v>160496.79843688456</v>
          </cell>
          <cell r="H90">
            <v>23539.530437409736</v>
          </cell>
        </row>
        <row r="91">
          <cell r="B91" t="str">
            <v xml:space="preserve">July </v>
          </cell>
          <cell r="C91">
            <v>6091.151825801664</v>
          </cell>
          <cell r="D91">
            <v>1216.7978474772819</v>
          </cell>
          <cell r="E91">
            <v>227.29858180770779</v>
          </cell>
          <cell r="F91">
            <v>7080.651091471238</v>
          </cell>
          <cell r="G91">
            <v>179945.42295666158</v>
          </cell>
          <cell r="H91">
            <v>26391.995366977033</v>
          </cell>
        </row>
        <row r="92">
          <cell r="B92" t="str">
            <v>August</v>
          </cell>
          <cell r="C92">
            <v>7080.651091471238</v>
          </cell>
          <cell r="D92">
            <v>1218.8055639256195</v>
          </cell>
          <cell r="E92">
            <v>319.15848221867031</v>
          </cell>
          <cell r="F92">
            <v>7980.2981731781874</v>
          </cell>
          <cell r="G92">
            <v>205105.32511190866</v>
          </cell>
          <cell r="H92">
            <v>30082.114349746604</v>
          </cell>
        </row>
        <row r="93">
          <cell r="B93" t="str">
            <v>September</v>
          </cell>
          <cell r="C93">
            <v>7980.2981731781874</v>
          </cell>
          <cell r="D93">
            <v>1220.8165931060967</v>
          </cell>
          <cell r="E93">
            <v>450.47129857474908</v>
          </cell>
          <cell r="F93">
            <v>8750.6434677095367</v>
          </cell>
          <cell r="G93">
            <v>226644.72736962023</v>
          </cell>
          <cell r="H93">
            <v>33241.226680877633</v>
          </cell>
        </row>
        <row r="94">
          <cell r="B94" t="str">
            <v>October</v>
          </cell>
          <cell r="C94">
            <v>8750.6434677095367</v>
          </cell>
          <cell r="D94">
            <v>1375.6848080453119</v>
          </cell>
          <cell r="E94">
            <v>576.84867314941653</v>
          </cell>
          <cell r="F94">
            <v>9549.4796026054319</v>
          </cell>
          <cell r="G94">
            <v>246681.37251187017</v>
          </cell>
          <cell r="H94">
            <v>36179.934635074285</v>
          </cell>
        </row>
        <row r="95">
          <cell r="B95" t="str">
            <v>November</v>
          </cell>
          <cell r="C95">
            <v>9549.4796026054319</v>
          </cell>
          <cell r="D95">
            <v>1408.5759032669996</v>
          </cell>
          <cell r="E95">
            <v>680.04417956358725</v>
          </cell>
          <cell r="F95">
            <v>10278.011326308844</v>
          </cell>
          <cell r="G95">
            <v>266585.24979247933</v>
          </cell>
          <cell r="H95">
            <v>39099.169969563634</v>
          </cell>
        </row>
        <row r="96">
          <cell r="B96" t="str">
            <v>December</v>
          </cell>
          <cell r="C96">
            <v>10278.011326308844</v>
          </cell>
          <cell r="D96">
            <v>1472.2435340946677</v>
          </cell>
          <cell r="E96">
            <v>783.83950159654296</v>
          </cell>
          <cell r="F96">
            <v>10966.415358806968</v>
          </cell>
          <cell r="G96">
            <v>284902.36485847033</v>
          </cell>
          <cell r="H96">
            <v>41785.680179242314</v>
          </cell>
        </row>
        <row r="97">
          <cell r="B97" t="str">
            <v>Relapsed/ Refractory</v>
          </cell>
        </row>
        <row r="98">
          <cell r="C98" t="str">
            <v>Patients Start of Period</v>
          </cell>
          <cell r="D98" t="str">
            <v>New Patient Additions</v>
          </cell>
          <cell r="E98" t="str">
            <v>Drop-Outs</v>
          </cell>
          <cell r="F98" t="str">
            <v>Patients End of Period</v>
          </cell>
          <cell r="G98" t="str">
            <v>Total Patient Days</v>
          </cell>
          <cell r="H98" t="str">
            <v>Sales</v>
          </cell>
        </row>
        <row r="99">
          <cell r="B99" t="str">
            <v>March</v>
          </cell>
          <cell r="C99">
            <v>0</v>
          </cell>
          <cell r="D99">
            <v>4600</v>
          </cell>
          <cell r="E99">
            <v>8.9008176767992015</v>
          </cell>
          <cell r="F99">
            <v>4591.0991823232007</v>
          </cell>
          <cell r="G99">
            <v>85164.889832095359</v>
          </cell>
          <cell r="H99">
            <v>12490.850508707319</v>
          </cell>
        </row>
        <row r="100">
          <cell r="B100" t="str">
            <v>April</v>
          </cell>
          <cell r="C100">
            <v>4591.0991823232007</v>
          </cell>
          <cell r="D100">
            <v>883.07467299999996</v>
          </cell>
          <cell r="E100">
            <v>36.163492594906678</v>
          </cell>
          <cell r="F100">
            <v>5438.0103627282942</v>
          </cell>
          <cell r="G100">
            <v>139344.90769040224</v>
          </cell>
          <cell r="H100">
            <v>20437.253127925662</v>
          </cell>
        </row>
        <row r="101">
          <cell r="B101" t="str">
            <v>May</v>
          </cell>
          <cell r="C101">
            <v>5438.0103627282942</v>
          </cell>
          <cell r="D101">
            <v>884.53174621044991</v>
          </cell>
          <cell r="E101">
            <v>126.04640440000773</v>
          </cell>
          <cell r="F101">
            <v>6196.4957045387364</v>
          </cell>
          <cell r="G101">
            <v>160189.67694661734</v>
          </cell>
          <cell r="H101">
            <v>23494.485952170544</v>
          </cell>
        </row>
        <row r="102">
          <cell r="B102" t="str">
            <v>June</v>
          </cell>
          <cell r="C102">
            <v>6196.4957045387364</v>
          </cell>
          <cell r="D102">
            <v>885.99122359169723</v>
          </cell>
          <cell r="E102">
            <v>332.41808585023387</v>
          </cell>
          <cell r="F102">
            <v>6750.0688422801995</v>
          </cell>
          <cell r="G102">
            <v>175667.75966879056</v>
          </cell>
          <cell r="H102">
            <v>25764.604751422616</v>
          </cell>
        </row>
        <row r="103">
          <cell r="B103" t="str">
            <v xml:space="preserve">July </v>
          </cell>
          <cell r="C103">
            <v>6750.0688422801995</v>
          </cell>
          <cell r="D103">
            <v>887.45310911062336</v>
          </cell>
          <cell r="E103">
            <v>763.60504436737506</v>
          </cell>
          <cell r="F103">
            <v>6873.9169070234484</v>
          </cell>
          <cell r="G103">
            <v>179113.50410454167</v>
          </cell>
          <cell r="H103">
            <v>26269.980601999443</v>
          </cell>
        </row>
        <row r="104">
          <cell r="B104" t="str">
            <v>August</v>
          </cell>
          <cell r="C104">
            <v>6873.9169070234484</v>
          </cell>
          <cell r="D104">
            <v>888.91740674065579</v>
          </cell>
          <cell r="E104">
            <v>1381.3926115377192</v>
          </cell>
          <cell r="F104">
            <v>6381.4417022263851</v>
          </cell>
          <cell r="G104">
            <v>165302.16069089193</v>
          </cell>
          <cell r="H104">
            <v>24244.316901330814</v>
          </cell>
        </row>
        <row r="105">
          <cell r="B105" t="str">
            <v>September</v>
          </cell>
          <cell r="C105">
            <v>6381.4417022263851</v>
          </cell>
          <cell r="D105">
            <v>890.38412046177791</v>
          </cell>
          <cell r="E105">
            <v>1604.9884891888387</v>
          </cell>
          <cell r="F105">
            <v>5666.8373334993239</v>
          </cell>
          <cell r="G105">
            <v>145271.16432503134</v>
          </cell>
          <cell r="H105">
            <v>21306.437434337928</v>
          </cell>
        </row>
        <row r="106">
          <cell r="B106" t="str">
            <v>October</v>
          </cell>
          <cell r="C106">
            <v>5666.8373334993239</v>
          </cell>
          <cell r="D106">
            <v>944.31521039351253</v>
          </cell>
          <cell r="E106">
            <v>1340.9454553742116</v>
          </cell>
          <cell r="F106">
            <v>5270.2070885186249</v>
          </cell>
          <cell r="G106">
            <v>133353.85456209915</v>
          </cell>
          <cell r="H106">
            <v>19558.56533577454</v>
          </cell>
        </row>
        <row r="107">
          <cell r="B107" t="str">
            <v>November</v>
          </cell>
          <cell r="C107">
            <v>5270.2070885186249</v>
          </cell>
          <cell r="D107">
            <v>945.8733304906616</v>
          </cell>
          <cell r="E107">
            <v>1098.7091305547785</v>
          </cell>
          <cell r="F107">
            <v>5117.3712884545084</v>
          </cell>
          <cell r="G107">
            <v>129051.00245284176</v>
          </cell>
          <cell r="H107">
            <v>18927.480359750123</v>
          </cell>
        </row>
        <row r="108">
          <cell r="B108" t="str">
            <v>December</v>
          </cell>
          <cell r="C108">
            <v>5117.3712884545084</v>
          </cell>
          <cell r="D108">
            <v>947.43402148597113</v>
          </cell>
          <cell r="E108">
            <v>975.48413211414072</v>
          </cell>
          <cell r="F108">
            <v>5089.3211778263394</v>
          </cell>
          <cell r="G108">
            <v>128242.11095577363</v>
          </cell>
          <cell r="H108">
            <v>18808.84294018013</v>
          </cell>
        </row>
        <row r="109">
          <cell r="B109" t="str">
            <v>Total Sales</v>
          </cell>
        </row>
        <row r="110">
          <cell r="B110" t="str">
            <v>2Q04</v>
          </cell>
          <cell r="C110">
            <v>133980.14318219628</v>
          </cell>
        </row>
        <row r="111">
          <cell r="B111" t="str">
            <v>3Q04</v>
          </cell>
          <cell r="C111">
            <v>161536.07133526943</v>
          </cell>
        </row>
        <row r="112">
          <cell r="B112" t="str">
            <v>4Q04</v>
          </cell>
          <cell r="C112">
            <v>174359.67341958501</v>
          </cell>
        </row>
        <row r="113">
          <cell r="B113">
            <v>2004</v>
          </cell>
          <cell r="C113">
            <v>494468.10991105367</v>
          </cell>
        </row>
      </sheetData>
      <sheetData sheetId="16" refreshError="1"/>
      <sheetData sheetId="17" refreshError="1">
        <row r="1">
          <cell r="A1" t="str">
            <v>Model data for companies: DNA.N</v>
          </cell>
          <cell r="HX1" t="str">
            <v>ElementName</v>
          </cell>
          <cell r="HY1" t="str">
            <v>ScaleOverride</v>
          </cell>
          <cell r="HZ1" t="str">
            <v>UnitOverride</v>
          </cell>
          <cell r="IA1" t="str">
            <v>ReverseSign</v>
          </cell>
          <cell r="IB1" t="str">
            <v>IsDrivingAssumption</v>
          </cell>
          <cell r="IC1" t="str">
            <v>SegmentID</v>
          </cell>
        </row>
        <row r="2">
          <cell r="A2" t="str">
            <v xml:space="preserve">Model Snapshot type:  </v>
          </cell>
          <cell r="G2" t="str">
            <v>1997-FY</v>
          </cell>
          <cell r="H2" t="str">
            <v>1998-FY</v>
          </cell>
          <cell r="I2" t="str">
            <v>1999-FY</v>
          </cell>
          <cell r="J2" t="str">
            <v>2000-FY</v>
          </cell>
          <cell r="K2" t="str">
            <v>2001-FY</v>
          </cell>
          <cell r="L2" t="str">
            <v>2002-FY</v>
          </cell>
        </row>
        <row r="3">
          <cell r="A3" t="str">
            <v>Default Currency: USD in Millions</v>
          </cell>
        </row>
        <row r="4">
          <cell r="A4" t="str">
            <v>Data as of 2/28/2005 1:22:21 PM</v>
          </cell>
          <cell r="G4" t="str">
            <v>data filled 1997-2002</v>
          </cell>
        </row>
        <row r="5">
          <cell r="A5" t="str">
            <v>Template v1.0</v>
          </cell>
          <cell r="L5" t="str">
            <v>Genentech (DNA.N) ()</v>
          </cell>
        </row>
        <row r="6">
          <cell r="G6" t="str">
            <v>1997-FY
1997-1-1
1997-12-31</v>
          </cell>
          <cell r="H6" t="str">
            <v>1998-FY
1998-1-1
1998-12-31</v>
          </cell>
          <cell r="I6" t="str">
            <v>1999-FY
1999-1-1
1999-12-31</v>
          </cell>
          <cell r="J6" t="str">
            <v>2000-FY
2000-1-1
2000-12-31</v>
          </cell>
          <cell r="K6" t="str">
            <v>2001-FY
2001-1-1
2002-12-31</v>
          </cell>
          <cell r="L6" t="str">
            <v>2002 (A)_x000D_
2002-1-1_x000D_
2002-12-31</v>
          </cell>
          <cell r="M6" t="str">
            <v>2003 (A)_x000D_
2003-1-1_x000D_
2003-12-31</v>
          </cell>
        </row>
        <row r="7">
          <cell r="A7" t="str">
            <v>Validation Formulas</v>
          </cell>
          <cell r="HY7">
            <v>0</v>
          </cell>
          <cell r="HZ7" t="str">
            <v>ms_eqr_gcim_String:ms_eqr_gcim_string</v>
          </cell>
          <cell r="IA7" t="b">
            <v>0</v>
          </cell>
          <cell r="IB7" t="b">
            <v>0</v>
          </cell>
        </row>
        <row r="18">
          <cell r="B18" t="str">
            <v>Balance Sheet Validation</v>
          </cell>
          <cell r="G18" t="b">
            <v>1</v>
          </cell>
          <cell r="H18" t="b">
            <v>1</v>
          </cell>
          <cell r="I18" t="b">
            <v>1</v>
          </cell>
          <cell r="J18" t="b">
            <v>1</v>
          </cell>
          <cell r="K18" t="b">
            <v>1</v>
          </cell>
          <cell r="L18" t="b">
            <v>1</v>
          </cell>
          <cell r="M18" t="b">
            <v>1</v>
          </cell>
          <cell r="HY18">
            <v>0</v>
          </cell>
          <cell r="HZ18" t="str">
            <v>ms_eqr_gcim_Boolean:ms_eqr_gcim_boolean</v>
          </cell>
          <cell r="IA18" t="b">
            <v>0</v>
          </cell>
          <cell r="IB18" t="b">
            <v>0</v>
          </cell>
        </row>
        <row r="29">
          <cell r="C29" t="str">
            <v>Assets</v>
          </cell>
          <cell r="G29">
            <v>2507.6120000000005</v>
          </cell>
          <cell r="H29">
            <v>2855.402</v>
          </cell>
          <cell r="I29">
            <v>6534.7819999999992</v>
          </cell>
          <cell r="J29">
            <v>6716.424</v>
          </cell>
          <cell r="K29">
            <v>7146.8890000000001</v>
          </cell>
          <cell r="L29">
            <v>6758.1189999999997</v>
          </cell>
          <cell r="M29">
            <v>8735.9628426585787</v>
          </cell>
          <cell r="HY29">
            <v>0</v>
          </cell>
          <cell r="HZ29" t="str">
            <v>ISO4217:USD</v>
          </cell>
          <cell r="IA29" t="b">
            <v>0</v>
          </cell>
          <cell r="IB29" t="b">
            <v>0</v>
          </cell>
        </row>
        <row r="40">
          <cell r="C40" t="str">
            <v>Liabilities and Equity</v>
          </cell>
          <cell r="G40">
            <v>2507.6120000000001</v>
          </cell>
          <cell r="H40">
            <v>2855.402</v>
          </cell>
          <cell r="I40">
            <v>6534.7819999999992</v>
          </cell>
          <cell r="J40">
            <v>6716.4240000000009</v>
          </cell>
          <cell r="K40">
            <v>7146.8889999999992</v>
          </cell>
          <cell r="L40">
            <v>6758.1189999999997</v>
          </cell>
          <cell r="M40">
            <v>8736.0156437000005</v>
          </cell>
          <cell r="HY40">
            <v>0</v>
          </cell>
          <cell r="HZ40" t="str">
            <v>ISO4217:USD</v>
          </cell>
          <cell r="IA40" t="b">
            <v>0</v>
          </cell>
          <cell r="IB40" t="b">
            <v>0</v>
          </cell>
        </row>
        <row r="51">
          <cell r="B51" t="str">
            <v>Changes in Shareholders Equity Validation</v>
          </cell>
          <cell r="G51" t="b">
            <v>1</v>
          </cell>
          <cell r="H51" t="b">
            <v>1</v>
          </cell>
          <cell r="I51" t="b">
            <v>1</v>
          </cell>
          <cell r="J51" t="b">
            <v>1</v>
          </cell>
          <cell r="K51" t="b">
            <v>1</v>
          </cell>
          <cell r="L51" t="b">
            <v>1</v>
          </cell>
          <cell r="M51" t="b">
            <v>1</v>
          </cell>
          <cell r="HY51">
            <v>0</v>
          </cell>
          <cell r="HZ51" t="str">
            <v>ms_eqr_gcim_Boolean:ms_eqr_gcim_boolean</v>
          </cell>
          <cell r="IA51" t="b">
            <v>0</v>
          </cell>
          <cell r="IB51" t="b">
            <v>0</v>
          </cell>
        </row>
        <row r="62">
          <cell r="C62" t="str">
            <v>Changes in Shareholders Equity</v>
          </cell>
          <cell r="G62">
            <v>230.16599999999994</v>
          </cell>
          <cell r="H62">
            <v>312.61999999999983</v>
          </cell>
          <cell r="I62">
            <v>2926.0119999999993</v>
          </cell>
          <cell r="J62">
            <v>404.34600000000012</v>
          </cell>
          <cell r="K62">
            <v>245.61100000000016</v>
          </cell>
          <cell r="L62">
            <v>-581.05699999999945</v>
          </cell>
          <cell r="M62">
            <v>1181.4782639664222</v>
          </cell>
          <cell r="HY62">
            <v>0</v>
          </cell>
          <cell r="HZ62" t="str">
            <v>ISO4217:USD</v>
          </cell>
          <cell r="IA62" t="b">
            <v>0</v>
          </cell>
          <cell r="IB62" t="b">
            <v>0</v>
          </cell>
        </row>
        <row r="73">
          <cell r="D73" t="str">
            <v>Net Income (Reported) Less Preferred Dividends</v>
          </cell>
          <cell r="G73">
            <v>129.04399999999993</v>
          </cell>
          <cell r="H73">
            <v>181.90899999999982</v>
          </cell>
          <cell r="I73">
            <v>-1157.4760000000001</v>
          </cell>
          <cell r="J73">
            <v>-74.240999999999914</v>
          </cell>
          <cell r="K73">
            <v>150.23100000000022</v>
          </cell>
          <cell r="L73">
            <v>63.665000000000532</v>
          </cell>
          <cell r="M73">
            <v>562.62846292500024</v>
          </cell>
          <cell r="HY73">
            <v>0</v>
          </cell>
          <cell r="HZ73" t="str">
            <v>ISO4217:USD</v>
          </cell>
          <cell r="IA73" t="b">
            <v>0</v>
          </cell>
          <cell r="IB73" t="b">
            <v>0</v>
          </cell>
        </row>
        <row r="74">
          <cell r="G74">
            <v>169.79499999999993</v>
          </cell>
          <cell r="H74">
            <v>252.65099999999981</v>
          </cell>
          <cell r="I74">
            <v>-1130.577</v>
          </cell>
          <cell r="J74">
            <v>3.9730000000000665</v>
          </cell>
          <cell r="K74">
            <v>282.98100000000022</v>
          </cell>
          <cell r="L74">
            <v>573.53200000000049</v>
          </cell>
          <cell r="M74">
            <v>784.22646292500019</v>
          </cell>
        </row>
        <row r="75">
          <cell r="G75">
            <v>-40.750999999999998</v>
          </cell>
          <cell r="H75">
            <v>-70.74199999999999</v>
          </cell>
          <cell r="I75">
            <v>-26.899000000000029</v>
          </cell>
          <cell r="J75">
            <v>-78.213999999999984</v>
          </cell>
          <cell r="K75">
            <v>-132.75</v>
          </cell>
          <cell r="L75">
            <v>-509.86699999999996</v>
          </cell>
          <cell r="M75">
            <v>-221.59799999999998</v>
          </cell>
        </row>
        <row r="84">
          <cell r="D84" t="str">
            <v>Change in Accumulated Other Comprehensive Income (Loss) or Other Reserves</v>
          </cell>
          <cell r="G84">
            <v>-0.11700000000000001</v>
          </cell>
          <cell r="H84">
            <v>5.431</v>
          </cell>
          <cell r="I84">
            <v>200.23600000000002</v>
          </cell>
          <cell r="J84">
            <v>72.119</v>
          </cell>
          <cell r="K84">
            <v>-19.896000000000001</v>
          </cell>
          <cell r="L84">
            <v>-43.08</v>
          </cell>
          <cell r="M84">
            <v>28.549801041422199</v>
          </cell>
          <cell r="HY84">
            <v>0</v>
          </cell>
          <cell r="HZ84" t="str">
            <v>ISO4217:USD</v>
          </cell>
          <cell r="IA84" t="b">
            <v>0</v>
          </cell>
          <cell r="IB84" t="b">
            <v>0</v>
          </cell>
        </row>
        <row r="95">
          <cell r="D95" t="str">
            <v>Change in Investment in Own Shares (Asset)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HY95">
            <v>0</v>
          </cell>
          <cell r="HZ95" t="str">
            <v>ISO4217:USD</v>
          </cell>
          <cell r="IA95" t="b">
            <v>0</v>
          </cell>
          <cell r="IB95" t="b">
            <v>0</v>
          </cell>
        </row>
        <row r="106">
          <cell r="B106" t="str">
            <v>Cash Flow Validation</v>
          </cell>
          <cell r="G106" t="b">
            <v>1</v>
          </cell>
          <cell r="H106" t="b">
            <v>1</v>
          </cell>
          <cell r="I106" t="b">
            <v>1</v>
          </cell>
          <cell r="J106" t="b">
            <v>1</v>
          </cell>
          <cell r="K106" t="b">
            <v>1</v>
          </cell>
          <cell r="L106" t="b">
            <v>1</v>
          </cell>
          <cell r="M106" t="b">
            <v>1</v>
          </cell>
          <cell r="HY106">
            <v>0</v>
          </cell>
          <cell r="HZ106" t="str">
            <v>ms_eqr_gcim_Boolean:ms_eqr_gcim_boolean</v>
          </cell>
          <cell r="IA106" t="b">
            <v>0</v>
          </cell>
          <cell r="IB106" t="b">
            <v>0</v>
          </cell>
        </row>
        <row r="117">
          <cell r="C117" t="str">
            <v>Aggregate Cash and Cash Equivalents for Validation</v>
          </cell>
          <cell r="F117">
            <v>207.26400000000001</v>
          </cell>
          <cell r="G117">
            <v>244.46899999999999</v>
          </cell>
          <cell r="H117">
            <v>281.16199999999998</v>
          </cell>
          <cell r="I117">
            <v>337.68200000000002</v>
          </cell>
          <cell r="J117">
            <v>551.38400000000001</v>
          </cell>
          <cell r="K117">
            <v>395.20299999999997</v>
          </cell>
          <cell r="L117">
            <v>208.13</v>
          </cell>
          <cell r="M117">
            <v>371.87784265857795</v>
          </cell>
          <cell r="HY117">
            <v>0</v>
          </cell>
          <cell r="HZ117" t="str">
            <v>ISO4217:USD</v>
          </cell>
          <cell r="IA117" t="b">
            <v>0</v>
          </cell>
          <cell r="IB117" t="b">
            <v>0</v>
          </cell>
        </row>
        <row r="128">
          <cell r="C128" t="str">
            <v>Changes in Cash and Cash Equivalents</v>
          </cell>
          <cell r="G128">
            <v>37.204999999999984</v>
          </cell>
          <cell r="H128">
            <v>36.693000000000012</v>
          </cell>
          <cell r="I128">
            <v>56.519999999999698</v>
          </cell>
          <cell r="J128">
            <v>213.702</v>
          </cell>
          <cell r="K128">
            <v>-156.18100000000004</v>
          </cell>
          <cell r="L128">
            <v>-187.07299999999987</v>
          </cell>
          <cell r="M128">
            <v>163.89584265857809</v>
          </cell>
          <cell r="HY128">
            <v>0</v>
          </cell>
          <cell r="HZ128" t="str">
            <v>ISO4217:USD</v>
          </cell>
          <cell r="IA128" t="b">
            <v>0</v>
          </cell>
          <cell r="IB128" t="b">
            <v>0</v>
          </cell>
        </row>
        <row r="129">
          <cell r="G129">
            <v>39.993000000000023</v>
          </cell>
          <cell r="H129">
            <v>172.93699999999998</v>
          </cell>
          <cell r="I129">
            <v>-218.41600000000022</v>
          </cell>
          <cell r="J129">
            <v>277.20500000000004</v>
          </cell>
          <cell r="K129">
            <v>369.18700000000001</v>
          </cell>
          <cell r="L129">
            <v>31.79299999999995</v>
          </cell>
          <cell r="M129">
            <v>530.46584265857791</v>
          </cell>
        </row>
        <row r="130">
          <cell r="G130">
            <v>-2.7880000000000393</v>
          </cell>
          <cell r="H130">
            <v>-136.24399999999997</v>
          </cell>
          <cell r="I130">
            <v>274.93599999999992</v>
          </cell>
          <cell r="J130">
            <v>-63.503000000000043</v>
          </cell>
          <cell r="K130">
            <v>-525.36800000000005</v>
          </cell>
          <cell r="L130">
            <v>-218.86599999999981</v>
          </cell>
          <cell r="M130">
            <v>-366.56999999999982</v>
          </cell>
        </row>
        <row r="131"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9">
          <cell r="B139" t="str">
            <v>Tax Rate Validation (must be between 0% and 100%)</v>
          </cell>
          <cell r="G139">
            <v>0.373</v>
          </cell>
          <cell r="H139">
            <v>0.37965018939169048</v>
          </cell>
          <cell r="I139">
            <v>0.51523455723542122</v>
          </cell>
          <cell r="J139">
            <v>0.59149257488044304</v>
          </cell>
          <cell r="K139">
            <v>0.40731343600036757</v>
          </cell>
          <cell r="L139">
            <v>0.37813035732293521</v>
          </cell>
          <cell r="M139">
            <v>0.32364976429312797</v>
          </cell>
          <cell r="HY139">
            <v>0</v>
          </cell>
          <cell r="HZ139" t="str">
            <v>ms_eqr_gcim_Boolean:ms_eqr_gcim_boolean</v>
          </cell>
          <cell r="IA139" t="b">
            <v>0</v>
          </cell>
          <cell r="IB139" t="b">
            <v>0</v>
          </cell>
        </row>
        <row r="140">
          <cell r="A140" t="str">
            <v>Tagged metrics</v>
          </cell>
          <cell r="HY140">
            <v>0</v>
          </cell>
          <cell r="HZ140" t="str">
            <v>ms_eqr_gcim_String:ms_eqr_gcim_string</v>
          </cell>
          <cell r="IA140" t="b">
            <v>0</v>
          </cell>
          <cell r="IB140" t="b">
            <v>0</v>
          </cell>
        </row>
        <row r="141">
          <cell r="B141" t="str">
            <v>Income statement</v>
          </cell>
          <cell r="HY141">
            <v>0</v>
          </cell>
          <cell r="HZ141" t="str">
            <v>ms_eqr_gcim_String:ms_eqr_gcim_string</v>
          </cell>
          <cell r="IA141" t="b">
            <v>0</v>
          </cell>
          <cell r="IB141" t="b">
            <v>0</v>
          </cell>
        </row>
        <row r="142">
          <cell r="C142" t="str">
            <v>Revenue, net</v>
          </cell>
          <cell r="G142">
            <v>706.476</v>
          </cell>
          <cell r="H142">
            <v>832.58999999999992</v>
          </cell>
          <cell r="I142">
            <v>1122.337</v>
          </cell>
          <cell r="J142">
            <v>1438.7070000000001</v>
          </cell>
          <cell r="K142">
            <v>1779.557</v>
          </cell>
          <cell r="L142">
            <v>2218.1080000000002</v>
          </cell>
          <cell r="M142">
            <v>3300.2629999999999</v>
          </cell>
          <cell r="HX142" t="str">
            <v>mstag:revenueNet</v>
          </cell>
          <cell r="HY142">
            <v>6</v>
          </cell>
          <cell r="HZ142" t="str">
            <v>ISO4217:USD</v>
          </cell>
          <cell r="IA142" t="b">
            <v>0</v>
          </cell>
          <cell r="IB142" t="b">
            <v>0</v>
          </cell>
        </row>
        <row r="143">
          <cell r="D143" t="str">
            <v>Revenue, net of discounts and allowances</v>
          </cell>
          <cell r="G143">
            <v>706.476</v>
          </cell>
          <cell r="H143">
            <v>832.58999999999992</v>
          </cell>
          <cell r="I143">
            <v>1122.337</v>
          </cell>
          <cell r="J143">
            <v>1438.7070000000001</v>
          </cell>
          <cell r="K143">
            <v>1779.557</v>
          </cell>
          <cell r="L143">
            <v>2218.1080000000002</v>
          </cell>
          <cell r="M143" t="str">
            <v/>
          </cell>
          <cell r="HX143" t="str">
            <v>mstag:revenueNetOfDiscountsAndAllowances</v>
          </cell>
          <cell r="HY143">
            <v>6</v>
          </cell>
          <cell r="HZ143" t="str">
            <v>ISO4217:USD</v>
          </cell>
          <cell r="IA143" t="b">
            <v>0</v>
          </cell>
          <cell r="IB143" t="b">
            <v>0</v>
          </cell>
        </row>
        <row r="144">
          <cell r="E144" t="str">
            <v>Revenue, gross</v>
          </cell>
          <cell r="G144">
            <v>706.476</v>
          </cell>
          <cell r="H144">
            <v>832.58999999999992</v>
          </cell>
          <cell r="I144">
            <v>1122.337</v>
          </cell>
          <cell r="J144">
            <v>1438.7070000000001</v>
          </cell>
          <cell r="K144">
            <v>1779.557</v>
          </cell>
          <cell r="L144">
            <v>2218.1080000000002</v>
          </cell>
          <cell r="HX144" t="str">
            <v>mstag:revenueGross</v>
          </cell>
          <cell r="HY144">
            <v>6</v>
          </cell>
          <cell r="HZ144" t="str">
            <v>ISO4217:USD</v>
          </cell>
          <cell r="IA144" t="b">
            <v>0</v>
          </cell>
          <cell r="IB144" t="b">
            <v>0</v>
          </cell>
        </row>
        <row r="145">
          <cell r="E145" t="str">
            <v>Sales discounts</v>
          </cell>
          <cell r="HX145" t="str">
            <v>mstag:salesDiscounts</v>
          </cell>
          <cell r="HY145">
            <v>6</v>
          </cell>
          <cell r="HZ145" t="str">
            <v>ISO4217:USD</v>
          </cell>
          <cell r="IA145" t="b">
            <v>0</v>
          </cell>
          <cell r="IB145" t="b">
            <v>0</v>
          </cell>
        </row>
        <row r="146">
          <cell r="E146" t="str">
            <v>Change in allowance for doubtful accounts, recurring</v>
          </cell>
          <cell r="HX146" t="str">
            <v>mstag:changeInAllowanceForDoubtfulAccountsRecurring</v>
          </cell>
          <cell r="HY146">
            <v>6</v>
          </cell>
          <cell r="HZ146" t="str">
            <v>ISO4217:USD</v>
          </cell>
          <cell r="IA146" t="b">
            <v>0</v>
          </cell>
          <cell r="IB146" t="b">
            <v>0</v>
          </cell>
        </row>
        <row r="147">
          <cell r="E147" t="str">
            <v>Change in allowance for doubtful accounts, one time</v>
          </cell>
          <cell r="HX147" t="str">
            <v>mstag:changeInAllowanceForDoubtfulAccountsOneTime</v>
          </cell>
          <cell r="HY147">
            <v>6</v>
          </cell>
          <cell r="HZ147" t="str">
            <v>ISO4217:USD</v>
          </cell>
          <cell r="IA147" t="b">
            <v>0</v>
          </cell>
          <cell r="IB147" t="b">
            <v>0</v>
          </cell>
        </row>
        <row r="148">
          <cell r="C148" t="str">
            <v>Revenue, region</v>
          </cell>
          <cell r="HX148" t="str">
            <v>mstag:revenueRegion</v>
          </cell>
          <cell r="HY148">
            <v>6</v>
          </cell>
          <cell r="HZ148" t="str">
            <v>ISO4217:USD</v>
          </cell>
          <cell r="IA148" t="b">
            <v>0</v>
          </cell>
          <cell r="IB148" t="b">
            <v>0</v>
          </cell>
        </row>
        <row r="149">
          <cell r="D149" t="str">
            <v>Revenue (Americas)</v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HX149" t="str">
            <v>mstag:americasRevenues</v>
          </cell>
          <cell r="HY149">
            <v>6</v>
          </cell>
          <cell r="HZ149" t="str">
            <v>ISO4217:USD</v>
          </cell>
          <cell r="IA149" t="b">
            <v>0</v>
          </cell>
          <cell r="IB149" t="b">
            <v>0</v>
          </cell>
        </row>
        <row r="150">
          <cell r="E150" t="str">
            <v>Revenue (North America)</v>
          </cell>
          <cell r="HX150" t="str">
            <v>mstag:northAmericaRevenues</v>
          </cell>
          <cell r="HY150">
            <v>6</v>
          </cell>
          <cell r="HZ150" t="str">
            <v>ISO4217:USD</v>
          </cell>
          <cell r="IA150" t="b">
            <v>0</v>
          </cell>
          <cell r="IB150" t="b">
            <v>0</v>
          </cell>
        </row>
        <row r="151">
          <cell r="E151" t="str">
            <v>Revenue (Latin America)</v>
          </cell>
          <cell r="HX151" t="str">
            <v>mstag:latinAmericaRevenues</v>
          </cell>
          <cell r="HY151">
            <v>6</v>
          </cell>
          <cell r="HZ151" t="str">
            <v>ISO4217:USD</v>
          </cell>
          <cell r="IA151" t="b">
            <v>0</v>
          </cell>
          <cell r="IB151" t="b">
            <v>0</v>
          </cell>
        </row>
        <row r="152">
          <cell r="D152" t="str">
            <v>Revenue (Europe, Middle East, and Africa)</v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HX152" t="str">
            <v>mstag:europeMiddleEastAndAfricaEmeaRevenues</v>
          </cell>
          <cell r="HY152">
            <v>6</v>
          </cell>
          <cell r="HZ152" t="str">
            <v>ISO4217:USD</v>
          </cell>
          <cell r="IA152" t="b">
            <v>0</v>
          </cell>
          <cell r="IB152" t="b">
            <v>0</v>
          </cell>
        </row>
        <row r="153">
          <cell r="E153" t="str">
            <v>Revenue (Europe)</v>
          </cell>
          <cell r="HX153" t="str">
            <v>mstag:europeRevenues</v>
          </cell>
          <cell r="HY153">
            <v>6</v>
          </cell>
          <cell r="HZ153" t="str">
            <v>ISO4217:USD</v>
          </cell>
          <cell r="IA153" t="b">
            <v>0</v>
          </cell>
          <cell r="IB153" t="b">
            <v>0</v>
          </cell>
        </row>
        <row r="154">
          <cell r="E154" t="str">
            <v>Revenue (Africa and Middle East)</v>
          </cell>
          <cell r="HX154" t="str">
            <v>mstag:africaAndMiddleEastRevenues</v>
          </cell>
          <cell r="HY154">
            <v>6</v>
          </cell>
          <cell r="HZ154" t="str">
            <v>ISO4217:USD</v>
          </cell>
          <cell r="IA154" t="b">
            <v>0</v>
          </cell>
          <cell r="IB154" t="b">
            <v>0</v>
          </cell>
        </row>
        <row r="155">
          <cell r="D155" t="str">
            <v>Revenue (Asia)</v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HX155" t="str">
            <v>mstag:asiaRevenues</v>
          </cell>
          <cell r="HY155">
            <v>6</v>
          </cell>
          <cell r="HZ155" t="str">
            <v>ISO4217:USD</v>
          </cell>
          <cell r="IA155" t="b">
            <v>0</v>
          </cell>
          <cell r="IB155" t="b">
            <v>0</v>
          </cell>
        </row>
        <row r="156">
          <cell r="E156" t="str">
            <v>Revenue (Japan)</v>
          </cell>
          <cell r="HX156" t="str">
            <v>mstag:japanRevenues</v>
          </cell>
          <cell r="HY156">
            <v>6</v>
          </cell>
          <cell r="HZ156" t="str">
            <v>ISO4217:USD</v>
          </cell>
          <cell r="IA156" t="b">
            <v>0</v>
          </cell>
          <cell r="IB156" t="b">
            <v>0</v>
          </cell>
        </row>
        <row r="157">
          <cell r="E157" t="str">
            <v>Revenue (Asia ex-Japan)</v>
          </cell>
          <cell r="HX157" t="str">
            <v>mstag:nonJapanAsiaRevenues</v>
          </cell>
          <cell r="HY157">
            <v>6</v>
          </cell>
          <cell r="HZ157" t="str">
            <v>ISO4217:USD</v>
          </cell>
          <cell r="IA157" t="b">
            <v>0</v>
          </cell>
          <cell r="IB157" t="b">
            <v>0</v>
          </cell>
        </row>
        <row r="158">
          <cell r="D158" t="str">
            <v>Other revenue, region</v>
          </cell>
          <cell r="HX158" t="str">
            <v>mstag:otherRevenueRegion</v>
          </cell>
          <cell r="HY158">
            <v>6</v>
          </cell>
          <cell r="HZ158" t="str">
            <v>ISO4217:USD</v>
          </cell>
          <cell r="IA158" t="b">
            <v>0</v>
          </cell>
          <cell r="IB158" t="b">
            <v>0</v>
          </cell>
        </row>
        <row r="159">
          <cell r="D159" t="str">
            <v>Intercompany eliminations</v>
          </cell>
          <cell r="HX159" t="str">
            <v>mstag:intercompanyEliminations</v>
          </cell>
          <cell r="HY159">
            <v>6</v>
          </cell>
          <cell r="HZ159" t="str">
            <v>ISO4217:USD</v>
          </cell>
          <cell r="IA159" t="b">
            <v>0</v>
          </cell>
          <cell r="IB159" t="b">
            <v>0</v>
          </cell>
        </row>
        <row r="160">
          <cell r="C160" t="str">
            <v>Royalty, licensee income</v>
          </cell>
          <cell r="G160">
            <v>241.11199999999999</v>
          </cell>
          <cell r="H160">
            <v>229.589</v>
          </cell>
          <cell r="I160">
            <v>189.26999999999998</v>
          </cell>
          <cell r="J160">
            <v>207.24100000000001</v>
          </cell>
          <cell r="K160">
            <v>264.47500000000002</v>
          </cell>
          <cell r="L160">
            <v>365.55</v>
          </cell>
          <cell r="HX160" t="str">
            <v>mstag:royaltyLicenseeIncome</v>
          </cell>
          <cell r="HY160">
            <v>6</v>
          </cell>
          <cell r="HZ160" t="str">
            <v>ISO4217:USD</v>
          </cell>
          <cell r="IA160" t="b">
            <v>0</v>
          </cell>
          <cell r="IB160" t="b">
            <v>0</v>
          </cell>
        </row>
        <row r="161">
          <cell r="C161" t="str">
            <v>Cost of sales, with depreciation</v>
          </cell>
          <cell r="G161">
            <v>102.536</v>
          </cell>
          <cell r="H161">
            <v>138.62299999999999</v>
          </cell>
          <cell r="I161">
            <v>285.54899999999998</v>
          </cell>
          <cell r="J161">
            <v>364.89199999999994</v>
          </cell>
          <cell r="K161">
            <v>354.44200000000001</v>
          </cell>
          <cell r="L161">
            <v>441.63</v>
          </cell>
          <cell r="M161">
            <v>480.2</v>
          </cell>
          <cell r="HX161" t="str">
            <v>mstag:costOfSalesWithDepreciation</v>
          </cell>
          <cell r="HY161">
            <v>6</v>
          </cell>
          <cell r="HZ161" t="str">
            <v>ISO4217:USD</v>
          </cell>
          <cell r="IA161" t="b">
            <v>0</v>
          </cell>
          <cell r="IB161" t="b">
            <v>0</v>
          </cell>
        </row>
        <row r="162">
          <cell r="C162" t="str">
            <v>Cost of sales, without depreciation</v>
          </cell>
          <cell r="HX162" t="str">
            <v>mstag:costOfSalesWithoutDepreciation</v>
          </cell>
          <cell r="HY162">
            <v>6</v>
          </cell>
          <cell r="HZ162" t="str">
            <v>ISO4217:USD</v>
          </cell>
          <cell r="IA162" t="b">
            <v>0</v>
          </cell>
          <cell r="IB162" t="b">
            <v>0</v>
          </cell>
        </row>
        <row r="163">
          <cell r="C163" t="str">
            <v>Cost of materials</v>
          </cell>
          <cell r="HX163" t="str">
            <v>mstag:costOfMaterials</v>
          </cell>
          <cell r="HY163">
            <v>6</v>
          </cell>
          <cell r="HZ163" t="str">
            <v>ISO4217:USD</v>
          </cell>
          <cell r="IA163" t="b">
            <v>0</v>
          </cell>
          <cell r="IB163" t="b">
            <v>0</v>
          </cell>
        </row>
        <row r="164">
          <cell r="C164" t="str">
            <v>Cost of services sold</v>
          </cell>
          <cell r="HX164" t="str">
            <v>mstag:costOfServicesSold</v>
          </cell>
          <cell r="HY164">
            <v>6</v>
          </cell>
          <cell r="HZ164" t="str">
            <v>ISO4217:USD</v>
          </cell>
          <cell r="IA164" t="b">
            <v>0</v>
          </cell>
          <cell r="IB164" t="b">
            <v>0</v>
          </cell>
        </row>
        <row r="165">
          <cell r="C165" t="str">
            <v>Selling, general, and administrative expenses</v>
          </cell>
          <cell r="G165">
            <v>470.923</v>
          </cell>
          <cell r="H165">
            <v>358.93099999999998</v>
          </cell>
          <cell r="I165">
            <v>393.65700000000004</v>
          </cell>
          <cell r="J165">
            <v>368.22399999999999</v>
          </cell>
          <cell r="K165">
            <v>446.90599999999995</v>
          </cell>
          <cell r="L165">
            <v>546.27599999999995</v>
          </cell>
          <cell r="M165">
            <v>794.88499999999999</v>
          </cell>
          <cell r="HX165" t="str">
            <v>mstag:sellingGeneralAndAdministrativeExpenses</v>
          </cell>
          <cell r="HY165">
            <v>6</v>
          </cell>
          <cell r="HZ165" t="str">
            <v>ISO4217:USD</v>
          </cell>
          <cell r="IA165" t="b">
            <v>0</v>
          </cell>
          <cell r="IB165" t="b">
            <v>0</v>
          </cell>
        </row>
        <row r="166">
          <cell r="D166" t="str">
            <v>Marketing and distribution costs</v>
          </cell>
          <cell r="G166">
            <v>41.8</v>
          </cell>
          <cell r="H166">
            <v>47.7</v>
          </cell>
          <cell r="I166">
            <v>80</v>
          </cell>
          <cell r="J166">
            <v>86.5</v>
          </cell>
          <cell r="K166">
            <v>91.9</v>
          </cell>
          <cell r="L166">
            <v>111.7</v>
          </cell>
          <cell r="M166" t="str">
            <v/>
          </cell>
          <cell r="HX166" t="str">
            <v>mstag:marketingAndDistributionCosts</v>
          </cell>
          <cell r="HY166">
            <v>6</v>
          </cell>
          <cell r="HZ166" t="str">
            <v>ISO4217:USD</v>
          </cell>
          <cell r="IA166" t="b">
            <v>0</v>
          </cell>
          <cell r="IB166" t="b">
            <v>0</v>
          </cell>
        </row>
        <row r="167">
          <cell r="E167" t="str">
            <v>Advertising costs</v>
          </cell>
          <cell r="G167">
            <v>41.8</v>
          </cell>
          <cell r="H167">
            <v>47.7</v>
          </cell>
          <cell r="I167">
            <v>80</v>
          </cell>
          <cell r="J167">
            <v>86.5</v>
          </cell>
          <cell r="K167">
            <v>91.9</v>
          </cell>
          <cell r="L167">
            <v>111.7</v>
          </cell>
          <cell r="HX167" t="str">
            <v>mstag:advertisingCosts</v>
          </cell>
          <cell r="HY167">
            <v>6</v>
          </cell>
          <cell r="HZ167" t="str">
            <v>ISO4217:USD</v>
          </cell>
          <cell r="IA167" t="b">
            <v>0</v>
          </cell>
          <cell r="IB167" t="b">
            <v>0</v>
          </cell>
        </row>
        <row r="168">
          <cell r="D168" t="str">
            <v>General and administrative expenses</v>
          </cell>
          <cell r="G168">
            <v>429.12299999999999</v>
          </cell>
          <cell r="H168">
            <v>311.23099999999999</v>
          </cell>
          <cell r="I168">
            <v>313.65700000000004</v>
          </cell>
          <cell r="J168">
            <v>281.72399999999999</v>
          </cell>
          <cell r="K168">
            <v>355.00599999999997</v>
          </cell>
          <cell r="L168">
            <v>434.57599999999996</v>
          </cell>
          <cell r="HX168" t="str">
            <v>mstag:generalAndAdministrativeExpenses</v>
          </cell>
          <cell r="HY168">
            <v>6</v>
          </cell>
          <cell r="HZ168" t="str">
            <v>ISO4217:USD</v>
          </cell>
          <cell r="IA168" t="b">
            <v>0</v>
          </cell>
          <cell r="IB168" t="b">
            <v>0</v>
          </cell>
        </row>
        <row r="169">
          <cell r="C169" t="str">
            <v>Stock compensation</v>
          </cell>
          <cell r="HX169" t="str">
            <v>mstag:stockCompensation</v>
          </cell>
          <cell r="HY169">
            <v>6</v>
          </cell>
          <cell r="HZ169" t="str">
            <v>ISO4217:USD</v>
          </cell>
          <cell r="IA169" t="b">
            <v>0</v>
          </cell>
          <cell r="IB169" t="b">
            <v>0</v>
          </cell>
        </row>
        <row r="170">
          <cell r="C170" t="str">
            <v>Employee expenses</v>
          </cell>
          <cell r="HX170" t="str">
            <v>mstag:employeeExpenses</v>
          </cell>
          <cell r="HY170">
            <v>6</v>
          </cell>
          <cell r="HZ170" t="str">
            <v>ISO4217:USD</v>
          </cell>
          <cell r="IA170" t="b">
            <v>0</v>
          </cell>
          <cell r="IB170" t="b">
            <v>0</v>
          </cell>
        </row>
        <row r="171">
          <cell r="C171" t="str">
            <v>Marketing costs</v>
          </cell>
          <cell r="HX171" t="str">
            <v>mstag:marketingCosts</v>
          </cell>
          <cell r="HY171">
            <v>6</v>
          </cell>
          <cell r="HZ171" t="str">
            <v>ISO4217:USD</v>
          </cell>
          <cell r="IA171" t="b">
            <v>0</v>
          </cell>
          <cell r="IB171" t="b">
            <v>0</v>
          </cell>
        </row>
        <row r="172">
          <cell r="C172" t="str">
            <v>Research and development</v>
          </cell>
          <cell r="G172">
            <v>269.85199999999998</v>
          </cell>
          <cell r="H172">
            <v>396.18599999999998</v>
          </cell>
          <cell r="I172">
            <v>367.33799999999997</v>
          </cell>
          <cell r="J172">
            <v>489.87900000000002</v>
          </cell>
          <cell r="K172">
            <v>526.23</v>
          </cell>
          <cell r="L172">
            <v>623.48199999999997</v>
          </cell>
          <cell r="M172">
            <v>721.96299999999997</v>
          </cell>
          <cell r="HX172" t="str">
            <v>mstag:researchAndDevelopment</v>
          </cell>
          <cell r="HY172">
            <v>6</v>
          </cell>
          <cell r="HZ172" t="str">
            <v>ISO4217:USD</v>
          </cell>
          <cell r="IA172" t="b">
            <v>0</v>
          </cell>
          <cell r="IB172" t="b">
            <v>0</v>
          </cell>
        </row>
        <row r="173">
          <cell r="C173" t="str">
            <v>Acquired in-process R and D, recurring</v>
          </cell>
          <cell r="HX173" t="str">
            <v>mstag:acquiredInProcessRAndDRecurring</v>
          </cell>
          <cell r="HY173">
            <v>6</v>
          </cell>
          <cell r="HZ173" t="str">
            <v>ISO4217:USD</v>
          </cell>
          <cell r="IA173" t="b">
            <v>0</v>
          </cell>
          <cell r="IB173" t="b">
            <v>0</v>
          </cell>
        </row>
        <row r="174">
          <cell r="C174" t="str">
            <v>Acquired in-process R and D, one time</v>
          </cell>
          <cell r="G174">
            <v>0</v>
          </cell>
          <cell r="H174">
            <v>0</v>
          </cell>
          <cell r="I174">
            <v>752.5</v>
          </cell>
          <cell r="J174">
            <v>0</v>
          </cell>
          <cell r="K174">
            <v>0</v>
          </cell>
          <cell r="L174">
            <v>0</v>
          </cell>
          <cell r="M174" t="str">
            <v/>
          </cell>
          <cell r="HX174" t="str">
            <v>mstag:acquiredInProcessRAndDOneTime</v>
          </cell>
          <cell r="HY174">
            <v>6</v>
          </cell>
          <cell r="HZ174" t="str">
            <v>ISO4217:USD</v>
          </cell>
          <cell r="IA174" t="b">
            <v>0</v>
          </cell>
          <cell r="IB174" t="b">
            <v>0</v>
          </cell>
        </row>
        <row r="175">
          <cell r="D175" t="str">
            <v>Acquired in-process R and D, one time, gross of tax</v>
          </cell>
          <cell r="G175">
            <v>0</v>
          </cell>
          <cell r="H175">
            <v>0</v>
          </cell>
          <cell r="I175">
            <v>1015.875</v>
          </cell>
          <cell r="J175">
            <v>0</v>
          </cell>
          <cell r="K175">
            <v>0</v>
          </cell>
          <cell r="L175">
            <v>0</v>
          </cell>
          <cell r="HX175" t="str">
            <v>mstag:acquiredInProcessRAndDOneTimeGrossOfTax</v>
          </cell>
          <cell r="HY175">
            <v>6</v>
          </cell>
          <cell r="HZ175" t="str">
            <v>ISO4217:USD</v>
          </cell>
          <cell r="IA175" t="b">
            <v>0</v>
          </cell>
          <cell r="IB175" t="b">
            <v>0</v>
          </cell>
        </row>
        <row r="176">
          <cell r="D176" t="str">
            <v>Tax on acquired in-process R and D, one time</v>
          </cell>
          <cell r="G176">
            <v>0</v>
          </cell>
          <cell r="H176">
            <v>0</v>
          </cell>
          <cell r="I176">
            <v>263.375</v>
          </cell>
          <cell r="J176">
            <v>0</v>
          </cell>
          <cell r="K176">
            <v>0</v>
          </cell>
          <cell r="L176">
            <v>0</v>
          </cell>
          <cell r="HX176" t="str">
            <v>mstag:taxOnAcquiredInProcessRAndDOneTime</v>
          </cell>
          <cell r="HY176">
            <v>6</v>
          </cell>
          <cell r="HZ176" t="str">
            <v>ISO4217:USD</v>
          </cell>
          <cell r="IA176" t="b">
            <v>0</v>
          </cell>
          <cell r="IB176" t="b">
            <v>0</v>
          </cell>
        </row>
        <row r="177">
          <cell r="C177" t="str">
            <v>Depreciation, in income statement</v>
          </cell>
          <cell r="HX177" t="str">
            <v>mstag:depreciationInIncomeStatement</v>
          </cell>
          <cell r="HY177">
            <v>6</v>
          </cell>
          <cell r="HZ177" t="str">
            <v>ISO4217:USD</v>
          </cell>
          <cell r="IA177" t="b">
            <v>0</v>
          </cell>
          <cell r="IB177" t="b">
            <v>0</v>
          </cell>
        </row>
        <row r="178">
          <cell r="C178" t="str">
            <v>Amortization of goodwill, in income statement</v>
          </cell>
          <cell r="G178">
            <v>0</v>
          </cell>
          <cell r="H178">
            <v>0</v>
          </cell>
          <cell r="I178">
            <v>76.599999999999994</v>
          </cell>
          <cell r="J178">
            <v>153.30000000000001</v>
          </cell>
          <cell r="K178">
            <v>153.30000000000001</v>
          </cell>
          <cell r="L178">
            <v>0</v>
          </cell>
          <cell r="M178" t="str">
            <v/>
          </cell>
          <cell r="HX178" t="str">
            <v>mstag:amortizationOfGoodwillInIncomeStatement</v>
          </cell>
          <cell r="HY178">
            <v>6</v>
          </cell>
          <cell r="HZ178" t="str">
            <v>ISO4217:USD</v>
          </cell>
          <cell r="IA178" t="b">
            <v>0</v>
          </cell>
          <cell r="IB178" t="b">
            <v>0</v>
          </cell>
        </row>
        <row r="179">
          <cell r="D179" t="str">
            <v>Amortization of goodwill, operating, in income statement</v>
          </cell>
          <cell r="G179">
            <v>0</v>
          </cell>
          <cell r="H179">
            <v>0</v>
          </cell>
          <cell r="I179">
            <v>76.599999999999994</v>
          </cell>
          <cell r="J179">
            <v>153.30000000000001</v>
          </cell>
          <cell r="K179">
            <v>153.30000000000001</v>
          </cell>
          <cell r="L179">
            <v>0</v>
          </cell>
          <cell r="HX179" t="str">
            <v>mstag:amortizationOfGoodwillOperatingInIncomeStatement</v>
          </cell>
          <cell r="HY179">
            <v>6</v>
          </cell>
          <cell r="HZ179" t="str">
            <v>ISO4217:USD</v>
          </cell>
          <cell r="IA179" t="b">
            <v>0</v>
          </cell>
          <cell r="IB179" t="b">
            <v>0</v>
          </cell>
        </row>
        <row r="180">
          <cell r="D180" t="str">
            <v>Amortization of goodwill, nonoperating, in income statement</v>
          </cell>
          <cell r="HX180" t="str">
            <v>mstag:amortizationOfGoodwillNonOperatingInIncomeStatement</v>
          </cell>
          <cell r="HY180">
            <v>6</v>
          </cell>
          <cell r="HZ180" t="str">
            <v>ISO4217:USD</v>
          </cell>
          <cell r="IA180" t="b">
            <v>0</v>
          </cell>
          <cell r="IB180" t="b">
            <v>0</v>
          </cell>
        </row>
        <row r="181">
          <cell r="C181" t="str">
            <v>Amortization of intangibles assumed to have indefinite life, in income statement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154.30000000000001</v>
          </cell>
          <cell r="HX181" t="str">
            <v>mstag:amortizationOfIntangiblesAssumedToHaveIndefiniteLifeIncomeStatement</v>
          </cell>
          <cell r="HY181">
            <v>6</v>
          </cell>
          <cell r="HZ181" t="str">
            <v>ISO4217:USD</v>
          </cell>
          <cell r="IA181" t="b">
            <v>0</v>
          </cell>
          <cell r="IB181" t="b">
            <v>0</v>
          </cell>
        </row>
        <row r="182">
          <cell r="C182" t="str">
            <v>Amortization of other intangibles, in income statement</v>
          </cell>
          <cell r="G182">
            <v>0</v>
          </cell>
          <cell r="H182">
            <v>0</v>
          </cell>
          <cell r="I182">
            <v>121.142</v>
          </cell>
          <cell r="J182">
            <v>222</v>
          </cell>
          <cell r="K182">
            <v>168.51599999999996</v>
          </cell>
          <cell r="L182">
            <v>155.71299999999999</v>
          </cell>
          <cell r="M182" t="str">
            <v/>
          </cell>
          <cell r="HX182" t="str">
            <v>mstag:amortizationOfOtherIntangiblesInIncomeStatement</v>
          </cell>
          <cell r="HY182">
            <v>6</v>
          </cell>
          <cell r="HZ182" t="str">
            <v>ISO4217:USD</v>
          </cell>
          <cell r="IA182" t="b">
            <v>0</v>
          </cell>
          <cell r="IB182" t="b">
            <v>0</v>
          </cell>
        </row>
        <row r="183">
          <cell r="D183" t="str">
            <v>Amortization of taxable other intangibles, in income statement</v>
          </cell>
          <cell r="G183">
            <v>0</v>
          </cell>
          <cell r="H183">
            <v>0</v>
          </cell>
          <cell r="I183">
            <v>121.142</v>
          </cell>
          <cell r="J183">
            <v>222</v>
          </cell>
          <cell r="K183">
            <v>168.51599999999996</v>
          </cell>
          <cell r="L183">
            <v>155.71299999999999</v>
          </cell>
          <cell r="HX183" t="str">
            <v>mstag:amortizationOfTaxableOtherIntangiblesInIncomeStatement</v>
          </cell>
          <cell r="HY183">
            <v>6</v>
          </cell>
          <cell r="HZ183" t="str">
            <v>ISO4217:USD</v>
          </cell>
          <cell r="IA183" t="b">
            <v>0</v>
          </cell>
          <cell r="IB183" t="b">
            <v>0</v>
          </cell>
        </row>
        <row r="184">
          <cell r="D184" t="str">
            <v>Amortization of nontaxable other intangibles, in income statement</v>
          </cell>
          <cell r="HX184" t="str">
            <v>mstag:amortizationOfNonTaxableOtherIntangiblesInIncomeStatement</v>
          </cell>
          <cell r="HY184">
            <v>6</v>
          </cell>
          <cell r="HZ184" t="str">
            <v>ISO4217:USD</v>
          </cell>
          <cell r="IA184" t="b">
            <v>0</v>
          </cell>
          <cell r="IB184" t="b">
            <v>0</v>
          </cell>
        </row>
        <row r="185">
          <cell r="C185" t="str">
            <v>Goodwill impairment</v>
          </cell>
          <cell r="HX185" t="str">
            <v>mstag:goodwillImpairment</v>
          </cell>
          <cell r="HY185">
            <v>6</v>
          </cell>
          <cell r="HZ185" t="str">
            <v>ISO4217:USD</v>
          </cell>
          <cell r="IA185" t="b">
            <v>0</v>
          </cell>
          <cell r="IB185" t="b">
            <v>0</v>
          </cell>
        </row>
        <row r="186">
          <cell r="C186" t="str">
            <v>Indefinite life intangible impairment</v>
          </cell>
          <cell r="HX186" t="str">
            <v>mstag:indefiniteLifeIntangibleImpairment</v>
          </cell>
          <cell r="HY186">
            <v>6</v>
          </cell>
          <cell r="HZ186" t="str">
            <v>ISO4217:USD</v>
          </cell>
          <cell r="IA186" t="b">
            <v>0</v>
          </cell>
          <cell r="IB186" t="b">
            <v>0</v>
          </cell>
        </row>
        <row r="187">
          <cell r="C187" t="str">
            <v>Asset impairment, nongoodwill, one time</v>
          </cell>
          <cell r="G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HX187" t="str">
            <v>mstag:assetImpairmentNonGoodwillOneTimeIncomeStatement</v>
          </cell>
          <cell r="HY187">
            <v>6</v>
          </cell>
          <cell r="HZ187" t="str">
            <v>ISO4217:USD</v>
          </cell>
          <cell r="IA187" t="b">
            <v>0</v>
          </cell>
          <cell r="IB187" t="b">
            <v>0</v>
          </cell>
        </row>
        <row r="188">
          <cell r="D188" t="str">
            <v>Asset impairment, nongoodwill, one time, gross of tax</v>
          </cell>
          <cell r="HX188" t="str">
            <v>mstag:assetImpairmentNonGoodwillOneTimeGrossOfTax</v>
          </cell>
          <cell r="HY188">
            <v>6</v>
          </cell>
          <cell r="HZ188" t="str">
            <v>ISO4217:USD</v>
          </cell>
          <cell r="IA188" t="b">
            <v>0</v>
          </cell>
          <cell r="IB188" t="b">
            <v>0</v>
          </cell>
        </row>
        <row r="189">
          <cell r="D189" t="str">
            <v>Tax on asset impairment, nongoodwill, one time</v>
          </cell>
          <cell r="HX189" t="str">
            <v>mstag:taxOnAssetImpairmentNonGoodwillOneTime</v>
          </cell>
          <cell r="HY189">
            <v>6</v>
          </cell>
          <cell r="HZ189" t="str">
            <v>ISO4217:USD</v>
          </cell>
          <cell r="IA189" t="b">
            <v>0</v>
          </cell>
          <cell r="IB189" t="b">
            <v>0</v>
          </cell>
        </row>
        <row r="190">
          <cell r="C190" t="str">
            <v>Other operating expense (income)</v>
          </cell>
          <cell r="G190">
            <v>0</v>
          </cell>
          <cell r="H190">
            <v>0</v>
          </cell>
          <cell r="I190">
            <v>529.47199999999998</v>
          </cell>
          <cell r="J190">
            <v>128.81200000000001</v>
          </cell>
          <cell r="K190">
            <v>246.65700000000001</v>
          </cell>
          <cell r="L190">
            <v>350.72500000000002</v>
          </cell>
          <cell r="M190">
            <v>457.53399999999999</v>
          </cell>
          <cell r="HX190" t="str">
            <v>mstag:otherOperatingExpense</v>
          </cell>
          <cell r="HY190">
            <v>6</v>
          </cell>
          <cell r="HZ190" t="str">
            <v>ISO4217:USD</v>
          </cell>
          <cell r="IA190" t="b">
            <v>0</v>
          </cell>
          <cell r="IB190" t="b">
            <v>0</v>
          </cell>
        </row>
        <row r="191">
          <cell r="C191" t="str">
            <v>Interest and dividend income</v>
          </cell>
          <cell r="G191">
            <v>69.16</v>
          </cell>
          <cell r="H191">
            <v>88.763999999999996</v>
          </cell>
          <cell r="I191">
            <v>89.433999999999997</v>
          </cell>
          <cell r="J191">
            <v>90.408000000000001</v>
          </cell>
          <cell r="K191">
            <v>130.5</v>
          </cell>
          <cell r="L191">
            <v>101.4</v>
          </cell>
          <cell r="M191">
            <v>92.845462924999993</v>
          </cell>
          <cell r="HX191" t="str">
            <v>mstag:interestAndDividendIncome</v>
          </cell>
          <cell r="HY191">
            <v>6</v>
          </cell>
          <cell r="HZ191" t="str">
            <v>ISO4217:USD</v>
          </cell>
          <cell r="IA191" t="b">
            <v>0</v>
          </cell>
          <cell r="IB191" t="b">
            <v>0</v>
          </cell>
        </row>
        <row r="192">
          <cell r="D192" t="str">
            <v>Interest income</v>
          </cell>
          <cell r="G192">
            <v>69.16</v>
          </cell>
          <cell r="H192">
            <v>88.763999999999996</v>
          </cell>
          <cell r="I192">
            <v>89.433999999999997</v>
          </cell>
          <cell r="J192">
            <v>90.408000000000001</v>
          </cell>
          <cell r="K192">
            <v>130.5</v>
          </cell>
          <cell r="L192">
            <v>101.4</v>
          </cell>
          <cell r="HX192" t="str">
            <v>mstag:interestIncome</v>
          </cell>
          <cell r="HY192">
            <v>6</v>
          </cell>
          <cell r="HZ192" t="str">
            <v>ISO4217:USD</v>
          </cell>
          <cell r="IA192" t="b">
            <v>0</v>
          </cell>
          <cell r="IB192" t="b">
            <v>0</v>
          </cell>
        </row>
        <row r="193">
          <cell r="D193" t="str">
            <v>Dividend income</v>
          </cell>
          <cell r="HX193" t="str">
            <v>mstag:dividendIncome</v>
          </cell>
          <cell r="HY193">
            <v>6</v>
          </cell>
          <cell r="HZ193" t="str">
            <v>ISO4217:USD</v>
          </cell>
          <cell r="IA193" t="b">
            <v>0</v>
          </cell>
          <cell r="IB193" t="b">
            <v>0</v>
          </cell>
        </row>
        <row r="194">
          <cell r="C194" t="str">
            <v>Interest expense</v>
          </cell>
          <cell r="G194">
            <v>3.6419999999999999</v>
          </cell>
          <cell r="H194">
            <v>4.5519999999999996</v>
          </cell>
          <cell r="I194">
            <v>5.3599999999999994</v>
          </cell>
          <cell r="J194">
            <v>5.2759999999999998</v>
          </cell>
          <cell r="K194">
            <v>5.7</v>
          </cell>
          <cell r="L194">
            <v>0.8</v>
          </cell>
          <cell r="M194" t="str">
            <v/>
          </cell>
          <cell r="HX194" t="str">
            <v>mstag:interestExpense</v>
          </cell>
          <cell r="HY194">
            <v>6</v>
          </cell>
          <cell r="HZ194" t="str">
            <v>ISO4217:USD</v>
          </cell>
          <cell r="IA194" t="b">
            <v>0</v>
          </cell>
          <cell r="IB194" t="b">
            <v>0</v>
          </cell>
        </row>
        <row r="195">
          <cell r="D195" t="str">
            <v>Interest paid or payable</v>
          </cell>
          <cell r="G195">
            <v>7.5419999999999998</v>
          </cell>
          <cell r="H195">
            <v>7.5519999999999996</v>
          </cell>
          <cell r="I195">
            <v>7.4599999999999991</v>
          </cell>
          <cell r="J195">
            <v>7.476</v>
          </cell>
          <cell r="K195">
            <v>7.5</v>
          </cell>
          <cell r="L195">
            <v>1.8</v>
          </cell>
          <cell r="HX195" t="str">
            <v>mstag:interestPaid</v>
          </cell>
          <cell r="HY195">
            <v>6</v>
          </cell>
          <cell r="HZ195" t="str">
            <v>ISO4217:USD</v>
          </cell>
          <cell r="IA195" t="b">
            <v>0</v>
          </cell>
          <cell r="IB195" t="b">
            <v>0</v>
          </cell>
        </row>
        <row r="196">
          <cell r="D196" t="str">
            <v>Interest capitalized</v>
          </cell>
          <cell r="G196">
            <v>3.9</v>
          </cell>
          <cell r="H196">
            <v>3</v>
          </cell>
          <cell r="I196">
            <v>2.1</v>
          </cell>
          <cell r="J196">
            <v>2.2000000000000002</v>
          </cell>
          <cell r="K196">
            <v>1.8</v>
          </cell>
          <cell r="L196">
            <v>1</v>
          </cell>
          <cell r="HX196" t="str">
            <v>mstag:interestCapitalized</v>
          </cell>
          <cell r="HY196">
            <v>6</v>
          </cell>
          <cell r="HZ196" t="str">
            <v>ISO4217:USD</v>
          </cell>
          <cell r="IA196" t="b">
            <v>0</v>
          </cell>
          <cell r="IB196" t="b">
            <v>0</v>
          </cell>
        </row>
        <row r="197">
          <cell r="D197" t="str">
            <v>Net interest cost, FRS 17</v>
          </cell>
          <cell r="HX197" t="str">
            <v>mstag:netInterestCostFrs17</v>
          </cell>
          <cell r="HY197">
            <v>6</v>
          </cell>
          <cell r="HZ197" t="str">
            <v>ISO4217:USD</v>
          </cell>
          <cell r="IA197" t="b">
            <v>0</v>
          </cell>
          <cell r="IB197" t="b">
            <v>0</v>
          </cell>
        </row>
        <row r="198">
          <cell r="C198" t="str">
            <v>Income (losses) from investments, nonoperating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10.199999999999999</v>
          </cell>
          <cell r="L198">
            <v>7.1</v>
          </cell>
          <cell r="HX198" t="str">
            <v>mstag:incomeLossesFromInvestmentsNonOperating</v>
          </cell>
          <cell r="HY198">
            <v>6</v>
          </cell>
          <cell r="HZ198" t="str">
            <v>ISO4217:USD</v>
          </cell>
          <cell r="IA198" t="b">
            <v>0</v>
          </cell>
          <cell r="IB198" t="b">
            <v>0</v>
          </cell>
        </row>
        <row r="199">
          <cell r="C199" t="str">
            <v>Income (loss) from investments under the equity method, operating</v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HX199" t="str">
            <v>mstag:incomeLossFromInvestmentsAccountedForUnderTheEquityMethodOperatingIncomeStatement</v>
          </cell>
          <cell r="HY199">
            <v>6</v>
          </cell>
          <cell r="HZ199" t="str">
            <v>ISO4217:USD</v>
          </cell>
          <cell r="IA199" t="b">
            <v>0</v>
          </cell>
          <cell r="IB199" t="b">
            <v>0</v>
          </cell>
        </row>
        <row r="200">
          <cell r="D200" t="str">
            <v>Share of associate company's or joint venture's operating profit, pre-goodwill, pretax, and preinterest</v>
          </cell>
          <cell r="HX200" t="str">
            <v>mstag:shareOfAssociateCompanysOrJointVenturesOperatingProfitPreGoodwillPreTaxAndPreInterest</v>
          </cell>
          <cell r="HY200">
            <v>6</v>
          </cell>
          <cell r="HZ200" t="str">
            <v>ISO4217:USD</v>
          </cell>
          <cell r="IA200" t="b">
            <v>0</v>
          </cell>
          <cell r="IB200" t="b">
            <v>0</v>
          </cell>
        </row>
        <row r="201">
          <cell r="D201" t="str">
            <v>Share of associate company's or joint venture's operating profit, post-goodwill, pretax, and preinterest</v>
          </cell>
          <cell r="HX201" t="str">
            <v>mstag:shareOfAssociateCompanysOrJointVenturesOperatingProfitPostGoodwillPreTaxAndPreInterest</v>
          </cell>
          <cell r="HY201">
            <v>6</v>
          </cell>
          <cell r="HZ201" t="str">
            <v>ISO4217:USD</v>
          </cell>
          <cell r="IA201" t="b">
            <v>0</v>
          </cell>
          <cell r="IB201" t="b">
            <v>0</v>
          </cell>
        </row>
        <row r="202">
          <cell r="D202" t="str">
            <v>Share of associate company's or joint venture's amortization of goodwill</v>
          </cell>
          <cell r="HX202" t="str">
            <v>mstag:shareOfAssociateAmortizationOfGoodwill</v>
          </cell>
          <cell r="HY202">
            <v>6</v>
          </cell>
          <cell r="HZ202" t="str">
            <v>ISO4217:USD</v>
          </cell>
          <cell r="IA202" t="b">
            <v>0</v>
          </cell>
          <cell r="IB202" t="b">
            <v>0</v>
          </cell>
        </row>
        <row r="203">
          <cell r="D203" t="str">
            <v>Share of associate company's or joint venture's interest expense</v>
          </cell>
          <cell r="HX203" t="str">
            <v>mstag:jointVentureInterestExpense</v>
          </cell>
          <cell r="HY203">
            <v>6</v>
          </cell>
          <cell r="HZ203" t="str">
            <v>ISO4217:USD</v>
          </cell>
          <cell r="IA203" t="b">
            <v>0</v>
          </cell>
          <cell r="IB203" t="b">
            <v>0</v>
          </cell>
        </row>
        <row r="204">
          <cell r="D204" t="str">
            <v>Share of associate company's or joint venture's tax</v>
          </cell>
          <cell r="HX204" t="str">
            <v>mstag:shareOfAssociateCompanysOrJointVenturesTax</v>
          </cell>
          <cell r="HY204">
            <v>6</v>
          </cell>
          <cell r="HZ204" t="str">
            <v>ISO4217:USD</v>
          </cell>
          <cell r="IA204" t="b">
            <v>0</v>
          </cell>
          <cell r="IB204" t="b">
            <v>0</v>
          </cell>
        </row>
        <row r="205">
          <cell r="D205" t="str">
            <v>Other associate company or joint venture net income</v>
          </cell>
          <cell r="HX205" t="str">
            <v>mstag:otherJointVenureNetIncome</v>
          </cell>
          <cell r="HY205">
            <v>6</v>
          </cell>
          <cell r="HZ205" t="str">
            <v>ISO4217:USD</v>
          </cell>
          <cell r="IA205" t="b">
            <v>0</v>
          </cell>
          <cell r="IB205" t="b">
            <v>0</v>
          </cell>
        </row>
        <row r="206">
          <cell r="C206" t="str">
            <v>Income (loss) from investments under the equity method, operating, pretax</v>
          </cell>
          <cell r="HX206" t="str">
            <v>mstag:incomeLossFromInvestmentsUnderTheEquityMethodOperatingPreTax</v>
          </cell>
          <cell r="HY206">
            <v>6</v>
          </cell>
          <cell r="HZ206" t="str">
            <v>ISO4217:USD</v>
          </cell>
          <cell r="IA206" t="b">
            <v>0</v>
          </cell>
          <cell r="IB206" t="b">
            <v>0</v>
          </cell>
        </row>
        <row r="207">
          <cell r="C207" t="str">
            <v>Income (loss) from investments under the equity method, nonoperating</v>
          </cell>
          <cell r="HX207" t="str">
            <v>mstag:incomeLossFromInvestmentsAccountedForUnderTheEquityMethodNonOperatingIncomeStatement</v>
          </cell>
          <cell r="HY207">
            <v>6</v>
          </cell>
          <cell r="HZ207" t="str">
            <v>ISO4217:USD</v>
          </cell>
          <cell r="IA207" t="b">
            <v>0</v>
          </cell>
          <cell r="IB207" t="b">
            <v>0</v>
          </cell>
        </row>
        <row r="208">
          <cell r="C208" t="str">
            <v>Income (loss) from investments under the equity method, nonoperating, pretax</v>
          </cell>
          <cell r="HX208" t="str">
            <v>mstag:incomeLossFromInvestmentsUnderTheEquityMethodNonOperatingPreTax</v>
          </cell>
          <cell r="HY208">
            <v>6</v>
          </cell>
          <cell r="HZ208" t="str">
            <v>ISO4217:USD</v>
          </cell>
          <cell r="IA208" t="b">
            <v>0</v>
          </cell>
          <cell r="IB208" t="b">
            <v>0</v>
          </cell>
        </row>
        <row r="209">
          <cell r="C209" t="str">
            <v>Gains (losses) from sale of PPE and intangibles, recurring</v>
          </cell>
          <cell r="HX209" t="str">
            <v>mstag:gainsLossesFromSaleOfOperatingAssetsRecurringIncomeStatement</v>
          </cell>
          <cell r="HY209">
            <v>6</v>
          </cell>
          <cell r="HZ209" t="str">
            <v>ISO4217:USD</v>
          </cell>
          <cell r="IA209" t="b">
            <v>0</v>
          </cell>
          <cell r="IB209" t="b">
            <v>0</v>
          </cell>
        </row>
        <row r="210">
          <cell r="C210" t="str">
            <v>Gains (losses) from sale of PPE and intangibles, one time</v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HX210" t="str">
            <v>mstag:gainsLossesFromSaleOfOperatingAssetsOneTimeIncomeStatement</v>
          </cell>
          <cell r="HY210">
            <v>6</v>
          </cell>
          <cell r="HZ210" t="str">
            <v>ISO4217:USD</v>
          </cell>
          <cell r="IA210" t="b">
            <v>0</v>
          </cell>
          <cell r="IB210" t="b">
            <v>0</v>
          </cell>
        </row>
        <row r="211">
          <cell r="D211" t="str">
            <v>Gains (losses) from sale of PPE and intangibles, one time, gross of tax</v>
          </cell>
          <cell r="HX211" t="str">
            <v>mstag:gainsLossesFromSaleOfOperatingAssetsOneTimeGrossOfTax</v>
          </cell>
          <cell r="HY211">
            <v>6</v>
          </cell>
          <cell r="HZ211" t="str">
            <v>ISO4217:USD</v>
          </cell>
          <cell r="IA211" t="b">
            <v>0</v>
          </cell>
          <cell r="IB211" t="b">
            <v>0</v>
          </cell>
        </row>
        <row r="212">
          <cell r="D212" t="str">
            <v>Tax on gains (losses) from sale of PPE and intangibles, one time</v>
          </cell>
          <cell r="HX212" t="str">
            <v>mstag:taxOnGainsLossesFromSaleOfOperatingAssetsOneTime</v>
          </cell>
          <cell r="HY212">
            <v>6</v>
          </cell>
          <cell r="HZ212" t="str">
            <v>ISO4217:USD</v>
          </cell>
          <cell r="IA212" t="b">
            <v>0</v>
          </cell>
          <cell r="IB212" t="b">
            <v>0</v>
          </cell>
        </row>
        <row r="213">
          <cell r="C213" t="str">
            <v>Net monetary gains (losses) from inflationary accounting</v>
          </cell>
          <cell r="HX213" t="str">
            <v>mstag:netMonetaryGainsLossesFromInflationaryAccounting</v>
          </cell>
          <cell r="HY213">
            <v>6</v>
          </cell>
          <cell r="HZ213" t="str">
            <v>ISO4217:USD</v>
          </cell>
          <cell r="IA213" t="b">
            <v>0</v>
          </cell>
          <cell r="IB213" t="b">
            <v>0</v>
          </cell>
        </row>
        <row r="214">
          <cell r="C214" t="str">
            <v>Gain (loss) on redemption and extinguishment of debt</v>
          </cell>
          <cell r="HX214" t="str">
            <v>mstag:gainLossOnRedemptionAndExtinguishmentOfDebt</v>
          </cell>
          <cell r="HY214">
            <v>6</v>
          </cell>
          <cell r="HZ214" t="str">
            <v>ISO4217:USD</v>
          </cell>
          <cell r="IA214" t="b">
            <v>0</v>
          </cell>
          <cell r="IB214" t="b">
            <v>0</v>
          </cell>
        </row>
        <row r="215">
          <cell r="C215" t="str">
            <v>Foreign currency exchange gains (losses)</v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HX215" t="str">
            <v>mstag:foreignCurrencyExchangeGainsLosses</v>
          </cell>
          <cell r="HY215">
            <v>6</v>
          </cell>
          <cell r="HZ215" t="str">
            <v>ISO4217:USD</v>
          </cell>
          <cell r="IA215" t="b">
            <v>0</v>
          </cell>
          <cell r="IB215" t="b">
            <v>0</v>
          </cell>
        </row>
        <row r="216">
          <cell r="D216" t="str">
            <v>Foreign currency exchange gains (losses), operating</v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HX216" t="str">
            <v>mstag:foreignCurrencyExchangeGainsLossesOperating</v>
          </cell>
          <cell r="HY216">
            <v>6</v>
          </cell>
          <cell r="HZ216" t="str">
            <v>ISO4217:USD</v>
          </cell>
          <cell r="IA216" t="b">
            <v>0</v>
          </cell>
          <cell r="IB216" t="b">
            <v>0</v>
          </cell>
        </row>
        <row r="217">
          <cell r="E217" t="str">
            <v>Realized foreign currency exchange gains (losses) in net operating assets</v>
          </cell>
          <cell r="HX217" t="str">
            <v>mstag:realizedForeignCurrencyExchangeGainsLossesInNetOperatingAssets</v>
          </cell>
          <cell r="HY217">
            <v>6</v>
          </cell>
          <cell r="HZ217" t="str">
            <v>ISO4217:USD</v>
          </cell>
          <cell r="IA217" t="b">
            <v>0</v>
          </cell>
          <cell r="IB217" t="b">
            <v>0</v>
          </cell>
        </row>
        <row r="218">
          <cell r="E218" t="str">
            <v>Unrealized foreign currency exchange gains (losses) in net operating assets</v>
          </cell>
          <cell r="HX218" t="str">
            <v>mstag:unrealizedForeignCurrencyExchangeGainsLossesInNetOperatingAssets</v>
          </cell>
          <cell r="HY218">
            <v>6</v>
          </cell>
          <cell r="HZ218" t="str">
            <v>ISO4217:USD</v>
          </cell>
          <cell r="IA218" t="b">
            <v>0</v>
          </cell>
          <cell r="IB218" t="b">
            <v>0</v>
          </cell>
        </row>
        <row r="219">
          <cell r="D219" t="str">
            <v>Foreign currency exchange gains (losses), financing</v>
          </cell>
          <cell r="G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  <cell r="HX219" t="str">
            <v>mstag:foreignCurrencyExchangeGainsLossesFinancing</v>
          </cell>
          <cell r="HY219">
            <v>6</v>
          </cell>
          <cell r="HZ219" t="str">
            <v>ISO4217:USD</v>
          </cell>
          <cell r="IA219" t="b">
            <v>0</v>
          </cell>
          <cell r="IB219" t="b">
            <v>0</v>
          </cell>
        </row>
        <row r="220">
          <cell r="E220" t="str">
            <v>Realized foreign currency exchange gains (losses) in net financing obligations</v>
          </cell>
          <cell r="HX220" t="str">
            <v>mstag:realizedForeignCurrencyExchangeGainsLossesInNetFinancingObligations</v>
          </cell>
          <cell r="HY220">
            <v>6</v>
          </cell>
          <cell r="HZ220" t="str">
            <v>ISO4217:USD</v>
          </cell>
          <cell r="IA220" t="b">
            <v>0</v>
          </cell>
          <cell r="IB220" t="b">
            <v>0</v>
          </cell>
        </row>
        <row r="221">
          <cell r="E221" t="str">
            <v>Unrealized foreign currency exchange gains (losses) in net financing obligations</v>
          </cell>
          <cell r="HX221" t="str">
            <v>mstag:unrealizedForeignCurrencyExchangeGainsLossesInNetFinancingObligations</v>
          </cell>
          <cell r="HY221">
            <v>6</v>
          </cell>
          <cell r="HZ221" t="str">
            <v>ISO4217:USD</v>
          </cell>
          <cell r="IA221" t="b">
            <v>0</v>
          </cell>
          <cell r="IB221" t="b">
            <v>0</v>
          </cell>
        </row>
        <row r="222">
          <cell r="C222" t="str">
            <v>Restructuring costs, recurring</v>
          </cell>
          <cell r="HX222" t="str">
            <v>mstag:restructuringCostsRecurring</v>
          </cell>
          <cell r="HY222">
            <v>6</v>
          </cell>
          <cell r="HZ222" t="str">
            <v>ISO4217:USD</v>
          </cell>
          <cell r="IA222" t="b">
            <v>0</v>
          </cell>
          <cell r="IB222" t="b">
            <v>0</v>
          </cell>
        </row>
        <row r="223">
          <cell r="C223" t="str">
            <v>Restructuring costs, one time</v>
          </cell>
          <cell r="G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HX223" t="str">
            <v>mstag:restructuringCostsOneTime</v>
          </cell>
          <cell r="HY223">
            <v>6</v>
          </cell>
          <cell r="HZ223" t="str">
            <v>ISO4217:USD</v>
          </cell>
          <cell r="IA223" t="b">
            <v>0</v>
          </cell>
          <cell r="IB223" t="b">
            <v>0</v>
          </cell>
        </row>
        <row r="224">
          <cell r="D224" t="str">
            <v>Restructuring costs, one time, gross of tax</v>
          </cell>
          <cell r="HX224" t="str">
            <v>mstag:restructuringCostsOneTimeGrossOfTax</v>
          </cell>
          <cell r="HY224">
            <v>6</v>
          </cell>
          <cell r="HZ224" t="str">
            <v>ISO4217:USD</v>
          </cell>
          <cell r="IA224" t="b">
            <v>0</v>
          </cell>
          <cell r="IB224" t="b">
            <v>0</v>
          </cell>
        </row>
        <row r="225">
          <cell r="D225" t="str">
            <v>Tax on restructuring costs, one time</v>
          </cell>
          <cell r="HX225" t="str">
            <v>mstag:taxOnRestructuringCostsOneTime</v>
          </cell>
          <cell r="HY225">
            <v>6</v>
          </cell>
          <cell r="HZ225" t="str">
            <v>ISO4217:USD</v>
          </cell>
          <cell r="IA225" t="b">
            <v>0</v>
          </cell>
          <cell r="IB225" t="b">
            <v>0</v>
          </cell>
        </row>
        <row r="226">
          <cell r="C226" t="str">
            <v>Legal provision, recurring</v>
          </cell>
          <cell r="HX226" t="str">
            <v>mstag:legalProvisionRecurring</v>
          </cell>
          <cell r="HY226">
            <v>6</v>
          </cell>
          <cell r="HZ226" t="str">
            <v>ISO4217:USD</v>
          </cell>
          <cell r="IA226" t="b">
            <v>0</v>
          </cell>
          <cell r="IB226" t="b">
            <v>0</v>
          </cell>
        </row>
        <row r="227">
          <cell r="C227" t="str">
            <v>Legal provision, one time</v>
          </cell>
          <cell r="G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HX227" t="str">
            <v>mstag:legalProvisionOneTime</v>
          </cell>
          <cell r="HY227">
            <v>6</v>
          </cell>
          <cell r="HZ227" t="str">
            <v>ISO4217:USD</v>
          </cell>
          <cell r="IA227" t="b">
            <v>0</v>
          </cell>
          <cell r="IB227" t="b">
            <v>0</v>
          </cell>
        </row>
        <row r="228">
          <cell r="D228" t="str">
            <v>Legal provision, one time, gross of tax</v>
          </cell>
          <cell r="HX228" t="str">
            <v>mstag:legalProvisionOneTimeGrossOfTax</v>
          </cell>
          <cell r="HY228">
            <v>6</v>
          </cell>
          <cell r="HZ228" t="str">
            <v>ISO4217:USD</v>
          </cell>
          <cell r="IA228" t="b">
            <v>0</v>
          </cell>
          <cell r="IB228" t="b">
            <v>0</v>
          </cell>
        </row>
        <row r="229">
          <cell r="D229" t="str">
            <v>Tax on legal provision, one time</v>
          </cell>
          <cell r="HX229" t="str">
            <v>mstag:taxOnLegalProvisionOneTime</v>
          </cell>
          <cell r="HY229">
            <v>6</v>
          </cell>
          <cell r="HZ229" t="str">
            <v>ISO4217:USD</v>
          </cell>
          <cell r="IA229" t="b">
            <v>0</v>
          </cell>
          <cell r="IB229" t="b">
            <v>0</v>
          </cell>
        </row>
        <row r="230">
          <cell r="C230" t="str">
            <v>Environmental provision, recurring</v>
          </cell>
          <cell r="HX230" t="str">
            <v>mstag:environmentalProvisionRecurring</v>
          </cell>
          <cell r="HY230">
            <v>6</v>
          </cell>
          <cell r="HZ230" t="str">
            <v>ISO4217:USD</v>
          </cell>
          <cell r="IA230" t="b">
            <v>0</v>
          </cell>
          <cell r="IB230" t="b">
            <v>0</v>
          </cell>
        </row>
        <row r="231">
          <cell r="C231" t="str">
            <v>Environmental provision, one time</v>
          </cell>
          <cell r="G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HX231" t="str">
            <v>mstag:environmentalProvisionOneTime</v>
          </cell>
          <cell r="HY231">
            <v>6</v>
          </cell>
          <cell r="HZ231" t="str">
            <v>ISO4217:USD</v>
          </cell>
          <cell r="IA231" t="b">
            <v>0</v>
          </cell>
          <cell r="IB231" t="b">
            <v>0</v>
          </cell>
        </row>
        <row r="232">
          <cell r="D232" t="str">
            <v>Environmental provision, one time, gross of tax</v>
          </cell>
          <cell r="HX232" t="str">
            <v>mstag:environmentalProvisionOneTimeGrossOfTax</v>
          </cell>
          <cell r="HY232">
            <v>6</v>
          </cell>
          <cell r="HZ232" t="str">
            <v>ISO4217:USD</v>
          </cell>
          <cell r="IA232" t="b">
            <v>0</v>
          </cell>
          <cell r="IB232" t="b">
            <v>0</v>
          </cell>
        </row>
        <row r="233">
          <cell r="D233" t="str">
            <v>Tax on environmental provision, one time</v>
          </cell>
          <cell r="HX233" t="str">
            <v>mstag:taxOnEnvironmentalProvisionOneTime</v>
          </cell>
          <cell r="HY233">
            <v>6</v>
          </cell>
          <cell r="HZ233" t="str">
            <v>ISO4217:USD</v>
          </cell>
          <cell r="IA233" t="b">
            <v>0</v>
          </cell>
          <cell r="IB233" t="b">
            <v>0</v>
          </cell>
        </row>
        <row r="234">
          <cell r="C234" t="str">
            <v>Other provisions, recurring</v>
          </cell>
          <cell r="HX234" t="str">
            <v>mstag:otherProvisionsRecurring</v>
          </cell>
          <cell r="HY234">
            <v>6</v>
          </cell>
          <cell r="HZ234" t="str">
            <v>ISO4217:USD</v>
          </cell>
          <cell r="IA234" t="b">
            <v>0</v>
          </cell>
          <cell r="IB234" t="b">
            <v>0</v>
          </cell>
        </row>
        <row r="235">
          <cell r="C235" t="str">
            <v>Other provisions, one time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-129.1</v>
          </cell>
          <cell r="HX235" t="str">
            <v>mstag:otherProvisionsOneTime</v>
          </cell>
          <cell r="HY235">
            <v>6</v>
          </cell>
          <cell r="HZ235" t="str">
            <v>ISO4217:USD</v>
          </cell>
          <cell r="IA235" t="b">
            <v>0</v>
          </cell>
          <cell r="IB235" t="b">
            <v>0</v>
          </cell>
        </row>
        <row r="236">
          <cell r="D236" t="str">
            <v>Other provisions, one time, gross of tax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-115.8</v>
          </cell>
          <cell r="HX236" t="str">
            <v>mstag:otherProvisionsOneTimeGrossOfTax</v>
          </cell>
          <cell r="HY236">
            <v>6</v>
          </cell>
          <cell r="HZ236" t="str">
            <v>ISO4217:USD</v>
          </cell>
          <cell r="IA236" t="b">
            <v>0</v>
          </cell>
          <cell r="IB236" t="b">
            <v>0</v>
          </cell>
        </row>
        <row r="237">
          <cell r="D237" t="str">
            <v>Tax on other provisions, one time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13.3</v>
          </cell>
          <cell r="HX237" t="str">
            <v>mstag:taxOnOtherProvisionsOneTime</v>
          </cell>
          <cell r="HY237">
            <v>6</v>
          </cell>
          <cell r="HZ237" t="str">
            <v>ISO4217:USD</v>
          </cell>
          <cell r="IA237" t="b">
            <v>0</v>
          </cell>
          <cell r="IB237" t="b">
            <v>0</v>
          </cell>
        </row>
        <row r="238">
          <cell r="C238" t="str">
            <v>Pension settlement and curtailment gains (losses), one time</v>
          </cell>
          <cell r="G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  <cell r="HX238" t="str">
            <v>mstag:pensionSettlementAndCurtailmentGainsLossesOneTime</v>
          </cell>
          <cell r="HY238">
            <v>6</v>
          </cell>
          <cell r="HZ238" t="str">
            <v>ISO4217:USD</v>
          </cell>
          <cell r="IA238" t="b">
            <v>0</v>
          </cell>
          <cell r="IB238" t="b">
            <v>0</v>
          </cell>
        </row>
        <row r="239">
          <cell r="D239" t="str">
            <v>Daiko Henjo: special settlement gain (loss) (Japan)</v>
          </cell>
          <cell r="HX239" t="str">
            <v>mstag:daikoHenjoSpecialSettlementGainLossJapan</v>
          </cell>
          <cell r="HY239">
            <v>6</v>
          </cell>
          <cell r="HZ239" t="str">
            <v>ISO4217:USD</v>
          </cell>
          <cell r="IA239" t="b">
            <v>0</v>
          </cell>
          <cell r="IB239" t="b">
            <v>0</v>
          </cell>
        </row>
        <row r="240">
          <cell r="D240" t="str">
            <v>Other pension settlement and curtailment gains (losses), one time</v>
          </cell>
          <cell r="HX240" t="str">
            <v>mstag:otherPensionSettlementAndCurtailmentGainsLossesOneTime</v>
          </cell>
          <cell r="HY240">
            <v>6</v>
          </cell>
          <cell r="HZ240" t="str">
            <v>ISO4217:USD</v>
          </cell>
          <cell r="IA240" t="b">
            <v>0</v>
          </cell>
          <cell r="IB240" t="b">
            <v>0</v>
          </cell>
        </row>
        <row r="241">
          <cell r="C241" t="str">
            <v>Other nonoperating income (expense)</v>
          </cell>
          <cell r="G241">
            <v>0</v>
          </cell>
          <cell r="H241">
            <v>0</v>
          </cell>
          <cell r="I241">
            <v>-230.00800000000001</v>
          </cell>
          <cell r="J241">
            <v>0</v>
          </cell>
          <cell r="K241">
            <v>0</v>
          </cell>
          <cell r="L241">
            <v>-543.90499999999997</v>
          </cell>
          <cell r="HX241" t="str">
            <v>mstag:otherNonOperatingIncomeExpense</v>
          </cell>
          <cell r="HY241">
            <v>6</v>
          </cell>
          <cell r="HZ241" t="str">
            <v>ISO4217:USD</v>
          </cell>
          <cell r="IA241" t="b">
            <v>0</v>
          </cell>
          <cell r="IB241" t="b">
            <v>0</v>
          </cell>
        </row>
        <row r="242">
          <cell r="C242" t="str">
            <v>Tax expense (income)</v>
          </cell>
          <cell r="G242">
            <v>40.750999999999998</v>
          </cell>
          <cell r="H242">
            <v>70.74199999999999</v>
          </cell>
          <cell r="I242">
            <v>-203.10899999999998</v>
          </cell>
          <cell r="J242">
            <v>20.413999999999987</v>
          </cell>
          <cell r="K242">
            <v>127.11199999999999</v>
          </cell>
          <cell r="L242">
            <v>-34.038000000000011</v>
          </cell>
          <cell r="M242">
            <v>303.69799999999998</v>
          </cell>
          <cell r="HX242" t="str">
            <v>mstag:taxExpenseIncome</v>
          </cell>
          <cell r="HY242">
            <v>6</v>
          </cell>
          <cell r="HZ242" t="str">
            <v>ISO4217:USD</v>
          </cell>
          <cell r="IA242" t="b">
            <v>0</v>
          </cell>
          <cell r="IB242" t="b">
            <v>0</v>
          </cell>
        </row>
        <row r="243">
          <cell r="D243" t="str">
            <v>Current income tax expense</v>
          </cell>
          <cell r="G243">
            <v>31.050999999999998</v>
          </cell>
          <cell r="H243">
            <v>40.948999999999998</v>
          </cell>
          <cell r="I243">
            <v>-38.971000000000004</v>
          </cell>
          <cell r="J243">
            <v>217.196</v>
          </cell>
          <cell r="K243">
            <v>97.754999999999995</v>
          </cell>
          <cell r="L243">
            <v>162.60599999999999</v>
          </cell>
          <cell r="HX243" t="str">
            <v>mstag:currentIncomeTax</v>
          </cell>
          <cell r="HY243">
            <v>6</v>
          </cell>
          <cell r="HZ243" t="str">
            <v>ISO4217:USD</v>
          </cell>
          <cell r="IA243" t="b">
            <v>0</v>
          </cell>
          <cell r="IB243" t="b">
            <v>0</v>
          </cell>
        </row>
        <row r="244">
          <cell r="D244" t="str">
            <v>Deferred income tax expense</v>
          </cell>
          <cell r="G244">
            <v>9.6999999999999993</v>
          </cell>
          <cell r="H244">
            <v>29.792999999999999</v>
          </cell>
          <cell r="I244">
            <v>-164.13799999999998</v>
          </cell>
          <cell r="J244">
            <v>-196.78200000000001</v>
          </cell>
          <cell r="K244">
            <v>29.356999999999999</v>
          </cell>
          <cell r="L244">
            <v>-196.64400000000001</v>
          </cell>
          <cell r="M244" t="str">
            <v/>
          </cell>
          <cell r="HX244" t="str">
            <v>mstag:deferredIncomeTax</v>
          </cell>
          <cell r="HY244">
            <v>6</v>
          </cell>
          <cell r="HZ244" t="str">
            <v>ISO4217:USD</v>
          </cell>
          <cell r="IA244" t="b">
            <v>0</v>
          </cell>
          <cell r="IB244" t="b">
            <v>0</v>
          </cell>
        </row>
        <row r="245">
          <cell r="E245" t="str">
            <v>Deferred income tax expense, benefit for NOLs</v>
          </cell>
          <cell r="HX245" t="str">
            <v>mstag:deferredIncomeTaxBenefitForNols</v>
          </cell>
          <cell r="HY245">
            <v>6</v>
          </cell>
          <cell r="HZ245" t="str">
            <v>ISO4217:USD</v>
          </cell>
          <cell r="IA245" t="b">
            <v>0</v>
          </cell>
          <cell r="IB245" t="b">
            <v>0</v>
          </cell>
        </row>
        <row r="246">
          <cell r="E246" t="str">
            <v>Other deferred income tax expense</v>
          </cell>
          <cell r="G246">
            <v>9.6999999999999993</v>
          </cell>
          <cell r="H246">
            <v>29.792999999999999</v>
          </cell>
          <cell r="I246">
            <v>-164.13799999999998</v>
          </cell>
          <cell r="J246">
            <v>-196.78200000000001</v>
          </cell>
          <cell r="K246">
            <v>29.356999999999999</v>
          </cell>
          <cell r="L246">
            <v>-196.64400000000001</v>
          </cell>
          <cell r="HX246" t="str">
            <v>mstag:otherDeferredIncomeTax</v>
          </cell>
          <cell r="HY246">
            <v>6</v>
          </cell>
          <cell r="HZ246" t="str">
            <v>ISO4217:USD</v>
          </cell>
          <cell r="IA246" t="b">
            <v>0</v>
          </cell>
          <cell r="IB246" t="b">
            <v>0</v>
          </cell>
        </row>
        <row r="247">
          <cell r="C247" t="str">
            <v>Minority interests in net income</v>
          </cell>
          <cell r="HX247" t="str">
            <v>mstag:minorityInterestsInNetIncome</v>
          </cell>
          <cell r="HY247">
            <v>6</v>
          </cell>
          <cell r="HZ247" t="str">
            <v>ISO4217:USD</v>
          </cell>
          <cell r="IA247" t="b">
            <v>0</v>
          </cell>
          <cell r="IB247" t="b">
            <v>0</v>
          </cell>
        </row>
        <row r="248">
          <cell r="C248" t="str">
            <v>Cumulative effect of change in accounting principle, net of tax</v>
          </cell>
          <cell r="G248">
            <v>0</v>
          </cell>
          <cell r="H248">
            <v>0</v>
          </cell>
          <cell r="I248">
            <v>0</v>
          </cell>
          <cell r="J248">
            <v>-57.8</v>
          </cell>
          <cell r="K248">
            <v>-5.6379999999999999</v>
          </cell>
          <cell r="L248">
            <v>0</v>
          </cell>
          <cell r="M248">
            <v>-47</v>
          </cell>
          <cell r="HX248" t="str">
            <v>mstag:cumulativeEffectOfChangeInAccountingPrincipleNetOfTax</v>
          </cell>
          <cell r="HY248">
            <v>6</v>
          </cell>
          <cell r="HZ248" t="str">
            <v>ISO4217:USD</v>
          </cell>
          <cell r="IA248" t="b">
            <v>0</v>
          </cell>
          <cell r="IB248" t="b">
            <v>0</v>
          </cell>
        </row>
        <row r="249">
          <cell r="C249" t="str">
            <v>Income (loss) from extraordinary items, net of tax</v>
          </cell>
          <cell r="G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HX249" t="str">
            <v>mstag:incomeLossFromExtraordinaryItemsNetOfTax</v>
          </cell>
          <cell r="HY249">
            <v>6</v>
          </cell>
          <cell r="HZ249" t="str">
            <v>ISO4217:USD</v>
          </cell>
          <cell r="IA249" t="b">
            <v>0</v>
          </cell>
          <cell r="IB249" t="b">
            <v>0</v>
          </cell>
        </row>
        <row r="250">
          <cell r="D250" t="str">
            <v>Income (loss) from extraordinary items, pretax</v>
          </cell>
          <cell r="HX250" t="str">
            <v>mstag:incomeLossFromExtraordinaryItemsPretax</v>
          </cell>
          <cell r="HY250">
            <v>6</v>
          </cell>
          <cell r="HZ250" t="str">
            <v>ISO4217:USD</v>
          </cell>
          <cell r="IA250" t="b">
            <v>0</v>
          </cell>
          <cell r="IB250" t="b">
            <v>0</v>
          </cell>
        </row>
        <row r="251">
          <cell r="D251" t="str">
            <v>Tax on income (loss) from extraordinary items</v>
          </cell>
          <cell r="HX251" t="str">
            <v>mstag:taxOnIncomeLossFromExtraordinaryItems</v>
          </cell>
          <cell r="HY251">
            <v>6</v>
          </cell>
          <cell r="HZ251" t="str">
            <v>ISO4217:USD</v>
          </cell>
          <cell r="IA251" t="b">
            <v>0</v>
          </cell>
          <cell r="IB251" t="b">
            <v>0</v>
          </cell>
        </row>
        <row r="252">
          <cell r="C252" t="str">
            <v>Income (loss) from discontinued operations, net of tax</v>
          </cell>
          <cell r="G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HX252" t="str">
            <v>mstag:incomeLossFromDiscontinuedOperationsNetOfTax</v>
          </cell>
          <cell r="HY252">
            <v>6</v>
          </cell>
          <cell r="HZ252" t="str">
            <v>ISO4217:USD</v>
          </cell>
          <cell r="IA252" t="b">
            <v>0</v>
          </cell>
          <cell r="IB252" t="b">
            <v>0</v>
          </cell>
        </row>
        <row r="253">
          <cell r="D253" t="str">
            <v>Income (loss) from discontinued operations, pretax</v>
          </cell>
          <cell r="HX253" t="str">
            <v>mstag:incomeLossFromDiscontinuedOperationsPretax</v>
          </cell>
          <cell r="HY253">
            <v>6</v>
          </cell>
          <cell r="HZ253" t="str">
            <v>ISO4217:USD</v>
          </cell>
          <cell r="IA253" t="b">
            <v>0</v>
          </cell>
          <cell r="IB253" t="b">
            <v>0</v>
          </cell>
        </row>
        <row r="254">
          <cell r="D254" t="str">
            <v>Tax on income (loss) from discontinued operations</v>
          </cell>
          <cell r="HX254" t="str">
            <v>mstag:taxOnIncomeLossFromDiscontinuedOperations</v>
          </cell>
          <cell r="HY254">
            <v>6</v>
          </cell>
          <cell r="HZ254" t="str">
            <v>ISO4217:USD</v>
          </cell>
          <cell r="IA254" t="b">
            <v>0</v>
          </cell>
          <cell r="IB254" t="b">
            <v>0</v>
          </cell>
        </row>
        <row r="255">
          <cell r="C255" t="str">
            <v>Preferred dividends paid</v>
          </cell>
          <cell r="HX255" t="str">
            <v>mstag:preferredDividendsPaid</v>
          </cell>
          <cell r="HY255">
            <v>6</v>
          </cell>
          <cell r="HZ255" t="str">
            <v>ISO4217:USD</v>
          </cell>
          <cell r="IA255" t="b">
            <v>0</v>
          </cell>
          <cell r="IB255" t="b">
            <v>0</v>
          </cell>
        </row>
        <row r="256">
          <cell r="C256" t="str">
            <v>Preferred dividends attributable to current period earnings</v>
          </cell>
          <cell r="HX256" t="str">
            <v>mstag:preferredDividendsAttributableToCurrentPeriodEarnings</v>
          </cell>
          <cell r="HY256">
            <v>6</v>
          </cell>
          <cell r="HZ256" t="str">
            <v>ISO4217:USD</v>
          </cell>
          <cell r="IA256" t="b">
            <v>0</v>
          </cell>
          <cell r="IB256" t="b">
            <v>0</v>
          </cell>
        </row>
        <row r="257">
          <cell r="C257" t="str">
            <v>Adjustment to net income for dilutive items</v>
          </cell>
          <cell r="G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HX257" t="str">
            <v>mstag:adjustmentToNetIncomeForDilutiveItems</v>
          </cell>
          <cell r="HY257">
            <v>6</v>
          </cell>
          <cell r="HZ257" t="str">
            <v>ISO4217:USD</v>
          </cell>
          <cell r="IA257" t="b">
            <v>0</v>
          </cell>
          <cell r="IB257" t="b">
            <v>0</v>
          </cell>
        </row>
        <row r="258">
          <cell r="D258" t="str">
            <v>Impact of assumed conversion of preferred stock</v>
          </cell>
          <cell r="HX258" t="str">
            <v>mstag:impactOfAssumedConversionOfPreferredStock</v>
          </cell>
          <cell r="HY258">
            <v>6</v>
          </cell>
          <cell r="HZ258" t="str">
            <v>ISO4217:USD</v>
          </cell>
          <cell r="IA258" t="b">
            <v>0</v>
          </cell>
          <cell r="IB258" t="b">
            <v>0</v>
          </cell>
        </row>
        <row r="259">
          <cell r="D259" t="str">
            <v>Impact of assumed conversion of convertible bonds</v>
          </cell>
          <cell r="HX259" t="str">
            <v>mstag:impactOfAssumedConversionOfConvertibleBonds</v>
          </cell>
          <cell r="HY259">
            <v>6</v>
          </cell>
          <cell r="HZ259" t="str">
            <v>ISO4217:USD</v>
          </cell>
          <cell r="IA259" t="b">
            <v>0</v>
          </cell>
          <cell r="IB259" t="b">
            <v>0</v>
          </cell>
        </row>
        <row r="260">
          <cell r="D260" t="str">
            <v>Impact of stock options compensation</v>
          </cell>
          <cell r="HX260" t="str">
            <v>mstag:impactOfStockOptionsCompensation</v>
          </cell>
          <cell r="HY260">
            <v>6</v>
          </cell>
          <cell r="HZ260" t="str">
            <v>ISO4217:USD</v>
          </cell>
          <cell r="IA260" t="b">
            <v>0</v>
          </cell>
          <cell r="IB260" t="b">
            <v>0</v>
          </cell>
        </row>
        <row r="261">
          <cell r="C261" t="str">
            <v>Company-reported revenue</v>
          </cell>
          <cell r="HX261" t="str">
            <v>mstag:companyReportedRevenue</v>
          </cell>
          <cell r="HY261">
            <v>6</v>
          </cell>
          <cell r="HZ261" t="str">
            <v>ISO4217:USD</v>
          </cell>
          <cell r="IA261" t="b">
            <v>0</v>
          </cell>
          <cell r="IB261" t="b">
            <v>0</v>
          </cell>
        </row>
        <row r="262">
          <cell r="C262" t="str">
            <v>Japan-specific operating metrics</v>
          </cell>
          <cell r="HX262" t="str">
            <v>mstag:japanSpecificOperatingMetrics</v>
          </cell>
          <cell r="HY262">
            <v>6</v>
          </cell>
          <cell r="HZ262" t="str">
            <v>ISO4217:USD</v>
          </cell>
          <cell r="IA262" t="b">
            <v>0</v>
          </cell>
          <cell r="IB262" t="b">
            <v>0</v>
          </cell>
        </row>
        <row r="263">
          <cell r="D263" t="str">
            <v>Operating income (expense) classified by company as nonoperating (Japan)</v>
          </cell>
          <cell r="HX263" t="str">
            <v>mstag:operatingIncomeExpenseClassifiedByCompanyAsNonOperatingJapan</v>
          </cell>
          <cell r="HY263">
            <v>6</v>
          </cell>
          <cell r="HZ263" t="str">
            <v>ISO4217:USD</v>
          </cell>
          <cell r="IA263" t="b">
            <v>0</v>
          </cell>
          <cell r="IB263" t="b">
            <v>0</v>
          </cell>
        </row>
        <row r="264">
          <cell r="D264" t="str">
            <v>Operating income (expense) classified by company as extraordinary (Japan)</v>
          </cell>
          <cell r="HX264" t="str">
            <v>mstag:operatingIncomeExpenseClassifiedByCompanyAsExtraordinaryJapan</v>
          </cell>
          <cell r="HY264">
            <v>6</v>
          </cell>
          <cell r="HZ264" t="str">
            <v>ISO4217:USD</v>
          </cell>
          <cell r="IA264" t="b">
            <v>0</v>
          </cell>
          <cell r="IB264" t="b">
            <v>0</v>
          </cell>
        </row>
        <row r="265">
          <cell r="D265" t="str">
            <v>Nonoperating income (expense) classified by company as operating (Japan)</v>
          </cell>
          <cell r="HX265" t="str">
            <v>mstag:nonOperatingIncomeExpenseClassifiedByCompanyAsOperatingJapan</v>
          </cell>
          <cell r="HY265">
            <v>6</v>
          </cell>
          <cell r="HZ265" t="str">
            <v>ISO4217:USD</v>
          </cell>
          <cell r="IA265" t="b">
            <v>0</v>
          </cell>
          <cell r="IB265" t="b">
            <v>0</v>
          </cell>
        </row>
        <row r="266">
          <cell r="D266" t="str">
            <v>Nonoperating income (expense) classified by company as extraordinary (Japan)</v>
          </cell>
          <cell r="HX266" t="str">
            <v>mstag:recurringIncomeExpenseClassifiedByCompanyAsExtraordinaryJapan</v>
          </cell>
          <cell r="HY266">
            <v>6</v>
          </cell>
          <cell r="HZ266" t="str">
            <v>ISO4217:USD</v>
          </cell>
          <cell r="IA266" t="b">
            <v>0</v>
          </cell>
          <cell r="IB266" t="b">
            <v>0</v>
          </cell>
        </row>
        <row r="267">
          <cell r="D267" t="str">
            <v>One-time income (expense), gross of tax, classified by company as operating (Japan)</v>
          </cell>
          <cell r="HX267" t="str">
            <v>mstag:oneTimeIncomeExpenseGrossOfTaxClassifiedByCompanyAsOperatingJapan</v>
          </cell>
          <cell r="HY267">
            <v>6</v>
          </cell>
          <cell r="HZ267" t="str">
            <v>ISO4217:USD</v>
          </cell>
          <cell r="IA267" t="b">
            <v>0</v>
          </cell>
          <cell r="IB267" t="b">
            <v>0</v>
          </cell>
        </row>
        <row r="268">
          <cell r="D268" t="str">
            <v>One-time income (expense), gross of tax, classified by company as nonoperating (Japan)</v>
          </cell>
          <cell r="HX268" t="str">
            <v>mstag:oneTimeIncomeExpenseGrossOfTaxClassifiedByCompanyAsNonOperatingJapan</v>
          </cell>
          <cell r="HY268">
            <v>6</v>
          </cell>
          <cell r="HZ268" t="str">
            <v>ISO4217:USD</v>
          </cell>
          <cell r="IA268" t="b">
            <v>0</v>
          </cell>
          <cell r="IB268" t="b">
            <v>0</v>
          </cell>
        </row>
        <row r="269">
          <cell r="D269" t="str">
            <v>Recurring profit (Japan)</v>
          </cell>
          <cell r="HX269" t="str">
            <v>mstag:recurringProfitJapan</v>
          </cell>
          <cell r="HY269">
            <v>6</v>
          </cell>
          <cell r="HZ269" t="str">
            <v>ISO4217:USD</v>
          </cell>
          <cell r="IA269" t="b">
            <v>0</v>
          </cell>
          <cell r="IB269" t="b">
            <v>0</v>
          </cell>
        </row>
        <row r="270">
          <cell r="C270" t="str">
            <v>EPS adjusted for consensus</v>
          </cell>
          <cell r="HX270" t="str">
            <v>mstag:adjEpsForConsensus</v>
          </cell>
          <cell r="HY270">
            <v>0</v>
          </cell>
          <cell r="HZ270" t="str">
            <v>ISO4217:USD</v>
          </cell>
          <cell r="IA270" t="b">
            <v>0</v>
          </cell>
          <cell r="IB270" t="b">
            <v>0</v>
          </cell>
        </row>
        <row r="271">
          <cell r="C271" t="str">
            <v>Period-end diluted shares outstanding</v>
          </cell>
          <cell r="HX271" t="str">
            <v>mstag:periodEndDilutedSharesOutstanding</v>
          </cell>
          <cell r="HY271">
            <v>6</v>
          </cell>
          <cell r="HZ271" t="str">
            <v>ms_eqr_gcim_Decimal:ms_eqr_gcim_decimal</v>
          </cell>
          <cell r="IA271" t="b">
            <v>0</v>
          </cell>
          <cell r="IB271" t="b">
            <v>0</v>
          </cell>
        </row>
        <row r="272">
          <cell r="C272" t="str">
            <v>Period-end basic shares outstanding</v>
          </cell>
          <cell r="G272">
            <v>993.82235200000002</v>
          </cell>
          <cell r="H272">
            <v>1016.9171200000001</v>
          </cell>
          <cell r="I272">
            <v>1032.4410559999999</v>
          </cell>
          <cell r="J272">
            <v>1050.953542</v>
          </cell>
          <cell r="K272">
            <v>1056.6265719999999</v>
          </cell>
          <cell r="L272">
            <v>1025.6204499999999</v>
          </cell>
          <cell r="M272">
            <v>1049.4000000000001</v>
          </cell>
          <cell r="HX272" t="str">
            <v>mstag:periodEndBasicSharesOutstanding</v>
          </cell>
          <cell r="HY272">
            <v>6</v>
          </cell>
          <cell r="HZ272" t="str">
            <v>ms_eqr_gcim_Decimal:ms_eqr_gcim_decimal</v>
          </cell>
          <cell r="IA272" t="b">
            <v>0</v>
          </cell>
          <cell r="IB272" t="b">
            <v>0</v>
          </cell>
        </row>
        <row r="273">
          <cell r="C273" t="str">
            <v>Current diluted shares outstanding</v>
          </cell>
          <cell r="HX273" t="str">
            <v>mstag:currentDilutedSharesOutstanding</v>
          </cell>
          <cell r="HY273">
            <v>6</v>
          </cell>
          <cell r="HZ273" t="str">
            <v>ms_eqr_gcim_Decimal:ms_eqr_gcim_decimal</v>
          </cell>
          <cell r="IA273" t="b">
            <v>0</v>
          </cell>
          <cell r="IB273" t="b">
            <v>0</v>
          </cell>
        </row>
        <row r="274">
          <cell r="C274" t="str">
            <v>Current basic shares outstanding</v>
          </cell>
          <cell r="HX274" t="str">
            <v>mstag:currentBasicSharesOutstanding</v>
          </cell>
          <cell r="HY274">
            <v>6</v>
          </cell>
          <cell r="HZ274" t="str">
            <v>ms_eqr_gcim_Decimal:ms_eqr_gcim_decimal</v>
          </cell>
          <cell r="IA274" t="b">
            <v>0</v>
          </cell>
          <cell r="IB274" t="b">
            <v>0</v>
          </cell>
        </row>
        <row r="275">
          <cell r="C275" t="str">
            <v>Average diluted shares outstanding</v>
          </cell>
          <cell r="G275">
            <v>1011.176</v>
          </cell>
          <cell r="H275">
            <v>1038.9760000000001</v>
          </cell>
          <cell r="I275">
            <v>1026.704</v>
          </cell>
          <cell r="J275">
            <v>1044.3579999999999</v>
          </cell>
          <cell r="K275">
            <v>1070.5820000000001</v>
          </cell>
          <cell r="L275">
            <v>1048.816</v>
          </cell>
          <cell r="M275">
            <v>1054.3219999999999</v>
          </cell>
          <cell r="HX275" t="str">
            <v>mstag:averageDilutedSharesOutstanding</v>
          </cell>
          <cell r="HY275">
            <v>6</v>
          </cell>
          <cell r="HZ275" t="str">
            <v>ms_eqr_gcim_Decimal:ms_eqr_gcim_decimal</v>
          </cell>
          <cell r="IA275" t="b">
            <v>0</v>
          </cell>
          <cell r="IB275" t="b">
            <v>0</v>
          </cell>
        </row>
        <row r="276">
          <cell r="C276" t="str">
            <v>Number of preferred shares outstanding</v>
          </cell>
          <cell r="HX276" t="str">
            <v>mstag:numberOfPreferredSharesOutstanding</v>
          </cell>
          <cell r="HY276">
            <v>6</v>
          </cell>
          <cell r="HZ276" t="str">
            <v>ms_eqr_gcim_Decimal:ms_eqr_gcim_decimal</v>
          </cell>
          <cell r="IA276" t="b">
            <v>0</v>
          </cell>
          <cell r="IB276" t="b">
            <v>0</v>
          </cell>
        </row>
        <row r="277">
          <cell r="C277" t="str">
            <v>Average basic shares outstanding</v>
          </cell>
          <cell r="G277">
            <v>984.32</v>
          </cell>
          <cell r="H277">
            <v>1006.136</v>
          </cell>
          <cell r="I277">
            <v>1026.704</v>
          </cell>
          <cell r="J277">
            <v>1044.3579999999999</v>
          </cell>
          <cell r="K277">
            <v>1054.0440000000001</v>
          </cell>
          <cell r="L277">
            <v>1038.384</v>
          </cell>
          <cell r="M277">
            <v>1034.4565</v>
          </cell>
          <cell r="HX277" t="str">
            <v>mstag:averageBasicSharesOutstanding</v>
          </cell>
          <cell r="HY277">
            <v>6</v>
          </cell>
          <cell r="HZ277" t="str">
            <v>ms_eqr_gcim_Decimal:ms_eqr_gcim_decimal</v>
          </cell>
          <cell r="IA277" t="b">
            <v>0</v>
          </cell>
          <cell r="IB277" t="b">
            <v>0</v>
          </cell>
        </row>
        <row r="278">
          <cell r="C278" t="str">
            <v>ADR ratio</v>
          </cell>
          <cell r="HX278" t="str">
            <v>mstag:adrRatioNew</v>
          </cell>
          <cell r="HY278">
            <v>0</v>
          </cell>
          <cell r="HZ278" t="str">
            <v>ms_eqr_gcim_Decimal:ms_eqr_gcim_decimal</v>
          </cell>
          <cell r="IA278" t="b">
            <v>0</v>
          </cell>
          <cell r="IB278" t="b">
            <v>0</v>
          </cell>
        </row>
        <row r="279">
          <cell r="C279" t="str">
            <v>Current ADR ratio</v>
          </cell>
          <cell r="HX279" t="str">
            <v>mstag:currentAdrRatio</v>
          </cell>
          <cell r="HY279">
            <v>0</v>
          </cell>
          <cell r="HZ279" t="str">
            <v>ms_eqr_gcim_Decimal:ms_eqr_gcim_decimal</v>
          </cell>
          <cell r="IA279" t="b">
            <v>0</v>
          </cell>
          <cell r="IB279" t="b">
            <v>0</v>
          </cell>
        </row>
        <row r="280">
          <cell r="C280" t="str">
            <v>Analyst's average FX rate</v>
          </cell>
          <cell r="HX280" t="str">
            <v>mstag:analystsAverageFxRate</v>
          </cell>
          <cell r="HY280">
            <v>0</v>
          </cell>
          <cell r="HZ280" t="str">
            <v>ms_eqr_gcim_Decimal:ms_eqr_gcim_decimal</v>
          </cell>
          <cell r="IA280" t="b">
            <v>0</v>
          </cell>
          <cell r="IB280" t="b">
            <v>0</v>
          </cell>
        </row>
        <row r="281">
          <cell r="C281" t="str">
            <v>Analyst's period-end FX rate</v>
          </cell>
          <cell r="HX281" t="str">
            <v>mstag:analystsPeriodEndFxRate</v>
          </cell>
          <cell r="HY281">
            <v>0</v>
          </cell>
          <cell r="HZ281" t="str">
            <v>ms_eqr_gcim_Decimal:ms_eqr_gcim_decimal</v>
          </cell>
          <cell r="IA281" t="b">
            <v>0</v>
          </cell>
          <cell r="IB281" t="b">
            <v>0</v>
          </cell>
        </row>
        <row r="282">
          <cell r="C282" t="str">
            <v>Percent ownership</v>
          </cell>
          <cell r="HX282" t="str">
            <v>mstag:percentOwnership</v>
          </cell>
          <cell r="HY282">
            <v>0</v>
          </cell>
          <cell r="HZ282" t="str">
            <v>ms_eqr_gcim_Decimal:ms_eqr_gcim_decimal</v>
          </cell>
          <cell r="IA282" t="b">
            <v>0</v>
          </cell>
          <cell r="IB282" t="b">
            <v>0</v>
          </cell>
        </row>
        <row r="283">
          <cell r="C283" t="str">
            <v>Statutory tax rate</v>
          </cell>
          <cell r="G283">
            <v>0.373</v>
          </cell>
          <cell r="H283">
            <v>0.37965018939169048</v>
          </cell>
          <cell r="I283">
            <v>0.51523455723542122</v>
          </cell>
          <cell r="J283">
            <v>0.59149257488044304</v>
          </cell>
          <cell r="K283">
            <v>0.40731343600036757</v>
          </cell>
          <cell r="L283">
            <v>0.37813035732293521</v>
          </cell>
          <cell r="M283">
            <v>0.32364976429312797</v>
          </cell>
          <cell r="HX283" t="str">
            <v>mstag:statutoryTaxRate</v>
          </cell>
          <cell r="HY283">
            <v>0</v>
          </cell>
          <cell r="HZ283" t="str">
            <v>ms_eqr_gcim_Decimal:ms_eqr_gcim_decimal</v>
          </cell>
          <cell r="IA283" t="b">
            <v>0</v>
          </cell>
          <cell r="IB283" t="b">
            <v>0</v>
          </cell>
        </row>
        <row r="284">
          <cell r="C284" t="str">
            <v>Dividends per share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HX284" t="str">
            <v>mstag:dividendsPerShare</v>
          </cell>
          <cell r="HY284">
            <v>0</v>
          </cell>
          <cell r="HZ284" t="str">
            <v>ISO4217:USD</v>
          </cell>
          <cell r="IA284" t="b">
            <v>0</v>
          </cell>
          <cell r="IB284" t="b">
            <v>0</v>
          </cell>
        </row>
        <row r="285">
          <cell r="B285" t="str">
            <v>Balance sheet</v>
          </cell>
          <cell r="HY285">
            <v>0</v>
          </cell>
          <cell r="HZ285" t="str">
            <v>ms_eqr_gcim_String:ms_eqr_gcim_string</v>
          </cell>
          <cell r="IA285" t="b">
            <v>0</v>
          </cell>
          <cell r="IB285" t="b">
            <v>0</v>
          </cell>
        </row>
        <row r="286">
          <cell r="C286" t="str">
            <v>Assets</v>
          </cell>
          <cell r="M286">
            <v>8735.9628426585768</v>
          </cell>
          <cell r="HX286" t="str">
            <v>mstag:assets</v>
          </cell>
          <cell r="HY286">
            <v>6</v>
          </cell>
          <cell r="HZ286" t="str">
            <v>ISO4217:USD</v>
          </cell>
          <cell r="IA286" t="b">
            <v>0</v>
          </cell>
          <cell r="IB286" t="b">
            <v>0</v>
          </cell>
        </row>
        <row r="287">
          <cell r="D287" t="str">
            <v>Cash and cash equivalents</v>
          </cell>
          <cell r="F287">
            <v>207.26400000000001</v>
          </cell>
          <cell r="G287">
            <v>244.46899999999999</v>
          </cell>
          <cell r="H287">
            <v>281.16199999999998</v>
          </cell>
          <cell r="I287">
            <v>337.68200000000002</v>
          </cell>
          <cell r="J287">
            <v>551.38400000000001</v>
          </cell>
          <cell r="K287">
            <v>395.20299999999997</v>
          </cell>
          <cell r="L287">
            <v>208.13</v>
          </cell>
          <cell r="M287">
            <v>371.87784265857795</v>
          </cell>
          <cell r="HX287" t="str">
            <v>mstag:cashAndCashEquivalents</v>
          </cell>
          <cell r="HY287">
            <v>6</v>
          </cell>
          <cell r="HZ287" t="str">
            <v>ISO4217:USD</v>
          </cell>
          <cell r="IA287" t="b">
            <v>0</v>
          </cell>
          <cell r="IB287" t="b">
            <v>0</v>
          </cell>
        </row>
        <row r="288">
          <cell r="D288" t="str">
            <v>Restricted cash required for operations</v>
          </cell>
          <cell r="HX288" t="str">
            <v>mstag:restrictedCashRequiredForOperations</v>
          </cell>
          <cell r="HY288">
            <v>6</v>
          </cell>
          <cell r="HZ288" t="str">
            <v>ISO4217:USD</v>
          </cell>
          <cell r="IA288" t="b">
            <v>0</v>
          </cell>
          <cell r="IB288" t="b">
            <v>0</v>
          </cell>
        </row>
        <row r="289">
          <cell r="D289" t="str">
            <v>Trade receivables</v>
          </cell>
          <cell r="G289">
            <v>71.41500000000002</v>
          </cell>
          <cell r="H289">
            <v>79.411000000000001</v>
          </cell>
          <cell r="I289">
            <v>120.49700000000001</v>
          </cell>
          <cell r="J289">
            <v>162.12100000000001</v>
          </cell>
          <cell r="K289">
            <v>193.203</v>
          </cell>
          <cell r="L289">
            <v>242.90700000000004</v>
          </cell>
          <cell r="M289">
            <v>574.1</v>
          </cell>
          <cell r="HX289" t="str">
            <v>mstag:tradeReceivables</v>
          </cell>
          <cell r="HY289">
            <v>6</v>
          </cell>
          <cell r="HZ289" t="str">
            <v>ISO4217:USD</v>
          </cell>
          <cell r="IA289" t="b">
            <v>0</v>
          </cell>
          <cell r="IB289" t="b">
            <v>0</v>
          </cell>
        </row>
        <row r="290">
          <cell r="E290" t="str">
            <v>Trade receivables, current</v>
          </cell>
          <cell r="G290">
            <v>71.41500000000002</v>
          </cell>
          <cell r="H290">
            <v>79.411000000000001</v>
          </cell>
          <cell r="I290">
            <v>120.49700000000001</v>
          </cell>
          <cell r="J290">
            <v>162.12100000000001</v>
          </cell>
          <cell r="K290">
            <v>193.203</v>
          </cell>
          <cell r="L290">
            <v>242.90700000000004</v>
          </cell>
          <cell r="M290" t="str">
            <v/>
          </cell>
          <cell r="HX290" t="str">
            <v>mstag:tradeReceivablesCurrent</v>
          </cell>
          <cell r="HY290">
            <v>6</v>
          </cell>
          <cell r="HZ290" t="str">
            <v>ISO4217:USD</v>
          </cell>
          <cell r="IA290" t="b">
            <v>0</v>
          </cell>
          <cell r="IB290" t="b">
            <v>0</v>
          </cell>
        </row>
        <row r="291">
          <cell r="F291" t="str">
            <v>Trade receivables, gross, current</v>
          </cell>
          <cell r="G291">
            <v>80.241000000000014</v>
          </cell>
          <cell r="H291">
            <v>94.072000000000003</v>
          </cell>
          <cell r="I291">
            <v>136.26400000000001</v>
          </cell>
          <cell r="J291">
            <v>176.24700000000001</v>
          </cell>
          <cell r="K291">
            <v>210.54</v>
          </cell>
          <cell r="L291">
            <v>259.73400000000004</v>
          </cell>
          <cell r="HX291" t="str">
            <v>mstag:tradeReceivablesGrossCurrent</v>
          </cell>
          <cell r="HY291">
            <v>6</v>
          </cell>
          <cell r="HZ291" t="str">
            <v>ISO4217:USD</v>
          </cell>
          <cell r="IA291" t="b">
            <v>0</v>
          </cell>
          <cell r="IB291" t="b">
            <v>0</v>
          </cell>
        </row>
        <row r="292">
          <cell r="F292" t="str">
            <v>Allowance for doubtful accounts, current</v>
          </cell>
          <cell r="G292">
            <v>8.8260000000000005</v>
          </cell>
          <cell r="H292">
            <v>14.661</v>
          </cell>
          <cell r="I292">
            <v>15.766999999999999</v>
          </cell>
          <cell r="J292">
            <v>14.125999999999999</v>
          </cell>
          <cell r="K292">
            <v>17.337</v>
          </cell>
          <cell r="L292">
            <v>16.827000000000002</v>
          </cell>
          <cell r="HX292" t="str">
            <v>mstag:allowanceForDoubtfulAccountsCurrent</v>
          </cell>
          <cell r="HY292">
            <v>6</v>
          </cell>
          <cell r="HZ292" t="str">
            <v>ISO4217:USD</v>
          </cell>
          <cell r="IA292" t="b">
            <v>0</v>
          </cell>
          <cell r="IB292" t="b">
            <v>0</v>
          </cell>
        </row>
        <row r="293">
          <cell r="E293" t="str">
            <v>Trade receivables, noncurrent</v>
          </cell>
          <cell r="G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  <cell r="HX293" t="str">
            <v>mstag:tradeReceivablesNonCurrent</v>
          </cell>
          <cell r="HY293">
            <v>6</v>
          </cell>
          <cell r="HZ293" t="str">
            <v>ISO4217:USD</v>
          </cell>
          <cell r="IA293" t="b">
            <v>0</v>
          </cell>
          <cell r="IB293" t="b">
            <v>0</v>
          </cell>
        </row>
        <row r="294">
          <cell r="F294" t="str">
            <v>Trade receivables, gross, noncurrent</v>
          </cell>
          <cell r="HX294" t="str">
            <v>mstag:tradeReceivablesGrossNonCurrent</v>
          </cell>
          <cell r="HY294">
            <v>6</v>
          </cell>
          <cell r="HZ294" t="str">
            <v>ISO4217:USD</v>
          </cell>
          <cell r="IA294" t="b">
            <v>0</v>
          </cell>
          <cell r="IB294" t="b">
            <v>0</v>
          </cell>
        </row>
        <row r="295">
          <cell r="F295" t="str">
            <v>Allowance for doubtful accounts, noncurrent</v>
          </cell>
          <cell r="HX295" t="str">
            <v>mstag:allowanceForDoubtfulAccountsNonCurrent</v>
          </cell>
          <cell r="HY295">
            <v>6</v>
          </cell>
          <cell r="HZ295" t="str">
            <v>ISO4217:USD</v>
          </cell>
          <cell r="IA295" t="b">
            <v>0</v>
          </cell>
          <cell r="IB295" t="b">
            <v>0</v>
          </cell>
        </row>
        <row r="296">
          <cell r="D296" t="str">
            <v>Finance lease receivables</v>
          </cell>
          <cell r="G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  <cell r="HX296" t="str">
            <v>mstag:financeLeaseReceivables</v>
          </cell>
          <cell r="HY296">
            <v>6</v>
          </cell>
          <cell r="HZ296" t="str">
            <v>ISO4217:USD</v>
          </cell>
          <cell r="IA296" t="b">
            <v>0</v>
          </cell>
          <cell r="IB296" t="b">
            <v>0</v>
          </cell>
        </row>
        <row r="297">
          <cell r="E297" t="str">
            <v>Finance lease receivables, current</v>
          </cell>
          <cell r="HX297" t="str">
            <v>mstag:financeLeaseReceivablesCurrent</v>
          </cell>
          <cell r="HY297">
            <v>6</v>
          </cell>
          <cell r="HZ297" t="str">
            <v>ISO4217:USD</v>
          </cell>
          <cell r="IA297" t="b">
            <v>0</v>
          </cell>
          <cell r="IB297" t="b">
            <v>0</v>
          </cell>
        </row>
        <row r="298">
          <cell r="E298" t="str">
            <v>Finance lease receivables, noncurrent</v>
          </cell>
          <cell r="HX298" t="str">
            <v>mstag:financeLeaseReceivablesNonCurrent</v>
          </cell>
          <cell r="HY298">
            <v>6</v>
          </cell>
          <cell r="HZ298" t="str">
            <v>ISO4217:USD</v>
          </cell>
          <cell r="IA298" t="b">
            <v>0</v>
          </cell>
          <cell r="IB298" t="b">
            <v>0</v>
          </cell>
        </row>
        <row r="299">
          <cell r="D299" t="str">
            <v>Notes receivable</v>
          </cell>
          <cell r="G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  <cell r="HX299" t="str">
            <v>mstag:notesReceivable</v>
          </cell>
          <cell r="HY299">
            <v>6</v>
          </cell>
          <cell r="HZ299" t="str">
            <v>ISO4217:USD</v>
          </cell>
          <cell r="IA299" t="b">
            <v>0</v>
          </cell>
          <cell r="IB299" t="b">
            <v>0</v>
          </cell>
        </row>
        <row r="300">
          <cell r="E300" t="str">
            <v>Notes receivable, current</v>
          </cell>
          <cell r="HX300" t="str">
            <v>mstag:notesReceivableCurrent</v>
          </cell>
          <cell r="HY300">
            <v>6</v>
          </cell>
          <cell r="HZ300" t="str">
            <v>ISO4217:USD</v>
          </cell>
          <cell r="IA300" t="b">
            <v>0</v>
          </cell>
          <cell r="IB300" t="b">
            <v>0</v>
          </cell>
        </row>
        <row r="301">
          <cell r="E301" t="str">
            <v>Notes receivable, noncurrent</v>
          </cell>
          <cell r="HX301" t="str">
            <v>mstag:notesReceivableNonCurrent</v>
          </cell>
          <cell r="HY301">
            <v>6</v>
          </cell>
          <cell r="HZ301" t="str">
            <v>ISO4217:USD</v>
          </cell>
          <cell r="IA301" t="b">
            <v>0</v>
          </cell>
          <cell r="IB301" t="b">
            <v>0</v>
          </cell>
        </row>
        <row r="302">
          <cell r="D302" t="str">
            <v>Unbilled receivables</v>
          </cell>
          <cell r="G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  <cell r="HX302" t="str">
            <v>mstag:unbilledReceivables</v>
          </cell>
          <cell r="HY302">
            <v>6</v>
          </cell>
          <cell r="HZ302" t="str">
            <v>ISO4217:USD</v>
          </cell>
          <cell r="IA302" t="b">
            <v>0</v>
          </cell>
          <cell r="IB302" t="b">
            <v>0</v>
          </cell>
        </row>
        <row r="303">
          <cell r="E303" t="str">
            <v>Unbilled receivables, current</v>
          </cell>
          <cell r="HX303" t="str">
            <v>mstag:unbilledReceivablesCurrent</v>
          </cell>
          <cell r="HY303">
            <v>6</v>
          </cell>
          <cell r="HZ303" t="str">
            <v>ISO4217:USD</v>
          </cell>
          <cell r="IA303" t="b">
            <v>0</v>
          </cell>
          <cell r="IB303" t="b">
            <v>0</v>
          </cell>
        </row>
        <row r="304">
          <cell r="E304" t="str">
            <v>Unbilled receivables, noncurrent</v>
          </cell>
          <cell r="HX304" t="str">
            <v>mstag:unbilledReceivablesNonCurrent</v>
          </cell>
          <cell r="HY304">
            <v>6</v>
          </cell>
          <cell r="HZ304" t="str">
            <v>ISO4217:USD</v>
          </cell>
          <cell r="IA304" t="b">
            <v>0</v>
          </cell>
          <cell r="IB304" t="b">
            <v>0</v>
          </cell>
        </row>
        <row r="305">
          <cell r="D305" t="str">
            <v>Other receivables</v>
          </cell>
          <cell r="G305">
            <v>117.83000000000001</v>
          </cell>
          <cell r="H305">
            <v>70.33</v>
          </cell>
          <cell r="I305">
            <v>94.288000000000011</v>
          </cell>
          <cell r="J305">
            <v>99.561000000000007</v>
          </cell>
          <cell r="K305">
            <v>122.137</v>
          </cell>
          <cell r="L305">
            <v>175.57400000000001</v>
          </cell>
          <cell r="M305" t="str">
            <v/>
          </cell>
          <cell r="HX305" t="str">
            <v>mstag:otherReceivables</v>
          </cell>
          <cell r="HY305">
            <v>6</v>
          </cell>
          <cell r="HZ305" t="str">
            <v>ISO4217:USD</v>
          </cell>
          <cell r="IA305" t="b">
            <v>0</v>
          </cell>
          <cell r="IB305" t="b">
            <v>0</v>
          </cell>
        </row>
        <row r="306">
          <cell r="E306" t="str">
            <v>Other receivables, current</v>
          </cell>
          <cell r="G306">
            <v>117.83000000000001</v>
          </cell>
          <cell r="H306">
            <v>70.33</v>
          </cell>
          <cell r="I306">
            <v>94.288000000000011</v>
          </cell>
          <cell r="J306">
            <v>99.561000000000007</v>
          </cell>
          <cell r="K306">
            <v>122.137</v>
          </cell>
          <cell r="L306">
            <v>175.57400000000001</v>
          </cell>
          <cell r="HX306" t="str">
            <v>mstag:otherReceivablesCurrent</v>
          </cell>
          <cell r="HY306">
            <v>6</v>
          </cell>
          <cell r="HZ306" t="str">
            <v>ISO4217:USD</v>
          </cell>
          <cell r="IA306" t="b">
            <v>0</v>
          </cell>
          <cell r="IB306" t="b">
            <v>0</v>
          </cell>
        </row>
        <row r="307">
          <cell r="E307" t="str">
            <v>Other receivables, noncurrent</v>
          </cell>
          <cell r="HX307" t="str">
            <v>mstag:otherReceivablesNonCurrent</v>
          </cell>
          <cell r="HY307">
            <v>6</v>
          </cell>
          <cell r="HZ307" t="str">
            <v>ISO4217:USD</v>
          </cell>
          <cell r="IA307" t="b">
            <v>0</v>
          </cell>
          <cell r="IB307" t="b">
            <v>0</v>
          </cell>
        </row>
        <row r="308">
          <cell r="D308" t="str">
            <v>Prepaid expenses</v>
          </cell>
          <cell r="G308">
            <v>55.325000000000003</v>
          </cell>
          <cell r="H308">
            <v>17.036000000000001</v>
          </cell>
          <cell r="I308">
            <v>11.87</v>
          </cell>
          <cell r="J308">
            <v>31.431999999999999</v>
          </cell>
          <cell r="K308">
            <v>38.896000000000001</v>
          </cell>
          <cell r="L308">
            <v>50.741999999999997</v>
          </cell>
          <cell r="M308">
            <v>79.44</v>
          </cell>
          <cell r="HX308" t="str">
            <v>mstag:prepaidExpenses</v>
          </cell>
          <cell r="HY308">
            <v>6</v>
          </cell>
          <cell r="HZ308" t="str">
            <v>ISO4217:USD</v>
          </cell>
          <cell r="IA308" t="b">
            <v>0</v>
          </cell>
          <cell r="IB308" t="b">
            <v>0</v>
          </cell>
        </row>
        <row r="309">
          <cell r="E309" t="str">
            <v>Prepaid expenses, current</v>
          </cell>
          <cell r="G309">
            <v>55.325000000000003</v>
          </cell>
          <cell r="H309">
            <v>17.036000000000001</v>
          </cell>
          <cell r="I309">
            <v>11.87</v>
          </cell>
          <cell r="J309">
            <v>31.431999999999999</v>
          </cell>
          <cell r="K309">
            <v>38.896000000000001</v>
          </cell>
          <cell r="L309">
            <v>50.741999999999997</v>
          </cell>
          <cell r="HX309" t="str">
            <v>mstag:prepaidExpensesCurrent</v>
          </cell>
          <cell r="HY309">
            <v>6</v>
          </cell>
          <cell r="HZ309" t="str">
            <v>ISO4217:USD</v>
          </cell>
          <cell r="IA309" t="b">
            <v>0</v>
          </cell>
          <cell r="IB309" t="b">
            <v>0</v>
          </cell>
        </row>
        <row r="310">
          <cell r="E310" t="str">
            <v>Prepaid expenses, noncurrent</v>
          </cell>
          <cell r="HX310" t="str">
            <v>mstag:prepaidExpensesNonCurrent</v>
          </cell>
          <cell r="HY310">
            <v>6</v>
          </cell>
          <cell r="HZ310" t="str">
            <v>ISO4217:USD</v>
          </cell>
          <cell r="IA310" t="b">
            <v>0</v>
          </cell>
          <cell r="IB310" t="b">
            <v>0</v>
          </cell>
        </row>
        <row r="311">
          <cell r="D311" t="str">
            <v>Income tax receivable</v>
          </cell>
          <cell r="G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  <cell r="HX311" t="str">
            <v>mstag:incomeTaxReceivable</v>
          </cell>
          <cell r="HY311">
            <v>6</v>
          </cell>
          <cell r="HZ311" t="str">
            <v>ISO4217:USD</v>
          </cell>
          <cell r="IA311" t="b">
            <v>0</v>
          </cell>
          <cell r="IB311" t="b">
            <v>0</v>
          </cell>
        </row>
        <row r="312">
          <cell r="E312" t="str">
            <v>Income tax receivable, operating</v>
          </cell>
          <cell r="HX312" t="str">
            <v>mstag:incomeTaxReceivableOperating</v>
          </cell>
          <cell r="HY312">
            <v>6</v>
          </cell>
          <cell r="HZ312" t="str">
            <v>ISO4217:USD</v>
          </cell>
          <cell r="IA312" t="b">
            <v>0</v>
          </cell>
          <cell r="IB312" t="b">
            <v>0</v>
          </cell>
        </row>
        <row r="313">
          <cell r="E313" t="str">
            <v>Income tax receivable, financing</v>
          </cell>
          <cell r="HX313" t="str">
            <v>mstag:incomeTaxReceivableFinancing</v>
          </cell>
          <cell r="HY313">
            <v>6</v>
          </cell>
          <cell r="HZ313" t="str">
            <v>ISO4217:USD</v>
          </cell>
          <cell r="IA313" t="b">
            <v>0</v>
          </cell>
          <cell r="IB313" t="b">
            <v>0</v>
          </cell>
        </row>
        <row r="314">
          <cell r="E314" t="str">
            <v>Income tax receivable, other</v>
          </cell>
          <cell r="HX314" t="str">
            <v>mstag:incomeTaxReceivableOther</v>
          </cell>
          <cell r="HY314">
            <v>6</v>
          </cell>
          <cell r="HZ314" t="str">
            <v>ISO4217:USD</v>
          </cell>
          <cell r="IA314" t="b">
            <v>0</v>
          </cell>
          <cell r="IB314" t="b">
            <v>0</v>
          </cell>
        </row>
        <row r="315">
          <cell r="D315" t="str">
            <v>Inventories</v>
          </cell>
          <cell r="G315">
            <v>116.026</v>
          </cell>
          <cell r="H315">
            <v>148.626</v>
          </cell>
          <cell r="I315">
            <v>275.245</v>
          </cell>
          <cell r="J315">
            <v>265.83000000000004</v>
          </cell>
          <cell r="K315">
            <v>356.94599999999997</v>
          </cell>
          <cell r="L315">
            <v>393.54200000000003</v>
          </cell>
          <cell r="M315">
            <v>469.64</v>
          </cell>
          <cell r="HX315" t="str">
            <v>mstag:inventories</v>
          </cell>
          <cell r="HY315">
            <v>6</v>
          </cell>
          <cell r="HZ315" t="str">
            <v>ISO4217:USD</v>
          </cell>
          <cell r="IA315" t="b">
            <v>0</v>
          </cell>
          <cell r="IB315" t="b">
            <v>0</v>
          </cell>
        </row>
        <row r="316">
          <cell r="E316" t="str">
            <v>Raw materials</v>
          </cell>
          <cell r="G316">
            <v>17.544</v>
          </cell>
          <cell r="H316">
            <v>21.414000000000001</v>
          </cell>
          <cell r="I316">
            <v>19.902999999999999</v>
          </cell>
          <cell r="J316">
            <v>17.620999999999999</v>
          </cell>
          <cell r="K316">
            <v>23.632999999999999</v>
          </cell>
          <cell r="L316">
            <v>30.181000000000001</v>
          </cell>
          <cell r="HX316" t="str">
            <v>mstag:rawMaterials</v>
          </cell>
          <cell r="HY316">
            <v>6</v>
          </cell>
          <cell r="HZ316" t="str">
            <v>ISO4217:USD</v>
          </cell>
          <cell r="IA316" t="b">
            <v>0</v>
          </cell>
          <cell r="IB316" t="b">
            <v>0</v>
          </cell>
        </row>
        <row r="317">
          <cell r="E317" t="str">
            <v>Production supplies</v>
          </cell>
          <cell r="HX317" t="str">
            <v>mstag:productionSupplies</v>
          </cell>
          <cell r="HY317">
            <v>6</v>
          </cell>
          <cell r="HZ317" t="str">
            <v>ISO4217:USD</v>
          </cell>
          <cell r="IA317" t="b">
            <v>0</v>
          </cell>
          <cell r="IB317" t="b">
            <v>0</v>
          </cell>
        </row>
        <row r="318">
          <cell r="E318" t="str">
            <v>Work in progress</v>
          </cell>
          <cell r="G318">
            <v>84.831000000000003</v>
          </cell>
          <cell r="H318">
            <v>106.383</v>
          </cell>
          <cell r="I318">
            <v>228.09200000000001</v>
          </cell>
          <cell r="J318">
            <v>233.12100000000001</v>
          </cell>
          <cell r="K318">
            <v>299.71699999999998</v>
          </cell>
          <cell r="L318">
            <v>329.81900000000002</v>
          </cell>
          <cell r="HX318" t="str">
            <v>mstag:workInProgress</v>
          </cell>
          <cell r="HY318">
            <v>6</v>
          </cell>
          <cell r="HZ318" t="str">
            <v>ISO4217:USD</v>
          </cell>
          <cell r="IA318" t="b">
            <v>0</v>
          </cell>
          <cell r="IB318" t="b">
            <v>0</v>
          </cell>
        </row>
        <row r="319">
          <cell r="E319" t="str">
            <v>Finished goods</v>
          </cell>
          <cell r="G319">
            <v>13.651</v>
          </cell>
          <cell r="H319">
            <v>20.829000000000001</v>
          </cell>
          <cell r="I319">
            <v>27.25</v>
          </cell>
          <cell r="J319">
            <v>15.087999999999999</v>
          </cell>
          <cell r="K319">
            <v>33.595999999999997</v>
          </cell>
          <cell r="L319">
            <v>33.542000000000002</v>
          </cell>
          <cell r="HX319" t="str">
            <v>mstag:finishedGoods</v>
          </cell>
          <cell r="HY319">
            <v>6</v>
          </cell>
          <cell r="HZ319" t="str">
            <v>ISO4217:USD</v>
          </cell>
          <cell r="IA319" t="b">
            <v>0</v>
          </cell>
          <cell r="IB319" t="b">
            <v>0</v>
          </cell>
        </row>
        <row r="320">
          <cell r="E320" t="str">
            <v>Other inventories</v>
          </cell>
          <cell r="HX320" t="str">
            <v>mstag:otherInventories</v>
          </cell>
          <cell r="HY320">
            <v>6</v>
          </cell>
          <cell r="HZ320" t="str">
            <v>ISO4217:USD</v>
          </cell>
          <cell r="IA320" t="b">
            <v>0</v>
          </cell>
          <cell r="IB320" t="b">
            <v>0</v>
          </cell>
        </row>
        <row r="321">
          <cell r="D321" t="str">
            <v>Property, plant, and equipment, net</v>
          </cell>
          <cell r="G321">
            <v>680.03399999999999</v>
          </cell>
          <cell r="H321">
            <v>696.68399999999997</v>
          </cell>
          <cell r="I321">
            <v>725.43099999999993</v>
          </cell>
          <cell r="J321">
            <v>734.43600000000004</v>
          </cell>
          <cell r="K321">
            <v>835.03599999999994</v>
          </cell>
          <cell r="L321">
            <v>1015.1449999999999</v>
          </cell>
          <cell r="M321">
            <v>3040.8</v>
          </cell>
          <cell r="HX321" t="str">
            <v>mstag:propertyPlantAndEquipmentNet</v>
          </cell>
          <cell r="HY321">
            <v>6</v>
          </cell>
          <cell r="HZ321" t="str">
            <v>ISO4217:USD</v>
          </cell>
          <cell r="IA321" t="b">
            <v>0</v>
          </cell>
          <cell r="IB321" t="b">
            <v>0</v>
          </cell>
        </row>
        <row r="322">
          <cell r="E322" t="str">
            <v>Property, plant, and equipment, gross</v>
          </cell>
          <cell r="G322">
            <v>1056.125</v>
          </cell>
          <cell r="H322">
            <v>1141.8989999999999</v>
          </cell>
          <cell r="I322">
            <v>1244.9269999999999</v>
          </cell>
          <cell r="J322">
            <v>1338.768</v>
          </cell>
          <cell r="K322">
            <v>1471.2629999999999</v>
          </cell>
          <cell r="L322">
            <v>1742.7569999999998</v>
          </cell>
          <cell r="M322" t="str">
            <v/>
          </cell>
          <cell r="HX322" t="str">
            <v>mstag:propertyPlantAndEquipmentGross</v>
          </cell>
          <cell r="HY322">
            <v>6</v>
          </cell>
          <cell r="HZ322" t="str">
            <v>ISO4217:USD</v>
          </cell>
          <cell r="IA322" t="b">
            <v>0</v>
          </cell>
          <cell r="IB322" t="b">
            <v>0</v>
          </cell>
        </row>
        <row r="323">
          <cell r="F323" t="str">
            <v>Property</v>
          </cell>
          <cell r="G323">
            <v>339.70800000000003</v>
          </cell>
          <cell r="H323">
            <v>378.13299999999998</v>
          </cell>
          <cell r="I323">
            <v>380.23599999999999</v>
          </cell>
          <cell r="J323">
            <v>392.11900000000003</v>
          </cell>
          <cell r="K323">
            <v>402.47300000000001</v>
          </cell>
          <cell r="L323">
            <v>422.79</v>
          </cell>
          <cell r="HX323" t="str">
            <v>mstag:property</v>
          </cell>
          <cell r="HY323">
            <v>6</v>
          </cell>
          <cell r="HZ323" t="str">
            <v>ISO4217:USD</v>
          </cell>
          <cell r="IA323" t="b">
            <v>0</v>
          </cell>
          <cell r="IB323" t="b">
            <v>0</v>
          </cell>
        </row>
        <row r="324">
          <cell r="F324" t="str">
            <v>Plant and equipment</v>
          </cell>
          <cell r="G324">
            <v>494.87400000000002</v>
          </cell>
          <cell r="H324">
            <v>607.36900000000003</v>
          </cell>
          <cell r="I324">
            <v>667.88400000000001</v>
          </cell>
          <cell r="J324">
            <v>761.69600000000003</v>
          </cell>
          <cell r="K324">
            <v>788.19799999999998</v>
          </cell>
          <cell r="L324">
            <v>880.62400000000002</v>
          </cell>
          <cell r="HX324" t="str">
            <v>mstag:plantAndEquipment</v>
          </cell>
          <cell r="HY324">
            <v>6</v>
          </cell>
          <cell r="HZ324" t="str">
            <v>ISO4217:USD</v>
          </cell>
          <cell r="IA324" t="b">
            <v>0</v>
          </cell>
          <cell r="IB324" t="b">
            <v>0</v>
          </cell>
        </row>
        <row r="325">
          <cell r="F325" t="str">
            <v>Land</v>
          </cell>
          <cell r="G325">
            <v>69.010000000000005</v>
          </cell>
          <cell r="H325">
            <v>69.436999999999998</v>
          </cell>
          <cell r="I325">
            <v>89.983000000000004</v>
          </cell>
          <cell r="J325">
            <v>90.274000000000001</v>
          </cell>
          <cell r="K325">
            <v>125.029</v>
          </cell>
          <cell r="L325">
            <v>149.53299999999999</v>
          </cell>
          <cell r="HX325" t="str">
            <v>mstag:land</v>
          </cell>
          <cell r="HY325">
            <v>6</v>
          </cell>
          <cell r="HZ325" t="str">
            <v>ISO4217:USD</v>
          </cell>
          <cell r="IA325" t="b">
            <v>0</v>
          </cell>
          <cell r="IB325" t="b">
            <v>0</v>
          </cell>
        </row>
        <row r="326">
          <cell r="F326" t="str">
            <v>Construction in progress</v>
          </cell>
          <cell r="G326">
            <v>152.53299999999999</v>
          </cell>
          <cell r="H326">
            <v>86.96</v>
          </cell>
          <cell r="I326">
            <v>106.824</v>
          </cell>
          <cell r="J326">
            <v>94.679000000000002</v>
          </cell>
          <cell r="K326">
            <v>155.56299999999999</v>
          </cell>
          <cell r="L326">
            <v>289.81</v>
          </cell>
          <cell r="HX326" t="str">
            <v>mstag:constructionInProgress</v>
          </cell>
          <cell r="HY326">
            <v>6</v>
          </cell>
          <cell r="HZ326" t="str">
            <v>ISO4217:USD</v>
          </cell>
          <cell r="IA326" t="b">
            <v>0</v>
          </cell>
          <cell r="IB326" t="b">
            <v>0</v>
          </cell>
        </row>
        <row r="327">
          <cell r="E327" t="str">
            <v>Accumulated depreciation</v>
          </cell>
          <cell r="G327">
            <v>376.09100000000001</v>
          </cell>
          <cell r="H327">
            <v>445.21499999999997</v>
          </cell>
          <cell r="I327">
            <v>519.49599999999998</v>
          </cell>
          <cell r="J327">
            <v>604.33199999999999</v>
          </cell>
          <cell r="K327">
            <v>636.22699999999998</v>
          </cell>
          <cell r="L327">
            <v>727.61199999999997</v>
          </cell>
          <cell r="HX327" t="str">
            <v>mstag:accumulatedDepreciation</v>
          </cell>
          <cell r="HY327">
            <v>6</v>
          </cell>
          <cell r="HZ327" t="str">
            <v>ISO4217:USD</v>
          </cell>
          <cell r="IA327" t="b">
            <v>0</v>
          </cell>
          <cell r="IB327" t="b">
            <v>0</v>
          </cell>
        </row>
        <row r="328">
          <cell r="D328" t="str">
            <v>Goodwill</v>
          </cell>
          <cell r="G328">
            <v>0</v>
          </cell>
          <cell r="H328">
            <v>0</v>
          </cell>
          <cell r="I328">
            <v>1609.0630000000001</v>
          </cell>
          <cell r="J328">
            <v>1455.7779999999998</v>
          </cell>
          <cell r="K328">
            <v>1302.4929999999999</v>
          </cell>
          <cell r="L328">
            <v>1315.019</v>
          </cell>
          <cell r="M328">
            <v>1315.09</v>
          </cell>
          <cell r="HX328" t="str">
            <v>mstag:goodwill</v>
          </cell>
          <cell r="HY328">
            <v>6</v>
          </cell>
          <cell r="HZ328" t="str">
            <v>ISO4217:USD</v>
          </cell>
          <cell r="IA328" t="b">
            <v>0</v>
          </cell>
          <cell r="IB328" t="b">
            <v>0</v>
          </cell>
        </row>
        <row r="329">
          <cell r="E329" t="str">
            <v>Gross goodwill</v>
          </cell>
          <cell r="G329">
            <v>0</v>
          </cell>
          <cell r="H329">
            <v>0</v>
          </cell>
          <cell r="I329">
            <v>2299.2719999999999</v>
          </cell>
          <cell r="J329">
            <v>2299.2719999999999</v>
          </cell>
          <cell r="K329">
            <v>1302.4929999999999</v>
          </cell>
          <cell r="L329">
            <v>1315.019</v>
          </cell>
          <cell r="HX329" t="str">
            <v>mstag:grossGoodwill</v>
          </cell>
          <cell r="HY329">
            <v>6</v>
          </cell>
          <cell r="HZ329" t="str">
            <v>ISO4217:USD</v>
          </cell>
          <cell r="IA329" t="b">
            <v>0</v>
          </cell>
          <cell r="IB329" t="b">
            <v>0</v>
          </cell>
        </row>
        <row r="330">
          <cell r="E330" t="str">
            <v>Accumulated amortization of goodwill</v>
          </cell>
          <cell r="G330">
            <v>0</v>
          </cell>
          <cell r="H330">
            <v>0</v>
          </cell>
          <cell r="I330">
            <v>690.20899999999995</v>
          </cell>
          <cell r="J330">
            <v>843.49400000000003</v>
          </cell>
          <cell r="K330">
            <v>0</v>
          </cell>
          <cell r="L330">
            <v>0</v>
          </cell>
          <cell r="HX330" t="str">
            <v>mstag:accumulatedAmortizationOfGoodwill</v>
          </cell>
          <cell r="HY330">
            <v>6</v>
          </cell>
          <cell r="HZ330" t="str">
            <v>ISO4217:USD</v>
          </cell>
          <cell r="IA330" t="b">
            <v>0</v>
          </cell>
          <cell r="IB330" t="b">
            <v>0</v>
          </cell>
        </row>
        <row r="331">
          <cell r="D331" t="str">
            <v>Other intangible assets</v>
          </cell>
          <cell r="G331">
            <v>0</v>
          </cell>
          <cell r="H331">
            <v>65.033000000000001</v>
          </cell>
          <cell r="I331">
            <v>1453.268</v>
          </cell>
          <cell r="J331">
            <v>1280.3589999999999</v>
          </cell>
          <cell r="K331">
            <v>1113.299</v>
          </cell>
          <cell r="L331">
            <v>927.53800000000001</v>
          </cell>
          <cell r="M331">
            <v>810.81</v>
          </cell>
          <cell r="HX331" t="str">
            <v>mstag:otherIntangibleAssets</v>
          </cell>
          <cell r="HY331">
            <v>6</v>
          </cell>
          <cell r="HZ331" t="str">
            <v>ISO4217:USD</v>
          </cell>
          <cell r="IA331" t="b">
            <v>0</v>
          </cell>
          <cell r="IB331" t="b">
            <v>0</v>
          </cell>
        </row>
        <row r="332">
          <cell r="E332" t="str">
            <v>Other finite life intangible assets</v>
          </cell>
          <cell r="G332">
            <v>0</v>
          </cell>
          <cell r="H332">
            <v>65.033000000000001</v>
          </cell>
          <cell r="I332">
            <v>1453.268</v>
          </cell>
          <cell r="J332">
            <v>1280.3589999999999</v>
          </cell>
          <cell r="K332">
            <v>1113.299</v>
          </cell>
          <cell r="L332">
            <v>927.53800000000001</v>
          </cell>
          <cell r="HX332" t="str">
            <v>mstag:otherFiniteLifeIntangibleAssets</v>
          </cell>
          <cell r="HY332">
            <v>6</v>
          </cell>
          <cell r="HZ332" t="str">
            <v>ISO4217:USD</v>
          </cell>
          <cell r="IA332" t="b">
            <v>0</v>
          </cell>
          <cell r="IB332" t="b">
            <v>0</v>
          </cell>
        </row>
        <row r="333">
          <cell r="E333" t="str">
            <v>Other indefinite life intangible assets</v>
          </cell>
          <cell r="HX333" t="str">
            <v>mstag:otherIndefiniteLifeIntangibleAssets</v>
          </cell>
          <cell r="HY333">
            <v>6</v>
          </cell>
          <cell r="HZ333" t="str">
            <v>ISO4217:USD</v>
          </cell>
          <cell r="IA333" t="b">
            <v>0</v>
          </cell>
          <cell r="IB333" t="b">
            <v>0</v>
          </cell>
        </row>
        <row r="334">
          <cell r="D334" t="str">
            <v>Investments, nonoperating</v>
          </cell>
          <cell r="G334">
            <v>1042.0409999999999</v>
          </cell>
          <cell r="H334">
            <v>1323.432</v>
          </cell>
          <cell r="I334">
            <v>1563.16</v>
          </cell>
          <cell r="J334">
            <v>1851.3900000000003</v>
          </cell>
          <cell r="K334">
            <v>2469.6880000000001</v>
          </cell>
          <cell r="L334">
            <v>1393.7280000000001</v>
          </cell>
          <cell r="M334">
            <v>1139.6199999999999</v>
          </cell>
          <cell r="HX334" t="str">
            <v>mstag:investmentsNonOperating</v>
          </cell>
          <cell r="HY334">
            <v>6</v>
          </cell>
          <cell r="HZ334" t="str">
            <v>ISO4217:USD</v>
          </cell>
          <cell r="IA334" t="b">
            <v>0</v>
          </cell>
          <cell r="IB334" t="b">
            <v>0</v>
          </cell>
        </row>
        <row r="335">
          <cell r="E335" t="str">
            <v>Short-term investments</v>
          </cell>
          <cell r="G335">
            <v>588.85299999999995</v>
          </cell>
          <cell r="H335">
            <v>606.54399999999998</v>
          </cell>
          <cell r="I335">
            <v>405.00299999999999</v>
          </cell>
          <cell r="J335">
            <v>642.47500000000002</v>
          </cell>
          <cell r="K335">
            <v>952.875</v>
          </cell>
          <cell r="L335">
            <v>826.44200000000001</v>
          </cell>
          <cell r="HX335" t="str">
            <v>mstag:shortTermInvestments</v>
          </cell>
          <cell r="HY335">
            <v>6</v>
          </cell>
          <cell r="HZ335" t="str">
            <v>ISO4217:USD</v>
          </cell>
          <cell r="IA335" t="b">
            <v>0</v>
          </cell>
          <cell r="IB335" t="b">
            <v>0</v>
          </cell>
        </row>
        <row r="336">
          <cell r="E336" t="str">
            <v>Long-term investments, nonoperating</v>
          </cell>
          <cell r="G336">
            <v>453.18799999999999</v>
          </cell>
          <cell r="H336">
            <v>716.88800000000003</v>
          </cell>
          <cell r="I336">
            <v>1158.1570000000002</v>
          </cell>
          <cell r="J336">
            <v>1208.9150000000002</v>
          </cell>
          <cell r="K336">
            <v>1516.8130000000001</v>
          </cell>
          <cell r="L336">
            <v>567.28599999999994</v>
          </cell>
          <cell r="HX336" t="str">
            <v>mstag:longTermInvestmentsNonOperating</v>
          </cell>
          <cell r="HY336">
            <v>6</v>
          </cell>
          <cell r="HZ336" t="str">
            <v>ISO4217:USD</v>
          </cell>
          <cell r="IA336" t="b">
            <v>0</v>
          </cell>
          <cell r="IB336" t="b">
            <v>0</v>
          </cell>
        </row>
        <row r="337">
          <cell r="D337" t="str">
            <v>Investments under the equity method, operating</v>
          </cell>
          <cell r="G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  <cell r="HX337" t="str">
            <v>mstag:investmentsUnderTheEquityMethodOperating</v>
          </cell>
          <cell r="HY337">
            <v>6</v>
          </cell>
          <cell r="HZ337" t="str">
            <v>ISO4217:USD</v>
          </cell>
          <cell r="IA337" t="b">
            <v>0</v>
          </cell>
          <cell r="IB337" t="b">
            <v>0</v>
          </cell>
        </row>
        <row r="338">
          <cell r="E338" t="str">
            <v>Investments in subsidiaries</v>
          </cell>
          <cell r="HX338" t="str">
            <v>mstag:investmentsInSubsidiaries</v>
          </cell>
          <cell r="HY338">
            <v>6</v>
          </cell>
          <cell r="HZ338" t="str">
            <v>ISO4217:USD</v>
          </cell>
          <cell r="IA338" t="b">
            <v>0</v>
          </cell>
          <cell r="IB338" t="b">
            <v>0</v>
          </cell>
        </row>
        <row r="339">
          <cell r="E339" t="str">
            <v>Investments in associates</v>
          </cell>
          <cell r="HX339" t="str">
            <v>mstag:investmentsInAssociates</v>
          </cell>
          <cell r="HY339">
            <v>6</v>
          </cell>
          <cell r="HZ339" t="str">
            <v>ISO4217:USD</v>
          </cell>
          <cell r="IA339" t="b">
            <v>0</v>
          </cell>
          <cell r="IB339" t="b">
            <v>0</v>
          </cell>
        </row>
        <row r="340">
          <cell r="E340" t="str">
            <v>Investments in joint ventures</v>
          </cell>
          <cell r="HX340" t="str">
            <v>mstag:investmentsInJointVentures</v>
          </cell>
          <cell r="HY340">
            <v>6</v>
          </cell>
          <cell r="HZ340" t="str">
            <v>ISO4217:USD</v>
          </cell>
          <cell r="IA340" t="b">
            <v>0</v>
          </cell>
          <cell r="IB340" t="b">
            <v>0</v>
          </cell>
        </row>
        <row r="341">
          <cell r="D341" t="str">
            <v>Investments under the equity method, nonoperating</v>
          </cell>
          <cell r="HX341" t="str">
            <v>mstag:investmentsUnderTheEquityMethodNonOperating</v>
          </cell>
          <cell r="HY341">
            <v>6</v>
          </cell>
          <cell r="HZ341" t="str">
            <v>ISO4217:USD</v>
          </cell>
          <cell r="IA341" t="b">
            <v>0</v>
          </cell>
          <cell r="IB341" t="b">
            <v>0</v>
          </cell>
        </row>
        <row r="342">
          <cell r="D342" t="str">
            <v>Deferred tax assets</v>
          </cell>
          <cell r="G342">
            <v>0</v>
          </cell>
          <cell r="H342">
            <v>38.848999999999997</v>
          </cell>
          <cell r="I342">
            <v>81.921999999999997</v>
          </cell>
          <cell r="J342">
            <v>40.619</v>
          </cell>
          <cell r="K342">
            <v>139.56700000000001</v>
          </cell>
          <cell r="L342">
            <v>82.299000000000007</v>
          </cell>
          <cell r="M342">
            <v>121.88500000000001</v>
          </cell>
          <cell r="HX342" t="str">
            <v>mstag:deferredTaxAssets</v>
          </cell>
          <cell r="HY342">
            <v>6</v>
          </cell>
          <cell r="HZ342" t="str">
            <v>ISO4217:USD</v>
          </cell>
          <cell r="IA342" t="b">
            <v>0</v>
          </cell>
          <cell r="IB342" t="b">
            <v>0</v>
          </cell>
        </row>
        <row r="343">
          <cell r="E343" t="str">
            <v>Deferred tax assets, current</v>
          </cell>
          <cell r="G343">
            <v>0</v>
          </cell>
          <cell r="H343">
            <v>38.848999999999997</v>
          </cell>
          <cell r="I343">
            <v>81.921999999999997</v>
          </cell>
          <cell r="J343">
            <v>40.619</v>
          </cell>
          <cell r="K343">
            <v>139.56700000000001</v>
          </cell>
          <cell r="L343">
            <v>82.299000000000007</v>
          </cell>
          <cell r="HX343" t="str">
            <v>mstag:deferredTaxAssetsCurrent</v>
          </cell>
          <cell r="HY343">
            <v>6</v>
          </cell>
          <cell r="HZ343" t="str">
            <v>ISO4217:USD</v>
          </cell>
          <cell r="IA343" t="b">
            <v>0</v>
          </cell>
          <cell r="IB343" t="b">
            <v>0</v>
          </cell>
        </row>
        <row r="344">
          <cell r="E344" t="str">
            <v>Deferred tax assets, noncurrent</v>
          </cell>
          <cell r="HX344" t="str">
            <v>mstag:deferredTaxAssetsNonCurrent</v>
          </cell>
          <cell r="HY344">
            <v>6</v>
          </cell>
          <cell r="HZ344" t="str">
            <v>ISO4217:USD</v>
          </cell>
          <cell r="IA344" t="b">
            <v>0</v>
          </cell>
          <cell r="IB344" t="b">
            <v>0</v>
          </cell>
        </row>
        <row r="345">
          <cell r="D345" t="str">
            <v>Pension and other postretirement assets</v>
          </cell>
          <cell r="HX345" t="str">
            <v>mstag:pensionAndOtherPostRetirementAssets</v>
          </cell>
          <cell r="HY345">
            <v>6</v>
          </cell>
          <cell r="HZ345" t="str">
            <v>ISO4217:USD</v>
          </cell>
          <cell r="IA345" t="b">
            <v>0</v>
          </cell>
          <cell r="IB345" t="b">
            <v>0</v>
          </cell>
        </row>
        <row r="346">
          <cell r="D346" t="str">
            <v>Investment in own shares, asset</v>
          </cell>
          <cell r="G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  <cell r="HX346" t="str">
            <v>mstag:investmentInOwnSharesAsset</v>
          </cell>
          <cell r="HY346">
            <v>6</v>
          </cell>
          <cell r="HZ346" t="str">
            <v>ISO4217:USD</v>
          </cell>
          <cell r="IA346" t="b">
            <v>0</v>
          </cell>
          <cell r="IB346" t="b">
            <v>0</v>
          </cell>
        </row>
        <row r="347">
          <cell r="E347" t="str">
            <v>Investment in ESOP trusts</v>
          </cell>
          <cell r="HX347" t="str">
            <v>mstag:investmentInEsopTrusts</v>
          </cell>
          <cell r="HY347">
            <v>6</v>
          </cell>
          <cell r="HZ347" t="str">
            <v>ISO4217:USD</v>
          </cell>
          <cell r="IA347" t="b">
            <v>0</v>
          </cell>
          <cell r="IB347" t="b">
            <v>0</v>
          </cell>
        </row>
        <row r="348">
          <cell r="D348" t="str">
            <v>Other assets, operating</v>
          </cell>
          <cell r="G348">
            <v>180.47200000000001</v>
          </cell>
          <cell r="H348">
            <v>134.839</v>
          </cell>
          <cell r="I348">
            <v>262.35599999999999</v>
          </cell>
          <cell r="J348">
            <v>243.51399999999998</v>
          </cell>
          <cell r="K348">
            <v>180.42099999999999</v>
          </cell>
          <cell r="L348">
            <v>953.49500000000012</v>
          </cell>
          <cell r="M348" t="str">
            <v/>
          </cell>
          <cell r="HX348" t="str">
            <v>mstag:otherAssets</v>
          </cell>
          <cell r="HY348">
            <v>6</v>
          </cell>
          <cell r="HZ348" t="str">
            <v>ISO4217:USD</v>
          </cell>
          <cell r="IA348" t="b">
            <v>0</v>
          </cell>
          <cell r="IB348" t="b">
            <v>0</v>
          </cell>
        </row>
        <row r="349">
          <cell r="E349" t="str">
            <v>Other assets, operating, current</v>
          </cell>
          <cell r="G349">
            <v>0</v>
          </cell>
          <cell r="H349">
            <v>0</v>
          </cell>
          <cell r="I349">
            <v>56.6</v>
          </cell>
          <cell r="J349">
            <v>56.6</v>
          </cell>
          <cell r="K349">
            <v>79.167000000000002</v>
          </cell>
          <cell r="L349">
            <v>789.74800000000005</v>
          </cell>
          <cell r="HX349" t="str">
            <v>mstag:otherAssetsOperatingCurrent</v>
          </cell>
          <cell r="HY349">
            <v>6</v>
          </cell>
          <cell r="HZ349" t="str">
            <v>ISO4217:USD</v>
          </cell>
          <cell r="IA349" t="b">
            <v>0</v>
          </cell>
          <cell r="IB349" t="b">
            <v>0</v>
          </cell>
        </row>
        <row r="350">
          <cell r="E350" t="str">
            <v>Other assets, operating, noncurrent</v>
          </cell>
          <cell r="G350">
            <v>180.47200000000001</v>
          </cell>
          <cell r="H350">
            <v>134.839</v>
          </cell>
          <cell r="I350">
            <v>205.756</v>
          </cell>
          <cell r="J350">
            <v>186.91399999999999</v>
          </cell>
          <cell r="K350">
            <v>101.254</v>
          </cell>
          <cell r="L350">
            <v>163.74700000000001</v>
          </cell>
          <cell r="HX350" t="str">
            <v>mstag:otherAssetsOperatingNonCurrent</v>
          </cell>
          <cell r="HY350">
            <v>6</v>
          </cell>
          <cell r="HZ350" t="str">
            <v>ISO4217:USD</v>
          </cell>
          <cell r="IA350" t="b">
            <v>0</v>
          </cell>
          <cell r="IB350" t="b">
            <v>0</v>
          </cell>
        </row>
        <row r="351">
          <cell r="D351" t="str">
            <v>Other assets, nonoperating</v>
          </cell>
          <cell r="G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>
            <v>812.7</v>
          </cell>
          <cell r="HX351" t="str">
            <v>mstag:otherAssetsNonOperating</v>
          </cell>
          <cell r="HY351">
            <v>6</v>
          </cell>
          <cell r="HZ351" t="str">
            <v>ISO4217:USD</v>
          </cell>
          <cell r="IA351" t="b">
            <v>0</v>
          </cell>
          <cell r="IB351" t="b">
            <v>0</v>
          </cell>
        </row>
        <row r="352">
          <cell r="E352" t="str">
            <v>Other assets, nonoperating, current</v>
          </cell>
          <cell r="HX352" t="str">
            <v>mstag:otherAssetsNonOperatingCurrent</v>
          </cell>
          <cell r="HY352">
            <v>6</v>
          </cell>
          <cell r="HZ352" t="str">
            <v>ISO4217:USD</v>
          </cell>
          <cell r="IA352" t="b">
            <v>0</v>
          </cell>
          <cell r="IB352" t="b">
            <v>0</v>
          </cell>
        </row>
        <row r="353">
          <cell r="E353" t="str">
            <v>Other assets, nonoperating, noncurrent</v>
          </cell>
          <cell r="HX353" t="str">
            <v>mstag:otherAssetsNonOperatingNonCurrent</v>
          </cell>
          <cell r="HY353">
            <v>6</v>
          </cell>
          <cell r="HZ353" t="str">
            <v>ISO4217:USD</v>
          </cell>
          <cell r="IA353" t="b">
            <v>0</v>
          </cell>
          <cell r="IB353" t="b">
            <v>0</v>
          </cell>
        </row>
        <row r="354">
          <cell r="D354" t="str">
            <v>Assets of discontinued operations</v>
          </cell>
          <cell r="HX354" t="str">
            <v>mstag:assetsOfDiscontinuedOperations</v>
          </cell>
          <cell r="HY354">
            <v>6</v>
          </cell>
          <cell r="HZ354" t="str">
            <v>ISO4217:USD</v>
          </cell>
          <cell r="IA354" t="b">
            <v>0</v>
          </cell>
          <cell r="IB354" t="b">
            <v>0</v>
          </cell>
        </row>
        <row r="355">
          <cell r="C355" t="str">
            <v>Liabilities and equity</v>
          </cell>
          <cell r="M355">
            <v>8736.0156437000005</v>
          </cell>
          <cell r="HX355" t="str">
            <v>mstag:liabilitiesAndEquity</v>
          </cell>
          <cell r="HY355">
            <v>6</v>
          </cell>
          <cell r="HZ355" t="str">
            <v>ISO4217:USD</v>
          </cell>
          <cell r="IA355" t="b">
            <v>0</v>
          </cell>
          <cell r="IB355" t="b">
            <v>0</v>
          </cell>
        </row>
        <row r="356">
          <cell r="D356" t="str">
            <v>Trade and other payables</v>
          </cell>
          <cell r="G356">
            <v>48.991999999999997</v>
          </cell>
          <cell r="H356">
            <v>40.895000000000003</v>
          </cell>
          <cell r="I356">
            <v>33.122999999999998</v>
          </cell>
          <cell r="J356">
            <v>39.113999999999997</v>
          </cell>
          <cell r="K356">
            <v>33.347999999999999</v>
          </cell>
          <cell r="L356">
            <v>51.38</v>
          </cell>
          <cell r="M356">
            <v>59.7</v>
          </cell>
          <cell r="HX356" t="str">
            <v>mstag:tradeAndOtherPayables</v>
          </cell>
          <cell r="HY356">
            <v>6</v>
          </cell>
          <cell r="HZ356" t="str">
            <v>ISO4217:USD</v>
          </cell>
          <cell r="IA356" t="b">
            <v>0</v>
          </cell>
          <cell r="IB356" t="b">
            <v>0</v>
          </cell>
        </row>
        <row r="357">
          <cell r="E357" t="str">
            <v>Trade and other payables, current</v>
          </cell>
          <cell r="G357">
            <v>48.991999999999997</v>
          </cell>
          <cell r="H357">
            <v>40.895000000000003</v>
          </cell>
          <cell r="I357">
            <v>33.122999999999998</v>
          </cell>
          <cell r="J357">
            <v>39.113999999999997</v>
          </cell>
          <cell r="K357">
            <v>33.347999999999999</v>
          </cell>
          <cell r="L357">
            <v>51.38</v>
          </cell>
          <cell r="M357" t="str">
            <v/>
          </cell>
          <cell r="HX357" t="str">
            <v>mstag:tradeAndOtherPayablesCurrent</v>
          </cell>
          <cell r="HY357">
            <v>6</v>
          </cell>
          <cell r="HZ357" t="str">
            <v>ISO4217:USD</v>
          </cell>
          <cell r="IA357" t="b">
            <v>0</v>
          </cell>
          <cell r="IB357" t="b">
            <v>0</v>
          </cell>
        </row>
        <row r="358">
          <cell r="F358" t="str">
            <v>Trade payables, current</v>
          </cell>
          <cell r="G358">
            <v>48.991999999999997</v>
          </cell>
          <cell r="H358">
            <v>40.895000000000003</v>
          </cell>
          <cell r="I358">
            <v>33.122999999999998</v>
          </cell>
          <cell r="J358">
            <v>39.113999999999997</v>
          </cell>
          <cell r="K358">
            <v>33.347999999999999</v>
          </cell>
          <cell r="L358">
            <v>51.38</v>
          </cell>
          <cell r="HX358" t="str">
            <v>mstag:tradePayablesCurrent</v>
          </cell>
          <cell r="HY358">
            <v>6</v>
          </cell>
          <cell r="HZ358" t="str">
            <v>ISO4217:USD</v>
          </cell>
          <cell r="IA358" t="b">
            <v>0</v>
          </cell>
          <cell r="IB358" t="b">
            <v>0</v>
          </cell>
        </row>
        <row r="359">
          <cell r="F359" t="str">
            <v>Other payables, current</v>
          </cell>
          <cell r="HX359" t="str">
            <v>mstag:otherPayablesCurrent</v>
          </cell>
          <cell r="HY359">
            <v>6</v>
          </cell>
          <cell r="HZ359" t="str">
            <v>ISO4217:USD</v>
          </cell>
          <cell r="IA359" t="b">
            <v>0</v>
          </cell>
          <cell r="IB359" t="b">
            <v>0</v>
          </cell>
        </row>
        <row r="360">
          <cell r="E360" t="str">
            <v>Trade and other payables, noncurrent</v>
          </cell>
          <cell r="G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  <cell r="HX360" t="str">
            <v>mstag:tradeAndOtherPayablesNonCurrent</v>
          </cell>
          <cell r="HY360">
            <v>6</v>
          </cell>
          <cell r="HZ360" t="str">
            <v>ISO4217:USD</v>
          </cell>
          <cell r="IA360" t="b">
            <v>0</v>
          </cell>
          <cell r="IB360" t="b">
            <v>0</v>
          </cell>
        </row>
        <row r="361">
          <cell r="F361" t="str">
            <v>Trade payables, noncurrent</v>
          </cell>
          <cell r="HX361" t="str">
            <v>mstag:tradePayablesNonCurrent</v>
          </cell>
          <cell r="HY361">
            <v>6</v>
          </cell>
          <cell r="HZ361" t="str">
            <v>ISO4217:USD</v>
          </cell>
          <cell r="IA361" t="b">
            <v>0</v>
          </cell>
          <cell r="IB361" t="b">
            <v>0</v>
          </cell>
        </row>
        <row r="362">
          <cell r="F362" t="str">
            <v>Other payables, noncurrent</v>
          </cell>
          <cell r="HX362" t="str">
            <v>mstag:otherPayablesNonCurrent</v>
          </cell>
          <cell r="HY362">
            <v>6</v>
          </cell>
          <cell r="HZ362" t="str">
            <v>ISO4217:USD</v>
          </cell>
          <cell r="IA362" t="b">
            <v>0</v>
          </cell>
          <cell r="IB362" t="b">
            <v>0</v>
          </cell>
        </row>
        <row r="363">
          <cell r="D363" t="str">
            <v>Dividends payable</v>
          </cell>
          <cell r="HX363" t="str">
            <v>mstag:dividendsPayable</v>
          </cell>
          <cell r="HY363">
            <v>6</v>
          </cell>
          <cell r="HZ363" t="str">
            <v>ISO4217:USD</v>
          </cell>
          <cell r="IA363" t="b">
            <v>0</v>
          </cell>
          <cell r="IB363" t="b">
            <v>0</v>
          </cell>
        </row>
        <row r="364">
          <cell r="D364" t="str">
            <v>Short-term borrowings, up to 1 year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149.69200000000001</v>
          </cell>
          <cell r="L364">
            <v>0</v>
          </cell>
          <cell r="HX364" t="str">
            <v>mstag:shortTermBorrowings</v>
          </cell>
          <cell r="HY364">
            <v>6</v>
          </cell>
          <cell r="HZ364" t="str">
            <v>ISO4217:USD</v>
          </cell>
          <cell r="IA364" t="b">
            <v>0</v>
          </cell>
          <cell r="IB364" t="b">
            <v>0</v>
          </cell>
        </row>
        <row r="365">
          <cell r="D365" t="str">
            <v>Other interest bearing liabilities</v>
          </cell>
          <cell r="G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  <cell r="HX365" t="str">
            <v>mstag:otherInterestBearingLiabilities</v>
          </cell>
          <cell r="HY365">
            <v>6</v>
          </cell>
          <cell r="HZ365" t="str">
            <v>ISO4217:USD</v>
          </cell>
          <cell r="IA365" t="b">
            <v>0</v>
          </cell>
          <cell r="IB365" t="b">
            <v>0</v>
          </cell>
        </row>
        <row r="366">
          <cell r="E366" t="str">
            <v>Asset retirement obligations</v>
          </cell>
          <cell r="HX366" t="str">
            <v>mstag:assetRetirementObligations</v>
          </cell>
          <cell r="HY366">
            <v>6</v>
          </cell>
          <cell r="HZ366" t="str">
            <v>ISO4217:USD</v>
          </cell>
          <cell r="IA366" t="b">
            <v>0</v>
          </cell>
          <cell r="IB366" t="b">
            <v>0</v>
          </cell>
        </row>
        <row r="367">
          <cell r="E367" t="str">
            <v>Decommissioning, restoration, and similar liabilities</v>
          </cell>
          <cell r="HX367" t="str">
            <v>mstag:decommissioningRestorationAndSimilarLiabilities</v>
          </cell>
          <cell r="HY367">
            <v>6</v>
          </cell>
          <cell r="HZ367" t="str">
            <v>ISO4217:USD</v>
          </cell>
          <cell r="IA367" t="b">
            <v>0</v>
          </cell>
          <cell r="IB367" t="b">
            <v>0</v>
          </cell>
        </row>
        <row r="368">
          <cell r="E368" t="str">
            <v>Environmental liabilities, interest bearing</v>
          </cell>
          <cell r="HX368" t="str">
            <v>mstag:environmentalLiabilitiesInterestBearing</v>
          </cell>
          <cell r="HY368">
            <v>6</v>
          </cell>
          <cell r="HZ368" t="str">
            <v>ISO4217:USD</v>
          </cell>
          <cell r="IA368" t="b">
            <v>0</v>
          </cell>
          <cell r="IB368" t="b">
            <v>0</v>
          </cell>
        </row>
        <row r="369">
          <cell r="E369" t="str">
            <v>Other interest bearing provisions</v>
          </cell>
          <cell r="HX369" t="str">
            <v>mstag:otherInterestBearingProvisions</v>
          </cell>
          <cell r="HY369">
            <v>6</v>
          </cell>
          <cell r="HZ369" t="str">
            <v>ISO4217:USD</v>
          </cell>
          <cell r="IA369" t="b">
            <v>0</v>
          </cell>
          <cell r="IB369" t="b">
            <v>0</v>
          </cell>
        </row>
        <row r="370">
          <cell r="D370" t="str">
            <v>Income tax payable</v>
          </cell>
          <cell r="G370">
            <v>40.292999999999999</v>
          </cell>
          <cell r="H370">
            <v>46.447000000000003</v>
          </cell>
          <cell r="I370">
            <v>0</v>
          </cell>
          <cell r="J370">
            <v>29.021999999999998</v>
          </cell>
          <cell r="K370">
            <v>64.227000000000004</v>
          </cell>
          <cell r="L370">
            <v>85.405000000000001</v>
          </cell>
          <cell r="M370" t="str">
            <v/>
          </cell>
          <cell r="HX370" t="str">
            <v>mstag:incomeTaxPayable</v>
          </cell>
          <cell r="HY370">
            <v>6</v>
          </cell>
          <cell r="HZ370" t="str">
            <v>ISO4217:USD</v>
          </cell>
          <cell r="IA370" t="b">
            <v>0</v>
          </cell>
          <cell r="IB370" t="b">
            <v>0</v>
          </cell>
        </row>
        <row r="371">
          <cell r="E371" t="str">
            <v>Income tax payable, operating</v>
          </cell>
          <cell r="G371">
            <v>40.292999999999999</v>
          </cell>
          <cell r="H371">
            <v>46.447000000000003</v>
          </cell>
          <cell r="I371">
            <v>0</v>
          </cell>
          <cell r="J371">
            <v>29.021999999999998</v>
          </cell>
          <cell r="K371">
            <v>64.227000000000004</v>
          </cell>
          <cell r="L371">
            <v>85.405000000000001</v>
          </cell>
          <cell r="HX371" t="str">
            <v>mstag:incomeTaxPayableOperating</v>
          </cell>
          <cell r="HY371">
            <v>6</v>
          </cell>
          <cell r="HZ371" t="str">
            <v>ISO4217:USD</v>
          </cell>
          <cell r="IA371" t="b">
            <v>0</v>
          </cell>
          <cell r="IB371" t="b">
            <v>0</v>
          </cell>
        </row>
        <row r="372">
          <cell r="E372" t="str">
            <v>Income tax payable, financing</v>
          </cell>
          <cell r="HX372" t="str">
            <v>mstag:incomeTaxPayableFinancing</v>
          </cell>
          <cell r="HY372">
            <v>6</v>
          </cell>
          <cell r="HZ372" t="str">
            <v>ISO4217:USD</v>
          </cell>
          <cell r="IA372" t="b">
            <v>0</v>
          </cell>
          <cell r="IB372" t="b">
            <v>0</v>
          </cell>
        </row>
        <row r="373">
          <cell r="E373" t="str">
            <v>Income tax payable, other</v>
          </cell>
          <cell r="HX373" t="str">
            <v>mstag:incomeTaxPayableOther</v>
          </cell>
          <cell r="HY373">
            <v>6</v>
          </cell>
          <cell r="HZ373" t="str">
            <v>ISO4217:USD</v>
          </cell>
          <cell r="IA373" t="b">
            <v>0</v>
          </cell>
          <cell r="IB373" t="b">
            <v>0</v>
          </cell>
        </row>
        <row r="374">
          <cell r="D374" t="str">
            <v>Accrued expenses</v>
          </cell>
          <cell r="G374">
            <v>129.167</v>
          </cell>
          <cell r="H374">
            <v>115.401</v>
          </cell>
          <cell r="I374">
            <v>346.31399999999996</v>
          </cell>
          <cell r="J374">
            <v>258.94800000000004</v>
          </cell>
          <cell r="K374">
            <v>274.63800000000003</v>
          </cell>
          <cell r="L374">
            <v>366.18299999999999</v>
          </cell>
          <cell r="M374">
            <v>765.85</v>
          </cell>
          <cell r="HX374" t="str">
            <v>mstag:accruedExpenses</v>
          </cell>
          <cell r="HY374">
            <v>6</v>
          </cell>
          <cell r="HZ374" t="str">
            <v>ISO4217:USD</v>
          </cell>
          <cell r="IA374" t="b">
            <v>0</v>
          </cell>
          <cell r="IB374" t="b">
            <v>0</v>
          </cell>
        </row>
        <row r="375">
          <cell r="E375" t="str">
            <v>Payroll and benefits-related liabilities</v>
          </cell>
          <cell r="G375">
            <v>44.624000000000002</v>
          </cell>
          <cell r="H375">
            <v>47.057000000000002</v>
          </cell>
          <cell r="I375">
            <v>52.005000000000003</v>
          </cell>
          <cell r="J375">
            <v>56.027999999999999</v>
          </cell>
          <cell r="K375">
            <v>63.103000000000002</v>
          </cell>
          <cell r="L375">
            <v>77.238</v>
          </cell>
          <cell r="HX375" t="str">
            <v>mstag:payrollAndBenefitsRelatedLiabilities</v>
          </cell>
          <cell r="HY375">
            <v>6</v>
          </cell>
          <cell r="HZ375" t="str">
            <v>ISO4217:USD</v>
          </cell>
          <cell r="IA375" t="b">
            <v>0</v>
          </cell>
          <cell r="IB375" t="b">
            <v>0</v>
          </cell>
        </row>
        <row r="376">
          <cell r="E376" t="str">
            <v>Accrued taxes, other than income tax</v>
          </cell>
          <cell r="HX376" t="str">
            <v>mstag:accruedTaxesOtherThanIncomeTax</v>
          </cell>
          <cell r="HY376">
            <v>6</v>
          </cell>
          <cell r="HZ376" t="str">
            <v>ISO4217:USD</v>
          </cell>
          <cell r="IA376" t="b">
            <v>0</v>
          </cell>
          <cell r="IB376" t="b">
            <v>0</v>
          </cell>
        </row>
        <row r="377">
          <cell r="E377" t="str">
            <v>Other accrued expenses</v>
          </cell>
          <cell r="G377">
            <v>84.543000000000006</v>
          </cell>
          <cell r="H377">
            <v>68.343999999999994</v>
          </cell>
          <cell r="I377">
            <v>294.30899999999997</v>
          </cell>
          <cell r="J377">
            <v>202.92000000000002</v>
          </cell>
          <cell r="K377">
            <v>211.53500000000003</v>
          </cell>
          <cell r="L377">
            <v>288.94499999999999</v>
          </cell>
          <cell r="HX377" t="str">
            <v>mstag:otherAccruedExpenses</v>
          </cell>
          <cell r="HY377">
            <v>6</v>
          </cell>
          <cell r="HZ377" t="str">
            <v>ISO4217:USD</v>
          </cell>
          <cell r="IA377" t="b">
            <v>0</v>
          </cell>
          <cell r="IB377" t="b">
            <v>0</v>
          </cell>
        </row>
        <row r="378">
          <cell r="D378" t="str">
            <v>Long-term debt, greater than 1 year</v>
          </cell>
          <cell r="G378">
            <v>150</v>
          </cell>
          <cell r="H378">
            <v>149.99</v>
          </cell>
          <cell r="I378">
            <v>149.708</v>
          </cell>
          <cell r="J378">
            <v>149.69200000000001</v>
          </cell>
          <cell r="K378">
            <v>0</v>
          </cell>
          <cell r="L378">
            <v>0</v>
          </cell>
          <cell r="M378">
            <v>412.25</v>
          </cell>
          <cell r="HX378" t="str">
            <v>mstag:longTermDebt</v>
          </cell>
          <cell r="HY378">
            <v>6</v>
          </cell>
          <cell r="HZ378" t="str">
            <v>ISO4217:USD</v>
          </cell>
          <cell r="IA378" t="b">
            <v>0</v>
          </cell>
          <cell r="IB378" t="b">
            <v>0</v>
          </cell>
        </row>
        <row r="379">
          <cell r="E379" t="str">
            <v>Senior debt</v>
          </cell>
          <cell r="HX379" t="str">
            <v>mstag:seniorDebtCi</v>
          </cell>
          <cell r="HY379">
            <v>6</v>
          </cell>
          <cell r="HZ379" t="str">
            <v>ISO4217:USD</v>
          </cell>
          <cell r="IA379" t="b">
            <v>0</v>
          </cell>
          <cell r="IB379" t="b">
            <v>0</v>
          </cell>
        </row>
        <row r="380">
          <cell r="E380" t="str">
            <v>Subordinated debt</v>
          </cell>
          <cell r="HX380" t="str">
            <v>mstag:subordinatedDebtBalSheetCi</v>
          </cell>
          <cell r="HY380">
            <v>6</v>
          </cell>
          <cell r="HZ380" t="str">
            <v>ISO4217:USD</v>
          </cell>
          <cell r="IA380" t="b">
            <v>0</v>
          </cell>
          <cell r="IB380" t="b">
            <v>0</v>
          </cell>
        </row>
        <row r="381">
          <cell r="E381" t="str">
            <v>Capital lease obligations</v>
          </cell>
          <cell r="HX381" t="str">
            <v>mstag:capitalLeaseObligationsCi</v>
          </cell>
          <cell r="HY381">
            <v>6</v>
          </cell>
          <cell r="HZ381" t="str">
            <v>ISO4217:USD</v>
          </cell>
          <cell r="IA381" t="b">
            <v>0</v>
          </cell>
          <cell r="IB381" t="b">
            <v>0</v>
          </cell>
        </row>
        <row r="382">
          <cell r="E382" t="str">
            <v>Other long-term debt</v>
          </cell>
          <cell r="G382">
            <v>150</v>
          </cell>
          <cell r="H382">
            <v>149.99</v>
          </cell>
          <cell r="I382">
            <v>149.708</v>
          </cell>
          <cell r="J382">
            <v>149.69200000000001</v>
          </cell>
          <cell r="K382">
            <v>0</v>
          </cell>
          <cell r="L382">
            <v>0</v>
          </cell>
          <cell r="HX382" t="str">
            <v>mstag:otherLongTermDebtCi</v>
          </cell>
          <cell r="HY382">
            <v>6</v>
          </cell>
          <cell r="HZ382" t="str">
            <v>ISO4217:USD</v>
          </cell>
          <cell r="IA382" t="b">
            <v>0</v>
          </cell>
          <cell r="IB382" t="b">
            <v>0</v>
          </cell>
        </row>
        <row r="383">
          <cell r="D383" t="str">
            <v>Provisions and reserves</v>
          </cell>
          <cell r="G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  <cell r="HX383" t="str">
            <v>mstag:provisionsAndReserves</v>
          </cell>
          <cell r="HY383">
            <v>6</v>
          </cell>
          <cell r="HZ383" t="str">
            <v>ISO4217:USD</v>
          </cell>
          <cell r="IA383" t="b">
            <v>0</v>
          </cell>
          <cell r="IB383" t="b">
            <v>0</v>
          </cell>
        </row>
        <row r="384">
          <cell r="E384" t="str">
            <v>Warranty provision</v>
          </cell>
          <cell r="HX384" t="str">
            <v>mstag:warrantyProvision</v>
          </cell>
          <cell r="HY384">
            <v>6</v>
          </cell>
          <cell r="HZ384" t="str">
            <v>ISO4217:USD</v>
          </cell>
          <cell r="IA384" t="b">
            <v>0</v>
          </cell>
          <cell r="IB384" t="b">
            <v>0</v>
          </cell>
        </row>
        <row r="385">
          <cell r="E385" t="str">
            <v>Restructuring provision</v>
          </cell>
          <cell r="HX385" t="str">
            <v>mstag:restructuringProvision</v>
          </cell>
          <cell r="HY385">
            <v>6</v>
          </cell>
          <cell r="HZ385" t="str">
            <v>ISO4217:USD</v>
          </cell>
          <cell r="IA385" t="b">
            <v>0</v>
          </cell>
          <cell r="IB385" t="b">
            <v>0</v>
          </cell>
        </row>
        <row r="386">
          <cell r="E386" t="str">
            <v>Legal proceedings provision</v>
          </cell>
          <cell r="HX386" t="str">
            <v>mstag:legalProceedingsProvision</v>
          </cell>
          <cell r="HY386">
            <v>6</v>
          </cell>
          <cell r="HZ386" t="str">
            <v>ISO4217:USD</v>
          </cell>
          <cell r="IA386" t="b">
            <v>0</v>
          </cell>
          <cell r="IB386" t="b">
            <v>0</v>
          </cell>
        </row>
        <row r="387">
          <cell r="E387" t="str">
            <v>Onerous contracts provision</v>
          </cell>
          <cell r="HX387" t="str">
            <v>mstag:onerousContractsProvision</v>
          </cell>
          <cell r="HY387">
            <v>6</v>
          </cell>
          <cell r="HZ387" t="str">
            <v>ISO4217:USD</v>
          </cell>
          <cell r="IA387" t="b">
            <v>0</v>
          </cell>
          <cell r="IB387" t="b">
            <v>0</v>
          </cell>
        </row>
        <row r="388">
          <cell r="E388" t="str">
            <v>Environmental liability</v>
          </cell>
          <cell r="HX388" t="str">
            <v>mstag:environmentalLiability</v>
          </cell>
          <cell r="HY388">
            <v>6</v>
          </cell>
          <cell r="HZ388" t="str">
            <v>ISO4217:USD</v>
          </cell>
          <cell r="IA388" t="b">
            <v>0</v>
          </cell>
          <cell r="IB388" t="b">
            <v>0</v>
          </cell>
        </row>
        <row r="389">
          <cell r="E389" t="str">
            <v>Asset retirement obligation</v>
          </cell>
          <cell r="HX389" t="str">
            <v>mstag:assetRetirementObligation</v>
          </cell>
          <cell r="HY389">
            <v>6</v>
          </cell>
          <cell r="HZ389" t="str">
            <v>ISO4217:USD</v>
          </cell>
          <cell r="IA389" t="b">
            <v>0</v>
          </cell>
          <cell r="IB389" t="b">
            <v>0</v>
          </cell>
        </row>
        <row r="390">
          <cell r="E390" t="str">
            <v>Other provisions</v>
          </cell>
          <cell r="HX390" t="str">
            <v>mstag:otherProvisions</v>
          </cell>
          <cell r="HY390">
            <v>6</v>
          </cell>
          <cell r="HZ390" t="str">
            <v>ISO4217:USD</v>
          </cell>
          <cell r="IA390" t="b">
            <v>0</v>
          </cell>
          <cell r="IB390" t="b">
            <v>0</v>
          </cell>
        </row>
        <row r="391">
          <cell r="D391" t="str">
            <v>Deferred tax liabilities</v>
          </cell>
          <cell r="G391">
            <v>0</v>
          </cell>
          <cell r="H391">
            <v>43.781999999999996</v>
          </cell>
          <cell r="I391">
            <v>626.46600000000001</v>
          </cell>
          <cell r="J391">
            <v>349.84800000000001</v>
          </cell>
          <cell r="K391">
            <v>447.80900000000003</v>
          </cell>
          <cell r="L391">
            <v>148.31399999999999</v>
          </cell>
          <cell r="M391">
            <v>26.055999999999997</v>
          </cell>
          <cell r="HX391" t="str">
            <v>mstag:deferredTaxLiabilities</v>
          </cell>
          <cell r="HY391">
            <v>6</v>
          </cell>
          <cell r="HZ391" t="str">
            <v>ISO4217:USD</v>
          </cell>
          <cell r="IA391" t="b">
            <v>0</v>
          </cell>
          <cell r="IB391" t="b">
            <v>0</v>
          </cell>
        </row>
        <row r="392">
          <cell r="E392" t="str">
            <v>Deferred tax liabilities, current</v>
          </cell>
          <cell r="HX392" t="str">
            <v>mstag:deferredTaxLiabilitiesCurrent</v>
          </cell>
          <cell r="HY392">
            <v>6</v>
          </cell>
          <cell r="HZ392" t="str">
            <v>ISO4217:USD</v>
          </cell>
          <cell r="IA392" t="b">
            <v>0</v>
          </cell>
          <cell r="IB392" t="b">
            <v>0</v>
          </cell>
        </row>
        <row r="393">
          <cell r="E393" t="str">
            <v>Deferred tax liabilities, noncurrent</v>
          </cell>
          <cell r="G393">
            <v>0</v>
          </cell>
          <cell r="H393">
            <v>43.781999999999996</v>
          </cell>
          <cell r="I393">
            <v>626.46600000000001</v>
          </cell>
          <cell r="J393">
            <v>349.84800000000001</v>
          </cell>
          <cell r="K393">
            <v>447.80900000000003</v>
          </cell>
          <cell r="L393">
            <v>148.31399999999999</v>
          </cell>
          <cell r="HX393" t="str">
            <v>mstag:deferredTaxLiabilitiesNonCurrent</v>
          </cell>
          <cell r="HY393">
            <v>6</v>
          </cell>
          <cell r="HZ393" t="str">
            <v>ISO4217:USD</v>
          </cell>
          <cell r="IA393" t="b">
            <v>0</v>
          </cell>
          <cell r="IB393" t="b">
            <v>0</v>
          </cell>
        </row>
        <row r="394">
          <cell r="D394" t="str">
            <v>Deferred revenue</v>
          </cell>
          <cell r="G394">
            <v>0</v>
          </cell>
          <cell r="H394">
            <v>0</v>
          </cell>
          <cell r="I394">
            <v>4.9719999999999995</v>
          </cell>
          <cell r="J394">
            <v>103.03299999999999</v>
          </cell>
          <cell r="K394">
            <v>87.575999999999993</v>
          </cell>
          <cell r="L394">
            <v>89.576999999999998</v>
          </cell>
          <cell r="M394">
            <v>328.68</v>
          </cell>
          <cell r="HX394" t="str">
            <v>mstag:deferredRevenue</v>
          </cell>
          <cell r="HY394">
            <v>6</v>
          </cell>
          <cell r="HZ394" t="str">
            <v>ISO4217:USD</v>
          </cell>
          <cell r="IA394" t="b">
            <v>0</v>
          </cell>
          <cell r="IB394" t="b">
            <v>0</v>
          </cell>
        </row>
        <row r="395">
          <cell r="E395" t="str">
            <v>Deferred revenue, current</v>
          </cell>
          <cell r="G395">
            <v>0</v>
          </cell>
          <cell r="H395">
            <v>0</v>
          </cell>
          <cell r="I395">
            <v>2</v>
          </cell>
          <cell r="J395">
            <v>15.433</v>
          </cell>
          <cell r="K395">
            <v>19.542999999999999</v>
          </cell>
          <cell r="L395">
            <v>20.044</v>
          </cell>
          <cell r="HX395" t="str">
            <v>mstag:deferredRevenueCurrent</v>
          </cell>
          <cell r="HY395">
            <v>6</v>
          </cell>
          <cell r="HZ395" t="str">
            <v>ISO4217:USD</v>
          </cell>
          <cell r="IA395" t="b">
            <v>0</v>
          </cell>
          <cell r="IB395" t="b">
            <v>0</v>
          </cell>
        </row>
        <row r="396">
          <cell r="E396" t="str">
            <v>Deferred revenue, noncurrent</v>
          </cell>
          <cell r="G396">
            <v>0</v>
          </cell>
          <cell r="H396">
            <v>0</v>
          </cell>
          <cell r="I396">
            <v>2.972</v>
          </cell>
          <cell r="J396">
            <v>87.6</v>
          </cell>
          <cell r="K396">
            <v>68.033000000000001</v>
          </cell>
          <cell r="L396">
            <v>69.533000000000001</v>
          </cell>
          <cell r="HX396" t="str">
            <v>mstag:deferredRevenueNonCurrent</v>
          </cell>
          <cell r="HY396">
            <v>6</v>
          </cell>
          <cell r="HZ396" t="str">
            <v>ISO4217:USD</v>
          </cell>
          <cell r="IA396" t="b">
            <v>0</v>
          </cell>
          <cell r="IB396" t="b">
            <v>0</v>
          </cell>
        </row>
        <row r="397">
          <cell r="D397" t="str">
            <v>Pension and other postretirement obligations</v>
          </cell>
          <cell r="HX397" t="str">
            <v>mstag:pensionAndOtherPostRetirementObligations</v>
          </cell>
          <cell r="HY397">
            <v>6</v>
          </cell>
          <cell r="HZ397" t="str">
            <v>ISO4217:USD</v>
          </cell>
          <cell r="IA397" t="b">
            <v>0</v>
          </cell>
          <cell r="IB397" t="b">
            <v>0</v>
          </cell>
        </row>
        <row r="398">
          <cell r="D398" t="str">
            <v>Deferred compensation</v>
          </cell>
          <cell r="HX398" t="str">
            <v>mstag:deferredCompensation</v>
          </cell>
          <cell r="HY398">
            <v>6</v>
          </cell>
          <cell r="HZ398" t="str">
            <v>ISO4217:USD</v>
          </cell>
          <cell r="IA398" t="b">
            <v>0</v>
          </cell>
          <cell r="IB398" t="b">
            <v>0</v>
          </cell>
        </row>
        <row r="399">
          <cell r="D399" t="str">
            <v>Other liabilities, operating</v>
          </cell>
          <cell r="G399">
            <v>107.93499999999999</v>
          </cell>
          <cell r="H399">
            <v>115.042</v>
          </cell>
          <cell r="I399">
            <v>104.34200000000001</v>
          </cell>
          <cell r="J399">
            <v>112.56399999999999</v>
          </cell>
          <cell r="K399">
            <v>169.78</v>
          </cell>
          <cell r="L399">
            <v>678.37599999999998</v>
          </cell>
          <cell r="M399" t="str">
            <v/>
          </cell>
          <cell r="HX399" t="str">
            <v>mstag:otherLiabilitiesOperating</v>
          </cell>
          <cell r="HY399">
            <v>6</v>
          </cell>
          <cell r="HZ399" t="str">
            <v>ISO4217:USD</v>
          </cell>
          <cell r="IA399" t="b">
            <v>0</v>
          </cell>
          <cell r="IB399" t="b">
            <v>0</v>
          </cell>
        </row>
        <row r="400">
          <cell r="E400" t="str">
            <v>Other liabilities, operating, current</v>
          </cell>
          <cell r="G400">
            <v>71.10499999999999</v>
          </cell>
          <cell r="H400">
            <v>88.584000000000003</v>
          </cell>
          <cell r="I400">
            <v>95.979000000000013</v>
          </cell>
          <cell r="J400">
            <v>110.77499999999999</v>
          </cell>
          <cell r="K400">
            <v>122.349</v>
          </cell>
          <cell r="L400">
            <v>123.648</v>
          </cell>
          <cell r="HX400" t="str">
            <v>mstag:otherLiabilitiesOperatingCurrent</v>
          </cell>
          <cell r="HY400">
            <v>6</v>
          </cell>
          <cell r="HZ400" t="str">
            <v>ISO4217:USD</v>
          </cell>
          <cell r="IA400" t="b">
            <v>0</v>
          </cell>
          <cell r="IB400" t="b">
            <v>0</v>
          </cell>
        </row>
        <row r="401">
          <cell r="E401" t="str">
            <v>Other liabilities, operating, noncurrent</v>
          </cell>
          <cell r="G401">
            <v>36.83</v>
          </cell>
          <cell r="H401">
            <v>26.457999999999998</v>
          </cell>
          <cell r="I401">
            <v>8.3629999999999995</v>
          </cell>
          <cell r="J401">
            <v>1.7889999999999999</v>
          </cell>
          <cell r="K401">
            <v>47.430999999999997</v>
          </cell>
          <cell r="L401">
            <v>554.72799999999995</v>
          </cell>
          <cell r="HX401" t="str">
            <v>mstag:otherLiabilitiesOperatingNonCurrent</v>
          </cell>
          <cell r="HY401">
            <v>6</v>
          </cell>
          <cell r="HZ401" t="str">
            <v>ISO4217:USD</v>
          </cell>
          <cell r="IA401" t="b">
            <v>0</v>
          </cell>
          <cell r="IB401" t="b">
            <v>0</v>
          </cell>
        </row>
        <row r="402">
          <cell r="D402" t="str">
            <v>Other liabilities, nonoperating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623.29</v>
          </cell>
          <cell r="HX402" t="str">
            <v>mstag:otherLiabilitiesNonOperating</v>
          </cell>
          <cell r="HY402">
            <v>6</v>
          </cell>
          <cell r="HZ402" t="str">
            <v>ISO4217:USD</v>
          </cell>
          <cell r="IA402" t="b">
            <v>0</v>
          </cell>
          <cell r="IB402" t="b">
            <v>0</v>
          </cell>
        </row>
        <row r="403">
          <cell r="E403" t="str">
            <v>Other liabilities, nonoperating, current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HX403" t="str">
            <v>mstag:otherLiabilitiesNonOperatingCurrent</v>
          </cell>
          <cell r="HY403">
            <v>6</v>
          </cell>
          <cell r="HZ403" t="str">
            <v>ISO4217:USD</v>
          </cell>
          <cell r="IA403" t="b">
            <v>0</v>
          </cell>
          <cell r="IB403" t="b">
            <v>0</v>
          </cell>
        </row>
        <row r="404">
          <cell r="E404" t="str">
            <v>Other liabilities, nonoperating, noncurrent</v>
          </cell>
          <cell r="HX404" t="str">
            <v>mstag:otherLiabilitiesNonOperatingNonCurrent</v>
          </cell>
          <cell r="HY404">
            <v>6</v>
          </cell>
          <cell r="HZ404" t="str">
            <v>ISO4217:USD</v>
          </cell>
          <cell r="IA404" t="b">
            <v>0</v>
          </cell>
          <cell r="IB404" t="b">
            <v>0</v>
          </cell>
        </row>
        <row r="405">
          <cell r="D405" t="str">
            <v>Liabilities of discontinued operations</v>
          </cell>
          <cell r="HX405" t="str">
            <v>mstag:liabilitiesOfDiscontinuedOperations</v>
          </cell>
          <cell r="HY405">
            <v>6</v>
          </cell>
          <cell r="HZ405" t="str">
            <v>ISO4217:USD</v>
          </cell>
          <cell r="IA405" t="b">
            <v>0</v>
          </cell>
          <cell r="IB405" t="b">
            <v>0</v>
          </cell>
        </row>
        <row r="406">
          <cell r="D406" t="str">
            <v>Minority interests in shareholders' equity</v>
          </cell>
          <cell r="HX406" t="str">
            <v>mstag:minorityInterestsInShareholdersEquity</v>
          </cell>
          <cell r="HY406">
            <v>6</v>
          </cell>
          <cell r="HZ406" t="str">
            <v>ISO4217:USD</v>
          </cell>
          <cell r="IA406" t="b">
            <v>0</v>
          </cell>
          <cell r="IB406" t="b">
            <v>0</v>
          </cell>
        </row>
        <row r="407">
          <cell r="D407" t="str">
            <v>Preferred equity</v>
          </cell>
          <cell r="HX407" t="str">
            <v>mstag:preferredEquity</v>
          </cell>
          <cell r="HY407">
            <v>6</v>
          </cell>
          <cell r="HZ407" t="str">
            <v>ISO4217:USD</v>
          </cell>
          <cell r="IA407" t="b">
            <v>0</v>
          </cell>
          <cell r="IB407" t="b">
            <v>0</v>
          </cell>
        </row>
        <row r="408">
          <cell r="D408" t="str">
            <v>Common equity</v>
          </cell>
          <cell r="F408">
            <v>1801.059</v>
          </cell>
          <cell r="G408">
            <v>2031.2250000000001</v>
          </cell>
          <cell r="H408">
            <v>2343.8449999999998</v>
          </cell>
          <cell r="I408">
            <v>5269.8569999999991</v>
          </cell>
          <cell r="J408">
            <v>5674.2030000000004</v>
          </cell>
          <cell r="K408">
            <v>5919.8189999999995</v>
          </cell>
          <cell r="L408">
            <v>5338.884</v>
          </cell>
          <cell r="M408">
            <v>6520.1896436999996</v>
          </cell>
          <cell r="HX408" t="str">
            <v>mstag:commonEquity</v>
          </cell>
          <cell r="HY408">
            <v>6</v>
          </cell>
          <cell r="HZ408" t="str">
            <v>ISO4217:USD</v>
          </cell>
          <cell r="IA408" t="b">
            <v>0</v>
          </cell>
          <cell r="IB408" t="b">
            <v>0</v>
          </cell>
        </row>
        <row r="409">
          <cell r="E409" t="str">
            <v>Total share capital</v>
          </cell>
          <cell r="G409">
            <v>1466.252</v>
          </cell>
          <cell r="H409">
            <v>1591.5319999999999</v>
          </cell>
          <cell r="I409">
            <v>6255.4699999999993</v>
          </cell>
          <cell r="J409">
            <v>6661.9380000000001</v>
          </cell>
          <cell r="K409">
            <v>6805.3969999999999</v>
          </cell>
          <cell r="L409">
            <v>6660.6080000000002</v>
          </cell>
          <cell r="M409">
            <v>7380.7550000000001</v>
          </cell>
          <cell r="HX409" t="str">
            <v>mstag:totalShareCapital</v>
          </cell>
          <cell r="HY409">
            <v>6</v>
          </cell>
          <cell r="HZ409" t="str">
            <v>ISO4217:USD</v>
          </cell>
          <cell r="IA409" t="b">
            <v>0</v>
          </cell>
          <cell r="IB409" t="b">
            <v>0</v>
          </cell>
        </row>
        <row r="410">
          <cell r="F410" t="str">
            <v>Common stock</v>
          </cell>
          <cell r="G410">
            <v>2.484</v>
          </cell>
          <cell r="H410">
            <v>2.5419999999999998</v>
          </cell>
          <cell r="I410">
            <v>10.324</v>
          </cell>
          <cell r="J410">
            <v>10.51</v>
          </cell>
          <cell r="K410">
            <v>10.566000000000001</v>
          </cell>
          <cell r="L410">
            <v>10.256</v>
          </cell>
          <cell r="M410">
            <v>10.494999999999999</v>
          </cell>
          <cell r="HX410" t="str">
            <v>mstag:commonStock</v>
          </cell>
          <cell r="HY410">
            <v>6</v>
          </cell>
          <cell r="HZ410" t="str">
            <v>ISO4217:USD</v>
          </cell>
          <cell r="IA410" t="b">
            <v>0</v>
          </cell>
          <cell r="IB410" t="b">
            <v>0</v>
          </cell>
        </row>
        <row r="411">
          <cell r="F411" t="str">
            <v>Additional paid in capital</v>
          </cell>
          <cell r="G411">
            <v>1463.768</v>
          </cell>
          <cell r="H411">
            <v>1588.99</v>
          </cell>
          <cell r="I411">
            <v>6245.1459999999997</v>
          </cell>
          <cell r="J411">
            <v>6651.4279999999999</v>
          </cell>
          <cell r="K411">
            <v>6794.8310000000001</v>
          </cell>
          <cell r="L411">
            <v>6650.3519999999999</v>
          </cell>
          <cell r="M411">
            <v>7370.26</v>
          </cell>
          <cell r="HX411" t="str">
            <v>mstag:additionalPaidInCapital</v>
          </cell>
          <cell r="HY411">
            <v>6</v>
          </cell>
          <cell r="HZ411" t="str">
            <v>ISO4217:USD</v>
          </cell>
          <cell r="IA411" t="b">
            <v>0</v>
          </cell>
          <cell r="IB411" t="b">
            <v>0</v>
          </cell>
        </row>
        <row r="412">
          <cell r="E412" t="str">
            <v>Retained earnings</v>
          </cell>
          <cell r="G412">
            <v>511.14100000000002</v>
          </cell>
          <cell r="H412">
            <v>693.05</v>
          </cell>
          <cell r="I412">
            <v>-1245.1120000000001</v>
          </cell>
          <cell r="J412">
            <v>-1319.3530000000001</v>
          </cell>
          <cell r="K412">
            <v>-1197.3</v>
          </cell>
          <cell r="L412">
            <v>-1590.366</v>
          </cell>
          <cell r="M412">
            <v>-1157.4679999999998</v>
          </cell>
          <cell r="HX412" t="str">
            <v>mstag:retainedEarnings</v>
          </cell>
          <cell r="HY412">
            <v>6</v>
          </cell>
          <cell r="HZ412" t="str">
            <v>ISO4217:USD</v>
          </cell>
          <cell r="IA412" t="b">
            <v>0</v>
          </cell>
          <cell r="IB412" t="b">
            <v>0</v>
          </cell>
        </row>
        <row r="413">
          <cell r="E413" t="str">
            <v>Accumulated other comprehensive income (loss) and reserves</v>
          </cell>
          <cell r="G413">
            <v>53.832000000000001</v>
          </cell>
          <cell r="H413">
            <v>59.262999999999998</v>
          </cell>
          <cell r="I413">
            <v>259.49900000000002</v>
          </cell>
          <cell r="J413">
            <v>331.61800000000005</v>
          </cell>
          <cell r="K413">
            <v>311.72199999999998</v>
          </cell>
          <cell r="L413">
            <v>268.642</v>
          </cell>
          <cell r="M413">
            <v>296.9026437</v>
          </cell>
          <cell r="HX413" t="str">
            <v>mstag:accumulatedOtherComprehensiveIncomeLossAndReserves</v>
          </cell>
          <cell r="HY413">
            <v>6</v>
          </cell>
          <cell r="HZ413" t="str">
            <v>ISO4217:USD</v>
          </cell>
          <cell r="IA413" t="b">
            <v>0</v>
          </cell>
          <cell r="IB413" t="b">
            <v>0</v>
          </cell>
        </row>
        <row r="414">
          <cell r="F414" t="str">
            <v>Cumulative translation adjustment</v>
          </cell>
          <cell r="HX414" t="str">
            <v>mstag:cumulativeTranslationAdjustment</v>
          </cell>
          <cell r="HY414">
            <v>6</v>
          </cell>
          <cell r="HZ414" t="str">
            <v>ISO4217:USD</v>
          </cell>
          <cell r="IA414" t="b">
            <v>0</v>
          </cell>
          <cell r="IB414" t="b">
            <v>0</v>
          </cell>
        </row>
        <row r="415">
          <cell r="F415" t="str">
            <v>Unrealized gains and losses on securities and other financial instruments</v>
          </cell>
          <cell r="G415">
            <v>53.832000000000001</v>
          </cell>
          <cell r="H415">
            <v>59.262999999999998</v>
          </cell>
          <cell r="I415">
            <v>259.49900000000002</v>
          </cell>
          <cell r="J415">
            <v>72.119</v>
          </cell>
          <cell r="K415">
            <v>303.89999999999998</v>
          </cell>
          <cell r="L415">
            <v>265.10000000000002</v>
          </cell>
          <cell r="HX415" t="str">
            <v>mstag:unrealizedGainsAndLossesOnSecuritiesAndOtherFinancialInstruments</v>
          </cell>
          <cell r="HY415">
            <v>6</v>
          </cell>
          <cell r="HZ415" t="str">
            <v>ISO4217:USD</v>
          </cell>
          <cell r="IA415" t="b">
            <v>0</v>
          </cell>
          <cell r="IB415" t="b">
            <v>0</v>
          </cell>
        </row>
        <row r="416">
          <cell r="F416" t="str">
            <v>Minimum pension liability</v>
          </cell>
          <cell r="HX416" t="str">
            <v>mstag:minimumPensionLiability</v>
          </cell>
          <cell r="HY416">
            <v>6</v>
          </cell>
          <cell r="HZ416" t="str">
            <v>ISO4217:USD</v>
          </cell>
          <cell r="IA416" t="b">
            <v>0</v>
          </cell>
          <cell r="IB416" t="b">
            <v>0</v>
          </cell>
        </row>
        <row r="417">
          <cell r="F417" t="str">
            <v>Cash flow hedges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7.8220000000000001</v>
          </cell>
          <cell r="L417">
            <v>3.5419999999999998</v>
          </cell>
          <cell r="HX417" t="str">
            <v>mstag:cashFlowHedges</v>
          </cell>
          <cell r="HY417">
            <v>6</v>
          </cell>
          <cell r="HZ417" t="str">
            <v>ISO4217:USD</v>
          </cell>
          <cell r="IA417" t="b">
            <v>0</v>
          </cell>
          <cell r="IB417" t="b">
            <v>0</v>
          </cell>
        </row>
        <row r="418">
          <cell r="F418" t="str">
            <v>Other accumulated OCI and reserves</v>
          </cell>
          <cell r="G418">
            <v>0</v>
          </cell>
          <cell r="H418">
            <v>0</v>
          </cell>
          <cell r="I418">
            <v>0</v>
          </cell>
          <cell r="J418">
            <v>259.49900000000002</v>
          </cell>
          <cell r="K418">
            <v>0</v>
          </cell>
          <cell r="L418">
            <v>0</v>
          </cell>
          <cell r="HX418" t="str">
            <v>mstag:otherAccumulatedOciAndReserves</v>
          </cell>
          <cell r="HY418">
            <v>6</v>
          </cell>
          <cell r="HZ418" t="str">
            <v>ISO4217:USD</v>
          </cell>
          <cell r="IA418" t="b">
            <v>0</v>
          </cell>
          <cell r="IB418" t="b">
            <v>0</v>
          </cell>
        </row>
        <row r="419">
          <cell r="F419" t="str">
            <v>Revaluation reserves</v>
          </cell>
          <cell r="HX419" t="str">
            <v>mstag:revaluationReserves</v>
          </cell>
          <cell r="HY419">
            <v>6</v>
          </cell>
          <cell r="HZ419" t="str">
            <v>ISO4217:USD</v>
          </cell>
          <cell r="IA419" t="b">
            <v>0</v>
          </cell>
          <cell r="IB419" t="b">
            <v>0</v>
          </cell>
        </row>
        <row r="420">
          <cell r="F420" t="str">
            <v>Unearned compensation reserve</v>
          </cell>
          <cell r="HX420" t="str">
            <v>mstag:unearnedCompensationReserve</v>
          </cell>
          <cell r="HY420">
            <v>6</v>
          </cell>
          <cell r="HZ420" t="str">
            <v>ISO4217:USD</v>
          </cell>
          <cell r="IA420" t="b">
            <v>0</v>
          </cell>
          <cell r="IB420" t="b">
            <v>0</v>
          </cell>
        </row>
        <row r="421">
          <cell r="E421" t="str">
            <v>Treasury stock and investment in own shares</v>
          </cell>
          <cell r="HX421" t="str">
            <v>mstag:treasuryStockAndInvestmentInOwnShares</v>
          </cell>
          <cell r="HY421">
            <v>6</v>
          </cell>
          <cell r="HZ421" t="str">
            <v>ISO4217:USD</v>
          </cell>
          <cell r="IA421" t="b">
            <v>0</v>
          </cell>
          <cell r="IB421" t="b">
            <v>0</v>
          </cell>
        </row>
        <row r="422">
          <cell r="E422" t="str">
            <v>Warrants and rights outstanding, equity</v>
          </cell>
          <cell r="HX422" t="str">
            <v>mstag:warrantsAndRightsOutstandingEquity</v>
          </cell>
          <cell r="HY422">
            <v>6</v>
          </cell>
          <cell r="HZ422" t="str">
            <v>ISO4217:USD</v>
          </cell>
          <cell r="IA422" t="b">
            <v>0</v>
          </cell>
          <cell r="IB422" t="b">
            <v>0</v>
          </cell>
        </row>
        <row r="423">
          <cell r="E423" t="str">
            <v>Other equity items</v>
          </cell>
          <cell r="HX423" t="str">
            <v>mstag:otherEquityItems</v>
          </cell>
          <cell r="HY423">
            <v>6</v>
          </cell>
          <cell r="HZ423" t="str">
            <v>ISO4217:USD</v>
          </cell>
          <cell r="IA423" t="b">
            <v>0</v>
          </cell>
          <cell r="IB423" t="b">
            <v>0</v>
          </cell>
        </row>
        <row r="424">
          <cell r="B424" t="str">
            <v>Cash flow</v>
          </cell>
          <cell r="HY424">
            <v>0</v>
          </cell>
          <cell r="HZ424" t="str">
            <v>ms_eqr_gcim_String:ms_eqr_gcim_string</v>
          </cell>
          <cell r="IA424" t="b">
            <v>0</v>
          </cell>
          <cell r="IB424" t="b">
            <v>0</v>
          </cell>
        </row>
        <row r="425">
          <cell r="C425" t="str">
            <v>Net income, reported, cash flow statement</v>
          </cell>
          <cell r="G425">
            <v>129.04400000000001</v>
          </cell>
          <cell r="H425">
            <v>181.90899999999999</v>
          </cell>
          <cell r="I425">
            <v>-1157.4760000000001</v>
          </cell>
          <cell r="J425">
            <v>-74.241</v>
          </cell>
          <cell r="K425">
            <v>150.23599999999999</v>
          </cell>
          <cell r="L425">
            <v>63.786999999999999</v>
          </cell>
          <cell r="M425">
            <v>562.45584265857804</v>
          </cell>
          <cell r="HX425" t="str">
            <v>mstag:netIncomeReported</v>
          </cell>
          <cell r="HY425">
            <v>6</v>
          </cell>
          <cell r="HZ425" t="str">
            <v>ISO4217:USD</v>
          </cell>
          <cell r="IA425" t="b">
            <v>0</v>
          </cell>
          <cell r="IB425" t="b">
            <v>0</v>
          </cell>
        </row>
        <row r="426">
          <cell r="C426" t="str">
            <v>Depreciation, cash flow statement</v>
          </cell>
          <cell r="G426">
            <v>65.533000000000001</v>
          </cell>
          <cell r="H426">
            <v>78.100999999999999</v>
          </cell>
          <cell r="I426">
            <v>90.282000000000011</v>
          </cell>
          <cell r="J426">
            <v>88.80400000000003</v>
          </cell>
          <cell r="K426">
            <v>96.290999999999997</v>
          </cell>
          <cell r="L426">
            <v>104.55499999999998</v>
          </cell>
          <cell r="M426">
            <v>125</v>
          </cell>
          <cell r="HX426" t="str">
            <v>mstag:depreciation</v>
          </cell>
          <cell r="HY426">
            <v>6</v>
          </cell>
          <cell r="HZ426" t="str">
            <v>ISO4217:USD</v>
          </cell>
          <cell r="IA426" t="b">
            <v>0</v>
          </cell>
          <cell r="IB426" t="b">
            <v>0</v>
          </cell>
        </row>
        <row r="427">
          <cell r="C427" t="str">
            <v>Amortization of goodwill, cash flow statement</v>
          </cell>
          <cell r="G427">
            <v>0</v>
          </cell>
          <cell r="H427">
            <v>0</v>
          </cell>
          <cell r="I427">
            <v>76.599999999999994</v>
          </cell>
          <cell r="J427">
            <v>211</v>
          </cell>
          <cell r="K427">
            <v>153.30000000000001</v>
          </cell>
          <cell r="L427">
            <v>0</v>
          </cell>
          <cell r="HX427" t="str">
            <v>mstag:amortizationOfGoodwillCashFlowStatement</v>
          </cell>
          <cell r="HY427">
            <v>6</v>
          </cell>
          <cell r="HZ427" t="str">
            <v>ISO4217:USD</v>
          </cell>
          <cell r="IA427" t="b">
            <v>0</v>
          </cell>
          <cell r="IB427" t="b">
            <v>0</v>
          </cell>
        </row>
        <row r="428">
          <cell r="C428" t="str">
            <v>Amortization of intangibles assumed to have indefinite life, cash flow statement</v>
          </cell>
          <cell r="G428">
            <v>0</v>
          </cell>
          <cell r="H428">
            <v>0</v>
          </cell>
          <cell r="I428">
            <v>113.8</v>
          </cell>
          <cell r="J428">
            <v>158</v>
          </cell>
          <cell r="K428">
            <v>169.8</v>
          </cell>
          <cell r="L428">
            <v>162.19999999999999</v>
          </cell>
          <cell r="M428">
            <v>170.4</v>
          </cell>
          <cell r="HX428" t="str">
            <v>mstag:amortizationOfIntangiblesAssumedToHaveIndefiniteLife</v>
          </cell>
          <cell r="HY428">
            <v>6</v>
          </cell>
          <cell r="HZ428" t="str">
            <v>ISO4217:USD</v>
          </cell>
          <cell r="IA428" t="b">
            <v>0</v>
          </cell>
          <cell r="IB428" t="b">
            <v>0</v>
          </cell>
        </row>
        <row r="429">
          <cell r="C429" t="str">
            <v>Amortization of other intangibles, cash flow statement</v>
          </cell>
          <cell r="G429">
            <v>0</v>
          </cell>
          <cell r="H429">
            <v>0</v>
          </cell>
          <cell r="I429">
            <v>0</v>
          </cell>
          <cell r="J429">
            <v>5.2</v>
          </cell>
          <cell r="K429">
            <v>8.6999999999999993</v>
          </cell>
          <cell r="L429">
            <v>8.1999999999999993</v>
          </cell>
          <cell r="M429" t="str">
            <v/>
          </cell>
          <cell r="HX429" t="str">
            <v>mstag:amortizationOfOtherIntangibles</v>
          </cell>
          <cell r="HY429">
            <v>6</v>
          </cell>
          <cell r="HZ429" t="str">
            <v>ISO4217:USD</v>
          </cell>
          <cell r="IA429" t="b">
            <v>0</v>
          </cell>
          <cell r="IB429" t="b">
            <v>0</v>
          </cell>
        </row>
        <row r="430">
          <cell r="D430" t="str">
            <v>Amortization of taxable other intangibles, cash flow statement</v>
          </cell>
          <cell r="HX430" t="str">
            <v>mstag:amortizationOfTaxableOtherIntangiblesCashFlowStatement</v>
          </cell>
          <cell r="HY430">
            <v>6</v>
          </cell>
          <cell r="HZ430" t="str">
            <v>ISO4217:USD</v>
          </cell>
          <cell r="IA430" t="b">
            <v>0</v>
          </cell>
          <cell r="IB430" t="b">
            <v>0</v>
          </cell>
        </row>
        <row r="431">
          <cell r="D431" t="str">
            <v>Amortization of nontaxable other intangibles, cash flow statement</v>
          </cell>
          <cell r="HX431" t="str">
            <v>mstag:amortizationOfNonTaxableOtherIntangiblesCashFlowStatement</v>
          </cell>
          <cell r="HY431">
            <v>6</v>
          </cell>
          <cell r="HZ431" t="str">
            <v>ISO4217:USD</v>
          </cell>
          <cell r="IA431" t="b">
            <v>0</v>
          </cell>
          <cell r="IB431" t="b">
            <v>0</v>
          </cell>
        </row>
        <row r="432">
          <cell r="C432" t="str">
            <v>Restructuring costs, recurring, cash flow statement</v>
          </cell>
          <cell r="HX432" t="str">
            <v>mstag:restructuringCostsRecurringCashFlowStatement</v>
          </cell>
          <cell r="HY432">
            <v>6</v>
          </cell>
          <cell r="HZ432" t="str">
            <v>ISO4217:USD</v>
          </cell>
          <cell r="IA432" t="b">
            <v>0</v>
          </cell>
          <cell r="IB432" t="b">
            <v>0</v>
          </cell>
        </row>
        <row r="433">
          <cell r="C433" t="str">
            <v>Restructuring costs, one time, cash flow statement</v>
          </cell>
          <cell r="HX433" t="str">
            <v>mstag:restructuringCostsOneTimeCashFlowStatement</v>
          </cell>
          <cell r="HY433">
            <v>6</v>
          </cell>
          <cell r="HZ433" t="str">
            <v>ISO4217:USD</v>
          </cell>
          <cell r="IA433" t="b">
            <v>0</v>
          </cell>
          <cell r="IB433" t="b">
            <v>0</v>
          </cell>
        </row>
        <row r="434">
          <cell r="C434" t="str">
            <v>Legal provision, recurring, cash flow statement</v>
          </cell>
          <cell r="HX434" t="str">
            <v>mstag:legalProvisionRecurringCashFlowStatement</v>
          </cell>
          <cell r="HY434">
            <v>6</v>
          </cell>
          <cell r="HZ434" t="str">
            <v>ISO4217:USD</v>
          </cell>
          <cell r="IA434" t="b">
            <v>0</v>
          </cell>
          <cell r="IB434" t="b">
            <v>0</v>
          </cell>
        </row>
        <row r="435">
          <cell r="C435" t="str">
            <v>Legal provision, one time, cash flow statement</v>
          </cell>
          <cell r="HX435" t="str">
            <v>mstag:legalProvisionOneTimeCashFlowStatement</v>
          </cell>
          <cell r="HY435">
            <v>6</v>
          </cell>
          <cell r="HZ435" t="str">
            <v>ISO4217:USD</v>
          </cell>
          <cell r="IA435" t="b">
            <v>0</v>
          </cell>
          <cell r="IB435" t="b">
            <v>0</v>
          </cell>
        </row>
        <row r="436">
          <cell r="C436" t="str">
            <v>Environmental provision, recurring, cash flow statement</v>
          </cell>
          <cell r="HX436" t="str">
            <v>mstag:environmentalProvisionRecurringCashFlowStatement</v>
          </cell>
          <cell r="HY436">
            <v>6</v>
          </cell>
          <cell r="HZ436" t="str">
            <v>ISO4217:USD</v>
          </cell>
          <cell r="IA436" t="b">
            <v>0</v>
          </cell>
          <cell r="IB436" t="b">
            <v>0</v>
          </cell>
        </row>
        <row r="437">
          <cell r="C437" t="str">
            <v>Environmental provision, one time, cash flow statement</v>
          </cell>
          <cell r="HX437" t="str">
            <v>mstag:environmentalProvisionOneTimeCashFlowStatement</v>
          </cell>
          <cell r="HY437">
            <v>6</v>
          </cell>
          <cell r="HZ437" t="str">
            <v>ISO4217:USD</v>
          </cell>
          <cell r="IA437" t="b">
            <v>0</v>
          </cell>
          <cell r="IB437" t="b">
            <v>0</v>
          </cell>
        </row>
        <row r="438">
          <cell r="C438" t="str">
            <v>Other provisions, recurring, cash flow statement</v>
          </cell>
          <cell r="HX438" t="str">
            <v>mstag:otherProvisionsRecurringCashFlowStatement</v>
          </cell>
          <cell r="HY438">
            <v>6</v>
          </cell>
          <cell r="HZ438" t="str">
            <v>ISO4217:USD</v>
          </cell>
          <cell r="IA438" t="b">
            <v>0</v>
          </cell>
          <cell r="IB438" t="b">
            <v>0</v>
          </cell>
        </row>
        <row r="439">
          <cell r="C439" t="str">
            <v>Other provisions, one time, cash flow statement</v>
          </cell>
          <cell r="HX439" t="str">
            <v>mstag:otherProvisionsOneTimeCashFlowStatement</v>
          </cell>
          <cell r="HY439">
            <v>6</v>
          </cell>
          <cell r="HZ439" t="str">
            <v>ISO4217:USD</v>
          </cell>
          <cell r="IA439" t="b">
            <v>0</v>
          </cell>
          <cell r="IB439" t="b">
            <v>0</v>
          </cell>
        </row>
        <row r="440">
          <cell r="C440" t="str">
            <v>Goodwill impairment, cash flow statement</v>
          </cell>
          <cell r="HX440" t="str">
            <v>mstag:goodwillImpairmentCashFlowStatement</v>
          </cell>
          <cell r="HY440">
            <v>6</v>
          </cell>
          <cell r="HZ440" t="str">
            <v>ISO4217:USD</v>
          </cell>
          <cell r="IA440" t="b">
            <v>0</v>
          </cell>
          <cell r="IB440" t="b">
            <v>0</v>
          </cell>
        </row>
        <row r="441">
          <cell r="C441" t="str">
            <v>Indefinite life intangible impairment, cash flow statement</v>
          </cell>
          <cell r="HX441" t="str">
            <v>mstag:indefiniteLifeIntangibleImpairmentCashFlowStatement</v>
          </cell>
          <cell r="HY441">
            <v>6</v>
          </cell>
          <cell r="HZ441" t="str">
            <v>ISO4217:USD</v>
          </cell>
          <cell r="IA441" t="b">
            <v>0</v>
          </cell>
          <cell r="IB441" t="b">
            <v>0</v>
          </cell>
        </row>
        <row r="442">
          <cell r="C442" t="str">
            <v>Asset impairment, nongoodwill, one time, cash flow statement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3.8</v>
          </cell>
          <cell r="HX442" t="str">
            <v>mstag:assetImpairmentNonGoodwillOneTime</v>
          </cell>
          <cell r="HY442">
            <v>6</v>
          </cell>
          <cell r="HZ442" t="str">
            <v>ISO4217:USD</v>
          </cell>
          <cell r="IA442" t="b">
            <v>0</v>
          </cell>
          <cell r="IB442" t="b">
            <v>0</v>
          </cell>
        </row>
        <row r="443">
          <cell r="C443" t="str">
            <v>Gains (losses) from sale of PPE and intangibles, recurring, cash flow statement</v>
          </cell>
          <cell r="G443">
            <v>-0.318</v>
          </cell>
          <cell r="H443">
            <v>-1.0149999999999999</v>
          </cell>
          <cell r="I443">
            <v>-0.88600000000000001</v>
          </cell>
          <cell r="J443">
            <v>-1.123</v>
          </cell>
          <cell r="K443">
            <v>-4.2110000000000003</v>
          </cell>
          <cell r="L443">
            <v>-15.882999999999999</v>
          </cell>
          <cell r="M443">
            <v>-10.76</v>
          </cell>
          <cell r="HX443" t="str">
            <v>mstag:gainsLossesFromSaleOfOperatingAssetsRecurring</v>
          </cell>
          <cell r="HY443">
            <v>6</v>
          </cell>
          <cell r="HZ443" t="str">
            <v>ISO4217:USD</v>
          </cell>
          <cell r="IA443" t="b">
            <v>0</v>
          </cell>
          <cell r="IB443" t="b">
            <v>0</v>
          </cell>
        </row>
        <row r="444">
          <cell r="C444" t="str">
            <v>Gains (losses) from sale of PPE and intangibles, one time, cash flow statement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20</v>
          </cell>
          <cell r="HX444" t="str">
            <v>mstag:gainsLossesFromSaleOfOperatingAssetsOneTime</v>
          </cell>
          <cell r="HY444">
            <v>6</v>
          </cell>
          <cell r="HZ444" t="str">
            <v>ISO4217:USD</v>
          </cell>
          <cell r="IA444" t="b">
            <v>0</v>
          </cell>
          <cell r="IB444" t="b">
            <v>0</v>
          </cell>
        </row>
        <row r="445">
          <cell r="C445" t="str">
            <v>Bonus paid to directors and corporate auditors (Japan)</v>
          </cell>
          <cell r="HX445" t="str">
            <v>mstag:bonusPaidToDirectorsAndCorporateAuditorsJapan</v>
          </cell>
          <cell r="HY445">
            <v>6</v>
          </cell>
          <cell r="HZ445" t="str">
            <v>ISO4217:USD</v>
          </cell>
          <cell r="IA445" t="b">
            <v>0</v>
          </cell>
          <cell r="IB445" t="b">
            <v>0</v>
          </cell>
        </row>
        <row r="446">
          <cell r="C446" t="str">
            <v>Bonus to directors and supervisors, cash flow statement (Taiwan)</v>
          </cell>
          <cell r="HX446" t="str">
            <v>mstag:bonusToDirectorsAndSupervisorsTaiwanCashFlow</v>
          </cell>
          <cell r="HY446">
            <v>6</v>
          </cell>
          <cell r="HZ446" t="str">
            <v>ISO4217:USD</v>
          </cell>
          <cell r="IA446" t="b">
            <v>0</v>
          </cell>
          <cell r="IB446" t="b">
            <v>0</v>
          </cell>
        </row>
        <row r="447">
          <cell r="C447" t="str">
            <v>Employee cash bonus, cash flow statement (Taiwan)</v>
          </cell>
          <cell r="HX447" t="str">
            <v>mstag:employeeCashBonusTaiwanCashFlow</v>
          </cell>
          <cell r="HY447">
            <v>6</v>
          </cell>
          <cell r="HZ447" t="str">
            <v>ISO4217:USD</v>
          </cell>
          <cell r="IA447" t="b">
            <v>0</v>
          </cell>
          <cell r="IB447" t="b">
            <v>0</v>
          </cell>
        </row>
        <row r="448">
          <cell r="C448" t="str">
            <v>Acquired in-process R and D, cash flow statement</v>
          </cell>
          <cell r="G448">
            <v>0</v>
          </cell>
          <cell r="H448">
            <v>0</v>
          </cell>
          <cell r="I448">
            <v>752.5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HX448" t="str">
            <v>mstag:acquiredInProcessRAndD</v>
          </cell>
          <cell r="HY448">
            <v>6</v>
          </cell>
          <cell r="HZ448" t="str">
            <v>ISO4217:USD</v>
          </cell>
          <cell r="IA448" t="b">
            <v>0</v>
          </cell>
          <cell r="IB448" t="b">
            <v>0</v>
          </cell>
        </row>
        <row r="449">
          <cell r="C449" t="str">
            <v>Capital expenditures</v>
          </cell>
          <cell r="G449">
            <v>154.90199999999999</v>
          </cell>
          <cell r="H449">
            <v>88.087999999999994</v>
          </cell>
          <cell r="I449">
            <v>95.007999999999996</v>
          </cell>
          <cell r="J449">
            <v>112.681</v>
          </cell>
          <cell r="K449">
            <v>213.351</v>
          </cell>
          <cell r="L449">
            <v>322.83199999999999</v>
          </cell>
          <cell r="M449">
            <v>321.95</v>
          </cell>
          <cell r="HX449" t="str">
            <v>mstag:capitalExpenditures</v>
          </cell>
          <cell r="HY449">
            <v>6</v>
          </cell>
          <cell r="HZ449" t="str">
            <v>ISO4217:USD</v>
          </cell>
          <cell r="IA449" t="b">
            <v>0</v>
          </cell>
          <cell r="IB449" t="b">
            <v>0</v>
          </cell>
        </row>
        <row r="450">
          <cell r="D450" t="str">
            <v>Capital expenditures, sustaining</v>
          </cell>
          <cell r="G450">
            <v>154.90199999999999</v>
          </cell>
          <cell r="H450">
            <v>88.087999999999994</v>
          </cell>
          <cell r="I450">
            <v>95.007999999999996</v>
          </cell>
          <cell r="J450">
            <v>112.681</v>
          </cell>
          <cell r="K450">
            <v>213.351</v>
          </cell>
          <cell r="L450">
            <v>322.83199999999999</v>
          </cell>
          <cell r="HX450" t="str">
            <v>mstag:capitalExpendituresMaintenance</v>
          </cell>
          <cell r="HY450">
            <v>6</v>
          </cell>
          <cell r="HZ450" t="str">
            <v>ISO4217:USD</v>
          </cell>
          <cell r="IA450" t="b">
            <v>0</v>
          </cell>
          <cell r="IB450" t="b">
            <v>0</v>
          </cell>
        </row>
        <row r="451">
          <cell r="D451" t="str">
            <v>Capital expenditures, growth</v>
          </cell>
          <cell r="HX451" t="str">
            <v>mstag:capitalExpendituresGrowth</v>
          </cell>
          <cell r="HY451">
            <v>6</v>
          </cell>
          <cell r="HZ451" t="str">
            <v>ISO4217:USD</v>
          </cell>
          <cell r="IA451" t="b">
            <v>0</v>
          </cell>
          <cell r="IB451" t="b">
            <v>0</v>
          </cell>
        </row>
        <row r="452">
          <cell r="C452" t="str">
            <v>Capital expenditures, related to lessor financing</v>
          </cell>
          <cell r="HX452" t="str">
            <v>mstag:capitalExpendituresRelatedToLessorFinancing</v>
          </cell>
          <cell r="HY452">
            <v>6</v>
          </cell>
          <cell r="HZ452" t="str">
            <v>ISO4217:USD</v>
          </cell>
          <cell r="IA452" t="b">
            <v>0</v>
          </cell>
          <cell r="IB452" t="b">
            <v>0</v>
          </cell>
        </row>
        <row r="453">
          <cell r="C453" t="str">
            <v>Unrealized foreign currency exchange gain (loss), cash flow statement</v>
          </cell>
          <cell r="HX453" t="str">
            <v>mstag:unrealizedForeignCurrencyExchangeGainLossCashFlowStatement</v>
          </cell>
          <cell r="HY453">
            <v>6</v>
          </cell>
          <cell r="HZ453" t="str">
            <v>ISO4217:USD</v>
          </cell>
          <cell r="IA453" t="b">
            <v>0</v>
          </cell>
          <cell r="IB453" t="b">
            <v>0</v>
          </cell>
        </row>
        <row r="454">
          <cell r="C454" t="str">
            <v>Proceeds from sale of PPE and intangible assets</v>
          </cell>
          <cell r="HX454" t="str">
            <v>mstag:proceedsFromSaleOfPpeAndIntangibleAssets</v>
          </cell>
          <cell r="HY454">
            <v>6</v>
          </cell>
          <cell r="HZ454" t="str">
            <v>ISO4217:USD</v>
          </cell>
          <cell r="IA454" t="b">
            <v>0</v>
          </cell>
          <cell r="IB454" t="b">
            <v>0</v>
          </cell>
        </row>
        <row r="455">
          <cell r="C455" t="str">
            <v>Amortization of discount (premium) on debt</v>
          </cell>
          <cell r="HX455" t="str">
            <v>mstag:amortizationOfDiscountPremiumOnDebtCashFlowStatement</v>
          </cell>
          <cell r="HY455">
            <v>6</v>
          </cell>
          <cell r="HZ455" t="str">
            <v>ISO4217:USD</v>
          </cell>
          <cell r="IA455" t="b">
            <v>0</v>
          </cell>
          <cell r="IB455" t="b">
            <v>0</v>
          </cell>
        </row>
        <row r="456">
          <cell r="C456" t="str">
            <v>Net pension and OPEB expense, cash flow statement</v>
          </cell>
          <cell r="HX456" t="str">
            <v>mstag:netPensionAndOpebExpenseCashFlowStatement</v>
          </cell>
          <cell r="HY456">
            <v>6</v>
          </cell>
          <cell r="HZ456" t="str">
            <v>ISO4217:USD</v>
          </cell>
          <cell r="IA456" t="b">
            <v>0</v>
          </cell>
          <cell r="IB456" t="b">
            <v>0</v>
          </cell>
        </row>
        <row r="457">
          <cell r="C457" t="str">
            <v>Net disposals (acquisitions)</v>
          </cell>
          <cell r="G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  <cell r="HX457" t="str">
            <v>mstag:netDisposalsAcquisitions</v>
          </cell>
          <cell r="HY457">
            <v>6</v>
          </cell>
          <cell r="HZ457" t="str">
            <v>ISO4217:USD</v>
          </cell>
          <cell r="IA457" t="b">
            <v>0</v>
          </cell>
          <cell r="IB457" t="b">
            <v>0</v>
          </cell>
        </row>
        <row r="458">
          <cell r="D458" t="str">
            <v>Capital expenditures reflected in cost of acquisitions</v>
          </cell>
          <cell r="G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  <cell r="HX458" t="str">
            <v>mstag:capitalExpendituresReflectedInCostOfAcquisitions</v>
          </cell>
          <cell r="HY458">
            <v>6</v>
          </cell>
          <cell r="HZ458" t="str">
            <v>ISO4217:USD</v>
          </cell>
          <cell r="IA458" t="b">
            <v>0</v>
          </cell>
          <cell r="IB458" t="b">
            <v>0</v>
          </cell>
        </row>
        <row r="459">
          <cell r="E459" t="str">
            <v>Capital expenditures reflected in cost of acquisitions, sustaining</v>
          </cell>
          <cell r="HX459" t="str">
            <v>mstag:capitalExpendituresReflectedInCostOfAcquisitionsMaintenance</v>
          </cell>
          <cell r="HY459">
            <v>6</v>
          </cell>
          <cell r="HZ459" t="str">
            <v>ISO4217:USD</v>
          </cell>
          <cell r="IA459" t="b">
            <v>0</v>
          </cell>
          <cell r="IB459" t="b">
            <v>0</v>
          </cell>
        </row>
        <row r="460">
          <cell r="E460" t="str">
            <v>Capital expenditures reflected in cost of acquisitions, growth</v>
          </cell>
          <cell r="HX460" t="str">
            <v>mstag:capitalExpendituresReflectedInCostOfAcquisitionsGrowth</v>
          </cell>
          <cell r="HY460">
            <v>6</v>
          </cell>
          <cell r="HZ460" t="str">
            <v>ISO4217:USD</v>
          </cell>
          <cell r="IA460" t="b">
            <v>0</v>
          </cell>
          <cell r="IB460" t="b">
            <v>0</v>
          </cell>
        </row>
        <row r="461">
          <cell r="D461" t="str">
            <v>Investment in intangible assets reflected in cost of acquisitions</v>
          </cell>
          <cell r="G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  <cell r="HX461" t="str">
            <v>mstag:investmentInIntangibleAssetsReflectedInCostOfAcquisitions</v>
          </cell>
          <cell r="HY461">
            <v>6</v>
          </cell>
          <cell r="HZ461" t="str">
            <v>ISO4217:USD</v>
          </cell>
          <cell r="IA461" t="b">
            <v>0</v>
          </cell>
          <cell r="IB461" t="b">
            <v>0</v>
          </cell>
        </row>
        <row r="462">
          <cell r="E462" t="str">
            <v>Investment in intangible assets reflected in cost of acquisitions, sustaining</v>
          </cell>
          <cell r="HX462" t="str">
            <v>mstag:investmentInIntangibleAssetsReflectedInCostOfAcquisitionsMaintenance</v>
          </cell>
          <cell r="HY462">
            <v>6</v>
          </cell>
          <cell r="HZ462" t="str">
            <v>ISO4217:USD</v>
          </cell>
          <cell r="IA462" t="b">
            <v>0</v>
          </cell>
          <cell r="IB462" t="b">
            <v>0</v>
          </cell>
        </row>
        <row r="463">
          <cell r="E463" t="str">
            <v>Investment in intangible assets reflected in cost of acquisitions, growth</v>
          </cell>
          <cell r="HX463" t="str">
            <v>mstag:investmentInIntangibleAssetsReflectedInCostOfAcquisitionsGrowth</v>
          </cell>
          <cell r="HY463">
            <v>6</v>
          </cell>
          <cell r="HZ463" t="str">
            <v>ISO4217:USD</v>
          </cell>
          <cell r="IA463" t="b">
            <v>0</v>
          </cell>
          <cell r="IB463" t="b">
            <v>0</v>
          </cell>
        </row>
        <row r="464">
          <cell r="D464" t="str">
            <v>Premium (goodwill) on acquisitions</v>
          </cell>
          <cell r="G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  <cell r="HX464" t="str">
            <v>mstag:premiumGoodwillOnAcquisions</v>
          </cell>
          <cell r="HY464">
            <v>6</v>
          </cell>
          <cell r="HZ464" t="str">
            <v>ISO4217:USD</v>
          </cell>
          <cell r="IA464" t="b">
            <v>0</v>
          </cell>
          <cell r="IB464" t="b">
            <v>0</v>
          </cell>
        </row>
        <row r="465">
          <cell r="E465" t="str">
            <v>Premium (goodwill) on acquisitions, sustaining</v>
          </cell>
          <cell r="HX465" t="str">
            <v>mstag:premiumGoodwillOnAcquisitionsSustaining</v>
          </cell>
          <cell r="HY465">
            <v>6</v>
          </cell>
          <cell r="HZ465" t="str">
            <v>ISO4217:USD</v>
          </cell>
          <cell r="IA465" t="b">
            <v>0</v>
          </cell>
          <cell r="IB465" t="b">
            <v>0</v>
          </cell>
        </row>
        <row r="466">
          <cell r="E466" t="str">
            <v>Premium (goodwill) on acquisitions, growth</v>
          </cell>
          <cell r="HX466" t="str">
            <v>mstag:premiumGoodwillOnAcquisitionsGrowth</v>
          </cell>
          <cell r="HY466">
            <v>6</v>
          </cell>
          <cell r="HZ466" t="str">
            <v>ISO4217:USD</v>
          </cell>
          <cell r="IA466" t="b">
            <v>0</v>
          </cell>
          <cell r="IB466" t="b">
            <v>0</v>
          </cell>
        </row>
        <row r="467">
          <cell r="D467" t="str">
            <v>Other assets (liabilities) acquired included in ending balance sheet totals</v>
          </cell>
          <cell r="HX467" t="str">
            <v>mstag:otherAssetsLiabilitiesIncludedInEndingBalanceSheetTotals</v>
          </cell>
          <cell r="HY467">
            <v>6</v>
          </cell>
          <cell r="HZ467" t="str">
            <v>ISO4217:USD</v>
          </cell>
          <cell r="IA467" t="b">
            <v>0</v>
          </cell>
          <cell r="IB467" t="b">
            <v>0</v>
          </cell>
        </row>
        <row r="468">
          <cell r="D468" t="str">
            <v>Acquired in-process R and D, acquisitions</v>
          </cell>
          <cell r="HX468" t="str">
            <v>mstag:acquiredInProcessRAndDAcquisitions</v>
          </cell>
          <cell r="HY468">
            <v>6</v>
          </cell>
          <cell r="HZ468" t="str">
            <v>ISO4217:USD</v>
          </cell>
          <cell r="IA468" t="b">
            <v>0</v>
          </cell>
          <cell r="IB468" t="b">
            <v>0</v>
          </cell>
        </row>
        <row r="469">
          <cell r="D469" t="str">
            <v>Principal debt acquired</v>
          </cell>
          <cell r="HX469" t="str">
            <v>mstag:principalDebtAcquired</v>
          </cell>
          <cell r="HY469">
            <v>6</v>
          </cell>
          <cell r="HZ469" t="str">
            <v>ISO4217:USD</v>
          </cell>
          <cell r="IA469" t="b">
            <v>0</v>
          </cell>
          <cell r="IB469" t="b">
            <v>0</v>
          </cell>
        </row>
        <row r="470">
          <cell r="D470" t="str">
            <v>Equity issued on acquisition</v>
          </cell>
          <cell r="HX470" t="str">
            <v>mstag:equityIssuedOnAcquisition</v>
          </cell>
          <cell r="HY470">
            <v>6</v>
          </cell>
          <cell r="HZ470" t="str">
            <v>ISO4217:USD</v>
          </cell>
          <cell r="IA470" t="b">
            <v>0</v>
          </cell>
          <cell r="IB470" t="b">
            <v>0</v>
          </cell>
        </row>
        <row r="471">
          <cell r="C471" t="str">
            <v>Investment in intangible assets</v>
          </cell>
          <cell r="G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  <cell r="HX471" t="str">
            <v>mstag:investmentInIntangibleAssets</v>
          </cell>
          <cell r="HY471">
            <v>6</v>
          </cell>
          <cell r="HZ471" t="str">
            <v>ISO4217:USD</v>
          </cell>
          <cell r="IA471" t="b">
            <v>0</v>
          </cell>
          <cell r="IB471" t="b">
            <v>0</v>
          </cell>
        </row>
        <row r="472">
          <cell r="D472" t="str">
            <v>Investment in indefinite life intangibles</v>
          </cell>
          <cell r="G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  <cell r="HX472" t="str">
            <v>mstag:investmentInIndefiniteLifeIntangibles</v>
          </cell>
          <cell r="HY472">
            <v>6</v>
          </cell>
          <cell r="HZ472" t="str">
            <v>ISO4217:USD</v>
          </cell>
          <cell r="IA472" t="b">
            <v>0</v>
          </cell>
          <cell r="IB472" t="b">
            <v>0</v>
          </cell>
        </row>
        <row r="473">
          <cell r="E473" t="str">
            <v>Investment in indefinite life intangibles, sustaining</v>
          </cell>
          <cell r="HX473" t="str">
            <v>mstag:investmentInIndefiniteLifeIntangiblesMaintenance</v>
          </cell>
          <cell r="HY473">
            <v>6</v>
          </cell>
          <cell r="HZ473" t="str">
            <v>ISO4217:USD</v>
          </cell>
          <cell r="IA473" t="b">
            <v>0</v>
          </cell>
          <cell r="IB473" t="b">
            <v>0</v>
          </cell>
        </row>
        <row r="474">
          <cell r="E474" t="str">
            <v>Investment in indefinite life intangibles, growth</v>
          </cell>
          <cell r="HX474" t="str">
            <v>mstag:investmentInIndefiniteLifeIntangiblesGrowth</v>
          </cell>
          <cell r="HY474">
            <v>6</v>
          </cell>
          <cell r="HZ474" t="str">
            <v>ISO4217:USD</v>
          </cell>
          <cell r="IA474" t="b">
            <v>0</v>
          </cell>
          <cell r="IB474" t="b">
            <v>0</v>
          </cell>
        </row>
        <row r="475">
          <cell r="D475" t="str">
            <v>Investment in definite life intangibles</v>
          </cell>
          <cell r="G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  <cell r="HX475" t="str">
            <v>mstag:investmentInDefiniteLifeIntangibles</v>
          </cell>
          <cell r="HY475">
            <v>6</v>
          </cell>
          <cell r="HZ475" t="str">
            <v>ISO4217:USD</v>
          </cell>
          <cell r="IA475" t="b">
            <v>0</v>
          </cell>
          <cell r="IB475" t="b">
            <v>0</v>
          </cell>
        </row>
        <row r="476">
          <cell r="E476" t="str">
            <v>Investment in definite life intangibles, sustaining</v>
          </cell>
          <cell r="HX476" t="str">
            <v>mstag:investmentInDefiniteLifeIntangiblesMaintenance</v>
          </cell>
          <cell r="HY476">
            <v>6</v>
          </cell>
          <cell r="HZ476" t="str">
            <v>ISO4217:USD</v>
          </cell>
          <cell r="IA476" t="b">
            <v>0</v>
          </cell>
          <cell r="IB476" t="b">
            <v>0</v>
          </cell>
        </row>
        <row r="477">
          <cell r="E477" t="str">
            <v>Investment in definite life intangibles, growth</v>
          </cell>
          <cell r="HX477" t="str">
            <v>mstag:investmentInDefiniteLifeIntangiblesGrowth</v>
          </cell>
          <cell r="HY477">
            <v>6</v>
          </cell>
          <cell r="HZ477" t="str">
            <v>ISO4217:USD</v>
          </cell>
          <cell r="IA477" t="b">
            <v>0</v>
          </cell>
          <cell r="IB477" t="b">
            <v>0</v>
          </cell>
        </row>
        <row r="478">
          <cell r="C478" t="str">
            <v>Income (loss) from investments under the equity method, operating, cash flow statement</v>
          </cell>
          <cell r="HX478" t="str">
            <v>mstag:incomeLossFromInvestmentsAccountedForUnderTheEquityMethodOperating</v>
          </cell>
          <cell r="HY478">
            <v>6</v>
          </cell>
          <cell r="HZ478" t="str">
            <v>ISO4217:USD</v>
          </cell>
          <cell r="IA478" t="b">
            <v>0</v>
          </cell>
          <cell r="IB478" t="b">
            <v>0</v>
          </cell>
        </row>
        <row r="479">
          <cell r="C479" t="str">
            <v>Income (loss) from investments under the equity method, nonoperating, cash flow statement</v>
          </cell>
          <cell r="HX479" t="str">
            <v>mstag:incomeLossFromInvestmentsAccountedForUnderTheEquityMethodNonOperating</v>
          </cell>
          <cell r="HY479">
            <v>6</v>
          </cell>
          <cell r="HZ479" t="str">
            <v>ISO4217:USD</v>
          </cell>
          <cell r="IA479" t="b">
            <v>0</v>
          </cell>
          <cell r="IB479" t="b">
            <v>0</v>
          </cell>
        </row>
        <row r="480">
          <cell r="C480" t="str">
            <v>Dividends from investments under the equity method, operating, cash flow statement</v>
          </cell>
          <cell r="HX480" t="str">
            <v>mstag:dividendsFromInvestmentsAccountedForUnderTheEquityMethodOperating</v>
          </cell>
          <cell r="HY480">
            <v>6</v>
          </cell>
          <cell r="HZ480" t="str">
            <v>ISO4217:USD</v>
          </cell>
          <cell r="IA480" t="b">
            <v>0</v>
          </cell>
          <cell r="IB480" t="b">
            <v>0</v>
          </cell>
        </row>
        <row r="481">
          <cell r="C481" t="str">
            <v>Dividends from investments under the equity method, nonoperating, cash flow statement</v>
          </cell>
          <cell r="HX481" t="str">
            <v>mstag:dividendsFromInvestmentsAccountedForUnderTheEquityMethodNonOperating</v>
          </cell>
          <cell r="HY481">
            <v>6</v>
          </cell>
          <cell r="HZ481" t="str">
            <v>ISO4217:USD</v>
          </cell>
          <cell r="IA481" t="b">
            <v>0</v>
          </cell>
          <cell r="IB481" t="b">
            <v>0</v>
          </cell>
        </row>
        <row r="482">
          <cell r="C482" t="str">
            <v>Net increase in deferred tax liabilities (assets)</v>
          </cell>
          <cell r="G482">
            <v>19.66</v>
          </cell>
          <cell r="H482">
            <v>29.792000000000002</v>
          </cell>
          <cell r="I482">
            <v>-144.29500000000002</v>
          </cell>
          <cell r="J482">
            <v>-196.78200000000001</v>
          </cell>
          <cell r="K482">
            <v>29.356999999999999</v>
          </cell>
          <cell r="L482">
            <v>-196.64400000000001</v>
          </cell>
          <cell r="M482">
            <v>-149</v>
          </cell>
          <cell r="HX482" t="str">
            <v>mstag:deferredTax</v>
          </cell>
          <cell r="HY482">
            <v>6</v>
          </cell>
          <cell r="HZ482" t="str">
            <v>ISO4217:USD</v>
          </cell>
          <cell r="IA482" t="b">
            <v>0</v>
          </cell>
          <cell r="IB482" t="b">
            <v>0</v>
          </cell>
        </row>
        <row r="483">
          <cell r="D483" t="str">
            <v>Net decrease in deferred tax asset from exercise of ESOs in the period</v>
          </cell>
          <cell r="HX483" t="str">
            <v>mstag:netDecreaseInDeferredTaxAssetFromExerciseOfEsosInThePeriod</v>
          </cell>
          <cell r="HY483">
            <v>6</v>
          </cell>
          <cell r="HZ483" t="str">
            <v>ISO4217:USD</v>
          </cell>
          <cell r="IA483" t="b">
            <v>0</v>
          </cell>
          <cell r="IB483" t="b">
            <v>0</v>
          </cell>
        </row>
        <row r="484">
          <cell r="C484" t="str">
            <v>Net increase in income tax payable (receivable)</v>
          </cell>
          <cell r="HX484" t="str">
            <v>mstag:netIncreaseInIncomeTaxPayableReceivable</v>
          </cell>
          <cell r="HY484">
            <v>6</v>
          </cell>
          <cell r="HZ484" t="str">
            <v>ISO4217:USD</v>
          </cell>
          <cell r="IA484" t="b">
            <v>0</v>
          </cell>
          <cell r="IB484" t="b">
            <v>0</v>
          </cell>
        </row>
        <row r="485">
          <cell r="D485" t="str">
            <v>Net decrease in income tax payable due to tax benefit from exercise of ESOs</v>
          </cell>
          <cell r="HX485" t="str">
            <v>mstag:netDecreaseInIncomeTaxPayableDueToTaxBenefitFromExerciseOfEsos</v>
          </cell>
          <cell r="HY485">
            <v>6</v>
          </cell>
          <cell r="HZ485" t="str">
            <v>ISO4217:USD</v>
          </cell>
          <cell r="IA485" t="b">
            <v>0</v>
          </cell>
          <cell r="IB485" t="b">
            <v>0</v>
          </cell>
        </row>
        <row r="486">
          <cell r="C486" t="str">
            <v>Stock-based compensation charge, pretax</v>
          </cell>
          <cell r="HX486" t="str">
            <v>mstag:stockBasedCompensationChargePreTax</v>
          </cell>
          <cell r="HY486">
            <v>6</v>
          </cell>
          <cell r="HZ486" t="str">
            <v>ISO4217:USD</v>
          </cell>
          <cell r="IA486" t="b">
            <v>0</v>
          </cell>
          <cell r="IB486" t="b">
            <v>0</v>
          </cell>
        </row>
        <row r="487">
          <cell r="C487" t="str">
            <v>Tax benefit from exercise of ESOs</v>
          </cell>
          <cell r="G487">
            <v>0</v>
          </cell>
          <cell r="H487">
            <v>0</v>
          </cell>
          <cell r="I487">
            <v>119.15300000000001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HX487" t="str">
            <v>mstag:taxBenefitFromExerciseOfEsosCashFlowStatement</v>
          </cell>
          <cell r="HY487">
            <v>6</v>
          </cell>
          <cell r="HZ487" t="str">
            <v>ISO4217:USD</v>
          </cell>
          <cell r="IA487" t="b">
            <v>0</v>
          </cell>
          <cell r="IB487" t="b">
            <v>0</v>
          </cell>
        </row>
        <row r="488">
          <cell r="C488" t="str">
            <v>Net decrease in other assets, operating</v>
          </cell>
          <cell r="G488">
            <v>-61.529000000000003</v>
          </cell>
          <cell r="H488">
            <v>-17.151</v>
          </cell>
          <cell r="I488">
            <v>-23.551000000000002</v>
          </cell>
          <cell r="J488">
            <v>-55.603999999999999</v>
          </cell>
          <cell r="K488">
            <v>-10.105</v>
          </cell>
          <cell r="L488">
            <v>12.875</v>
          </cell>
          <cell r="M488">
            <v>-1110.23</v>
          </cell>
          <cell r="HX488" t="str">
            <v>mstag:netDecreaseInOtherAssets</v>
          </cell>
          <cell r="HY488">
            <v>6</v>
          </cell>
          <cell r="HZ488" t="str">
            <v>ISO4217:USD</v>
          </cell>
          <cell r="IA488" t="b">
            <v>0</v>
          </cell>
          <cell r="IB488" t="b">
            <v>0</v>
          </cell>
        </row>
        <row r="489">
          <cell r="C489" t="str">
            <v>Net decrease in trade receivables</v>
          </cell>
          <cell r="G489">
            <v>11.194000000000001</v>
          </cell>
          <cell r="H489">
            <v>33.767000000000003</v>
          </cell>
          <cell r="I489">
            <v>-70.994</v>
          </cell>
          <cell r="J489">
            <v>-103.863</v>
          </cell>
          <cell r="K489">
            <v>-59.512</v>
          </cell>
          <cell r="L489">
            <v>-107.483</v>
          </cell>
          <cell r="M489">
            <v>-146.1</v>
          </cell>
          <cell r="HX489" t="str">
            <v>mstag:netDecreaseInTradeReceivables</v>
          </cell>
          <cell r="HY489">
            <v>6</v>
          </cell>
          <cell r="HZ489" t="str">
            <v>ISO4217:USD</v>
          </cell>
          <cell r="IA489" t="b">
            <v>0</v>
          </cell>
          <cell r="IB489" t="b">
            <v>0</v>
          </cell>
        </row>
        <row r="490">
          <cell r="C490" t="str">
            <v>Net decrease in finance lease receivables</v>
          </cell>
          <cell r="HX490" t="str">
            <v>mstag:netDecreaseInFinanceLeaseReceivables</v>
          </cell>
          <cell r="HY490">
            <v>6</v>
          </cell>
          <cell r="HZ490" t="str">
            <v>ISO4217:USD</v>
          </cell>
          <cell r="IA490" t="b">
            <v>0</v>
          </cell>
          <cell r="IB490" t="b">
            <v>0</v>
          </cell>
        </row>
        <row r="491">
          <cell r="C491" t="str">
            <v>Net decrease in unbilled receivables</v>
          </cell>
          <cell r="HX491" t="str">
            <v>mstag:netDecreaseInUnbilledReceivables</v>
          </cell>
          <cell r="HY491">
            <v>6</v>
          </cell>
          <cell r="HZ491" t="str">
            <v>ISO4217:USD</v>
          </cell>
          <cell r="IA491" t="b">
            <v>0</v>
          </cell>
          <cell r="IB491" t="b">
            <v>0</v>
          </cell>
        </row>
        <row r="492">
          <cell r="C492" t="str">
            <v>Net decrease in other receivables</v>
          </cell>
          <cell r="HX492" t="str">
            <v>mstag:netDecreaseInOtherReceivables</v>
          </cell>
          <cell r="HY492">
            <v>6</v>
          </cell>
          <cell r="HZ492" t="str">
            <v>ISO4217:USD</v>
          </cell>
          <cell r="IA492" t="b">
            <v>0</v>
          </cell>
          <cell r="IB492" t="b">
            <v>0</v>
          </cell>
        </row>
        <row r="493">
          <cell r="C493" t="str">
            <v>Net decrease in prepaid expenses</v>
          </cell>
          <cell r="HX493" t="str">
            <v>mstag:netDecreaseInPrepaidExpenses</v>
          </cell>
          <cell r="HY493">
            <v>6</v>
          </cell>
          <cell r="HZ493" t="str">
            <v>ISO4217:USD</v>
          </cell>
          <cell r="IA493" t="b">
            <v>0</v>
          </cell>
          <cell r="IB493" t="b">
            <v>0</v>
          </cell>
        </row>
        <row r="494">
          <cell r="C494" t="str">
            <v>Net decrease in inventories</v>
          </cell>
          <cell r="G494">
            <v>-24.082999999999998</v>
          </cell>
          <cell r="H494">
            <v>-32.6</v>
          </cell>
          <cell r="I494">
            <v>59.561</v>
          </cell>
          <cell r="J494">
            <v>9.4149999999999991</v>
          </cell>
          <cell r="K494">
            <v>-91.116</v>
          </cell>
          <cell r="L494">
            <v>-36.595999999999997</v>
          </cell>
          <cell r="M494">
            <v>-93.26</v>
          </cell>
          <cell r="HX494" t="str">
            <v>mstag:netDecreaseInInventories</v>
          </cell>
          <cell r="HY494">
            <v>6</v>
          </cell>
          <cell r="HZ494" t="str">
            <v>ISO4217:USD</v>
          </cell>
          <cell r="IA494" t="b">
            <v>0</v>
          </cell>
          <cell r="IB494" t="b">
            <v>0</v>
          </cell>
        </row>
        <row r="495">
          <cell r="C495" t="str">
            <v>Net increase in trade and other payables</v>
          </cell>
          <cell r="G495">
            <v>32.896999999999998</v>
          </cell>
          <cell r="H495">
            <v>15.936999999999999</v>
          </cell>
          <cell r="I495">
            <v>166.41199999999998</v>
          </cell>
          <cell r="J495">
            <v>239.38800000000001</v>
          </cell>
          <cell r="K495">
            <v>124.774</v>
          </cell>
          <cell r="L495">
            <v>148.68100000000001</v>
          </cell>
          <cell r="M495">
            <v>463.6</v>
          </cell>
          <cell r="HX495" t="str">
            <v>mstag:netIncreaseInTradeAndOtherPayables</v>
          </cell>
          <cell r="HY495">
            <v>6</v>
          </cell>
          <cell r="HZ495" t="str">
            <v>ISO4217:USD</v>
          </cell>
          <cell r="IA495" t="b">
            <v>0</v>
          </cell>
          <cell r="IB495" t="b">
            <v>0</v>
          </cell>
        </row>
        <row r="496">
          <cell r="C496" t="str">
            <v>Net increase in deferred revenue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-15.457000000000001</v>
          </cell>
          <cell r="L496">
            <v>2.0009999999999999</v>
          </cell>
          <cell r="M496">
            <v>239.14500000000001</v>
          </cell>
          <cell r="HX496" t="str">
            <v>mstag:netIncreaseInDeferredRevenue</v>
          </cell>
          <cell r="HY496">
            <v>6</v>
          </cell>
          <cell r="HZ496" t="str">
            <v>ISO4217:USD</v>
          </cell>
          <cell r="IA496" t="b">
            <v>0</v>
          </cell>
          <cell r="IB496" t="b">
            <v>0</v>
          </cell>
        </row>
        <row r="497">
          <cell r="C497" t="str">
            <v>Net increase in accrued expenses</v>
          </cell>
          <cell r="HX497" t="str">
            <v>mstag:netIncreaseInAccruedExpenses</v>
          </cell>
          <cell r="HY497">
            <v>6</v>
          </cell>
          <cell r="HZ497" t="str">
            <v>ISO4217:USD</v>
          </cell>
          <cell r="IA497" t="b">
            <v>0</v>
          </cell>
          <cell r="IB497" t="b">
            <v>0</v>
          </cell>
        </row>
        <row r="498">
          <cell r="C498" t="str">
            <v>Net increase in deferred compensation</v>
          </cell>
          <cell r="HX498" t="str">
            <v>mstag:netIncreaseInDeferredCompensation</v>
          </cell>
          <cell r="HY498">
            <v>6</v>
          </cell>
          <cell r="HZ498" t="str">
            <v>ISO4217:USD</v>
          </cell>
          <cell r="IA498" t="b">
            <v>0</v>
          </cell>
          <cell r="IB498" t="b">
            <v>0</v>
          </cell>
        </row>
        <row r="499">
          <cell r="C499" t="str">
            <v>Proceeds from issuance and cash used to repay short term borrowings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-149.69200000000001</v>
          </cell>
          <cell r="M499">
            <v>0</v>
          </cell>
          <cell r="HX499" t="str">
            <v>mstag:proceedsFromIssuanceAndCashUsedToRepayShortTermBorrowings</v>
          </cell>
          <cell r="HY499">
            <v>6</v>
          </cell>
          <cell r="HZ499" t="str">
            <v>ISO4217:USD</v>
          </cell>
          <cell r="IA499" t="b">
            <v>0</v>
          </cell>
          <cell r="IB499" t="b">
            <v>0</v>
          </cell>
        </row>
        <row r="500">
          <cell r="C500" t="str">
            <v>Proceeds from issuance and cash used to repay long term debt</v>
          </cell>
          <cell r="HX500" t="str">
            <v>mstag:proceedsFromIssuanceAndCashUsedToRepayLongTermDebt</v>
          </cell>
          <cell r="HY500">
            <v>6</v>
          </cell>
          <cell r="HZ500" t="str">
            <v>ISO4217:USD</v>
          </cell>
          <cell r="IA500" t="b">
            <v>0</v>
          </cell>
          <cell r="IB500" t="b">
            <v>0</v>
          </cell>
        </row>
        <row r="501">
          <cell r="C501" t="str">
            <v>Net increase in other liabilities, operating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552.18499999999995</v>
          </cell>
          <cell r="HX501" t="str">
            <v>mstag:netIncreaseInOtherLiabilitiesOperating</v>
          </cell>
          <cell r="HY501">
            <v>6</v>
          </cell>
          <cell r="HZ501" t="str">
            <v>ISO4217:USD</v>
          </cell>
          <cell r="IA501" t="b">
            <v>0</v>
          </cell>
          <cell r="IB501" t="b">
            <v>0</v>
          </cell>
        </row>
        <row r="502">
          <cell r="C502" t="str">
            <v>Net increase in minority interests in shareholders' equity</v>
          </cell>
          <cell r="HX502" t="str">
            <v>mstag:netIncreaseInMinorityInterestsInShareholdersEquity</v>
          </cell>
          <cell r="HY502">
            <v>6</v>
          </cell>
          <cell r="HZ502" t="str">
            <v>ISO4217:USD</v>
          </cell>
          <cell r="IA502" t="b">
            <v>0</v>
          </cell>
          <cell r="IB502" t="b">
            <v>0</v>
          </cell>
        </row>
        <row r="503">
          <cell r="C503" t="str">
            <v>Net issuance of preferred stock</v>
          </cell>
          <cell r="G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  <cell r="HX503" t="str">
            <v>mstag:netIssuanceOfPreferredStock</v>
          </cell>
          <cell r="HY503">
            <v>6</v>
          </cell>
          <cell r="HZ503" t="str">
            <v>ISO4217:USD</v>
          </cell>
          <cell r="IA503" t="b">
            <v>0</v>
          </cell>
          <cell r="IB503" t="b">
            <v>0</v>
          </cell>
        </row>
        <row r="504">
          <cell r="D504" t="str">
            <v>Issuances of preferred stock</v>
          </cell>
          <cell r="HX504" t="str">
            <v>mstag:issuancesOfPreferredStock</v>
          </cell>
          <cell r="HY504">
            <v>6</v>
          </cell>
          <cell r="HZ504" t="str">
            <v>ISO4217:USD</v>
          </cell>
          <cell r="IA504" t="b">
            <v>0</v>
          </cell>
          <cell r="IB504" t="b">
            <v>0</v>
          </cell>
        </row>
        <row r="505">
          <cell r="D505" t="str">
            <v>Redemptions, retirements and repurchases of preferred stock</v>
          </cell>
          <cell r="HX505" t="str">
            <v>mstag:redemptionsRetirementsAndRepurchasesOfPreferredStock</v>
          </cell>
          <cell r="HY505">
            <v>6</v>
          </cell>
          <cell r="HZ505" t="str">
            <v>ISO4217:USD</v>
          </cell>
          <cell r="IA505" t="b">
            <v>0</v>
          </cell>
          <cell r="IB505" t="b">
            <v>0</v>
          </cell>
        </row>
        <row r="506">
          <cell r="C506" t="str">
            <v>Proceeds from issuance/(funds used to repurchase) common stock</v>
          </cell>
          <cell r="G506">
            <v>87.259</v>
          </cell>
          <cell r="H506">
            <v>107.938</v>
          </cell>
          <cell r="I506">
            <v>160.203</v>
          </cell>
          <cell r="J506">
            <v>180.37899999999999</v>
          </cell>
          <cell r="K506">
            <v>67.162000000000006</v>
          </cell>
          <cell r="L506">
            <v>-618.58799999999997</v>
          </cell>
          <cell r="M506">
            <v>325.52</v>
          </cell>
          <cell r="HX506" t="str">
            <v>mstag:proceedsFromIssuanceFundsUsedToRepurchaseCommonStock</v>
          </cell>
          <cell r="HY506">
            <v>6</v>
          </cell>
          <cell r="HZ506" t="str">
            <v>ISO4217:USD</v>
          </cell>
          <cell r="IA506" t="b">
            <v>0</v>
          </cell>
          <cell r="IB506" t="b">
            <v>0</v>
          </cell>
        </row>
        <row r="507">
          <cell r="D507" t="str">
            <v>Proceeds from issuance of common stock</v>
          </cell>
          <cell r="G507">
            <v>87.259</v>
          </cell>
          <cell r="H507">
            <v>107.938</v>
          </cell>
          <cell r="I507">
            <v>160.203</v>
          </cell>
          <cell r="J507">
            <v>180.37899999999999</v>
          </cell>
          <cell r="K507">
            <v>106.866</v>
          </cell>
          <cell r="L507">
            <v>74.164000000000001</v>
          </cell>
          <cell r="HX507" t="str">
            <v>mstag:proceedsFromIssuanceOfCommonStock</v>
          </cell>
          <cell r="HY507">
            <v>6</v>
          </cell>
          <cell r="HZ507" t="str">
            <v>ISO4217:USD</v>
          </cell>
          <cell r="IA507" t="b">
            <v>0</v>
          </cell>
          <cell r="IB507" t="b">
            <v>0</v>
          </cell>
        </row>
        <row r="508">
          <cell r="D508" t="str">
            <v>Funds used to repurchase common stock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39.704000000000001</v>
          </cell>
          <cell r="L508">
            <v>692.75199999999995</v>
          </cell>
          <cell r="HX508" t="str">
            <v>mstag:fundsUsedToRepurchaseCommonStock</v>
          </cell>
          <cell r="HY508">
            <v>6</v>
          </cell>
          <cell r="HZ508" t="str">
            <v>ISO4217:USD</v>
          </cell>
          <cell r="IA508" t="b">
            <v>0</v>
          </cell>
          <cell r="IB508" t="b">
            <v>0</v>
          </cell>
        </row>
        <row r="509">
          <cell r="C509" t="str">
            <v>Cash dividends paid</v>
          </cell>
          <cell r="HX509" t="str">
            <v>mstag:cashDividendsPaid</v>
          </cell>
          <cell r="HY509">
            <v>6</v>
          </cell>
          <cell r="HZ509" t="str">
            <v>ISO4217:USD</v>
          </cell>
          <cell r="IA509" t="b">
            <v>0</v>
          </cell>
          <cell r="IB509" t="b">
            <v>0</v>
          </cell>
        </row>
        <row r="510">
          <cell r="C510" t="str">
            <v>Net decrease in notes receivable</v>
          </cell>
          <cell r="HX510" t="str">
            <v>mstag:netDecreaseInNotesReceivable</v>
          </cell>
          <cell r="HY510">
            <v>6</v>
          </cell>
          <cell r="HZ510" t="str">
            <v>ISO4217:USD</v>
          </cell>
          <cell r="IA510" t="b">
            <v>0</v>
          </cell>
          <cell r="IB510" t="b">
            <v>0</v>
          </cell>
        </row>
        <row r="511">
          <cell r="C511" t="str">
            <v>Net decrease in other assets, nonoperating</v>
          </cell>
          <cell r="HX511" t="str">
            <v>mstag:netDecreaseInOtherAssetsNonOperating</v>
          </cell>
          <cell r="HY511">
            <v>6</v>
          </cell>
          <cell r="HZ511" t="str">
            <v>ISO4217:USD</v>
          </cell>
          <cell r="IA511" t="b">
            <v>0</v>
          </cell>
          <cell r="IB511" t="b">
            <v>0</v>
          </cell>
        </row>
        <row r="512">
          <cell r="C512" t="str">
            <v>Net increase in dividends payable</v>
          </cell>
          <cell r="HX512" t="str">
            <v>mstag:netIncreaseInDividendsPayable</v>
          </cell>
          <cell r="HY512">
            <v>6</v>
          </cell>
          <cell r="HZ512" t="str">
            <v>ISO4217:USD</v>
          </cell>
          <cell r="IA512" t="b">
            <v>0</v>
          </cell>
          <cell r="IB512" t="b">
            <v>0</v>
          </cell>
        </row>
        <row r="513">
          <cell r="C513" t="str">
            <v>Net increase in other liabilities, nonoperating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56.1</v>
          </cell>
          <cell r="HX513" t="str">
            <v>mstag:netIncreaseInOtherLiabilitiesNonOperating</v>
          </cell>
          <cell r="HY513">
            <v>6</v>
          </cell>
          <cell r="HZ513" t="str">
            <v>ISO4217:USD</v>
          </cell>
          <cell r="IA513" t="b">
            <v>0</v>
          </cell>
          <cell r="IB513" t="b">
            <v>0</v>
          </cell>
        </row>
        <row r="514">
          <cell r="C514" t="str">
            <v>Contribution to pension and other post retirement plan assets</v>
          </cell>
          <cell r="HX514" t="str">
            <v>mstag:contributionToPensionAndOtherPostRetirementPlanAssets</v>
          </cell>
          <cell r="HY514">
            <v>6</v>
          </cell>
          <cell r="HZ514" t="str">
            <v>ISO4217:USD</v>
          </cell>
          <cell r="IA514" t="b">
            <v>0</v>
          </cell>
          <cell r="IB514" t="b">
            <v>0</v>
          </cell>
        </row>
        <row r="515">
          <cell r="C515" t="str">
            <v>Net increase in securitized assets, cash flow statement</v>
          </cell>
          <cell r="HX515" t="str">
            <v>mstag:netIncreaseInSecuritizedAssetsCashFlowStatement</v>
          </cell>
          <cell r="HY515">
            <v>6</v>
          </cell>
          <cell r="HZ515" t="str">
            <v>ISO4217:USD</v>
          </cell>
          <cell r="IA515" t="b">
            <v>0</v>
          </cell>
          <cell r="IB515" t="b">
            <v>0</v>
          </cell>
        </row>
        <row r="516">
          <cell r="C516" t="str">
            <v>Net decrease in investments, nonoperating</v>
          </cell>
          <cell r="G516">
            <v>-68.186000000000035</v>
          </cell>
          <cell r="H516">
            <v>-273.92699999999996</v>
          </cell>
          <cell r="I516">
            <v>8.4469999999999459</v>
          </cell>
          <cell r="J516">
            <v>-136.43600000000004</v>
          </cell>
          <cell r="K516">
            <v>-576.10900000000004</v>
          </cell>
          <cell r="L516">
            <v>174.39500000000021</v>
          </cell>
          <cell r="HX516" t="str">
            <v>mstag:netDecreaseInInvestmentsNonOperating</v>
          </cell>
          <cell r="HY516">
            <v>6</v>
          </cell>
          <cell r="HZ516" t="str">
            <v>ISO4217:USD</v>
          </cell>
          <cell r="IA516" t="b">
            <v>0</v>
          </cell>
          <cell r="IB516" t="b">
            <v>0</v>
          </cell>
        </row>
        <row r="517">
          <cell r="C517" t="str">
            <v>Net cash flow from discontinued operations</v>
          </cell>
          <cell r="HX517" t="str">
            <v>mstag:netCashFlowFromDiscontinuedOperations</v>
          </cell>
          <cell r="HY517">
            <v>6</v>
          </cell>
          <cell r="HZ517" t="str">
            <v>ISO4217:USD</v>
          </cell>
          <cell r="IA517" t="b">
            <v>0</v>
          </cell>
          <cell r="IB517" t="b">
            <v>0</v>
          </cell>
        </row>
        <row r="518">
          <cell r="C518" t="str">
            <v>Other cash flow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5.6379999999999999</v>
          </cell>
          <cell r="L518">
            <v>0</v>
          </cell>
          <cell r="M518">
            <v>47.655000000000001</v>
          </cell>
          <cell r="HX518" t="str">
            <v>mstag:otherCashFlow</v>
          </cell>
          <cell r="HY518">
            <v>6</v>
          </cell>
          <cell r="HZ518" t="str">
            <v>ISO4217:USD</v>
          </cell>
          <cell r="IA518" t="b">
            <v>0</v>
          </cell>
          <cell r="IB518" t="b">
            <v>0</v>
          </cell>
        </row>
        <row r="519">
          <cell r="C519" t="str">
            <v>Effect of foreign exchange rates on cash</v>
          </cell>
          <cell r="HX519" t="str">
            <v>mstag:effectOfForeignExchangeRatesOnCash</v>
          </cell>
          <cell r="HY519">
            <v>6</v>
          </cell>
          <cell r="HZ519" t="str">
            <v>ISO4217:USD</v>
          </cell>
          <cell r="IA519" t="b">
            <v>0</v>
          </cell>
          <cell r="IB519" t="b">
            <v>0</v>
          </cell>
        </row>
        <row r="520">
          <cell r="B520" t="str">
            <v>Changes in shareholders equity</v>
          </cell>
          <cell r="HY520">
            <v>0</v>
          </cell>
          <cell r="HZ520" t="str">
            <v>ms_eqr_gcim_String:ms_eqr_gcim_string</v>
          </cell>
          <cell r="IA520" t="b">
            <v>0</v>
          </cell>
          <cell r="IB520" t="b">
            <v>0</v>
          </cell>
        </row>
        <row r="521">
          <cell r="C521" t="str">
            <v>Common dividends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HX521" t="str">
            <v>mstag:commonDividends</v>
          </cell>
          <cell r="HY521">
            <v>6</v>
          </cell>
          <cell r="HZ521" t="str">
            <v>ISO4217:USD</v>
          </cell>
          <cell r="IA521" t="b">
            <v>0</v>
          </cell>
          <cell r="IB521" t="b">
            <v>0</v>
          </cell>
        </row>
        <row r="522">
          <cell r="C522" t="str">
            <v>Common dividends attributable to current-period earnings</v>
          </cell>
          <cell r="HX522" t="str">
            <v>mstag:commonDividendsAttributableToCurrentPeriodEarnings</v>
          </cell>
          <cell r="HY522">
            <v>6</v>
          </cell>
          <cell r="HZ522" t="str">
            <v>ISO4217:USD</v>
          </cell>
          <cell r="IA522" t="b">
            <v>0</v>
          </cell>
          <cell r="IB522" t="b">
            <v>0</v>
          </cell>
        </row>
        <row r="523">
          <cell r="C523" t="str">
            <v>Net issuance (repurchase) of common stock</v>
          </cell>
          <cell r="G523">
            <v>101.239</v>
          </cell>
          <cell r="H523">
            <v>125.28</v>
          </cell>
          <cell r="I523">
            <v>3883.2519999999995</v>
          </cell>
          <cell r="J523">
            <v>406.46800000000002</v>
          </cell>
          <cell r="K523">
            <v>115.27599999999998</v>
          </cell>
          <cell r="L523">
            <v>-601.64199999999994</v>
          </cell>
          <cell r="M523">
            <v>590.29999999999995</v>
          </cell>
          <cell r="HX523" t="str">
            <v>mstag:netIssuanceRepurchaseOfCommonStock</v>
          </cell>
          <cell r="HY523">
            <v>6</v>
          </cell>
          <cell r="HZ523" t="str">
            <v>ISO4217:USD</v>
          </cell>
          <cell r="IA523" t="b">
            <v>0</v>
          </cell>
          <cell r="IB523" t="b">
            <v>0</v>
          </cell>
        </row>
        <row r="524">
          <cell r="D524" t="str">
            <v>Issuance of common stock</v>
          </cell>
          <cell r="G524">
            <v>101.239</v>
          </cell>
          <cell r="H524">
            <v>125.28</v>
          </cell>
          <cell r="I524">
            <v>3883.2519999999995</v>
          </cell>
          <cell r="J524">
            <v>406.46800000000002</v>
          </cell>
          <cell r="K524">
            <v>154.97999999999999</v>
          </cell>
          <cell r="L524">
            <v>91.11</v>
          </cell>
          <cell r="M524" t="str">
            <v/>
          </cell>
          <cell r="HX524" t="str">
            <v>mstag:issuanceOfCommonStock</v>
          </cell>
          <cell r="HY524">
            <v>6</v>
          </cell>
          <cell r="HZ524" t="str">
            <v>ISO4217:USD</v>
          </cell>
          <cell r="IA524" t="b">
            <v>0</v>
          </cell>
          <cell r="IB524" t="b">
            <v>0</v>
          </cell>
        </row>
        <row r="525">
          <cell r="E525" t="str">
            <v>Share issuance related to employee stock purchase and option plans</v>
          </cell>
          <cell r="G525">
            <v>87.259</v>
          </cell>
          <cell r="H525">
            <v>107.94800000000001</v>
          </cell>
          <cell r="I525">
            <v>160.54500000000002</v>
          </cell>
          <cell r="J525">
            <v>180.39500000000001</v>
          </cell>
          <cell r="K525">
            <v>106.866</v>
          </cell>
          <cell r="L525">
            <v>74.164000000000001</v>
          </cell>
          <cell r="HX525" t="str">
            <v>mstag:shareIssuanceRelatedToEmployeeStockPurchaseAndOptionPlans</v>
          </cell>
          <cell r="HY525">
            <v>6</v>
          </cell>
          <cell r="HZ525" t="str">
            <v>ISO4217:USD</v>
          </cell>
          <cell r="IA525" t="b">
            <v>0</v>
          </cell>
          <cell r="IB525" t="b">
            <v>0</v>
          </cell>
        </row>
        <row r="526">
          <cell r="E526" t="str">
            <v>Other share issuance</v>
          </cell>
          <cell r="HX526" t="str">
            <v>mstag:otherShareIssuance</v>
          </cell>
          <cell r="HY526">
            <v>6</v>
          </cell>
          <cell r="HZ526" t="str">
            <v>ISO4217:USD</v>
          </cell>
          <cell r="IA526" t="b">
            <v>0</v>
          </cell>
          <cell r="IB526" t="b">
            <v>0</v>
          </cell>
        </row>
        <row r="527">
          <cell r="E527" t="str">
            <v>Amortization of deferred compensation expense</v>
          </cell>
          <cell r="HX527" t="str">
            <v>mstag:amortizationOfDeferredCompensationExpense</v>
          </cell>
          <cell r="HY527">
            <v>6</v>
          </cell>
          <cell r="HZ527" t="str">
            <v>ISO4217:USD</v>
          </cell>
          <cell r="IA527" t="b">
            <v>0</v>
          </cell>
          <cell r="IB527" t="b">
            <v>0</v>
          </cell>
        </row>
        <row r="528">
          <cell r="E528" t="str">
            <v>Tax benefit from exercise of employee stock options</v>
          </cell>
          <cell r="G528">
            <v>13.98</v>
          </cell>
          <cell r="H528">
            <v>17.332000000000001</v>
          </cell>
          <cell r="I528">
            <v>82.987000000000009</v>
          </cell>
          <cell r="J528">
            <v>226.07300000000001</v>
          </cell>
          <cell r="K528">
            <v>48.113999999999997</v>
          </cell>
          <cell r="L528">
            <v>16.946000000000002</v>
          </cell>
          <cell r="HX528" t="str">
            <v>mstag:taxBenefitFromExerciseOfEsos</v>
          </cell>
          <cell r="HY528">
            <v>6</v>
          </cell>
          <cell r="HZ528" t="str">
            <v>ISO4217:USD</v>
          </cell>
          <cell r="IA528" t="b">
            <v>0</v>
          </cell>
          <cell r="IB528" t="b">
            <v>0</v>
          </cell>
        </row>
        <row r="529">
          <cell r="E529" t="str">
            <v>Other changes in share capital</v>
          </cell>
          <cell r="G529">
            <v>0</v>
          </cell>
          <cell r="H529">
            <v>0</v>
          </cell>
          <cell r="I529">
            <v>3639.7199999999993</v>
          </cell>
          <cell r="J529">
            <v>0</v>
          </cell>
          <cell r="K529">
            <v>0</v>
          </cell>
          <cell r="L529">
            <v>0</v>
          </cell>
          <cell r="HX529" t="str">
            <v>mstag:otherChangesInShareCapital</v>
          </cell>
          <cell r="HY529">
            <v>6</v>
          </cell>
          <cell r="HZ529" t="str">
            <v>ISO4217:USD</v>
          </cell>
          <cell r="IA529" t="b">
            <v>0</v>
          </cell>
          <cell r="IB529" t="b">
            <v>0</v>
          </cell>
        </row>
        <row r="530">
          <cell r="D530" t="str">
            <v>Repurchase of common stock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39.704000000000001</v>
          </cell>
          <cell r="L530">
            <v>692.75199999999995</v>
          </cell>
          <cell r="HX530" t="str">
            <v>mstag:repurchaseOfCommonStock</v>
          </cell>
          <cell r="HY530">
            <v>6</v>
          </cell>
          <cell r="HZ530" t="str">
            <v>ISO4217:USD</v>
          </cell>
          <cell r="IA530" t="b">
            <v>0</v>
          </cell>
          <cell r="IB530" t="b">
            <v>0</v>
          </cell>
        </row>
        <row r="531">
          <cell r="C531" t="str">
            <v>Bonus to directors and corporate auditors (Japan)</v>
          </cell>
          <cell r="HX531" t="str">
            <v>mstag:bonusToDirectorsAndCorporateAuditorsJapan</v>
          </cell>
          <cell r="HY531">
            <v>6</v>
          </cell>
          <cell r="HZ531" t="str">
            <v>ISO4217:USD</v>
          </cell>
          <cell r="IA531" t="b">
            <v>0</v>
          </cell>
          <cell r="IB531" t="b">
            <v>0</v>
          </cell>
        </row>
        <row r="532">
          <cell r="C532" t="str">
            <v>Bonus to directors and supervisors (Taiwan)</v>
          </cell>
          <cell r="HX532" t="str">
            <v>mstag:bonusToDirectorsAndSupervisorsTaiwan</v>
          </cell>
          <cell r="HY532">
            <v>6</v>
          </cell>
          <cell r="HZ532" t="str">
            <v>ISO4217:USD</v>
          </cell>
          <cell r="IA532" t="b">
            <v>0</v>
          </cell>
          <cell r="IB532" t="b">
            <v>0</v>
          </cell>
        </row>
        <row r="533">
          <cell r="C533" t="str">
            <v>Employee cash bonus (Taiwan)</v>
          </cell>
          <cell r="HX533" t="str">
            <v>mstag:employeeCashBonusTaiwan</v>
          </cell>
          <cell r="HY533">
            <v>6</v>
          </cell>
          <cell r="HZ533" t="str">
            <v>ISO4217:USD</v>
          </cell>
          <cell r="IA533" t="b">
            <v>0</v>
          </cell>
          <cell r="IB533" t="b">
            <v>0</v>
          </cell>
        </row>
        <row r="534">
          <cell r="C534" t="str">
            <v>Employee stock bonus (Taiwan)</v>
          </cell>
          <cell r="HX534" t="str">
            <v>mstag:employeeStockBonusTaiwan</v>
          </cell>
          <cell r="HY534">
            <v>6</v>
          </cell>
          <cell r="HZ534" t="str">
            <v>ISO4217:USD</v>
          </cell>
          <cell r="IA534" t="b">
            <v>0</v>
          </cell>
          <cell r="IB534" t="b">
            <v>0</v>
          </cell>
        </row>
        <row r="535">
          <cell r="C535" t="str">
            <v>Change in accumulated other comprehensive income (loss) or other reserves</v>
          </cell>
          <cell r="G535">
            <v>-0.11700000000000001</v>
          </cell>
          <cell r="H535">
            <v>5.431</v>
          </cell>
          <cell r="I535">
            <v>200.23600000000002</v>
          </cell>
          <cell r="J535">
            <v>72.119</v>
          </cell>
          <cell r="K535">
            <v>-19.896000000000001</v>
          </cell>
          <cell r="L535">
            <v>-43.08</v>
          </cell>
          <cell r="M535">
            <v>28.549801041422199</v>
          </cell>
          <cell r="HX535" t="str">
            <v>mstag:changeInAccumulatedOtherComprehensiveIncomeLossOrOtherReserves</v>
          </cell>
          <cell r="HY535">
            <v>6</v>
          </cell>
          <cell r="HZ535" t="str">
            <v>ISO4217:USD</v>
          </cell>
          <cell r="IA535" t="b">
            <v>0</v>
          </cell>
          <cell r="IB535" t="b">
            <v>0</v>
          </cell>
        </row>
        <row r="536">
          <cell r="D536" t="str">
            <v>Change in unrealized gains (losses) on AFS securities</v>
          </cell>
          <cell r="G536">
            <v>-0.11700000000000001</v>
          </cell>
          <cell r="H536">
            <v>5.431</v>
          </cell>
          <cell r="I536">
            <v>220.57300000000001</v>
          </cell>
          <cell r="J536">
            <v>72.119</v>
          </cell>
          <cell r="K536">
            <v>-27.741</v>
          </cell>
          <cell r="L536">
            <v>-38.777999999999999</v>
          </cell>
          <cell r="HX536" t="str">
            <v>mstag:changeInUnrealizedGainsLossesOnAfsSecurities</v>
          </cell>
          <cell r="HY536">
            <v>6</v>
          </cell>
          <cell r="HZ536" t="str">
            <v>ISO4217:USD</v>
          </cell>
          <cell r="IA536" t="b">
            <v>0</v>
          </cell>
          <cell r="IB536" t="b">
            <v>0</v>
          </cell>
        </row>
        <row r="537">
          <cell r="D537" t="str">
            <v>Change in foreign currency translation</v>
          </cell>
          <cell r="HX537" t="str">
            <v>mstag:changeInForeignCurrencyTranslation</v>
          </cell>
          <cell r="HY537">
            <v>6</v>
          </cell>
          <cell r="HZ537" t="str">
            <v>ISO4217:USD</v>
          </cell>
          <cell r="IA537" t="b">
            <v>0</v>
          </cell>
          <cell r="IB537" t="b">
            <v>0</v>
          </cell>
        </row>
        <row r="538">
          <cell r="D538" t="str">
            <v>Change in minimum pension liability</v>
          </cell>
          <cell r="HX538" t="str">
            <v>mstag:changeInMinimumPensionLiability</v>
          </cell>
          <cell r="HY538">
            <v>6</v>
          </cell>
          <cell r="HZ538" t="str">
            <v>ISO4217:USD</v>
          </cell>
          <cell r="IA538" t="b">
            <v>0</v>
          </cell>
          <cell r="IB538" t="b">
            <v>0</v>
          </cell>
        </row>
        <row r="539">
          <cell r="D539" t="str">
            <v>Change in cash flow hedges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7.8449999999999998</v>
          </cell>
          <cell r="L539">
            <v>-4.3019999999999996</v>
          </cell>
          <cell r="HX539" t="str">
            <v>mstag:changeInCashFlowHedges</v>
          </cell>
          <cell r="HY539">
            <v>6</v>
          </cell>
          <cell r="HZ539" t="str">
            <v>ISO4217:USD</v>
          </cell>
          <cell r="IA539" t="b">
            <v>0</v>
          </cell>
          <cell r="IB539" t="b">
            <v>0</v>
          </cell>
        </row>
        <row r="540">
          <cell r="D540" t="str">
            <v>Other change in accumulated other comprehensive income (loss)</v>
          </cell>
          <cell r="G540">
            <v>0</v>
          </cell>
          <cell r="H540">
            <v>0</v>
          </cell>
          <cell r="I540">
            <v>-20.337</v>
          </cell>
          <cell r="J540">
            <v>0</v>
          </cell>
          <cell r="K540">
            <v>0</v>
          </cell>
          <cell r="L540">
            <v>0</v>
          </cell>
          <cell r="HX540" t="str">
            <v>mstag:otherChangeInAccumulatedOtherComprehensiveIncomeLoss</v>
          </cell>
          <cell r="HY540">
            <v>6</v>
          </cell>
          <cell r="HZ540" t="str">
            <v>ISO4217:USD</v>
          </cell>
          <cell r="IA540" t="b">
            <v>0</v>
          </cell>
          <cell r="IB540" t="b">
            <v>0</v>
          </cell>
        </row>
        <row r="541">
          <cell r="D541" t="str">
            <v>Change in revaluation reserves</v>
          </cell>
          <cell r="HX541" t="str">
            <v>mstag:changeInRevaluationReserves</v>
          </cell>
          <cell r="HY541">
            <v>6</v>
          </cell>
          <cell r="HZ541" t="str">
            <v>ISO4217:USD</v>
          </cell>
          <cell r="IA541" t="b">
            <v>0</v>
          </cell>
          <cell r="IB541" t="b">
            <v>0</v>
          </cell>
        </row>
        <row r="542">
          <cell r="D542" t="str">
            <v>Change in unearned compensation reserve</v>
          </cell>
          <cell r="HX542" t="str">
            <v>mstag:changeInUnearnedCompensationReserve</v>
          </cell>
          <cell r="HY542">
            <v>6</v>
          </cell>
          <cell r="HZ542" t="str">
            <v>ISO4217:USD</v>
          </cell>
          <cell r="IA542" t="b">
            <v>0</v>
          </cell>
          <cell r="IB542" t="b">
            <v>0</v>
          </cell>
        </row>
        <row r="543">
          <cell r="B543" t="str">
            <v>Operating metrics</v>
          </cell>
          <cell r="HY543">
            <v>0</v>
          </cell>
          <cell r="HZ543" t="str">
            <v>ms_eqr_gcim_String:ms_eqr_gcim_string</v>
          </cell>
          <cell r="IA543" t="b">
            <v>0</v>
          </cell>
          <cell r="IB543" t="b">
            <v>0</v>
          </cell>
        </row>
        <row r="544">
          <cell r="C544" t="str">
            <v>Cumulative unrecognized gain (loss) on other investments, gross of tax, operating</v>
          </cell>
          <cell r="HX544" t="str">
            <v>mstag:cumulativeUnrealizedGainLossOnOtherInvestmentsGrossOfTaxOperating</v>
          </cell>
          <cell r="HY544">
            <v>6</v>
          </cell>
          <cell r="HZ544" t="str">
            <v>ISO4217:USD</v>
          </cell>
          <cell r="IA544" t="b">
            <v>0</v>
          </cell>
          <cell r="IB544" t="b">
            <v>0</v>
          </cell>
        </row>
        <row r="545">
          <cell r="C545" t="str">
            <v>Cumulative unrecognized gain (loss) on other investments, gross of tax, nonoperating</v>
          </cell>
          <cell r="HX545" t="str">
            <v>mstag:cumulativeUnrealizedGainLossOnOtherInvestmentsGrossOfTaxNonOperating</v>
          </cell>
          <cell r="HY545">
            <v>6</v>
          </cell>
          <cell r="HZ545" t="str">
            <v>ISO4217:USD</v>
          </cell>
          <cell r="IA545" t="b">
            <v>0</v>
          </cell>
          <cell r="IB545" t="b">
            <v>0</v>
          </cell>
        </row>
        <row r="546">
          <cell r="C546" t="str">
            <v>Current period unrecognized gain (loss) on other investments, gross of tax, operating</v>
          </cell>
          <cell r="G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  <cell r="HX546" t="str">
            <v>mstag:unrealizedGainLossOnOtherInvestmentsGrossOfTaxOperating</v>
          </cell>
          <cell r="HY546">
            <v>6</v>
          </cell>
          <cell r="HZ546" t="str">
            <v>ISO4217:USD</v>
          </cell>
          <cell r="IA546" t="b">
            <v>0</v>
          </cell>
          <cell r="IB546" t="b">
            <v>0</v>
          </cell>
        </row>
        <row r="547">
          <cell r="D547" t="str">
            <v>Current period unrecognized gain (loss) on other investments, gross of tax, operating, recurring</v>
          </cell>
          <cell r="HX547" t="str">
            <v>mstag:currentPeriodUnrecognizedGainLossOnOtherInvestmentsGrossOfTaxOperatingRecurring</v>
          </cell>
          <cell r="HY547">
            <v>6</v>
          </cell>
          <cell r="HZ547" t="str">
            <v>ISO4217:USD</v>
          </cell>
          <cell r="IA547" t="b">
            <v>0</v>
          </cell>
          <cell r="IB547" t="b">
            <v>0</v>
          </cell>
        </row>
        <row r="548">
          <cell r="D548" t="str">
            <v>Current period unrecognized gain (loss) on other investments, gross of tax, operating, one time</v>
          </cell>
          <cell r="HX548" t="str">
            <v>mstag:currentPeriodUnrecognizedGainLossOnOtherInvestmentsGrossOfTaxOperatingOneTime</v>
          </cell>
          <cell r="HY548">
            <v>6</v>
          </cell>
          <cell r="HZ548" t="str">
            <v>ISO4217:USD</v>
          </cell>
          <cell r="IA548" t="b">
            <v>0</v>
          </cell>
          <cell r="IB548" t="b">
            <v>0</v>
          </cell>
        </row>
        <row r="549">
          <cell r="C549" t="str">
            <v>Current period unrecognized gain (loss) on other investments, gross of tax, nonoperating</v>
          </cell>
          <cell r="G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  <cell r="HX549" t="str">
            <v>mstag:unrealizedGainLossOnOtherInvestmentsGrossOfTaxNonOperating</v>
          </cell>
          <cell r="HY549">
            <v>6</v>
          </cell>
          <cell r="HZ549" t="str">
            <v>ISO4217:USD</v>
          </cell>
          <cell r="IA549" t="b">
            <v>0</v>
          </cell>
          <cell r="IB549" t="b">
            <v>0</v>
          </cell>
        </row>
        <row r="550">
          <cell r="D550" t="str">
            <v>Current period unrecognized gain (loss) on other investments, gross of tax, nonoperating, recurring</v>
          </cell>
          <cell r="HX550" t="str">
            <v>mstag:currentPeriodUnrecognizedGainLossOnOtherInvestmentsGrossOfTaxNonOperatingRecurring</v>
          </cell>
          <cell r="HY550">
            <v>6</v>
          </cell>
          <cell r="HZ550" t="str">
            <v>ISO4217:USD</v>
          </cell>
          <cell r="IA550" t="b">
            <v>0</v>
          </cell>
          <cell r="IB550" t="b">
            <v>0</v>
          </cell>
        </row>
        <row r="551">
          <cell r="D551" t="str">
            <v>Current period unrecognized gain (loss) on other investments, gross of tax, nonoperating, one time</v>
          </cell>
          <cell r="HX551" t="str">
            <v>mstag:currentPeriodUnrecognizedGainLossOnOtherInvestmentsGrossOfTaxNonOperatingOneTime</v>
          </cell>
          <cell r="HY551">
            <v>6</v>
          </cell>
          <cell r="HZ551" t="str">
            <v>ISO4217:USD</v>
          </cell>
          <cell r="IA551" t="b">
            <v>0</v>
          </cell>
          <cell r="IB551" t="b">
            <v>0</v>
          </cell>
        </row>
        <row r="552">
          <cell r="C552" t="str">
            <v>Distribution metrics</v>
          </cell>
          <cell r="HY552">
            <v>0</v>
          </cell>
          <cell r="HZ552" t="str">
            <v>ms_eqr_gcim_String:ms_eqr_gcim_string</v>
          </cell>
          <cell r="IA552" t="b">
            <v>0</v>
          </cell>
          <cell r="IB552" t="b">
            <v>0</v>
          </cell>
        </row>
        <row r="553">
          <cell r="D553" t="str">
            <v>Number of gas customers, average</v>
          </cell>
          <cell r="HX553" t="str">
            <v>mstag:numberOfGasCustomersAverage</v>
          </cell>
          <cell r="HY553">
            <v>6</v>
          </cell>
          <cell r="HZ553" t="str">
            <v>ms_eqr_gcim_Decimal:ms_eqr_gcim_decimal</v>
          </cell>
          <cell r="IA553" t="b">
            <v>0</v>
          </cell>
          <cell r="IB553" t="b">
            <v>0</v>
          </cell>
        </row>
        <row r="554">
          <cell r="D554" t="str">
            <v>Number of gas customers, end of period</v>
          </cell>
          <cell r="HX554" t="str">
            <v>mstag:numberOfGasCustomersEndOfPeriod</v>
          </cell>
          <cell r="HY554">
            <v>6</v>
          </cell>
          <cell r="HZ554" t="str">
            <v>ms_eqr_gcim_Decimal:ms_eqr_gcim_decimal</v>
          </cell>
          <cell r="IA554" t="b">
            <v>0</v>
          </cell>
          <cell r="IB554" t="b">
            <v>0</v>
          </cell>
        </row>
        <row r="555">
          <cell r="C555" t="str">
            <v>Heating degree days</v>
          </cell>
          <cell r="HX555" t="str">
            <v>mstag:heatingDegreeDays</v>
          </cell>
          <cell r="HY555">
            <v>6</v>
          </cell>
          <cell r="HZ555" t="str">
            <v>ms_eqr_gcim_Decimal:ms_eqr_gcim_decimal</v>
          </cell>
          <cell r="IA555" t="b">
            <v>0</v>
          </cell>
          <cell r="IB555" t="b">
            <v>0</v>
          </cell>
        </row>
        <row r="556">
          <cell r="C556" t="str">
            <v>Revenue concentration metrics</v>
          </cell>
          <cell r="HY556">
            <v>0</v>
          </cell>
          <cell r="HZ556" t="str">
            <v>ms_eqr_gcim_String:ms_eqr_gcim_string</v>
          </cell>
          <cell r="IA556" t="b">
            <v>0</v>
          </cell>
          <cell r="IB556" t="b">
            <v>0</v>
          </cell>
        </row>
        <row r="557">
          <cell r="D557" t="str">
            <v>Top 3 drugs as percent of total sales</v>
          </cell>
          <cell r="G557">
            <v>0.39169088733116775</v>
          </cell>
          <cell r="H557">
            <v>0.56714962385065482</v>
          </cell>
          <cell r="I557">
            <v>0.66307381387739395</v>
          </cell>
          <cell r="J557">
            <v>0.74051474614722679</v>
          </cell>
          <cell r="K557">
            <v>0.81215216019278214</v>
          </cell>
          <cell r="L557">
            <v>0.85288408208541333</v>
          </cell>
          <cell r="HX557" t="str">
            <v>mstag:top3DrugsAsPercentOfTotalSales</v>
          </cell>
          <cell r="HY557">
            <v>0</v>
          </cell>
          <cell r="HZ557" t="str">
            <v>ms_eqr_gcim_Decimal:ms_eqr_gcim_decimal</v>
          </cell>
          <cell r="IA557" t="b">
            <v>0</v>
          </cell>
          <cell r="IB557" t="b">
            <v>0</v>
          </cell>
        </row>
        <row r="558">
          <cell r="D558" t="str">
            <v>Top 10 drugs as percent of total sales</v>
          </cell>
          <cell r="HX558" t="str">
            <v>mstag:top10DrugsAsPercentOfTotalSales</v>
          </cell>
          <cell r="HY558">
            <v>0</v>
          </cell>
          <cell r="HZ558" t="str">
            <v>ms_eqr_gcim_Decimal:ms_eqr_gcim_decimal</v>
          </cell>
          <cell r="IA558" t="b">
            <v>0</v>
          </cell>
          <cell r="IB558" t="b">
            <v>0</v>
          </cell>
        </row>
        <row r="559">
          <cell r="D559" t="str">
            <v>Generic products as percent of total sales</v>
          </cell>
          <cell r="HX559" t="str">
            <v>mstag:genericProductsAsPercentOfTotalSales</v>
          </cell>
          <cell r="HY559">
            <v>0</v>
          </cell>
          <cell r="HZ559" t="str">
            <v>ms_eqr_gcim_Decimal:ms_eqr_gcim_decimal</v>
          </cell>
          <cell r="IA559" t="b">
            <v>0</v>
          </cell>
          <cell r="IB559" t="b">
            <v>0</v>
          </cell>
        </row>
        <row r="560">
          <cell r="D560" t="str">
            <v>Nongeneric (patented) products as percent of total sales</v>
          </cell>
          <cell r="HX560" t="str">
            <v>mstag:nonGenericPatentedProductsAsPercentOfTotalSales</v>
          </cell>
          <cell r="HY560">
            <v>0</v>
          </cell>
          <cell r="HZ560" t="str">
            <v>ms_eqr_gcim_Decimal:ms_eqr_gcim_decimal</v>
          </cell>
          <cell r="IA560" t="b">
            <v>0</v>
          </cell>
          <cell r="IB560" t="b">
            <v>0</v>
          </cell>
        </row>
        <row r="561">
          <cell r="D561" t="str">
            <v>Hospital products as percent of total sales</v>
          </cell>
          <cell r="HX561" t="str">
            <v>mstag:hospitalProductsAsPercentOfTotalSales</v>
          </cell>
          <cell r="HY561">
            <v>0</v>
          </cell>
          <cell r="HZ561" t="str">
            <v>ms_eqr_gcim_Decimal:ms_eqr_gcim_decimal</v>
          </cell>
          <cell r="IA561" t="b">
            <v>0</v>
          </cell>
          <cell r="IB561" t="b">
            <v>0</v>
          </cell>
        </row>
        <row r="562">
          <cell r="D562" t="str">
            <v>Primary care products as percent of total sales</v>
          </cell>
          <cell r="HX562" t="str">
            <v>mstag:primaryCareProductsAsPercentOfTotalSales</v>
          </cell>
          <cell r="HY562">
            <v>0</v>
          </cell>
          <cell r="HZ562" t="str">
            <v>ms_eqr_gcim_Decimal:ms_eqr_gcim_decimal</v>
          </cell>
          <cell r="IA562" t="b">
            <v>0</v>
          </cell>
          <cell r="IB562" t="b">
            <v>0</v>
          </cell>
        </row>
        <row r="563">
          <cell r="D563" t="str">
            <v>Pills/tablets/capsules as percent of total sales</v>
          </cell>
          <cell r="HX563" t="str">
            <v>mstag:pillstabletscapsulesAsPercentOfTotalSales</v>
          </cell>
          <cell r="HY563">
            <v>0</v>
          </cell>
          <cell r="HZ563" t="str">
            <v>ms_eqr_gcim_Decimal:ms_eqr_gcim_decimal</v>
          </cell>
          <cell r="IA563" t="b">
            <v>0</v>
          </cell>
          <cell r="IB563" t="b">
            <v>0</v>
          </cell>
        </row>
        <row r="564">
          <cell r="D564" t="str">
            <v>Biological products as percent of total sales</v>
          </cell>
          <cell r="HX564" t="str">
            <v>mstag:biologicalProductsAsPercentOfTotalSales</v>
          </cell>
          <cell r="HY564">
            <v>0</v>
          </cell>
          <cell r="HZ564" t="str">
            <v>ms_eqr_gcim_Decimal:ms_eqr_gcim_decimal</v>
          </cell>
          <cell r="IA564" t="b">
            <v>0</v>
          </cell>
          <cell r="IB564" t="b">
            <v>0</v>
          </cell>
        </row>
        <row r="565">
          <cell r="D565" t="str">
            <v>Chemical products as percent of total sales</v>
          </cell>
          <cell r="HX565" t="str">
            <v>mstag:chemicalProductsAsPercentOfTotalSales</v>
          </cell>
          <cell r="HY565">
            <v>0</v>
          </cell>
          <cell r="HZ565" t="str">
            <v>ms_eqr_gcim_Decimal:ms_eqr_gcim_decimal</v>
          </cell>
          <cell r="IA565" t="b">
            <v>0</v>
          </cell>
          <cell r="IB565" t="b">
            <v>0</v>
          </cell>
        </row>
        <row r="566">
          <cell r="D566" t="str">
            <v>Other products as a percent of total sales</v>
          </cell>
          <cell r="HX566" t="str">
            <v>mstag:otherProductsAsAPercentOfTotalSales</v>
          </cell>
          <cell r="HY566">
            <v>0</v>
          </cell>
          <cell r="HZ566" t="str">
            <v>ms_eqr_gcim_Decimal:ms_eqr_gcim_decimal</v>
          </cell>
          <cell r="IA566" t="b">
            <v>0</v>
          </cell>
          <cell r="IB566" t="b">
            <v>0</v>
          </cell>
        </row>
        <row r="567">
          <cell r="C567" t="str">
            <v>Pipeline segmentation</v>
          </cell>
          <cell r="HY567">
            <v>0</v>
          </cell>
          <cell r="HZ567" t="str">
            <v>ms_eqr_gcim_String:ms_eqr_gcim_string</v>
          </cell>
          <cell r="IA567" t="b">
            <v>0</v>
          </cell>
          <cell r="IB567" t="b">
            <v>0</v>
          </cell>
        </row>
        <row r="568">
          <cell r="D568" t="str">
            <v>Total number of drugs in Phase 1 trials</v>
          </cell>
          <cell r="G568">
            <v>2</v>
          </cell>
          <cell r="H568">
            <v>1</v>
          </cell>
          <cell r="I568">
            <v>1</v>
          </cell>
          <cell r="J568">
            <v>4</v>
          </cell>
          <cell r="K568">
            <v>1</v>
          </cell>
          <cell r="L568">
            <v>0</v>
          </cell>
          <cell r="HX568" t="str">
            <v>mstag:totalNumberOfDrugsInPhase1Trials</v>
          </cell>
          <cell r="HY568">
            <v>0</v>
          </cell>
          <cell r="HZ568" t="str">
            <v>ms_eqr_gcim_Decimal:ms_eqr_gcim_decimal</v>
          </cell>
          <cell r="IA568" t="b">
            <v>0</v>
          </cell>
          <cell r="IB568" t="b">
            <v>0</v>
          </cell>
        </row>
        <row r="569">
          <cell r="D569" t="str">
            <v>Total number of drugs in Phase 2 trials</v>
          </cell>
          <cell r="G569">
            <v>5</v>
          </cell>
          <cell r="H569">
            <v>7</v>
          </cell>
          <cell r="I569">
            <v>5</v>
          </cell>
          <cell r="J569">
            <v>4</v>
          </cell>
          <cell r="K569">
            <v>3</v>
          </cell>
          <cell r="L569">
            <v>2</v>
          </cell>
          <cell r="HX569" t="str">
            <v>mstag:totalNumberOfDrugsInPhase2Trials</v>
          </cell>
          <cell r="HY569">
            <v>0</v>
          </cell>
          <cell r="HZ569" t="str">
            <v>ms_eqr_gcim_Decimal:ms_eqr_gcim_decimal</v>
          </cell>
          <cell r="IA569" t="b">
            <v>0</v>
          </cell>
          <cell r="IB569" t="b">
            <v>0</v>
          </cell>
        </row>
        <row r="570">
          <cell r="D570" t="str">
            <v>Total number of drugs in Phase 3 trials</v>
          </cell>
          <cell r="G570">
            <v>9</v>
          </cell>
          <cell r="H570">
            <v>7</v>
          </cell>
          <cell r="I570">
            <v>5</v>
          </cell>
          <cell r="J570">
            <v>8</v>
          </cell>
          <cell r="K570">
            <v>6</v>
          </cell>
          <cell r="L570">
            <v>5</v>
          </cell>
          <cell r="HX570" t="str">
            <v>mstag:totalNumberOfDrugsInPhase3Trials</v>
          </cell>
          <cell r="HY570">
            <v>0</v>
          </cell>
          <cell r="HZ570" t="str">
            <v>ms_eqr_gcim_Decimal:ms_eqr_gcim_decimal</v>
          </cell>
          <cell r="IA570" t="b">
            <v>0</v>
          </cell>
          <cell r="IB570" t="b">
            <v>0</v>
          </cell>
        </row>
        <row r="571">
          <cell r="D571" t="str">
            <v>Total number of drugs in Phase 2 or 3 trials</v>
          </cell>
          <cell r="G571">
            <v>7</v>
          </cell>
          <cell r="H571">
            <v>8</v>
          </cell>
          <cell r="I571">
            <v>6</v>
          </cell>
          <cell r="J571">
            <v>8</v>
          </cell>
          <cell r="K571">
            <v>4</v>
          </cell>
          <cell r="L571">
            <v>2</v>
          </cell>
          <cell r="HX571" t="str">
            <v>mstag:totalNumberOfDrugsInPhase2Or3Trials</v>
          </cell>
          <cell r="HY571">
            <v>0</v>
          </cell>
          <cell r="HZ571" t="str">
            <v>ms_eqr_gcim_Decimal:ms_eqr_gcim_decimal</v>
          </cell>
          <cell r="IA571" t="b">
            <v>0</v>
          </cell>
          <cell r="IB571" t="b">
            <v>0</v>
          </cell>
        </row>
        <row r="572">
          <cell r="D572" t="str">
            <v>Total number of marketed products</v>
          </cell>
          <cell r="G572">
            <v>6</v>
          </cell>
          <cell r="H572">
            <v>7</v>
          </cell>
          <cell r="I572">
            <v>8</v>
          </cell>
          <cell r="J572">
            <v>9</v>
          </cell>
          <cell r="K572">
            <v>10</v>
          </cell>
          <cell r="L572">
            <v>10</v>
          </cell>
          <cell r="HX572" t="str">
            <v>mstag:totalNumberOfMarketedProducts</v>
          </cell>
          <cell r="HY572">
            <v>0</v>
          </cell>
          <cell r="HZ572" t="str">
            <v>ms_eqr_gcim_Decimal:ms_eqr_gcim_decimal</v>
          </cell>
          <cell r="IA572" t="b">
            <v>0</v>
          </cell>
          <cell r="IB572" t="b">
            <v>0</v>
          </cell>
        </row>
        <row r="573">
          <cell r="D573" t="str">
            <v>Percent Phase 2</v>
          </cell>
          <cell r="G573">
            <v>0.3125</v>
          </cell>
          <cell r="H573">
            <v>0.46666666666666667</v>
          </cell>
          <cell r="I573">
            <v>0.45454545454545453</v>
          </cell>
          <cell r="J573">
            <v>0.25</v>
          </cell>
          <cell r="K573">
            <v>0.3</v>
          </cell>
          <cell r="L573">
            <v>0.4</v>
          </cell>
          <cell r="HX573" t="str">
            <v>mstag:percentPhase2</v>
          </cell>
          <cell r="HY573">
            <v>0</v>
          </cell>
          <cell r="HZ573" t="str">
            <v>ms_eqr_gcim_Decimal:ms_eqr_gcim_decimal</v>
          </cell>
          <cell r="IA573" t="b">
            <v>0</v>
          </cell>
          <cell r="IB573" t="b">
            <v>0</v>
          </cell>
        </row>
        <row r="574">
          <cell r="D574" t="str">
            <v>Percent Phase 3</v>
          </cell>
          <cell r="G574">
            <v>0.5625</v>
          </cell>
          <cell r="H574">
            <v>0.46666666666666667</v>
          </cell>
          <cell r="I574">
            <v>0.45454545454545453</v>
          </cell>
          <cell r="J574">
            <v>0.5</v>
          </cell>
          <cell r="K574">
            <v>0.6</v>
          </cell>
          <cell r="L574">
            <v>0.7142857142857143</v>
          </cell>
          <cell r="HX574" t="str">
            <v>mstag:percentPhase3</v>
          </cell>
          <cell r="HY574">
            <v>0</v>
          </cell>
          <cell r="HZ574" t="str">
            <v>ms_eqr_gcim_Decimal:ms_eqr_gcim_decimal</v>
          </cell>
          <cell r="IA574" t="b">
            <v>0</v>
          </cell>
          <cell r="IB574" t="b">
            <v>0</v>
          </cell>
        </row>
        <row r="575">
          <cell r="C575" t="str">
            <v>Estimated net option expense if reported</v>
          </cell>
          <cell r="HX575" t="str">
            <v>mstag:estimatedNetOptionExpenseIfReported</v>
          </cell>
          <cell r="HY575">
            <v>6</v>
          </cell>
          <cell r="HZ575" t="str">
            <v>ISO4217:USD</v>
          </cell>
          <cell r="IA575" t="b">
            <v>0</v>
          </cell>
          <cell r="IB575" t="b">
            <v>0</v>
          </cell>
        </row>
        <row r="576">
          <cell r="C576" t="str">
            <v>Unrecorded goodwill from poolings, write-offs, and cumulative amortization</v>
          </cell>
          <cell r="G576">
            <v>0</v>
          </cell>
          <cell r="H576">
            <v>0</v>
          </cell>
          <cell r="I576">
            <v>690.20899999999995</v>
          </cell>
          <cell r="J576">
            <v>843.49400000000003</v>
          </cell>
          <cell r="K576">
            <v>843.49400000000003</v>
          </cell>
          <cell r="L576">
            <v>843.49400000000003</v>
          </cell>
          <cell r="M576">
            <v>843.49400000000003</v>
          </cell>
          <cell r="HX576" t="str">
            <v>mstag:unrecordedGoodwillFromPoolingAndAmortizedOrWrittenOffGoodwill</v>
          </cell>
          <cell r="HY576">
            <v>6</v>
          </cell>
          <cell r="HZ576" t="str">
            <v>ISO4217:USD</v>
          </cell>
          <cell r="IA576" t="b">
            <v>0</v>
          </cell>
          <cell r="IB576" t="b">
            <v>0</v>
          </cell>
        </row>
        <row r="577">
          <cell r="D577" t="str">
            <v>Unrecorded goodwill from poolings</v>
          </cell>
          <cell r="HX577" t="str">
            <v>mstag:unrecordedGoodwillFromPoolings</v>
          </cell>
          <cell r="HY577">
            <v>6</v>
          </cell>
          <cell r="HZ577" t="str">
            <v>ISO4217:USD</v>
          </cell>
          <cell r="IA577" t="b">
            <v>0</v>
          </cell>
          <cell r="IB577" t="b">
            <v>0</v>
          </cell>
        </row>
        <row r="578">
          <cell r="D578" t="str">
            <v>Nonimpairment write-offs</v>
          </cell>
          <cell r="HX578" t="str">
            <v>mstag:nonImpairmentWriteOffs</v>
          </cell>
          <cell r="HY578">
            <v>6</v>
          </cell>
          <cell r="HZ578" t="str">
            <v>ISO4217:USD</v>
          </cell>
          <cell r="IA578" t="b">
            <v>0</v>
          </cell>
          <cell r="IB578" t="b">
            <v>0</v>
          </cell>
        </row>
        <row r="579">
          <cell r="D579" t="str">
            <v>Cumulative goodwill impairments reported</v>
          </cell>
          <cell r="HX579" t="str">
            <v>mstag:cumulativeGoodwillImpairmentsReported</v>
          </cell>
          <cell r="HY579">
            <v>6</v>
          </cell>
          <cell r="HZ579" t="str">
            <v>ISO4217:USD</v>
          </cell>
          <cell r="IA579" t="b">
            <v>0</v>
          </cell>
          <cell r="IB579" t="b">
            <v>0</v>
          </cell>
        </row>
        <row r="580">
          <cell r="D580" t="str">
            <v>Cumulative amortization</v>
          </cell>
          <cell r="HX580" t="str">
            <v>mstag:cumulativeAmortization</v>
          </cell>
          <cell r="HY580">
            <v>6</v>
          </cell>
          <cell r="HZ580" t="str">
            <v>ISO4217:USD</v>
          </cell>
          <cell r="IA580" t="b">
            <v>0</v>
          </cell>
          <cell r="IB580" t="b">
            <v>0</v>
          </cell>
        </row>
        <row r="581">
          <cell r="C581" t="str">
            <v>Analyst estimated goodwill impairments</v>
          </cell>
          <cell r="HX581" t="str">
            <v>mstag:analystEstimatedGoodwillImpairments</v>
          </cell>
          <cell r="HY581">
            <v>6</v>
          </cell>
          <cell r="HZ581" t="str">
            <v>ISO4217:USD</v>
          </cell>
          <cell r="IA581" t="b">
            <v>0</v>
          </cell>
          <cell r="IB581" t="b">
            <v>0</v>
          </cell>
        </row>
        <row r="582">
          <cell r="C582" t="str">
            <v>Cumulative indefinite life intangible amortization and impairments reported</v>
          </cell>
          <cell r="G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  <cell r="HX582" t="str">
            <v>mstag:cumulativeIndefiniteLifeIntangibleAmortizationAndImpairmentsReported</v>
          </cell>
          <cell r="HY582">
            <v>6</v>
          </cell>
          <cell r="HZ582" t="str">
            <v>ISO4217:USD</v>
          </cell>
          <cell r="IA582" t="b">
            <v>0</v>
          </cell>
          <cell r="IB582" t="b">
            <v>0</v>
          </cell>
        </row>
        <row r="583">
          <cell r="D583" t="str">
            <v>Cumulative indefinite life intangible amortization</v>
          </cell>
          <cell r="HX583" t="str">
            <v>mstag:cumulativeIndefiniteLifeIntangibleAmortization</v>
          </cell>
          <cell r="HY583">
            <v>6</v>
          </cell>
          <cell r="HZ583" t="str">
            <v>ISO4217:USD</v>
          </cell>
          <cell r="IA583" t="b">
            <v>0</v>
          </cell>
          <cell r="IB583" t="b">
            <v>0</v>
          </cell>
        </row>
        <row r="584">
          <cell r="D584" t="str">
            <v>Cumulative indefinite life intangible impairments reported</v>
          </cell>
          <cell r="HX584" t="str">
            <v>mstag:cumulativeIndefiniteLifeIntangibleImpairmentsReported</v>
          </cell>
          <cell r="HY584">
            <v>6</v>
          </cell>
          <cell r="HZ584" t="str">
            <v>ISO4217:USD</v>
          </cell>
          <cell r="IA584" t="b">
            <v>0</v>
          </cell>
          <cell r="IB584" t="b">
            <v>0</v>
          </cell>
        </row>
        <row r="585">
          <cell r="C585" t="str">
            <v>Adjustment for cash taxes paid</v>
          </cell>
          <cell r="HX585" t="str">
            <v>mstag:adjustmentForCashTaxesPaid</v>
          </cell>
          <cell r="HY585">
            <v>6</v>
          </cell>
          <cell r="HZ585" t="str">
            <v>ISO4217:USD</v>
          </cell>
          <cell r="IA585" t="b">
            <v>0</v>
          </cell>
          <cell r="IB585" t="b">
            <v>0</v>
          </cell>
        </row>
        <row r="586">
          <cell r="C586" t="str">
            <v>Net cash used (from) one-time items</v>
          </cell>
          <cell r="HX586" t="str">
            <v>mstag:netCashUsedFromOneTimeItems</v>
          </cell>
          <cell r="HY586">
            <v>6</v>
          </cell>
          <cell r="HZ586" t="str">
            <v>ISO4217:USD</v>
          </cell>
          <cell r="IA586" t="b">
            <v>0</v>
          </cell>
          <cell r="IB586" t="b">
            <v>0</v>
          </cell>
        </row>
        <row r="587">
          <cell r="C587" t="str">
            <v>Net increase in beginning net operating assets from change in consolidation of investments</v>
          </cell>
          <cell r="HX587" t="str">
            <v>mstag:adjustmentToNetOperatingAssetsFor1stTimeConsolidationOfInvestments</v>
          </cell>
          <cell r="HY587">
            <v>6</v>
          </cell>
          <cell r="HZ587" t="str">
            <v>ISO4217:USD</v>
          </cell>
          <cell r="IA587" t="b">
            <v>0</v>
          </cell>
          <cell r="IB587" t="b">
            <v>0</v>
          </cell>
        </row>
        <row r="588">
          <cell r="C588" t="str">
            <v>Net increase in beginning net deferred tax assets (operating) from change in consolidation of investments</v>
          </cell>
          <cell r="HX588" t="str">
            <v>mstag:adjustmentToNetDeferredTaxAssetsOperatingFor1stTimeConsolidationOfInvestments</v>
          </cell>
          <cell r="HY588">
            <v>6</v>
          </cell>
          <cell r="HZ588" t="str">
            <v>ISO4217:USD</v>
          </cell>
          <cell r="IA588" t="b">
            <v>0</v>
          </cell>
          <cell r="IB588" t="b">
            <v>0</v>
          </cell>
        </row>
        <row r="589">
          <cell r="C589" t="str">
            <v>Net increase in beginning net deferred tax assets (financing) from change in consolidation of investments</v>
          </cell>
          <cell r="HX589" t="str">
            <v>mstag:adjustmentToNetDeferredTaxAssetsFinancingFor1stTimeConsolidationOfInvestments</v>
          </cell>
          <cell r="HY589">
            <v>6</v>
          </cell>
          <cell r="HZ589" t="str">
            <v>ISO4217:USD</v>
          </cell>
          <cell r="IA589" t="b">
            <v>0</v>
          </cell>
          <cell r="IB589" t="b">
            <v>0</v>
          </cell>
        </row>
        <row r="590">
          <cell r="C590" t="str">
            <v>Net increase in beginning net debt from change in consolidation of investments</v>
          </cell>
          <cell r="HX590" t="str">
            <v>mstag:adjustmentToNetDebtFor1stTimeConsolidationOfInvestments</v>
          </cell>
          <cell r="HY590">
            <v>6</v>
          </cell>
          <cell r="HZ590" t="str">
            <v>ISO4217:USD</v>
          </cell>
          <cell r="IA590" t="b">
            <v>0</v>
          </cell>
          <cell r="IB590" t="b">
            <v>0</v>
          </cell>
        </row>
        <row r="591">
          <cell r="C591" t="str">
            <v>Net decrease in beginning net operating assets from discontinued operations</v>
          </cell>
          <cell r="HX591" t="str">
            <v>mstag:adjustmentToNetOperatingAssetsForDiscontinuedOperations</v>
          </cell>
          <cell r="HY591">
            <v>6</v>
          </cell>
          <cell r="HZ591" t="str">
            <v>ISO4217:USD</v>
          </cell>
          <cell r="IA591" t="b">
            <v>0</v>
          </cell>
          <cell r="IB591" t="b">
            <v>0</v>
          </cell>
        </row>
        <row r="592">
          <cell r="C592" t="str">
            <v>Net decrease in beginning net deferred tax assets (operating) from discontinued operations</v>
          </cell>
          <cell r="HX592" t="str">
            <v>mstag:adjustmentToNetDeferredTaxAssetsOperatingForDiscontinuedOperations</v>
          </cell>
          <cell r="HY592">
            <v>6</v>
          </cell>
          <cell r="HZ592" t="str">
            <v>ISO4217:USD</v>
          </cell>
          <cell r="IA592" t="b">
            <v>0</v>
          </cell>
          <cell r="IB592" t="b">
            <v>0</v>
          </cell>
        </row>
        <row r="593">
          <cell r="C593" t="str">
            <v>Net decrease in beginning net deferred tax assets (financing) from discontinued operations</v>
          </cell>
          <cell r="HX593" t="str">
            <v>mstag:adjustmentToNetDeferredTaxAssetsFinancingForDiscontinuedOperations</v>
          </cell>
          <cell r="HY593">
            <v>6</v>
          </cell>
          <cell r="HZ593" t="str">
            <v>ISO4217:USD</v>
          </cell>
          <cell r="IA593" t="b">
            <v>0</v>
          </cell>
          <cell r="IB593" t="b">
            <v>0</v>
          </cell>
        </row>
        <row r="594">
          <cell r="C594" t="str">
            <v>Net decrease in beginning net debt from discontinued operations</v>
          </cell>
          <cell r="HX594" t="str">
            <v>mstag:adjustmentToNetDebtForDiscontinuedOperations</v>
          </cell>
          <cell r="HY594">
            <v>6</v>
          </cell>
          <cell r="HZ594" t="str">
            <v>ISO4217:USD</v>
          </cell>
          <cell r="IA594" t="b">
            <v>0</v>
          </cell>
          <cell r="IB594" t="b">
            <v>0</v>
          </cell>
        </row>
        <row r="595">
          <cell r="C595" t="str">
            <v>Risk free rate</v>
          </cell>
          <cell r="HX595" t="str">
            <v>mstag:riskFreeRate</v>
          </cell>
          <cell r="HY595">
            <v>0</v>
          </cell>
          <cell r="HZ595" t="str">
            <v>ms_eqr_gcim_Decimal:ms_eqr_gcim_decimal</v>
          </cell>
          <cell r="IA595" t="b">
            <v>0</v>
          </cell>
          <cell r="IB595" t="b">
            <v>0</v>
          </cell>
        </row>
        <row r="596">
          <cell r="C596" t="str">
            <v>Beta</v>
          </cell>
          <cell r="HX596" t="str">
            <v>mstag:beta</v>
          </cell>
          <cell r="HY596">
            <v>0</v>
          </cell>
          <cell r="HZ596" t="str">
            <v>ms_eqr_gcim_Decimal:ms_eqr_gcim_decimal</v>
          </cell>
          <cell r="IA596" t="b">
            <v>0</v>
          </cell>
          <cell r="IB596" t="b">
            <v>0</v>
          </cell>
        </row>
        <row r="597">
          <cell r="C597" t="str">
            <v>Equity risk premium</v>
          </cell>
          <cell r="HX597" t="str">
            <v>mstag:equityRiskPremium</v>
          </cell>
          <cell r="HY597">
            <v>0</v>
          </cell>
          <cell r="HZ597" t="str">
            <v>ms_eqr_gcim_Decimal:ms_eqr_gcim_decimal</v>
          </cell>
          <cell r="IA597" t="b">
            <v>0</v>
          </cell>
          <cell r="IB597" t="b">
            <v>0</v>
          </cell>
        </row>
        <row r="598">
          <cell r="C598" t="str">
            <v>Weighted average cost of capital (WACC)</v>
          </cell>
          <cell r="HX598" t="str">
            <v>mstag:weightedAverageCostOfCapitalWacc</v>
          </cell>
          <cell r="HY598">
            <v>0</v>
          </cell>
          <cell r="HZ598" t="str">
            <v>ms_eqr_gcim_Decimal:ms_eqr_gcim_decimal</v>
          </cell>
          <cell r="IA598" t="b">
            <v>0</v>
          </cell>
          <cell r="IB598" t="b">
            <v>0</v>
          </cell>
        </row>
        <row r="599">
          <cell r="C599" t="str">
            <v>Market value of investments, nonoperating</v>
          </cell>
          <cell r="HX599" t="str">
            <v>mstag:marketValueOfInvestmentsNonOperating</v>
          </cell>
          <cell r="HY599">
            <v>6</v>
          </cell>
          <cell r="HZ599" t="str">
            <v>ISO4217:USD</v>
          </cell>
          <cell r="IA599" t="b">
            <v>0</v>
          </cell>
          <cell r="IB599" t="b">
            <v>0</v>
          </cell>
        </row>
        <row r="600">
          <cell r="C600" t="str">
            <v>Market value of short- and long-term debt</v>
          </cell>
          <cell r="G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  <cell r="HX600" t="str">
            <v>mstag:marketValueOfShortAndLongTermDebt</v>
          </cell>
          <cell r="HY600">
            <v>6</v>
          </cell>
          <cell r="HZ600" t="str">
            <v>ISO4217:USD</v>
          </cell>
          <cell r="IA600" t="b">
            <v>0</v>
          </cell>
          <cell r="IB600" t="b">
            <v>0</v>
          </cell>
        </row>
        <row r="601">
          <cell r="D601" t="str">
            <v>Market value of short-term borrowings</v>
          </cell>
          <cell r="HX601" t="str">
            <v>mstag:marketValueOfShortTermBorrowings</v>
          </cell>
          <cell r="HY601">
            <v>6</v>
          </cell>
          <cell r="HZ601" t="str">
            <v>ISO4217:USD</v>
          </cell>
          <cell r="IA601" t="b">
            <v>0</v>
          </cell>
          <cell r="IB601" t="b">
            <v>0</v>
          </cell>
        </row>
        <row r="602">
          <cell r="D602" t="str">
            <v>Market value of long-term debt</v>
          </cell>
          <cell r="HX602" t="str">
            <v>mstag:marketValueOfLongTermDebt</v>
          </cell>
          <cell r="HY602">
            <v>6</v>
          </cell>
          <cell r="HZ602" t="str">
            <v>ISO4217:USD</v>
          </cell>
          <cell r="IA602" t="b">
            <v>0</v>
          </cell>
          <cell r="IB602" t="b">
            <v>0</v>
          </cell>
        </row>
        <row r="603">
          <cell r="C603" t="str">
            <v>Market value of preferred equity</v>
          </cell>
          <cell r="HX603" t="str">
            <v>mstag:marketValueOfPreferredEquity</v>
          </cell>
          <cell r="HY603">
            <v>6</v>
          </cell>
          <cell r="HZ603" t="str">
            <v>ISO4217:USD</v>
          </cell>
          <cell r="IA603" t="b">
            <v>0</v>
          </cell>
          <cell r="IB603" t="b">
            <v>0</v>
          </cell>
        </row>
        <row r="604">
          <cell r="C604" t="str">
            <v>Market value of trust preferred securities</v>
          </cell>
          <cell r="HX604" t="str">
            <v>mstag:marketValueOfTrustPreferredSecurities</v>
          </cell>
          <cell r="HY604">
            <v>6</v>
          </cell>
          <cell r="HZ604" t="str">
            <v>ISO4217:USD</v>
          </cell>
          <cell r="IA604" t="b">
            <v>0</v>
          </cell>
          <cell r="IB604" t="b">
            <v>0</v>
          </cell>
        </row>
        <row r="605">
          <cell r="C605" t="str">
            <v>Market value of minority interests in shareholders' equity</v>
          </cell>
          <cell r="HX605" t="str">
            <v>mstag:marketValueOfMinorityInterestsInShareholdersEquity</v>
          </cell>
          <cell r="HY605">
            <v>6</v>
          </cell>
          <cell r="HZ605" t="str">
            <v>ISO4217:USD</v>
          </cell>
          <cell r="IA605" t="b">
            <v>0</v>
          </cell>
          <cell r="IB605" t="b">
            <v>0</v>
          </cell>
        </row>
        <row r="606">
          <cell r="C606" t="str">
            <v>Share of market value of associates accounted for under the equity method (operating)</v>
          </cell>
          <cell r="HX606" t="str">
            <v>mstag:shareOfMarketValueOfAssociatesAccountedForUnderTheEquityMethodOperating</v>
          </cell>
          <cell r="HY606">
            <v>6</v>
          </cell>
          <cell r="HZ606" t="str">
            <v>ISO4217:USD</v>
          </cell>
          <cell r="IA606" t="b">
            <v>0</v>
          </cell>
          <cell r="IB606" t="b">
            <v>0</v>
          </cell>
        </row>
        <row r="607">
          <cell r="C607" t="str">
            <v>Share of market value of associates accounted for under the equity method (nonoperating)</v>
          </cell>
          <cell r="HX607" t="str">
            <v>mstag:shareOfMarketValueOfAssociatesAccountedForUnderTheEquityMethodNonOperating</v>
          </cell>
          <cell r="HY607">
            <v>6</v>
          </cell>
          <cell r="HZ607" t="str">
            <v>ISO4217:USD</v>
          </cell>
          <cell r="IA607" t="b">
            <v>0</v>
          </cell>
          <cell r="IB607" t="b">
            <v>0</v>
          </cell>
        </row>
        <row r="608">
          <cell r="C608" t="str">
            <v>Equity share of market value of excluded significant investments</v>
          </cell>
          <cell r="HX608" t="str">
            <v>mstag:equityShareOfMarketValueOfExcludedSignificantInvestments</v>
          </cell>
          <cell r="HY608">
            <v>6</v>
          </cell>
          <cell r="HZ608" t="str">
            <v>ISO4217:USD</v>
          </cell>
          <cell r="IA608" t="b">
            <v>0</v>
          </cell>
          <cell r="IB608" t="b">
            <v>0</v>
          </cell>
        </row>
        <row r="609">
          <cell r="C609" t="str">
            <v>Equity share of book value of excluded significant investments</v>
          </cell>
          <cell r="HX609" t="str">
            <v>mstag:equityShareOfBookValueOfExcludedSignificantInvestments</v>
          </cell>
          <cell r="HY609">
            <v>6</v>
          </cell>
          <cell r="HZ609" t="str">
            <v>ISO4217:USD</v>
          </cell>
          <cell r="IA609" t="b">
            <v>0</v>
          </cell>
          <cell r="IB609" t="b">
            <v>0</v>
          </cell>
        </row>
        <row r="610">
          <cell r="C610" t="str">
            <v>After tax earnings from excluded significant investments</v>
          </cell>
          <cell r="HX610" t="str">
            <v>mstag:afterTaxEarningsFromExcludedSignificantInvestments</v>
          </cell>
          <cell r="HY610">
            <v>6</v>
          </cell>
          <cell r="HZ610" t="str">
            <v>ISO4217:USD</v>
          </cell>
          <cell r="IA610" t="b">
            <v>0</v>
          </cell>
          <cell r="IB610" t="b">
            <v>0</v>
          </cell>
        </row>
        <row r="611">
          <cell r="C611" t="str">
            <v>Current market value of investments, nonoperating</v>
          </cell>
          <cell r="HX611" t="str">
            <v>mstag:currentMarketValueOfInvestmentsNonOperating</v>
          </cell>
          <cell r="HY611">
            <v>6</v>
          </cell>
          <cell r="HZ611" t="str">
            <v>ISO4217:USD</v>
          </cell>
          <cell r="IA611" t="b">
            <v>0</v>
          </cell>
          <cell r="IB611" t="b">
            <v>0</v>
          </cell>
        </row>
        <row r="612">
          <cell r="C612" t="str">
            <v>Current market value of short- and long-term debt</v>
          </cell>
          <cell r="G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  <cell r="HX612" t="str">
            <v>mstag:currentMarketValueOfShortAndLongTermDebt</v>
          </cell>
          <cell r="HY612">
            <v>6</v>
          </cell>
          <cell r="HZ612" t="str">
            <v>ISO4217:USD</v>
          </cell>
          <cell r="IA612" t="b">
            <v>0</v>
          </cell>
          <cell r="IB612" t="b">
            <v>0</v>
          </cell>
        </row>
        <row r="613">
          <cell r="D613" t="str">
            <v>Current market value of short-term borrowings</v>
          </cell>
          <cell r="HX613" t="str">
            <v>mstag:currentMarketValueOfShortTermBorrowings</v>
          </cell>
          <cell r="HY613">
            <v>6</v>
          </cell>
          <cell r="HZ613" t="str">
            <v>ISO4217:USD</v>
          </cell>
          <cell r="IA613" t="b">
            <v>0</v>
          </cell>
          <cell r="IB613" t="b">
            <v>0</v>
          </cell>
        </row>
        <row r="614">
          <cell r="D614" t="str">
            <v>Current market value of long-term debt</v>
          </cell>
          <cell r="HX614" t="str">
            <v>mstag:currentMarketValueOfLongTermDebt</v>
          </cell>
          <cell r="HY614">
            <v>6</v>
          </cell>
          <cell r="HZ614" t="str">
            <v>ISO4217:USD</v>
          </cell>
          <cell r="IA614" t="b">
            <v>0</v>
          </cell>
          <cell r="IB614" t="b">
            <v>0</v>
          </cell>
        </row>
        <row r="615">
          <cell r="C615" t="str">
            <v>Current market value of preferred equity</v>
          </cell>
          <cell r="HX615" t="str">
            <v>mstag:currentMarketValueOfPreferredEquity</v>
          </cell>
          <cell r="HY615">
            <v>6</v>
          </cell>
          <cell r="HZ615" t="str">
            <v>ISO4217:USD</v>
          </cell>
          <cell r="IA615" t="b">
            <v>0</v>
          </cell>
          <cell r="IB615" t="b">
            <v>0</v>
          </cell>
        </row>
        <row r="616">
          <cell r="C616" t="str">
            <v>Current market value of trust preferred securities</v>
          </cell>
          <cell r="HX616" t="str">
            <v>mstag:currentMarketValueOfTrustPreferredSecurities</v>
          </cell>
          <cell r="HY616">
            <v>6</v>
          </cell>
          <cell r="HZ616" t="str">
            <v>ISO4217:USD</v>
          </cell>
          <cell r="IA616" t="b">
            <v>0</v>
          </cell>
          <cell r="IB616" t="b">
            <v>0</v>
          </cell>
        </row>
        <row r="617">
          <cell r="C617" t="str">
            <v>Current market value of minority interests in shareholders equity</v>
          </cell>
          <cell r="HX617" t="str">
            <v>mstag:currentMarketValueOfMinorityInterestsInShareholdersEquity</v>
          </cell>
          <cell r="HY617">
            <v>6</v>
          </cell>
          <cell r="HZ617" t="str">
            <v>ISO4217:USD</v>
          </cell>
          <cell r="IA617" t="b">
            <v>0</v>
          </cell>
          <cell r="IB617" t="b">
            <v>0</v>
          </cell>
        </row>
        <row r="618">
          <cell r="C618" t="str">
            <v>Current share of market value of associates accounted for under the equity method, operating</v>
          </cell>
          <cell r="HX618" t="str">
            <v>mstag:currentShareOfMarketValueOfAssociatesAccountedForUnderTheEquityMethodOperating</v>
          </cell>
          <cell r="HY618">
            <v>6</v>
          </cell>
          <cell r="HZ618" t="str">
            <v>ISO4217:USD</v>
          </cell>
          <cell r="IA618" t="b">
            <v>0</v>
          </cell>
          <cell r="IB618" t="b">
            <v>0</v>
          </cell>
        </row>
        <row r="619">
          <cell r="C619" t="str">
            <v>Current share of market value of associates accounted for under the equity method, nonoperating</v>
          </cell>
          <cell r="HX619" t="str">
            <v>mstag:currentShareOfMarketValueOfAssociatesAccountedForUnderTheEquityMethodNonOperating</v>
          </cell>
          <cell r="HY619">
            <v>6</v>
          </cell>
          <cell r="HZ619" t="str">
            <v>ISO4217:USD</v>
          </cell>
          <cell r="IA619" t="b">
            <v>0</v>
          </cell>
          <cell r="IB619" t="b">
            <v>0</v>
          </cell>
        </row>
        <row r="620">
          <cell r="C620" t="str">
            <v>Market value of convertible debt included in dilutive securities</v>
          </cell>
          <cell r="HX620" t="str">
            <v>mstag:convertibleDebtIncludedInDilutiveSecurities</v>
          </cell>
          <cell r="HY620">
            <v>6</v>
          </cell>
          <cell r="HZ620" t="str">
            <v>ISO4217:USD</v>
          </cell>
          <cell r="IA620" t="b">
            <v>0</v>
          </cell>
          <cell r="IB620" t="b">
            <v>0</v>
          </cell>
        </row>
        <row r="621">
          <cell r="C621" t="str">
            <v>Market value of convertible preferred equity included in dilutive securities</v>
          </cell>
          <cell r="HX621" t="str">
            <v>mstag:convertiblePreferredEquityIncludedInDilutiveSecurities</v>
          </cell>
          <cell r="HY621">
            <v>6</v>
          </cell>
          <cell r="HZ621" t="str">
            <v>ISO4217:USD</v>
          </cell>
          <cell r="IA621" t="b">
            <v>0</v>
          </cell>
          <cell r="IB621" t="b">
            <v>0</v>
          </cell>
        </row>
        <row r="622">
          <cell r="C622" t="str">
            <v>Book value of convertible debt included in dilutive securities</v>
          </cell>
          <cell r="HX622" t="str">
            <v>mstag:bookValueOfConvertibleDebtIncludedInDilutiveSecurities</v>
          </cell>
          <cell r="HY622">
            <v>6</v>
          </cell>
          <cell r="HZ622" t="str">
            <v>ISO4217:USD</v>
          </cell>
          <cell r="IA622" t="b">
            <v>0</v>
          </cell>
          <cell r="IB622" t="b">
            <v>0</v>
          </cell>
        </row>
        <row r="623">
          <cell r="C623" t="str">
            <v>Book value of convertible preferred equity included in dilutive securities</v>
          </cell>
          <cell r="HX623" t="str">
            <v>mstag:bookValueOfConvertiblePreferredEquityIncludedInDilutiveSecurities</v>
          </cell>
          <cell r="HY623">
            <v>6</v>
          </cell>
          <cell r="HZ623" t="str">
            <v>ISO4217:USD</v>
          </cell>
          <cell r="IA623" t="b">
            <v>0</v>
          </cell>
          <cell r="IB623" t="b">
            <v>0</v>
          </cell>
        </row>
        <row r="624">
          <cell r="C624" t="str">
            <v>Market value of excluded minority interests in shareholders' equity</v>
          </cell>
          <cell r="HX624" t="str">
            <v>mstag:marketValueOfExcludedMinorityInterestsInShareholdersEquity</v>
          </cell>
          <cell r="HY624">
            <v>6</v>
          </cell>
          <cell r="HZ624" t="str">
            <v>ISO4217:USD</v>
          </cell>
          <cell r="IA624" t="b">
            <v>0</v>
          </cell>
          <cell r="IB624" t="b">
            <v>0</v>
          </cell>
        </row>
        <row r="625">
          <cell r="C625" t="str">
            <v>Book value of excluded minority interests in shareholders' equity</v>
          </cell>
          <cell r="HX625" t="str">
            <v>mstag:bookValueOfExcludedMinorityInterestsInShareholdersEquity</v>
          </cell>
          <cell r="HY625">
            <v>6</v>
          </cell>
          <cell r="HZ625" t="str">
            <v>ISO4217:USD</v>
          </cell>
          <cell r="IA625" t="b">
            <v>0</v>
          </cell>
          <cell r="IB625" t="b">
            <v>0</v>
          </cell>
        </row>
        <row r="626">
          <cell r="C626" t="str">
            <v>Percentage of EBITDA attributable to entities with excluded minority interest</v>
          </cell>
          <cell r="HX626" t="str">
            <v>mstag:percentageOfEbitdaAttributableToEntitiesWithExcludedMinorityInterest</v>
          </cell>
          <cell r="HY626">
            <v>0</v>
          </cell>
          <cell r="HZ626" t="str">
            <v>ms_eqr_gcim_Decimal:ms_eqr_gcim_decimal</v>
          </cell>
          <cell r="IA626" t="b">
            <v>0</v>
          </cell>
          <cell r="IB626" t="b">
            <v>0</v>
          </cell>
        </row>
        <row r="627">
          <cell r="C627" t="str">
            <v>Minority share in entities with excluded minority interest (%)</v>
          </cell>
          <cell r="HX627" t="str">
            <v>mstag:minorityShareInEntitiesWithExcludedMinorityInterestPercent</v>
          </cell>
          <cell r="HY627">
            <v>6</v>
          </cell>
          <cell r="HZ627" t="str">
            <v>ms_eqr_gcim_Decimal:ms_eqr_gcim_decimal</v>
          </cell>
          <cell r="IA627" t="b">
            <v>0</v>
          </cell>
          <cell r="IB627" t="b">
            <v>0</v>
          </cell>
        </row>
        <row r="628">
          <cell r="C628" t="str">
            <v>Net financial obligations of entities with excluded minority interest</v>
          </cell>
          <cell r="HX628" t="str">
            <v>mstag:netFinancialObligationsOfEntitiesWithExcludedMinorityInterest</v>
          </cell>
          <cell r="HY628">
            <v>6</v>
          </cell>
          <cell r="HZ628" t="str">
            <v>ISO4217:USD</v>
          </cell>
          <cell r="IA628" t="b">
            <v>0</v>
          </cell>
          <cell r="IB628" t="b">
            <v>0</v>
          </cell>
        </row>
        <row r="629">
          <cell r="C629" t="str">
            <v>Net financial obligations of entities consolidated using the equity method included in majority EV</v>
          </cell>
          <cell r="HX629" t="str">
            <v>mstag:netFinancialObligationsOfEntitiesConsolidatedUsingTheEquityMethodIncludedInMajorityEv</v>
          </cell>
          <cell r="HY629">
            <v>6</v>
          </cell>
          <cell r="HZ629" t="str">
            <v>ISO4217:USD</v>
          </cell>
          <cell r="IA629" t="b">
            <v>0</v>
          </cell>
          <cell r="IB629" t="b">
            <v>0</v>
          </cell>
        </row>
        <row r="630">
          <cell r="C630" t="str">
            <v>Majority share of entities consolidated using the equity method included in majority EV (%)</v>
          </cell>
          <cell r="HX630" t="str">
            <v>mstag:majorityShareOfEntitiesConsolidatedUsingTheEquityMethodIncludedInMajorityEvPercent</v>
          </cell>
          <cell r="HY630">
            <v>0</v>
          </cell>
          <cell r="HZ630" t="str">
            <v>ms_eqr_gcim_Decimal:ms_eqr_gcim_decimal</v>
          </cell>
          <cell r="IA630" t="b">
            <v>0</v>
          </cell>
          <cell r="IB630" t="b">
            <v>0</v>
          </cell>
        </row>
        <row r="631">
          <cell r="C631" t="str">
            <v>EBITDA of entities consolidated using the equity method included in majority EBITDA</v>
          </cell>
          <cell r="HX631" t="str">
            <v>mstag:ebitdaOfEntitiesConsolidatedUsingTheEquityMethodIncludedInMajorityEbitda</v>
          </cell>
          <cell r="HY631">
            <v>6</v>
          </cell>
          <cell r="HZ631" t="str">
            <v>ISO4217:USD</v>
          </cell>
          <cell r="IA631" t="b">
            <v>0</v>
          </cell>
          <cell r="IB631" t="b">
            <v>0</v>
          </cell>
        </row>
        <row r="632">
          <cell r="C632" t="str">
            <v>Market value of investments accounted for using the equity method excluded from majority EV</v>
          </cell>
          <cell r="HX632" t="str">
            <v>mstag:marketValueOfInvestmentsAccountedForUsingTheEquityMethodExcludedFromMajorityEv</v>
          </cell>
          <cell r="HY632">
            <v>6</v>
          </cell>
          <cell r="HZ632" t="str">
            <v>ISO4217:USD</v>
          </cell>
          <cell r="IA632" t="b">
            <v>0</v>
          </cell>
          <cell r="IB632" t="b">
            <v>0</v>
          </cell>
        </row>
        <row r="633">
          <cell r="C633" t="str">
            <v>Book value of investments accounted for using the equity method excluded from majority EV</v>
          </cell>
          <cell r="HX633" t="str">
            <v>mstag:bookValueOfInvestmentsAccountedForUsingTheEquityMethodExcludedFromMajorityEv</v>
          </cell>
          <cell r="HY633">
            <v>6</v>
          </cell>
          <cell r="HZ633" t="str">
            <v>ISO4217:USD</v>
          </cell>
          <cell r="IA633" t="b">
            <v>0</v>
          </cell>
          <cell r="IB633" t="b">
            <v>0</v>
          </cell>
        </row>
        <row r="634">
          <cell r="C634" t="str">
            <v>Current market value of investments accounted for using the equity method excluded from majority EV</v>
          </cell>
          <cell r="HX634" t="str">
            <v>mstag:currentMarketValueOfInvestmentsAccountedForUsingTheEquityMethodExcludedFromMajorityEv</v>
          </cell>
          <cell r="HY634">
            <v>6</v>
          </cell>
          <cell r="HZ634" t="str">
            <v>ISO4217:USD</v>
          </cell>
          <cell r="IA634" t="b">
            <v>0</v>
          </cell>
          <cell r="IB634" t="b">
            <v>0</v>
          </cell>
        </row>
        <row r="635">
          <cell r="C635" t="str">
            <v>Current market value of excluded minority interests in shareholders' equity</v>
          </cell>
          <cell r="HX635" t="str">
            <v>mstag:currentMarketValueOfExcludedMinorityInterestsInShareholdersEquity</v>
          </cell>
          <cell r="HY635">
            <v>6</v>
          </cell>
          <cell r="HZ635" t="str">
            <v>ISO4217:USD</v>
          </cell>
          <cell r="IA635" t="b">
            <v>0</v>
          </cell>
          <cell r="IB635" t="b">
            <v>0</v>
          </cell>
        </row>
        <row r="636">
          <cell r="C636" t="str">
            <v>LIFO reserve</v>
          </cell>
          <cell r="HX636" t="str">
            <v>mstag:lifoReserve</v>
          </cell>
          <cell r="HY636">
            <v>6</v>
          </cell>
          <cell r="HZ636" t="str">
            <v>ISO4217:USD</v>
          </cell>
          <cell r="IA636" t="b">
            <v>0</v>
          </cell>
          <cell r="IB636" t="b">
            <v>0</v>
          </cell>
        </row>
        <row r="637">
          <cell r="C637" t="str">
            <v>Change in LIFO reserve</v>
          </cell>
          <cell r="HX637" t="str">
            <v>mstag:changeInLifoReserve</v>
          </cell>
          <cell r="HY637">
            <v>6</v>
          </cell>
          <cell r="HZ637" t="str">
            <v>ISO4217:USD</v>
          </cell>
          <cell r="IA637" t="b">
            <v>0</v>
          </cell>
          <cell r="IB637" t="b">
            <v>0</v>
          </cell>
        </row>
        <row r="638">
          <cell r="C638" t="str">
            <v>Inventory obsolescence reserve</v>
          </cell>
          <cell r="HX638" t="str">
            <v>mstag:inventoryObsolescenceReserve</v>
          </cell>
          <cell r="HY638">
            <v>6</v>
          </cell>
          <cell r="HZ638" t="str">
            <v>ISO4217:USD</v>
          </cell>
          <cell r="IA638" t="b">
            <v>0</v>
          </cell>
          <cell r="IB638" t="b">
            <v>0</v>
          </cell>
        </row>
        <row r="639">
          <cell r="C639" t="str">
            <v>Taxes</v>
          </cell>
          <cell r="HY639">
            <v>0</v>
          </cell>
          <cell r="HZ639" t="str">
            <v>ms_eqr_gcim_String:ms_eqr_gcim_string</v>
          </cell>
          <cell r="IA639" t="b">
            <v>0</v>
          </cell>
          <cell r="IB639" t="b">
            <v>0</v>
          </cell>
        </row>
        <row r="640">
          <cell r="D640" t="str">
            <v>Deferred tax assets, operating</v>
          </cell>
          <cell r="G640">
            <v>202.113</v>
          </cell>
          <cell r="H640">
            <v>221.36500000000001</v>
          </cell>
          <cell r="I640">
            <v>337.589</v>
          </cell>
          <cell r="J640">
            <v>546.26900000000001</v>
          </cell>
          <cell r="K640">
            <v>511.61599999999999</v>
          </cell>
          <cell r="L640">
            <v>683.36400000000003</v>
          </cell>
          <cell r="HX640" t="str">
            <v>mstag:deferredTaxAssetsOperating</v>
          </cell>
          <cell r="HY640">
            <v>6</v>
          </cell>
          <cell r="HZ640" t="str">
            <v>ISO4217:USD</v>
          </cell>
          <cell r="IA640" t="b">
            <v>0</v>
          </cell>
          <cell r="IB640" t="b">
            <v>0</v>
          </cell>
        </row>
        <row r="641">
          <cell r="D641" t="str">
            <v>Deferred tax assets, financing</v>
          </cell>
          <cell r="HX641" t="str">
            <v>mstag:deferredTaxAssetsFinancing</v>
          </cell>
          <cell r="HY641">
            <v>6</v>
          </cell>
          <cell r="HZ641" t="str">
            <v>ISO4217:USD</v>
          </cell>
          <cell r="IA641" t="b">
            <v>0</v>
          </cell>
          <cell r="IB641" t="b">
            <v>0</v>
          </cell>
        </row>
        <row r="642">
          <cell r="D642" t="str">
            <v>Deferred tax assets, other</v>
          </cell>
          <cell r="HX642" t="str">
            <v>mstag:deferredTaxAssetsOther</v>
          </cell>
          <cell r="HY642">
            <v>6</v>
          </cell>
          <cell r="HZ642" t="str">
            <v>ISO4217:USD</v>
          </cell>
          <cell r="IA642" t="b">
            <v>0</v>
          </cell>
          <cell r="IB642" t="b">
            <v>0</v>
          </cell>
        </row>
        <row r="643">
          <cell r="D643" t="str">
            <v>Valuation allowance in deferred taxes</v>
          </cell>
          <cell r="G643">
            <v>48.508000000000003</v>
          </cell>
          <cell r="H643">
            <v>62.844000000000001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HX643" t="str">
            <v>mstag:valuationAllowanceInDeferredTaxes</v>
          </cell>
          <cell r="HY643">
            <v>6</v>
          </cell>
          <cell r="HZ643" t="str">
            <v>ISO4217:USD</v>
          </cell>
          <cell r="IA643" t="b">
            <v>0</v>
          </cell>
          <cell r="IB643" t="b">
            <v>0</v>
          </cell>
        </row>
        <row r="644">
          <cell r="D644" t="str">
            <v>Deferred tax liabilities, operating</v>
          </cell>
          <cell r="G644">
            <v>82.396000000000001</v>
          </cell>
          <cell r="H644">
            <v>117.104</v>
          </cell>
          <cell r="I644">
            <v>882.13300000000004</v>
          </cell>
          <cell r="J644">
            <v>855.49800000000005</v>
          </cell>
          <cell r="K644">
            <v>819.85799999999995</v>
          </cell>
          <cell r="L644">
            <v>768.57899999999995</v>
          </cell>
          <cell r="HX644" t="str">
            <v>mstag:deferredTaxLiabilitiesOperating</v>
          </cell>
          <cell r="HY644">
            <v>6</v>
          </cell>
          <cell r="HZ644" t="str">
            <v>ISO4217:USD</v>
          </cell>
          <cell r="IA644" t="b">
            <v>0</v>
          </cell>
          <cell r="IB644" t="b">
            <v>0</v>
          </cell>
        </row>
        <row r="645">
          <cell r="D645" t="str">
            <v>Deferred tax liabilities, financing</v>
          </cell>
          <cell r="HX645" t="str">
            <v>mstag:deferredTaxLiabilitiesFinancing</v>
          </cell>
          <cell r="HY645">
            <v>6</v>
          </cell>
          <cell r="HZ645" t="str">
            <v>ISO4217:USD</v>
          </cell>
          <cell r="IA645" t="b">
            <v>0</v>
          </cell>
          <cell r="IB645" t="b">
            <v>0</v>
          </cell>
        </row>
        <row r="646">
          <cell r="D646" t="str">
            <v>Deferred tax liabilities, other</v>
          </cell>
          <cell r="HX646" t="str">
            <v>mstag:deferredTaxLiabilitiesOther</v>
          </cell>
          <cell r="HY646">
            <v>6</v>
          </cell>
          <cell r="HZ646" t="str">
            <v>ISO4217:USD</v>
          </cell>
          <cell r="IA646" t="b">
            <v>0</v>
          </cell>
          <cell r="IB646" t="b">
            <v>0</v>
          </cell>
        </row>
        <row r="647">
          <cell r="D647" t="str">
            <v>Cash taxes paid</v>
          </cell>
          <cell r="G647">
            <v>15.474</v>
          </cell>
          <cell r="H647">
            <v>26.189</v>
          </cell>
          <cell r="I647">
            <v>18.739999999999998</v>
          </cell>
          <cell r="J647">
            <v>-5.0049999999999999</v>
          </cell>
          <cell r="K647">
            <v>36.450000000000003</v>
          </cell>
          <cell r="L647">
            <v>128.108</v>
          </cell>
          <cell r="HX647" t="str">
            <v>mstag:cashTaxesPaid</v>
          </cell>
          <cell r="HY647">
            <v>6</v>
          </cell>
          <cell r="HZ647" t="str">
            <v>ISO4217:USD</v>
          </cell>
          <cell r="IA647" t="b">
            <v>0</v>
          </cell>
          <cell r="IB647" t="b">
            <v>0</v>
          </cell>
        </row>
        <row r="648">
          <cell r="D648" t="str">
            <v>Fair value of NOL</v>
          </cell>
          <cell r="HX648" t="str">
            <v>mstag:fairValueOfNol</v>
          </cell>
          <cell r="HY648">
            <v>6</v>
          </cell>
          <cell r="HZ648" t="str">
            <v>ISO4217:USD</v>
          </cell>
          <cell r="IA648" t="b">
            <v>0</v>
          </cell>
          <cell r="IB648" t="b">
            <v>0</v>
          </cell>
        </row>
        <row r="649">
          <cell r="D649" t="str">
            <v>Dividend tax credit (%)</v>
          </cell>
          <cell r="HX649" t="str">
            <v>mstag:dividendTaxCreditPercent</v>
          </cell>
          <cell r="HY649">
            <v>0</v>
          </cell>
          <cell r="HZ649" t="str">
            <v>ms_eqr_gcim_Decimal:ms_eqr_gcim_decimal</v>
          </cell>
          <cell r="IA649" t="b">
            <v>0</v>
          </cell>
          <cell r="IB649" t="b">
            <v>0</v>
          </cell>
        </row>
        <row r="650">
          <cell r="C650" t="str">
            <v>Dividend franking percentage</v>
          </cell>
          <cell r="HX650" t="str">
            <v>mstag:dividendFrankingPercentage</v>
          </cell>
          <cell r="HY650">
            <v>0</v>
          </cell>
          <cell r="HZ650" t="str">
            <v>ms_eqr_gcim_Decimal:ms_eqr_gcim_decimal</v>
          </cell>
          <cell r="IA650" t="b">
            <v>0</v>
          </cell>
          <cell r="IB650" t="b">
            <v>0</v>
          </cell>
        </row>
        <row r="651">
          <cell r="C651" t="str">
            <v>Tax withheld on dividends paid</v>
          </cell>
          <cell r="HX651" t="str">
            <v>mstag:taxWithheldOnDividendsPaid</v>
          </cell>
          <cell r="HY651">
            <v>6</v>
          </cell>
          <cell r="HZ651" t="str">
            <v>ISO4217:USD</v>
          </cell>
          <cell r="IA651" t="b">
            <v>0</v>
          </cell>
          <cell r="IB651" t="b">
            <v>0</v>
          </cell>
        </row>
        <row r="652">
          <cell r="C652" t="str">
            <v>Special dividends paid</v>
          </cell>
          <cell r="HX652" t="str">
            <v>mstag:specialDividendsPaid</v>
          </cell>
          <cell r="HY652">
            <v>6</v>
          </cell>
          <cell r="HZ652" t="str">
            <v>ISO4217:USD</v>
          </cell>
          <cell r="IA652" t="b">
            <v>0</v>
          </cell>
          <cell r="IB652" t="b">
            <v>0</v>
          </cell>
        </row>
        <row r="653">
          <cell r="C653" t="str">
            <v>Off balance sheet</v>
          </cell>
          <cell r="HY653">
            <v>0</v>
          </cell>
          <cell r="HZ653" t="str">
            <v>ms_eqr_gcim_String:ms_eqr_gcim_string</v>
          </cell>
          <cell r="IA653" t="b">
            <v>0</v>
          </cell>
          <cell r="IB653" t="b">
            <v>0</v>
          </cell>
        </row>
        <row r="654">
          <cell r="D654" t="str">
            <v>Securitized assets</v>
          </cell>
          <cell r="G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  <cell r="HX654" t="str">
            <v>mstag:securitizedAssetsNonFinancialServices</v>
          </cell>
          <cell r="HY654">
            <v>6</v>
          </cell>
          <cell r="HZ654" t="str">
            <v>ISO4217:USD</v>
          </cell>
          <cell r="IA654" t="b">
            <v>0</v>
          </cell>
          <cell r="IB654" t="b">
            <v>0</v>
          </cell>
        </row>
        <row r="655">
          <cell r="E655" t="str">
            <v>Securitized receivables</v>
          </cell>
          <cell r="HX655" t="str">
            <v>mstag:securitizedReceivablesNonFinancialServices</v>
          </cell>
          <cell r="HY655">
            <v>6</v>
          </cell>
          <cell r="HZ655" t="str">
            <v>ISO4217:USD</v>
          </cell>
          <cell r="IA655" t="b">
            <v>0</v>
          </cell>
          <cell r="IB655" t="b">
            <v>0</v>
          </cell>
        </row>
        <row r="656">
          <cell r="D656" t="str">
            <v>Commitments and contingencies</v>
          </cell>
          <cell r="HX656" t="str">
            <v>mstag:commitmentsAndContingencies</v>
          </cell>
          <cell r="HY656">
            <v>6</v>
          </cell>
          <cell r="HZ656" t="str">
            <v>ISO4217:USD</v>
          </cell>
          <cell r="IA656" t="b">
            <v>0</v>
          </cell>
          <cell r="IB656" t="b">
            <v>0</v>
          </cell>
        </row>
        <row r="657">
          <cell r="D657" t="str">
            <v>Unguaranteed residual value in sales-financed leases</v>
          </cell>
          <cell r="HX657" t="str">
            <v>mstag:unguaranteedResidualValueInSalesFinancedLeases</v>
          </cell>
          <cell r="HY657">
            <v>6</v>
          </cell>
          <cell r="HZ657" t="str">
            <v>ISO4217:USD</v>
          </cell>
          <cell r="IA657" t="b">
            <v>0</v>
          </cell>
          <cell r="IB657" t="b">
            <v>0</v>
          </cell>
        </row>
        <row r="658">
          <cell r="C658" t="str">
            <v>Total number of employees</v>
          </cell>
          <cell r="G658">
            <v>3242</v>
          </cell>
          <cell r="H658">
            <v>3389</v>
          </cell>
          <cell r="I658">
            <v>3883</v>
          </cell>
          <cell r="J658">
            <v>4459</v>
          </cell>
          <cell r="K658">
            <v>4950</v>
          </cell>
          <cell r="L658">
            <v>5252</v>
          </cell>
          <cell r="HX658" t="str">
            <v>mstag:totalNumberOfEmployees</v>
          </cell>
          <cell r="HY658">
            <v>0</v>
          </cell>
          <cell r="HZ658" t="str">
            <v>ms_eqr_gcim_Decimal:ms_eqr_gcim_decimal</v>
          </cell>
          <cell r="IA658" t="b">
            <v>0</v>
          </cell>
          <cell r="IB658" t="b">
            <v>0</v>
          </cell>
        </row>
        <row r="659">
          <cell r="C659" t="str">
            <v>Average number of employees</v>
          </cell>
          <cell r="G659" t="str">
            <v>ND</v>
          </cell>
          <cell r="H659">
            <v>3315.5</v>
          </cell>
          <cell r="I659">
            <v>3636</v>
          </cell>
          <cell r="J659">
            <v>4171</v>
          </cell>
          <cell r="K659">
            <v>4704.5</v>
          </cell>
          <cell r="L659">
            <v>5101</v>
          </cell>
          <cell r="HX659" t="str">
            <v>mstag:averageNumberOfEmployees</v>
          </cell>
          <cell r="HY659">
            <v>0</v>
          </cell>
          <cell r="HZ659" t="str">
            <v>ms_eqr_gcim_Decimal:ms_eqr_gcim_decimal</v>
          </cell>
          <cell r="IA659" t="b">
            <v>0</v>
          </cell>
          <cell r="IB659" t="b">
            <v>0</v>
          </cell>
        </row>
        <row r="660">
          <cell r="C660" t="str">
            <v>Net effect of revaluation reserves on book value</v>
          </cell>
          <cell r="HX660" t="str">
            <v>mstag:netEffectOfRevaluationReservesOnBookValue</v>
          </cell>
          <cell r="HY660">
            <v>6</v>
          </cell>
          <cell r="HZ660" t="str">
            <v>ISO4217:USD</v>
          </cell>
          <cell r="IA660" t="b">
            <v>0</v>
          </cell>
          <cell r="IB660" t="b">
            <v>0</v>
          </cell>
        </row>
        <row r="661">
          <cell r="C661" t="str">
            <v>Interest on other interest-bearing liabilities</v>
          </cell>
          <cell r="G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  <cell r="HX661" t="str">
            <v>mstag:interestOnOtherInterestBearingLiabilities</v>
          </cell>
          <cell r="HY661">
            <v>6</v>
          </cell>
          <cell r="HZ661" t="str">
            <v>ISO4217:USD</v>
          </cell>
          <cell r="IA661" t="b">
            <v>0</v>
          </cell>
          <cell r="IB661" t="b">
            <v>0</v>
          </cell>
        </row>
        <row r="662">
          <cell r="D662" t="str">
            <v>Interest on other interest-bearing liabilities reported as finance costs</v>
          </cell>
          <cell r="HX662" t="str">
            <v>mstag:interestOnOtherInterestBearingLiabilitiesReportedAsFinanceCosts</v>
          </cell>
          <cell r="HY662">
            <v>6</v>
          </cell>
          <cell r="HZ662" t="str">
            <v>ISO4217:USD</v>
          </cell>
          <cell r="IA662" t="b">
            <v>0</v>
          </cell>
          <cell r="IB662" t="b">
            <v>0</v>
          </cell>
        </row>
        <row r="663">
          <cell r="D663" t="str">
            <v>Interest on other interest-bearing liabilities reported as operating costs</v>
          </cell>
          <cell r="HX663" t="str">
            <v>mstag:interestOnOtherInterestBearingLiabilitiesReportedAsOperatingCosts</v>
          </cell>
          <cell r="HY663">
            <v>6</v>
          </cell>
          <cell r="HZ663" t="str">
            <v>ISO4217:USD</v>
          </cell>
          <cell r="IA663" t="b">
            <v>0</v>
          </cell>
          <cell r="IB663" t="b">
            <v>0</v>
          </cell>
        </row>
        <row r="664">
          <cell r="B664" t="str">
            <v>Pensions and other postretirement benefit plans</v>
          </cell>
          <cell r="HY664">
            <v>0</v>
          </cell>
          <cell r="HZ664" t="str">
            <v>ms_eqr_gcim_String:ms_eqr_gcim_string</v>
          </cell>
          <cell r="IA664" t="b">
            <v>0</v>
          </cell>
          <cell r="IB664" t="b">
            <v>0</v>
          </cell>
        </row>
        <row r="665">
          <cell r="C665" t="str">
            <v>Pensions (interest and returns classified by company as operating)</v>
          </cell>
          <cell r="HY665">
            <v>0</v>
          </cell>
          <cell r="HZ665" t="str">
            <v>ms_eqr_gcim_String:ms_eqr_gcim_string</v>
          </cell>
          <cell r="IA665" t="b">
            <v>0</v>
          </cell>
          <cell r="IB665" t="b">
            <v>0</v>
          </cell>
        </row>
        <row r="666">
          <cell r="D666" t="str">
            <v>Net periodic pension expense (pensions)</v>
          </cell>
          <cell r="G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  <cell r="HX666" t="str">
            <v>mstag:netPeriodicPensionExpensePensions</v>
          </cell>
          <cell r="HY666">
            <v>6</v>
          </cell>
          <cell r="HZ666" t="str">
            <v>ISO4217:USD</v>
          </cell>
          <cell r="IA666" t="b">
            <v>0</v>
          </cell>
          <cell r="IB666" t="b">
            <v>0</v>
          </cell>
        </row>
        <row r="667">
          <cell r="E667" t="str">
            <v>Service cost (pensions)</v>
          </cell>
          <cell r="HX667" t="str">
            <v>mstag:serviceCostPensions</v>
          </cell>
          <cell r="HY667">
            <v>6</v>
          </cell>
          <cell r="HZ667" t="str">
            <v>ISO4217:USD</v>
          </cell>
          <cell r="IA667" t="b">
            <v>0</v>
          </cell>
          <cell r="IB667" t="b">
            <v>0</v>
          </cell>
        </row>
        <row r="668">
          <cell r="E668" t="str">
            <v>Interest cost (pensions)</v>
          </cell>
          <cell r="HX668" t="str">
            <v>mstag:interestCostPensions</v>
          </cell>
          <cell r="HY668">
            <v>6</v>
          </cell>
          <cell r="HZ668" t="str">
            <v>ISO4217:USD</v>
          </cell>
          <cell r="IA668" t="b">
            <v>0</v>
          </cell>
          <cell r="IB668" t="b">
            <v>0</v>
          </cell>
        </row>
        <row r="669">
          <cell r="E669" t="str">
            <v>Expected return on plan assets (pensions)</v>
          </cell>
          <cell r="HX669" t="str">
            <v>mstag:expectedReturnOnPlanAssetsPensions</v>
          </cell>
          <cell r="HY669">
            <v>6</v>
          </cell>
          <cell r="HZ669" t="str">
            <v>ISO4217:USD</v>
          </cell>
          <cell r="IA669" t="b">
            <v>0</v>
          </cell>
          <cell r="IB669" t="b">
            <v>0</v>
          </cell>
        </row>
        <row r="670">
          <cell r="E670" t="str">
            <v>Amortization of prior service cost (pensions)</v>
          </cell>
          <cell r="HX670" t="str">
            <v>mstag:amortizationOfPriorServiceCostPensions</v>
          </cell>
          <cell r="HY670">
            <v>6</v>
          </cell>
          <cell r="HZ670" t="str">
            <v>ISO4217:USD</v>
          </cell>
          <cell r="IA670" t="b">
            <v>0</v>
          </cell>
          <cell r="IB670" t="b">
            <v>0</v>
          </cell>
        </row>
        <row r="671">
          <cell r="E671" t="str">
            <v>Net actuarial gain (loss) recognized (pensions)</v>
          </cell>
          <cell r="HX671" t="str">
            <v>mstag:netActuarialGainLossRecognizedPensions</v>
          </cell>
          <cell r="HY671">
            <v>6</v>
          </cell>
          <cell r="HZ671" t="str">
            <v>ISO4217:USD</v>
          </cell>
          <cell r="IA671" t="b">
            <v>0</v>
          </cell>
          <cell r="IB671" t="b">
            <v>0</v>
          </cell>
        </row>
        <row r="672">
          <cell r="E672" t="str">
            <v>Nonrecurring pension items</v>
          </cell>
          <cell r="HX672" t="str">
            <v>mstag:nonRecurringPensionItems</v>
          </cell>
          <cell r="HY672">
            <v>6</v>
          </cell>
          <cell r="HZ672" t="str">
            <v>ISO4217:USD</v>
          </cell>
          <cell r="IA672" t="b">
            <v>0</v>
          </cell>
          <cell r="IB672" t="b">
            <v>0</v>
          </cell>
        </row>
        <row r="673">
          <cell r="E673" t="str">
            <v>Other net pension expense</v>
          </cell>
          <cell r="HX673" t="str">
            <v>mstag:otherNetPensionExpense</v>
          </cell>
          <cell r="HY673">
            <v>6</v>
          </cell>
          <cell r="HZ673" t="str">
            <v>ISO4217:USD</v>
          </cell>
          <cell r="IA673" t="b">
            <v>0</v>
          </cell>
          <cell r="IB673" t="b">
            <v>0</v>
          </cell>
        </row>
        <row r="674">
          <cell r="D674" t="str">
            <v>Net benefits paid to retirees (pensions)</v>
          </cell>
          <cell r="G674" t="str">
            <v/>
          </cell>
          <cell r="H674" t="str">
            <v/>
          </cell>
          <cell r="I674" t="str">
            <v/>
          </cell>
          <cell r="J674" t="str">
            <v/>
          </cell>
          <cell r="K674" t="str">
            <v/>
          </cell>
          <cell r="L674" t="str">
            <v/>
          </cell>
          <cell r="M674" t="str">
            <v/>
          </cell>
          <cell r="HX674" t="str">
            <v>mstag:netBenefitsPaidToRetireesPensions</v>
          </cell>
          <cell r="HY674">
            <v>6</v>
          </cell>
          <cell r="HZ674" t="str">
            <v>ISO4217:USD</v>
          </cell>
          <cell r="IA674" t="b">
            <v>0</v>
          </cell>
          <cell r="IB674" t="b">
            <v>0</v>
          </cell>
        </row>
        <row r="675">
          <cell r="E675" t="str">
            <v>Benefits paid to retirees, in obligation (pensions)</v>
          </cell>
          <cell r="HX675" t="str">
            <v>mstag:benefitsPaidToRetireesPensions</v>
          </cell>
          <cell r="HY675">
            <v>6</v>
          </cell>
          <cell r="HZ675" t="str">
            <v>ISO4217:USD</v>
          </cell>
          <cell r="IA675" t="b">
            <v>0</v>
          </cell>
          <cell r="IB675" t="b">
            <v>0</v>
          </cell>
        </row>
        <row r="676">
          <cell r="E676" t="str">
            <v>Benefits paid to retirees, in assets (pensions)</v>
          </cell>
          <cell r="HX676" t="str">
            <v>mstag:benefitsPaidToRetireesInAssetsPensions</v>
          </cell>
          <cell r="HY676">
            <v>6</v>
          </cell>
          <cell r="HZ676" t="str">
            <v>ISO4217:USD</v>
          </cell>
          <cell r="IA676" t="b">
            <v>0</v>
          </cell>
          <cell r="IB676" t="b">
            <v>0</v>
          </cell>
        </row>
        <row r="677">
          <cell r="D677" t="str">
            <v>Actual return on plan assets (pensions)</v>
          </cell>
          <cell r="HX677" t="str">
            <v>mstag:actualReturnOnPlanAssetsPensions</v>
          </cell>
          <cell r="HY677">
            <v>6</v>
          </cell>
          <cell r="HZ677" t="str">
            <v>ISO4217:USD</v>
          </cell>
          <cell r="IA677" t="b">
            <v>0</v>
          </cell>
          <cell r="IB677" t="b">
            <v>0</v>
          </cell>
        </row>
        <row r="678">
          <cell r="D678" t="str">
            <v>Contribution to plan assets (pensions)</v>
          </cell>
          <cell r="HX678" t="str">
            <v>mstag:contributionToPlanAssetsPensions</v>
          </cell>
          <cell r="HY678">
            <v>6</v>
          </cell>
          <cell r="HZ678" t="str">
            <v>ISO4217:USD</v>
          </cell>
          <cell r="IA678" t="b">
            <v>0</v>
          </cell>
          <cell r="IB678" t="b">
            <v>0</v>
          </cell>
        </row>
        <row r="679">
          <cell r="D679" t="str">
            <v>Projected benefit obligation (pensions)</v>
          </cell>
          <cell r="HX679" t="str">
            <v>mstag:projectedBenefitObligationPensions</v>
          </cell>
          <cell r="HY679">
            <v>6</v>
          </cell>
          <cell r="HZ679" t="str">
            <v>ISO4217:USD</v>
          </cell>
          <cell r="IA679" t="b">
            <v>0</v>
          </cell>
          <cell r="IB679" t="b">
            <v>0</v>
          </cell>
        </row>
        <row r="680">
          <cell r="D680" t="str">
            <v>Plan assets at fair value (pensions)</v>
          </cell>
          <cell r="HX680" t="str">
            <v>mstag:planAssetsAtFairValuePensions</v>
          </cell>
          <cell r="HY680">
            <v>6</v>
          </cell>
          <cell r="HZ680" t="str">
            <v>ISO4217:USD</v>
          </cell>
          <cell r="IA680" t="b">
            <v>0</v>
          </cell>
          <cell r="IB680" t="b">
            <v>0</v>
          </cell>
        </row>
        <row r="681">
          <cell r="D681" t="str">
            <v>Net pension prepaid asset (accrued liability)</v>
          </cell>
          <cell r="HX681" t="str">
            <v>mstag:netPensionPrepaidAssetAccruedLiability</v>
          </cell>
          <cell r="HY681">
            <v>6</v>
          </cell>
          <cell r="HZ681" t="str">
            <v>ISO4217:USD</v>
          </cell>
          <cell r="IA681" t="b">
            <v>0</v>
          </cell>
          <cell r="IB681" t="b">
            <v>0</v>
          </cell>
        </row>
        <row r="682">
          <cell r="D682" t="str">
            <v>Intangible asset (pensions)</v>
          </cell>
          <cell r="HX682" t="str">
            <v>mstag:intangibleAssetPensions</v>
          </cell>
          <cell r="HY682">
            <v>6</v>
          </cell>
          <cell r="HZ682" t="str">
            <v>ISO4217:USD</v>
          </cell>
          <cell r="IA682" t="b">
            <v>0</v>
          </cell>
          <cell r="IB682" t="b">
            <v>0</v>
          </cell>
        </row>
        <row r="683">
          <cell r="D683" t="str">
            <v>Accumulated other comprehensive income (pensions)</v>
          </cell>
          <cell r="HX683" t="str">
            <v>mstag:accumulatedOtherComprehensiveIncomePensions</v>
          </cell>
          <cell r="HY683">
            <v>6</v>
          </cell>
          <cell r="HZ683" t="str">
            <v>ISO4217:USD</v>
          </cell>
          <cell r="IA683" t="b">
            <v>0</v>
          </cell>
          <cell r="IB683" t="b">
            <v>0</v>
          </cell>
        </row>
        <row r="684">
          <cell r="D684" t="str">
            <v>Weighted average discount rate (pensions)</v>
          </cell>
          <cell r="HX684" t="str">
            <v>mstag:weightedAverageDiscountRatePensions</v>
          </cell>
          <cell r="HY684">
            <v>0</v>
          </cell>
          <cell r="HZ684" t="str">
            <v>ms_eqr_gcim_Decimal:ms_eqr_gcim_decimal</v>
          </cell>
          <cell r="IA684" t="b">
            <v>0</v>
          </cell>
          <cell r="IB684" t="b">
            <v>0</v>
          </cell>
        </row>
        <row r="685">
          <cell r="D685" t="str">
            <v>Expected long-term rate of return on plan assets (pensions)</v>
          </cell>
          <cell r="HX685" t="str">
            <v>mstag:expectedLongTermRateOfReturnOnPlanAssetsPensions</v>
          </cell>
          <cell r="HY685">
            <v>0</v>
          </cell>
          <cell r="HZ685" t="str">
            <v>ms_eqr_gcim_Decimal:ms_eqr_gcim_decimal</v>
          </cell>
          <cell r="IA685" t="b">
            <v>0</v>
          </cell>
          <cell r="IB685" t="b">
            <v>0</v>
          </cell>
        </row>
        <row r="686">
          <cell r="D686" t="str">
            <v>Rate of increase in future compensation levels</v>
          </cell>
          <cell r="HX686" t="str">
            <v>mstag:rateOfIncreaseInFutureCompensationLevels</v>
          </cell>
          <cell r="HY686">
            <v>0</v>
          </cell>
          <cell r="HZ686" t="str">
            <v>ms_eqr_gcim_Decimal:ms_eqr_gcim_decimal</v>
          </cell>
          <cell r="IA686" t="b">
            <v>0</v>
          </cell>
          <cell r="IB686" t="b">
            <v>0</v>
          </cell>
        </row>
        <row r="687">
          <cell r="C687" t="str">
            <v>Pensions (interest and returns classified by company as financing)</v>
          </cell>
          <cell r="HY687">
            <v>0</v>
          </cell>
          <cell r="HZ687" t="str">
            <v>ms_eqr_gcim_String:ms_eqr_gcim_string</v>
          </cell>
          <cell r="IA687" t="b">
            <v>0</v>
          </cell>
          <cell r="IB687" t="b">
            <v>0</v>
          </cell>
        </row>
        <row r="688">
          <cell r="D688" t="str">
            <v>Net periodic pension expense (pensions)</v>
          </cell>
          <cell r="G688" t="str">
            <v/>
          </cell>
          <cell r="H688" t="str">
            <v/>
          </cell>
          <cell r="I688" t="str">
            <v/>
          </cell>
          <cell r="J688" t="str">
            <v/>
          </cell>
          <cell r="K688" t="str">
            <v/>
          </cell>
          <cell r="L688" t="str">
            <v/>
          </cell>
          <cell r="M688" t="str">
            <v/>
          </cell>
          <cell r="HX688" t="str">
            <v>mstag:netPeriodicPensionExpensePensionsClassifiedAsFinancing</v>
          </cell>
          <cell r="HY688">
            <v>0</v>
          </cell>
          <cell r="HZ688" t="str">
            <v>ISO4217:USD</v>
          </cell>
          <cell r="IA688" t="b">
            <v>0</v>
          </cell>
          <cell r="IB688" t="b">
            <v>0</v>
          </cell>
        </row>
        <row r="689">
          <cell r="E689" t="str">
            <v>Service cost (pensions)</v>
          </cell>
          <cell r="HX689" t="str">
            <v>mstag:serviceCostPensionsClassifiedAsFinancing</v>
          </cell>
          <cell r="HY689">
            <v>0</v>
          </cell>
          <cell r="HZ689" t="str">
            <v>ISO4217:USD</v>
          </cell>
          <cell r="IA689" t="b">
            <v>0</v>
          </cell>
          <cell r="IB689" t="b">
            <v>0</v>
          </cell>
        </row>
        <row r="690">
          <cell r="E690" t="str">
            <v>Interest cost (pensions)</v>
          </cell>
          <cell r="HX690" t="str">
            <v>mstag:interestCostPensionsClassifiedAsFinancing</v>
          </cell>
          <cell r="HY690">
            <v>0</v>
          </cell>
          <cell r="HZ690" t="str">
            <v>ISO4217:USD</v>
          </cell>
          <cell r="IA690" t="b">
            <v>0</v>
          </cell>
          <cell r="IB690" t="b">
            <v>0</v>
          </cell>
        </row>
        <row r="691">
          <cell r="E691" t="str">
            <v>Expected return on plan assets (pensions)</v>
          </cell>
          <cell r="HX691" t="str">
            <v>mstag:expectedReturnOnPlanAssetsPensionsClassifiedAsFinancing</v>
          </cell>
          <cell r="HY691">
            <v>0</v>
          </cell>
          <cell r="HZ691" t="str">
            <v>ISO4217:USD</v>
          </cell>
          <cell r="IA691" t="b">
            <v>0</v>
          </cell>
          <cell r="IB691" t="b">
            <v>0</v>
          </cell>
        </row>
        <row r="692">
          <cell r="E692" t="str">
            <v>Amortization of prior service cost (pensions)</v>
          </cell>
          <cell r="HX692" t="str">
            <v>mstag:amortizationOfPriorServiceCostPensionsClassifiedAsFinancing</v>
          </cell>
          <cell r="HY692">
            <v>0</v>
          </cell>
          <cell r="HZ692" t="str">
            <v>ISO4217:USD</v>
          </cell>
          <cell r="IA692" t="b">
            <v>0</v>
          </cell>
          <cell r="IB692" t="b">
            <v>0</v>
          </cell>
        </row>
        <row r="693">
          <cell r="E693" t="str">
            <v>Net actuarial gain (loss) recognized (pensions)</v>
          </cell>
          <cell r="HX693" t="str">
            <v>mstag:netActuarialGainLossRecognizedPensionsClassifiedAsFinancing</v>
          </cell>
          <cell r="HY693">
            <v>0</v>
          </cell>
          <cell r="HZ693" t="str">
            <v>ISO4217:USD</v>
          </cell>
          <cell r="IA693" t="b">
            <v>0</v>
          </cell>
          <cell r="IB693" t="b">
            <v>0</v>
          </cell>
        </row>
        <row r="694">
          <cell r="E694" t="str">
            <v>Nonrecurring pension items</v>
          </cell>
          <cell r="HX694" t="str">
            <v>mstag:nonRecurringPensionItemsClassifiedAsFinancing</v>
          </cell>
          <cell r="HY694">
            <v>0</v>
          </cell>
          <cell r="HZ694" t="str">
            <v>ISO4217:USD</v>
          </cell>
          <cell r="IA694" t="b">
            <v>0</v>
          </cell>
          <cell r="IB694" t="b">
            <v>0</v>
          </cell>
        </row>
        <row r="695">
          <cell r="E695" t="str">
            <v>Other net pension expense</v>
          </cell>
          <cell r="HX695" t="str">
            <v>mstag:otherNetPensionExpenseClassifiedAsFinancing</v>
          </cell>
          <cell r="HY695">
            <v>0</v>
          </cell>
          <cell r="HZ695" t="str">
            <v>ISO4217:USD</v>
          </cell>
          <cell r="IA695" t="b">
            <v>0</v>
          </cell>
          <cell r="IB695" t="b">
            <v>0</v>
          </cell>
        </row>
        <row r="696">
          <cell r="D696" t="str">
            <v>Net benefits paid to retirees (pensions)</v>
          </cell>
          <cell r="G696" t="str">
            <v/>
          </cell>
          <cell r="H696" t="str">
            <v/>
          </cell>
          <cell r="I696" t="str">
            <v/>
          </cell>
          <cell r="J696" t="str">
            <v/>
          </cell>
          <cell r="K696" t="str">
            <v/>
          </cell>
          <cell r="L696" t="str">
            <v/>
          </cell>
          <cell r="M696" t="str">
            <v/>
          </cell>
          <cell r="HX696" t="str">
            <v>mstag:netBenefitsPaidToRetireesPensionsAsFinancing</v>
          </cell>
          <cell r="HY696">
            <v>6</v>
          </cell>
          <cell r="HZ696" t="str">
            <v>ISO4217:USD</v>
          </cell>
          <cell r="IA696" t="b">
            <v>0</v>
          </cell>
          <cell r="IB696" t="b">
            <v>0</v>
          </cell>
        </row>
        <row r="697">
          <cell r="E697" t="str">
            <v>Benefits paid to retirees, in obligation (pensions)</v>
          </cell>
          <cell r="HX697" t="str">
            <v>mstag:benefitsPaidToRetireesPensionsClassifiedAsFinancing</v>
          </cell>
          <cell r="HY697">
            <v>0</v>
          </cell>
          <cell r="HZ697" t="str">
            <v>ISO4217:USD</v>
          </cell>
          <cell r="IA697" t="b">
            <v>0</v>
          </cell>
          <cell r="IB697" t="b">
            <v>0</v>
          </cell>
        </row>
        <row r="698">
          <cell r="E698" t="str">
            <v>Benefits paid to retirees, in assets (pensions)</v>
          </cell>
          <cell r="HX698" t="str">
            <v>mstag:benefitsPaidToRetireesInAssetsPensionsAsFinancing</v>
          </cell>
          <cell r="HY698">
            <v>6</v>
          </cell>
          <cell r="HZ698" t="str">
            <v>ISO4217:USD</v>
          </cell>
          <cell r="IA698" t="b">
            <v>0</v>
          </cell>
          <cell r="IB698" t="b">
            <v>0</v>
          </cell>
        </row>
        <row r="699">
          <cell r="D699" t="str">
            <v>Actual return on plan assets (pensions)</v>
          </cell>
          <cell r="HX699" t="str">
            <v>mstag:actualReturnOnPlanAssetsPensionsClassifiedAsFinancing</v>
          </cell>
          <cell r="HY699">
            <v>0</v>
          </cell>
          <cell r="HZ699" t="str">
            <v>ISO4217:USD</v>
          </cell>
          <cell r="IA699" t="b">
            <v>0</v>
          </cell>
          <cell r="IB699" t="b">
            <v>0</v>
          </cell>
        </row>
        <row r="700">
          <cell r="D700" t="str">
            <v>Contribution to plan assets (pensions)</v>
          </cell>
          <cell r="HX700" t="str">
            <v>mstag:contributionToPlanAssetsPensionsClassifiedAsFinancing</v>
          </cell>
          <cell r="HY700">
            <v>0</v>
          </cell>
          <cell r="HZ700" t="str">
            <v>ISO4217:USD</v>
          </cell>
          <cell r="IA700" t="b">
            <v>0</v>
          </cell>
          <cell r="IB700" t="b">
            <v>0</v>
          </cell>
        </row>
        <row r="701">
          <cell r="D701" t="str">
            <v>Projected benefit obligation (pensions)</v>
          </cell>
          <cell r="HX701" t="str">
            <v>mstag:projectedBenefitObligationPensionsClassifiedAsFinancing</v>
          </cell>
          <cell r="HY701">
            <v>0</v>
          </cell>
          <cell r="HZ701" t="str">
            <v>ISO4217:USD</v>
          </cell>
          <cell r="IA701" t="b">
            <v>0</v>
          </cell>
          <cell r="IB701" t="b">
            <v>0</v>
          </cell>
        </row>
        <row r="702">
          <cell r="D702" t="str">
            <v>Plan assets at fair value (pensions)</v>
          </cell>
          <cell r="HX702" t="str">
            <v>mstag:planAssetsAtFairValuePensionsClassifiedAsFinancing</v>
          </cell>
          <cell r="HY702">
            <v>0</v>
          </cell>
          <cell r="HZ702" t="str">
            <v>ISO4217:USD</v>
          </cell>
          <cell r="IA702" t="b">
            <v>0</v>
          </cell>
          <cell r="IB702" t="b">
            <v>0</v>
          </cell>
        </row>
        <row r="703">
          <cell r="D703" t="str">
            <v>Net pension prepaid asset (accrued liability)</v>
          </cell>
          <cell r="HX703" t="str">
            <v>mstag:netPensionPrepaidAssetAccruedLiabilityClassifiedAsFinancing</v>
          </cell>
          <cell r="HY703">
            <v>0</v>
          </cell>
          <cell r="HZ703" t="str">
            <v>ISO4217:USD</v>
          </cell>
          <cell r="IA703" t="b">
            <v>0</v>
          </cell>
          <cell r="IB703" t="b">
            <v>0</v>
          </cell>
        </row>
        <row r="704">
          <cell r="D704" t="str">
            <v>Intangible asset (pensions)</v>
          </cell>
          <cell r="HX704" t="str">
            <v>mstag:intangibleAssetPensionsClassifiedAsFinancing</v>
          </cell>
          <cell r="HY704">
            <v>0</v>
          </cell>
          <cell r="HZ704" t="str">
            <v>ISO4217:USD</v>
          </cell>
          <cell r="IA704" t="b">
            <v>0</v>
          </cell>
          <cell r="IB704" t="b">
            <v>0</v>
          </cell>
        </row>
        <row r="705">
          <cell r="D705" t="str">
            <v>Accumulated other comprehensive income (pensions)</v>
          </cell>
          <cell r="HX705" t="str">
            <v>mstag:accumulatedOtherComprehensiveIncomePensionsClassifiedAsFinancing</v>
          </cell>
          <cell r="HY705">
            <v>0</v>
          </cell>
          <cell r="HZ705" t="str">
            <v>ISO4217:USD</v>
          </cell>
          <cell r="IA705" t="b">
            <v>0</v>
          </cell>
          <cell r="IB705" t="b">
            <v>0</v>
          </cell>
        </row>
        <row r="706">
          <cell r="D706" t="str">
            <v>Weighted average discount rate (pensions)</v>
          </cell>
          <cell r="HX706" t="str">
            <v>mstag:weightedAverageDiscountRatePensionsClassifiedAsFinancing</v>
          </cell>
          <cell r="HY706">
            <v>0</v>
          </cell>
          <cell r="HZ706" t="str">
            <v>ms_eqr_gcim_Decimal:ms_eqr_gcim_decimal</v>
          </cell>
          <cell r="IA706" t="b">
            <v>0</v>
          </cell>
          <cell r="IB706" t="b">
            <v>0</v>
          </cell>
        </row>
        <row r="707">
          <cell r="D707" t="str">
            <v>Expected long-term rate of return on plan assets (pensions)</v>
          </cell>
          <cell r="HX707" t="str">
            <v>mstag:expectedLongTermRateOfReturnOnPlanAssetsPensionsClassifiedAsFinancing</v>
          </cell>
          <cell r="HY707">
            <v>0</v>
          </cell>
          <cell r="HZ707" t="str">
            <v>ms_eqr_gcim_Decimal:ms_eqr_gcim_decimal</v>
          </cell>
          <cell r="IA707" t="b">
            <v>0</v>
          </cell>
          <cell r="IB707" t="b">
            <v>0</v>
          </cell>
        </row>
        <row r="708">
          <cell r="D708" t="str">
            <v>Rate of increase in future compensation levels</v>
          </cell>
          <cell r="HX708" t="str">
            <v>mstag:rateOfIncreaseInFutureCompensationLevelsClassifiedAsFinancing</v>
          </cell>
          <cell r="HY708">
            <v>0</v>
          </cell>
          <cell r="HZ708" t="str">
            <v>ms_eqr_gcim_Decimal:ms_eqr_gcim_decimal</v>
          </cell>
          <cell r="IA708" t="b">
            <v>0</v>
          </cell>
          <cell r="IB708" t="b">
            <v>0</v>
          </cell>
        </row>
        <row r="709">
          <cell r="C709" t="str">
            <v>Pensions (companies reporting under SSAP 24)</v>
          </cell>
          <cell r="HY709">
            <v>0</v>
          </cell>
          <cell r="HZ709" t="str">
            <v>ms_eqr_gcim_String:ms_eqr_gcim_string</v>
          </cell>
          <cell r="IA709" t="b">
            <v>0</v>
          </cell>
          <cell r="IB709" t="b">
            <v>0</v>
          </cell>
        </row>
        <row r="710">
          <cell r="D710" t="str">
            <v>Net periodic pension expense (pensions)</v>
          </cell>
          <cell r="HX710" t="str">
            <v>mstag:netPeriodicPensionExpensePensionsUnderSSAP24</v>
          </cell>
          <cell r="HY710">
            <v>0</v>
          </cell>
          <cell r="HZ710" t="str">
            <v>ISO4217:USD</v>
          </cell>
          <cell r="IA710" t="b">
            <v>0</v>
          </cell>
          <cell r="IB710" t="b">
            <v>0</v>
          </cell>
        </row>
        <row r="711">
          <cell r="D711" t="str">
            <v>Service cost (pensions)</v>
          </cell>
          <cell r="HX711" t="str">
            <v>mstag:serviceCostPensionsUnderSSAP24</v>
          </cell>
          <cell r="HY711">
            <v>0</v>
          </cell>
          <cell r="HZ711" t="str">
            <v>ISO4217:USD</v>
          </cell>
          <cell r="IA711" t="b">
            <v>0</v>
          </cell>
          <cell r="IB711" t="b">
            <v>0</v>
          </cell>
        </row>
        <row r="712">
          <cell r="D712" t="str">
            <v>Prior service cost (pensions)</v>
          </cell>
          <cell r="HX712" t="str">
            <v>mstag:priorServiceCostPensionsUnderSSAP24</v>
          </cell>
          <cell r="HY712">
            <v>0</v>
          </cell>
          <cell r="HZ712" t="str">
            <v>ISO4217:USD</v>
          </cell>
          <cell r="IA712" t="b">
            <v>0</v>
          </cell>
          <cell r="IB712" t="b">
            <v>0</v>
          </cell>
        </row>
        <row r="713">
          <cell r="D713" t="str">
            <v>Interest cost (pensions)</v>
          </cell>
          <cell r="HX713" t="str">
            <v>mstag:interestCostPensionsUnderSSAP24</v>
          </cell>
          <cell r="HY713">
            <v>0</v>
          </cell>
          <cell r="HZ713" t="str">
            <v>ISO4217:USD</v>
          </cell>
          <cell r="IA713" t="b">
            <v>0</v>
          </cell>
          <cell r="IB713" t="b">
            <v>0</v>
          </cell>
        </row>
        <row r="714">
          <cell r="D714" t="str">
            <v>Expected return on plan assets (pensions)</v>
          </cell>
          <cell r="HX714" t="str">
            <v>mstag:expectedReturnOnPlanAssetsPensionsUnderSSAP24</v>
          </cell>
          <cell r="HY714">
            <v>0</v>
          </cell>
          <cell r="HZ714" t="str">
            <v>ISO4217:USD</v>
          </cell>
          <cell r="IA714" t="b">
            <v>0</v>
          </cell>
          <cell r="IB714" t="b">
            <v>0</v>
          </cell>
        </row>
        <row r="715">
          <cell r="C715" t="str">
            <v>Other postemployment benefits</v>
          </cell>
          <cell r="HY715">
            <v>0</v>
          </cell>
          <cell r="HZ715" t="str">
            <v>ms_eqr_gcim_String:ms_eqr_gcim_string</v>
          </cell>
          <cell r="IA715" t="b">
            <v>0</v>
          </cell>
          <cell r="IB715" t="b">
            <v>0</v>
          </cell>
        </row>
        <row r="716">
          <cell r="D716" t="str">
            <v>Net periodic expense (OPEB)</v>
          </cell>
          <cell r="G716" t="str">
            <v/>
          </cell>
          <cell r="H716" t="str">
            <v/>
          </cell>
          <cell r="I716" t="str">
            <v/>
          </cell>
          <cell r="J716" t="str">
            <v/>
          </cell>
          <cell r="K716" t="str">
            <v/>
          </cell>
          <cell r="L716" t="str">
            <v/>
          </cell>
          <cell r="M716" t="str">
            <v/>
          </cell>
          <cell r="HX716" t="str">
            <v>mstag:netPeriodicExpenseOpeb</v>
          </cell>
          <cell r="HY716">
            <v>6</v>
          </cell>
          <cell r="HZ716" t="str">
            <v>ISO4217:USD</v>
          </cell>
          <cell r="IA716" t="b">
            <v>0</v>
          </cell>
          <cell r="IB716" t="b">
            <v>0</v>
          </cell>
        </row>
        <row r="717">
          <cell r="E717" t="str">
            <v>Service cost (OPEB)</v>
          </cell>
          <cell r="HX717" t="str">
            <v>mstag:serviceCostOpeb</v>
          </cell>
          <cell r="HY717">
            <v>6</v>
          </cell>
          <cell r="HZ717" t="str">
            <v>ISO4217:USD</v>
          </cell>
          <cell r="IA717" t="b">
            <v>0</v>
          </cell>
          <cell r="IB717" t="b">
            <v>0</v>
          </cell>
        </row>
        <row r="718">
          <cell r="E718" t="str">
            <v>Interest cost (OPEB)</v>
          </cell>
          <cell r="HX718" t="str">
            <v>mstag:interestCostOpeb</v>
          </cell>
          <cell r="HY718">
            <v>6</v>
          </cell>
          <cell r="HZ718" t="str">
            <v>ISO4217:USD</v>
          </cell>
          <cell r="IA718" t="b">
            <v>0</v>
          </cell>
          <cell r="IB718" t="b">
            <v>0</v>
          </cell>
        </row>
        <row r="719">
          <cell r="E719" t="str">
            <v>Expected return on plan assets (OPEB)</v>
          </cell>
          <cell r="HX719" t="str">
            <v>mstag:expectedReturnOnPlanAssetsOpeb</v>
          </cell>
          <cell r="HY719">
            <v>6</v>
          </cell>
          <cell r="HZ719" t="str">
            <v>ISO4217:USD</v>
          </cell>
          <cell r="IA719" t="b">
            <v>0</v>
          </cell>
          <cell r="IB719" t="b">
            <v>0</v>
          </cell>
        </row>
        <row r="720">
          <cell r="E720" t="str">
            <v>Amortization of prior service cost (OPEB)</v>
          </cell>
          <cell r="HX720" t="str">
            <v>mstag:amortizationOfPriorServiceCostOpeb</v>
          </cell>
          <cell r="HY720">
            <v>6</v>
          </cell>
          <cell r="HZ720" t="str">
            <v>ISO4217:USD</v>
          </cell>
          <cell r="IA720" t="b">
            <v>0</v>
          </cell>
          <cell r="IB720" t="b">
            <v>0</v>
          </cell>
        </row>
        <row r="721">
          <cell r="E721" t="str">
            <v>Net actuarial gain (loss) recognized (OPEB)</v>
          </cell>
          <cell r="HX721" t="str">
            <v>mstag:netActuarialGainLossRecognizedOpeb</v>
          </cell>
          <cell r="HY721">
            <v>6</v>
          </cell>
          <cell r="HZ721" t="str">
            <v>ISO4217:USD</v>
          </cell>
          <cell r="IA721" t="b">
            <v>0</v>
          </cell>
          <cell r="IB721" t="b">
            <v>0</v>
          </cell>
        </row>
        <row r="722">
          <cell r="E722" t="str">
            <v>Nonrecurring OPEB items</v>
          </cell>
          <cell r="HX722" t="str">
            <v>mstag:nonRecurringOpebItems</v>
          </cell>
          <cell r="HY722">
            <v>6</v>
          </cell>
          <cell r="HZ722" t="str">
            <v>ISO4217:USD</v>
          </cell>
          <cell r="IA722" t="b">
            <v>0</v>
          </cell>
          <cell r="IB722" t="b">
            <v>0</v>
          </cell>
        </row>
        <row r="723">
          <cell r="E723" t="str">
            <v>Other net expense (OPEB)</v>
          </cell>
          <cell r="HX723" t="str">
            <v>mstag:otherNetExpenseOpeb</v>
          </cell>
          <cell r="HY723">
            <v>6</v>
          </cell>
          <cell r="HZ723" t="str">
            <v>ISO4217:USD</v>
          </cell>
          <cell r="IA723" t="b">
            <v>0</v>
          </cell>
          <cell r="IB723" t="b">
            <v>0</v>
          </cell>
        </row>
        <row r="724">
          <cell r="D724" t="str">
            <v>Net benefits paid to retirees (OPEB)</v>
          </cell>
          <cell r="G724" t="str">
            <v/>
          </cell>
          <cell r="H724" t="str">
            <v/>
          </cell>
          <cell r="I724" t="str">
            <v/>
          </cell>
          <cell r="J724" t="str">
            <v/>
          </cell>
          <cell r="K724" t="str">
            <v/>
          </cell>
          <cell r="L724" t="str">
            <v/>
          </cell>
          <cell r="M724" t="str">
            <v/>
          </cell>
          <cell r="HX724" t="str">
            <v>mstag:netBenefitsPaidToRetireesOpeb</v>
          </cell>
          <cell r="HY724">
            <v>6</v>
          </cell>
          <cell r="HZ724" t="str">
            <v>ISO4217:USD</v>
          </cell>
          <cell r="IA724" t="b">
            <v>0</v>
          </cell>
          <cell r="IB724" t="b">
            <v>0</v>
          </cell>
        </row>
        <row r="725">
          <cell r="E725" t="str">
            <v>Benefits paid to retirees, in obligation (OPEB)</v>
          </cell>
          <cell r="HX725" t="str">
            <v>mstag:benefitsPaidToRetireesOpeb</v>
          </cell>
          <cell r="HY725">
            <v>6</v>
          </cell>
          <cell r="HZ725" t="str">
            <v>ISO4217:USD</v>
          </cell>
          <cell r="IA725" t="b">
            <v>0</v>
          </cell>
          <cell r="IB725" t="b">
            <v>0</v>
          </cell>
        </row>
        <row r="726">
          <cell r="E726" t="str">
            <v>Benefits paid to retirees, in assets (OPEB)</v>
          </cell>
          <cell r="HX726" t="str">
            <v>mstag:benefitsPaidToRetireesInAssetsOpeb</v>
          </cell>
          <cell r="HY726">
            <v>6</v>
          </cell>
          <cell r="HZ726" t="str">
            <v>ISO4217:USD</v>
          </cell>
          <cell r="IA726" t="b">
            <v>0</v>
          </cell>
          <cell r="IB726" t="b">
            <v>0</v>
          </cell>
        </row>
        <row r="727">
          <cell r="D727" t="str">
            <v>Actual return on plan assets (OPEB)</v>
          </cell>
          <cell r="HX727" t="str">
            <v>mstag:actualReturnOnPlanAssetsOpeb</v>
          </cell>
          <cell r="HY727">
            <v>6</v>
          </cell>
          <cell r="HZ727" t="str">
            <v>ISO4217:USD</v>
          </cell>
          <cell r="IA727" t="b">
            <v>0</v>
          </cell>
          <cell r="IB727" t="b">
            <v>0</v>
          </cell>
        </row>
        <row r="728">
          <cell r="D728" t="str">
            <v>Contribution to plan assets (OPEB)</v>
          </cell>
          <cell r="HX728" t="str">
            <v>mstag:contributionToPlanAssetsOpeb</v>
          </cell>
          <cell r="HY728">
            <v>6</v>
          </cell>
          <cell r="HZ728" t="str">
            <v>ISO4217:USD</v>
          </cell>
          <cell r="IA728" t="b">
            <v>0</v>
          </cell>
          <cell r="IB728" t="b">
            <v>0</v>
          </cell>
        </row>
        <row r="729">
          <cell r="D729" t="str">
            <v>Projected benefit obligation (OPEB)</v>
          </cell>
          <cell r="HX729" t="str">
            <v>mstag:projectedBenefitObligationOpeb</v>
          </cell>
          <cell r="HY729">
            <v>6</v>
          </cell>
          <cell r="HZ729" t="str">
            <v>ISO4217:USD</v>
          </cell>
          <cell r="IA729" t="b">
            <v>0</v>
          </cell>
          <cell r="IB729" t="b">
            <v>0</v>
          </cell>
        </row>
        <row r="730">
          <cell r="D730" t="str">
            <v>Plan assets at fair value (OPEB)</v>
          </cell>
          <cell r="HX730" t="str">
            <v>mstag:planAssetsAtFairValueOpeb</v>
          </cell>
          <cell r="HY730">
            <v>6</v>
          </cell>
          <cell r="HZ730" t="str">
            <v>ISO4217:USD</v>
          </cell>
          <cell r="IA730" t="b">
            <v>0</v>
          </cell>
          <cell r="IB730" t="b">
            <v>0</v>
          </cell>
        </row>
        <row r="731">
          <cell r="D731" t="str">
            <v>Net OPEB assets (liabilities) recognized in the balance sheet</v>
          </cell>
          <cell r="HX731" t="str">
            <v>mstag:netOpebAssetsLiabilitiesRecognizedInTheBalanceSheet</v>
          </cell>
          <cell r="HY731">
            <v>6</v>
          </cell>
          <cell r="HZ731" t="str">
            <v>ISO4217:USD</v>
          </cell>
          <cell r="IA731" t="b">
            <v>0</v>
          </cell>
          <cell r="IB731" t="b">
            <v>0</v>
          </cell>
        </row>
        <row r="732">
          <cell r="D732" t="str">
            <v>Weighted average discount rate (OPEB)</v>
          </cell>
          <cell r="HX732" t="str">
            <v>mstag:weightedAverageDiscountRateOpeb</v>
          </cell>
          <cell r="HY732">
            <v>0</v>
          </cell>
          <cell r="HZ732" t="str">
            <v>ms_eqr_gcim_Decimal:ms_eqr_gcim_decimal</v>
          </cell>
          <cell r="IA732" t="b">
            <v>0</v>
          </cell>
          <cell r="IB732" t="b">
            <v>0</v>
          </cell>
        </row>
        <row r="733">
          <cell r="D733" t="str">
            <v>Expected long term rate of return on plan assets (OPEB)</v>
          </cell>
          <cell r="HX733" t="str">
            <v>mstag:expectedLongTermRateOfReturnOnPlanAssetsOpeb</v>
          </cell>
          <cell r="HY733">
            <v>0</v>
          </cell>
          <cell r="HZ733" t="str">
            <v>ms_eqr_gcim_Decimal:ms_eqr_gcim_decimal</v>
          </cell>
          <cell r="IA733" t="b">
            <v>0</v>
          </cell>
          <cell r="IB733" t="b">
            <v>0</v>
          </cell>
        </row>
        <row r="734">
          <cell r="D734" t="str">
            <v>Expected rate of healthcare cost increase, short term</v>
          </cell>
          <cell r="HX734" t="str">
            <v>mstag:expectedRateOfHealthCareCostIncreaseShortTerm</v>
          </cell>
          <cell r="HY734">
            <v>0</v>
          </cell>
          <cell r="HZ734" t="str">
            <v>ms_eqr_gcim_Decimal:ms_eqr_gcim_decimal</v>
          </cell>
          <cell r="IA734" t="b">
            <v>0</v>
          </cell>
          <cell r="IB734" t="b">
            <v>0</v>
          </cell>
        </row>
        <row r="735">
          <cell r="D735" t="str">
            <v>Expected rate of healthcare cost increase, long term</v>
          </cell>
          <cell r="HX735" t="str">
            <v>mstag:expectedRateOfHealthCareCostIncreaseLongTerm</v>
          </cell>
          <cell r="HY735">
            <v>0</v>
          </cell>
          <cell r="HZ735" t="str">
            <v>ms_eqr_gcim_Decimal:ms_eqr_gcim_decimal</v>
          </cell>
          <cell r="IA735" t="b">
            <v>0</v>
          </cell>
          <cell r="IB735" t="b">
            <v>0</v>
          </cell>
        </row>
        <row r="737">
          <cell r="M737" t="str">
            <v>Values in the System :</v>
          </cell>
        </row>
        <row r="738">
          <cell r="M738">
            <v>63</v>
          </cell>
        </row>
        <row r="741">
          <cell r="A741" t="str">
            <v>Additional Data Items to be collected (these items are not in the taxonomy)</v>
          </cell>
        </row>
        <row r="742">
          <cell r="B742" t="str">
            <v>Leases</v>
          </cell>
        </row>
        <row r="743">
          <cell r="C743" t="str">
            <v>Year 1 Minimum Rental Payment</v>
          </cell>
          <cell r="G743">
            <v>15.068</v>
          </cell>
          <cell r="H743">
            <v>25.855</v>
          </cell>
          <cell r="I743">
            <v>33.090000000000003</v>
          </cell>
          <cell r="J743">
            <v>47.545000000000002</v>
          </cell>
          <cell r="K743">
            <v>4.8</v>
          </cell>
          <cell r="L743">
            <v>4.8</v>
          </cell>
          <cell r="M743">
            <v>6.5</v>
          </cell>
        </row>
        <row r="744">
          <cell r="C744" t="str">
            <v>Year 2 Minimum Rental Payment</v>
          </cell>
          <cell r="G744">
            <v>15.622</v>
          </cell>
          <cell r="H744">
            <v>23.591000000000001</v>
          </cell>
          <cell r="I744">
            <v>31.873000000000001</v>
          </cell>
          <cell r="J744">
            <v>48.029000000000003</v>
          </cell>
          <cell r="K744">
            <v>3</v>
          </cell>
          <cell r="L744">
            <v>3.3</v>
          </cell>
          <cell r="M744">
            <v>6.9</v>
          </cell>
        </row>
        <row r="745">
          <cell r="C745" t="str">
            <v>Year 3 Minimum Rental Payment</v>
          </cell>
          <cell r="G745">
            <v>15.196</v>
          </cell>
          <cell r="H745">
            <v>22.47</v>
          </cell>
          <cell r="I745">
            <v>28.492999999999999</v>
          </cell>
          <cell r="J745">
            <v>46.418999999999997</v>
          </cell>
          <cell r="K745">
            <v>1.7</v>
          </cell>
          <cell r="L745">
            <v>3.1</v>
          </cell>
          <cell r="M745">
            <v>5.8</v>
          </cell>
        </row>
        <row r="746">
          <cell r="C746" t="str">
            <v>Year 4 Minimum Rental Payment</v>
          </cell>
          <cell r="G746">
            <v>14.95</v>
          </cell>
          <cell r="H746">
            <v>19.626999999999999</v>
          </cell>
          <cell r="I746">
            <v>27.497</v>
          </cell>
          <cell r="J746">
            <v>41.847999999999999</v>
          </cell>
          <cell r="K746">
            <v>1.6</v>
          </cell>
          <cell r="L746">
            <v>2.6</v>
          </cell>
          <cell r="M746">
            <v>5.8</v>
          </cell>
        </row>
        <row r="747">
          <cell r="C747" t="str">
            <v>Year 5 Minimum Rental Payment</v>
          </cell>
          <cell r="G747">
            <v>14.968999999999999</v>
          </cell>
          <cell r="H747">
            <v>18.637</v>
          </cell>
          <cell r="I747">
            <v>24.611000000000001</v>
          </cell>
          <cell r="J747">
            <v>32.972999999999999</v>
          </cell>
          <cell r="K747">
            <v>1.6</v>
          </cell>
          <cell r="L747">
            <v>2.4</v>
          </cell>
          <cell r="M747">
            <v>5.8</v>
          </cell>
        </row>
        <row r="748">
          <cell r="C748" t="str">
            <v>Reported Cummulative Payments beyond Year 5</v>
          </cell>
          <cell r="G748">
            <v>14.759</v>
          </cell>
          <cell r="H748">
            <v>36.707000000000001</v>
          </cell>
          <cell r="I748">
            <v>23.83</v>
          </cell>
          <cell r="J748">
            <v>1.7310000000000001</v>
          </cell>
          <cell r="K748">
            <v>4.3</v>
          </cell>
          <cell r="L748">
            <v>5.2</v>
          </cell>
          <cell r="M748">
            <v>24.1</v>
          </cell>
        </row>
        <row r="749">
          <cell r="C749" t="str">
            <v>Current year minmum rental payment</v>
          </cell>
        </row>
        <row r="751">
          <cell r="C751" t="str">
            <v>Foot Working:</v>
          </cell>
        </row>
        <row r="752">
          <cell r="B752" t="str">
            <v>A</v>
          </cell>
          <cell r="C752" t="str">
            <v>Income statement</v>
          </cell>
        </row>
        <row r="753">
          <cell r="C753">
            <v>1</v>
          </cell>
          <cell r="D753" t="str">
            <v>Revenue, gross</v>
          </cell>
        </row>
        <row r="754">
          <cell r="F754" t="str">
            <v>Product sales</v>
          </cell>
          <cell r="G754">
            <v>584.88900000000001</v>
          </cell>
          <cell r="H754">
            <v>717.79499999999996</v>
          </cell>
          <cell r="I754">
            <v>1039.095</v>
          </cell>
          <cell r="J754">
            <v>1278.3440000000001</v>
          </cell>
          <cell r="K754">
            <v>1742.8969999999999</v>
          </cell>
          <cell r="L754">
            <v>2163.665</v>
          </cell>
        </row>
        <row r="755">
          <cell r="F755" t="str">
            <v>Contract revenue</v>
          </cell>
          <cell r="G755">
            <v>121.587</v>
          </cell>
          <cell r="H755">
            <v>114.795</v>
          </cell>
          <cell r="I755">
            <v>83.242000000000004</v>
          </cell>
          <cell r="J755">
            <v>160.363</v>
          </cell>
          <cell r="K755">
            <v>36.659999999999997</v>
          </cell>
          <cell r="L755">
            <v>54.442999999999998</v>
          </cell>
        </row>
        <row r="756">
          <cell r="G756">
            <v>706.476</v>
          </cell>
          <cell r="H756">
            <v>832.58999999999992</v>
          </cell>
          <cell r="I756">
            <v>1122.337</v>
          </cell>
          <cell r="J756">
            <v>1438.7070000000001</v>
          </cell>
          <cell r="K756">
            <v>1779.557</v>
          </cell>
          <cell r="L756">
            <v>2218.1080000000002</v>
          </cell>
        </row>
        <row r="759">
          <cell r="C759">
            <v>2</v>
          </cell>
          <cell r="D759" t="str">
            <v>Cost of sales, without depreciation</v>
          </cell>
          <cell r="G759">
            <v>102.536</v>
          </cell>
          <cell r="H759">
            <v>138.62299999999999</v>
          </cell>
          <cell r="I759">
            <v>285.54899999999998</v>
          </cell>
          <cell r="J759">
            <v>364.892</v>
          </cell>
          <cell r="K759">
            <v>354.44200000000001</v>
          </cell>
          <cell r="L759">
            <v>441.63</v>
          </cell>
        </row>
        <row r="760">
          <cell r="F760" t="str">
            <v>Less: Depreciation</v>
          </cell>
          <cell r="G760">
            <v>-65.533000000000001</v>
          </cell>
          <cell r="H760">
            <v>-78.100999999999999</v>
          </cell>
          <cell r="I760">
            <v>-90.281999999999996</v>
          </cell>
          <cell r="J760">
            <v>-88.804000000000002</v>
          </cell>
          <cell r="K760">
            <v>-96.290999999999997</v>
          </cell>
          <cell r="L760">
            <v>-104.55500000000001</v>
          </cell>
        </row>
        <row r="761">
          <cell r="G761">
            <v>37.003</v>
          </cell>
          <cell r="H761">
            <v>60.521999999999991</v>
          </cell>
          <cell r="I761">
            <v>195.267</v>
          </cell>
          <cell r="J761">
            <v>276.08799999999997</v>
          </cell>
          <cell r="K761">
            <v>258.15100000000001</v>
          </cell>
          <cell r="L761">
            <v>337.07499999999999</v>
          </cell>
        </row>
        <row r="764">
          <cell r="C764">
            <v>2</v>
          </cell>
          <cell r="D764" t="str">
            <v>General and administrative expenses</v>
          </cell>
          <cell r="G764">
            <v>470.923</v>
          </cell>
          <cell r="H764">
            <v>358.93099999999998</v>
          </cell>
          <cell r="I764">
            <v>393.65700000000004</v>
          </cell>
          <cell r="J764">
            <v>368.22399999999999</v>
          </cell>
          <cell r="K764">
            <v>446.90600000000001</v>
          </cell>
          <cell r="L764">
            <v>546.27599999999995</v>
          </cell>
        </row>
        <row r="765">
          <cell r="F765" t="str">
            <v>Less: Advertisement charges</v>
          </cell>
          <cell r="G765">
            <v>-41.8</v>
          </cell>
          <cell r="H765">
            <v>-47.7</v>
          </cell>
          <cell r="I765">
            <v>-80</v>
          </cell>
          <cell r="J765">
            <v>-86.5</v>
          </cell>
          <cell r="K765">
            <v>-91.9</v>
          </cell>
          <cell r="L765">
            <v>-111.7</v>
          </cell>
        </row>
        <row r="766">
          <cell r="G766">
            <v>429.12299999999999</v>
          </cell>
          <cell r="H766">
            <v>311.23099999999999</v>
          </cell>
          <cell r="I766">
            <v>313.65700000000004</v>
          </cell>
          <cell r="J766">
            <v>281.72399999999999</v>
          </cell>
          <cell r="K766">
            <v>355.00599999999997</v>
          </cell>
          <cell r="L766">
            <v>434.57599999999996</v>
          </cell>
        </row>
        <row r="767">
          <cell r="C767">
            <v>3</v>
          </cell>
          <cell r="D767" t="str">
            <v>Statutory Tax Rate</v>
          </cell>
        </row>
        <row r="768">
          <cell r="E768" t="str">
            <v>For 2002 , the statutory tax rate is as follows:</v>
          </cell>
        </row>
        <row r="769">
          <cell r="E769">
            <v>1</v>
          </cell>
          <cell r="F769" t="str">
            <v>Tax at U.S. statutory rate of 35%</v>
          </cell>
          <cell r="H769">
            <v>88.427999999999997</v>
          </cell>
          <cell r="I769">
            <v>-578.83100000000002</v>
          </cell>
          <cell r="J769">
            <v>1.391</v>
          </cell>
          <cell r="K769">
            <v>99.045000000000002</v>
          </cell>
          <cell r="L769">
            <v>10412</v>
          </cell>
        </row>
        <row r="770">
          <cell r="E770">
            <v>2</v>
          </cell>
          <cell r="F770" t="str">
            <v>State taxes</v>
          </cell>
          <cell r="H770">
            <v>7.4909999999999997</v>
          </cell>
          <cell r="I770">
            <v>-17.552999999999997</v>
          </cell>
          <cell r="J770">
            <v>0.95899999999999996</v>
          </cell>
          <cell r="K770">
            <v>16.219000000000001</v>
          </cell>
          <cell r="L770">
            <v>837</v>
          </cell>
        </row>
        <row r="771">
          <cell r="F771" t="str">
            <v>Total (A)</v>
          </cell>
          <cell r="H771">
            <v>95.918999999999997</v>
          </cell>
          <cell r="I771">
            <v>-596.38400000000001</v>
          </cell>
          <cell r="J771">
            <v>2.35</v>
          </cell>
          <cell r="K771">
            <v>115.26400000000001</v>
          </cell>
          <cell r="L771">
            <v>11249</v>
          </cell>
        </row>
        <row r="773">
          <cell r="F773" t="str">
            <v>Profit before taxes                                                                            (B)</v>
          </cell>
          <cell r="H773">
            <v>252.65100000000001</v>
          </cell>
          <cell r="I773">
            <v>-1157.5</v>
          </cell>
          <cell r="J773">
            <v>3.9729999999999999</v>
          </cell>
          <cell r="K773">
            <v>282.98599999999999</v>
          </cell>
          <cell r="L773">
            <v>29749</v>
          </cell>
        </row>
        <row r="775">
          <cell r="F775" t="str">
            <v>statutory tax rate  (A/B)*100</v>
          </cell>
          <cell r="H775">
            <v>0.37965018939169048</v>
          </cell>
          <cell r="I775">
            <v>0.51523455723542122</v>
          </cell>
          <cell r="J775">
            <v>0.59149257488044304</v>
          </cell>
          <cell r="K775">
            <v>0.40731343600036757</v>
          </cell>
          <cell r="L775">
            <v>0.37813035732293521</v>
          </cell>
        </row>
        <row r="777">
          <cell r="C777" t="str">
            <v>Reclassification</v>
          </cell>
        </row>
        <row r="778">
          <cell r="C778">
            <v>4</v>
          </cell>
          <cell r="D778" t="str">
            <v>Contract and other  (as disclosed in the respective year's financials)</v>
          </cell>
          <cell r="I778">
            <v>83.242000000000004</v>
          </cell>
        </row>
        <row r="779">
          <cell r="F779" t="str">
            <v>Add: Reclassification in 2000</v>
          </cell>
          <cell r="I779">
            <v>-20.337</v>
          </cell>
        </row>
        <row r="780">
          <cell r="I780">
            <v>103.57899999999999</v>
          </cell>
        </row>
        <row r="782">
          <cell r="C782">
            <v>5</v>
          </cell>
          <cell r="D782" t="str">
            <v>Amortization of taxable other intangible(as disclosed in the respective year's financials)</v>
          </cell>
          <cell r="I782">
            <v>197.74199999999999</v>
          </cell>
        </row>
        <row r="783">
          <cell r="F783" t="str">
            <v>Add: Reclassification in 2000</v>
          </cell>
          <cell r="I783">
            <v>-0.67799999999999727</v>
          </cell>
        </row>
        <row r="784">
          <cell r="I784">
            <v>198.42</v>
          </cell>
          <cell r="K784">
            <v>0</v>
          </cell>
          <cell r="L784">
            <v>0</v>
          </cell>
        </row>
        <row r="786">
          <cell r="C786">
            <v>6</v>
          </cell>
          <cell r="D786" t="str">
            <v>Current Tax (as disclosed in the respective year's financials)</v>
          </cell>
          <cell r="I786">
            <v>-203.10900000000004</v>
          </cell>
        </row>
        <row r="787">
          <cell r="F787" t="str">
            <v>Add: Reclassification in 2000</v>
          </cell>
          <cell r="I787">
            <v>-6.7</v>
          </cell>
        </row>
        <row r="788">
          <cell r="I788">
            <v>-196.40900000000005</v>
          </cell>
        </row>
        <row r="790">
          <cell r="B790" t="str">
            <v>B</v>
          </cell>
          <cell r="C790" t="str">
            <v>Balance Sheet Validation</v>
          </cell>
        </row>
        <row r="791">
          <cell r="C791">
            <v>6</v>
          </cell>
          <cell r="D791" t="str">
            <v>Other receivables, current</v>
          </cell>
        </row>
        <row r="792">
          <cell r="F792" t="str">
            <v>Accounts receivable − royalties</v>
          </cell>
          <cell r="L792">
            <v>116.423</v>
          </cell>
        </row>
        <row r="793">
          <cell r="F793" t="str">
            <v>Accounts receivable − related parties</v>
          </cell>
          <cell r="G793">
            <v>73.444000000000003</v>
          </cell>
          <cell r="H793">
            <v>22.85</v>
          </cell>
          <cell r="I793">
            <v>33.234000000000002</v>
          </cell>
          <cell r="J793">
            <v>36.298999999999999</v>
          </cell>
          <cell r="K793">
            <v>66.867000000000004</v>
          </cell>
          <cell r="L793">
            <v>0</v>
          </cell>
        </row>
        <row r="794">
          <cell r="F794" t="str">
            <v>Accounts receivable − other</v>
          </cell>
          <cell r="G794">
            <v>44.386000000000003</v>
          </cell>
          <cell r="H794">
            <v>47.48</v>
          </cell>
          <cell r="I794">
            <v>61.054000000000002</v>
          </cell>
          <cell r="J794">
            <v>63.262</v>
          </cell>
          <cell r="K794">
            <v>55.27</v>
          </cell>
          <cell r="L794">
            <v>59.151000000000003</v>
          </cell>
        </row>
        <row r="795">
          <cell r="G795">
            <v>117.83000000000001</v>
          </cell>
          <cell r="H795">
            <v>70.33</v>
          </cell>
          <cell r="I795">
            <v>94.288000000000011</v>
          </cell>
          <cell r="J795">
            <v>99.561000000000007</v>
          </cell>
          <cell r="K795">
            <v>122.137</v>
          </cell>
          <cell r="L795">
            <v>175.57400000000001</v>
          </cell>
        </row>
        <row r="796">
          <cell r="C796">
            <v>7</v>
          </cell>
          <cell r="D796" t="str">
            <v>Other assets, operating, noncurrent</v>
          </cell>
        </row>
        <row r="797">
          <cell r="F797" t="str">
            <v>Leasehold improvements</v>
          </cell>
          <cell r="G797">
            <v>3.27</v>
          </cell>
          <cell r="H797">
            <v>3.5649999999999999</v>
          </cell>
          <cell r="I797">
            <v>4.6550000000000002</v>
          </cell>
          <cell r="J797">
            <v>18.456</v>
          </cell>
          <cell r="K797">
            <v>30.632000000000001</v>
          </cell>
          <cell r="L797">
            <v>53.588999999999999</v>
          </cell>
        </row>
        <row r="798">
          <cell r="F798" t="str">
            <v>Other long−term assets</v>
          </cell>
          <cell r="G798">
            <v>177.202</v>
          </cell>
          <cell r="H798">
            <v>131.274</v>
          </cell>
          <cell r="I798">
            <v>201.101</v>
          </cell>
          <cell r="J798">
            <v>168.458</v>
          </cell>
          <cell r="K798">
            <v>70.622</v>
          </cell>
          <cell r="L798">
            <v>110.158</v>
          </cell>
        </row>
        <row r="799">
          <cell r="G799">
            <v>180.47200000000001</v>
          </cell>
          <cell r="H799">
            <v>134.839</v>
          </cell>
          <cell r="I799">
            <v>205.756</v>
          </cell>
          <cell r="J799">
            <v>186.91399999999999</v>
          </cell>
          <cell r="K799">
            <v>101.254</v>
          </cell>
          <cell r="L799">
            <v>163.74700000000001</v>
          </cell>
        </row>
        <row r="800">
          <cell r="C800">
            <v>8</v>
          </cell>
          <cell r="D800" t="str">
            <v>Other accrued expenses</v>
          </cell>
        </row>
        <row r="801">
          <cell r="F801" t="str">
            <v>Accrued royalties</v>
          </cell>
          <cell r="G801">
            <v>23.905000000000001</v>
          </cell>
          <cell r="H801">
            <v>23.391999999999999</v>
          </cell>
          <cell r="I801">
            <v>37.692</v>
          </cell>
          <cell r="J801">
            <v>34.811</v>
          </cell>
          <cell r="K801">
            <v>69.66</v>
          </cell>
          <cell r="L801">
            <v>87.081999999999994</v>
          </cell>
        </row>
        <row r="802">
          <cell r="F802" t="str">
            <v>Accrued clinical and other studies</v>
          </cell>
          <cell r="G802">
            <v>47.268999999999998</v>
          </cell>
          <cell r="H802">
            <v>35.534999999999997</v>
          </cell>
          <cell r="I802">
            <v>18.012</v>
          </cell>
          <cell r="J802">
            <v>35.625999999999998</v>
          </cell>
          <cell r="K802">
            <v>42.433999999999997</v>
          </cell>
          <cell r="L802">
            <v>59.33</v>
          </cell>
        </row>
        <row r="803">
          <cell r="F803" t="str">
            <v>Accrued marketing and promotion costs</v>
          </cell>
          <cell r="G803">
            <v>13.369</v>
          </cell>
          <cell r="H803">
            <v>9.4169999999999998</v>
          </cell>
          <cell r="I803">
            <v>17.896999999999998</v>
          </cell>
          <cell r="J803">
            <v>21.228999999999999</v>
          </cell>
          <cell r="K803">
            <v>28.395</v>
          </cell>
          <cell r="L803">
            <v>39.100999999999999</v>
          </cell>
        </row>
        <row r="804">
          <cell r="F804" t="str">
            <v>Accrued collaborations</v>
          </cell>
          <cell r="G804">
            <v>0</v>
          </cell>
          <cell r="H804">
            <v>0</v>
          </cell>
          <cell r="I804">
            <v>20.707999999999998</v>
          </cell>
          <cell r="J804">
            <v>111.254</v>
          </cell>
          <cell r="K804">
            <v>71.046000000000006</v>
          </cell>
          <cell r="L804">
            <v>103.432</v>
          </cell>
        </row>
        <row r="805">
          <cell r="F805" t="str">
            <v>Accrued legal settlement</v>
          </cell>
          <cell r="H805">
            <v>0</v>
          </cell>
          <cell r="I805">
            <v>200</v>
          </cell>
          <cell r="J805">
            <v>0</v>
          </cell>
          <cell r="K805">
            <v>0</v>
          </cell>
          <cell r="L805">
            <v>0</v>
          </cell>
        </row>
        <row r="806">
          <cell r="G806">
            <v>84.543000000000006</v>
          </cell>
          <cell r="H806">
            <v>68.343999999999994</v>
          </cell>
          <cell r="I806">
            <v>294.30899999999997</v>
          </cell>
          <cell r="J806">
            <v>202.92000000000002</v>
          </cell>
          <cell r="K806">
            <v>211.53500000000003</v>
          </cell>
          <cell r="L806">
            <v>288.94499999999999</v>
          </cell>
        </row>
        <row r="807">
          <cell r="C807">
            <v>9</v>
          </cell>
          <cell r="D807" t="str">
            <v>Other liabilities, operating, current</v>
          </cell>
        </row>
        <row r="808">
          <cell r="F808" t="str">
            <v>Hedge payable</v>
          </cell>
          <cell r="G808">
            <v>0</v>
          </cell>
          <cell r="H808">
            <v>5.42</v>
          </cell>
          <cell r="I808">
            <v>33.499000000000002</v>
          </cell>
          <cell r="J808">
            <v>32.171999999999997</v>
          </cell>
        </row>
        <row r="809">
          <cell r="F809" t="str">
            <v>Other</v>
          </cell>
          <cell r="G809">
            <v>55.677999999999997</v>
          </cell>
          <cell r="H809">
            <v>72.218999999999994</v>
          </cell>
          <cell r="I809">
            <v>47.52</v>
          </cell>
          <cell r="J809">
            <v>66.337999999999994</v>
          </cell>
        </row>
        <row r="810">
          <cell r="F810" t="str">
            <v>Accrued liabilities − related parties</v>
          </cell>
          <cell r="G810">
            <v>15.427</v>
          </cell>
          <cell r="H810">
            <v>10.945</v>
          </cell>
          <cell r="I810">
            <v>14.96</v>
          </cell>
          <cell r="J810">
            <v>12.265000000000001</v>
          </cell>
        </row>
        <row r="811">
          <cell r="G811">
            <v>71.10499999999999</v>
          </cell>
          <cell r="H811">
            <v>88.584000000000003</v>
          </cell>
          <cell r="I811">
            <v>95.979000000000013</v>
          </cell>
          <cell r="J811">
            <v>110.77499999999999</v>
          </cell>
        </row>
        <row r="812">
          <cell r="B812" t="str">
            <v>C</v>
          </cell>
          <cell r="C812" t="str">
            <v>Cash Flow Validation</v>
          </cell>
        </row>
        <row r="813">
          <cell r="C813">
            <v>10</v>
          </cell>
          <cell r="D813" t="str">
            <v>Net decrease in investments, nonoperating</v>
          </cell>
        </row>
        <row r="814">
          <cell r="F814" t="str">
            <v>Gain on sales of securities available−for−sale and other</v>
          </cell>
          <cell r="G814">
            <v>-13.202999999999999</v>
          </cell>
          <cell r="H814">
            <v>-9.5419999999999998</v>
          </cell>
          <cell r="I814">
            <v>-19.375</v>
          </cell>
          <cell r="J814">
            <v>-132.30699999999999</v>
          </cell>
          <cell r="K814">
            <v>-39.398000000000003</v>
          </cell>
          <cell r="L814">
            <v>-53.71</v>
          </cell>
        </row>
        <row r="815">
          <cell r="F815" t="str">
            <v>Loss on sales of securities available−for−sale</v>
          </cell>
          <cell r="G815">
            <v>2.0960000000000001</v>
          </cell>
          <cell r="H815">
            <v>1.8089999999999999</v>
          </cell>
          <cell r="I815">
            <v>1.8050000000000002</v>
          </cell>
          <cell r="J815">
            <v>3.9569999999999999</v>
          </cell>
          <cell r="K815">
            <v>2.0110000000000001</v>
          </cell>
          <cell r="L815">
            <v>5.8680000000000003</v>
          </cell>
        </row>
        <row r="816">
          <cell r="F816" t="str">
            <v>Write−down of securities available−for−sale</v>
          </cell>
          <cell r="G816">
            <v>4</v>
          </cell>
          <cell r="H816">
            <v>20.248999999999999</v>
          </cell>
          <cell r="I816">
            <v>13.422000000000001</v>
          </cell>
          <cell r="J816">
            <v>4.8</v>
          </cell>
          <cell r="K816">
            <v>27.504000000000001</v>
          </cell>
          <cell r="L816">
            <v>40.759</v>
          </cell>
        </row>
        <row r="817">
          <cell r="F817" t="str">
            <v>Investments in trading securities</v>
          </cell>
          <cell r="G817">
            <v>-109.13200000000001</v>
          </cell>
          <cell r="H817">
            <v>12.725</v>
          </cell>
          <cell r="I817">
            <v>-10.158999999999999</v>
          </cell>
          <cell r="J817">
            <v>-20.963000000000001</v>
          </cell>
          <cell r="K817">
            <v>-85.712000000000003</v>
          </cell>
          <cell r="L817">
            <v>-121.986</v>
          </cell>
        </row>
        <row r="818">
          <cell r="F818" t="str">
            <v>Purchases of securities available−for−sale</v>
          </cell>
          <cell r="G818">
            <v>-512.72699999999998</v>
          </cell>
          <cell r="H818">
            <v>-800.78800000000001</v>
          </cell>
          <cell r="I818">
            <v>-595.06799999999998</v>
          </cell>
          <cell r="J818">
            <v>-560.40499999999997</v>
          </cell>
          <cell r="K818">
            <v>-1559.23</v>
          </cell>
          <cell r="L818">
            <v>-806.44399999999996</v>
          </cell>
        </row>
        <row r="819">
          <cell r="F819" t="str">
            <v>Proceeds from sales and maturities of securities available−for−sale</v>
          </cell>
          <cell r="G819">
            <v>410.39499999999998</v>
          </cell>
          <cell r="H819">
            <v>430.93599999999998</v>
          </cell>
          <cell r="I819">
            <v>627.06299999999999</v>
          </cell>
          <cell r="J819">
            <v>574.14499999999998</v>
          </cell>
          <cell r="K819">
            <v>1084.546</v>
          </cell>
          <cell r="L819">
            <v>1746.1980000000001</v>
          </cell>
        </row>
        <row r="820">
          <cell r="F820" t="str">
            <v>Purchases of nonmarketable equity securities</v>
          </cell>
          <cell r="G820">
            <v>0</v>
          </cell>
          <cell r="H820">
            <v>-29.044</v>
          </cell>
          <cell r="I820">
            <v>-52.957999999999998</v>
          </cell>
          <cell r="J820">
            <v>-5.6630000000000003</v>
          </cell>
          <cell r="K820">
            <v>-5.83</v>
          </cell>
          <cell r="L820">
            <v>-6.29</v>
          </cell>
        </row>
        <row r="821">
          <cell r="F821" t="str">
            <v>Transfer to restricted cash</v>
          </cell>
          <cell r="G821">
            <v>0</v>
          </cell>
          <cell r="H821">
            <v>0</v>
          </cell>
          <cell r="I821">
            <v>-56.6</v>
          </cell>
          <cell r="J821">
            <v>0</v>
          </cell>
          <cell r="K821">
            <v>0</v>
          </cell>
          <cell r="L821">
            <v>-630</v>
          </cell>
        </row>
        <row r="822">
          <cell r="F822" t="str">
            <v>Write−down of nonmarketable securities</v>
          </cell>
          <cell r="G822">
            <v>0</v>
          </cell>
          <cell r="H822">
            <v>16.689</v>
          </cell>
          <cell r="I822">
            <v>0.432</v>
          </cell>
          <cell r="J822">
            <v>0</v>
          </cell>
          <cell r="K822">
            <v>0</v>
          </cell>
          <cell r="L822">
            <v>0</v>
          </cell>
        </row>
        <row r="823">
          <cell r="F823" t="str">
            <v>Purchases of securities held−to−maturity</v>
          </cell>
          <cell r="G823">
            <v>-304.93200000000002</v>
          </cell>
          <cell r="H823">
            <v>-327.69</v>
          </cell>
          <cell r="I823">
            <v>-186.61199999999999</v>
          </cell>
          <cell r="J823">
            <v>0</v>
          </cell>
          <cell r="K823">
            <v>0</v>
          </cell>
          <cell r="L823">
            <v>0</v>
          </cell>
        </row>
        <row r="824">
          <cell r="F824" t="str">
            <v>Proceeds from maturities of securities held−to−maturity</v>
          </cell>
          <cell r="G824">
            <v>455.31700000000001</v>
          </cell>
          <cell r="H824">
            <v>410.72899999999998</v>
          </cell>
          <cell r="I824">
            <v>286.49699999999996</v>
          </cell>
          <cell r="J824">
            <v>0</v>
          </cell>
          <cell r="K824">
            <v>0</v>
          </cell>
          <cell r="L824">
            <v>0</v>
          </cell>
        </row>
        <row r="825">
          <cell r="G825">
            <v>-68.186000000000035</v>
          </cell>
          <cell r="H825">
            <v>-273.92699999999996</v>
          </cell>
          <cell r="I825">
            <v>8.4469999999999459</v>
          </cell>
          <cell r="J825">
            <v>-136.43600000000004</v>
          </cell>
          <cell r="K825">
            <v>-576.10900000000004</v>
          </cell>
          <cell r="L825">
            <v>174.39500000000021</v>
          </cell>
        </row>
        <row r="827">
          <cell r="B827" t="str">
            <v>D</v>
          </cell>
          <cell r="C827" t="str">
            <v>Changes in Shareholders Equity Validation</v>
          </cell>
        </row>
        <row r="828">
          <cell r="C828">
            <v>11</v>
          </cell>
          <cell r="D828" t="str">
            <v>Other changes in share capital</v>
          </cell>
        </row>
        <row r="829">
          <cell r="E829" t="str">
            <v>A</v>
          </cell>
          <cell r="F829" t="str">
            <v>Period from January 1 to June 30, 1999</v>
          </cell>
        </row>
        <row r="830">
          <cell r="F830" t="str">
            <v xml:space="preserve"> - Change in Special common Stock</v>
          </cell>
          <cell r="I830">
            <v>-4.1619999999999999</v>
          </cell>
        </row>
        <row r="831">
          <cell r="F831" t="str">
            <v xml:space="preserve"> - Change in common stock</v>
          </cell>
          <cell r="I831">
            <v>4.0540000000000003</v>
          </cell>
        </row>
        <row r="832">
          <cell r="F832" t="str">
            <v xml:space="preserve"> - Changes in Additional Paid - Capital</v>
          </cell>
          <cell r="I832">
            <v>5361.9719999999998</v>
          </cell>
        </row>
        <row r="833">
          <cell r="F833" t="str">
            <v xml:space="preserve"> - Amortization of good−will, intangibles and fair value adjustment to inventories, net of tax</v>
          </cell>
          <cell r="I833">
            <v>-500.5</v>
          </cell>
        </row>
        <row r="834">
          <cell r="F834" t="str">
            <v xml:space="preserve"> - In−process research and development</v>
          </cell>
          <cell r="I834">
            <v>-1221.644</v>
          </cell>
        </row>
        <row r="835">
          <cell r="F835" t="str">
            <v>Total (A + B)</v>
          </cell>
          <cell r="I835">
            <v>3639.7199999999993</v>
          </cell>
        </row>
        <row r="837">
          <cell r="D837" t="str">
            <v>Calculation of Top 3 drugs as percent of total sales</v>
          </cell>
        </row>
        <row r="838">
          <cell r="F838" t="str">
            <v>Rituxan</v>
          </cell>
          <cell r="G838">
            <v>5.5</v>
          </cell>
          <cell r="H838">
            <v>162.6</v>
          </cell>
          <cell r="I838">
            <v>279.39999999999998</v>
          </cell>
          <cell r="J838">
            <v>444.1</v>
          </cell>
          <cell r="K838">
            <v>818.6</v>
          </cell>
          <cell r="L838">
            <v>1162.9000000000001</v>
          </cell>
        </row>
        <row r="839">
          <cell r="F839" t="str">
            <v>Herceptin</v>
          </cell>
          <cell r="G839">
            <v>0</v>
          </cell>
          <cell r="H839">
            <v>30.5</v>
          </cell>
          <cell r="I839">
            <v>188.4</v>
          </cell>
          <cell r="J839">
            <v>275.89999999999998</v>
          </cell>
          <cell r="K839">
            <v>346.7</v>
          </cell>
          <cell r="L839">
            <v>385.2</v>
          </cell>
        </row>
        <row r="840">
          <cell r="F840" t="str">
            <v>Growth Hormone</v>
          </cell>
          <cell r="G840">
            <v>223.6</v>
          </cell>
          <cell r="H840">
            <v>214</v>
          </cell>
          <cell r="I840">
            <v>221.2</v>
          </cell>
          <cell r="J840">
            <v>226.6</v>
          </cell>
          <cell r="K840">
            <v>250.2</v>
          </cell>
          <cell r="L840">
            <v>297.2</v>
          </cell>
        </row>
        <row r="841">
          <cell r="F841" t="str">
            <v>Total (A)</v>
          </cell>
          <cell r="G841">
            <v>229.1</v>
          </cell>
          <cell r="H841">
            <v>407.1</v>
          </cell>
          <cell r="I841">
            <v>689</v>
          </cell>
          <cell r="J841">
            <v>946.6</v>
          </cell>
          <cell r="K841">
            <v>1415.5</v>
          </cell>
          <cell r="L841">
            <v>1845.3000000000002</v>
          </cell>
        </row>
        <row r="843">
          <cell r="F843" t="str">
            <v>Total Product sales (B)</v>
          </cell>
          <cell r="G843">
            <v>584.9</v>
          </cell>
          <cell r="H843">
            <v>717.8</v>
          </cell>
          <cell r="I843">
            <v>1039.0999999999999</v>
          </cell>
          <cell r="J843">
            <v>1278.3</v>
          </cell>
          <cell r="K843">
            <v>1742.9</v>
          </cell>
          <cell r="L843">
            <v>2163.6</v>
          </cell>
        </row>
        <row r="845">
          <cell r="F845" t="str">
            <v>Percent       (A/B)*100</v>
          </cell>
          <cell r="G845">
            <v>0.39169088733116775</v>
          </cell>
          <cell r="H845">
            <v>0.56714962385065482</v>
          </cell>
          <cell r="I845">
            <v>0.66307381387739395</v>
          </cell>
          <cell r="J845">
            <v>0.74051474614722679</v>
          </cell>
          <cell r="K845">
            <v>0.81215216019278214</v>
          </cell>
          <cell r="L845">
            <v>0.85288408208541333</v>
          </cell>
        </row>
      </sheetData>
      <sheetData sheetId="18" refreshError="1">
        <row r="2">
          <cell r="B2" t="str">
            <v>Rituxan - Adoption Rates</v>
          </cell>
        </row>
        <row r="3">
          <cell r="B3" t="str">
            <v>Rolling 4 Quarter Averages</v>
          </cell>
          <cell r="C3" t="str">
            <v>3Q03</v>
          </cell>
          <cell r="D3" t="str">
            <v>1Q04</v>
          </cell>
          <cell r="E3" t="str">
            <v>2Q04</v>
          </cell>
          <cell r="F3" t="str">
            <v>3Q04</v>
          </cell>
          <cell r="G3" t="str">
            <v>4Q04</v>
          </cell>
          <cell r="H3" t="str">
            <v>2Q05</v>
          </cell>
          <cell r="I3" t="str">
            <v>3Q05</v>
          </cell>
          <cell r="L3" t="str">
            <v>Phase I/II PTK787 with FOLFOX4</v>
          </cell>
          <cell r="O3" t="str">
            <v>Phase I/II PTK787 with FOLFIRI</v>
          </cell>
        </row>
        <row r="4">
          <cell r="B4" t="str">
            <v>Overall NHL &amp; CLL</v>
          </cell>
          <cell r="C4">
            <v>0.7</v>
          </cell>
          <cell r="D4">
            <v>0.68</v>
          </cell>
          <cell r="E4">
            <v>0.7</v>
          </cell>
          <cell r="F4">
            <v>0.72</v>
          </cell>
          <cell r="G4">
            <v>0.75</v>
          </cell>
          <cell r="H4">
            <v>0.78</v>
          </cell>
          <cell r="I4">
            <v>0.8</v>
          </cell>
          <cell r="L4" t="str">
            <v>n=28</v>
          </cell>
          <cell r="O4" t="str">
            <v>n=16</v>
          </cell>
        </row>
        <row r="5">
          <cell r="B5" t="str">
            <v>NHL</v>
          </cell>
          <cell r="L5" t="str">
            <v>Dose ranges</v>
          </cell>
          <cell r="M5" t="str">
            <v>500-2,000 mg</v>
          </cell>
          <cell r="O5" t="str">
            <v>Dose ranges</v>
          </cell>
          <cell r="P5" t="str">
            <v>500-1,250 mg</v>
          </cell>
        </row>
        <row r="6">
          <cell r="B6" t="str">
            <v>Front-line Indolent</v>
          </cell>
          <cell r="C6">
            <v>0.8</v>
          </cell>
          <cell r="D6">
            <v>0.76</v>
          </cell>
          <cell r="E6">
            <v>0.8</v>
          </cell>
          <cell r="F6">
            <v>0.85</v>
          </cell>
          <cell r="G6">
            <v>0.85</v>
          </cell>
          <cell r="H6">
            <v>0.87</v>
          </cell>
          <cell r="I6">
            <v>0.89</v>
          </cell>
          <cell r="L6" t="str">
            <v>MTD</v>
          </cell>
          <cell r="M6" t="str">
            <v>1,250 mg</v>
          </cell>
          <cell r="O6" t="str">
            <v>MTD</v>
          </cell>
          <cell r="P6" t="str">
            <v>1,250 mg</v>
          </cell>
        </row>
        <row r="7">
          <cell r="B7" t="str">
            <v>Relapsed indolent</v>
          </cell>
          <cell r="C7">
            <v>0.76</v>
          </cell>
          <cell r="D7">
            <v>0.75</v>
          </cell>
          <cell r="E7">
            <v>0.76</v>
          </cell>
          <cell r="F7">
            <v>0.77</v>
          </cell>
          <cell r="G7">
            <v>0.77</v>
          </cell>
          <cell r="H7">
            <v>0.75</v>
          </cell>
          <cell r="I7">
            <v>0.77</v>
          </cell>
          <cell r="L7" t="str">
            <v>CR</v>
          </cell>
          <cell r="M7" t="str">
            <v>1 (4%)</v>
          </cell>
          <cell r="O7" t="str">
            <v>CR</v>
          </cell>
          <cell r="P7">
            <v>0</v>
          </cell>
        </row>
        <row r="8">
          <cell r="B8" t="str">
            <v>Front-line aggressive</v>
          </cell>
          <cell r="C8">
            <v>0.81</v>
          </cell>
          <cell r="D8">
            <v>0.82</v>
          </cell>
          <cell r="E8">
            <v>0.81</v>
          </cell>
          <cell r="F8">
            <v>0.83</v>
          </cell>
          <cell r="G8">
            <v>0.83</v>
          </cell>
          <cell r="H8">
            <v>0.87</v>
          </cell>
          <cell r="I8">
            <v>0.87</v>
          </cell>
          <cell r="L8" t="str">
            <v>PR</v>
          </cell>
          <cell r="M8" t="str">
            <v>14 (50%)</v>
          </cell>
          <cell r="O8" t="str">
            <v>PR</v>
          </cell>
          <cell r="P8" t="str">
            <v>4 (33%)</v>
          </cell>
        </row>
        <row r="9">
          <cell r="B9" t="str">
            <v>Relapsed aggressive</v>
          </cell>
          <cell r="C9">
            <v>0.55000000000000004</v>
          </cell>
          <cell r="D9">
            <v>0.55000000000000004</v>
          </cell>
          <cell r="E9">
            <v>0.55000000000000004</v>
          </cell>
          <cell r="F9">
            <v>0.56000000000000005</v>
          </cell>
          <cell r="G9">
            <v>0.64</v>
          </cell>
          <cell r="H9">
            <v>0.64</v>
          </cell>
          <cell r="I9">
            <v>0.67</v>
          </cell>
          <cell r="L9" t="str">
            <v>SD</v>
          </cell>
          <cell r="M9" t="str">
            <v>9 (32%)</v>
          </cell>
          <cell r="O9" t="str">
            <v>SD</v>
          </cell>
          <cell r="P9" t="str">
            <v>5 (42%)</v>
          </cell>
        </row>
        <row r="10">
          <cell r="B10" t="str">
            <v>CLL</v>
          </cell>
          <cell r="L10" t="str">
            <v>median PFS</v>
          </cell>
          <cell r="M10" t="str">
            <v>11 months</v>
          </cell>
          <cell r="O10" t="str">
            <v>median TTP</v>
          </cell>
          <cell r="P10" t="str">
            <v>6.7 months</v>
          </cell>
        </row>
        <row r="11">
          <cell r="B11" t="str">
            <v>Front-line CLL</v>
          </cell>
          <cell r="C11">
            <v>0.52</v>
          </cell>
          <cell r="D11">
            <v>0.46</v>
          </cell>
          <cell r="E11">
            <v>0.52</v>
          </cell>
          <cell r="F11">
            <v>0.56999999999999995</v>
          </cell>
          <cell r="G11">
            <v>0.63</v>
          </cell>
          <cell r="H11">
            <v>0.65</v>
          </cell>
          <cell r="I11">
            <v>0.69</v>
          </cell>
          <cell r="L11" t="str">
            <v>median OS</v>
          </cell>
          <cell r="M11" t="str">
            <v>16.6 months</v>
          </cell>
          <cell r="O11" t="str">
            <v>median OS</v>
          </cell>
          <cell r="P11" t="str">
            <v>&gt;9 months</v>
          </cell>
        </row>
        <row r="12">
          <cell r="B12" t="str">
            <v>Relapsed CLL</v>
          </cell>
          <cell r="C12">
            <v>0.55000000000000004</v>
          </cell>
          <cell r="D12">
            <v>0.57999999999999996</v>
          </cell>
          <cell r="E12">
            <v>0.55000000000000004</v>
          </cell>
          <cell r="F12">
            <v>0.55000000000000004</v>
          </cell>
          <cell r="G12">
            <v>0.56999999999999995</v>
          </cell>
          <cell r="H12">
            <v>0.67</v>
          </cell>
          <cell r="I12">
            <v>0.68</v>
          </cell>
          <cell r="L12" t="str">
            <v>Adverse events:</v>
          </cell>
          <cell r="M12" t="str">
            <v>Ataxia</v>
          </cell>
          <cell r="O12" t="str">
            <v>Adverse events:</v>
          </cell>
          <cell r="P12" t="str">
            <v>hypertension</v>
          </cell>
        </row>
        <row r="13">
          <cell r="B13" t="str">
            <v>MDs using maintenance</v>
          </cell>
          <cell r="C13">
            <v>0.59</v>
          </cell>
          <cell r="D13">
            <v>0.55000000000000004</v>
          </cell>
          <cell r="E13">
            <v>0.59</v>
          </cell>
          <cell r="F13">
            <v>0.62</v>
          </cell>
          <cell r="G13">
            <v>0.65</v>
          </cell>
          <cell r="H13">
            <v>0.7</v>
          </cell>
          <cell r="I13">
            <v>0.75</v>
          </cell>
          <cell r="M13" t="str">
            <v>neutropenia</v>
          </cell>
          <cell r="P13" t="str">
            <v>fatigue</v>
          </cell>
        </row>
        <row r="14">
          <cell r="B14" t="str">
            <v>Patients receiving maint.</v>
          </cell>
          <cell r="C14">
            <v>0.09</v>
          </cell>
          <cell r="F14">
            <v>0.1</v>
          </cell>
          <cell r="G14">
            <v>0.15</v>
          </cell>
          <cell r="H14">
            <v>0.19</v>
          </cell>
          <cell r="I14">
            <v>0.2</v>
          </cell>
          <cell r="M14" t="str">
            <v>thrombocytopenia</v>
          </cell>
          <cell r="P14" t="str">
            <v>dizziness</v>
          </cell>
        </row>
        <row r="15">
          <cell r="S15" t="str">
            <v>AC + Taxotere + Herceptin</v>
          </cell>
          <cell r="T15" t="str">
            <v>Taxotere + carboplatin + Herceptin</v>
          </cell>
          <cell r="U15" t="str">
            <v>AC + Taxotere (control)</v>
          </cell>
        </row>
        <row r="16">
          <cell r="R16" t="str">
            <v>Reduction in Disease Recurrence (Primary Endpoint)</v>
          </cell>
          <cell r="S16" t="str">
            <v>51%*</v>
          </cell>
          <cell r="T16" t="str">
            <v>39%*</v>
          </cell>
          <cell r="U16" t="str">
            <v>-</v>
          </cell>
        </row>
        <row r="17">
          <cell r="R17" t="str">
            <v>Clinicallly Significant Cardiac Adverse Events</v>
          </cell>
          <cell r="S17">
            <v>2.3E-2</v>
          </cell>
          <cell r="T17">
            <v>1.2999999999999999E-2</v>
          </cell>
          <cell r="U17">
            <v>1.2999999999999999E-2</v>
          </cell>
        </row>
        <row r="18">
          <cell r="L18" t="str">
            <v>Ph II RCC data</v>
          </cell>
          <cell r="R18" t="str">
            <v>Note: * Statistically significant; AC = doxorubicin plus cyclophosphamide</v>
          </cell>
        </row>
        <row r="19">
          <cell r="B19" t="str">
            <v>Avastin - Adoption Rates</v>
          </cell>
          <cell r="L19" t="str">
            <v>Avastin</v>
          </cell>
          <cell r="M19" t="str">
            <v>10mg</v>
          </cell>
          <cell r="N19" t="str">
            <v>3mg</v>
          </cell>
          <cell r="O19" t="str">
            <v>Placebo</v>
          </cell>
        </row>
        <row r="20">
          <cell r="B20" t="str">
            <v>Colorectal cancer</v>
          </cell>
          <cell r="C20" t="str">
            <v>3Q04</v>
          </cell>
          <cell r="D20" t="str">
            <v>4Q04</v>
          </cell>
          <cell r="E20" t="str">
            <v>1Q05</v>
          </cell>
          <cell r="F20" t="str">
            <v>2Q05</v>
          </cell>
          <cell r="G20" t="str">
            <v>3Q05</v>
          </cell>
          <cell r="H20" t="str">
            <v>3Q05</v>
          </cell>
          <cell r="I20" t="str">
            <v>3Q05</v>
          </cell>
          <cell r="L20" t="str">
            <v>n=</v>
          </cell>
          <cell r="M20">
            <v>39</v>
          </cell>
          <cell r="N20">
            <v>37</v>
          </cell>
          <cell r="O20">
            <v>40</v>
          </cell>
        </row>
        <row r="21">
          <cell r="B21" t="str">
            <v xml:space="preserve">Front-line </v>
          </cell>
          <cell r="C21">
            <v>0.4</v>
          </cell>
          <cell r="D21">
            <v>0.55000000000000004</v>
          </cell>
          <cell r="E21">
            <v>0.61</v>
          </cell>
          <cell r="F21">
            <v>0.64</v>
          </cell>
          <cell r="G21">
            <v>0.67</v>
          </cell>
          <cell r="H21">
            <v>0.67</v>
          </cell>
          <cell r="I21">
            <v>0.67</v>
          </cell>
          <cell r="L21" t="str">
            <v>TTP</v>
          </cell>
          <cell r="M21">
            <v>4.8</v>
          </cell>
          <cell r="N21">
            <v>3</v>
          </cell>
          <cell r="O21">
            <v>2.5</v>
          </cell>
        </row>
        <row r="22">
          <cell r="B22" t="str">
            <v>Refractory</v>
          </cell>
          <cell r="D22">
            <v>0.37</v>
          </cell>
          <cell r="E22">
            <v>0.47</v>
          </cell>
          <cell r="F22">
            <v>0.35</v>
          </cell>
          <cell r="G22">
            <v>0.4</v>
          </cell>
          <cell r="H22">
            <v>0.4</v>
          </cell>
          <cell r="I22">
            <v>0.4</v>
          </cell>
          <cell r="L22" t="str">
            <v>progression free</v>
          </cell>
        </row>
        <row r="23">
          <cell r="L23" t="str">
            <v>4 months</v>
          </cell>
          <cell r="M23">
            <v>0.64</v>
          </cell>
          <cell r="N23">
            <v>0.39</v>
          </cell>
          <cell r="O23">
            <v>0.2</v>
          </cell>
        </row>
        <row r="24">
          <cell r="B24" t="str">
            <v>Avastin - Off label use</v>
          </cell>
          <cell r="L24" t="str">
            <v>8 months</v>
          </cell>
          <cell r="M24">
            <v>0.3</v>
          </cell>
          <cell r="N24">
            <v>0.14000000000000001</v>
          </cell>
          <cell r="O24">
            <v>0.05</v>
          </cell>
        </row>
        <row r="25">
          <cell r="C25" t="str">
            <v>2Q05</v>
          </cell>
          <cell r="D25" t="str">
            <v>3Q05</v>
          </cell>
          <cell r="L25" t="str">
            <v>RR</v>
          </cell>
          <cell r="M25">
            <v>0.1</v>
          </cell>
          <cell r="N25">
            <v>0</v>
          </cell>
          <cell r="O25">
            <v>0</v>
          </cell>
        </row>
        <row r="26">
          <cell r="B26" t="str">
            <v>Avastin sales</v>
          </cell>
          <cell r="C26">
            <v>245</v>
          </cell>
          <cell r="D26">
            <v>325</v>
          </cell>
        </row>
        <row r="27">
          <cell r="B27" t="str">
            <v>% of Avastin sales</v>
          </cell>
          <cell r="C27">
            <v>0.1</v>
          </cell>
          <cell r="D27">
            <v>0.15</v>
          </cell>
        </row>
        <row r="28">
          <cell r="B28" t="str">
            <v>Off-label sales</v>
          </cell>
          <cell r="C28">
            <v>24.5</v>
          </cell>
          <cell r="D28">
            <v>48.75</v>
          </cell>
          <cell r="L28" t="str">
            <v>Ph II pancreatic data</v>
          </cell>
        </row>
        <row r="29">
          <cell r="L29" t="str">
            <v>Pancreatic CA</v>
          </cell>
          <cell r="M29" t="str">
            <v>Gem + 10mg Avastin</v>
          </cell>
        </row>
        <row r="30">
          <cell r="L30" t="str">
            <v>n=</v>
          </cell>
          <cell r="M30">
            <v>52</v>
          </cell>
        </row>
        <row r="31">
          <cell r="B31" t="str">
            <v>Lucentis Phase III results</v>
          </cell>
          <cell r="L31" t="str">
            <v>PFS</v>
          </cell>
          <cell r="M31" t="str">
            <v>5.4 mos</v>
          </cell>
        </row>
        <row r="32">
          <cell r="B32" t="str">
            <v>ANCHOR</v>
          </cell>
          <cell r="C32" t="str">
            <v>0.3 mg</v>
          </cell>
          <cell r="D32" t="str">
            <v>0.5 mg</v>
          </cell>
          <cell r="E32" t="str">
            <v>Visudyne</v>
          </cell>
          <cell r="L32" t="str">
            <v>median survival</v>
          </cell>
          <cell r="M32" t="str">
            <v>8.8 mos</v>
          </cell>
        </row>
        <row r="33">
          <cell r="B33" t="str">
            <v>Maintenance of vision</v>
          </cell>
          <cell r="C33">
            <v>0.94</v>
          </cell>
          <cell r="D33">
            <v>0.96</v>
          </cell>
          <cell r="E33">
            <v>0.64</v>
          </cell>
          <cell r="L33" t="str">
            <v>6-month survival</v>
          </cell>
          <cell r="M33">
            <v>0.77</v>
          </cell>
        </row>
        <row r="34">
          <cell r="B34" t="str">
            <v>Change in visual acuity</v>
          </cell>
          <cell r="C34" t="str">
            <v>improved</v>
          </cell>
          <cell r="D34" t="str">
            <v>improved</v>
          </cell>
          <cell r="E34" t="str">
            <v>declined</v>
          </cell>
        </row>
        <row r="35">
          <cell r="B35" t="str">
            <v>Cererbrovascular events</v>
          </cell>
          <cell r="C35" t="str">
            <v>equal</v>
          </cell>
          <cell r="D35" t="str">
            <v>equal</v>
          </cell>
          <cell r="E35" t="str">
            <v>equal</v>
          </cell>
          <cell r="L35" t="str">
            <v>PR</v>
          </cell>
          <cell r="M35">
            <v>0.21</v>
          </cell>
        </row>
        <row r="36">
          <cell r="B36" t="str">
            <v>Myocardial infarction</v>
          </cell>
          <cell r="C36" t="str">
            <v>-</v>
          </cell>
          <cell r="D36" t="str">
            <v>higher</v>
          </cell>
          <cell r="E36" t="str">
            <v>-</v>
          </cell>
          <cell r="L36" t="str">
            <v>SD</v>
          </cell>
          <cell r="M36">
            <v>0.46</v>
          </cell>
        </row>
        <row r="38">
          <cell r="B38" t="str">
            <v>MARINA</v>
          </cell>
          <cell r="C38" t="str">
            <v>0.3 mg</v>
          </cell>
          <cell r="D38" t="str">
            <v>0.5 mg</v>
          </cell>
          <cell r="E38" t="str">
            <v>Sham</v>
          </cell>
        </row>
        <row r="39">
          <cell r="B39" t="str">
            <v>Maintenance of vision</v>
          </cell>
          <cell r="C39">
            <v>0.95</v>
          </cell>
          <cell r="D39">
            <v>0.95</v>
          </cell>
          <cell r="E39">
            <v>0.62</v>
          </cell>
        </row>
        <row r="40">
          <cell r="B40" t="str">
            <v>Letters gained</v>
          </cell>
          <cell r="C40" t="str">
            <v>+6.5</v>
          </cell>
          <cell r="D40" t="str">
            <v>+7.2</v>
          </cell>
          <cell r="E40" t="str">
            <v>-10.5</v>
          </cell>
        </row>
        <row r="41">
          <cell r="B41" t="str">
            <v>Cererbrovascular events</v>
          </cell>
          <cell r="C41">
            <v>1</v>
          </cell>
          <cell r="D41">
            <v>3</v>
          </cell>
          <cell r="E41">
            <v>1</v>
          </cell>
        </row>
        <row r="42">
          <cell r="B42" t="str">
            <v>Myocardial infarction</v>
          </cell>
          <cell r="C42">
            <v>1</v>
          </cell>
          <cell r="D42">
            <v>1</v>
          </cell>
          <cell r="E42">
            <v>1</v>
          </cell>
        </row>
        <row r="46">
          <cell r="B46" t="str">
            <v>Macugen + Visudyne Phase II data</v>
          </cell>
        </row>
        <row r="48">
          <cell r="C48" t="str">
            <v>Macugen + Visudyne</v>
          </cell>
          <cell r="D48" t="str">
            <v>Lucentis + Visudyne</v>
          </cell>
        </row>
        <row r="49">
          <cell r="B49" t="str">
            <v>Patients</v>
          </cell>
          <cell r="C49" t="str">
            <v>10* (100%)</v>
          </cell>
        </row>
        <row r="50">
          <cell r="B50" t="str">
            <v>Stable vision or better</v>
          </cell>
          <cell r="C50" t="str">
            <v>9 (90%)</v>
          </cell>
        </row>
        <row r="51">
          <cell r="B51" t="str">
            <v>At least 15 letter gain</v>
          </cell>
          <cell r="C51" t="str">
            <v>6 (60%)</v>
          </cell>
        </row>
        <row r="52">
          <cell r="B52" t="str">
            <v>Patients needing further Visudyne therapy after 3 months</v>
          </cell>
          <cell r="C52" t="str">
            <v>4 (40%)</v>
          </cell>
        </row>
        <row r="53">
          <cell r="B53" t="str">
            <v>Note: * 11 patients treated q monthly for 3 months; 10 patients were evaluated</v>
          </cell>
        </row>
      </sheetData>
      <sheetData sheetId="19" refreshError="1"/>
      <sheetData sheetId="20" refreshError="1"/>
      <sheetData sheetId="21" refreshError="1">
        <row r="4">
          <cell r="D4" t="str">
            <v>(For Marketing Pack)</v>
          </cell>
        </row>
        <row r="6">
          <cell r="F6" t="str">
            <v>2005A</v>
          </cell>
          <cell r="H6" t="str">
            <v>2006E</v>
          </cell>
          <cell r="J6" t="str">
            <v>2007E</v>
          </cell>
          <cell r="L6" t="str">
            <v>2008E</v>
          </cell>
        </row>
        <row r="7">
          <cell r="D7" t="str">
            <v>Rituxan</v>
          </cell>
          <cell r="F7">
            <v>1989.431</v>
          </cell>
          <cell r="H7">
            <v>2357</v>
          </cell>
          <cell r="J7">
            <v>2711.0807564833267</v>
          </cell>
          <cell r="L7">
            <v>2933.6966005063991</v>
          </cell>
        </row>
        <row r="8">
          <cell r="D8" t="str">
            <v>Avastin</v>
          </cell>
          <cell r="F8">
            <v>1216.7529999999999</v>
          </cell>
          <cell r="H8">
            <v>1993.36</v>
          </cell>
          <cell r="J8">
            <v>2925.9611602894643</v>
          </cell>
          <cell r="L8">
            <v>3882.0494573955039</v>
          </cell>
        </row>
        <row r="9">
          <cell r="D9" t="str">
            <v>Herceptin</v>
          </cell>
          <cell r="F9">
            <v>763.86799999999994</v>
          </cell>
          <cell r="H9">
            <v>1380</v>
          </cell>
          <cell r="J9">
            <v>1581.6482618585742</v>
          </cell>
          <cell r="L9">
            <v>1676.8953104490511</v>
          </cell>
        </row>
        <row r="10">
          <cell r="D10" t="str">
            <v>Xolair</v>
          </cell>
          <cell r="F10">
            <v>323.79700000000003</v>
          </cell>
          <cell r="H10">
            <v>423</v>
          </cell>
          <cell r="J10">
            <v>496.67639851943272</v>
          </cell>
          <cell r="L10">
            <v>549.18117450569844</v>
          </cell>
        </row>
        <row r="11">
          <cell r="D11" t="str">
            <v>Total Revenues</v>
          </cell>
          <cell r="F11">
            <v>6633.4230000000007</v>
          </cell>
          <cell r="H11">
            <v>9120.36</v>
          </cell>
          <cell r="J11">
            <v>11279.125121683228</v>
          </cell>
          <cell r="L11">
            <v>13104.186311101828</v>
          </cell>
        </row>
        <row r="12">
          <cell r="D12" t="str">
            <v>EPS</v>
          </cell>
          <cell r="F12">
            <v>1.2834315032439099</v>
          </cell>
          <cell r="H12">
            <v>1.9766562870511628</v>
          </cell>
          <cell r="J12">
            <v>2.6131703146035923</v>
          </cell>
          <cell r="L12">
            <v>3.2657035401917991</v>
          </cell>
        </row>
        <row r="13">
          <cell r="D13" t="str">
            <v>Consensus</v>
          </cell>
          <cell r="F13">
            <v>1.28</v>
          </cell>
          <cell r="H13">
            <v>1.81</v>
          </cell>
          <cell r="J13">
            <v>2.4500000000000002</v>
          </cell>
          <cell r="L13">
            <v>3.12</v>
          </cell>
        </row>
      </sheetData>
      <sheetData sheetId="22" refreshError="1"/>
      <sheetData sheetId="23" refreshError="1"/>
      <sheetData sheetId="24" refreshError="1">
        <row r="6">
          <cell r="D6" t="str">
            <v>Biogen Idec Oceanside Plant</v>
          </cell>
          <cell r="E6" t="str">
            <v>Vacaville Expansion</v>
          </cell>
        </row>
        <row r="7">
          <cell r="C7" t="str">
            <v>Current</v>
          </cell>
          <cell r="D7">
            <v>2007</v>
          </cell>
          <cell r="E7">
            <v>2009</v>
          </cell>
          <cell r="F7" t="str">
            <v>Total</v>
          </cell>
        </row>
        <row r="8">
          <cell r="B8" t="str">
            <v>clear</v>
          </cell>
          <cell r="D8">
            <v>280</v>
          </cell>
          <cell r="E8">
            <v>370</v>
          </cell>
          <cell r="F8">
            <v>0</v>
          </cell>
        </row>
        <row r="9">
          <cell r="B9" t="str">
            <v>green</v>
          </cell>
          <cell r="C9">
            <v>280</v>
          </cell>
          <cell r="D9">
            <v>90</v>
          </cell>
          <cell r="E9">
            <v>200</v>
          </cell>
          <cell r="F9">
            <v>570</v>
          </cell>
        </row>
        <row r="12">
          <cell r="I12" t="str">
            <v>Ex-US Exposure</v>
          </cell>
        </row>
        <row r="13">
          <cell r="I13" t="str">
            <v>Sales to Collab.</v>
          </cell>
          <cell r="J13">
            <v>2005</v>
          </cell>
          <cell r="K13" t="str">
            <v>1Q06</v>
          </cell>
        </row>
        <row r="14">
          <cell r="I14" t="str">
            <v>Total</v>
          </cell>
          <cell r="J14">
            <v>326.39999999999998</v>
          </cell>
          <cell r="K14">
            <v>75</v>
          </cell>
        </row>
        <row r="15">
          <cell r="I15" t="str">
            <v>Avastin</v>
          </cell>
          <cell r="J15">
            <v>84.031999999999996</v>
          </cell>
          <cell r="K15">
            <v>18</v>
          </cell>
        </row>
        <row r="16">
          <cell r="I16" t="str">
            <v>Herceptin</v>
          </cell>
          <cell r="J16">
            <v>16.621000000000002</v>
          </cell>
          <cell r="K16">
            <v>5</v>
          </cell>
        </row>
        <row r="17">
          <cell r="I17" t="str">
            <v>Rituxan</v>
          </cell>
          <cell r="J17">
            <v>157.9</v>
          </cell>
          <cell r="K17">
            <v>32</v>
          </cell>
        </row>
        <row r="18">
          <cell r="I18" t="str">
            <v>Nutropin</v>
          </cell>
          <cell r="J18">
            <v>4.8</v>
          </cell>
          <cell r="K18">
            <v>1</v>
          </cell>
        </row>
        <row r="19">
          <cell r="I19" t="str">
            <v>Pulmozyme</v>
          </cell>
          <cell r="J19">
            <v>35.4</v>
          </cell>
          <cell r="K19">
            <v>13</v>
          </cell>
        </row>
        <row r="20">
          <cell r="I20" t="str">
            <v>Raptiva</v>
          </cell>
          <cell r="J20">
            <v>14.9</v>
          </cell>
          <cell r="K20">
            <v>2</v>
          </cell>
        </row>
        <row r="21">
          <cell r="I21" t="str">
            <v>Thrombolytics</v>
          </cell>
          <cell r="J21">
            <v>8.3000000000000007</v>
          </cell>
          <cell r="K21">
            <v>3</v>
          </cell>
        </row>
        <row r="22">
          <cell r="I22" t="str">
            <v>Xolair</v>
          </cell>
          <cell r="J22">
            <v>7</v>
          </cell>
          <cell r="K22">
            <v>1</v>
          </cell>
        </row>
        <row r="23">
          <cell r="I23" t="str">
            <v>Other</v>
          </cell>
          <cell r="J23">
            <v>27</v>
          </cell>
          <cell r="K23">
            <v>0</v>
          </cell>
        </row>
        <row r="24">
          <cell r="I24" t="str">
            <v>Royalties</v>
          </cell>
        </row>
        <row r="25">
          <cell r="I25" t="str">
            <v>% Roche</v>
          </cell>
          <cell r="J25">
            <v>0.53</v>
          </cell>
          <cell r="K25">
            <v>0.57999999999999996</v>
          </cell>
        </row>
        <row r="26">
          <cell r="I26" t="str">
            <v>ex-US Royalties</v>
          </cell>
          <cell r="J26">
            <v>495.60140999999999</v>
          </cell>
          <cell r="K26">
            <v>165.88</v>
          </cell>
        </row>
        <row r="27">
          <cell r="I27" t="str">
            <v>Total</v>
          </cell>
          <cell r="J27">
            <v>822.00140999999996</v>
          </cell>
          <cell r="K27">
            <v>240.88</v>
          </cell>
        </row>
        <row r="28">
          <cell r="I28" t="str">
            <v>Total Rev</v>
          </cell>
          <cell r="J28">
            <v>6633.4230000000007</v>
          </cell>
          <cell r="K28">
            <v>1986</v>
          </cell>
        </row>
        <row r="29">
          <cell r="I29" t="str">
            <v>% ex-US</v>
          </cell>
          <cell r="J29">
            <v>0.12391813547847015</v>
          </cell>
          <cell r="K29">
            <v>0.12128902316213494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areTaxoPres"/>
      <sheetName val="LOG"/>
      <sheetName val="Changes to Model"/>
      <sheetName val="MS Est. Vs Actual"/>
      <sheetName val="Quarterly"/>
      <sheetName val="mwareValPrintout"/>
      <sheetName val="Annual"/>
      <sheetName val="Balance Sheet "/>
      <sheetName val="Model_Template"/>
      <sheetName val="Cashflow"/>
      <sheetName val="DCF Valuation"/>
      <sheetName val="US RA Model"/>
      <sheetName val="US Epo Model"/>
      <sheetName val="Int'l Epo Model"/>
      <sheetName val="ProcritAranesp"/>
      <sheetName val="__FDSCACHE__"/>
      <sheetName val="CSFs"/>
      <sheetName val="ESO"/>
      <sheetName val="Figures"/>
      <sheetName val="Marketing"/>
      <sheetName val="mwareDates"/>
      <sheetName val="NY UPLOAD shadow"/>
      <sheetName val="mwareSettings"/>
      <sheetName val="mStartup"/>
      <sheetName val="MainCode"/>
    </sheetNames>
    <sheetDataSet>
      <sheetData sheetId="0" refreshError="1"/>
      <sheetData sheetId="1" refreshError="1"/>
      <sheetData sheetId="2" refreshError="1">
        <row r="2">
          <cell r="B2" t="str">
            <v>Changes To Model</v>
          </cell>
        </row>
        <row r="3">
          <cell r="C3">
            <v>2003</v>
          </cell>
          <cell r="E3">
            <v>2004</v>
          </cell>
          <cell r="G3">
            <v>2005</v>
          </cell>
          <cell r="I3">
            <v>2006</v>
          </cell>
          <cell r="K3">
            <v>2007</v>
          </cell>
          <cell r="M3">
            <v>2008</v>
          </cell>
          <cell r="O3" t="str">
            <v>Comments</v>
          </cell>
        </row>
        <row r="4">
          <cell r="B4" t="str">
            <v>Aranesp</v>
          </cell>
          <cell r="O4" t="str">
            <v>Modestly decreasing estimates in outer years due to slowing EU growth (FOBs are likely to mute growth further)</v>
          </cell>
        </row>
        <row r="5">
          <cell r="B5" t="str">
            <v xml:space="preserve">   Current</v>
          </cell>
          <cell r="E5">
            <v>2472.9</v>
          </cell>
          <cell r="G5">
            <v>3273</v>
          </cell>
          <cell r="I5">
            <v>3913</v>
          </cell>
          <cell r="K5">
            <v>4350</v>
          </cell>
          <cell r="M5">
            <v>4725</v>
          </cell>
        </row>
        <row r="6">
          <cell r="B6" t="str">
            <v xml:space="preserve">   Prior</v>
          </cell>
          <cell r="E6">
            <v>2472.9</v>
          </cell>
          <cell r="G6">
            <v>3273</v>
          </cell>
          <cell r="I6">
            <v>3950</v>
          </cell>
          <cell r="K6">
            <v>4525</v>
          </cell>
          <cell r="M6">
            <v>4915</v>
          </cell>
        </row>
        <row r="7">
          <cell r="B7" t="str">
            <v>Epogen</v>
          </cell>
          <cell r="O7" t="str">
            <v>Company expects product to stabilize in mid 2006</v>
          </cell>
        </row>
        <row r="8">
          <cell r="B8" t="str">
            <v xml:space="preserve">   Current</v>
          </cell>
          <cell r="E8">
            <v>2600.6</v>
          </cell>
          <cell r="G8">
            <v>2455</v>
          </cell>
          <cell r="I8">
            <v>2514</v>
          </cell>
          <cell r="K8">
            <v>2572.1174973954289</v>
          </cell>
          <cell r="M8">
            <v>2632.2299063233218</v>
          </cell>
        </row>
        <row r="9">
          <cell r="B9" t="str">
            <v xml:space="preserve">   Prior</v>
          </cell>
          <cell r="E9">
            <v>2600.6</v>
          </cell>
          <cell r="G9">
            <v>2455</v>
          </cell>
          <cell r="I9">
            <v>2520</v>
          </cell>
          <cell r="K9">
            <v>2626.2090016806937</v>
          </cell>
          <cell r="M9">
            <v>2700.9100577285003</v>
          </cell>
        </row>
        <row r="10">
          <cell r="B10" t="str">
            <v>Neulasta</v>
          </cell>
        </row>
        <row r="11">
          <cell r="B11" t="str">
            <v xml:space="preserve">   Current</v>
          </cell>
          <cell r="E11">
            <v>1739.6</v>
          </cell>
          <cell r="G11">
            <v>2288</v>
          </cell>
          <cell r="I11">
            <v>2603</v>
          </cell>
          <cell r="K11">
            <v>2889.3300000000004</v>
          </cell>
          <cell r="M11">
            <v>3149.3697000000006</v>
          </cell>
        </row>
        <row r="12">
          <cell r="B12" t="str">
            <v xml:space="preserve">   Prior</v>
          </cell>
          <cell r="E12">
            <v>1739.6</v>
          </cell>
          <cell r="G12">
            <v>2288</v>
          </cell>
          <cell r="I12">
            <v>2675</v>
          </cell>
          <cell r="K12">
            <v>3022.75</v>
          </cell>
          <cell r="M12">
            <v>3234.3424999999997</v>
          </cell>
        </row>
        <row r="13">
          <cell r="B13" t="str">
            <v>Neupogen</v>
          </cell>
        </row>
        <row r="14">
          <cell r="B14" t="str">
            <v xml:space="preserve">   Current</v>
          </cell>
          <cell r="E14">
            <v>1175.1999999999998</v>
          </cell>
          <cell r="G14">
            <v>1216</v>
          </cell>
          <cell r="I14">
            <v>1188</v>
          </cell>
          <cell r="K14">
            <v>1188</v>
          </cell>
          <cell r="M14">
            <v>1188</v>
          </cell>
        </row>
        <row r="15">
          <cell r="B15" t="str">
            <v xml:space="preserve">   Prior</v>
          </cell>
          <cell r="E15">
            <v>1175.2</v>
          </cell>
          <cell r="G15">
            <v>1216</v>
          </cell>
          <cell r="I15">
            <v>1240</v>
          </cell>
          <cell r="K15">
            <v>1240</v>
          </cell>
          <cell r="M15">
            <v>1240</v>
          </cell>
        </row>
        <row r="16">
          <cell r="B16" t="str">
            <v>Enbrel</v>
          </cell>
          <cell r="O16" t="str">
            <v xml:space="preserve">Weak trends of past several quarters continue into 2006.  lowering forward estimates as Humira compeition grows in derm and multiple new entrants begin to crowd rheumatology. </v>
          </cell>
        </row>
        <row r="17">
          <cell r="B17" t="str">
            <v xml:space="preserve">   Current</v>
          </cell>
          <cell r="E17">
            <v>1900.3</v>
          </cell>
          <cell r="G17">
            <v>2573</v>
          </cell>
          <cell r="I17">
            <v>2793</v>
          </cell>
          <cell r="K17">
            <v>3016.8307284116399</v>
          </cell>
          <cell r="M17">
            <v>3233.3473223083402</v>
          </cell>
        </row>
        <row r="18">
          <cell r="B18" t="str">
            <v xml:space="preserve">   Prior</v>
          </cell>
          <cell r="E18">
            <v>1900.3</v>
          </cell>
          <cell r="G18">
            <v>2573</v>
          </cell>
          <cell r="I18">
            <v>3020</v>
          </cell>
          <cell r="K18">
            <v>3292.3139849108829</v>
          </cell>
          <cell r="M18">
            <v>3541.0791290486823</v>
          </cell>
        </row>
        <row r="19">
          <cell r="B19" t="str">
            <v>Panitumumab</v>
          </cell>
        </row>
        <row r="20">
          <cell r="B20" t="str">
            <v xml:space="preserve">   Current</v>
          </cell>
          <cell r="E20">
            <v>0</v>
          </cell>
          <cell r="G20">
            <v>0</v>
          </cell>
          <cell r="I20">
            <v>35</v>
          </cell>
          <cell r="K20">
            <v>225</v>
          </cell>
          <cell r="M20">
            <v>475</v>
          </cell>
        </row>
        <row r="21">
          <cell r="B21" t="str">
            <v xml:space="preserve">   Prior</v>
          </cell>
          <cell r="E21">
            <v>0</v>
          </cell>
          <cell r="G21">
            <v>0</v>
          </cell>
          <cell r="I21">
            <v>40</v>
          </cell>
          <cell r="K21">
            <v>260</v>
          </cell>
          <cell r="M21">
            <v>500</v>
          </cell>
        </row>
        <row r="22">
          <cell r="B22" t="str">
            <v>Total Revenues ($MM)</v>
          </cell>
          <cell r="O22" t="str">
            <v>2006 guidance: $13.9B-$14.4B</v>
          </cell>
        </row>
        <row r="23">
          <cell r="B23" t="str">
            <v xml:space="preserve">   Current</v>
          </cell>
          <cell r="C23">
            <v>8356</v>
          </cell>
          <cell r="E23">
            <v>10549.9</v>
          </cell>
          <cell r="G23">
            <v>12430</v>
          </cell>
          <cell r="I23">
            <v>13779</v>
          </cell>
          <cell r="K23">
            <v>15089.778225807069</v>
          </cell>
          <cell r="M23">
            <v>16371.308428631663</v>
          </cell>
        </row>
        <row r="24">
          <cell r="B24" t="str">
            <v xml:space="preserve">   Prior</v>
          </cell>
          <cell r="C24">
            <v>8356</v>
          </cell>
          <cell r="E24">
            <v>10549.9</v>
          </cell>
          <cell r="G24">
            <v>12430</v>
          </cell>
          <cell r="I24">
            <v>14220</v>
          </cell>
          <cell r="K24">
            <v>15846.422986591579</v>
          </cell>
          <cell r="M24">
            <v>17265.642986777184</v>
          </cell>
        </row>
        <row r="25">
          <cell r="B25" t="str">
            <v>SG&amp;A ($MM)</v>
          </cell>
          <cell r="O25" t="str">
            <v>2006 Guidance: ~10% growth</v>
          </cell>
        </row>
        <row r="26">
          <cell r="B26" t="str">
            <v xml:space="preserve">   Current</v>
          </cell>
          <cell r="C26">
            <v>1952.6</v>
          </cell>
          <cell r="E26">
            <v>2556</v>
          </cell>
          <cell r="G26">
            <v>2792</v>
          </cell>
          <cell r="I26">
            <v>3027.1130000000003</v>
          </cell>
          <cell r="K26">
            <v>3266.9369858872305</v>
          </cell>
          <cell r="M26">
            <v>3544.388274798755</v>
          </cell>
        </row>
        <row r="27">
          <cell r="B27" t="str">
            <v xml:space="preserve">   Prior</v>
          </cell>
          <cell r="C27">
            <v>1952.6</v>
          </cell>
          <cell r="E27">
            <v>2556</v>
          </cell>
          <cell r="G27">
            <v>2792</v>
          </cell>
          <cell r="I27">
            <v>3075.85</v>
          </cell>
          <cell r="K27">
            <v>3422.8273651037807</v>
          </cell>
          <cell r="M27">
            <v>4100.5902093595814</v>
          </cell>
        </row>
        <row r="28">
          <cell r="B28" t="str">
            <v>R&amp;D ($MM)</v>
          </cell>
          <cell r="O28" t="str">
            <v xml:space="preserve">2006 Guidance: 30-40% YoY growth.  </v>
          </cell>
        </row>
        <row r="29">
          <cell r="B29" t="str">
            <v xml:space="preserve">   Current</v>
          </cell>
          <cell r="C29">
            <v>1655.4</v>
          </cell>
          <cell r="E29">
            <v>2028</v>
          </cell>
          <cell r="G29">
            <v>2302</v>
          </cell>
          <cell r="I29">
            <v>3009</v>
          </cell>
          <cell r="K29">
            <v>3327.2960987904589</v>
          </cell>
          <cell r="M29">
            <v>3601.6878542989657</v>
          </cell>
        </row>
        <row r="30">
          <cell r="B30" t="str">
            <v xml:space="preserve">   Prior</v>
          </cell>
          <cell r="C30">
            <v>1655.4</v>
          </cell>
          <cell r="E30">
            <v>2028</v>
          </cell>
          <cell r="G30">
            <v>2302</v>
          </cell>
          <cell r="I30">
            <v>3085</v>
          </cell>
          <cell r="K30">
            <v>3406.9809421171894</v>
          </cell>
          <cell r="M30">
            <v>3712.1132421570946</v>
          </cell>
        </row>
        <row r="31">
          <cell r="B31" t="str">
            <v>Interest, Other Income</v>
          </cell>
        </row>
        <row r="32">
          <cell r="B32" t="str">
            <v xml:space="preserve">   Current</v>
          </cell>
          <cell r="C32">
            <v>113.4</v>
          </cell>
          <cell r="D32">
            <v>-0.21359223300970864</v>
          </cell>
          <cell r="E32">
            <v>99.7</v>
          </cell>
          <cell r="F32">
            <v>0</v>
          </cell>
          <cell r="G32">
            <v>157</v>
          </cell>
          <cell r="H32">
            <v>0</v>
          </cell>
          <cell r="I32">
            <v>329</v>
          </cell>
          <cell r="J32">
            <v>0</v>
          </cell>
          <cell r="K32">
            <v>210.7171588806757</v>
          </cell>
          <cell r="L32">
            <v>0</v>
          </cell>
          <cell r="M32">
            <v>265.32581027251831</v>
          </cell>
        </row>
        <row r="33">
          <cell r="B33" t="str">
            <v xml:space="preserve">   Prior</v>
          </cell>
          <cell r="C33">
            <v>113.4</v>
          </cell>
          <cell r="E33">
            <v>99.7</v>
          </cell>
          <cell r="F33">
            <v>0</v>
          </cell>
          <cell r="G33">
            <v>157</v>
          </cell>
          <cell r="H33">
            <v>0</v>
          </cell>
          <cell r="I33">
            <v>150</v>
          </cell>
          <cell r="J33">
            <v>0</v>
          </cell>
          <cell r="K33">
            <v>315.22233834199102</v>
          </cell>
          <cell r="L33">
            <v>0</v>
          </cell>
          <cell r="M33">
            <v>365.3511463110907</v>
          </cell>
        </row>
        <row r="34">
          <cell r="B34" t="str">
            <v xml:space="preserve">Net Income ($MM) </v>
          </cell>
        </row>
        <row r="35">
          <cell r="B35" t="str">
            <v xml:space="preserve">   Current</v>
          </cell>
          <cell r="C35">
            <v>2595.2999999999993</v>
          </cell>
          <cell r="E35">
            <v>3106.7999999999993</v>
          </cell>
          <cell r="G35">
            <v>4023</v>
          </cell>
          <cell r="I35">
            <v>4335.4931825000003</v>
          </cell>
          <cell r="K35">
            <v>4671.2119694975627</v>
          </cell>
          <cell r="M35">
            <v>5157.5244034755797</v>
          </cell>
        </row>
        <row r="36">
          <cell r="B36" t="str">
            <v xml:space="preserve">   Prior</v>
          </cell>
          <cell r="C36">
            <v>2595.2999999999993</v>
          </cell>
          <cell r="E36">
            <v>3106.8</v>
          </cell>
          <cell r="G36">
            <v>4023</v>
          </cell>
          <cell r="I36">
            <v>4374.7203599999993</v>
          </cell>
          <cell r="K36">
            <v>5087.6113248185175</v>
          </cell>
          <cell r="M36">
            <v>5324.9044680685165</v>
          </cell>
        </row>
        <row r="37">
          <cell r="B37" t="str">
            <v>EPS, diluted</v>
          </cell>
          <cell r="O37" t="str">
            <v>2006 guidance: $3.60-$3.70;  Our number increases as we include the accretive effects of recent convertible debt deal (and corresponding increase in the share buyback program)</v>
          </cell>
        </row>
        <row r="38">
          <cell r="B38" t="str">
            <v xml:space="preserve">   Current</v>
          </cell>
          <cell r="C38">
            <v>1.9281575037147096</v>
          </cell>
          <cell r="D38">
            <v>0.26723815197704903</v>
          </cell>
          <cell r="E38">
            <v>2.36950115525927</v>
          </cell>
          <cell r="F38">
            <v>0.22889398334642563</v>
          </cell>
          <cell r="G38">
            <v>3.2027027027027026</v>
          </cell>
          <cell r="H38">
            <v>0.35163584773701628</v>
          </cell>
          <cell r="I38">
            <v>3.6698689952539394</v>
          </cell>
          <cell r="J38">
            <v>0.14586626856030183</v>
          </cell>
          <cell r="K38">
            <v>4.1013211403748855</v>
          </cell>
          <cell r="L38">
            <v>0.11756608905629107</v>
          </cell>
          <cell r="M38">
            <v>4.6347096976234399</v>
          </cell>
        </row>
        <row r="39">
          <cell r="B39" t="str">
            <v xml:space="preserve">   Prior</v>
          </cell>
          <cell r="C39">
            <v>1.93</v>
          </cell>
          <cell r="E39">
            <v>2.36950115525927</v>
          </cell>
          <cell r="F39">
            <v>0.22889398334642563</v>
          </cell>
          <cell r="G39">
            <v>3.2027027027027026</v>
          </cell>
          <cell r="H39">
            <v>0.35163584773701628</v>
          </cell>
          <cell r="I39">
            <v>3.5527748531150061</v>
          </cell>
          <cell r="J39">
            <v>0.10930522839877832</v>
          </cell>
          <cell r="K39">
            <v>4.2311682835580111</v>
          </cell>
          <cell r="L39">
            <v>0.19094748710242704</v>
          </cell>
          <cell r="M39">
            <v>4.52644990794027</v>
          </cell>
        </row>
        <row r="40">
          <cell r="B40" t="str">
            <v>EPS, diluted (incl options expense)</v>
          </cell>
        </row>
        <row r="41">
          <cell r="B41" t="str">
            <v xml:space="preserve">   Current</v>
          </cell>
          <cell r="C41">
            <v>1288.4000000000001</v>
          </cell>
          <cell r="D41">
            <v>0.11694841785869103</v>
          </cell>
          <cell r="E41">
            <v>1270.6500000000001</v>
          </cell>
          <cell r="F41">
            <v>-1.3776777398323503E-2</v>
          </cell>
          <cell r="H41">
            <v>0</v>
          </cell>
          <cell r="I41">
            <v>3.4469575326902331</v>
          </cell>
          <cell r="J41">
            <v>0</v>
          </cell>
          <cell r="K41">
            <v>3.8627394026015285</v>
          </cell>
          <cell r="L41">
            <v>0</v>
          </cell>
          <cell r="M41">
            <v>4.3704543642262941</v>
          </cell>
        </row>
        <row r="42">
          <cell r="B42" t="str">
            <v xml:space="preserve">   Prior</v>
          </cell>
          <cell r="C42">
            <v>1.93</v>
          </cell>
          <cell r="E42">
            <v>2.36950115525927</v>
          </cell>
          <cell r="F42">
            <v>0.22889398334642563</v>
          </cell>
          <cell r="H42">
            <v>0</v>
          </cell>
          <cell r="I42">
            <v>3.445528989912801</v>
          </cell>
          <cell r="J42">
            <v>0</v>
          </cell>
          <cell r="K42">
            <v>4.0830286251359063</v>
          </cell>
          <cell r="L42">
            <v>0</v>
          </cell>
          <cell r="M42">
            <v>4.3555918887894087</v>
          </cell>
        </row>
        <row r="43">
          <cell r="B43" t="str">
            <v>Basic Shares Outstanding</v>
          </cell>
        </row>
        <row r="44">
          <cell r="B44" t="str">
            <v xml:space="preserve">   Current</v>
          </cell>
          <cell r="C44">
            <v>1288.4000000000001</v>
          </cell>
          <cell r="D44">
            <v>0.11694841785869103</v>
          </cell>
          <cell r="E44">
            <v>1270.6500000000001</v>
          </cell>
          <cell r="F44">
            <v>-1.3776777398323503E-2</v>
          </cell>
          <cell r="G44">
            <v>1236</v>
          </cell>
          <cell r="H44">
            <v>-2.726950773226311E-2</v>
          </cell>
          <cell r="I44">
            <v>1161.7770232500002</v>
          </cell>
          <cell r="J44">
            <v>-6.0050952063106622E-2</v>
          </cell>
          <cell r="K44">
            <v>1120.8980000000001</v>
          </cell>
          <cell r="L44">
            <v>-3.5186634295489405E-2</v>
          </cell>
          <cell r="M44">
            <v>1095.4242875</v>
          </cell>
        </row>
        <row r="45">
          <cell r="B45" t="str">
            <v xml:space="preserve">   Prior</v>
          </cell>
          <cell r="C45">
            <v>1288.4000000000001</v>
          </cell>
          <cell r="D45">
            <v>1288.8</v>
          </cell>
          <cell r="E45">
            <v>1270.6500000000001</v>
          </cell>
          <cell r="F45">
            <v>-1.3776777398323503E-2</v>
          </cell>
          <cell r="G45">
            <v>1236</v>
          </cell>
          <cell r="H45">
            <v>-2.726950773226311E-2</v>
          </cell>
          <cell r="I45">
            <v>1210.68759275</v>
          </cell>
          <cell r="J45">
            <v>-2.0479293891585759E-2</v>
          </cell>
          <cell r="K45">
            <v>1186.1795999999999</v>
          </cell>
          <cell r="L45">
            <v>-2.0243036186016972E-2</v>
          </cell>
          <cell r="M45">
            <v>1161.278558</v>
          </cell>
        </row>
        <row r="46">
          <cell r="B46" t="str">
            <v>Diluted Shares Outstanding</v>
          </cell>
        </row>
        <row r="47">
          <cell r="B47" t="str">
            <v xml:space="preserve">   Current</v>
          </cell>
          <cell r="C47">
            <v>1346</v>
          </cell>
          <cell r="D47">
            <v>0.16688339835283927</v>
          </cell>
          <cell r="E47">
            <v>1320.05</v>
          </cell>
          <cell r="F47">
            <v>-1.9279346210995585E-2</v>
          </cell>
          <cell r="G47">
            <v>1258</v>
          </cell>
          <cell r="H47">
            <v>-4.7005795235028902E-2</v>
          </cell>
          <cell r="I47">
            <v>1173.37546275</v>
          </cell>
          <cell r="J47">
            <v>-6.726910751192372E-2</v>
          </cell>
          <cell r="K47">
            <v>1139.9282839554037</v>
          </cell>
          <cell r="L47">
            <v>-2.8505094793960795E-2</v>
          </cell>
          <cell r="M47">
            <v>1113.6672499945955</v>
          </cell>
        </row>
        <row r="48">
          <cell r="B48" t="str">
            <v xml:space="preserve">   Prior</v>
          </cell>
          <cell r="C48">
            <v>1346</v>
          </cell>
          <cell r="D48">
            <v>1321.4</v>
          </cell>
          <cell r="E48">
            <v>1320.05</v>
          </cell>
          <cell r="F48">
            <v>-1.9279346210995585E-2</v>
          </cell>
          <cell r="G48">
            <v>1258</v>
          </cell>
          <cell r="H48">
            <v>-4.7005795235028902E-2</v>
          </cell>
          <cell r="I48">
            <v>1224.4789892499998</v>
          </cell>
          <cell r="J48">
            <v>-2.6646272456279929E-2</v>
          </cell>
          <cell r="K48">
            <v>1203.3582650456426</v>
          </cell>
          <cell r="L48">
            <v>-1.724874366141127E-2</v>
          </cell>
          <cell r="M48">
            <v>1177.2812195978543</v>
          </cell>
        </row>
        <row r="49">
          <cell r="B49" t="str">
            <v>Cash Flow (Burn)</v>
          </cell>
          <cell r="O49" t="str">
            <v>Expect major future use of cash to remain share buybacks.</v>
          </cell>
        </row>
        <row r="50">
          <cell r="B50" t="str">
            <v xml:space="preserve">   Current</v>
          </cell>
          <cell r="C50">
            <v>2209.7999999999993</v>
          </cell>
          <cell r="E50">
            <v>2361</v>
          </cell>
          <cell r="G50">
            <v>4044</v>
          </cell>
          <cell r="I50">
            <v>1546.8396302380957</v>
          </cell>
          <cell r="K50">
            <v>3846.2174306950965</v>
          </cell>
          <cell r="M50">
            <v>4301.980800635979</v>
          </cell>
        </row>
        <row r="51">
          <cell r="B51" t="str">
            <v xml:space="preserve">   Prior</v>
          </cell>
          <cell r="C51">
            <v>2209.8000000000002</v>
          </cell>
          <cell r="E51">
            <v>2361</v>
          </cell>
          <cell r="G51">
            <v>4044</v>
          </cell>
          <cell r="I51">
            <v>1991.8408502380951</v>
          </cell>
          <cell r="K51">
            <v>4169.2864625840475</v>
          </cell>
          <cell r="M51">
            <v>4542.0155215014902</v>
          </cell>
        </row>
      </sheetData>
      <sheetData sheetId="3" refreshError="1">
        <row r="2">
          <cell r="B2" t="str">
            <v>Earnings Snapshot</v>
          </cell>
        </row>
        <row r="3">
          <cell r="C3" t="str">
            <v>1Q05</v>
          </cell>
          <cell r="D3" t="str">
            <v>1Q06</v>
          </cell>
          <cell r="E3" t="str">
            <v>1Q06</v>
          </cell>
          <cell r="F3" t="str">
            <v>% var.</v>
          </cell>
          <cell r="G3" t="str">
            <v>Y/Y</v>
          </cell>
        </row>
        <row r="4">
          <cell r="C4" t="str">
            <v>Actual</v>
          </cell>
          <cell r="D4" t="str">
            <v>MS Est</v>
          </cell>
          <cell r="E4" t="str">
            <v>Actual</v>
          </cell>
          <cell r="F4" t="str">
            <v>from est.</v>
          </cell>
          <cell r="G4" t="str">
            <v>% chg.</v>
          </cell>
          <cell r="H4" t="str">
            <v>Comments</v>
          </cell>
        </row>
        <row r="5">
          <cell r="B5" t="str">
            <v>Revenues:</v>
          </cell>
        </row>
        <row r="6">
          <cell r="B6" t="str">
            <v>Epogen</v>
          </cell>
          <cell r="C6">
            <v>583</v>
          </cell>
          <cell r="D6">
            <v>610</v>
          </cell>
          <cell r="E6">
            <v>604</v>
          </cell>
          <cell r="F6">
            <v>-9.8360655737704805E-3</v>
          </cell>
          <cell r="G6">
            <v>3.6020583190394584E-2</v>
          </cell>
        </row>
        <row r="7">
          <cell r="B7" t="str">
            <v xml:space="preserve">Aranesp - US </v>
          </cell>
          <cell r="C7">
            <v>447</v>
          </cell>
          <cell r="D7">
            <v>615</v>
          </cell>
          <cell r="E7">
            <v>596</v>
          </cell>
          <cell r="F7">
            <v>-3.0894308943089421E-2</v>
          </cell>
          <cell r="G7">
            <v>0.33333333333333326</v>
          </cell>
          <cell r="H7" t="str">
            <v xml:space="preserve">Consistent with weak IMS trends for 1Q, as physician inventory drawdowns likely weighed on early quarter results.  Wholesale inventories ended 1Q modestly below trend. </v>
          </cell>
        </row>
        <row r="8">
          <cell r="B8" t="str">
            <v>Aranesp - ex US</v>
          </cell>
          <cell r="C8">
            <v>276</v>
          </cell>
          <cell r="D8">
            <v>310</v>
          </cell>
          <cell r="E8">
            <v>297</v>
          </cell>
          <cell r="F8">
            <v>-4.1935483870967794E-2</v>
          </cell>
          <cell r="G8">
            <v>7.6086956521739024E-2</v>
          </cell>
        </row>
        <row r="9">
          <cell r="B9" t="str">
            <v>Neupogen -WW</v>
          </cell>
          <cell r="C9">
            <v>294</v>
          </cell>
          <cell r="D9">
            <v>310</v>
          </cell>
          <cell r="E9">
            <v>288</v>
          </cell>
          <cell r="F9">
            <v>-7.096774193548383E-2</v>
          </cell>
          <cell r="G9">
            <v>-2.0408163265306145E-2</v>
          </cell>
        </row>
        <row r="10">
          <cell r="B10" t="str">
            <v>Neulasta - WW</v>
          </cell>
          <cell r="C10">
            <v>501</v>
          </cell>
          <cell r="D10">
            <v>640</v>
          </cell>
          <cell r="E10">
            <v>608</v>
          </cell>
          <cell r="F10">
            <v>-5.0000000000000044E-2</v>
          </cell>
          <cell r="G10">
            <v>0.21357285429141726</v>
          </cell>
          <cell r="H10" t="str">
            <v xml:space="preserve">Consistent with weak IMS trends for 1Q, as physician inventory drawdowns likely weighed on early quarter results.  Wholesale inventories ended 1Q modestly below trend. </v>
          </cell>
        </row>
        <row r="11">
          <cell r="B11" t="str">
            <v>Enbrel</v>
          </cell>
          <cell r="C11">
            <v>592</v>
          </cell>
          <cell r="D11">
            <v>710</v>
          </cell>
          <cell r="E11">
            <v>658</v>
          </cell>
          <cell r="F11">
            <v>-7.3239436619718323E-2</v>
          </cell>
          <cell r="G11">
            <v>0.1114864864864864</v>
          </cell>
          <cell r="H11" t="str">
            <v>Weakness due to competitive pressures in anti-TNF market with slowing market growth and meaningful share loss</v>
          </cell>
        </row>
        <row r="12">
          <cell r="B12" t="str">
            <v>Sensipar</v>
          </cell>
          <cell r="C12">
            <v>25</v>
          </cell>
          <cell r="D12">
            <v>56</v>
          </cell>
          <cell r="E12">
            <v>61</v>
          </cell>
          <cell r="F12">
            <v>8.9285714285714191E-2</v>
          </cell>
        </row>
        <row r="13">
          <cell r="B13" t="str">
            <v>Other Revenue</v>
          </cell>
          <cell r="C13">
            <v>111</v>
          </cell>
          <cell r="D13">
            <v>110</v>
          </cell>
          <cell r="E13">
            <v>92</v>
          </cell>
          <cell r="F13">
            <v>-0.16363636363636369</v>
          </cell>
          <cell r="G13">
            <v>-0.1711711711711712</v>
          </cell>
        </row>
        <row r="14">
          <cell r="B14" t="str">
            <v>Total Revenues</v>
          </cell>
          <cell r="C14">
            <v>2833</v>
          </cell>
          <cell r="D14">
            <v>3376</v>
          </cell>
          <cell r="E14">
            <v>3217</v>
          </cell>
          <cell r="F14">
            <v>-4.7097156398104301E-2</v>
          </cell>
          <cell r="G14">
            <v>0.13554535827744441</v>
          </cell>
        </row>
        <row r="15">
          <cell r="B15" t="str">
            <v>Operating Expenses:</v>
          </cell>
        </row>
        <row r="16">
          <cell r="B16" t="str">
            <v xml:space="preserve">   Cost of Product Revenue</v>
          </cell>
          <cell r="C16">
            <v>489</v>
          </cell>
          <cell r="D16">
            <v>559.34100000000001</v>
          </cell>
          <cell r="E16">
            <v>552</v>
          </cell>
          <cell r="F16">
            <v>-1.312437314625603E-2</v>
          </cell>
          <cell r="G16">
            <v>0.12883435582822078</v>
          </cell>
        </row>
        <row r="17">
          <cell r="B17" t="str">
            <v xml:space="preserve">   R&amp;D</v>
          </cell>
          <cell r="C17">
            <v>521</v>
          </cell>
          <cell r="D17">
            <v>675</v>
          </cell>
          <cell r="E17">
            <v>624</v>
          </cell>
          <cell r="F17">
            <v>-7.5555555555555598E-2</v>
          </cell>
          <cell r="G17">
            <v>0.19769673704414581</v>
          </cell>
          <cell r="H17" t="str">
            <v>R&amp;D expected to ramp significantly over rest of year</v>
          </cell>
        </row>
        <row r="18">
          <cell r="B18" t="str">
            <v xml:space="preserve">   SG&amp;A</v>
          </cell>
          <cell r="C18">
            <v>577</v>
          </cell>
          <cell r="D18">
            <v>666.76</v>
          </cell>
          <cell r="E18">
            <v>652</v>
          </cell>
          <cell r="F18">
            <v>-2.21369008338832E-2</v>
          </cell>
          <cell r="G18">
            <v>0.12998266897746968</v>
          </cell>
        </row>
        <row r="19">
          <cell r="B19" t="str">
            <v>Total Operating Expenses</v>
          </cell>
          <cell r="C19">
            <v>1587</v>
          </cell>
          <cell r="D19">
            <v>1901.1009999999999</v>
          </cell>
          <cell r="E19">
            <v>1828</v>
          </cell>
          <cell r="F19">
            <v>-3.8451928645558464E-2</v>
          </cell>
          <cell r="G19">
            <v>0.15185885318210457</v>
          </cell>
        </row>
        <row r="20">
          <cell r="B20" t="str">
            <v>Operating Income (Loss)</v>
          </cell>
          <cell r="C20">
            <v>1246</v>
          </cell>
          <cell r="D20">
            <v>1474.8990000000001</v>
          </cell>
          <cell r="E20">
            <v>1389</v>
          </cell>
          <cell r="F20">
            <v>-5.8240598169773006E-2</v>
          </cell>
          <cell r="G20">
            <v>0.1147672552166934</v>
          </cell>
        </row>
        <row r="21">
          <cell r="B21" t="str">
            <v xml:space="preserve">   Net Other Income</v>
          </cell>
          <cell r="C21">
            <v>10</v>
          </cell>
          <cell r="D21">
            <v>-4</v>
          </cell>
          <cell r="E21">
            <v>80</v>
          </cell>
          <cell r="F21">
            <v>-21</v>
          </cell>
          <cell r="G21">
            <v>7</v>
          </cell>
          <cell r="H21" t="str">
            <v>Significant increase to interest income following debt offering</v>
          </cell>
        </row>
        <row r="22">
          <cell r="B22" t="str">
            <v xml:space="preserve">   Tax Rate</v>
          </cell>
          <cell r="C22">
            <v>332</v>
          </cell>
          <cell r="D22">
            <v>353.01576</v>
          </cell>
          <cell r="E22">
            <v>368</v>
          </cell>
          <cell r="F22">
            <v>4.2446376898300553E-2</v>
          </cell>
          <cell r="G22">
            <v>0.10843373493975905</v>
          </cell>
        </row>
        <row r="23">
          <cell r="B23" t="str">
            <v xml:space="preserve">Net Income (Loss)                   </v>
          </cell>
          <cell r="C23">
            <v>924</v>
          </cell>
          <cell r="D23">
            <v>1117.8832400000001</v>
          </cell>
          <cell r="E23">
            <v>1101</v>
          </cell>
          <cell r="F23">
            <v>-1.5102865304609248E-2</v>
          </cell>
          <cell r="G23">
            <v>0.19155844155844148</v>
          </cell>
        </row>
        <row r="24">
          <cell r="B24" t="str">
            <v>EPS, Basic</v>
          </cell>
          <cell r="C24">
            <v>0.73979183346677346</v>
          </cell>
          <cell r="D24">
            <v>0.90958766476810426</v>
          </cell>
          <cell r="E24">
            <v>0.91597337770382692</v>
          </cell>
          <cell r="F24">
            <v>7.0204480371340861E-3</v>
          </cell>
          <cell r="G24">
            <v>0.23815016098709929</v>
          </cell>
        </row>
        <row r="25">
          <cell r="B25" t="str">
            <v>EPS, Diluted</v>
          </cell>
          <cell r="C25">
            <v>0.72024709302325585</v>
          </cell>
          <cell r="D25">
            <v>0.90014741753821415</v>
          </cell>
          <cell r="E25">
            <v>0.90691927512355852</v>
          </cell>
          <cell r="F25">
            <v>7.5230539502790794E-3</v>
          </cell>
          <cell r="G25">
            <v>0.25917797365448769</v>
          </cell>
        </row>
        <row r="26">
          <cell r="B26" t="str">
            <v>Consensus EPS</v>
          </cell>
          <cell r="D26">
            <v>0.88</v>
          </cell>
        </row>
        <row r="27">
          <cell r="B27" t="str">
            <v xml:space="preserve">Basic Shares Outstanding </v>
          </cell>
          <cell r="C27">
            <v>1249</v>
          </cell>
          <cell r="D27">
            <v>1229</v>
          </cell>
          <cell r="E27">
            <v>1202</v>
          </cell>
          <cell r="F27">
            <v>-2.1969080553295384E-2</v>
          </cell>
          <cell r="G27">
            <v>-3.7630104083266613E-2</v>
          </cell>
          <cell r="H27" t="str">
            <v>Company purchased 47 M shares in 1Q</v>
          </cell>
        </row>
        <row r="28">
          <cell r="B28" t="str">
            <v>Diluted Shares Outstanding</v>
          </cell>
          <cell r="C28">
            <v>1290</v>
          </cell>
          <cell r="D28">
            <v>1243</v>
          </cell>
          <cell r="E28">
            <v>1214</v>
          </cell>
          <cell r="F28">
            <v>-2.3330651649235756E-2</v>
          </cell>
          <cell r="G28">
            <v>-5.8914728682170514E-2</v>
          </cell>
        </row>
        <row r="30">
          <cell r="B30" t="str">
            <v>Source: Company data and Morgan Stanley Research</v>
          </cell>
        </row>
      </sheetData>
      <sheetData sheetId="4" refreshError="1">
        <row r="1">
          <cell r="B1" t="str">
            <v>Amgen Quarterly Income Statement</v>
          </cell>
        </row>
        <row r="2">
          <cell r="B2" t="str">
            <v>(Dollars in millions except per-share data)</v>
          </cell>
        </row>
        <row r="4">
          <cell r="C4" t="str">
            <v>1Q02A</v>
          </cell>
          <cell r="D4" t="str">
            <v>2Q02A</v>
          </cell>
          <cell r="E4" t="str">
            <v>3Q02A</v>
          </cell>
          <cell r="F4" t="str">
            <v>4Q02A</v>
          </cell>
          <cell r="G4" t="str">
            <v>2002A</v>
          </cell>
          <cell r="I4" t="str">
            <v>1Q03A</v>
          </cell>
          <cell r="K4" t="str">
            <v>2Q03A</v>
          </cell>
          <cell r="M4" t="str">
            <v>3Q03A</v>
          </cell>
          <cell r="O4" t="str">
            <v>4Q03A</v>
          </cell>
          <cell r="Q4" t="str">
            <v>2003A</v>
          </cell>
          <cell r="T4" t="str">
            <v>1Q04A</v>
          </cell>
          <cell r="U4" t="str">
            <v>% chg</v>
          </cell>
          <cell r="V4" t="str">
            <v>2Q04A</v>
          </cell>
          <cell r="W4" t="str">
            <v>% chg</v>
          </cell>
          <cell r="X4" t="str">
            <v>3Q04A</v>
          </cell>
          <cell r="Y4" t="str">
            <v>% chg</v>
          </cell>
          <cell r="Z4" t="str">
            <v>4Q04A</v>
          </cell>
          <cell r="AA4" t="str">
            <v>% chg</v>
          </cell>
          <cell r="AB4" t="str">
            <v>2004A</v>
          </cell>
          <cell r="AC4" t="str">
            <v>% chg</v>
          </cell>
          <cell r="AF4" t="str">
            <v>1Q05A</v>
          </cell>
          <cell r="AG4" t="str">
            <v>% chg</v>
          </cell>
          <cell r="AH4" t="str">
            <v>2Q05A</v>
          </cell>
          <cell r="AI4" t="str">
            <v>% chg</v>
          </cell>
          <cell r="AJ4" t="str">
            <v>3Q05A</v>
          </cell>
          <cell r="AK4" t="str">
            <v>% chg</v>
          </cell>
          <cell r="AL4" t="str">
            <v>4Q05A</v>
          </cell>
          <cell r="AM4" t="str">
            <v>% chg</v>
          </cell>
          <cell r="AN4" t="str">
            <v>2005A</v>
          </cell>
          <cell r="AO4" t="str">
            <v>% chg</v>
          </cell>
          <cell r="AR4" t="str">
            <v>1Q06A</v>
          </cell>
          <cell r="AS4" t="str">
            <v>% chg</v>
          </cell>
          <cell r="AT4" t="str">
            <v>2Q06E</v>
          </cell>
          <cell r="AU4" t="str">
            <v>% chg</v>
          </cell>
          <cell r="AV4" t="str">
            <v>3Q06E</v>
          </cell>
          <cell r="AW4" t="str">
            <v>% chg</v>
          </cell>
          <cell r="AX4" t="str">
            <v>4Q06E</v>
          </cell>
          <cell r="AY4" t="str">
            <v>% chg</v>
          </cell>
          <cell r="AZ4" t="str">
            <v>2006E</v>
          </cell>
          <cell r="BA4" t="str">
            <v>% chg</v>
          </cell>
          <cell r="BB4" t="str">
            <v>guidance</v>
          </cell>
        </row>
        <row r="5">
          <cell r="B5" t="str">
            <v>Epogen</v>
          </cell>
          <cell r="C5">
            <v>512</v>
          </cell>
          <cell r="D5">
            <v>570</v>
          </cell>
          <cell r="E5">
            <v>558</v>
          </cell>
          <cell r="F5">
            <v>620</v>
          </cell>
          <cell r="G5">
            <v>2260</v>
          </cell>
          <cell r="I5">
            <v>547.1</v>
          </cell>
          <cell r="K5">
            <v>611.1</v>
          </cell>
          <cell r="M5">
            <v>625.9</v>
          </cell>
          <cell r="O5">
            <v>650.59999999999991</v>
          </cell>
          <cell r="Q5">
            <v>2434.6999999999998</v>
          </cell>
          <cell r="T5">
            <v>590</v>
          </cell>
          <cell r="U5">
            <v>7.8413452750868196E-2</v>
          </cell>
          <cell r="V5">
            <v>632.6</v>
          </cell>
          <cell r="W5">
            <v>3.5182457862870331E-2</v>
          </cell>
          <cell r="X5">
            <v>681</v>
          </cell>
          <cell r="Y5">
            <v>8.8033232145710238E-2</v>
          </cell>
          <cell r="Z5">
            <v>697</v>
          </cell>
          <cell r="AA5">
            <v>7.1318782662158187E-2</v>
          </cell>
          <cell r="AB5">
            <v>2600.6</v>
          </cell>
          <cell r="AC5">
            <v>6.8139811886474666E-2</v>
          </cell>
          <cell r="AF5">
            <v>583</v>
          </cell>
          <cell r="AG5">
            <v>-1.1864406779661052E-2</v>
          </cell>
          <cell r="AH5">
            <v>647</v>
          </cell>
          <cell r="AI5">
            <v>2.2763199494151065E-2</v>
          </cell>
          <cell r="AJ5">
            <v>599</v>
          </cell>
          <cell r="AK5">
            <v>-0.1204111600587372</v>
          </cell>
          <cell r="AL5">
            <v>626</v>
          </cell>
          <cell r="AM5">
            <v>-0.10186513629842175</v>
          </cell>
          <cell r="AN5">
            <v>2455</v>
          </cell>
          <cell r="AO5">
            <v>-5.598707990463736E-2</v>
          </cell>
          <cell r="AR5">
            <v>604</v>
          </cell>
          <cell r="AS5">
            <v>3.6020583190394584E-2</v>
          </cell>
          <cell r="AT5">
            <v>630</v>
          </cell>
          <cell r="AU5">
            <v>-2.6275115919629055E-2</v>
          </cell>
          <cell r="AV5">
            <v>640</v>
          </cell>
          <cell r="AW5">
            <v>6.8447412353923154E-2</v>
          </cell>
          <cell r="AX5">
            <v>640</v>
          </cell>
          <cell r="AY5">
            <v>2.2364217252396124E-2</v>
          </cell>
          <cell r="AZ5">
            <v>2514</v>
          </cell>
          <cell r="BA5">
            <v>2.4032586558044855E-2</v>
          </cell>
        </row>
        <row r="6">
          <cell r="B6" t="str">
            <v xml:space="preserve">Aranesp - US </v>
          </cell>
          <cell r="F6">
            <v>150</v>
          </cell>
          <cell r="I6">
            <v>157.9</v>
          </cell>
          <cell r="K6">
            <v>216.6</v>
          </cell>
          <cell r="M6">
            <v>283.89999999999998</v>
          </cell>
          <cell r="O6">
            <v>321.5</v>
          </cell>
          <cell r="Q6">
            <v>979.9</v>
          </cell>
          <cell r="T6">
            <v>329.6</v>
          </cell>
          <cell r="V6">
            <v>380.7</v>
          </cell>
          <cell r="X6">
            <v>374</v>
          </cell>
          <cell r="Z6">
            <v>449</v>
          </cell>
          <cell r="AA6">
            <v>0.39657853810264387</v>
          </cell>
          <cell r="AB6">
            <v>1533.3</v>
          </cell>
          <cell r="AF6">
            <v>447</v>
          </cell>
          <cell r="AG6">
            <v>0.3561893203883495</v>
          </cell>
          <cell r="AH6">
            <v>536</v>
          </cell>
          <cell r="AI6">
            <v>0.40793275545048591</v>
          </cell>
          <cell r="AJ6">
            <v>542</v>
          </cell>
          <cell r="AK6">
            <v>0.44919786096256686</v>
          </cell>
          <cell r="AL6">
            <v>579</v>
          </cell>
          <cell r="AM6">
            <v>0.28953229398663693</v>
          </cell>
          <cell r="AN6">
            <v>2104</v>
          </cell>
          <cell r="AO6">
            <v>0.37220374355964259</v>
          </cell>
          <cell r="AR6">
            <v>596</v>
          </cell>
          <cell r="AS6">
            <v>0.33333333333333326</v>
          </cell>
          <cell r="AT6">
            <v>645</v>
          </cell>
          <cell r="AU6">
            <v>0.20335820895522394</v>
          </cell>
          <cell r="AV6">
            <v>665</v>
          </cell>
          <cell r="AW6">
            <v>0.22693726937269365</v>
          </cell>
          <cell r="AX6">
            <v>690</v>
          </cell>
          <cell r="AY6">
            <v>0.19170984455958551</v>
          </cell>
          <cell r="AZ6">
            <v>2596</v>
          </cell>
          <cell r="BA6">
            <v>0.23384030418250945</v>
          </cell>
        </row>
        <row r="7">
          <cell r="B7" t="str">
            <v>Aranesp - ex US</v>
          </cell>
          <cell r="F7">
            <v>57</v>
          </cell>
          <cell r="I7">
            <v>96.9</v>
          </cell>
          <cell r="K7">
            <v>131.1</v>
          </cell>
          <cell r="M7">
            <v>154.4</v>
          </cell>
          <cell r="O7">
            <v>181.5</v>
          </cell>
          <cell r="Q7">
            <v>563.9</v>
          </cell>
          <cell r="T7">
            <v>213</v>
          </cell>
          <cell r="V7">
            <v>236.6</v>
          </cell>
          <cell r="X7">
            <v>234</v>
          </cell>
          <cell r="Z7">
            <v>256</v>
          </cell>
          <cell r="AA7">
            <v>0.41046831955922869</v>
          </cell>
          <cell r="AB7">
            <v>939.6</v>
          </cell>
          <cell r="AF7">
            <v>276</v>
          </cell>
          <cell r="AG7">
            <v>0.29577464788732399</v>
          </cell>
          <cell r="AH7">
            <v>301</v>
          </cell>
          <cell r="AI7">
            <v>0.27218934911242609</v>
          </cell>
          <cell r="AJ7">
            <v>298</v>
          </cell>
          <cell r="AK7">
            <v>0.27350427350427342</v>
          </cell>
          <cell r="AL7">
            <v>294</v>
          </cell>
          <cell r="AM7">
            <v>0.1484375</v>
          </cell>
          <cell r="AN7">
            <v>1169</v>
          </cell>
          <cell r="AO7">
            <v>0.2441464452958706</v>
          </cell>
          <cell r="AR7">
            <v>297</v>
          </cell>
          <cell r="AS7">
            <v>7.6086956521739024E-2</v>
          </cell>
          <cell r="AT7">
            <v>320</v>
          </cell>
          <cell r="AU7">
            <v>6.3122923588039948E-2</v>
          </cell>
          <cell r="AV7">
            <v>340</v>
          </cell>
          <cell r="AW7">
            <v>0.14093959731543615</v>
          </cell>
          <cell r="AX7">
            <v>360</v>
          </cell>
          <cell r="AY7">
            <v>0.22448979591836737</v>
          </cell>
          <cell r="AZ7">
            <v>1317</v>
          </cell>
          <cell r="BA7">
            <v>0.1266039349871686</v>
          </cell>
        </row>
        <row r="8">
          <cell r="B8" t="str">
            <v>Aranesp-WW</v>
          </cell>
          <cell r="C8">
            <v>39</v>
          </cell>
          <cell r="D8">
            <v>56</v>
          </cell>
          <cell r="E8">
            <v>114</v>
          </cell>
          <cell r="F8">
            <v>207</v>
          </cell>
          <cell r="G8">
            <v>416</v>
          </cell>
          <cell r="I8">
            <v>254.8</v>
          </cell>
          <cell r="K8">
            <v>347.7</v>
          </cell>
          <cell r="M8">
            <v>438.29999999999995</v>
          </cell>
          <cell r="O8">
            <v>503</v>
          </cell>
          <cell r="Q8">
            <v>1543.8</v>
          </cell>
          <cell r="T8">
            <v>542.6</v>
          </cell>
          <cell r="U8">
            <v>1.1295133437990579</v>
          </cell>
          <cell r="V8">
            <v>617.29999999999995</v>
          </cell>
          <cell r="W8">
            <v>0.77538107563991931</v>
          </cell>
          <cell r="X8">
            <v>608</v>
          </cell>
          <cell r="Y8">
            <v>0.38717773214693141</v>
          </cell>
          <cell r="Z8">
            <v>705</v>
          </cell>
          <cell r="AA8">
            <v>0.40159045725646125</v>
          </cell>
          <cell r="AB8">
            <v>2472.9</v>
          </cell>
          <cell r="AC8">
            <v>0.60182666148464836</v>
          </cell>
          <cell r="AF8">
            <v>723</v>
          </cell>
          <cell r="AG8">
            <v>0.33247327681533356</v>
          </cell>
          <cell r="AH8">
            <v>837</v>
          </cell>
          <cell r="AI8">
            <v>0.35590474647659165</v>
          </cell>
          <cell r="AJ8">
            <v>840</v>
          </cell>
          <cell r="AK8">
            <v>0.38157894736842102</v>
          </cell>
          <cell r="AL8">
            <v>873</v>
          </cell>
          <cell r="AM8">
            <v>0.23829787234042543</v>
          </cell>
          <cell r="AN8">
            <v>3273</v>
          </cell>
          <cell r="AO8">
            <v>0.32354725221399971</v>
          </cell>
          <cell r="AR8">
            <v>893</v>
          </cell>
          <cell r="AS8">
            <v>0.23513139695712315</v>
          </cell>
          <cell r="AT8">
            <v>965</v>
          </cell>
          <cell r="AU8">
            <v>0.15292712066905612</v>
          </cell>
          <cell r="AV8">
            <v>1005</v>
          </cell>
          <cell r="AW8">
            <v>0.1964285714285714</v>
          </cell>
          <cell r="AX8">
            <v>1050</v>
          </cell>
          <cell r="AY8">
            <v>0.20274914089347074</v>
          </cell>
          <cell r="AZ8">
            <v>3913</v>
          </cell>
          <cell r="BA8">
            <v>0.19553926061717086</v>
          </cell>
        </row>
        <row r="9">
          <cell r="B9" t="str">
            <v xml:space="preserve">    Neupogen - US</v>
          </cell>
          <cell r="M9">
            <v>227.9</v>
          </cell>
          <cell r="O9">
            <v>225.3</v>
          </cell>
          <cell r="Q9">
            <v>880.5</v>
          </cell>
          <cell r="T9">
            <v>172.3</v>
          </cell>
          <cell r="V9">
            <v>194.5</v>
          </cell>
          <cell r="X9">
            <v>207</v>
          </cell>
          <cell r="Y9">
            <v>-9.1706888986397561E-2</v>
          </cell>
          <cell r="Z9">
            <v>204</v>
          </cell>
          <cell r="AA9">
            <v>-9.4540612516644473E-2</v>
          </cell>
          <cell r="AB9">
            <v>777.8</v>
          </cell>
          <cell r="AC9">
            <v>-0.11663827370812041</v>
          </cell>
          <cell r="AF9">
            <v>182</v>
          </cell>
          <cell r="AG9">
            <v>5.6297156123041203E-2</v>
          </cell>
          <cell r="AH9">
            <v>208</v>
          </cell>
          <cell r="AI9">
            <v>6.9408740359897081E-2</v>
          </cell>
          <cell r="AJ9">
            <v>205</v>
          </cell>
          <cell r="AK9">
            <v>-9.6618357487923134E-3</v>
          </cell>
          <cell r="AL9">
            <v>210</v>
          </cell>
          <cell r="AM9">
            <v>2.9411764705882248E-2</v>
          </cell>
          <cell r="AN9">
            <v>805</v>
          </cell>
          <cell r="AO9">
            <v>3.4970429416302462E-2</v>
          </cell>
          <cell r="AR9">
            <v>191</v>
          </cell>
          <cell r="AS9">
            <v>4.9450549450549497E-2</v>
          </cell>
          <cell r="AT9">
            <v>201</v>
          </cell>
          <cell r="AV9">
            <v>210</v>
          </cell>
          <cell r="AX9">
            <v>206.99999999999997</v>
          </cell>
          <cell r="AZ9">
            <v>809</v>
          </cell>
        </row>
        <row r="10">
          <cell r="B10" t="str">
            <v xml:space="preserve">    Neupogen - ex US</v>
          </cell>
          <cell r="M10">
            <v>102.5</v>
          </cell>
          <cell r="O10">
            <v>96.2</v>
          </cell>
          <cell r="Q10">
            <v>386.2</v>
          </cell>
          <cell r="T10">
            <v>96.7</v>
          </cell>
          <cell r="V10">
            <v>100.7</v>
          </cell>
          <cell r="X10">
            <v>95</v>
          </cell>
          <cell r="Y10">
            <v>-7.3170731707317027E-2</v>
          </cell>
          <cell r="Z10">
            <v>105</v>
          </cell>
          <cell r="AA10">
            <v>9.1476091476091481E-2</v>
          </cell>
          <cell r="AB10">
            <v>397.4</v>
          </cell>
          <cell r="AC10">
            <v>2.9000517866390352E-2</v>
          </cell>
          <cell r="AF10">
            <v>112</v>
          </cell>
          <cell r="AG10">
            <v>0.15822130299896586</v>
          </cell>
          <cell r="AH10">
            <v>104</v>
          </cell>
          <cell r="AI10">
            <v>3.2770605759682159E-2</v>
          </cell>
          <cell r="AJ10">
            <v>100</v>
          </cell>
          <cell r="AK10">
            <v>5.2631578947368363E-2</v>
          </cell>
          <cell r="AL10">
            <v>95</v>
          </cell>
          <cell r="AM10">
            <v>-9.5238095238095233E-2</v>
          </cell>
          <cell r="AN10">
            <v>411</v>
          </cell>
          <cell r="AO10">
            <v>3.4222445898339338E-2</v>
          </cell>
          <cell r="AR10">
            <v>97</v>
          </cell>
          <cell r="AS10">
            <v>-0.1339285714285714</v>
          </cell>
          <cell r="AT10">
            <v>98.999999999999986</v>
          </cell>
          <cell r="AV10">
            <v>90.000000000000014</v>
          </cell>
          <cell r="AX10">
            <v>93.000000000000014</v>
          </cell>
          <cell r="AZ10">
            <v>379</v>
          </cell>
        </row>
        <row r="11">
          <cell r="B11" t="str">
            <v>Neupogen -WW</v>
          </cell>
          <cell r="C11">
            <v>355</v>
          </cell>
          <cell r="D11">
            <v>363</v>
          </cell>
          <cell r="E11">
            <v>332</v>
          </cell>
          <cell r="F11">
            <v>329</v>
          </cell>
          <cell r="G11">
            <v>1379</v>
          </cell>
          <cell r="I11">
            <v>284</v>
          </cell>
          <cell r="K11">
            <v>330.8</v>
          </cell>
          <cell r="M11">
            <v>330.4</v>
          </cell>
          <cell r="O11">
            <v>321.5</v>
          </cell>
          <cell r="Q11">
            <v>1266.7</v>
          </cell>
          <cell r="T11">
            <v>269</v>
          </cell>
          <cell r="U11">
            <v>-5.2816901408450745E-2</v>
          </cell>
          <cell r="V11">
            <v>295.2</v>
          </cell>
          <cell r="W11">
            <v>-0.10761789600967353</v>
          </cell>
          <cell r="X11">
            <v>302</v>
          </cell>
          <cell r="Y11">
            <v>-8.5956416464890939E-2</v>
          </cell>
          <cell r="Z11">
            <v>309</v>
          </cell>
          <cell r="AA11">
            <v>-3.8880248833592534E-2</v>
          </cell>
          <cell r="AB11">
            <v>1175.1999999999998</v>
          </cell>
          <cell r="AC11">
            <v>-7.2234941185758461E-2</v>
          </cell>
          <cell r="AF11">
            <v>294</v>
          </cell>
          <cell r="AG11">
            <v>9.2936802973977661E-2</v>
          </cell>
          <cell r="AH11">
            <v>312</v>
          </cell>
          <cell r="AI11">
            <v>5.6910569105691033E-2</v>
          </cell>
          <cell r="AJ11">
            <v>305</v>
          </cell>
          <cell r="AK11">
            <v>9.9337748344370258E-3</v>
          </cell>
          <cell r="AL11">
            <v>305</v>
          </cell>
          <cell r="AM11">
            <v>-1.2944983818770184E-2</v>
          </cell>
          <cell r="AN11">
            <v>1216</v>
          </cell>
          <cell r="AO11">
            <v>3.4717494894486167E-2</v>
          </cell>
          <cell r="AR11">
            <v>288</v>
          </cell>
          <cell r="AS11">
            <v>-2.0408163265306145E-2</v>
          </cell>
          <cell r="AT11">
            <v>300</v>
          </cell>
          <cell r="AU11">
            <v>-3.8461538461538436E-2</v>
          </cell>
          <cell r="AV11">
            <v>300</v>
          </cell>
          <cell r="AW11">
            <v>-1.6393442622950838E-2</v>
          </cell>
          <cell r="AX11">
            <v>300</v>
          </cell>
          <cell r="AY11">
            <v>-1.6393442622950838E-2</v>
          </cell>
          <cell r="AZ11">
            <v>1188</v>
          </cell>
          <cell r="BA11">
            <v>-2.3026315789473673E-2</v>
          </cell>
        </row>
        <row r="12">
          <cell r="B12" t="str">
            <v xml:space="preserve">    Neulasta - US</v>
          </cell>
          <cell r="M12">
            <v>304.3</v>
          </cell>
          <cell r="O12">
            <v>328</v>
          </cell>
          <cell r="Q12">
            <v>1175.7</v>
          </cell>
          <cell r="T12">
            <v>336.3</v>
          </cell>
          <cell r="V12">
            <v>362.2</v>
          </cell>
          <cell r="X12">
            <v>384</v>
          </cell>
          <cell r="Y12">
            <v>0.26191258626355562</v>
          </cell>
          <cell r="Z12">
            <v>394</v>
          </cell>
          <cell r="AA12">
            <v>0.20121951219512191</v>
          </cell>
          <cell r="AB12">
            <v>1476.5</v>
          </cell>
          <cell r="AC12">
            <v>0.25584758016500797</v>
          </cell>
          <cell r="AF12">
            <v>416</v>
          </cell>
          <cell r="AG12">
            <v>0.23699078203984536</v>
          </cell>
          <cell r="AH12">
            <v>490</v>
          </cell>
          <cell r="AI12">
            <v>0.35284373274434011</v>
          </cell>
          <cell r="AJ12">
            <v>475</v>
          </cell>
          <cell r="AK12">
            <v>0.23697916666666674</v>
          </cell>
          <cell r="AL12">
            <v>519</v>
          </cell>
          <cell r="AM12">
            <v>0.31725888324873086</v>
          </cell>
          <cell r="AN12">
            <v>1900</v>
          </cell>
          <cell r="AO12">
            <v>0.28682695563833382</v>
          </cell>
          <cell r="AR12">
            <v>497</v>
          </cell>
          <cell r="AS12">
            <v>0.19471153846153855</v>
          </cell>
          <cell r="AT12">
            <v>531.19999999999993</v>
          </cell>
          <cell r="AV12">
            <v>543.59375</v>
          </cell>
          <cell r="AX12">
            <v>572.69999999999993</v>
          </cell>
          <cell r="AZ12">
            <v>2144.4937499999996</v>
          </cell>
        </row>
        <row r="13">
          <cell r="B13" t="str">
            <v xml:space="preserve">    Neulasta - ex US</v>
          </cell>
          <cell r="M13">
            <v>22.6</v>
          </cell>
          <cell r="O13">
            <v>38.700000000000003</v>
          </cell>
          <cell r="Q13">
            <v>79.3</v>
          </cell>
          <cell r="T13">
            <v>58.4</v>
          </cell>
          <cell r="V13">
            <v>63.7</v>
          </cell>
          <cell r="X13">
            <v>66</v>
          </cell>
          <cell r="Y13">
            <v>1.9203539823008846</v>
          </cell>
          <cell r="Z13">
            <v>75</v>
          </cell>
          <cell r="AA13">
            <v>0.9379844961240309</v>
          </cell>
          <cell r="AB13">
            <v>263.10000000000002</v>
          </cell>
          <cell r="AC13">
            <v>2.3177805800756626</v>
          </cell>
          <cell r="AF13">
            <v>85</v>
          </cell>
          <cell r="AG13">
            <v>0.45547945205479445</v>
          </cell>
          <cell r="AH13">
            <v>97</v>
          </cell>
          <cell r="AI13">
            <v>0.52276295133437989</v>
          </cell>
          <cell r="AJ13">
            <v>102</v>
          </cell>
          <cell r="AK13">
            <v>0.54545454545454541</v>
          </cell>
          <cell r="AL13">
            <v>104</v>
          </cell>
          <cell r="AM13">
            <v>0.38666666666666671</v>
          </cell>
          <cell r="AN13">
            <v>388</v>
          </cell>
          <cell r="AO13">
            <v>0.47472443937666275</v>
          </cell>
          <cell r="AR13">
            <v>111</v>
          </cell>
          <cell r="AS13">
            <v>0.30588235294117649</v>
          </cell>
          <cell r="AT13">
            <v>108.80000000000003</v>
          </cell>
          <cell r="AV13">
            <v>121.40624999999999</v>
          </cell>
          <cell r="AX13">
            <v>117.30000000000003</v>
          </cell>
          <cell r="AZ13">
            <v>458.50625000000002</v>
          </cell>
        </row>
        <row r="14">
          <cell r="B14" t="str">
            <v>Neulasta - WW</v>
          </cell>
          <cell r="C14">
            <v>0</v>
          </cell>
          <cell r="D14">
            <v>110</v>
          </cell>
          <cell r="E14">
            <v>142</v>
          </cell>
          <cell r="F14">
            <v>212</v>
          </cell>
          <cell r="G14">
            <v>464</v>
          </cell>
          <cell r="I14">
            <v>257.89999999999998</v>
          </cell>
          <cell r="K14">
            <v>303.5</v>
          </cell>
          <cell r="M14">
            <v>326.90000000000003</v>
          </cell>
          <cell r="O14">
            <v>366.7</v>
          </cell>
          <cell r="Q14">
            <v>1255</v>
          </cell>
          <cell r="T14">
            <v>394.7</v>
          </cell>
          <cell r="U14">
            <v>0.53043815432338115</v>
          </cell>
          <cell r="V14">
            <v>425.9</v>
          </cell>
          <cell r="W14">
            <v>0.40329489291598009</v>
          </cell>
          <cell r="X14">
            <v>450</v>
          </cell>
          <cell r="Y14">
            <v>0.37656775772407447</v>
          </cell>
          <cell r="Z14">
            <v>469</v>
          </cell>
          <cell r="AA14">
            <v>0.27897463866921202</v>
          </cell>
          <cell r="AB14">
            <v>1739.6</v>
          </cell>
          <cell r="AC14">
            <v>0.38613545816733064</v>
          </cell>
          <cell r="AF14">
            <v>501</v>
          </cell>
          <cell r="AG14">
            <v>0.26931846972384088</v>
          </cell>
          <cell r="AH14">
            <v>587</v>
          </cell>
          <cell r="AI14">
            <v>0.37825780699694778</v>
          </cell>
          <cell r="AJ14">
            <v>577</v>
          </cell>
          <cell r="AK14">
            <v>0.28222222222222215</v>
          </cell>
          <cell r="AL14">
            <v>623</v>
          </cell>
          <cell r="AM14">
            <v>0.32835820895522394</v>
          </cell>
          <cell r="AN14">
            <v>2288</v>
          </cell>
          <cell r="AO14">
            <v>0.31524488388135219</v>
          </cell>
          <cell r="AR14">
            <v>608</v>
          </cell>
          <cell r="AS14">
            <v>0.21357285429141726</v>
          </cell>
          <cell r="AT14">
            <v>640</v>
          </cell>
          <cell r="AU14">
            <v>9.028960817717202E-2</v>
          </cell>
          <cell r="AV14">
            <v>665</v>
          </cell>
          <cell r="AW14">
            <v>0.15251299826689779</v>
          </cell>
          <cell r="AX14">
            <v>690</v>
          </cell>
          <cell r="AY14">
            <v>0.1075441412520064</v>
          </cell>
          <cell r="AZ14">
            <v>2603</v>
          </cell>
          <cell r="BA14">
            <v>0.13767482517482521</v>
          </cell>
        </row>
        <row r="15">
          <cell r="B15" t="str">
            <v>Enbrel</v>
          </cell>
          <cell r="C15">
            <v>0</v>
          </cell>
          <cell r="D15">
            <v>0</v>
          </cell>
          <cell r="E15">
            <v>158</v>
          </cell>
          <cell r="F15">
            <v>204</v>
          </cell>
          <cell r="G15">
            <v>362</v>
          </cell>
          <cell r="I15">
            <v>274</v>
          </cell>
          <cell r="K15">
            <v>304</v>
          </cell>
          <cell r="M15">
            <v>341.6</v>
          </cell>
          <cell r="O15">
            <v>380.4</v>
          </cell>
          <cell r="Q15">
            <v>1300</v>
          </cell>
          <cell r="T15">
            <v>397.3</v>
          </cell>
          <cell r="U15">
            <v>0.44999999999999996</v>
          </cell>
          <cell r="V15">
            <v>440</v>
          </cell>
          <cell r="W15">
            <v>0.44736842105263164</v>
          </cell>
          <cell r="X15">
            <v>496</v>
          </cell>
          <cell r="Y15">
            <v>0.45199063231850101</v>
          </cell>
          <cell r="Z15">
            <v>567</v>
          </cell>
          <cell r="AA15">
            <v>0.49053627760252372</v>
          </cell>
          <cell r="AB15">
            <v>1900.3</v>
          </cell>
          <cell r="AC15">
            <v>0.46176923076923071</v>
          </cell>
          <cell r="AF15">
            <v>592</v>
          </cell>
          <cell r="AG15">
            <v>0.49005789076264783</v>
          </cell>
          <cell r="AH15">
            <v>639</v>
          </cell>
          <cell r="AI15">
            <v>0.45227272727272738</v>
          </cell>
          <cell r="AJ15">
            <v>668</v>
          </cell>
          <cell r="AK15">
            <v>0.34677419354838701</v>
          </cell>
          <cell r="AL15">
            <v>674</v>
          </cell>
          <cell r="AM15">
            <v>0.18871252204585542</v>
          </cell>
          <cell r="AN15">
            <v>2573</v>
          </cell>
          <cell r="AO15">
            <v>0.35399673735725945</v>
          </cell>
          <cell r="AR15">
            <v>658</v>
          </cell>
          <cell r="AS15">
            <v>0.1114864864864864</v>
          </cell>
          <cell r="AT15">
            <v>680</v>
          </cell>
          <cell r="AU15">
            <v>6.4162754303599412E-2</v>
          </cell>
          <cell r="AV15">
            <v>715</v>
          </cell>
          <cell r="AW15">
            <v>7.0359281437125665E-2</v>
          </cell>
          <cell r="AX15">
            <v>740</v>
          </cell>
          <cell r="AY15">
            <v>9.7922848664688367E-2</v>
          </cell>
          <cell r="AZ15">
            <v>2793</v>
          </cell>
          <cell r="BA15">
            <v>8.5503303536727637E-2</v>
          </cell>
        </row>
        <row r="16">
          <cell r="B16" t="str">
            <v>Sensipar</v>
          </cell>
          <cell r="I16">
            <v>0</v>
          </cell>
          <cell r="K16">
            <v>0</v>
          </cell>
          <cell r="M16">
            <v>0</v>
          </cell>
          <cell r="O16">
            <v>0</v>
          </cell>
          <cell r="Q16">
            <v>0</v>
          </cell>
          <cell r="T16">
            <v>0</v>
          </cell>
          <cell r="V16">
            <v>7</v>
          </cell>
          <cell r="X16">
            <v>10</v>
          </cell>
          <cell r="Z16">
            <v>18</v>
          </cell>
          <cell r="AB16">
            <v>35</v>
          </cell>
          <cell r="AF16">
            <v>25</v>
          </cell>
          <cell r="AH16">
            <v>35</v>
          </cell>
          <cell r="AI16">
            <v>4</v>
          </cell>
          <cell r="AJ16">
            <v>40</v>
          </cell>
          <cell r="AK16">
            <v>3</v>
          </cell>
          <cell r="AL16">
            <v>51</v>
          </cell>
          <cell r="AM16">
            <v>1.8333333333333335</v>
          </cell>
          <cell r="AN16">
            <v>151</v>
          </cell>
          <cell r="AO16">
            <v>3.3142857142857141</v>
          </cell>
          <cell r="AR16">
            <v>61</v>
          </cell>
          <cell r="AS16">
            <v>1.44</v>
          </cell>
          <cell r="AT16">
            <v>65</v>
          </cell>
          <cell r="AU16">
            <v>0.85714285714285721</v>
          </cell>
          <cell r="AV16">
            <v>73</v>
          </cell>
          <cell r="AW16">
            <v>0.82499999999999996</v>
          </cell>
          <cell r="AX16">
            <v>84</v>
          </cell>
          <cell r="AY16">
            <v>0.64705882352941169</v>
          </cell>
          <cell r="AZ16">
            <v>283</v>
          </cell>
          <cell r="BA16">
            <v>0.8741721854304636</v>
          </cell>
        </row>
        <row r="17">
          <cell r="B17" t="str">
            <v>Panitumumab</v>
          </cell>
          <cell r="AX17">
            <v>35</v>
          </cell>
          <cell r="AZ17">
            <v>35</v>
          </cell>
        </row>
        <row r="18">
          <cell r="B18" t="str">
            <v>Palifermin</v>
          </cell>
          <cell r="AF18">
            <v>4</v>
          </cell>
          <cell r="AH18">
            <v>7</v>
          </cell>
          <cell r="AJ18">
            <v>8</v>
          </cell>
          <cell r="AL18">
            <v>13</v>
          </cell>
          <cell r="AN18">
            <v>32</v>
          </cell>
          <cell r="AR18">
            <v>13</v>
          </cell>
          <cell r="AT18">
            <v>18</v>
          </cell>
          <cell r="AU18">
            <v>1.5714285714285716</v>
          </cell>
          <cell r="AV18">
            <v>20</v>
          </cell>
          <cell r="AW18">
            <v>1.5</v>
          </cell>
          <cell r="AX18">
            <v>22</v>
          </cell>
          <cell r="AY18">
            <v>0.69230769230769229</v>
          </cell>
          <cell r="AZ18">
            <v>73</v>
          </cell>
        </row>
        <row r="19">
          <cell r="B19" t="str">
            <v xml:space="preserve">Other </v>
          </cell>
          <cell r="C19">
            <v>2.6</v>
          </cell>
          <cell r="D19">
            <v>16.2</v>
          </cell>
          <cell r="E19">
            <v>41.8</v>
          </cell>
          <cell r="F19">
            <v>49.6</v>
          </cell>
          <cell r="G19">
            <v>110.19999999999999</v>
          </cell>
          <cell r="I19">
            <v>18.100000000000001</v>
          </cell>
          <cell r="K19">
            <v>19.399999999999999</v>
          </cell>
          <cell r="M19">
            <v>15</v>
          </cell>
          <cell r="O19">
            <v>15.5</v>
          </cell>
          <cell r="Q19">
            <v>68</v>
          </cell>
          <cell r="T19">
            <v>14.2</v>
          </cell>
          <cell r="U19">
            <v>-0.21546961325966862</v>
          </cell>
          <cell r="V19">
            <v>13</v>
          </cell>
          <cell r="W19">
            <v>-0.32989690721649478</v>
          </cell>
          <cell r="X19">
            <v>13</v>
          </cell>
          <cell r="Y19">
            <v>-0.1333333333333333</v>
          </cell>
          <cell r="Z19">
            <v>13</v>
          </cell>
          <cell r="AA19">
            <v>-0.16129032258064513</v>
          </cell>
          <cell r="AB19">
            <v>53.2</v>
          </cell>
          <cell r="AC19">
            <v>-0.21764705882352942</v>
          </cell>
          <cell r="AF19">
            <v>13</v>
          </cell>
          <cell r="AG19">
            <v>-8.4507042253521125E-2</v>
          </cell>
          <cell r="AH19">
            <v>8</v>
          </cell>
          <cell r="AI19">
            <v>-0.38461538461538458</v>
          </cell>
          <cell r="AJ19">
            <v>12</v>
          </cell>
          <cell r="AK19">
            <v>-7.6923076923076872E-2</v>
          </cell>
          <cell r="AL19">
            <v>3</v>
          </cell>
          <cell r="AM19">
            <v>-0.76923076923076916</v>
          </cell>
          <cell r="AN19">
            <v>34</v>
          </cell>
          <cell r="AO19">
            <v>-0.36090225563909772</v>
          </cell>
          <cell r="AR19">
            <v>2</v>
          </cell>
          <cell r="AS19">
            <v>-0.84615384615384615</v>
          </cell>
          <cell r="AT19">
            <v>5</v>
          </cell>
          <cell r="AU19">
            <v>-0.375</v>
          </cell>
          <cell r="AV19">
            <v>5</v>
          </cell>
          <cell r="AW19">
            <v>-0.58333333333333326</v>
          </cell>
          <cell r="AX19">
            <v>5</v>
          </cell>
          <cell r="AY19">
            <v>0.66666666666666674</v>
          </cell>
          <cell r="AZ19">
            <v>17</v>
          </cell>
          <cell r="BA19">
            <v>-0.5</v>
          </cell>
        </row>
        <row r="20">
          <cell r="B20" t="str">
            <v>Total Product Sales</v>
          </cell>
          <cell r="C20">
            <v>908.6</v>
          </cell>
          <cell r="D20">
            <v>1115.2</v>
          </cell>
          <cell r="E20">
            <v>1345.8</v>
          </cell>
          <cell r="F20">
            <v>1621.6</v>
          </cell>
          <cell r="G20">
            <v>4991.2</v>
          </cell>
          <cell r="I20">
            <v>1635.8999999999996</v>
          </cell>
          <cell r="K20">
            <v>1916.5</v>
          </cell>
          <cell r="M20">
            <v>2078.1000000000004</v>
          </cell>
          <cell r="O20">
            <v>2237.6999999999998</v>
          </cell>
          <cell r="Q20">
            <v>7868.2</v>
          </cell>
          <cell r="T20">
            <v>2207.8000000000002</v>
          </cell>
          <cell r="U20">
            <v>0.34959349593495981</v>
          </cell>
          <cell r="V20">
            <v>2431</v>
          </cell>
          <cell r="W20">
            <v>0.26845812679363412</v>
          </cell>
          <cell r="X20">
            <v>2560</v>
          </cell>
          <cell r="Y20">
            <v>0.23189451903180758</v>
          </cell>
          <cell r="Z20">
            <v>2778</v>
          </cell>
          <cell r="AA20">
            <v>0.24145327791929216</v>
          </cell>
          <cell r="AB20">
            <v>9976.7999999999993</v>
          </cell>
          <cell r="AC20">
            <v>0.26799013751556888</v>
          </cell>
          <cell r="AF20">
            <v>2735</v>
          </cell>
          <cell r="AG20">
            <v>0.23878974544795706</v>
          </cell>
          <cell r="AH20">
            <v>3072</v>
          </cell>
          <cell r="AI20">
            <v>0.26367749897161663</v>
          </cell>
          <cell r="AJ20">
            <v>3049</v>
          </cell>
          <cell r="AK20">
            <v>0.19101562499999991</v>
          </cell>
          <cell r="AL20">
            <v>3168</v>
          </cell>
          <cell r="AM20">
            <v>0.14038876889848817</v>
          </cell>
          <cell r="AN20">
            <v>12022</v>
          </cell>
          <cell r="AO20">
            <v>0.20499558976826249</v>
          </cell>
          <cell r="AR20">
            <v>3127</v>
          </cell>
          <cell r="AS20">
            <v>0.1433272394881171</v>
          </cell>
          <cell r="AT20">
            <v>3303</v>
          </cell>
          <cell r="AU20">
            <v>7.51953125E-2</v>
          </cell>
          <cell r="AV20">
            <v>3423</v>
          </cell>
          <cell r="AW20">
            <v>0.12266316825188595</v>
          </cell>
          <cell r="AX20">
            <v>3566</v>
          </cell>
          <cell r="AY20">
            <v>0.12563131313131315</v>
          </cell>
          <cell r="AZ20">
            <v>13419</v>
          </cell>
          <cell r="BA20">
            <v>0.11620362668441198</v>
          </cell>
        </row>
        <row r="21">
          <cell r="B21" t="str">
            <v>Corporate Partner Rev.</v>
          </cell>
          <cell r="C21">
            <v>31.5</v>
          </cell>
          <cell r="D21">
            <v>53.9</v>
          </cell>
          <cell r="E21">
            <v>62.8</v>
          </cell>
          <cell r="F21">
            <v>52.1</v>
          </cell>
          <cell r="G21">
            <v>200.3</v>
          </cell>
          <cell r="I21">
            <v>33.9</v>
          </cell>
          <cell r="K21">
            <v>32.700000000000003</v>
          </cell>
          <cell r="M21">
            <v>28.8</v>
          </cell>
          <cell r="O21">
            <v>9.3000000000000007</v>
          </cell>
          <cell r="Q21">
            <v>104.69999999999999</v>
          </cell>
          <cell r="T21">
            <v>35</v>
          </cell>
          <cell r="U21">
            <v>3.2448377581121068E-2</v>
          </cell>
          <cell r="V21">
            <v>43.9</v>
          </cell>
          <cell r="W21">
            <v>0.34250764525993871</v>
          </cell>
          <cell r="X21">
            <v>38</v>
          </cell>
          <cell r="Y21">
            <v>0.31944444444444442</v>
          </cell>
          <cell r="Z21">
            <v>21</v>
          </cell>
          <cell r="AA21">
            <v>1.258064516129032</v>
          </cell>
          <cell r="AB21">
            <v>137.9</v>
          </cell>
          <cell r="AC21">
            <v>0.31709646609360087</v>
          </cell>
          <cell r="AF21">
            <v>0</v>
          </cell>
          <cell r="AG21">
            <v>-1</v>
          </cell>
          <cell r="AH21">
            <v>0</v>
          </cell>
          <cell r="AI21">
            <v>-1</v>
          </cell>
          <cell r="AK21">
            <v>-1</v>
          </cell>
          <cell r="AM21">
            <v>-1</v>
          </cell>
          <cell r="AN21">
            <v>0</v>
          </cell>
          <cell r="AO21">
            <v>-1</v>
          </cell>
          <cell r="AR21">
            <v>0</v>
          </cell>
          <cell r="AS21" t="e">
            <v>#DIV/0!</v>
          </cell>
          <cell r="AT21">
            <v>0</v>
          </cell>
          <cell r="AU21" t="e">
            <v>#DIV/0!</v>
          </cell>
          <cell r="AW21" t="e">
            <v>#DIV/0!</v>
          </cell>
          <cell r="AY21" t="e">
            <v>#DIV/0!</v>
          </cell>
          <cell r="AZ21">
            <v>0</v>
          </cell>
          <cell r="BA21" t="e">
            <v>#DIV/0!</v>
          </cell>
        </row>
        <row r="22">
          <cell r="B22" t="str">
            <v>Royalties/Corporate Partner</v>
          </cell>
          <cell r="C22">
            <v>68.400000000000006</v>
          </cell>
          <cell r="D22">
            <v>80</v>
          </cell>
          <cell r="E22">
            <v>90.7</v>
          </cell>
          <cell r="F22">
            <v>92.4</v>
          </cell>
          <cell r="G22">
            <v>331.5</v>
          </cell>
          <cell r="I22">
            <v>91.4</v>
          </cell>
          <cell r="K22">
            <v>91.9</v>
          </cell>
          <cell r="M22">
            <v>100.5</v>
          </cell>
          <cell r="O22">
            <v>99.3</v>
          </cell>
          <cell r="Q22">
            <v>383.1</v>
          </cell>
          <cell r="T22">
            <v>100.2</v>
          </cell>
          <cell r="U22">
            <v>9.6280087527352176E-2</v>
          </cell>
          <cell r="V22">
            <v>110</v>
          </cell>
          <cell r="W22">
            <v>0.19695321001088129</v>
          </cell>
          <cell r="X22">
            <v>115</v>
          </cell>
          <cell r="Y22">
            <v>0.14427860696517403</v>
          </cell>
          <cell r="Z22">
            <v>110</v>
          </cell>
          <cell r="AA22">
            <v>0.10775427995971798</v>
          </cell>
          <cell r="AB22">
            <v>435.2</v>
          </cell>
          <cell r="AC22">
            <v>0.13599582354476625</v>
          </cell>
          <cell r="AF22">
            <v>98</v>
          </cell>
          <cell r="AG22">
            <v>-2.1956087824351322E-2</v>
          </cell>
          <cell r="AH22">
            <v>100</v>
          </cell>
          <cell r="AI22">
            <v>-9.0909090909090939E-2</v>
          </cell>
          <cell r="AJ22">
            <v>107</v>
          </cell>
          <cell r="AK22">
            <v>-6.956521739130439E-2</v>
          </cell>
          <cell r="AL22">
            <v>103</v>
          </cell>
          <cell r="AM22">
            <v>-6.3636363636363602E-2</v>
          </cell>
          <cell r="AN22">
            <v>408</v>
          </cell>
          <cell r="AO22">
            <v>-6.25E-2</v>
          </cell>
          <cell r="AR22">
            <v>90</v>
          </cell>
          <cell r="AS22">
            <v>-8.1632653061224469E-2</v>
          </cell>
          <cell r="AT22">
            <v>90</v>
          </cell>
          <cell r="AU22">
            <v>-9.9999999999999978E-2</v>
          </cell>
          <cell r="AV22">
            <v>90</v>
          </cell>
          <cell r="AW22">
            <v>-0.15887850467289721</v>
          </cell>
          <cell r="AX22">
            <v>90</v>
          </cell>
          <cell r="AY22">
            <v>-0.12621359223300976</v>
          </cell>
          <cell r="AZ22">
            <v>360</v>
          </cell>
          <cell r="BA22">
            <v>-0.11764705882352944</v>
          </cell>
        </row>
        <row r="23">
          <cell r="B23" t="str">
            <v>Total Revenues</v>
          </cell>
          <cell r="C23">
            <v>1008.5</v>
          </cell>
          <cell r="D23">
            <v>1249.1000000000001</v>
          </cell>
          <cell r="E23">
            <v>1499.3</v>
          </cell>
          <cell r="F23">
            <v>1766.1</v>
          </cell>
          <cell r="G23">
            <v>5523</v>
          </cell>
          <cell r="I23">
            <v>1761.1999999999998</v>
          </cell>
          <cell r="K23">
            <v>2041.1000000000001</v>
          </cell>
          <cell r="M23">
            <v>2207.4000000000005</v>
          </cell>
          <cell r="O23">
            <v>2346.3000000000002</v>
          </cell>
          <cell r="Q23">
            <v>8356</v>
          </cell>
          <cell r="T23">
            <v>2343</v>
          </cell>
          <cell r="U23">
            <v>0.33034294799000685</v>
          </cell>
          <cell r="V23">
            <v>2584.9</v>
          </cell>
          <cell r="W23">
            <v>0.26642496692959683</v>
          </cell>
          <cell r="X23">
            <v>2713</v>
          </cell>
          <cell r="Y23">
            <v>0.22904774848237719</v>
          </cell>
          <cell r="Z23">
            <v>2909</v>
          </cell>
          <cell r="AA23">
            <v>0.23982440438136621</v>
          </cell>
          <cell r="AB23">
            <v>10549.9</v>
          </cell>
          <cell r="AC23">
            <v>0.26255385351842975</v>
          </cell>
          <cell r="AF23">
            <v>2833</v>
          </cell>
          <cell r="AG23">
            <v>8574.9360605018901</v>
          </cell>
          <cell r="AH23">
            <v>3172</v>
          </cell>
          <cell r="AI23">
            <v>0.22712677473016352</v>
          </cell>
          <cell r="AJ23">
            <v>3156</v>
          </cell>
          <cell r="AK23">
            <v>0.16328787320309623</v>
          </cell>
          <cell r="AL23">
            <v>3271</v>
          </cell>
          <cell r="AM23">
            <v>0.12444138879339972</v>
          </cell>
          <cell r="AN23">
            <v>12430</v>
          </cell>
          <cell r="AO23">
            <v>0.17821022000208542</v>
          </cell>
          <cell r="AR23">
            <v>3217</v>
          </cell>
          <cell r="AS23">
            <v>0.13554535827744441</v>
          </cell>
          <cell r="AT23">
            <v>3393</v>
          </cell>
          <cell r="AU23">
            <v>6.9672131147541005E-2</v>
          </cell>
          <cell r="AV23">
            <v>3513</v>
          </cell>
          <cell r="AW23">
            <v>0.1131178707224334</v>
          </cell>
          <cell r="AX23">
            <v>3656</v>
          </cell>
          <cell r="AY23">
            <v>0.11770100886579038</v>
          </cell>
          <cell r="AZ23">
            <v>13779</v>
          </cell>
          <cell r="BA23">
            <v>0.10852775543041027</v>
          </cell>
        </row>
        <row r="24">
          <cell r="B24" t="str">
            <v>Operating Expenses:</v>
          </cell>
          <cell r="AC24">
            <v>11921.386999999999</v>
          </cell>
        </row>
        <row r="25">
          <cell r="B25" t="str">
            <v xml:space="preserve">   Cost of Sales</v>
          </cell>
          <cell r="C25">
            <v>103.6</v>
          </cell>
          <cell r="D25">
            <v>131.9</v>
          </cell>
          <cell r="E25">
            <v>226.4</v>
          </cell>
          <cell r="F25">
            <v>278.39999999999998</v>
          </cell>
          <cell r="G25">
            <v>740.3</v>
          </cell>
          <cell r="I25">
            <v>283.3</v>
          </cell>
          <cell r="K25">
            <v>329.1</v>
          </cell>
          <cell r="M25">
            <v>340</v>
          </cell>
          <cell r="O25">
            <v>388.3</v>
          </cell>
          <cell r="Q25">
            <v>1340.7</v>
          </cell>
          <cell r="T25">
            <v>371.5</v>
          </cell>
          <cell r="U25">
            <v>0.31133074479350498</v>
          </cell>
          <cell r="V25">
            <v>435</v>
          </cell>
          <cell r="W25">
            <v>0.32178669097538726</v>
          </cell>
          <cell r="X25">
            <v>447</v>
          </cell>
          <cell r="Y25">
            <v>0.31470588235294117</v>
          </cell>
          <cell r="Z25">
            <v>476</v>
          </cell>
          <cell r="AA25">
            <v>0.22585629667782636</v>
          </cell>
          <cell r="AB25">
            <v>1729.5</v>
          </cell>
          <cell r="AC25">
            <v>0.28999776236294461</v>
          </cell>
          <cell r="AF25">
            <v>489</v>
          </cell>
          <cell r="AG25">
            <v>0.31628532974428003</v>
          </cell>
          <cell r="AH25">
            <v>530</v>
          </cell>
          <cell r="AI25">
            <v>0.21839080459770122</v>
          </cell>
          <cell r="AJ25">
            <v>505</v>
          </cell>
          <cell r="AK25">
            <v>0.12975391498881428</v>
          </cell>
          <cell r="AL25">
            <v>511</v>
          </cell>
          <cell r="AM25">
            <v>7.3529411764705843E-2</v>
          </cell>
          <cell r="AN25">
            <v>2035</v>
          </cell>
          <cell r="AO25">
            <v>0.17664064758600762</v>
          </cell>
          <cell r="AR25">
            <v>552</v>
          </cell>
          <cell r="AS25">
            <v>0.12883435582822078</v>
          </cell>
          <cell r="AT25">
            <v>561.51</v>
          </cell>
          <cell r="AU25">
            <v>5.9452830188679195E-2</v>
          </cell>
          <cell r="AV25">
            <v>573.35250000000008</v>
          </cell>
          <cell r="AW25">
            <v>0.13535148514851492</v>
          </cell>
          <cell r="AX25">
            <v>588.39</v>
          </cell>
          <cell r="AY25">
            <v>0.15144814090019576</v>
          </cell>
          <cell r="AZ25">
            <v>2275.2525000000001</v>
          </cell>
          <cell r="BA25">
            <v>0.11806019656019662</v>
          </cell>
        </row>
        <row r="26">
          <cell r="B26" t="str">
            <v xml:space="preserve">   % of Product Revenues</v>
          </cell>
          <cell r="C26">
            <v>0.11402157164869028</v>
          </cell>
          <cell r="D26">
            <v>0.11827474892395982</v>
          </cell>
          <cell r="E26">
            <v>0.16822707683162433</v>
          </cell>
          <cell r="F26">
            <v>0.17168228909718797</v>
          </cell>
          <cell r="G26">
            <v>0.1483210450392691</v>
          </cell>
          <cell r="I26">
            <v>0.17018155143957453</v>
          </cell>
          <cell r="K26">
            <v>0.16916253587268457</v>
          </cell>
          <cell r="M26">
            <v>0.16149367210432608</v>
          </cell>
          <cell r="O26">
            <v>0.17138132904321401</v>
          </cell>
          <cell r="Q26">
            <v>0.1679799700058463</v>
          </cell>
          <cell r="T26">
            <v>0.16826705317510643</v>
          </cell>
          <cell r="V26">
            <v>0.17893870835047307</v>
          </cell>
          <cell r="X26">
            <v>0.17460937500000001</v>
          </cell>
          <cell r="Z26">
            <v>0.17134629229661627</v>
          </cell>
          <cell r="AB26">
            <v>0.17335217705075778</v>
          </cell>
          <cell r="AF26">
            <v>0.17879341864716636</v>
          </cell>
          <cell r="AH26">
            <v>0.17252604166666666</v>
          </cell>
          <cell r="AJ26">
            <v>0.16562807477861594</v>
          </cell>
          <cell r="AL26">
            <v>0.16130050505050506</v>
          </cell>
          <cell r="AN26">
            <v>0.16927299950091498</v>
          </cell>
          <cell r="AR26">
            <v>0.17652702270546849</v>
          </cell>
          <cell r="AT26">
            <v>0.17</v>
          </cell>
          <cell r="AV26">
            <v>0.16750000000000001</v>
          </cell>
          <cell r="AX26">
            <v>0.16500000000000001</v>
          </cell>
          <cell r="AZ26">
            <v>0.16955454951933827</v>
          </cell>
        </row>
        <row r="27">
          <cell r="B27" t="str">
            <v xml:space="preserve">   R&amp;D</v>
          </cell>
          <cell r="C27">
            <v>203.4</v>
          </cell>
          <cell r="D27">
            <v>233.6</v>
          </cell>
          <cell r="E27">
            <v>312.60000000000002</v>
          </cell>
          <cell r="F27">
            <v>367</v>
          </cell>
          <cell r="G27">
            <v>1116.5999999999999</v>
          </cell>
          <cell r="I27">
            <v>351.3</v>
          </cell>
          <cell r="K27">
            <v>393.7</v>
          </cell>
          <cell r="M27">
            <v>407.5</v>
          </cell>
          <cell r="O27">
            <v>502.9</v>
          </cell>
          <cell r="Q27">
            <v>1655.4</v>
          </cell>
          <cell r="T27">
            <v>432.9</v>
          </cell>
          <cell r="U27">
            <v>0.23228010247651576</v>
          </cell>
          <cell r="V27">
            <v>460.4</v>
          </cell>
          <cell r="W27">
            <v>0.16941833883667767</v>
          </cell>
          <cell r="X27">
            <v>495</v>
          </cell>
          <cell r="Y27">
            <v>0.21472392638036819</v>
          </cell>
          <cell r="Z27">
            <v>608</v>
          </cell>
          <cell r="AA27">
            <v>0.20898787035195876</v>
          </cell>
          <cell r="AB27">
            <v>1996.3</v>
          </cell>
          <cell r="AC27">
            <v>0.20593210100277859</v>
          </cell>
          <cell r="AF27">
            <v>521</v>
          </cell>
          <cell r="AG27">
            <v>0.20351120351120366</v>
          </cell>
          <cell r="AH27">
            <v>564</v>
          </cell>
          <cell r="AI27">
            <v>0.22502172024326672</v>
          </cell>
          <cell r="AJ27">
            <v>559</v>
          </cell>
          <cell r="AK27">
            <v>0.12929292929292924</v>
          </cell>
          <cell r="AL27">
            <v>658</v>
          </cell>
          <cell r="AM27">
            <v>8.2236842105263053E-2</v>
          </cell>
          <cell r="AN27">
            <v>2302</v>
          </cell>
          <cell r="AO27">
            <v>0.15313329659870756</v>
          </cell>
          <cell r="AR27">
            <v>624</v>
          </cell>
          <cell r="AS27">
            <v>0.19769673704414581</v>
          </cell>
          <cell r="AT27">
            <v>725</v>
          </cell>
          <cell r="AU27">
            <v>0.28546099290780136</v>
          </cell>
          <cell r="AV27">
            <v>785</v>
          </cell>
          <cell r="AW27">
            <v>0.40429338103756707</v>
          </cell>
          <cell r="AX27">
            <v>875</v>
          </cell>
          <cell r="AY27">
            <v>0.32978723404255317</v>
          </cell>
          <cell r="AZ27">
            <v>3009</v>
          </cell>
          <cell r="BA27">
            <v>0.30712423979148573</v>
          </cell>
        </row>
        <row r="28">
          <cell r="B28" t="str">
            <v xml:space="preserve">   % of Total Revenues</v>
          </cell>
          <cell r="G28">
            <v>0.20217273221075502</v>
          </cell>
          <cell r="Q28">
            <v>0.19810914313068456</v>
          </cell>
          <cell r="T28">
            <v>0.18476312419974392</v>
          </cell>
          <cell r="V28">
            <v>0.17811133892993924</v>
          </cell>
          <cell r="X28">
            <v>0.18245484703280501</v>
          </cell>
          <cell r="Z28">
            <v>0.20900653145410794</v>
          </cell>
          <cell r="AB28">
            <v>0.18922454241272429</v>
          </cell>
          <cell r="AF28">
            <v>0.18390398870455349</v>
          </cell>
          <cell r="AH28">
            <v>0.17780580075662042</v>
          </cell>
          <cell r="AJ28">
            <v>0.17712294043092522</v>
          </cell>
          <cell r="AL28">
            <v>0.20116172424335066</v>
          </cell>
          <cell r="AN28">
            <v>0.18519710378117457</v>
          </cell>
          <cell r="AR28">
            <v>0.19396953683556109</v>
          </cell>
          <cell r="AT28">
            <v>0.21367521367521367</v>
          </cell>
          <cell r="AV28">
            <v>0.22345573583831482</v>
          </cell>
          <cell r="AX28">
            <v>0.23933260393873085</v>
          </cell>
          <cell r="AZ28">
            <v>0.21837578924450252</v>
          </cell>
        </row>
        <row r="29">
          <cell r="B29" t="str">
            <v xml:space="preserve">   SG&amp;A</v>
          </cell>
          <cell r="C29">
            <v>245.8</v>
          </cell>
          <cell r="D29">
            <v>320.5</v>
          </cell>
          <cell r="E29">
            <v>394.9</v>
          </cell>
          <cell r="F29">
            <v>500.9</v>
          </cell>
          <cell r="G29">
            <v>1462.1</v>
          </cell>
          <cell r="I29">
            <v>390.1</v>
          </cell>
          <cell r="K29">
            <v>453.5</v>
          </cell>
          <cell r="M29">
            <v>483</v>
          </cell>
          <cell r="O29">
            <v>626</v>
          </cell>
          <cell r="Q29">
            <v>1952.6</v>
          </cell>
          <cell r="T29">
            <v>512.4</v>
          </cell>
          <cell r="U29">
            <v>0.31350935657523693</v>
          </cell>
          <cell r="V29">
            <v>586.70000000000005</v>
          </cell>
          <cell r="W29">
            <v>0.29371554575523717</v>
          </cell>
          <cell r="X29">
            <v>635</v>
          </cell>
          <cell r="Y29">
            <v>0.31469979296066253</v>
          </cell>
          <cell r="Z29">
            <v>813</v>
          </cell>
          <cell r="AA29">
            <v>0.29872204472843444</v>
          </cell>
          <cell r="AB29">
            <v>2547.1</v>
          </cell>
          <cell r="AC29">
            <v>0.30446584041790437</v>
          </cell>
          <cell r="AF29">
            <v>577</v>
          </cell>
          <cell r="AG29">
            <v>0.12607338017174086</v>
          </cell>
          <cell r="AH29">
            <v>646</v>
          </cell>
          <cell r="AI29">
            <v>0.10107380262485077</v>
          </cell>
          <cell r="AJ29">
            <v>656</v>
          </cell>
          <cell r="AK29">
            <v>3.3070866141732269E-2</v>
          </cell>
          <cell r="AL29">
            <v>913</v>
          </cell>
          <cell r="AM29">
            <v>0.12300123001230023</v>
          </cell>
          <cell r="AN29">
            <v>2792</v>
          </cell>
          <cell r="AO29">
            <v>9.6148561108711839E-2</v>
          </cell>
          <cell r="AR29">
            <v>652</v>
          </cell>
          <cell r="AS29">
            <v>0.12998266897746968</v>
          </cell>
          <cell r="AT29">
            <v>695.56499999999994</v>
          </cell>
          <cell r="AU29">
            <v>7.6726006191950358E-2</v>
          </cell>
          <cell r="AV29">
            <v>772.86</v>
          </cell>
          <cell r="AW29">
            <v>0.1781402439024391</v>
          </cell>
          <cell r="AX29">
            <v>906.68799999999999</v>
          </cell>
          <cell r="AY29">
            <v>-6.9134720700986252E-3</v>
          </cell>
          <cell r="AZ29">
            <v>3027.1130000000003</v>
          </cell>
          <cell r="BA29">
            <v>8.4209527220630465E-2</v>
          </cell>
        </row>
        <row r="30">
          <cell r="B30" t="str">
            <v xml:space="preserve">   % of Total Revenues</v>
          </cell>
          <cell r="G30">
            <v>0.26472931377874342</v>
          </cell>
          <cell r="Q30">
            <v>0.23367640019147917</v>
          </cell>
          <cell r="T30">
            <v>0.21869398207426374</v>
          </cell>
          <cell r="V30">
            <v>0.22697202986575885</v>
          </cell>
          <cell r="X30">
            <v>0.23405823811279028</v>
          </cell>
          <cell r="Z30">
            <v>0.27947748367136471</v>
          </cell>
          <cell r="AB30">
            <v>0.2414335680906928</v>
          </cell>
          <cell r="AF30">
            <v>0.20367102012001412</v>
          </cell>
          <cell r="AH30">
            <v>0.20365699873896595</v>
          </cell>
          <cell r="AJ30">
            <v>0.20785804816223066</v>
          </cell>
          <cell r="AL30">
            <v>0.27911953531030265</v>
          </cell>
          <cell r="AN30">
            <v>0.2246178600160901</v>
          </cell>
          <cell r="AR30">
            <v>0.20267329810382345</v>
          </cell>
          <cell r="AT30">
            <v>0.20499999999999999</v>
          </cell>
          <cell r="AV30">
            <v>0.22</v>
          </cell>
          <cell r="AX30">
            <v>0.248</v>
          </cell>
          <cell r="AZ30">
            <v>0.21969032585819001</v>
          </cell>
        </row>
        <row r="31">
          <cell r="B31" t="str">
            <v xml:space="preserve">   Loss of Affiliates, Net</v>
          </cell>
          <cell r="C31">
            <v>-1.7</v>
          </cell>
          <cell r="D31">
            <v>-1.7</v>
          </cell>
          <cell r="E31">
            <v>-3.4</v>
          </cell>
          <cell r="F31">
            <v>-5.8</v>
          </cell>
          <cell r="G31">
            <v>-12.6</v>
          </cell>
          <cell r="I31">
            <v>-9.6</v>
          </cell>
          <cell r="K31">
            <v>-12.3</v>
          </cell>
          <cell r="M31">
            <v>36.200000000000003</v>
          </cell>
          <cell r="O31">
            <v>-10</v>
          </cell>
          <cell r="Q31">
            <v>4.3000000000000043</v>
          </cell>
          <cell r="T31">
            <v>0</v>
          </cell>
          <cell r="U31">
            <v>-1</v>
          </cell>
          <cell r="V31">
            <v>0</v>
          </cell>
          <cell r="W31">
            <v>-1</v>
          </cell>
          <cell r="X31">
            <v>0</v>
          </cell>
          <cell r="Y31">
            <v>-1</v>
          </cell>
          <cell r="Z31">
            <v>0</v>
          </cell>
          <cell r="AA31">
            <v>-1</v>
          </cell>
          <cell r="AB31">
            <v>0</v>
          </cell>
          <cell r="AC31">
            <v>-1</v>
          </cell>
          <cell r="AF31">
            <v>0</v>
          </cell>
          <cell r="AH31">
            <v>0</v>
          </cell>
          <cell r="AJ31">
            <v>0</v>
          </cell>
          <cell r="AL31">
            <v>0</v>
          </cell>
          <cell r="AN31">
            <v>0</v>
          </cell>
          <cell r="AR31">
            <v>0</v>
          </cell>
          <cell r="AT31">
            <v>0</v>
          </cell>
          <cell r="AV31">
            <v>0</v>
          </cell>
          <cell r="AX31">
            <v>0</v>
          </cell>
          <cell r="AZ31">
            <v>0</v>
          </cell>
        </row>
        <row r="32">
          <cell r="B32" t="str">
            <v xml:space="preserve">   Other </v>
          </cell>
          <cell r="C32">
            <v>0</v>
          </cell>
          <cell r="D32">
            <v>0</v>
          </cell>
          <cell r="E32">
            <v>-35.5</v>
          </cell>
          <cell r="F32">
            <v>0</v>
          </cell>
          <cell r="G32">
            <v>0</v>
          </cell>
          <cell r="K32">
            <v>-24</v>
          </cell>
          <cell r="Q32">
            <v>-24</v>
          </cell>
          <cell r="T32">
            <v>0</v>
          </cell>
          <cell r="V32">
            <v>0</v>
          </cell>
          <cell r="X32">
            <v>0</v>
          </cell>
          <cell r="Z32">
            <v>0</v>
          </cell>
          <cell r="AB32">
            <v>0</v>
          </cell>
          <cell r="AF32">
            <v>0</v>
          </cell>
          <cell r="AH32">
            <v>0</v>
          </cell>
          <cell r="AJ32">
            <v>0</v>
          </cell>
          <cell r="AL32">
            <v>0</v>
          </cell>
          <cell r="AN32">
            <v>0</v>
          </cell>
          <cell r="AR32">
            <v>0</v>
          </cell>
          <cell r="AT32">
            <v>0</v>
          </cell>
          <cell r="AV32">
            <v>0</v>
          </cell>
          <cell r="AX32">
            <v>0</v>
          </cell>
          <cell r="AZ32">
            <v>0</v>
          </cell>
        </row>
        <row r="33">
          <cell r="B33" t="str">
            <v xml:space="preserve">   Options Expense</v>
          </cell>
        </row>
        <row r="34">
          <cell r="B34" t="str">
            <v>Total Operating Expenses</v>
          </cell>
          <cell r="C34">
            <v>551.1</v>
          </cell>
          <cell r="D34">
            <v>684.3</v>
          </cell>
          <cell r="E34">
            <v>895</v>
          </cell>
          <cell r="F34">
            <v>1140.5</v>
          </cell>
          <cell r="G34">
            <v>3461.6</v>
          </cell>
          <cell r="I34">
            <v>1015.1</v>
          </cell>
          <cell r="K34">
            <v>1140</v>
          </cell>
          <cell r="M34">
            <v>1266.7</v>
          </cell>
          <cell r="O34">
            <v>1507.2</v>
          </cell>
          <cell r="Q34">
            <v>4929.0000000000009</v>
          </cell>
          <cell r="T34">
            <v>1316.8</v>
          </cell>
          <cell r="U34">
            <v>0.76491086985658807</v>
          </cell>
          <cell r="V34">
            <v>1482.1</v>
          </cell>
          <cell r="W34">
            <v>0.64476750638108937</v>
          </cell>
          <cell r="X34">
            <v>1577</v>
          </cell>
          <cell r="Y34">
            <v>0.67641118316147453</v>
          </cell>
          <cell r="Z34">
            <v>1897</v>
          </cell>
          <cell r="AA34">
            <v>1.2607555714455962</v>
          </cell>
          <cell r="AB34">
            <v>6272.9</v>
          </cell>
          <cell r="AC34">
            <v>0.83043478260869508</v>
          </cell>
          <cell r="AF34">
            <v>1587</v>
          </cell>
          <cell r="AG34">
            <v>0.20519441069258804</v>
          </cell>
          <cell r="AH34">
            <v>1740</v>
          </cell>
          <cell r="AI34">
            <v>0.17400985088725474</v>
          </cell>
          <cell r="AJ34">
            <v>1720</v>
          </cell>
          <cell r="AK34">
            <v>9.0678503487634732E-2</v>
          </cell>
          <cell r="AL34">
            <v>2082</v>
          </cell>
          <cell r="AM34">
            <v>9.7522403795466506E-2</v>
          </cell>
          <cell r="AN34">
            <v>7129</v>
          </cell>
          <cell r="AO34">
            <v>0.13647595211146357</v>
          </cell>
          <cell r="AR34">
            <v>1828</v>
          </cell>
          <cell r="AS34">
            <v>0.15185885318210457</v>
          </cell>
          <cell r="AT34">
            <v>1982.0749999999998</v>
          </cell>
          <cell r="AU34">
            <v>0.1391235632183907</v>
          </cell>
          <cell r="AV34">
            <v>2131.2125000000001</v>
          </cell>
          <cell r="AW34">
            <v>0.23907703488372101</v>
          </cell>
          <cell r="AX34">
            <v>2370.078</v>
          </cell>
          <cell r="AY34">
            <v>0.13836599423631113</v>
          </cell>
          <cell r="AZ34">
            <v>8311.3654999999999</v>
          </cell>
          <cell r="BA34">
            <v>0.16585292467386736</v>
          </cell>
        </row>
        <row r="35">
          <cell r="B35" t="str">
            <v xml:space="preserve">Operating Income (Loss) </v>
          </cell>
          <cell r="C35">
            <v>457.4</v>
          </cell>
          <cell r="D35">
            <v>564.80000000000018</v>
          </cell>
          <cell r="E35">
            <v>604.29999999999995</v>
          </cell>
          <cell r="F35">
            <v>625.59999999999991</v>
          </cell>
          <cell r="G35">
            <v>2061.4</v>
          </cell>
          <cell r="I35">
            <v>746.0999999999998</v>
          </cell>
          <cell r="K35">
            <v>901.10000000000014</v>
          </cell>
          <cell r="M35">
            <v>940.7000000000005</v>
          </cell>
          <cell r="O35">
            <v>839.10000000000014</v>
          </cell>
          <cell r="Q35">
            <v>3427.0000000000009</v>
          </cell>
          <cell r="T35">
            <v>1026.2</v>
          </cell>
          <cell r="U35">
            <v>0.3754188446588933</v>
          </cell>
          <cell r="V35">
            <v>1102.8000000000002</v>
          </cell>
          <cell r="W35">
            <v>0.22383753190544886</v>
          </cell>
          <cell r="X35">
            <v>1136</v>
          </cell>
          <cell r="Y35">
            <v>0.20761135324758095</v>
          </cell>
          <cell r="Z35">
            <v>1012</v>
          </cell>
          <cell r="AA35">
            <v>0.20605410558932169</v>
          </cell>
          <cell r="AB35">
            <v>4277</v>
          </cell>
          <cell r="AC35">
            <v>0.24803034724248585</v>
          </cell>
          <cell r="AF35">
            <v>1246</v>
          </cell>
          <cell r="AG35">
            <v>0.2141882673942701</v>
          </cell>
          <cell r="AH35">
            <v>1432</v>
          </cell>
          <cell r="AI35">
            <v>0.29851287631483481</v>
          </cell>
          <cell r="AJ35">
            <v>1436</v>
          </cell>
          <cell r="AK35">
            <v>0.2640845070422535</v>
          </cell>
          <cell r="AL35">
            <v>1189</v>
          </cell>
          <cell r="AM35">
            <v>0.17490118577075098</v>
          </cell>
          <cell r="AN35">
            <v>5301</v>
          </cell>
          <cell r="AO35">
            <v>0.23942015431377128</v>
          </cell>
          <cell r="AR35">
            <v>1389</v>
          </cell>
          <cell r="AS35">
            <v>0.1147672552166934</v>
          </cell>
          <cell r="AT35">
            <v>1410.9250000000002</v>
          </cell>
          <cell r="AU35">
            <v>-1.4717178770949579E-2</v>
          </cell>
          <cell r="AV35">
            <v>1381.7874999999999</v>
          </cell>
          <cell r="AW35">
            <v>-3.7752437325905386E-2</v>
          </cell>
          <cell r="AX35">
            <v>1285.922</v>
          </cell>
          <cell r="AY35">
            <v>8.1515559293523943E-2</v>
          </cell>
          <cell r="AZ35">
            <v>5467.6345000000001</v>
          </cell>
          <cell r="BA35">
            <v>3.143454065270701E-2</v>
          </cell>
        </row>
        <row r="36">
          <cell r="B36" t="str">
            <v xml:space="preserve">   Interest, Other Income</v>
          </cell>
          <cell r="C36">
            <v>43.7</v>
          </cell>
          <cell r="D36">
            <v>45.5</v>
          </cell>
          <cell r="E36">
            <v>23.7</v>
          </cell>
          <cell r="F36">
            <v>31.299999999999983</v>
          </cell>
          <cell r="G36">
            <v>144.19999999999999</v>
          </cell>
          <cell r="I36">
            <v>32.799999999999997</v>
          </cell>
          <cell r="K36">
            <v>40.4</v>
          </cell>
          <cell r="M36">
            <v>17.2</v>
          </cell>
          <cell r="O36">
            <v>23</v>
          </cell>
          <cell r="Q36">
            <v>113.39999999999999</v>
          </cell>
          <cell r="T36">
            <v>28.6</v>
          </cell>
          <cell r="U36">
            <v>-0.12804878048780477</v>
          </cell>
          <cell r="V36">
            <v>17.600000000000001</v>
          </cell>
          <cell r="W36">
            <v>-0.5643564356435643</v>
          </cell>
          <cell r="X36">
            <v>22.5</v>
          </cell>
          <cell r="Y36">
            <v>0.30813953488372103</v>
          </cell>
          <cell r="Z36">
            <v>31</v>
          </cell>
          <cell r="AA36">
            <v>0.34782608695652173</v>
          </cell>
          <cell r="AB36">
            <v>99.7</v>
          </cell>
          <cell r="AC36">
            <v>-0.120811287477954</v>
          </cell>
          <cell r="AF36">
            <v>45</v>
          </cell>
          <cell r="AH36">
            <v>20</v>
          </cell>
          <cell r="AJ36">
            <v>48</v>
          </cell>
          <cell r="AL36">
            <v>44</v>
          </cell>
          <cell r="AN36">
            <v>157</v>
          </cell>
          <cell r="AR36">
            <v>114</v>
          </cell>
          <cell r="AT36">
            <v>80</v>
          </cell>
          <cell r="AV36">
            <v>70</v>
          </cell>
          <cell r="AX36">
            <v>65</v>
          </cell>
          <cell r="AZ36">
            <v>329</v>
          </cell>
        </row>
        <row r="37">
          <cell r="B37" t="str">
            <v xml:space="preserve">   Interest, Other Expense</v>
          </cell>
          <cell r="C37">
            <v>-7</v>
          </cell>
          <cell r="D37">
            <v>-12.7</v>
          </cell>
          <cell r="E37">
            <v>-11.6</v>
          </cell>
          <cell r="F37">
            <v>-12.900000000000002</v>
          </cell>
          <cell r="G37">
            <v>-44.2</v>
          </cell>
          <cell r="I37">
            <v>-6.9</v>
          </cell>
          <cell r="K37">
            <v>-8.8000000000000007</v>
          </cell>
          <cell r="M37">
            <v>-7.8</v>
          </cell>
          <cell r="O37">
            <v>-8</v>
          </cell>
          <cell r="Q37">
            <v>-31.5</v>
          </cell>
          <cell r="T37">
            <v>-7.5</v>
          </cell>
          <cell r="U37">
            <v>8.6956521739130377E-2</v>
          </cell>
          <cell r="V37">
            <v>-7.5</v>
          </cell>
          <cell r="W37">
            <v>-0.14772727272727282</v>
          </cell>
          <cell r="X37">
            <v>-7.5</v>
          </cell>
          <cell r="Y37">
            <v>-3.8461538461538436E-2</v>
          </cell>
          <cell r="Z37">
            <v>-30</v>
          </cell>
          <cell r="AA37">
            <v>2.75</v>
          </cell>
          <cell r="AB37">
            <v>-52.5</v>
          </cell>
          <cell r="AC37">
            <v>0.66666666666666674</v>
          </cell>
          <cell r="AF37">
            <v>-35</v>
          </cell>
          <cell r="AH37">
            <v>-34</v>
          </cell>
          <cell r="AJ37">
            <v>-34</v>
          </cell>
          <cell r="AL37">
            <v>-34</v>
          </cell>
          <cell r="AN37">
            <v>-137</v>
          </cell>
          <cell r="AR37">
            <v>-34</v>
          </cell>
          <cell r="AT37">
            <v>-34</v>
          </cell>
          <cell r="AV37">
            <v>-34</v>
          </cell>
          <cell r="AX37">
            <v>-34</v>
          </cell>
          <cell r="AZ37">
            <v>-136</v>
          </cell>
        </row>
        <row r="38">
          <cell r="B38" t="str">
            <v xml:space="preserve">  One-Time Gains / (Charges)</v>
          </cell>
          <cell r="C38">
            <v>0</v>
          </cell>
          <cell r="D38">
            <v>0</v>
          </cell>
          <cell r="E38">
            <v>-2991.8</v>
          </cell>
          <cell r="F38">
            <v>0</v>
          </cell>
          <cell r="G38">
            <v>-2991.8</v>
          </cell>
          <cell r="I38" t="e">
            <v>#REF!</v>
          </cell>
          <cell r="K38" t="e">
            <v>#REF!</v>
          </cell>
          <cell r="M38" t="e">
            <v>#REF!</v>
          </cell>
          <cell r="O38" t="e">
            <v>#REF!</v>
          </cell>
          <cell r="Q38" t="e">
            <v>#REF!</v>
          </cell>
          <cell r="V38">
            <v>0</v>
          </cell>
          <cell r="X38">
            <v>0</v>
          </cell>
          <cell r="AH38">
            <v>0</v>
          </cell>
          <cell r="AJ38">
            <v>0</v>
          </cell>
          <cell r="AO38" t="e">
            <v>#DIV/0!</v>
          </cell>
          <cell r="AT38">
            <v>0</v>
          </cell>
          <cell r="AV38">
            <v>0</v>
          </cell>
          <cell r="BA38" t="e">
            <v>#DIV/0!</v>
          </cell>
        </row>
        <row r="39">
          <cell r="B39" t="str">
            <v xml:space="preserve">  Other Adjustments</v>
          </cell>
          <cell r="E39">
            <v>-11.5</v>
          </cell>
          <cell r="F39">
            <v>-36.5</v>
          </cell>
          <cell r="G39">
            <v>-48</v>
          </cell>
          <cell r="I39" t="e">
            <v>#REF!</v>
          </cell>
          <cell r="K39" t="e">
            <v>#REF!</v>
          </cell>
          <cell r="M39" t="e">
            <v>#REF!</v>
          </cell>
          <cell r="O39" t="e">
            <v>#REF!</v>
          </cell>
          <cell r="Q39" t="e">
            <v>#REF!</v>
          </cell>
          <cell r="T39">
            <v>0</v>
          </cell>
          <cell r="V39">
            <v>0</v>
          </cell>
          <cell r="X39">
            <v>0</v>
          </cell>
          <cell r="Z39">
            <v>0</v>
          </cell>
          <cell r="AB39">
            <v>0</v>
          </cell>
          <cell r="AF39">
            <v>0</v>
          </cell>
          <cell r="AH39">
            <v>0</v>
          </cell>
          <cell r="AJ39">
            <v>0</v>
          </cell>
          <cell r="AL39">
            <v>0</v>
          </cell>
          <cell r="AN39">
            <v>0</v>
          </cell>
          <cell r="AO39" t="e">
            <v>#DIV/0!</v>
          </cell>
          <cell r="AR39">
            <v>0</v>
          </cell>
          <cell r="AT39">
            <v>0</v>
          </cell>
          <cell r="AV39">
            <v>0</v>
          </cell>
          <cell r="AX39">
            <v>0</v>
          </cell>
          <cell r="AZ39">
            <v>0</v>
          </cell>
          <cell r="BA39" t="e">
            <v>#DIV/0!</v>
          </cell>
        </row>
        <row r="40">
          <cell r="B40" t="str">
            <v xml:space="preserve">Pretax Income (Loss) </v>
          </cell>
          <cell r="C40">
            <v>494.09999999999997</v>
          </cell>
          <cell r="D40">
            <v>597.60000000000014</v>
          </cell>
          <cell r="E40">
            <v>616.4</v>
          </cell>
          <cell r="F40">
            <v>643.99999999999989</v>
          </cell>
          <cell r="G40">
            <v>2161.4</v>
          </cell>
          <cell r="I40">
            <v>771.99999999999977</v>
          </cell>
          <cell r="K40">
            <v>932.70000000000016</v>
          </cell>
          <cell r="M40">
            <v>950.10000000000059</v>
          </cell>
          <cell r="O40">
            <v>854.10000000000014</v>
          </cell>
          <cell r="Q40">
            <v>3508.900000000001</v>
          </cell>
          <cell r="T40">
            <v>1047.3</v>
          </cell>
          <cell r="U40">
            <v>0.35660621761658073</v>
          </cell>
          <cell r="V40">
            <v>1112.9000000000001</v>
          </cell>
          <cell r="W40">
            <v>0.19320253028840995</v>
          </cell>
          <cell r="X40">
            <v>1151</v>
          </cell>
          <cell r="Y40">
            <v>0.21145142616566592</v>
          </cell>
          <cell r="Z40">
            <v>1013</v>
          </cell>
          <cell r="AA40">
            <v>0.18604378878351469</v>
          </cell>
          <cell r="AB40">
            <v>4324.2</v>
          </cell>
          <cell r="AC40">
            <v>0.23235201915130066</v>
          </cell>
          <cell r="AF40">
            <v>1256</v>
          </cell>
          <cell r="AG40">
            <v>0.19927432445335636</v>
          </cell>
          <cell r="AH40">
            <v>1418</v>
          </cell>
          <cell r="AI40">
            <v>0.27414862072063961</v>
          </cell>
          <cell r="AJ40">
            <v>1450</v>
          </cell>
          <cell r="AK40">
            <v>0.2597741094700261</v>
          </cell>
          <cell r="AL40">
            <v>1199</v>
          </cell>
          <cell r="AM40">
            <v>0.18361303060217171</v>
          </cell>
          <cell r="AN40">
            <v>5321</v>
          </cell>
          <cell r="AO40">
            <v>0.23051662735303635</v>
          </cell>
          <cell r="AR40">
            <v>1469</v>
          </cell>
          <cell r="AS40">
            <v>0.16958598726114649</v>
          </cell>
          <cell r="AT40">
            <v>1456.9250000000002</v>
          </cell>
          <cell r="AU40">
            <v>2.7450634696756016E-2</v>
          </cell>
          <cell r="AV40">
            <v>1417.7874999999999</v>
          </cell>
          <cell r="AW40">
            <v>-2.2215517241379379E-2</v>
          </cell>
          <cell r="AX40">
            <v>1316.922</v>
          </cell>
          <cell r="AY40">
            <v>9.8350291909925058E-2</v>
          </cell>
          <cell r="AZ40">
            <v>5660.6345000000001</v>
          </cell>
          <cell r="BA40">
            <v>6.3829073482428056E-2</v>
          </cell>
        </row>
        <row r="41">
          <cell r="B41" t="str">
            <v xml:space="preserve">   Provision For Income Taxes</v>
          </cell>
          <cell r="C41">
            <v>153.19999999999999</v>
          </cell>
          <cell r="D41">
            <v>185.2</v>
          </cell>
          <cell r="E41">
            <v>155.6</v>
          </cell>
          <cell r="F41">
            <v>172.7</v>
          </cell>
          <cell r="G41">
            <v>707.4</v>
          </cell>
          <cell r="I41">
            <v>194.8</v>
          </cell>
          <cell r="K41">
            <v>241.5</v>
          </cell>
          <cell r="M41">
            <v>254.1</v>
          </cell>
          <cell r="O41">
            <v>223.2</v>
          </cell>
          <cell r="Q41">
            <v>913.59999999999991</v>
          </cell>
          <cell r="T41">
            <v>295</v>
          </cell>
          <cell r="U41">
            <v>0.51437371663244336</v>
          </cell>
          <cell r="V41">
            <v>304.3</v>
          </cell>
          <cell r="W41">
            <v>0.26004140786749486</v>
          </cell>
          <cell r="X41">
            <v>312</v>
          </cell>
          <cell r="Y41">
            <v>0.22786304604486429</v>
          </cell>
          <cell r="Z41">
            <v>264</v>
          </cell>
          <cell r="AA41">
            <v>0.18279569892473124</v>
          </cell>
          <cell r="AB41">
            <v>1175.3</v>
          </cell>
          <cell r="AC41">
            <v>0.28644921190893169</v>
          </cell>
          <cell r="AF41">
            <v>332</v>
          </cell>
          <cell r="AG41">
            <v>0.12542372881355934</v>
          </cell>
          <cell r="AH41">
            <v>314</v>
          </cell>
          <cell r="AI41">
            <v>3.1876437725928408E-2</v>
          </cell>
          <cell r="AJ41">
            <v>381</v>
          </cell>
          <cell r="AK41">
            <v>0.22115384615384626</v>
          </cell>
          <cell r="AL41">
            <v>271</v>
          </cell>
          <cell r="AM41">
            <v>2.6515151515151603E-2</v>
          </cell>
          <cell r="AN41">
            <v>1298</v>
          </cell>
          <cell r="AO41">
            <v>0.10439887688249816</v>
          </cell>
          <cell r="AR41">
            <v>368</v>
          </cell>
          <cell r="AS41">
            <v>0.10843373493975905</v>
          </cell>
          <cell r="AT41">
            <v>331.45043750000008</v>
          </cell>
          <cell r="AU41">
            <v>5.5574641719745577E-2</v>
          </cell>
          <cell r="AV41">
            <v>326.09112499999998</v>
          </cell>
          <cell r="AW41">
            <v>-0.14411778215223103</v>
          </cell>
          <cell r="AX41">
            <v>299.59975500000002</v>
          </cell>
          <cell r="AY41">
            <v>0.10553415129151289</v>
          </cell>
          <cell r="AZ41">
            <v>1325.1413175</v>
          </cell>
          <cell r="BA41">
            <v>2.0910105932203438E-2</v>
          </cell>
        </row>
        <row r="42">
          <cell r="B42" t="str">
            <v xml:space="preserve">   Effective Tax Rate</v>
          </cell>
          <cell r="C42">
            <v>0.3100586925723538</v>
          </cell>
          <cell r="D42">
            <v>0.30990629183400259</v>
          </cell>
          <cell r="E42">
            <v>0.25243348475016225</v>
          </cell>
          <cell r="F42">
            <v>0.26816770186335409</v>
          </cell>
          <cell r="G42">
            <v>0.32728786897381323</v>
          </cell>
          <cell r="I42">
            <v>0.25233160621761669</v>
          </cell>
          <cell r="K42">
            <v>0.25892569958185907</v>
          </cell>
          <cell r="M42">
            <v>0.26744553204925781</v>
          </cell>
          <cell r="O42">
            <v>0.26132771338250788</v>
          </cell>
          <cell r="Q42">
            <v>0.26036649662287314</v>
          </cell>
          <cell r="T42">
            <v>0.2816766924472453</v>
          </cell>
          <cell r="V42">
            <v>0.27342977805732771</v>
          </cell>
          <cell r="X42">
            <v>0.27106863596872283</v>
          </cell>
          <cell r="Z42">
            <v>0.26061204343534056</v>
          </cell>
          <cell r="AB42">
            <v>0.27179593913325006</v>
          </cell>
          <cell r="AF42">
            <v>0.2643312101910828</v>
          </cell>
          <cell r="AH42">
            <v>0.22143864598025387</v>
          </cell>
          <cell r="AJ42">
            <v>0.26275862068965516</v>
          </cell>
          <cell r="AL42">
            <v>0.22602168473728107</v>
          </cell>
          <cell r="AN42">
            <v>0.24393910919000189</v>
          </cell>
          <cell r="AR42">
            <v>0.25051055139550715</v>
          </cell>
          <cell r="AT42">
            <v>0.22750000000000001</v>
          </cell>
          <cell r="AV42">
            <v>0.23</v>
          </cell>
          <cell r="AX42">
            <v>0.22750000000000001</v>
          </cell>
          <cell r="AZ42">
            <v>0.2340976647582528</v>
          </cell>
          <cell r="BB42" t="str">
            <v>&lt;24%</v>
          </cell>
        </row>
        <row r="43">
          <cell r="B43" t="str">
            <v>Net Income (Loss), pro forma</v>
          </cell>
          <cell r="C43">
            <v>340.9</v>
          </cell>
          <cell r="D43">
            <v>412.40000000000015</v>
          </cell>
          <cell r="E43">
            <v>460.79999999999995</v>
          </cell>
          <cell r="F43">
            <v>471.2999999999999</v>
          </cell>
          <cell r="G43">
            <v>1454</v>
          </cell>
          <cell r="I43">
            <v>577.19999999999982</v>
          </cell>
          <cell r="K43">
            <v>691.20000000000016</v>
          </cell>
          <cell r="M43">
            <v>696.00000000000057</v>
          </cell>
          <cell r="O43">
            <v>630.90000000000009</v>
          </cell>
          <cell r="Q43">
            <v>2595.3000000000011</v>
          </cell>
          <cell r="T43">
            <v>752.3</v>
          </cell>
          <cell r="U43">
            <v>0.30336105336105379</v>
          </cell>
          <cell r="V43">
            <v>808.60000000000014</v>
          </cell>
          <cell r="W43">
            <v>0.16984953703703698</v>
          </cell>
          <cell r="X43">
            <v>839</v>
          </cell>
          <cell r="Y43">
            <v>0.20545977011494165</v>
          </cell>
          <cell r="Z43">
            <v>749</v>
          </cell>
          <cell r="AA43">
            <v>0.18719289903312708</v>
          </cell>
          <cell r="AB43">
            <v>3148.8999999999996</v>
          </cell>
          <cell r="AC43">
            <v>0.21330867337109316</v>
          </cell>
          <cell r="AF43">
            <v>924</v>
          </cell>
          <cell r="AG43">
            <v>0.22823341751960657</v>
          </cell>
          <cell r="AH43">
            <v>1104</v>
          </cell>
          <cell r="AI43">
            <v>0.36532278011377661</v>
          </cell>
          <cell r="AJ43">
            <v>1069</v>
          </cell>
          <cell r="AK43">
            <v>0.27413587604290823</v>
          </cell>
          <cell r="AL43">
            <v>928</v>
          </cell>
          <cell r="AM43">
            <v>0.23898531375166887</v>
          </cell>
          <cell r="AN43">
            <v>4023</v>
          </cell>
          <cell r="AO43">
            <v>0.27758899933310066</v>
          </cell>
          <cell r="AR43">
            <v>1101</v>
          </cell>
          <cell r="AS43">
            <v>0.19155844155844148</v>
          </cell>
          <cell r="AT43">
            <v>1125.4745625</v>
          </cell>
          <cell r="AU43">
            <v>1.9451596467391363E-2</v>
          </cell>
          <cell r="AV43">
            <v>1091.696375</v>
          </cell>
          <cell r="AW43">
            <v>2.123140785781108E-2</v>
          </cell>
          <cell r="AX43">
            <v>1017.3222450000001</v>
          </cell>
          <cell r="AY43">
            <v>9.6252419181034554E-2</v>
          </cell>
          <cell r="AZ43">
            <v>4335.4931825000003</v>
          </cell>
          <cell r="BA43">
            <v>7.7676654859557548E-2</v>
          </cell>
        </row>
        <row r="45">
          <cell r="B45" t="str">
            <v>EPS, basic</v>
          </cell>
          <cell r="C45">
            <v>0.32665772326561904</v>
          </cell>
          <cell r="D45">
            <v>0.39707298286154458</v>
          </cell>
          <cell r="E45">
            <v>0.37110413143271315</v>
          </cell>
          <cell r="F45">
            <v>0.36654223051796542</v>
          </cell>
          <cell r="G45">
            <v>1.2605114867793672</v>
          </cell>
          <cell r="I45">
            <v>0.44726850058116996</v>
          </cell>
          <cell r="K45">
            <v>0.53668763102725381</v>
          </cell>
          <cell r="M45">
            <v>0.53978594695207116</v>
          </cell>
          <cell r="O45">
            <v>0.49081997821689749</v>
          </cell>
          <cell r="Q45">
            <v>2.0143588947531827</v>
          </cell>
          <cell r="T45">
            <v>0.58801000468969822</v>
          </cell>
          <cell r="V45">
            <v>0.63759659359722454</v>
          </cell>
          <cell r="X45">
            <v>0.65959119496855345</v>
          </cell>
          <cell r="Z45">
            <v>0.59303246239113228</v>
          </cell>
          <cell r="AB45">
            <v>2.4781804588202885</v>
          </cell>
          <cell r="AF45">
            <v>0.73979183346677346</v>
          </cell>
          <cell r="AH45">
            <v>0.89537712895377131</v>
          </cell>
          <cell r="AJ45">
            <v>0.86699107866991076</v>
          </cell>
          <cell r="AL45">
            <v>0.75508543531326278</v>
          </cell>
          <cell r="AM45">
            <v>3.2572454764037184</v>
          </cell>
          <cell r="AN45">
            <v>3.2548543689320391</v>
          </cell>
          <cell r="AR45">
            <v>0.91597337770382692</v>
          </cell>
          <cell r="AT45">
            <v>0.97029524410955836</v>
          </cell>
          <cell r="AV45">
            <v>0.95068117137336827</v>
          </cell>
          <cell r="AX45">
            <v>0.89486262735353794</v>
          </cell>
          <cell r="AZ45">
            <v>3.731777351192334</v>
          </cell>
        </row>
        <row r="46">
          <cell r="B46" t="str">
            <v>EPS, diluted</v>
          </cell>
          <cell r="C46">
            <v>0.3187350313190862</v>
          </cell>
          <cell r="D46">
            <v>0.37997702038587561</v>
          </cell>
          <cell r="E46">
            <v>0.37522650398647012</v>
          </cell>
          <cell r="F46">
            <v>0.35358375389639296</v>
          </cell>
          <cell r="G46">
            <v>1.2782618118768962</v>
          </cell>
          <cell r="I46">
            <v>0.4313791762352765</v>
          </cell>
          <cell r="K46">
            <v>0.5169404231625836</v>
          </cell>
          <cell r="M46">
            <v>0.52015635432895657</v>
          </cell>
          <cell r="O46">
            <v>0.4746408582089553</v>
          </cell>
          <cell r="Q46">
            <v>1.9433692421991091</v>
          </cell>
          <cell r="T46">
            <v>0.56841932457786115</v>
          </cell>
          <cell r="V46">
            <v>0.61752959702511956</v>
          </cell>
          <cell r="X46">
            <v>0.63948390151515144</v>
          </cell>
          <cell r="Z46">
            <v>0.57566316793893124</v>
          </cell>
          <cell r="AB46">
            <v>2.4009507215635768</v>
          </cell>
          <cell r="AF46">
            <v>0.72024709302325585</v>
          </cell>
          <cell r="AH46">
            <v>0.88400000000000001</v>
          </cell>
          <cell r="AJ46">
            <v>0.85652522017614086</v>
          </cell>
          <cell r="AL46">
            <v>0.74658085277554309</v>
          </cell>
          <cell r="AN46">
            <v>3.2027027027027026</v>
          </cell>
          <cell r="AR46">
            <v>0.90691927512355852</v>
          </cell>
          <cell r="AS46">
            <v>0.25917797365448769</v>
          </cell>
          <cell r="AT46">
            <v>0.9607041873308807</v>
          </cell>
          <cell r="AU46">
            <v>8.6769442681991826E-2</v>
          </cell>
          <cell r="AV46">
            <v>0.9412839934026267</v>
          </cell>
          <cell r="AW46">
            <v>9.8956541185156954E-2</v>
          </cell>
          <cell r="AX46">
            <v>0.8860171977586101</v>
          </cell>
          <cell r="AY46">
            <v>0.18676656984262108</v>
          </cell>
          <cell r="AZ46">
            <v>3.6698689952539394</v>
          </cell>
          <cell r="BA46">
            <v>0.14586626856030183</v>
          </cell>
          <cell r="BB46" t="str">
            <v>3.60-3.70</v>
          </cell>
        </row>
        <row r="48">
          <cell r="B48" t="str">
            <v xml:space="preserve">  Options expense</v>
          </cell>
          <cell r="AR48">
            <v>68</v>
          </cell>
          <cell r="AT48">
            <v>69.372624999999999</v>
          </cell>
          <cell r="AV48">
            <v>74.592437500000017</v>
          </cell>
          <cell r="AX48">
            <v>82.952730000000003</v>
          </cell>
          <cell r="AZ48">
            <v>294.91779250000002</v>
          </cell>
        </row>
        <row r="49">
          <cell r="B49" t="str">
            <v>% of operating expense</v>
          </cell>
          <cell r="AR49">
            <v>3.7199124726477024E-2</v>
          </cell>
          <cell r="AT49">
            <v>3.5000000000000003E-2</v>
          </cell>
          <cell r="AV49">
            <v>3.5000000000000003E-2</v>
          </cell>
          <cell r="AX49">
            <v>3.5000000000000003E-2</v>
          </cell>
          <cell r="AZ49">
            <v>3.5483675035107048E-2</v>
          </cell>
        </row>
        <row r="50">
          <cell r="B50" t="str">
            <v>Net Income (incl options exp)</v>
          </cell>
          <cell r="AR50">
            <v>1050.0347174948945</v>
          </cell>
          <cell r="AT50">
            <v>1071.8842096875001</v>
          </cell>
          <cell r="AV50">
            <v>1034.260198125</v>
          </cell>
          <cell r="AX50">
            <v>953.24126107500001</v>
          </cell>
          <cell r="AZ50">
            <v>4040.5753900000004</v>
          </cell>
        </row>
        <row r="52">
          <cell r="B52" t="str">
            <v>EPS, diluted (incl option exp)</v>
          </cell>
          <cell r="AR52">
            <v>0.8676518883415435</v>
          </cell>
          <cell r="AT52">
            <v>0.92221351610314906</v>
          </cell>
          <cell r="AV52">
            <v>0.8994791153375481</v>
          </cell>
          <cell r="AX52">
            <v>0.83905724506666113</v>
          </cell>
          <cell r="AZ52">
            <v>3.5315180425397048</v>
          </cell>
        </row>
        <row r="53">
          <cell r="B53" t="str">
            <v>EPS, Reported GAAP</v>
          </cell>
          <cell r="C53">
            <v>0.32665772326561904</v>
          </cell>
          <cell r="D53">
            <v>0.39707298286154458</v>
          </cell>
          <cell r="E53">
            <v>-2.0951920753805271</v>
          </cell>
          <cell r="F53">
            <v>0.30074661689220716</v>
          </cell>
          <cell r="G53">
            <v>-1.467706978760295</v>
          </cell>
          <cell r="I53">
            <v>0.38225493994575732</v>
          </cell>
          <cell r="K53">
            <v>0.47146517586769165</v>
          </cell>
          <cell r="M53">
            <v>0.4747169225996592</v>
          </cell>
          <cell r="O53">
            <v>0.42547067060837096</v>
          </cell>
          <cell r="Q53">
            <v>1.7537255510710965</v>
          </cell>
          <cell r="T53">
            <v>0.53947162732530862</v>
          </cell>
          <cell r="V53">
            <v>0.58989118435577992</v>
          </cell>
          <cell r="X53">
            <v>0.18600628930817609</v>
          </cell>
          <cell r="Z53">
            <v>0.54758511480601746</v>
          </cell>
          <cell r="AB53">
            <v>1.8498406327470192</v>
          </cell>
          <cell r="AF53">
            <v>0.68374699759807844</v>
          </cell>
          <cell r="AH53">
            <v>0.85482562854825628</v>
          </cell>
          <cell r="AJ53">
            <v>0.78588807785888082</v>
          </cell>
          <cell r="AL53">
            <v>0.67046379170056958</v>
          </cell>
          <cell r="AN53">
            <v>2.9724919093851132</v>
          </cell>
          <cell r="AR53">
            <v>0.8327787021630616</v>
          </cell>
          <cell r="AT53">
            <v>0.38232872888881225</v>
          </cell>
          <cell r="AV53">
            <v>0.92281463432093214</v>
          </cell>
          <cell r="AX53">
            <v>0.86671461012885487</v>
          </cell>
          <cell r="AZ53">
            <v>3.1196891571852658</v>
          </cell>
        </row>
        <row r="54">
          <cell r="B54" t="str">
            <v>EPS, Reported GAAP -Diluted</v>
          </cell>
          <cell r="C54">
            <v>0.3187350313190862</v>
          </cell>
          <cell r="D54">
            <v>0.37997702038587561</v>
          </cell>
          <cell r="E54">
            <v>-2.0910697028267697</v>
          </cell>
          <cell r="F54">
            <v>0.29079616298055505</v>
          </cell>
          <cell r="G54">
            <v>-1.4499566536627657</v>
          </cell>
          <cell r="I54">
            <v>0.36922642417956869</v>
          </cell>
          <cell r="K54">
            <v>0.4545796213808464</v>
          </cell>
          <cell r="M54">
            <v>0.45791138066622195</v>
          </cell>
          <cell r="O54">
            <v>0.41195429104477616</v>
          </cell>
          <cell r="Q54">
            <v>1.6938893016344732</v>
          </cell>
          <cell r="T54">
            <v>0.52181519699812373</v>
          </cell>
          <cell r="V54">
            <v>0.57161626318585423</v>
          </cell>
          <cell r="X54">
            <v>0.18312026515151514</v>
          </cell>
          <cell r="Z54">
            <v>0.53184637404580148</v>
          </cell>
          <cell r="AB54">
            <v>1.7961251467747434</v>
          </cell>
          <cell r="AF54">
            <v>0.66598352713178288</v>
          </cell>
          <cell r="AH54">
            <v>0.84399999999999997</v>
          </cell>
          <cell r="AJ54">
            <v>0.77646116893514805</v>
          </cell>
          <cell r="AL54">
            <v>0.66291230893000808</v>
          </cell>
          <cell r="AN54">
            <v>2.9252782193958664</v>
          </cell>
          <cell r="AR54">
            <v>0.82183908045977017</v>
          </cell>
          <cell r="AS54">
            <v>0.23402313567606758</v>
          </cell>
          <cell r="AT54">
            <v>0.31933311495420447</v>
          </cell>
          <cell r="AU54">
            <v>-0.62164322872724587</v>
          </cell>
          <cell r="AV54">
            <v>0.9136929081167714</v>
          </cell>
          <cell r="AW54">
            <v>0.17673998993384976</v>
          </cell>
          <cell r="AX54">
            <v>0.85814741464158462</v>
          </cell>
          <cell r="AY54">
            <v>0.29451120922268159</v>
          </cell>
          <cell r="AZ54">
            <v>3.0888520320730564</v>
          </cell>
          <cell r="BA54">
            <v>5.5917352268452403E-2</v>
          </cell>
        </row>
        <row r="55">
          <cell r="B55" t="str">
            <v xml:space="preserve">Basic Shares Outstanding </v>
          </cell>
          <cell r="C55">
            <v>1043.5999999999999</v>
          </cell>
          <cell r="D55">
            <v>1038.5999999999999</v>
          </cell>
          <cell r="E55">
            <v>1241.7</v>
          </cell>
          <cell r="F55">
            <v>1285.8</v>
          </cell>
          <cell r="G55">
            <v>1153.5</v>
          </cell>
          <cell r="I55">
            <v>1290.5</v>
          </cell>
          <cell r="K55">
            <v>1287.9000000000001</v>
          </cell>
          <cell r="M55">
            <v>1289.4000000000001</v>
          </cell>
          <cell r="O55">
            <v>1285.4000000000001</v>
          </cell>
          <cell r="Q55">
            <v>1288.4000000000001</v>
          </cell>
          <cell r="T55">
            <v>1279.4000000000001</v>
          </cell>
          <cell r="U55">
            <v>-8.6013173188685954E-3</v>
          </cell>
          <cell r="V55">
            <v>1268.2</v>
          </cell>
          <cell r="W55">
            <v>-1.5296218650516336E-2</v>
          </cell>
          <cell r="X55">
            <v>1272</v>
          </cell>
          <cell r="Y55">
            <v>-1.349464867380179E-2</v>
          </cell>
          <cell r="Z55">
            <v>1263</v>
          </cell>
          <cell r="AA55">
            <v>-1.7426482028940482E-2</v>
          </cell>
          <cell r="AB55">
            <v>1270.6500000000001</v>
          </cell>
          <cell r="AC55">
            <v>-1.3776777398323503E-2</v>
          </cell>
          <cell r="AF55">
            <v>1249</v>
          </cell>
          <cell r="AG55">
            <v>-2.3761138033453255E-2</v>
          </cell>
          <cell r="AH55">
            <v>1233</v>
          </cell>
          <cell r="AI55">
            <v>-2.7755874467749631E-2</v>
          </cell>
          <cell r="AJ55">
            <v>1233</v>
          </cell>
          <cell r="AK55">
            <v>-3.0660377358490587E-2</v>
          </cell>
          <cell r="AL55">
            <v>1229</v>
          </cell>
          <cell r="AM55">
            <v>-2.6920031670625511E-2</v>
          </cell>
          <cell r="AN55">
            <v>1236</v>
          </cell>
          <cell r="AO55">
            <v>-2.726950773226311E-2</v>
          </cell>
          <cell r="AR55">
            <v>1202</v>
          </cell>
          <cell r="AS55">
            <v>-3.7630104083266613E-2</v>
          </cell>
          <cell r="AT55">
            <v>1159.93</v>
          </cell>
          <cell r="AU55">
            <v>-5.926196269261963E-2</v>
          </cell>
          <cell r="AV55">
            <v>1148.3307</v>
          </cell>
          <cell r="AW55">
            <v>-6.86693430656935E-2</v>
          </cell>
          <cell r="AX55">
            <v>1136.847393</v>
          </cell>
          <cell r="AY55">
            <v>-7.4981779495524759E-2</v>
          </cell>
          <cell r="AZ55">
            <v>1161.7770232500002</v>
          </cell>
          <cell r="BA55">
            <v>-6.0050952063106622E-2</v>
          </cell>
        </row>
        <row r="56">
          <cell r="B56" t="str">
            <v>Diluted Shares Outstanding</v>
          </cell>
          <cell r="C56">
            <v>1085.5999999999999</v>
          </cell>
          <cell r="D56">
            <v>1098.8</v>
          </cell>
          <cell r="E56">
            <v>1241.7</v>
          </cell>
          <cell r="F56">
            <v>1347.4</v>
          </cell>
          <cell r="G56">
            <v>1153.5</v>
          </cell>
          <cell r="I56">
            <v>1349.9</v>
          </cell>
          <cell r="K56">
            <v>1347</v>
          </cell>
          <cell r="M56">
            <v>1347.9</v>
          </cell>
          <cell r="O56">
            <v>1340</v>
          </cell>
          <cell r="Q56">
            <v>1346</v>
          </cell>
          <cell r="T56">
            <v>1332.5</v>
          </cell>
          <cell r="U56">
            <v>-1.2889843692125424E-2</v>
          </cell>
          <cell r="V56">
            <v>1317.7</v>
          </cell>
          <cell r="W56">
            <v>-2.1752041573867786E-2</v>
          </cell>
          <cell r="X56">
            <v>1320</v>
          </cell>
          <cell r="Y56">
            <v>-2.069886490095707E-2</v>
          </cell>
          <cell r="Z56">
            <v>1310</v>
          </cell>
          <cell r="AA56">
            <v>-2.2388059701492491E-2</v>
          </cell>
          <cell r="AB56">
            <v>1320.05</v>
          </cell>
          <cell r="AC56">
            <v>-1.9279346210995585E-2</v>
          </cell>
          <cell r="AF56">
            <v>1290</v>
          </cell>
          <cell r="AG56">
            <v>-3.1894934333958735E-2</v>
          </cell>
          <cell r="AH56">
            <v>1250</v>
          </cell>
          <cell r="AI56">
            <v>-5.1377400015177987E-2</v>
          </cell>
          <cell r="AJ56">
            <v>1249</v>
          </cell>
          <cell r="AK56">
            <v>-5.3787878787878829E-2</v>
          </cell>
          <cell r="AL56">
            <v>1243</v>
          </cell>
          <cell r="AM56">
            <v>-5.1145038167938917E-2</v>
          </cell>
          <cell r="AN56">
            <v>1258</v>
          </cell>
          <cell r="AO56">
            <v>-4.7005795235028902E-2</v>
          </cell>
          <cell r="AR56">
            <v>1214</v>
          </cell>
          <cell r="AS56">
            <v>-5.8914728682170514E-2</v>
          </cell>
          <cell r="AT56">
            <v>1171.51</v>
          </cell>
          <cell r="AU56">
            <v>-6.2791999999999959E-2</v>
          </cell>
          <cell r="AV56">
            <v>1159.7948999999999</v>
          </cell>
          <cell r="AW56">
            <v>-7.1421216973578949E-2</v>
          </cell>
          <cell r="AX56">
            <v>1148.1969509999999</v>
          </cell>
          <cell r="AY56">
            <v>-7.6269548672566412E-2</v>
          </cell>
          <cell r="AZ56">
            <v>1173.37546275</v>
          </cell>
          <cell r="BA56">
            <v>-6.726910751192372E-2</v>
          </cell>
        </row>
        <row r="58">
          <cell r="B58" t="str">
            <v>Amortization of Acquired Intangibles</v>
          </cell>
          <cell r="E58">
            <v>70.599999999999994</v>
          </cell>
          <cell r="F58">
            <v>84.6</v>
          </cell>
          <cell r="G58">
            <v>155.19999999999999</v>
          </cell>
          <cell r="I58">
            <v>83.9</v>
          </cell>
          <cell r="K58">
            <v>84</v>
          </cell>
          <cell r="M58">
            <v>83.9</v>
          </cell>
          <cell r="O58">
            <v>84</v>
          </cell>
          <cell r="Q58">
            <v>335.8</v>
          </cell>
          <cell r="T58">
            <v>-98.1</v>
          </cell>
          <cell r="V58">
            <v>-96.100000000000009</v>
          </cell>
          <cell r="X58">
            <v>-100</v>
          </cell>
          <cell r="Z58">
            <v>-93</v>
          </cell>
          <cell r="AB58">
            <v>-387.2</v>
          </cell>
          <cell r="AF58">
            <v>-87</v>
          </cell>
          <cell r="AH58">
            <v>-87</v>
          </cell>
          <cell r="AJ58">
            <v>-86</v>
          </cell>
          <cell r="AL58">
            <v>-87</v>
          </cell>
          <cell r="AN58">
            <v>-347</v>
          </cell>
          <cell r="AR58">
            <v>-87</v>
          </cell>
          <cell r="AT58">
            <v>-87</v>
          </cell>
          <cell r="AV58">
            <v>-87</v>
          </cell>
          <cell r="AX58">
            <v>-87</v>
          </cell>
          <cell r="AZ58">
            <v>-97</v>
          </cell>
        </row>
        <row r="59">
          <cell r="B59" t="str">
            <v>Write off of IPR&amp;D</v>
          </cell>
          <cell r="E59">
            <v>2991.8</v>
          </cell>
          <cell r="G59">
            <v>2991.8</v>
          </cell>
          <cell r="X59">
            <v>-554</v>
          </cell>
          <cell r="AB59">
            <v>-554</v>
          </cell>
          <cell r="AN59">
            <v>0</v>
          </cell>
          <cell r="AT59">
            <v>-650</v>
          </cell>
          <cell r="AZ59">
            <v>-650</v>
          </cell>
        </row>
        <row r="60">
          <cell r="B60" t="str">
            <v>legal settlements</v>
          </cell>
          <cell r="AN60">
            <v>-49</v>
          </cell>
        </row>
        <row r="61">
          <cell r="B61" t="str">
            <v>COGS</v>
          </cell>
          <cell r="X61">
            <v>4</v>
          </cell>
          <cell r="AJ61">
            <v>-47</v>
          </cell>
          <cell r="AN61">
            <v>-47</v>
          </cell>
        </row>
        <row r="62">
          <cell r="B62" t="str">
            <v>R&amp;D</v>
          </cell>
          <cell r="X62">
            <v>8</v>
          </cell>
          <cell r="AF62">
            <v>-3</v>
          </cell>
          <cell r="AH62">
            <v>-3</v>
          </cell>
          <cell r="AJ62">
            <v>-3</v>
          </cell>
          <cell r="AL62">
            <v>-3</v>
          </cell>
          <cell r="AN62">
            <v>-12</v>
          </cell>
        </row>
        <row r="63">
          <cell r="B63" t="str">
            <v>SG&amp;A</v>
          </cell>
          <cell r="X63">
            <v>4</v>
          </cell>
          <cell r="AL63">
            <v>2</v>
          </cell>
          <cell r="AN63">
            <v>2</v>
          </cell>
        </row>
        <row r="64">
          <cell r="B64" t="str">
            <v>Interest expense</v>
          </cell>
          <cell r="AF64">
            <v>-20</v>
          </cell>
          <cell r="AN64">
            <v>0</v>
          </cell>
        </row>
        <row r="65">
          <cell r="B65" t="str">
            <v>Tax provision</v>
          </cell>
          <cell r="T65">
            <v>36</v>
          </cell>
          <cell r="V65">
            <v>35.6</v>
          </cell>
          <cell r="X65">
            <v>35.6</v>
          </cell>
          <cell r="Z65">
            <v>35.6</v>
          </cell>
          <cell r="AB65">
            <v>142.79999999999998</v>
          </cell>
          <cell r="AF65">
            <v>40</v>
          </cell>
          <cell r="AH65">
            <v>40</v>
          </cell>
          <cell r="AJ65">
            <v>36</v>
          </cell>
          <cell r="AL65">
            <v>-16</v>
          </cell>
          <cell r="AN65">
            <v>104</v>
          </cell>
          <cell r="AR65">
            <v>55</v>
          </cell>
          <cell r="AT65">
            <v>55</v>
          </cell>
          <cell r="AV65">
            <v>55</v>
          </cell>
          <cell r="AX65">
            <v>55</v>
          </cell>
          <cell r="AZ65">
            <v>35.89</v>
          </cell>
        </row>
        <row r="66">
          <cell r="B66" t="str">
            <v>implied tax rate</v>
          </cell>
          <cell r="T66">
            <v>-0.3669724770642202</v>
          </cell>
          <cell r="V66">
            <v>-0.37044745057232048</v>
          </cell>
          <cell r="X66">
            <v>-0.35600000000000004</v>
          </cell>
          <cell r="Z66">
            <v>-0.3827956989247312</v>
          </cell>
          <cell r="AB66">
            <v>-0.36880165289256195</v>
          </cell>
          <cell r="AF66">
            <v>-0.45977011494252873</v>
          </cell>
          <cell r="AH66">
            <v>-0.45977011494252873</v>
          </cell>
          <cell r="AJ66">
            <v>-0.41860465116279072</v>
          </cell>
          <cell r="AL66">
            <v>0.18390804597701149</v>
          </cell>
          <cell r="AN66">
            <v>-0.29971181556195964</v>
          </cell>
          <cell r="AR66">
            <v>-0.63218390804597702</v>
          </cell>
          <cell r="AT66">
            <v>-0.63218390804597702</v>
          </cell>
          <cell r="AV66">
            <v>-0.63218390804597702</v>
          </cell>
          <cell r="AX66">
            <v>-0.63218390804597702</v>
          </cell>
        </row>
        <row r="67">
          <cell r="B67" t="str">
            <v>GAAP net income</v>
          </cell>
          <cell r="AR67">
            <v>1001</v>
          </cell>
          <cell r="AT67">
            <v>374.10193750000008</v>
          </cell>
          <cell r="AV67">
            <v>985.10393750000003</v>
          </cell>
          <cell r="AX67">
            <v>902.36951500000009</v>
          </cell>
          <cell r="AZ67">
            <v>3329.4653900000003</v>
          </cell>
        </row>
        <row r="68">
          <cell r="B68" t="str">
            <v>GAAP diluted share count</v>
          </cell>
          <cell r="AR68">
            <v>1218</v>
          </cell>
          <cell r="AT68">
            <v>1171.51</v>
          </cell>
          <cell r="AV68">
            <v>1159.7948999999999</v>
          </cell>
          <cell r="AX68">
            <v>1148.1969509999999</v>
          </cell>
          <cell r="AZ68">
            <v>1173.37546275</v>
          </cell>
        </row>
        <row r="69">
          <cell r="AR69">
            <v>1.0133111480865225</v>
          </cell>
        </row>
        <row r="70">
          <cell r="B70" t="str">
            <v>Convertible interest add-back</v>
          </cell>
          <cell r="C70">
            <v>5.1187500000000004</v>
          </cell>
          <cell r="D70">
            <v>5.1187500000000004</v>
          </cell>
          <cell r="E70">
            <v>5.1187500000000004</v>
          </cell>
          <cell r="F70">
            <v>5.1187500000000004</v>
          </cell>
          <cell r="G70">
            <v>20.475000000000001</v>
          </cell>
          <cell r="I70">
            <v>5.1187500000000004</v>
          </cell>
          <cell r="K70">
            <v>5.1187500000000004</v>
          </cell>
          <cell r="M70">
            <v>5.1187500000000004</v>
          </cell>
          <cell r="O70">
            <v>5.1187500000000004</v>
          </cell>
          <cell r="Q70">
            <v>20.475000000000001</v>
          </cell>
          <cell r="T70">
            <v>5.1187500000000004</v>
          </cell>
          <cell r="V70">
            <v>5.1187500000000004</v>
          </cell>
          <cell r="X70">
            <v>5.1187500000000004</v>
          </cell>
          <cell r="Z70">
            <v>5.1187500000000004</v>
          </cell>
          <cell r="AB70">
            <v>20.475000000000001</v>
          </cell>
          <cell r="AF70">
            <v>5.1187500000000004</v>
          </cell>
          <cell r="AH70">
            <v>1</v>
          </cell>
          <cell r="AJ70">
            <v>0.8</v>
          </cell>
          <cell r="AN70">
            <v>6</v>
          </cell>
          <cell r="AR70">
            <v>0</v>
          </cell>
          <cell r="AT70">
            <v>0</v>
          </cell>
          <cell r="AV70">
            <v>0</v>
          </cell>
          <cell r="AX70">
            <v>0</v>
          </cell>
          <cell r="AZ70">
            <v>0</v>
          </cell>
        </row>
        <row r="72">
          <cell r="B72" t="str">
            <v>EPS, GAAP</v>
          </cell>
          <cell r="Q72">
            <v>1.6938893016344732</v>
          </cell>
        </row>
        <row r="74">
          <cell r="B74" t="str">
            <v>CHECK GAAP</v>
          </cell>
          <cell r="E74">
            <v>3957.4</v>
          </cell>
        </row>
      </sheetData>
      <sheetData sheetId="5" refreshError="1"/>
      <sheetData sheetId="6" refreshError="1">
        <row r="1">
          <cell r="B1" t="str">
            <v>Amgen Annual Income Statement</v>
          </cell>
          <cell r="AO1" t="str">
            <v>ElementName</v>
          </cell>
          <cell r="AP1" t="str">
            <v>ScaleOverride</v>
          </cell>
          <cell r="AQ1" t="str">
            <v>UnitOverride</v>
          </cell>
          <cell r="AR1" t="str">
            <v>ReverseSign</v>
          </cell>
          <cell r="AS1" t="str">
            <v>IsDrivingAssumption</v>
          </cell>
          <cell r="AT1" t="str">
            <v>SegmentID</v>
          </cell>
        </row>
        <row r="2">
          <cell r="B2" t="str">
            <v>(Dollars in thousands except per-share data)</v>
          </cell>
        </row>
        <row r="4">
          <cell r="C4" t="str">
            <v>1993</v>
          </cell>
          <cell r="E4" t="str">
            <v>1994</v>
          </cell>
          <cell r="G4" t="str">
            <v>1995</v>
          </cell>
          <cell r="I4" t="str">
            <v>1996</v>
          </cell>
          <cell r="K4" t="str">
            <v>1997</v>
          </cell>
          <cell r="M4" t="str">
            <v>1998</v>
          </cell>
          <cell r="O4" t="str">
            <v>1999</v>
          </cell>
          <cell r="Q4" t="str">
            <v>2000</v>
          </cell>
          <cell r="S4" t="str">
            <v>2001A</v>
          </cell>
          <cell r="U4" t="str">
            <v>2002A</v>
          </cell>
          <cell r="W4" t="str">
            <v>2003A</v>
          </cell>
          <cell r="X4" t="str">
            <v>% chg</v>
          </cell>
          <cell r="Y4" t="str">
            <v>2004A</v>
          </cell>
          <cell r="Z4" t="str">
            <v>% chg</v>
          </cell>
          <cell r="AA4" t="str">
            <v>2005A</v>
          </cell>
          <cell r="AB4" t="str">
            <v>% chg</v>
          </cell>
          <cell r="AC4" t="str">
            <v>2006E</v>
          </cell>
          <cell r="AD4" t="str">
            <v>% chg</v>
          </cell>
          <cell r="AE4" t="str">
            <v>2007E</v>
          </cell>
          <cell r="AF4" t="str">
            <v>% chg</v>
          </cell>
          <cell r="AG4" t="str">
            <v>2008E</v>
          </cell>
          <cell r="AH4" t="str">
            <v>% chg</v>
          </cell>
          <cell r="AI4" t="str">
            <v>2009E</v>
          </cell>
          <cell r="AJ4" t="str">
            <v>% chg</v>
          </cell>
          <cell r="AK4" t="str">
            <v>2010E</v>
          </cell>
          <cell r="AL4" t="str">
            <v>% chg</v>
          </cell>
        </row>
        <row r="5">
          <cell r="B5" t="str">
            <v>Epogen</v>
          </cell>
          <cell r="C5">
            <v>586.9</v>
          </cell>
          <cell r="E5">
            <v>720.6</v>
          </cell>
          <cell r="G5">
            <v>882.6</v>
          </cell>
          <cell r="I5">
            <v>1071.9000000000001</v>
          </cell>
          <cell r="K5">
            <v>1160.8</v>
          </cell>
          <cell r="M5">
            <v>1382.1</v>
          </cell>
          <cell r="O5">
            <v>1759.1</v>
          </cell>
          <cell r="Q5">
            <v>1962.2</v>
          </cell>
          <cell r="S5">
            <v>2108.5</v>
          </cell>
          <cell r="U5">
            <v>2260.6</v>
          </cell>
          <cell r="W5">
            <v>2434.6999999999998</v>
          </cell>
          <cell r="X5">
            <v>7.701495178271256E-2</v>
          </cell>
          <cell r="Y5">
            <v>2600.6</v>
          </cell>
          <cell r="Z5">
            <v>6.8139811886474666E-2</v>
          </cell>
          <cell r="AA5">
            <v>2455</v>
          </cell>
          <cell r="AB5">
            <v>-5.598707990463736E-2</v>
          </cell>
          <cell r="AC5">
            <v>2514</v>
          </cell>
          <cell r="AD5">
            <v>2.4032586558044855E-2</v>
          </cell>
          <cell r="AE5">
            <v>2572.1174973954289</v>
          </cell>
          <cell r="AF5">
            <v>2.3117540730083208E-2</v>
          </cell>
          <cell r="AG5">
            <v>2632.2299063233218</v>
          </cell>
          <cell r="AH5">
            <v>2.3370786516853759E-2</v>
          </cell>
          <cell r="AI5">
            <v>2708.8786464932482</v>
          </cell>
          <cell r="AJ5">
            <v>2.9119318181818343E-2</v>
          </cell>
          <cell r="AK5">
            <v>2787.6683168398231</v>
          </cell>
          <cell r="AL5">
            <v>2.9085714285714159E-2</v>
          </cell>
        </row>
        <row r="6">
          <cell r="B6" t="str">
            <v>Aranesp - US</v>
          </cell>
          <cell r="S6">
            <v>27</v>
          </cell>
          <cell r="U6">
            <v>284.7</v>
          </cell>
          <cell r="W6">
            <v>979.9</v>
          </cell>
          <cell r="Y6">
            <v>1533.3</v>
          </cell>
          <cell r="AA6">
            <v>2104</v>
          </cell>
          <cell r="AB6">
            <v>0.37220374355964259</v>
          </cell>
          <cell r="AC6">
            <v>2596</v>
          </cell>
          <cell r="AD6">
            <v>0.23384030418250945</v>
          </cell>
          <cell r="AE6">
            <v>2975</v>
          </cell>
          <cell r="AF6">
            <v>0.14599383667180277</v>
          </cell>
          <cell r="AG6">
            <v>3300</v>
          </cell>
          <cell r="AH6">
            <v>0.10924369747899165</v>
          </cell>
          <cell r="AI6">
            <v>3600</v>
          </cell>
          <cell r="AJ6">
            <v>9.0909090909090828E-2</v>
          </cell>
          <cell r="AK6">
            <v>3850</v>
          </cell>
          <cell r="AL6">
            <v>6.944444444444442E-2</v>
          </cell>
        </row>
        <row r="7">
          <cell r="B7" t="str">
            <v>Aranesp, Intl.</v>
          </cell>
          <cell r="S7">
            <v>14.5</v>
          </cell>
          <cell r="U7">
            <v>130.9</v>
          </cell>
          <cell r="W7">
            <v>563.9</v>
          </cell>
          <cell r="Y7">
            <v>939.6</v>
          </cell>
          <cell r="AA7">
            <v>1169</v>
          </cell>
          <cell r="AB7">
            <v>0.2441464452958706</v>
          </cell>
          <cell r="AC7">
            <v>1317</v>
          </cell>
          <cell r="AD7">
            <v>0.1266039349871686</v>
          </cell>
          <cell r="AE7">
            <v>1375</v>
          </cell>
          <cell r="AF7">
            <v>4.4039483675019087E-2</v>
          </cell>
          <cell r="AG7">
            <v>1425</v>
          </cell>
          <cell r="AH7">
            <v>3.6363636363636376E-2</v>
          </cell>
          <cell r="AI7">
            <v>1450</v>
          </cell>
          <cell r="AJ7">
            <v>1.7543859649122862E-2</v>
          </cell>
          <cell r="AK7">
            <v>1485</v>
          </cell>
          <cell r="AL7">
            <v>2.4137931034482696E-2</v>
          </cell>
        </row>
        <row r="8">
          <cell r="B8" t="str">
            <v>Aranesp</v>
          </cell>
          <cell r="C8">
            <v>0</v>
          </cell>
          <cell r="E8">
            <v>0</v>
          </cell>
          <cell r="G8">
            <v>0</v>
          </cell>
          <cell r="I8">
            <v>0</v>
          </cell>
          <cell r="K8">
            <v>0</v>
          </cell>
          <cell r="M8">
            <v>0</v>
          </cell>
          <cell r="O8">
            <v>0</v>
          </cell>
          <cell r="Q8">
            <v>0</v>
          </cell>
          <cell r="S8">
            <v>41.5</v>
          </cell>
          <cell r="U8">
            <v>415.6</v>
          </cell>
          <cell r="W8">
            <v>1543.8</v>
          </cell>
          <cell r="X8">
            <v>2.7146294513955724</v>
          </cell>
          <cell r="Y8">
            <v>2472.9</v>
          </cell>
          <cell r="Z8">
            <v>0.60182666148464836</v>
          </cell>
          <cell r="AA8">
            <v>3273</v>
          </cell>
          <cell r="AB8">
            <v>0.32354725221399971</v>
          </cell>
          <cell r="AC8">
            <v>3913</v>
          </cell>
          <cell r="AD8">
            <v>0.19553926061717086</v>
          </cell>
          <cell r="AE8">
            <v>4350</v>
          </cell>
          <cell r="AF8">
            <v>0.1116790186557628</v>
          </cell>
          <cell r="AG8">
            <v>4725</v>
          </cell>
          <cell r="AH8">
            <v>8.6206896551724199E-2</v>
          </cell>
          <cell r="AI8">
            <v>5050</v>
          </cell>
          <cell r="AJ8">
            <v>6.8783068783068835E-2</v>
          </cell>
          <cell r="AK8">
            <v>5335</v>
          </cell>
          <cell r="AL8">
            <v>5.6435643564356486E-2</v>
          </cell>
        </row>
        <row r="9">
          <cell r="B9" t="str">
            <v>Neupogen, U.S.</v>
          </cell>
          <cell r="C9">
            <v>545.5</v>
          </cell>
          <cell r="E9">
            <v>617.20000000000005</v>
          </cell>
          <cell r="G9">
            <v>661.8</v>
          </cell>
          <cell r="I9">
            <v>731.6</v>
          </cell>
          <cell r="K9">
            <v>790</v>
          </cell>
          <cell r="M9">
            <v>853.2</v>
          </cell>
          <cell r="O9">
            <v>921.45600000000013</v>
          </cell>
          <cell r="Q9">
            <v>985.95792000000017</v>
          </cell>
          <cell r="S9">
            <v>1050.5999999999999</v>
          </cell>
          <cell r="U9">
            <v>1041.7</v>
          </cell>
          <cell r="W9">
            <v>880.5</v>
          </cell>
          <cell r="X9">
            <v>-0.15474704809446105</v>
          </cell>
          <cell r="Y9">
            <v>777.8</v>
          </cell>
          <cell r="AA9">
            <v>805</v>
          </cell>
          <cell r="AB9">
            <v>3.4970429416302462E-2</v>
          </cell>
          <cell r="AC9">
            <v>809</v>
          </cell>
          <cell r="AD9">
            <v>4.9689440993789802E-3</v>
          </cell>
          <cell r="AE9">
            <v>819.71999999999991</v>
          </cell>
          <cell r="AF9">
            <v>1.3250927070457275E-2</v>
          </cell>
          <cell r="AG9">
            <v>831.59999999999991</v>
          </cell>
          <cell r="AH9">
            <v>1.449275362318847E-2</v>
          </cell>
          <cell r="AI9">
            <v>831.59999999999991</v>
          </cell>
          <cell r="AJ9">
            <v>0</v>
          </cell>
          <cell r="AK9">
            <v>831.59999999999991</v>
          </cell>
          <cell r="AL9">
            <v>0</v>
          </cell>
        </row>
        <row r="10">
          <cell r="B10" t="str">
            <v>Neupogen, Intl.</v>
          </cell>
          <cell r="C10">
            <v>173.9</v>
          </cell>
          <cell r="E10">
            <v>211.7</v>
          </cell>
          <cell r="G10">
            <v>274.2</v>
          </cell>
          <cell r="I10">
            <v>284.7</v>
          </cell>
          <cell r="K10">
            <v>294.66449999999998</v>
          </cell>
          <cell r="M10">
            <v>309.39772499999998</v>
          </cell>
          <cell r="O10">
            <v>324.86761124999998</v>
          </cell>
          <cell r="Q10">
            <v>341.1109918125</v>
          </cell>
          <cell r="S10">
            <v>295.8</v>
          </cell>
          <cell r="U10">
            <v>337.9</v>
          </cell>
          <cell r="W10">
            <v>386.2</v>
          </cell>
          <cell r="X10">
            <v>0.14294169872743412</v>
          </cell>
          <cell r="Y10">
            <v>397.4</v>
          </cell>
          <cell r="AA10">
            <v>411</v>
          </cell>
          <cell r="AB10">
            <v>3.4222445898339338E-2</v>
          </cell>
          <cell r="AC10">
            <v>379</v>
          </cell>
          <cell r="AD10">
            <v>-7.7858880778588824E-2</v>
          </cell>
          <cell r="AE10">
            <v>368.28000000000009</v>
          </cell>
          <cell r="AF10">
            <v>-2.828496042216333E-2</v>
          </cell>
          <cell r="AG10">
            <v>356.40000000000003</v>
          </cell>
          <cell r="AH10">
            <v>-3.2258064516129115E-2</v>
          </cell>
          <cell r="AI10">
            <v>356.40000000000003</v>
          </cell>
          <cell r="AJ10">
            <v>0</v>
          </cell>
          <cell r="AK10">
            <v>356.40000000000003</v>
          </cell>
          <cell r="AL10">
            <v>0</v>
          </cell>
        </row>
        <row r="11">
          <cell r="B11" t="str">
            <v>Neupogen</v>
          </cell>
          <cell r="C11">
            <v>719.4</v>
          </cell>
          <cell r="E11">
            <v>828.90000000000009</v>
          </cell>
          <cell r="G11">
            <v>936</v>
          </cell>
          <cell r="I11">
            <v>1016.3</v>
          </cell>
          <cell r="K11">
            <v>1055.7</v>
          </cell>
          <cell r="M11">
            <v>1116.5999999999999</v>
          </cell>
          <cell r="O11">
            <v>1256.5999999999999</v>
          </cell>
          <cell r="Q11">
            <v>1223.7</v>
          </cell>
          <cell r="S11">
            <v>1346.3999999999999</v>
          </cell>
          <cell r="U11">
            <v>1379.6</v>
          </cell>
          <cell r="W11">
            <v>1266.7</v>
          </cell>
          <cell r="X11">
            <v>-8.1835314583937224E-2</v>
          </cell>
          <cell r="Y11">
            <v>1175.1999999999998</v>
          </cell>
          <cell r="Z11">
            <v>-7.2234941185758461E-2</v>
          </cell>
          <cell r="AA11">
            <v>1216</v>
          </cell>
          <cell r="AB11">
            <v>3.4717494894486167E-2</v>
          </cell>
          <cell r="AC11">
            <v>1188</v>
          </cell>
          <cell r="AD11">
            <v>-2.3026315789473673E-2</v>
          </cell>
          <cell r="AE11">
            <v>1188</v>
          </cell>
          <cell r="AF11">
            <v>0</v>
          </cell>
          <cell r="AG11">
            <v>1188</v>
          </cell>
          <cell r="AH11">
            <v>0</v>
          </cell>
          <cell r="AI11">
            <v>1188</v>
          </cell>
          <cell r="AJ11">
            <v>0</v>
          </cell>
          <cell r="AK11">
            <v>1188</v>
          </cell>
          <cell r="AL11">
            <v>0</v>
          </cell>
        </row>
        <row r="12">
          <cell r="B12" t="str">
            <v>Neulasta, U.S.</v>
          </cell>
          <cell r="Y12">
            <v>1476.5</v>
          </cell>
          <cell r="AA12">
            <v>1900</v>
          </cell>
          <cell r="AB12">
            <v>0.28682695563833382</v>
          </cell>
          <cell r="AC12">
            <v>2144.4937499999996</v>
          </cell>
          <cell r="AD12">
            <v>0.1286809210526314</v>
          </cell>
          <cell r="AE12">
            <v>2613.9768510000004</v>
          </cell>
          <cell r="AF12">
            <v>0.2189249099000643</v>
          </cell>
          <cell r="AG12">
            <v>2737.4321432400006</v>
          </cell>
          <cell r="AH12">
            <v>4.7228915662650639E-2</v>
          </cell>
          <cell r="AI12">
            <v>2764.1387982960005</v>
          </cell>
          <cell r="AJ12">
            <v>9.7560975609756184E-3</v>
          </cell>
          <cell r="AK12">
            <v>2764.1387982960005</v>
          </cell>
          <cell r="AL12">
            <v>0</v>
          </cell>
        </row>
        <row r="13">
          <cell r="B13" t="str">
            <v>Neulasta, Intl.</v>
          </cell>
          <cell r="Y13">
            <v>263.10000000000002</v>
          </cell>
          <cell r="AA13">
            <v>388</v>
          </cell>
          <cell r="AB13">
            <v>0.47472443937666275</v>
          </cell>
          <cell r="AC13">
            <v>458.50625000000002</v>
          </cell>
          <cell r="AD13">
            <v>0.18171713917525789</v>
          </cell>
          <cell r="AE13">
            <v>535.39284900000018</v>
          </cell>
          <cell r="AF13">
            <v>0.16768931503114759</v>
          </cell>
          <cell r="AG13">
            <v>600.89973876000033</v>
          </cell>
          <cell r="AH13">
            <v>0.12235294117647078</v>
          </cell>
          <cell r="AI13">
            <v>691.034699574</v>
          </cell>
          <cell r="AJ13">
            <v>0.14999999999999947</v>
          </cell>
          <cell r="AK13">
            <v>691.034699574</v>
          </cell>
          <cell r="AL13">
            <v>0</v>
          </cell>
        </row>
        <row r="14">
          <cell r="B14" t="str">
            <v>Neulasta</v>
          </cell>
          <cell r="C14">
            <v>0</v>
          </cell>
          <cell r="E14">
            <v>0</v>
          </cell>
          <cell r="G14">
            <v>0</v>
          </cell>
          <cell r="I14">
            <v>0</v>
          </cell>
          <cell r="K14">
            <v>0</v>
          </cell>
          <cell r="M14">
            <v>0</v>
          </cell>
          <cell r="O14">
            <v>0</v>
          </cell>
          <cell r="Q14">
            <v>0</v>
          </cell>
          <cell r="S14">
            <v>0</v>
          </cell>
          <cell r="U14">
            <v>463.5</v>
          </cell>
          <cell r="W14">
            <v>1255</v>
          </cell>
          <cell r="X14">
            <v>1.7076591154261056</v>
          </cell>
          <cell r="Y14">
            <v>1739.6</v>
          </cell>
          <cell r="Z14">
            <v>0.38613545816733064</v>
          </cell>
          <cell r="AA14">
            <v>2288</v>
          </cell>
          <cell r="AB14">
            <v>0.31524488388135219</v>
          </cell>
          <cell r="AC14">
            <v>2603</v>
          </cell>
          <cell r="AD14">
            <v>0.13767482517482521</v>
          </cell>
          <cell r="AE14">
            <v>2889.3300000000004</v>
          </cell>
          <cell r="AF14">
            <v>0.11</v>
          </cell>
          <cell r="AG14">
            <v>3149.3697000000006</v>
          </cell>
          <cell r="AH14">
            <v>0.09</v>
          </cell>
          <cell r="AI14">
            <v>3338.3318820000009</v>
          </cell>
          <cell r="AJ14">
            <v>0.06</v>
          </cell>
          <cell r="AK14">
            <v>3455.1734978700006</v>
          </cell>
          <cell r="AL14">
            <v>3.5000000000000003E-2</v>
          </cell>
        </row>
        <row r="15">
          <cell r="B15" t="str">
            <v xml:space="preserve">Enbrel </v>
          </cell>
          <cell r="C15">
            <v>0</v>
          </cell>
          <cell r="E15">
            <v>0</v>
          </cell>
          <cell r="G15">
            <v>0</v>
          </cell>
          <cell r="I15">
            <v>0</v>
          </cell>
          <cell r="K15">
            <v>0</v>
          </cell>
          <cell r="M15">
            <v>0</v>
          </cell>
          <cell r="O15">
            <v>0</v>
          </cell>
          <cell r="Q15">
            <v>0</v>
          </cell>
          <cell r="S15">
            <v>0</v>
          </cell>
          <cell r="U15">
            <v>362.09999999999997</v>
          </cell>
          <cell r="W15">
            <v>1300</v>
          </cell>
          <cell r="X15">
            <v>2.5901684617508978</v>
          </cell>
          <cell r="Y15">
            <v>1900.3</v>
          </cell>
          <cell r="Z15">
            <v>0.46176923076923071</v>
          </cell>
          <cell r="AA15">
            <v>2573</v>
          </cell>
          <cell r="AB15">
            <v>0.35399673735725945</v>
          </cell>
          <cell r="AC15">
            <v>2793</v>
          </cell>
          <cell r="AD15">
            <v>8.5503303536727637E-2</v>
          </cell>
          <cell r="AE15">
            <v>3016.8307284116399</v>
          </cell>
          <cell r="AF15">
            <v>8.013989560030077E-2</v>
          </cell>
          <cell r="AG15">
            <v>3233.3473223083402</v>
          </cell>
          <cell r="AH15">
            <v>7.1769553345373271E-2</v>
          </cell>
          <cell r="AI15">
            <v>3421.4242764919281</v>
          </cell>
          <cell r="AJ15">
            <v>5.8167878497295655E-2</v>
          </cell>
          <cell r="AK15">
            <v>3609.367628534259</v>
          </cell>
          <cell r="AL15">
            <v>5.4931320074408818E-2</v>
          </cell>
          <cell r="AM15">
            <v>0.19989101492097358</v>
          </cell>
          <cell r="AN15">
            <v>7.0035697760095078E-2</v>
          </cell>
        </row>
        <row r="16">
          <cell r="B16" t="str">
            <v>Sensipar</v>
          </cell>
          <cell r="C16">
            <v>0</v>
          </cell>
          <cell r="E16">
            <v>0</v>
          </cell>
          <cell r="G16">
            <v>0</v>
          </cell>
          <cell r="I16">
            <v>0</v>
          </cell>
          <cell r="K16">
            <v>0</v>
          </cell>
          <cell r="M16">
            <v>0</v>
          </cell>
          <cell r="O16">
            <v>0</v>
          </cell>
          <cell r="Q16">
            <v>0</v>
          </cell>
          <cell r="S16">
            <v>0</v>
          </cell>
          <cell r="U16">
            <v>0</v>
          </cell>
          <cell r="W16">
            <v>0</v>
          </cell>
          <cell r="Y16">
            <v>35</v>
          </cell>
          <cell r="Z16" t="str">
            <v>NM</v>
          </cell>
          <cell r="AA16">
            <v>151</v>
          </cell>
          <cell r="AB16">
            <v>3.3142857142857141</v>
          </cell>
          <cell r="AC16">
            <v>283</v>
          </cell>
          <cell r="AD16">
            <v>0.8741721854304636</v>
          </cell>
          <cell r="AE16">
            <v>382.05</v>
          </cell>
          <cell r="AF16">
            <v>0.35</v>
          </cell>
          <cell r="AG16">
            <v>458.46</v>
          </cell>
          <cell r="AH16">
            <v>0.2</v>
          </cell>
          <cell r="AI16">
            <v>495.13679999999999</v>
          </cell>
          <cell r="AJ16">
            <v>0.08</v>
          </cell>
          <cell r="AK16">
            <v>519.89364</v>
          </cell>
          <cell r="AL16">
            <v>0.05</v>
          </cell>
        </row>
        <row r="17">
          <cell r="B17" t="str">
            <v>Palifermin</v>
          </cell>
          <cell r="C17">
            <v>0</v>
          </cell>
          <cell r="E17">
            <v>0</v>
          </cell>
          <cell r="G17">
            <v>0</v>
          </cell>
          <cell r="I17">
            <v>0</v>
          </cell>
          <cell r="K17">
            <v>0</v>
          </cell>
          <cell r="M17">
            <v>0</v>
          </cell>
          <cell r="O17">
            <v>0</v>
          </cell>
          <cell r="Q17">
            <v>0</v>
          </cell>
          <cell r="S17">
            <v>0</v>
          </cell>
          <cell r="U17">
            <v>0</v>
          </cell>
          <cell r="W17">
            <v>0</v>
          </cell>
          <cell r="Y17">
            <v>0</v>
          </cell>
          <cell r="Z17" t="str">
            <v>NM</v>
          </cell>
          <cell r="AA17">
            <v>32</v>
          </cell>
          <cell r="AC17">
            <v>73</v>
          </cell>
          <cell r="AE17">
            <v>98.550000000000011</v>
          </cell>
          <cell r="AF17">
            <v>0.35</v>
          </cell>
          <cell r="AG17">
            <v>123.18750000000001</v>
          </cell>
          <cell r="AH17">
            <v>0.25</v>
          </cell>
          <cell r="AI17">
            <v>166.30312500000002</v>
          </cell>
          <cell r="AJ17">
            <v>0.35</v>
          </cell>
          <cell r="AK17">
            <v>224.50921875000006</v>
          </cell>
          <cell r="AL17">
            <v>0.35</v>
          </cell>
        </row>
        <row r="18">
          <cell r="B18" t="str">
            <v>Panitumumab</v>
          </cell>
          <cell r="U18">
            <v>0</v>
          </cell>
          <cell r="W18">
            <v>0</v>
          </cell>
          <cell r="Y18">
            <v>0</v>
          </cell>
          <cell r="Z18" t="str">
            <v>NM</v>
          </cell>
          <cell r="AA18">
            <v>0</v>
          </cell>
          <cell r="AC18">
            <v>35</v>
          </cell>
          <cell r="AE18">
            <v>225</v>
          </cell>
          <cell r="AG18">
            <v>475</v>
          </cell>
          <cell r="AI18">
            <v>700</v>
          </cell>
          <cell r="AK18">
            <v>850</v>
          </cell>
        </row>
        <row r="19">
          <cell r="B19" t="str">
            <v>AMG162</v>
          </cell>
          <cell r="AC19">
            <v>0</v>
          </cell>
          <cell r="AG19">
            <v>0</v>
          </cell>
          <cell r="AI19">
            <v>350</v>
          </cell>
          <cell r="AK19">
            <v>850</v>
          </cell>
        </row>
        <row r="20">
          <cell r="B20" t="str">
            <v xml:space="preserve">Other </v>
          </cell>
          <cell r="C20">
            <v>0</v>
          </cell>
          <cell r="E20">
            <v>0</v>
          </cell>
          <cell r="G20">
            <v>0</v>
          </cell>
          <cell r="I20">
            <v>0</v>
          </cell>
          <cell r="K20">
            <v>3.3</v>
          </cell>
          <cell r="M20">
            <v>15.8</v>
          </cell>
          <cell r="O20">
            <v>27.1</v>
          </cell>
          <cell r="Q20">
            <v>16.3</v>
          </cell>
          <cell r="S20">
            <v>14.600000000000001</v>
          </cell>
          <cell r="U20">
            <v>109.8</v>
          </cell>
          <cell r="W20">
            <v>68</v>
          </cell>
          <cell r="X20">
            <v>-0.38069216757741342</v>
          </cell>
          <cell r="Y20">
            <v>53.2</v>
          </cell>
          <cell r="Z20">
            <v>-0.21764705882352942</v>
          </cell>
          <cell r="AA20">
            <v>34</v>
          </cell>
          <cell r="AB20">
            <v>-0.36090225563909772</v>
          </cell>
          <cell r="AC20">
            <v>17</v>
          </cell>
          <cell r="AD20">
            <v>-0.5</v>
          </cell>
          <cell r="AE20">
            <v>18.700000000000003</v>
          </cell>
          <cell r="AF20">
            <v>0.1</v>
          </cell>
          <cell r="AG20">
            <v>65.450000000000017</v>
          </cell>
          <cell r="AH20">
            <v>2.5</v>
          </cell>
          <cell r="AI20">
            <v>196.35000000000005</v>
          </cell>
          <cell r="AJ20">
            <v>2</v>
          </cell>
          <cell r="AK20">
            <v>392.7000000000001</v>
          </cell>
          <cell r="AL20">
            <v>1</v>
          </cell>
        </row>
        <row r="21">
          <cell r="B21" t="str">
            <v>Total Product Sales</v>
          </cell>
          <cell r="C21">
            <v>1306.3</v>
          </cell>
          <cell r="E21">
            <v>1549.5</v>
          </cell>
          <cell r="G21">
            <v>1818.6</v>
          </cell>
          <cell r="I21">
            <v>2088.1999999999998</v>
          </cell>
          <cell r="K21">
            <v>2219.8000000000002</v>
          </cell>
          <cell r="M21">
            <v>2514.5</v>
          </cell>
          <cell r="O21">
            <v>3042.7999999999997</v>
          </cell>
          <cell r="Q21">
            <v>3202.2</v>
          </cell>
          <cell r="S21">
            <v>3511</v>
          </cell>
          <cell r="U21">
            <v>4991.1999999999989</v>
          </cell>
          <cell r="W21">
            <v>7868.2</v>
          </cell>
          <cell r="X21">
            <v>0.57641448950152308</v>
          </cell>
          <cell r="Y21">
            <v>9976.7999999999993</v>
          </cell>
          <cell r="Z21">
            <v>0.26799013751556888</v>
          </cell>
          <cell r="AA21">
            <v>12022</v>
          </cell>
          <cell r="AB21">
            <v>0.20499558976826249</v>
          </cell>
          <cell r="AC21">
            <v>13419</v>
          </cell>
          <cell r="AD21">
            <v>0.11620362668441198</v>
          </cell>
          <cell r="AE21">
            <v>14740.578225807069</v>
          </cell>
          <cell r="AF21">
            <v>9.8485596974966061E-2</v>
          </cell>
          <cell r="AG21">
            <v>16050.044428631663</v>
          </cell>
          <cell r="AH21">
            <v>8.883411374813277E-2</v>
          </cell>
          <cell r="AI21">
            <v>17614.424729985178</v>
          </cell>
          <cell r="AJ21">
            <v>9.7468907846935071E-2</v>
          </cell>
          <cell r="AK21">
            <v>19212.312301994083</v>
          </cell>
          <cell r="AL21">
            <v>9.0714717994099914E-2</v>
          </cell>
        </row>
        <row r="22">
          <cell r="B22" t="str">
            <v>Corporate Partner Rev.</v>
          </cell>
          <cell r="C22">
            <v>48.6</v>
          </cell>
          <cell r="E22">
            <v>70.400000000000006</v>
          </cell>
          <cell r="G22">
            <v>85.2</v>
          </cell>
          <cell r="I22">
            <v>109.9</v>
          </cell>
          <cell r="K22">
            <v>125.9</v>
          </cell>
          <cell r="M22">
            <v>127.9</v>
          </cell>
          <cell r="O22">
            <v>161.4</v>
          </cell>
          <cell r="Q22">
            <v>246.2</v>
          </cell>
          <cell r="S22">
            <v>252</v>
          </cell>
          <cell r="U22">
            <v>200.3</v>
          </cell>
          <cell r="W22">
            <v>104.69999999999999</v>
          </cell>
          <cell r="X22">
            <v>-0.47728407388916638</v>
          </cell>
          <cell r="Y22">
            <v>137.9</v>
          </cell>
          <cell r="Z22">
            <v>0.31709646609360087</v>
          </cell>
          <cell r="AA22">
            <v>0</v>
          </cell>
          <cell r="AC22">
            <v>0</v>
          </cell>
          <cell r="AE22">
            <v>0</v>
          </cell>
          <cell r="AG22">
            <v>0</v>
          </cell>
          <cell r="AI22">
            <v>0</v>
          </cell>
          <cell r="AK22">
            <v>0</v>
          </cell>
        </row>
        <row r="23">
          <cell r="B23" t="str">
            <v>Royalties</v>
          </cell>
          <cell r="C23">
            <v>18.899999999999999</v>
          </cell>
          <cell r="E23">
            <v>27.9</v>
          </cell>
          <cell r="G23">
            <v>36.1</v>
          </cell>
          <cell r="I23">
            <v>41.7</v>
          </cell>
          <cell r="K23">
            <v>55.3</v>
          </cell>
          <cell r="M23">
            <v>75.900000000000006</v>
          </cell>
          <cell r="O23">
            <v>135.9</v>
          </cell>
          <cell r="Q23">
            <v>181</v>
          </cell>
          <cell r="S23">
            <v>252.7</v>
          </cell>
          <cell r="U23">
            <v>331.5</v>
          </cell>
          <cell r="W23">
            <v>383.1</v>
          </cell>
          <cell r="X23">
            <v>0.15565610859728518</v>
          </cell>
          <cell r="Y23">
            <v>435.2</v>
          </cell>
          <cell r="Z23">
            <v>0.13599582354476625</v>
          </cell>
          <cell r="AA23">
            <v>408</v>
          </cell>
          <cell r="AB23">
            <v>-6.25E-2</v>
          </cell>
          <cell r="AC23">
            <v>360</v>
          </cell>
          <cell r="AD23">
            <v>-0.11764705882352944</v>
          </cell>
          <cell r="AE23">
            <v>349.2</v>
          </cell>
          <cell r="AF23">
            <v>-0.03</v>
          </cell>
          <cell r="AG23">
            <v>321.26400000000001</v>
          </cell>
          <cell r="AH23">
            <v>-0.08</v>
          </cell>
          <cell r="AI23">
            <v>305.20080000000002</v>
          </cell>
          <cell r="AJ23">
            <v>-0.05</v>
          </cell>
          <cell r="AK23">
            <v>289.94076000000001</v>
          </cell>
          <cell r="AL23">
            <v>-0.05</v>
          </cell>
        </row>
        <row r="24">
          <cell r="B24" t="str">
            <v>Total Revenues</v>
          </cell>
          <cell r="C24">
            <v>1373.8</v>
          </cell>
          <cell r="D24" t="e">
            <v>#DIV/0!</v>
          </cell>
          <cell r="E24">
            <v>1647.8</v>
          </cell>
          <cell r="F24">
            <v>0.19944678992575349</v>
          </cell>
          <cell r="G24">
            <v>1939.8999999999999</v>
          </cell>
          <cell r="H24">
            <v>0.17726665857506974</v>
          </cell>
          <cell r="I24">
            <v>2239.7999999999997</v>
          </cell>
          <cell r="J24">
            <v>0.15459559771122211</v>
          </cell>
          <cell r="K24">
            <v>2401</v>
          </cell>
          <cell r="L24">
            <v>7.1970711670684917E-2</v>
          </cell>
          <cell r="M24">
            <v>2718.2</v>
          </cell>
          <cell r="N24">
            <v>0.13211162015826727</v>
          </cell>
          <cell r="O24">
            <v>3340.1</v>
          </cell>
          <cell r="P24">
            <v>0.22879111176513867</v>
          </cell>
          <cell r="Q24">
            <v>3629.3999999999996</v>
          </cell>
          <cell r="R24">
            <v>8.6614173228346303E-2</v>
          </cell>
          <cell r="S24">
            <v>4015.7</v>
          </cell>
          <cell r="T24">
            <v>0.10643632556345417</v>
          </cell>
          <cell r="U24">
            <v>5522.9999999999991</v>
          </cell>
          <cell r="V24">
            <v>0.37535174440321728</v>
          </cell>
          <cell r="W24">
            <v>8356</v>
          </cell>
          <cell r="X24">
            <v>0.51294586275574883</v>
          </cell>
          <cell r="Y24">
            <v>10549.9</v>
          </cell>
          <cell r="Z24">
            <v>0.26255385351842975</v>
          </cell>
          <cell r="AA24">
            <v>12430</v>
          </cell>
          <cell r="AB24">
            <v>0.17821022000208542</v>
          </cell>
          <cell r="AC24">
            <v>13779</v>
          </cell>
          <cell r="AD24">
            <v>0.10852775543041027</v>
          </cell>
          <cell r="AE24">
            <v>15089.778225807069</v>
          </cell>
          <cell r="AF24">
            <v>9.5128690457004783E-2</v>
          </cell>
          <cell r="AG24">
            <v>16371.308428631663</v>
          </cell>
          <cell r="AH24">
            <v>8.4927040255162511E-2</v>
          </cell>
          <cell r="AI24">
            <v>17919.625529985176</v>
          </cell>
          <cell r="AJ24">
            <v>9.4575037059693612E-2</v>
          </cell>
          <cell r="AK24">
            <v>19502.253061994084</v>
          </cell>
          <cell r="AL24">
            <v>8.8318114090089272E-2</v>
          </cell>
          <cell r="AO24" t="str">
            <v>mstag:revenueNet</v>
          </cell>
          <cell r="AP24">
            <v>6</v>
          </cell>
          <cell r="AQ24" t="str">
            <v>ISO4217:USD</v>
          </cell>
          <cell r="AR24" t="b">
            <v>0</v>
          </cell>
          <cell r="AS24" t="b">
            <v>0</v>
          </cell>
        </row>
        <row r="25">
          <cell r="B25" t="str">
            <v>Operating Expenses:</v>
          </cell>
        </row>
        <row r="26">
          <cell r="B26" t="str">
            <v xml:space="preserve">   Cost of Sales</v>
          </cell>
          <cell r="C26">
            <v>220</v>
          </cell>
          <cell r="E26">
            <v>238.1</v>
          </cell>
          <cell r="G26">
            <v>272.89999999999998</v>
          </cell>
          <cell r="I26">
            <v>283.2</v>
          </cell>
          <cell r="K26">
            <v>300.8</v>
          </cell>
          <cell r="M26">
            <v>345.2</v>
          </cell>
          <cell r="O26">
            <v>402.1</v>
          </cell>
          <cell r="Q26">
            <v>408.4</v>
          </cell>
          <cell r="S26">
            <v>443</v>
          </cell>
          <cell r="U26">
            <v>735.7</v>
          </cell>
          <cell r="W26">
            <v>1340.7</v>
          </cell>
          <cell r="X26">
            <v>0.82234606497213525</v>
          </cell>
          <cell r="Y26">
            <v>1731</v>
          </cell>
          <cell r="Z26">
            <v>0.29111658089057957</v>
          </cell>
          <cell r="AA26">
            <v>2035</v>
          </cell>
          <cell r="AB26">
            <v>0.17562102830733672</v>
          </cell>
          <cell r="AC26">
            <v>2275.2525000000001</v>
          </cell>
          <cell r="AD26">
            <v>0.11806019656019662</v>
          </cell>
          <cell r="AE26">
            <v>2471.3026127583394</v>
          </cell>
          <cell r="AF26">
            <v>8.6166310226376774E-2</v>
          </cell>
          <cell r="AG26">
            <v>2663.674218929084</v>
          </cell>
          <cell r="AH26">
            <v>7.7842189450052501E-2</v>
          </cell>
          <cell r="AI26">
            <v>2921.8139905241542</v>
          </cell>
          <cell r="AJ26">
            <v>9.6911164946760664E-2</v>
          </cell>
          <cell r="AK26">
            <v>3229.9239384968482</v>
          </cell>
          <cell r="AL26">
            <v>0.10545159581408581</v>
          </cell>
          <cell r="AO26" t="str">
            <v>mstag:costOfSalesWithDepreciation</v>
          </cell>
          <cell r="AP26">
            <v>6</v>
          </cell>
          <cell r="AQ26" t="str">
            <v>ISO4217:USD</v>
          </cell>
          <cell r="AR26" t="b">
            <v>0</v>
          </cell>
          <cell r="AS26" t="b">
            <v>0</v>
          </cell>
        </row>
        <row r="27">
          <cell r="B27" t="str">
            <v xml:space="preserve">   % of Product Revenues</v>
          </cell>
          <cell r="C27">
            <v>0.16841460613947792</v>
          </cell>
          <cell r="E27">
            <v>0.15366247176508552</v>
          </cell>
          <cell r="G27">
            <v>0.15006048608819972</v>
          </cell>
          <cell r="I27">
            <v>0.13561919356383489</v>
          </cell>
          <cell r="K27">
            <v>0.1355077033967024</v>
          </cell>
          <cell r="M27">
            <v>0.13728375422549213</v>
          </cell>
          <cell r="O27">
            <v>0.13214802155909033</v>
          </cell>
          <cell r="Q27">
            <v>0.1275373180938105</v>
          </cell>
          <cell r="S27">
            <v>0.12617487895186558</v>
          </cell>
          <cell r="U27">
            <v>0.14739942298445269</v>
          </cell>
          <cell r="W27">
            <v>0.1703947535649831</v>
          </cell>
          <cell r="Y27">
            <v>0.17335217705075778</v>
          </cell>
          <cell r="AA27">
            <v>0.16927299950091498</v>
          </cell>
          <cell r="AC27">
            <v>0.16955454951933827</v>
          </cell>
          <cell r="AE27">
            <v>0.1676530306275032</v>
          </cell>
          <cell r="AG27">
            <v>0.16596055112329516</v>
          </cell>
          <cell r="AI27">
            <v>0.1658762085797969</v>
          </cell>
          <cell r="AK27">
            <v>0.16811739720479185</v>
          </cell>
        </row>
        <row r="28">
          <cell r="B28" t="str">
            <v xml:space="preserve">   R&amp;D</v>
          </cell>
          <cell r="C28">
            <v>255.3</v>
          </cell>
          <cell r="E28">
            <v>323.60000000000002</v>
          </cell>
          <cell r="G28">
            <v>451.7</v>
          </cell>
          <cell r="I28">
            <v>528.29999999999995</v>
          </cell>
          <cell r="K28">
            <v>630.79999999999995</v>
          </cell>
          <cell r="M28">
            <v>663.3</v>
          </cell>
          <cell r="O28">
            <v>822.8</v>
          </cell>
          <cell r="Q28">
            <v>845</v>
          </cell>
          <cell r="S28">
            <v>865</v>
          </cell>
          <cell r="U28">
            <v>1116.5999999999999</v>
          </cell>
          <cell r="W28">
            <v>1655.4</v>
          </cell>
          <cell r="X28">
            <v>0.48253627082213879</v>
          </cell>
          <cell r="Y28">
            <v>2028</v>
          </cell>
          <cell r="Z28">
            <v>0.22508155128669793</v>
          </cell>
          <cell r="AA28">
            <v>2302</v>
          </cell>
          <cell r="AB28">
            <v>0.13510848126232733</v>
          </cell>
          <cell r="AC28">
            <v>3009</v>
          </cell>
          <cell r="AD28">
            <v>0.30712423979148573</v>
          </cell>
          <cell r="AE28">
            <v>3327.2960987904589</v>
          </cell>
          <cell r="AF28">
            <v>0.10578135553022894</v>
          </cell>
          <cell r="AG28">
            <v>3601.6878542989657</v>
          </cell>
          <cell r="AH28">
            <v>8.2466888236443436E-2</v>
          </cell>
          <cell r="AI28">
            <v>3897.5185527717758</v>
          </cell>
          <cell r="AJ28">
            <v>8.2136684365833545E-2</v>
          </cell>
          <cell r="AK28">
            <v>4192.984408328728</v>
          </cell>
          <cell r="AL28">
            <v>7.5808710479858377E-2</v>
          </cell>
          <cell r="AO28" t="str">
            <v>mstag:researchAndDevelopment</v>
          </cell>
          <cell r="AP28">
            <v>6</v>
          </cell>
          <cell r="AQ28" t="str">
            <v>ISO4217:USD</v>
          </cell>
          <cell r="AR28" t="b">
            <v>0</v>
          </cell>
          <cell r="AS28" t="b">
            <v>0</v>
          </cell>
        </row>
        <row r="29">
          <cell r="B29" t="str">
            <v xml:space="preserve">   % of Total Revenues</v>
          </cell>
          <cell r="C29">
            <v>0.18583491046731695</v>
          </cell>
          <cell r="E29">
            <v>0.19638305619614033</v>
          </cell>
          <cell r="G29">
            <v>0.23284705397185423</v>
          </cell>
          <cell r="I29">
            <v>0.23586927404232522</v>
          </cell>
          <cell r="K29">
            <v>0.26272386505622658</v>
          </cell>
          <cell r="M29">
            <v>0.24402177911853432</v>
          </cell>
          <cell r="O29">
            <v>0.24633992994221729</v>
          </cell>
          <cell r="Q29">
            <v>0.23282085193144875</v>
          </cell>
          <cell r="S29">
            <v>0.21540453719152328</v>
          </cell>
          <cell r="U29">
            <v>0.20217273221075505</v>
          </cell>
          <cell r="W29">
            <v>0.19810914313068456</v>
          </cell>
          <cell r="Y29">
            <v>0.19222931023042872</v>
          </cell>
          <cell r="AA29">
            <v>0.21</v>
          </cell>
          <cell r="AC29">
            <v>0.21837578924450252</v>
          </cell>
          <cell r="AE29">
            <v>0.2205</v>
          </cell>
          <cell r="AG29">
            <v>0.22</v>
          </cell>
          <cell r="AI29">
            <v>0.2175</v>
          </cell>
          <cell r="AK29">
            <v>0.215</v>
          </cell>
        </row>
        <row r="30">
          <cell r="B30" t="str">
            <v xml:space="preserve">   SG&amp;A</v>
          </cell>
          <cell r="C30">
            <v>114.3</v>
          </cell>
          <cell r="E30">
            <v>122.9</v>
          </cell>
          <cell r="G30">
            <v>418.4</v>
          </cell>
          <cell r="I30">
            <v>470.6</v>
          </cell>
          <cell r="K30">
            <v>483.8</v>
          </cell>
          <cell r="M30">
            <v>515.4</v>
          </cell>
          <cell r="O30">
            <v>654.29999999999995</v>
          </cell>
          <cell r="Q30">
            <v>826.9</v>
          </cell>
          <cell r="S30">
            <v>970.7</v>
          </cell>
          <cell r="U30">
            <v>1462.1</v>
          </cell>
          <cell r="W30">
            <v>1952.6</v>
          </cell>
          <cell r="X30">
            <v>0.3354763696053622</v>
          </cell>
          <cell r="Y30">
            <v>2556</v>
          </cell>
          <cell r="Z30">
            <v>0.30902386561507744</v>
          </cell>
          <cell r="AA30">
            <v>2792</v>
          </cell>
          <cell r="AB30">
            <v>9.2331768388106417E-2</v>
          </cell>
          <cell r="AC30">
            <v>3027.1130000000003</v>
          </cell>
          <cell r="AD30">
            <v>8.4209527220630465E-2</v>
          </cell>
          <cell r="AE30">
            <v>3266.9369858872305</v>
          </cell>
          <cell r="AF30">
            <v>7.9225316625851194E-2</v>
          </cell>
          <cell r="AG30">
            <v>3544.388274798755</v>
          </cell>
          <cell r="AH30">
            <v>8.4927040255162511E-2</v>
          </cell>
          <cell r="AI30">
            <v>4255.911063371479</v>
          </cell>
          <cell r="AJ30">
            <v>0.20074628776756209</v>
          </cell>
          <cell r="AK30">
            <v>4875.5632654985211</v>
          </cell>
          <cell r="AL30">
            <v>0.14559801483167312</v>
          </cell>
          <cell r="AO30" t="str">
            <v>mstag:sellingGeneralAndAdministrativeExpenses</v>
          </cell>
          <cell r="AP30">
            <v>6</v>
          </cell>
          <cell r="AQ30" t="str">
            <v>ISO4217:USD</v>
          </cell>
          <cell r="AR30" t="b">
            <v>0</v>
          </cell>
          <cell r="AS30" t="b">
            <v>0</v>
          </cell>
        </row>
        <row r="31">
          <cell r="B31" t="str">
            <v xml:space="preserve">   % of Total Revenues</v>
          </cell>
          <cell r="C31">
            <v>8.3199883534721214E-2</v>
          </cell>
          <cell r="E31">
            <v>7.4584294210462435E-2</v>
          </cell>
          <cell r="G31">
            <v>0.21568122068147844</v>
          </cell>
          <cell r="I31">
            <v>0.21010804536119301</v>
          </cell>
          <cell r="K31">
            <v>0.2014993752603082</v>
          </cell>
          <cell r="M31">
            <v>0.18961077183430211</v>
          </cell>
          <cell r="O31">
            <v>0.19589233855273794</v>
          </cell>
          <cell r="Q31">
            <v>0.22783380173031356</v>
          </cell>
          <cell r="S31">
            <v>0.2417262245685684</v>
          </cell>
          <cell r="U31">
            <v>0.26472931377874348</v>
          </cell>
          <cell r="W31">
            <v>0.23367640019147917</v>
          </cell>
          <cell r="Y31">
            <v>0.24227717798272971</v>
          </cell>
          <cell r="AA31">
            <v>0.23</v>
          </cell>
          <cell r="AC31">
            <v>0.21969032585819001</v>
          </cell>
          <cell r="AE31">
            <v>0.2165</v>
          </cell>
          <cell r="AG31">
            <v>0.2165</v>
          </cell>
          <cell r="AI31">
            <v>0.23749999999999999</v>
          </cell>
          <cell r="AK31">
            <v>0.25</v>
          </cell>
        </row>
        <row r="32">
          <cell r="B32" t="str">
            <v xml:space="preserve">   Loss of Affiliates, Net</v>
          </cell>
          <cell r="C32">
            <v>12.6</v>
          </cell>
          <cell r="E32">
            <v>31.2</v>
          </cell>
          <cell r="G32">
            <v>53.3</v>
          </cell>
          <cell r="I32">
            <v>52.8</v>
          </cell>
          <cell r="K32">
            <v>36.1</v>
          </cell>
          <cell r="M32">
            <v>28.6</v>
          </cell>
          <cell r="O32">
            <v>16.8</v>
          </cell>
          <cell r="Q32">
            <v>23.9</v>
          </cell>
          <cell r="S32">
            <v>2.7</v>
          </cell>
          <cell r="U32">
            <v>-12.6</v>
          </cell>
          <cell r="W32">
            <v>4.3</v>
          </cell>
          <cell r="X32" t="str">
            <v>NM</v>
          </cell>
          <cell r="Y32">
            <v>0</v>
          </cell>
          <cell r="AA32">
            <v>0</v>
          </cell>
          <cell r="AC32">
            <v>0</v>
          </cell>
          <cell r="AE32">
            <v>0</v>
          </cell>
          <cell r="AG32">
            <v>0</v>
          </cell>
          <cell r="AI32">
            <v>0</v>
          </cell>
          <cell r="AK32">
            <v>0</v>
          </cell>
          <cell r="AO32" t="str">
            <v>mstag:otherOperatingExpense</v>
          </cell>
          <cell r="AP32">
            <v>6</v>
          </cell>
          <cell r="AQ32" t="str">
            <v>ISO4217:USD</v>
          </cell>
          <cell r="AR32" t="b">
            <v>0</v>
          </cell>
          <cell r="AS32" t="b">
            <v>0</v>
          </cell>
        </row>
        <row r="33">
          <cell r="B33" t="str">
            <v xml:space="preserve">   Other </v>
          </cell>
          <cell r="C33">
            <v>-13.9</v>
          </cell>
          <cell r="E33">
            <v>116.4</v>
          </cell>
          <cell r="G33">
            <v>0</v>
          </cell>
          <cell r="I33">
            <v>0</v>
          </cell>
          <cell r="K33">
            <v>157</v>
          </cell>
          <cell r="M33">
            <v>-23</v>
          </cell>
          <cell r="O33">
            <v>-49</v>
          </cell>
          <cell r="Q33">
            <v>-18.8</v>
          </cell>
          <cell r="S33">
            <v>203.1</v>
          </cell>
          <cell r="U33">
            <v>-141.30000000000001</v>
          </cell>
          <cell r="W33">
            <v>-24</v>
          </cell>
          <cell r="Y33">
            <v>0</v>
          </cell>
          <cell r="AA33">
            <v>0</v>
          </cell>
          <cell r="AC33">
            <v>0</v>
          </cell>
          <cell r="AE33">
            <v>0</v>
          </cell>
          <cell r="AG33">
            <v>0</v>
          </cell>
          <cell r="AI33">
            <v>0</v>
          </cell>
          <cell r="AK33">
            <v>0</v>
          </cell>
          <cell r="AO33" t="str">
            <v>mstag:otherOperatingExpense</v>
          </cell>
          <cell r="AP33">
            <v>6</v>
          </cell>
          <cell r="AQ33" t="str">
            <v>ISO4217:USD</v>
          </cell>
          <cell r="AR33" t="b">
            <v>0</v>
          </cell>
          <cell r="AS33" t="b">
            <v>0</v>
          </cell>
        </row>
        <row r="34">
          <cell r="B34" t="str">
            <v>Total Operating Expenses</v>
          </cell>
          <cell r="C34">
            <v>588.29999999999995</v>
          </cell>
          <cell r="E34">
            <v>832.2</v>
          </cell>
          <cell r="G34">
            <v>1196.3</v>
          </cell>
          <cell r="I34">
            <v>1334.8999999999999</v>
          </cell>
          <cell r="K34">
            <v>1608.4999999999998</v>
          </cell>
          <cell r="M34">
            <v>1529.5</v>
          </cell>
          <cell r="O34">
            <v>1847</v>
          </cell>
          <cell r="Q34">
            <v>2085.4</v>
          </cell>
          <cell r="S34">
            <v>2484.5</v>
          </cell>
          <cell r="U34">
            <v>3160.5</v>
          </cell>
          <cell r="W34">
            <v>4929.0000000000009</v>
          </cell>
          <cell r="X34">
            <v>0.55956336022781228</v>
          </cell>
          <cell r="Y34">
            <v>6315</v>
          </cell>
          <cell r="Z34">
            <v>0.28119293974436976</v>
          </cell>
          <cell r="AA34">
            <v>7129</v>
          </cell>
          <cell r="AB34">
            <v>0.12889944576405377</v>
          </cell>
          <cell r="AC34">
            <v>8311.3654999999999</v>
          </cell>
          <cell r="AD34">
            <v>0.16585292467386736</v>
          </cell>
          <cell r="AE34">
            <v>9065.5356974360293</v>
          </cell>
          <cell r="AF34">
            <v>9.073962605013941E-2</v>
          </cell>
          <cell r="AG34">
            <v>9809.7503480268042</v>
          </cell>
          <cell r="AH34">
            <v>8.2092738413821253E-2</v>
          </cell>
          <cell r="AI34">
            <v>11075.243606667409</v>
          </cell>
          <cell r="AJ34">
            <v>0.12900361515266834</v>
          </cell>
          <cell r="AK34">
            <v>12298.471612324098</v>
          </cell>
          <cell r="AL34">
            <v>0.11044705192040127</v>
          </cell>
        </row>
        <row r="35">
          <cell r="B35" t="str">
            <v xml:space="preserve">Operating Income (Loss) </v>
          </cell>
          <cell r="C35">
            <v>785.5</v>
          </cell>
          <cell r="E35">
            <v>815.59999999999991</v>
          </cell>
          <cell r="G35">
            <v>743.59999999999991</v>
          </cell>
          <cell r="I35">
            <v>904.89999999999986</v>
          </cell>
          <cell r="K35">
            <v>792.50000000000023</v>
          </cell>
          <cell r="M35">
            <v>1188.6999999999998</v>
          </cell>
          <cell r="O35">
            <v>1493.1</v>
          </cell>
          <cell r="Q35">
            <v>1543.9999999999995</v>
          </cell>
          <cell r="S35">
            <v>1531.1999999999998</v>
          </cell>
          <cell r="U35">
            <v>2362.4999999999991</v>
          </cell>
          <cell r="W35">
            <v>3426.9999999999991</v>
          </cell>
          <cell r="X35">
            <v>0.45058201058201086</v>
          </cell>
          <cell r="Y35">
            <v>4234.8999999999996</v>
          </cell>
          <cell r="Z35">
            <v>0.23574555004377018</v>
          </cell>
          <cell r="AA35">
            <v>5301</v>
          </cell>
          <cell r="AB35">
            <v>0.25174148149897291</v>
          </cell>
          <cell r="AC35">
            <v>5467.6345000000001</v>
          </cell>
          <cell r="AD35">
            <v>3.143454065270701E-2</v>
          </cell>
          <cell r="AE35">
            <v>6024.24252837104</v>
          </cell>
          <cell r="AF35">
            <v>0.10180051873822937</v>
          </cell>
          <cell r="AG35">
            <v>6561.5580806048583</v>
          </cell>
          <cell r="AH35">
            <v>8.919221789350984E-2</v>
          </cell>
          <cell r="AI35">
            <v>6844.3819233177674</v>
          </cell>
          <cell r="AJ35">
            <v>4.3103153128964955E-2</v>
          </cell>
          <cell r="AK35">
            <v>7203.7814496699866</v>
          </cell>
          <cell r="AL35">
            <v>5.2510150716136961E-2</v>
          </cell>
        </row>
        <row r="36">
          <cell r="B36" t="str">
            <v>Operatin Margins</v>
          </cell>
          <cell r="C36">
            <v>0.57177172805357401</v>
          </cell>
          <cell r="E36">
            <v>0.49496298094428931</v>
          </cell>
          <cell r="G36">
            <v>0.38331872776947262</v>
          </cell>
          <cell r="I36">
            <v>0.40400928654344137</v>
          </cell>
          <cell r="K36">
            <v>0.33007080383173687</v>
          </cell>
          <cell r="M36">
            <v>0.43731145611066141</v>
          </cell>
          <cell r="O36">
            <v>0.44702254423520255</v>
          </cell>
          <cell r="Q36">
            <v>0.42541466909130976</v>
          </cell>
          <cell r="S36">
            <v>0.38130338421694843</v>
          </cell>
          <cell r="U36">
            <v>0.42775665399239532</v>
          </cell>
          <cell r="W36">
            <v>0.41012446146481557</v>
          </cell>
          <cell r="Y36">
            <v>0.40141612716708214</v>
          </cell>
          <cell r="AA36">
            <v>0.42646822204344326</v>
          </cell>
          <cell r="AC36">
            <v>0.39680923869656726</v>
          </cell>
          <cell r="AE36">
            <v>0.39922671083847799</v>
          </cell>
          <cell r="AG36">
            <v>0.40079619226581775</v>
          </cell>
          <cell r="AI36">
            <v>0.38194893703916755</v>
          </cell>
          <cell r="AK36">
            <v>0.36938201072309373</v>
          </cell>
        </row>
        <row r="37">
          <cell r="B37" t="str">
            <v xml:space="preserve">   Interest, Other Income</v>
          </cell>
          <cell r="C37">
            <v>27.2</v>
          </cell>
          <cell r="E37">
            <v>21.5</v>
          </cell>
          <cell r="G37">
            <v>66.099999999999994</v>
          </cell>
          <cell r="I37">
            <v>63.6</v>
          </cell>
          <cell r="K37">
            <v>72.599999999999994</v>
          </cell>
          <cell r="M37">
            <v>45.7</v>
          </cell>
          <cell r="O37">
            <v>88.3</v>
          </cell>
          <cell r="Q37">
            <v>146.19999999999999</v>
          </cell>
          <cell r="S37">
            <v>168.7</v>
          </cell>
          <cell r="U37">
            <v>144.19999999999999</v>
          </cell>
          <cell r="W37">
            <v>113.4</v>
          </cell>
          <cell r="X37">
            <v>-0.21359223300970864</v>
          </cell>
          <cell r="Y37">
            <v>99.7</v>
          </cell>
          <cell r="AA37">
            <v>157</v>
          </cell>
          <cell r="AC37">
            <v>329</v>
          </cell>
          <cell r="AE37">
            <v>210.7171588806757</v>
          </cell>
          <cell r="AG37">
            <v>265.32581027251831</v>
          </cell>
          <cell r="AI37">
            <v>323.62060238808283</v>
          </cell>
          <cell r="AK37">
            <v>403.8061044023068</v>
          </cell>
          <cell r="AO37" t="str">
            <v>mstag:interestAndDividendIncome</v>
          </cell>
          <cell r="AP37">
            <v>6</v>
          </cell>
          <cell r="AQ37" t="str">
            <v>ISO4217:USD</v>
          </cell>
          <cell r="AR37" t="b">
            <v>0</v>
          </cell>
          <cell r="AS37" t="b">
            <v>0</v>
          </cell>
        </row>
        <row r="38">
          <cell r="B38" t="str">
            <v xml:space="preserve">   Interest, Other Expense</v>
          </cell>
          <cell r="C38">
            <v>-6.2</v>
          </cell>
          <cell r="E38">
            <v>-12</v>
          </cell>
          <cell r="G38">
            <v>-15.3</v>
          </cell>
          <cell r="I38">
            <v>-6.2</v>
          </cell>
          <cell r="K38">
            <v>-3.7</v>
          </cell>
          <cell r="M38">
            <v>-10</v>
          </cell>
          <cell r="O38">
            <v>-15.2</v>
          </cell>
          <cell r="Q38">
            <v>-15.9</v>
          </cell>
          <cell r="S38">
            <v>-13.6</v>
          </cell>
          <cell r="U38">
            <v>-44.2</v>
          </cell>
          <cell r="W38">
            <v>-31.5</v>
          </cell>
          <cell r="X38">
            <v>-0.28733031674208154</v>
          </cell>
          <cell r="Y38">
            <v>-52.5</v>
          </cell>
          <cell r="AA38">
            <v>-137</v>
          </cell>
          <cell r="AC38">
            <v>-136</v>
          </cell>
          <cell r="AE38">
            <v>-128.80025000000001</v>
          </cell>
          <cell r="AG38">
            <v>-128.80025000000001</v>
          </cell>
          <cell r="AI38">
            <v>-88.888750000000002</v>
          </cell>
          <cell r="AK38">
            <v>-88.888750000000002</v>
          </cell>
          <cell r="AO38" t="str">
            <v>mstag:interestExpense</v>
          </cell>
          <cell r="AP38">
            <v>6</v>
          </cell>
          <cell r="AQ38" t="str">
            <v>ISO4217:USD</v>
          </cell>
          <cell r="AR38" t="b">
            <v>1</v>
          </cell>
          <cell r="AS38" t="b">
            <v>0</v>
          </cell>
        </row>
        <row r="39">
          <cell r="B39" t="str">
            <v xml:space="preserve">Pretax Income (Loss) </v>
          </cell>
          <cell r="C39">
            <v>806.5</v>
          </cell>
          <cell r="E39">
            <v>825.09999999999991</v>
          </cell>
          <cell r="G39">
            <v>794.4</v>
          </cell>
          <cell r="I39">
            <v>962.29999999999984</v>
          </cell>
          <cell r="K39">
            <v>861.4000000000002</v>
          </cell>
          <cell r="M39">
            <v>1224.3999999999999</v>
          </cell>
          <cell r="O39">
            <v>1566.1999999999998</v>
          </cell>
          <cell r="Q39">
            <v>1674.2999999999995</v>
          </cell>
          <cell r="S39">
            <v>1686.3</v>
          </cell>
          <cell r="U39">
            <v>2462.4999999999991</v>
          </cell>
          <cell r="V39">
            <v>0.46029769317440494</v>
          </cell>
          <cell r="W39">
            <v>3508.8999999999992</v>
          </cell>
          <cell r="X39">
            <v>0.42493401015228449</v>
          </cell>
          <cell r="Y39">
            <v>4282.0999999999995</v>
          </cell>
          <cell r="Z39">
            <v>0.2203539570805666</v>
          </cell>
          <cell r="AA39">
            <v>5321</v>
          </cell>
          <cell r="AB39">
            <v>0.24261460498353626</v>
          </cell>
          <cell r="AC39">
            <v>5660.6345000000001</v>
          </cell>
          <cell r="AD39">
            <v>6.3829073482428056E-2</v>
          </cell>
          <cell r="AE39">
            <v>6106.1594372517156</v>
          </cell>
          <cell r="AF39">
            <v>7.8705830106451158E-2</v>
          </cell>
          <cell r="AG39">
            <v>6698.0836408773766</v>
          </cell>
          <cell r="AH39">
            <v>9.6938871267350457E-2</v>
          </cell>
          <cell r="AI39">
            <v>7079.1137757058505</v>
          </cell>
          <cell r="AJ39">
            <v>5.6886440250328629E-2</v>
          </cell>
          <cell r="AK39">
            <v>7518.6988040722936</v>
          </cell>
          <cell r="AL39">
            <v>6.2096053587246125E-2</v>
          </cell>
        </row>
        <row r="40">
          <cell r="B40" t="str">
            <v xml:space="preserve">   Provision For Income Taxes</v>
          </cell>
          <cell r="C40">
            <v>217.8</v>
          </cell>
          <cell r="E40">
            <v>268.60000000000002</v>
          </cell>
          <cell r="G40">
            <v>256.7</v>
          </cell>
          <cell r="I40">
            <v>282.5</v>
          </cell>
          <cell r="K40">
            <v>217.1</v>
          </cell>
          <cell r="M40">
            <v>361.2</v>
          </cell>
          <cell r="O40">
            <v>469.8</v>
          </cell>
          <cell r="Q40">
            <v>535.79999999999995</v>
          </cell>
          <cell r="S40">
            <v>566.6</v>
          </cell>
          <cell r="U40">
            <v>707.4</v>
          </cell>
          <cell r="W40">
            <v>913.6</v>
          </cell>
          <cell r="X40">
            <v>0.29148996324568843</v>
          </cell>
          <cell r="Y40">
            <v>1175.3</v>
          </cell>
          <cell r="AA40">
            <v>1298</v>
          </cell>
          <cell r="AC40">
            <v>1325.1413175</v>
          </cell>
          <cell r="AE40">
            <v>1434.9474677541532</v>
          </cell>
          <cell r="AG40">
            <v>1540.5592374017967</v>
          </cell>
          <cell r="AI40">
            <v>1592.8005995338165</v>
          </cell>
          <cell r="AK40">
            <v>1687.9478815142299</v>
          </cell>
          <cell r="AO40" t="str">
            <v>mstag:taxExpenseIncome</v>
          </cell>
          <cell r="AP40">
            <v>6</v>
          </cell>
          <cell r="AQ40" t="str">
            <v>ISO4217:USD</v>
          </cell>
          <cell r="AR40" t="b">
            <v>0</v>
          </cell>
          <cell r="AS40" t="b">
            <v>0</v>
          </cell>
        </row>
        <row r="41">
          <cell r="B41" t="str">
            <v xml:space="preserve">   Effective Tax Rate</v>
          </cell>
          <cell r="C41">
            <v>0.27005579665220086</v>
          </cell>
          <cell r="E41">
            <v>0.32553629863046912</v>
          </cell>
          <cell r="G41">
            <v>0.32313695871097681</v>
          </cell>
          <cell r="I41">
            <v>0.29356749454432096</v>
          </cell>
          <cell r="K41">
            <v>0.25203157650336655</v>
          </cell>
          <cell r="M41">
            <v>0.29500163345311992</v>
          </cell>
          <cell r="O41">
            <v>0.29996169071638362</v>
          </cell>
          <cell r="Q41">
            <v>0.32001433434868309</v>
          </cell>
          <cell r="S41">
            <v>0.33600189764573329</v>
          </cell>
          <cell r="U41">
            <v>0.28726903553299504</v>
          </cell>
          <cell r="W41">
            <v>0.28792033027638597</v>
          </cell>
          <cell r="Y41">
            <v>0.27179593913325006</v>
          </cell>
          <cell r="AA41">
            <v>0.24393910919000189</v>
          </cell>
          <cell r="AC41">
            <v>0.2340976647582528</v>
          </cell>
          <cell r="AE41">
            <v>0.23499999999999999</v>
          </cell>
          <cell r="AG41">
            <v>0.23</v>
          </cell>
          <cell r="AI41">
            <v>0.22500000000000001</v>
          </cell>
          <cell r="AK41">
            <v>0.22450000000000001</v>
          </cell>
        </row>
        <row r="42">
          <cell r="B42" t="str">
            <v>Net Income (Loss)</v>
          </cell>
          <cell r="C42">
            <v>588.70000000000005</v>
          </cell>
          <cell r="E42">
            <v>556.49999999999989</v>
          </cell>
          <cell r="G42">
            <v>537.70000000000005</v>
          </cell>
          <cell r="I42">
            <v>679.79999999999984</v>
          </cell>
          <cell r="K42">
            <v>644.30000000000018</v>
          </cell>
          <cell r="M42">
            <v>863.19999999999982</v>
          </cell>
          <cell r="O42">
            <v>1096.3999999999999</v>
          </cell>
          <cell r="Q42">
            <v>1138.4999999999995</v>
          </cell>
          <cell r="S42">
            <v>1119.6999999999998</v>
          </cell>
          <cell r="U42">
            <v>1755.099999999999</v>
          </cell>
          <cell r="W42">
            <v>2595.2999999999993</v>
          </cell>
          <cell r="X42">
            <v>0.47871916130135084</v>
          </cell>
          <cell r="Y42">
            <v>3106.7999999999993</v>
          </cell>
          <cell r="Z42">
            <v>0.19708704196046711</v>
          </cell>
          <cell r="AA42">
            <v>4023</v>
          </cell>
          <cell r="AB42">
            <v>0.29490150637311729</v>
          </cell>
          <cell r="AC42">
            <v>4335.4931825000003</v>
          </cell>
          <cell r="AD42">
            <v>7.7676654859557548E-2</v>
          </cell>
          <cell r="AE42">
            <v>4671.2119694975627</v>
          </cell>
          <cell r="AF42">
            <v>7.7434970570977812E-2</v>
          </cell>
          <cell r="AG42">
            <v>5157.5244034755797</v>
          </cell>
          <cell r="AH42">
            <v>0.1041084063736728</v>
          </cell>
          <cell r="AI42">
            <v>5486.3131761720342</v>
          </cell>
          <cell r="AJ42">
            <v>6.3749339212993084E-2</v>
          </cell>
          <cell r="AK42">
            <v>5830.7509225580634</v>
          </cell>
          <cell r="AL42">
            <v>6.2781276847625023E-2</v>
          </cell>
        </row>
        <row r="44">
          <cell r="B44" t="str">
            <v>EPS, basic</v>
          </cell>
          <cell r="C44">
            <v>0.51244777158774379</v>
          </cell>
          <cell r="E44">
            <v>0.49758583690987113</v>
          </cell>
          <cell r="G44">
            <v>0.47889205557534742</v>
          </cell>
          <cell r="I44">
            <v>0.64156285390713463</v>
          </cell>
          <cell r="K44">
            <v>0.60990155244225686</v>
          </cell>
          <cell r="M44">
            <v>0.84644047852520088</v>
          </cell>
          <cell r="O44">
            <v>1.0731134383870018</v>
          </cell>
          <cell r="Q44">
            <v>1.1057692307692304</v>
          </cell>
          <cell r="S44">
            <v>1.0709708273553322</v>
          </cell>
          <cell r="U44">
            <v>1.5215431296055475</v>
          </cell>
          <cell r="W44">
            <v>2.0143588947531814</v>
          </cell>
          <cell r="X44">
            <v>0.32389207743022963</v>
          </cell>
          <cell r="Y44">
            <v>2.4450478101758937</v>
          </cell>
          <cell r="Z44">
            <v>0.21380942420168103</v>
          </cell>
          <cell r="AA44">
            <v>3.2548543689320391</v>
          </cell>
          <cell r="AB44">
            <v>0.33120275005906286</v>
          </cell>
          <cell r="AC44">
            <v>3.731777351192334</v>
          </cell>
          <cell r="AD44">
            <v>0.14652667314783119</v>
          </cell>
          <cell r="AE44">
            <v>4.1673836241099211</v>
          </cell>
          <cell r="AF44">
            <v>0.11672890205478281</v>
          </cell>
          <cell r="AG44">
            <v>4.7082436114742245</v>
          </cell>
          <cell r="AH44">
            <v>0.12978406505108375</v>
          </cell>
          <cell r="AI44">
            <v>5.1215025778275436</v>
          </cell>
          <cell r="AJ44">
            <v>8.7773488471621697E-2</v>
          </cell>
          <cell r="AK44">
            <v>5.5598159963447911</v>
          </cell>
          <cell r="AL44">
            <v>8.5582973327951173E-2</v>
          </cell>
        </row>
        <row r="45">
          <cell r="B45" t="str">
            <v>EPS, diluted</v>
          </cell>
          <cell r="C45">
            <v>0.50996188496188499</v>
          </cell>
          <cell r="D45" t="e">
            <v>#DIV/0!</v>
          </cell>
          <cell r="E45">
            <v>0.49300141743444359</v>
          </cell>
          <cell r="F45">
            <v>-3.3258304252893445E-2</v>
          </cell>
          <cell r="G45">
            <v>0.49676644493717664</v>
          </cell>
          <cell r="H45">
            <v>7.6369506650226793E-3</v>
          </cell>
          <cell r="I45">
            <v>0.6054506590666191</v>
          </cell>
          <cell r="J45">
            <v>0.21878332410955648</v>
          </cell>
          <cell r="K45">
            <v>0.58658048069919899</v>
          </cell>
          <cell r="L45">
            <v>-3.1167161328242599E-2</v>
          </cell>
          <cell r="M45">
            <v>0.81665089877010388</v>
          </cell>
          <cell r="N45">
            <v>0.3922231060206145</v>
          </cell>
          <cell r="O45">
            <v>1.0167856811647964</v>
          </cell>
          <cell r="P45">
            <v>0.24506773052732855</v>
          </cell>
          <cell r="Q45">
            <v>1.0495989674564392</v>
          </cell>
          <cell r="R45">
            <v>3.227158574268385E-2</v>
          </cell>
          <cell r="S45">
            <v>1.0327430363401584</v>
          </cell>
          <cell r="T45">
            <v>-1.6059401389398209E-2</v>
          </cell>
          <cell r="U45">
            <v>1.5215431296055475</v>
          </cell>
          <cell r="V45">
            <v>0.47330272494269443</v>
          </cell>
          <cell r="W45">
            <v>1.9281575037147096</v>
          </cell>
          <cell r="X45">
            <v>0.26723815197704903</v>
          </cell>
          <cell r="Y45">
            <v>2.36950115525927</v>
          </cell>
          <cell r="Z45">
            <v>0.22889398334642563</v>
          </cell>
          <cell r="AA45">
            <v>3.2027027027027026</v>
          </cell>
          <cell r="AB45">
            <v>0.35163584773701628</v>
          </cell>
          <cell r="AC45">
            <v>3.6698689952539394</v>
          </cell>
          <cell r="AD45">
            <v>0.14586626856030183</v>
          </cell>
          <cell r="AE45">
            <v>4.1013211403748855</v>
          </cell>
          <cell r="AF45">
            <v>0.11756608905629107</v>
          </cell>
          <cell r="AG45">
            <v>4.6347096976234399</v>
          </cell>
          <cell r="AH45">
            <v>0.13005286320978016</v>
          </cell>
          <cell r="AI45">
            <v>5.0526778224740756</v>
          </cell>
          <cell r="AJ45">
            <v>9.0182158564312997E-2</v>
          </cell>
          <cell r="AK45">
            <v>5.4875839896915242</v>
          </cell>
          <cell r="AL45">
            <v>8.607439114423765E-2</v>
          </cell>
          <cell r="AM45">
            <v>0.1311025203958521</v>
          </cell>
          <cell r="AO45" t="str">
            <v>mstag:adjEpsForConsensus</v>
          </cell>
          <cell r="AP45">
            <v>0</v>
          </cell>
          <cell r="AQ45" t="str">
            <v>ISO4217:USD</v>
          </cell>
          <cell r="AR45" t="b">
            <v>0</v>
          </cell>
          <cell r="AS45" t="b">
            <v>0</v>
          </cell>
        </row>
        <row r="47">
          <cell r="B47" t="str">
            <v xml:space="preserve">  Options expense</v>
          </cell>
          <cell r="AC47">
            <v>294.91779250000002</v>
          </cell>
          <cell r="AE47">
            <v>271.96607092308085</v>
          </cell>
          <cell r="AG47">
            <v>294.29251044080411</v>
          </cell>
          <cell r="AI47">
            <v>332.25730820002224</v>
          </cell>
          <cell r="AK47">
            <v>368.95414836972293</v>
          </cell>
          <cell r="AO47" t="str">
            <v>mstag:stockCompensation</v>
          </cell>
          <cell r="AP47">
            <v>6</v>
          </cell>
          <cell r="AQ47" t="str">
            <v>ISO4217:USD</v>
          </cell>
          <cell r="AR47" t="b">
            <v>0</v>
          </cell>
          <cell r="AS47" t="b">
            <v>0</v>
          </cell>
        </row>
        <row r="48">
          <cell r="B48" t="str">
            <v>% of operating expense</v>
          </cell>
          <cell r="AC48">
            <v>3.5483675035107048E-2</v>
          </cell>
          <cell r="AE48">
            <v>0.03</v>
          </cell>
          <cell r="AG48">
            <v>0.03</v>
          </cell>
          <cell r="AI48">
            <v>0.03</v>
          </cell>
          <cell r="AK48">
            <v>0.03</v>
          </cell>
        </row>
        <row r="49">
          <cell r="B49" t="str">
            <v>Net Income (incl options exp)</v>
          </cell>
          <cell r="AC49">
            <v>4040.5753900000004</v>
          </cell>
          <cell r="AE49">
            <v>4399.2458985744815</v>
          </cell>
          <cell r="AG49">
            <v>4863.2318930347756</v>
          </cell>
          <cell r="AI49">
            <v>5154.0558679720116</v>
          </cell>
          <cell r="AK49">
            <v>5461.7967741883404</v>
          </cell>
        </row>
        <row r="51">
          <cell r="B51" t="str">
            <v>EPS, diluted (incl option exp)</v>
          </cell>
          <cell r="AC51">
            <v>3.4469575326902331</v>
          </cell>
          <cell r="AE51">
            <v>3.8627394026015285</v>
          </cell>
          <cell r="AG51">
            <v>4.3704543642262941</v>
          </cell>
          <cell r="AI51">
            <v>4.7469048950237553</v>
          </cell>
          <cell r="AK51">
            <v>5.1405825659124416</v>
          </cell>
        </row>
        <row r="52">
          <cell r="B52" t="str">
            <v>EPS, GAAP, Diluted (incl option exp)</v>
          </cell>
          <cell r="C52">
            <v>0.50996188496188499</v>
          </cell>
          <cell r="E52">
            <v>0.49300141743444359</v>
          </cell>
          <cell r="G52">
            <v>0.49676644493717664</v>
          </cell>
          <cell r="I52">
            <v>0.6054506590666191</v>
          </cell>
          <cell r="K52">
            <v>0.58658048069919899</v>
          </cell>
          <cell r="M52">
            <v>0.81665089877010388</v>
          </cell>
          <cell r="O52">
            <v>1.0167856811647964</v>
          </cell>
          <cell r="Q52">
            <v>1.0495989674564392</v>
          </cell>
          <cell r="S52">
            <v>1.0327430363401584</v>
          </cell>
          <cell r="U52">
            <v>-1.2066753359341147</v>
          </cell>
          <cell r="W52">
            <v>1.6939078751857348</v>
          </cell>
          <cell r="Y52">
            <v>1.8057346312639668</v>
          </cell>
          <cell r="AA52">
            <v>2.9252782193958664</v>
          </cell>
          <cell r="AC52">
            <v>2.8409196338463318</v>
          </cell>
          <cell r="AE52">
            <v>3.6709641803555715</v>
          </cell>
          <cell r="AG52">
            <v>4.1741569513311401</v>
          </cell>
          <cell r="AI52">
            <v>4.5457203972860176</v>
          </cell>
          <cell r="AK52">
            <v>4.9349798329237098</v>
          </cell>
        </row>
        <row r="54">
          <cell r="B54" t="str">
            <v xml:space="preserve">Basic Shares Outstanding </v>
          </cell>
          <cell r="C54">
            <v>1148.8</v>
          </cell>
          <cell r="E54">
            <v>1118.4000000000001</v>
          </cell>
          <cell r="G54">
            <v>1122.8</v>
          </cell>
          <cell r="I54">
            <v>1059.5999999999999</v>
          </cell>
          <cell r="K54">
            <v>1056.4000000000001</v>
          </cell>
          <cell r="M54">
            <v>1019.8</v>
          </cell>
          <cell r="O54">
            <v>1021.7</v>
          </cell>
          <cell r="Q54">
            <v>1029.5999999999999</v>
          </cell>
          <cell r="S54">
            <v>1045.5</v>
          </cell>
          <cell r="U54">
            <v>1153.5</v>
          </cell>
          <cell r="W54">
            <v>1288.4000000000001</v>
          </cell>
          <cell r="X54">
            <v>0.11694841785869103</v>
          </cell>
          <cell r="Y54">
            <v>1270.6500000000001</v>
          </cell>
          <cell r="Z54">
            <v>-1.3776777398323503E-2</v>
          </cell>
          <cell r="AA54">
            <v>1236</v>
          </cell>
          <cell r="AB54">
            <v>-2.726950773226311E-2</v>
          </cell>
          <cell r="AC54">
            <v>1161.7770232500002</v>
          </cell>
          <cell r="AD54">
            <v>-6.0050952063106622E-2</v>
          </cell>
          <cell r="AE54">
            <v>1120.8980000000001</v>
          </cell>
          <cell r="AF54">
            <v>-3.5186634295489405E-2</v>
          </cell>
          <cell r="AG54">
            <v>1095.4242875</v>
          </cell>
          <cell r="AH54">
            <v>-2.2726164646560298E-2</v>
          </cell>
          <cell r="AI54">
            <v>1071.23116562</v>
          </cell>
          <cell r="AJ54">
            <v>-2.2085617560310022E-2</v>
          </cell>
          <cell r="AK54">
            <v>1048.7309159855999</v>
          </cell>
          <cell r="AL54">
            <v>-2.1004102901895583E-2</v>
          </cell>
          <cell r="AM54" t="str">
            <v>CAGR</v>
          </cell>
          <cell r="AN54" t="str">
            <v>Target PEG</v>
          </cell>
          <cell r="AO54" t="str">
            <v>mstag:averageBasicSharesOutstanding</v>
          </cell>
          <cell r="AP54">
            <v>6</v>
          </cell>
          <cell r="AQ54" t="str">
            <v>ms_eqr_gcim_Decimal:ms_eqr_gcim_decimal</v>
          </cell>
          <cell r="AR54" t="b">
            <v>0</v>
          </cell>
          <cell r="AS54" t="b">
            <v>0</v>
          </cell>
        </row>
        <row r="55">
          <cell r="B55" t="str">
            <v>Diluted Shares Outstanding</v>
          </cell>
          <cell r="C55">
            <v>1154.4000000000001</v>
          </cell>
          <cell r="E55">
            <v>1128.8</v>
          </cell>
          <cell r="G55">
            <v>1082.4000000000001</v>
          </cell>
          <cell r="I55">
            <v>1122.8</v>
          </cell>
          <cell r="K55">
            <v>1098.4000000000001</v>
          </cell>
          <cell r="M55">
            <v>1057</v>
          </cell>
          <cell r="O55">
            <v>1078.3</v>
          </cell>
          <cell r="Q55">
            <v>1084.7</v>
          </cell>
          <cell r="S55">
            <v>1084.2</v>
          </cell>
          <cell r="U55">
            <v>1153.5</v>
          </cell>
          <cell r="W55">
            <v>1346</v>
          </cell>
          <cell r="X55">
            <v>0.16688339835283927</v>
          </cell>
          <cell r="Y55">
            <v>1320.05</v>
          </cell>
          <cell r="Z55">
            <v>-1.9279346210995585E-2</v>
          </cell>
          <cell r="AA55">
            <v>1258</v>
          </cell>
          <cell r="AB55">
            <v>-4.7005795235028902E-2</v>
          </cell>
          <cell r="AC55">
            <v>1173.37546275</v>
          </cell>
          <cell r="AD55">
            <v>-6.726910751192372E-2</v>
          </cell>
          <cell r="AE55">
            <v>1139.9282839554037</v>
          </cell>
          <cell r="AF55">
            <v>-2.8505094793960795E-2</v>
          </cell>
          <cell r="AG55">
            <v>1113.6672499945955</v>
          </cell>
          <cell r="AH55">
            <v>-2.3037443960672532E-2</v>
          </cell>
          <cell r="AI55">
            <v>1086.6145376915538</v>
          </cell>
          <cell r="AJ55">
            <v>-2.4291557736992875E-2</v>
          </cell>
          <cell r="AK55">
            <v>1063.2640764166335</v>
          </cell>
          <cell r="AL55">
            <v>-2.1489185414845347E-2</v>
          </cell>
          <cell r="AM55">
            <v>0.11371203000907149</v>
          </cell>
          <cell r="AN55">
            <v>1.6</v>
          </cell>
          <cell r="AO55" t="str">
            <v>mstag:averageDilutedSharesOutstanding</v>
          </cell>
          <cell r="AP55">
            <v>6</v>
          </cell>
          <cell r="AQ55" t="str">
            <v>ms_eqr_gcim_Decimal:ms_eqr_gcim_decimal</v>
          </cell>
          <cell r="AR55" t="b">
            <v>0</v>
          </cell>
          <cell r="AS55" t="b">
            <v>0</v>
          </cell>
        </row>
        <row r="56">
          <cell r="AN56" t="str">
            <v>Traget PE</v>
          </cell>
        </row>
        <row r="57">
          <cell r="AN57">
            <v>18.193924801451438</v>
          </cell>
        </row>
        <row r="58">
          <cell r="W58" t="str">
            <v>2003-FY</v>
          </cell>
          <cell r="Y58" t="str">
            <v>2004-FY</v>
          </cell>
          <cell r="AA58" t="str">
            <v>2005-FY</v>
          </cell>
          <cell r="AC58" t="str">
            <v>2006-FY</v>
          </cell>
          <cell r="AE58" t="str">
            <v>2007-FY</v>
          </cell>
          <cell r="AG58" t="str">
            <v>2008-FY</v>
          </cell>
          <cell r="AI58" t="str">
            <v>2009-FY</v>
          </cell>
          <cell r="AK58" t="str">
            <v>2010-FY</v>
          </cell>
        </row>
        <row r="59">
          <cell r="AN59" t="str">
            <v>2005 Target</v>
          </cell>
        </row>
        <row r="60">
          <cell r="B60" t="str">
            <v>Reconciliation to GAAP earnings/loss</v>
          </cell>
          <cell r="AN60">
            <v>58.269732134378252</v>
          </cell>
        </row>
        <row r="61">
          <cell r="B61" t="str">
            <v>Adjustments to pro-forma earnings:</v>
          </cell>
        </row>
        <row r="62">
          <cell r="B62" t="str">
            <v xml:space="preserve">   Amortization of intangible assets</v>
          </cell>
          <cell r="C62">
            <v>0</v>
          </cell>
          <cell r="E62">
            <v>0</v>
          </cell>
          <cell r="G62">
            <v>0</v>
          </cell>
          <cell r="I62">
            <v>0</v>
          </cell>
          <cell r="K62">
            <v>0</v>
          </cell>
          <cell r="M62">
            <v>0</v>
          </cell>
          <cell r="O62">
            <v>0</v>
          </cell>
          <cell r="Q62">
            <v>0</v>
          </cell>
          <cell r="S62">
            <v>0</v>
          </cell>
          <cell r="U62">
            <v>-155.19999999999999</v>
          </cell>
          <cell r="W62">
            <v>-335.8</v>
          </cell>
          <cell r="Y62">
            <v>-333</v>
          </cell>
          <cell r="AA62">
            <v>-347</v>
          </cell>
          <cell r="AC62">
            <v>-97</v>
          </cell>
          <cell r="AE62">
            <v>-347</v>
          </cell>
          <cell r="AG62">
            <v>-347</v>
          </cell>
          <cell r="AI62">
            <v>-347</v>
          </cell>
          <cell r="AK62">
            <v>-347</v>
          </cell>
          <cell r="AO62" t="str">
            <v>mstag:amortizationOfIntangiblesAssumedToHaveIndefiniteLifeIncomeStatement</v>
          </cell>
          <cell r="AP62">
            <v>6</v>
          </cell>
          <cell r="AQ62" t="str">
            <v>ISO4217:USD</v>
          </cell>
          <cell r="AR62" t="b">
            <v>1</v>
          </cell>
          <cell r="AS62" t="b">
            <v>0</v>
          </cell>
        </row>
        <row r="63">
          <cell r="B63" t="str">
            <v xml:space="preserve">   Write-off of acquired in-process R&amp;D</v>
          </cell>
          <cell r="C63">
            <v>0</v>
          </cell>
          <cell r="E63">
            <v>0</v>
          </cell>
          <cell r="G63">
            <v>0</v>
          </cell>
          <cell r="I63">
            <v>0</v>
          </cell>
          <cell r="K63">
            <v>0</v>
          </cell>
          <cell r="M63">
            <v>0</v>
          </cell>
          <cell r="O63">
            <v>0</v>
          </cell>
          <cell r="Q63">
            <v>0</v>
          </cell>
          <cell r="S63">
            <v>0</v>
          </cell>
          <cell r="U63">
            <v>-2991.8</v>
          </cell>
          <cell r="W63">
            <v>0</v>
          </cell>
          <cell r="Y63">
            <v>-554</v>
          </cell>
          <cell r="AA63">
            <v>0</v>
          </cell>
          <cell r="AC63">
            <v>-650</v>
          </cell>
          <cell r="AE63">
            <v>0</v>
          </cell>
          <cell r="AG63">
            <v>0</v>
          </cell>
          <cell r="AI63">
            <v>0</v>
          </cell>
          <cell r="AK63">
            <v>0</v>
          </cell>
          <cell r="AO63" t="str">
            <v>mstag:acquiredInProcessRAndDOneTime</v>
          </cell>
          <cell r="AP63">
            <v>6</v>
          </cell>
          <cell r="AQ63" t="str">
            <v>ISO4217:USD</v>
          </cell>
          <cell r="AR63" t="b">
            <v>1</v>
          </cell>
          <cell r="AS63" t="b">
            <v>0</v>
          </cell>
        </row>
        <row r="64">
          <cell r="B64" t="str">
            <v xml:space="preserve">   Legal Settlement</v>
          </cell>
          <cell r="AA64">
            <v>-49</v>
          </cell>
          <cell r="AO64" t="str">
            <v>mstag:otherProvisionsOneTime</v>
          </cell>
          <cell r="AP64">
            <v>6</v>
          </cell>
          <cell r="AQ64" t="str">
            <v>ISO4217:USD</v>
          </cell>
          <cell r="AR64" t="b">
            <v>1</v>
          </cell>
          <cell r="AS64" t="b">
            <v>0</v>
          </cell>
        </row>
        <row r="65">
          <cell r="B65" t="str">
            <v xml:space="preserve">   COGS</v>
          </cell>
          <cell r="AA65">
            <v>-47</v>
          </cell>
          <cell r="AO65" t="str">
            <v>mstag:otherProvisionsOneTime</v>
          </cell>
          <cell r="AP65">
            <v>6</v>
          </cell>
          <cell r="AQ65" t="str">
            <v>ISO4217:USD</v>
          </cell>
          <cell r="AR65" t="b">
            <v>1</v>
          </cell>
          <cell r="AS65" t="b">
            <v>0</v>
          </cell>
        </row>
        <row r="66">
          <cell r="B66" t="str">
            <v xml:space="preserve">   R&amp;D</v>
          </cell>
          <cell r="AA66">
            <v>-12</v>
          </cell>
          <cell r="AO66" t="str">
            <v>mstag:otherProvisionsOneTime</v>
          </cell>
          <cell r="AP66">
            <v>6</v>
          </cell>
          <cell r="AQ66" t="str">
            <v>ISO4217:USD</v>
          </cell>
          <cell r="AR66" t="b">
            <v>1</v>
          </cell>
          <cell r="AS66" t="b">
            <v>0</v>
          </cell>
        </row>
        <row r="67">
          <cell r="B67" t="str">
            <v xml:space="preserve">   SG&amp;A</v>
          </cell>
          <cell r="AA67">
            <v>2</v>
          </cell>
          <cell r="AO67" t="str">
            <v>mstag:otherProvisionsOneTime</v>
          </cell>
          <cell r="AP67">
            <v>6</v>
          </cell>
          <cell r="AQ67" t="str">
            <v>ISO4217:USD</v>
          </cell>
          <cell r="AR67" t="b">
            <v>1</v>
          </cell>
          <cell r="AS67" t="b">
            <v>0</v>
          </cell>
        </row>
        <row r="68">
          <cell r="B68" t="str">
            <v xml:space="preserve">   Interest expense</v>
          </cell>
          <cell r="AA68">
            <v>0</v>
          </cell>
          <cell r="AO68" t="str">
            <v>mstag:otherProvisionsOneTime</v>
          </cell>
          <cell r="AP68">
            <v>6</v>
          </cell>
          <cell r="AQ68" t="str">
            <v>ISO4217:USD</v>
          </cell>
          <cell r="AR68" t="b">
            <v>1</v>
          </cell>
          <cell r="AS68" t="b">
            <v>0</v>
          </cell>
        </row>
        <row r="69">
          <cell r="B69" t="str">
            <v xml:space="preserve">   Tax effects of adjustments</v>
          </cell>
          <cell r="C69">
            <v>0</v>
          </cell>
          <cell r="E69">
            <v>0</v>
          </cell>
          <cell r="G69">
            <v>0</v>
          </cell>
          <cell r="I69">
            <v>0</v>
          </cell>
          <cell r="K69">
            <v>0</v>
          </cell>
          <cell r="M69">
            <v>0</v>
          </cell>
          <cell r="O69">
            <v>0</v>
          </cell>
          <cell r="Q69">
            <v>0</v>
          </cell>
          <cell r="S69">
            <v>0</v>
          </cell>
          <cell r="U69">
            <v>0</v>
          </cell>
          <cell r="W69">
            <v>0</v>
          </cell>
          <cell r="Y69">
            <v>142.79999999999998</v>
          </cell>
          <cell r="AA69">
            <v>104</v>
          </cell>
          <cell r="AC69">
            <v>35.89</v>
          </cell>
          <cell r="AE69">
            <v>128.38999999999999</v>
          </cell>
          <cell r="AG69">
            <v>128.38999999999999</v>
          </cell>
          <cell r="AI69">
            <v>128.38999999999999</v>
          </cell>
          <cell r="AK69">
            <v>128.38999999999999</v>
          </cell>
          <cell r="AO69" t="str">
            <v>mstag:taxOnIncomeLossFromExtraordinaryItems</v>
          </cell>
          <cell r="AP69">
            <v>6</v>
          </cell>
          <cell r="AQ69" t="str">
            <v>ISO4217:USD</v>
          </cell>
          <cell r="AR69" t="b">
            <v>1</v>
          </cell>
          <cell r="AS69" t="b">
            <v>0</v>
          </cell>
        </row>
        <row r="70">
          <cell r="B70" t="str">
            <v>GAAP Net Income</v>
          </cell>
          <cell r="C70">
            <v>588.70000000000005</v>
          </cell>
          <cell r="E70">
            <v>556.49999999999989</v>
          </cell>
          <cell r="G70">
            <v>537.70000000000005</v>
          </cell>
          <cell r="I70">
            <v>679.79999999999984</v>
          </cell>
          <cell r="K70">
            <v>644.30000000000018</v>
          </cell>
          <cell r="M70">
            <v>863.19999999999982</v>
          </cell>
          <cell r="O70">
            <v>1096.3999999999999</v>
          </cell>
          <cell r="Q70">
            <v>1138.4999999999995</v>
          </cell>
          <cell r="S70">
            <v>1119.6999999999998</v>
          </cell>
          <cell r="U70">
            <v>-1391.9000000000012</v>
          </cell>
          <cell r="W70">
            <v>2259.4999999999991</v>
          </cell>
          <cell r="Y70">
            <v>2362.5999999999995</v>
          </cell>
          <cell r="AA70">
            <v>3674</v>
          </cell>
          <cell r="AC70">
            <v>3329.4653900000003</v>
          </cell>
          <cell r="AE70">
            <v>4180.6358985744819</v>
          </cell>
          <cell r="AG70">
            <v>4644.6218930347759</v>
          </cell>
          <cell r="AI70">
            <v>4935.4458679720119</v>
          </cell>
          <cell r="AK70">
            <v>5243.1867741883407</v>
          </cell>
        </row>
        <row r="71">
          <cell r="B71" t="str">
            <v>GAAP (loss) EPS</v>
          </cell>
          <cell r="W71">
            <v>1.7537255510710952</v>
          </cell>
          <cell r="Y71">
            <v>1.8593633179868565</v>
          </cell>
          <cell r="AA71">
            <v>2.9724919093851132</v>
          </cell>
          <cell r="AC71">
            <v>2.8658385588363804</v>
          </cell>
          <cell r="AE71">
            <v>3.7297201873627048</v>
          </cell>
          <cell r="AG71">
            <v>4.2400209179539265</v>
          </cell>
          <cell r="AI71">
            <v>4.607265010923677</v>
          </cell>
          <cell r="AK71">
            <v>4.9995539315828985</v>
          </cell>
        </row>
        <row r="72">
          <cell r="B72" t="str">
            <v>GAAP (loss) EPS diluted</v>
          </cell>
          <cell r="C72">
            <v>0.50996188496188499</v>
          </cell>
          <cell r="E72">
            <v>0.49300141743444359</v>
          </cell>
          <cell r="G72">
            <v>0.49676644493717664</v>
          </cell>
          <cell r="I72">
            <v>0.6054506590666191</v>
          </cell>
          <cell r="K72">
            <v>0.58658048069919899</v>
          </cell>
          <cell r="M72">
            <v>0.81665089877010388</v>
          </cell>
          <cell r="O72">
            <v>1.0167856811647964</v>
          </cell>
          <cell r="Q72">
            <v>1.0495989674564392</v>
          </cell>
          <cell r="S72">
            <v>1.0327430363401584</v>
          </cell>
          <cell r="U72">
            <v>-1.2066753359341147</v>
          </cell>
          <cell r="W72">
            <v>1.6939078751857348</v>
          </cell>
          <cell r="Y72">
            <v>1.8057346312639668</v>
          </cell>
          <cell r="AA72">
            <v>2.9252782193958664</v>
          </cell>
          <cell r="AC72">
            <v>2.8409196338463318</v>
          </cell>
          <cell r="AE72">
            <v>3.6709641803555715</v>
          </cell>
          <cell r="AG72">
            <v>4.1741569513311401</v>
          </cell>
          <cell r="AI72">
            <v>4.5457203972860176</v>
          </cell>
          <cell r="AK72">
            <v>4.9349798329237098</v>
          </cell>
        </row>
        <row r="73">
          <cell r="B73" t="str">
            <v>Current Actual Basic Share Count</v>
          </cell>
          <cell r="U73">
            <v>1268.2</v>
          </cell>
          <cell r="AO73" t="str">
            <v>mstag:currentBasicSharesOutstanding</v>
          </cell>
          <cell r="AP73">
            <v>6</v>
          </cell>
          <cell r="AQ73" t="str">
            <v>ms_eqr_gcim_Decimal:ms_eqr_gcim_decimal</v>
          </cell>
          <cell r="AR73" t="b">
            <v>0</v>
          </cell>
          <cell r="AS73" t="b">
            <v>0</v>
          </cell>
        </row>
        <row r="74">
          <cell r="B74" t="str">
            <v>Current Actual Diluted Share Count</v>
          </cell>
          <cell r="U74">
            <v>1317.7</v>
          </cell>
          <cell r="AO74" t="str">
            <v>mstag:currentDilutedSharesOutstanding</v>
          </cell>
          <cell r="AP74">
            <v>6</v>
          </cell>
          <cell r="AQ74" t="str">
            <v>ms_eqr_gcim_Decimal:ms_eqr_gcim_decimal</v>
          </cell>
          <cell r="AR74" t="b">
            <v>0</v>
          </cell>
          <cell r="AS74" t="b">
            <v>0</v>
          </cell>
        </row>
        <row r="75">
          <cell r="B75" t="str">
            <v>INTEREST CALCULATIONS</v>
          </cell>
        </row>
        <row r="76">
          <cell r="B76" t="str">
            <v>Cash and Equivalents</v>
          </cell>
          <cell r="U76">
            <v>3663.0499999999997</v>
          </cell>
          <cell r="W76">
            <v>4893.3999999999996</v>
          </cell>
          <cell r="Y76">
            <v>5465.4500000000007</v>
          </cell>
          <cell r="AA76">
            <v>5531.5</v>
          </cell>
          <cell r="AC76">
            <v>4977.6425651190475</v>
          </cell>
          <cell r="AE76">
            <v>5267.9289720168927</v>
          </cell>
          <cell r="AG76">
            <v>6633.1452568129571</v>
          </cell>
          <cell r="AI76">
            <v>8090.5150597020702</v>
          </cell>
          <cell r="AK76">
            <v>10095.15261005767</v>
          </cell>
        </row>
        <row r="77">
          <cell r="B77" t="str">
            <v>Return on assets</v>
          </cell>
          <cell r="U77">
            <v>3.9366102018809461E-2</v>
          </cell>
          <cell r="W77">
            <v>2.3174071197940085E-2</v>
          </cell>
          <cell r="Y77">
            <v>0.02</v>
          </cell>
          <cell r="AA77">
            <v>2.7699999999999999E-2</v>
          </cell>
          <cell r="AC77">
            <v>3.5000000000000003E-2</v>
          </cell>
          <cell r="AE77">
            <v>0.04</v>
          </cell>
          <cell r="AG77">
            <v>0.04</v>
          </cell>
          <cell r="AI77">
            <v>0.04</v>
          </cell>
          <cell r="AK77">
            <v>0.04</v>
          </cell>
        </row>
        <row r="78">
          <cell r="B78" t="str">
            <v>Interst Income</v>
          </cell>
          <cell r="C78">
            <v>27.2</v>
          </cell>
          <cell r="E78">
            <v>21.5</v>
          </cell>
          <cell r="G78">
            <v>66.099999999999994</v>
          </cell>
          <cell r="I78">
            <v>63.6</v>
          </cell>
          <cell r="K78">
            <v>72.599999999999994</v>
          </cell>
          <cell r="M78">
            <v>45.7</v>
          </cell>
          <cell r="O78">
            <v>88.3</v>
          </cell>
          <cell r="Q78">
            <v>146.19999999999999</v>
          </cell>
          <cell r="S78">
            <v>168.7</v>
          </cell>
          <cell r="U78">
            <v>144.19999999999999</v>
          </cell>
          <cell r="W78">
            <v>113.4</v>
          </cell>
          <cell r="Y78">
            <v>109.30900000000001</v>
          </cell>
          <cell r="AA78">
            <v>153.22254999999998</v>
          </cell>
          <cell r="AC78">
            <v>174.21748977916667</v>
          </cell>
          <cell r="AE78">
            <v>210.7171588806757</v>
          </cell>
          <cell r="AG78">
            <v>265.32581027251831</v>
          </cell>
          <cell r="AI78">
            <v>323.62060238808283</v>
          </cell>
          <cell r="AK78">
            <v>403.8061044023068</v>
          </cell>
        </row>
        <row r="79">
          <cell r="B79" t="str">
            <v>Test</v>
          </cell>
          <cell r="U79">
            <v>144.19999999999999</v>
          </cell>
          <cell r="W79">
            <v>113.4</v>
          </cell>
          <cell r="Y79">
            <v>99.7</v>
          </cell>
          <cell r="AA79">
            <v>157</v>
          </cell>
          <cell r="AC79">
            <v>329</v>
          </cell>
          <cell r="AE79">
            <v>210.7171588806757</v>
          </cell>
          <cell r="AG79">
            <v>265.32581027251831</v>
          </cell>
          <cell r="AI79">
            <v>323.62060238808283</v>
          </cell>
          <cell r="AK79">
            <v>403.8061044023068</v>
          </cell>
        </row>
        <row r="80">
          <cell r="B80" t="str">
            <v>Interest Bearing Obligations</v>
          </cell>
        </row>
        <row r="81">
          <cell r="B81" t="str">
            <v>Convertible Bond - 30 year</v>
          </cell>
          <cell r="W81">
            <v>2880</v>
          </cell>
          <cell r="Y81">
            <v>2912.4</v>
          </cell>
          <cell r="AA81">
            <v>1759</v>
          </cell>
          <cell r="AC81">
            <v>1778.7887499999999</v>
          </cell>
          <cell r="AE81">
            <v>1798.5774999999999</v>
          </cell>
          <cell r="AG81">
            <v>1818.3662499999998</v>
          </cell>
          <cell r="AI81">
            <v>1838.1549999999997</v>
          </cell>
          <cell r="AK81">
            <v>1857.9437499999997</v>
          </cell>
        </row>
        <row r="82">
          <cell r="B82" t="str">
            <v>Interest Rate</v>
          </cell>
          <cell r="W82">
            <v>1.125E-2</v>
          </cell>
          <cell r="Y82">
            <v>1.125E-2</v>
          </cell>
          <cell r="AA82">
            <v>1.125E-2</v>
          </cell>
          <cell r="AC82">
            <v>1.125E-2</v>
          </cell>
          <cell r="AE82">
            <v>1.125E-2</v>
          </cell>
          <cell r="AG82">
            <v>1.125E-2</v>
          </cell>
          <cell r="AI82">
            <v>1.125E-2</v>
          </cell>
          <cell r="AK82">
            <v>1.125E-2</v>
          </cell>
        </row>
        <row r="83">
          <cell r="B83" t="str">
            <v>Interest Expense</v>
          </cell>
          <cell r="W83">
            <v>32.4</v>
          </cell>
          <cell r="Y83">
            <v>32.4</v>
          </cell>
          <cell r="AA83">
            <v>19.78875</v>
          </cell>
          <cell r="AC83">
            <v>19.78875</v>
          </cell>
          <cell r="AE83">
            <v>19.78875</v>
          </cell>
          <cell r="AG83">
            <v>19.78875</v>
          </cell>
          <cell r="AI83">
            <v>19.78875</v>
          </cell>
          <cell r="AK83">
            <v>19.78875</v>
          </cell>
        </row>
        <row r="84">
          <cell r="B84" t="str">
            <v>Convertible Bond - 2011</v>
          </cell>
          <cell r="AC84">
            <v>2500</v>
          </cell>
          <cell r="AE84">
            <v>2500</v>
          </cell>
          <cell r="AG84">
            <v>2500</v>
          </cell>
          <cell r="AI84">
            <v>2500</v>
          </cell>
          <cell r="AK84">
            <v>2500</v>
          </cell>
        </row>
        <row r="85">
          <cell r="B85" t="str">
            <v>Interest Rate</v>
          </cell>
          <cell r="AC85">
            <v>1.25E-3</v>
          </cell>
          <cell r="AE85">
            <v>1.25E-3</v>
          </cell>
          <cell r="AG85">
            <v>1.25E-3</v>
          </cell>
          <cell r="AI85">
            <v>1.25E-3</v>
          </cell>
          <cell r="AK85">
            <v>1.25E-3</v>
          </cell>
        </row>
        <row r="86">
          <cell r="B86" t="str">
            <v>Interest Expense</v>
          </cell>
          <cell r="AC86">
            <v>3.125</v>
          </cell>
          <cell r="AE86">
            <v>3.125</v>
          </cell>
          <cell r="AG86">
            <v>3.125</v>
          </cell>
          <cell r="AI86">
            <v>3.125</v>
          </cell>
          <cell r="AK86">
            <v>3.125</v>
          </cell>
        </row>
        <row r="87">
          <cell r="B87" t="str">
            <v>Convertible Bond - 2013</v>
          </cell>
          <cell r="AC87">
            <v>2500</v>
          </cell>
          <cell r="AE87">
            <v>2500</v>
          </cell>
          <cell r="AG87">
            <v>2500</v>
          </cell>
          <cell r="AI87">
            <v>2500</v>
          </cell>
          <cell r="AK87">
            <v>2500</v>
          </cell>
        </row>
        <row r="88">
          <cell r="B88" t="str">
            <v>Interest Rate</v>
          </cell>
          <cell r="AC88">
            <v>3.7499999999999999E-3</v>
          </cell>
          <cell r="AE88">
            <v>3.7499999999999999E-3</v>
          </cell>
          <cell r="AG88">
            <v>3.7499999999999999E-3</v>
          </cell>
          <cell r="AI88">
            <v>3.7499999999999999E-3</v>
          </cell>
          <cell r="AK88">
            <v>3.7499999999999999E-3</v>
          </cell>
        </row>
        <row r="89">
          <cell r="B89" t="str">
            <v>Interest Expense</v>
          </cell>
          <cell r="AC89">
            <v>9.375</v>
          </cell>
          <cell r="AE89">
            <v>9.375</v>
          </cell>
          <cell r="AG89">
            <v>9.375</v>
          </cell>
          <cell r="AI89">
            <v>9.375</v>
          </cell>
          <cell r="AK89">
            <v>9.375</v>
          </cell>
        </row>
        <row r="90">
          <cell r="B90" t="str">
            <v>6.5% Debt</v>
          </cell>
          <cell r="W90">
            <v>100</v>
          </cell>
          <cell r="Y90">
            <v>100</v>
          </cell>
          <cell r="AA90">
            <v>100</v>
          </cell>
          <cell r="AC90">
            <v>100</v>
          </cell>
          <cell r="AE90">
            <v>0</v>
          </cell>
          <cell r="AG90">
            <v>0</v>
          </cell>
          <cell r="AI90">
            <v>0</v>
          </cell>
          <cell r="AK90">
            <v>0</v>
          </cell>
        </row>
        <row r="91">
          <cell r="B91" t="str">
            <v>Interest Rate</v>
          </cell>
          <cell r="W91">
            <v>6.5000000000000002E-2</v>
          </cell>
          <cell r="Y91">
            <v>6.5000000000000002E-2</v>
          </cell>
          <cell r="AA91">
            <v>6.5000000000000002E-2</v>
          </cell>
          <cell r="AC91">
            <v>6.5000000000000002E-2</v>
          </cell>
          <cell r="AE91">
            <v>6.5000000000000002E-2</v>
          </cell>
          <cell r="AG91">
            <v>6.5000000000000002E-2</v>
          </cell>
          <cell r="AI91">
            <v>6.5000000000000002E-2</v>
          </cell>
          <cell r="AK91">
            <v>6.5000000000000002E-2</v>
          </cell>
        </row>
        <row r="92">
          <cell r="B92" t="str">
            <v>Interest Expense</v>
          </cell>
          <cell r="W92">
            <v>6.5</v>
          </cell>
          <cell r="Y92">
            <v>6.5</v>
          </cell>
          <cell r="AA92">
            <v>6.5</v>
          </cell>
          <cell r="AC92">
            <v>6.5</v>
          </cell>
          <cell r="AE92">
            <v>0</v>
          </cell>
          <cell r="AG92">
            <v>0</v>
          </cell>
          <cell r="AI92">
            <v>0</v>
          </cell>
          <cell r="AK92">
            <v>0</v>
          </cell>
        </row>
        <row r="93">
          <cell r="B93" t="str">
            <v>8.1% Debt</v>
          </cell>
          <cell r="W93">
            <v>100</v>
          </cell>
          <cell r="Y93">
            <v>100</v>
          </cell>
          <cell r="AA93">
            <v>100</v>
          </cell>
          <cell r="AC93">
            <v>100</v>
          </cell>
          <cell r="AE93">
            <v>100</v>
          </cell>
          <cell r="AG93">
            <v>100</v>
          </cell>
          <cell r="AI93">
            <v>100</v>
          </cell>
          <cell r="AK93">
            <v>100</v>
          </cell>
        </row>
        <row r="94">
          <cell r="B94" t="str">
            <v>Interest Rate</v>
          </cell>
          <cell r="W94">
            <v>8.1000000000000003E-2</v>
          </cell>
          <cell r="Y94">
            <v>8.1000000000000003E-2</v>
          </cell>
          <cell r="AA94">
            <v>8.1000000000000003E-2</v>
          </cell>
          <cell r="AC94">
            <v>8.1000000000000003E-2</v>
          </cell>
          <cell r="AE94">
            <v>8.1000000000000003E-2</v>
          </cell>
          <cell r="AG94">
            <v>8.1000000000000003E-2</v>
          </cell>
          <cell r="AI94">
            <v>8.1000000000000003E-2</v>
          </cell>
          <cell r="AK94">
            <v>8.1000000000000003E-2</v>
          </cell>
        </row>
        <row r="95">
          <cell r="B95" t="str">
            <v>Interest Expense</v>
          </cell>
          <cell r="W95">
            <v>8.1</v>
          </cell>
          <cell r="Y95">
            <v>8.1</v>
          </cell>
          <cell r="AA95">
            <v>8.1</v>
          </cell>
          <cell r="AC95">
            <v>8.1</v>
          </cell>
          <cell r="AE95">
            <v>8.1</v>
          </cell>
          <cell r="AG95">
            <v>8.1</v>
          </cell>
          <cell r="AI95">
            <v>8.1</v>
          </cell>
          <cell r="AK95">
            <v>8.1</v>
          </cell>
        </row>
        <row r="96">
          <cell r="B96" t="str">
            <v>Senior Notes</v>
          </cell>
          <cell r="Y96">
            <v>2000</v>
          </cell>
          <cell r="AA96">
            <v>1998</v>
          </cell>
          <cell r="AC96">
            <v>1998</v>
          </cell>
          <cell r="AE96">
            <v>1998</v>
          </cell>
          <cell r="AG96">
            <v>1998</v>
          </cell>
          <cell r="AI96">
            <v>1000</v>
          </cell>
          <cell r="AK96">
            <v>1000</v>
          </cell>
        </row>
        <row r="97">
          <cell r="B97" t="str">
            <v>Interest Rate</v>
          </cell>
          <cell r="Y97">
            <v>4.4249999999999998E-2</v>
          </cell>
          <cell r="AA97">
            <v>4.4249999999999998E-2</v>
          </cell>
          <cell r="AC97">
            <v>4.4249999999999998E-2</v>
          </cell>
          <cell r="AE97">
            <v>4.4249999999999998E-2</v>
          </cell>
          <cell r="AG97">
            <v>4.4249999999999998E-2</v>
          </cell>
          <cell r="AI97">
            <v>4.8500000000000001E-2</v>
          </cell>
          <cell r="AK97">
            <v>4.8500000000000001E-2</v>
          </cell>
        </row>
        <row r="98">
          <cell r="B98" t="str">
            <v>Interest Expense</v>
          </cell>
          <cell r="C98">
            <v>785.5</v>
          </cell>
          <cell r="E98">
            <v>815.59999999999991</v>
          </cell>
          <cell r="G98">
            <v>743.59999999999991</v>
          </cell>
          <cell r="I98">
            <v>904.89999999999986</v>
          </cell>
          <cell r="K98">
            <v>792.50000000000023</v>
          </cell>
          <cell r="M98">
            <v>1188.6999999999998</v>
          </cell>
          <cell r="O98">
            <v>1493.1</v>
          </cell>
          <cell r="Q98">
            <v>1543.9999999999995</v>
          </cell>
          <cell r="S98">
            <v>1531.1999999999998</v>
          </cell>
          <cell r="Y98">
            <v>8.85</v>
          </cell>
          <cell r="AA98">
            <v>88.41149999999999</v>
          </cell>
          <cell r="AC98">
            <v>88.41149999999999</v>
          </cell>
          <cell r="AE98">
            <v>88.41149999999999</v>
          </cell>
          <cell r="AG98">
            <v>88.41149999999999</v>
          </cell>
          <cell r="AI98">
            <v>48.5</v>
          </cell>
          <cell r="AK98">
            <v>48.5</v>
          </cell>
        </row>
        <row r="99">
          <cell r="B99" t="str">
            <v>Total Interest</v>
          </cell>
          <cell r="W99">
            <v>47</v>
          </cell>
          <cell r="Y99">
            <v>47</v>
          </cell>
          <cell r="AA99">
            <v>122.80024999999999</v>
          </cell>
          <cell r="AC99">
            <v>135.30025000000001</v>
          </cell>
          <cell r="AE99">
            <v>128.80025000000001</v>
          </cell>
          <cell r="AG99">
            <v>128.80025000000001</v>
          </cell>
          <cell r="AI99">
            <v>88.888750000000002</v>
          </cell>
          <cell r="AK99">
            <v>88.888750000000002</v>
          </cell>
        </row>
        <row r="100">
          <cell r="B100" t="str">
            <v>Total Debt</v>
          </cell>
          <cell r="W100">
            <v>3080</v>
          </cell>
          <cell r="Y100">
            <v>5112.3999999999996</v>
          </cell>
          <cell r="AA100">
            <v>3957</v>
          </cell>
          <cell r="AC100">
            <v>8976.7887499999997</v>
          </cell>
          <cell r="AE100">
            <v>8896.5774999999994</v>
          </cell>
          <cell r="AG100">
            <v>8916.3662499999991</v>
          </cell>
          <cell r="AI100">
            <v>7938.1549999999997</v>
          </cell>
          <cell r="AK100">
            <v>7957.9437499999995</v>
          </cell>
        </row>
        <row r="101">
          <cell r="B101" t="str">
            <v>CHECK</v>
          </cell>
          <cell r="W101">
            <v>-31.5</v>
          </cell>
          <cell r="Y101">
            <v>-52.5</v>
          </cell>
          <cell r="AA101">
            <v>-137</v>
          </cell>
          <cell r="AC101">
            <v>-136</v>
          </cell>
          <cell r="AE101">
            <v>-128.80025000000001</v>
          </cell>
          <cell r="AG101">
            <v>-128.80025000000001</v>
          </cell>
          <cell r="AI101">
            <v>-88.888750000000002</v>
          </cell>
          <cell r="AK101">
            <v>-88.888750000000002</v>
          </cell>
        </row>
        <row r="105">
          <cell r="B105" t="str">
            <v>Statuatory Tax</v>
          </cell>
          <cell r="C105">
            <v>0.35</v>
          </cell>
          <cell r="E105">
            <v>0.35</v>
          </cell>
          <cell r="G105">
            <v>0.35</v>
          </cell>
          <cell r="I105">
            <v>0.35</v>
          </cell>
          <cell r="K105">
            <v>0.35</v>
          </cell>
          <cell r="M105">
            <v>0.35</v>
          </cell>
          <cell r="O105">
            <v>0.35</v>
          </cell>
          <cell r="Q105">
            <v>0.35</v>
          </cell>
          <cell r="S105">
            <v>0.35</v>
          </cell>
          <cell r="U105">
            <v>0.35</v>
          </cell>
          <cell r="W105">
            <v>0.35</v>
          </cell>
          <cell r="Y105">
            <v>0.27179593913325006</v>
          </cell>
          <cell r="AA105">
            <v>0.24393910919000189</v>
          </cell>
          <cell r="AC105">
            <v>0.2340976647582528</v>
          </cell>
          <cell r="AE105">
            <v>0.23499999999999999</v>
          </cell>
          <cell r="AG105">
            <v>0.23</v>
          </cell>
          <cell r="AI105">
            <v>0.22500000000000001</v>
          </cell>
          <cell r="AK105">
            <v>0.22450000000000001</v>
          </cell>
          <cell r="AO105" t="str">
            <v>mstag:statutoryTaxRate</v>
          </cell>
          <cell r="AP105">
            <v>0</v>
          </cell>
          <cell r="AQ105" t="str">
            <v>ms_eqr_gcim_Decimal:ms_eqr_gcim_decimal</v>
          </cell>
          <cell r="AR105" t="b">
            <v>0</v>
          </cell>
          <cell r="AS105" t="b">
            <v>0</v>
          </cell>
        </row>
        <row r="106">
          <cell r="B106" t="str">
            <v>Common Dividends</v>
          </cell>
          <cell r="C106">
            <v>0</v>
          </cell>
          <cell r="E106">
            <v>0</v>
          </cell>
          <cell r="G106">
            <v>0</v>
          </cell>
          <cell r="I106">
            <v>0</v>
          </cell>
          <cell r="K106">
            <v>0</v>
          </cell>
          <cell r="M106">
            <v>0</v>
          </cell>
          <cell r="O106">
            <v>0</v>
          </cell>
          <cell r="Q106">
            <v>0</v>
          </cell>
          <cell r="S106">
            <v>0</v>
          </cell>
          <cell r="U106">
            <v>0</v>
          </cell>
          <cell r="W106">
            <v>0</v>
          </cell>
          <cell r="Y106">
            <v>0</v>
          </cell>
          <cell r="AA106">
            <v>0</v>
          </cell>
          <cell r="AC106">
            <v>0</v>
          </cell>
          <cell r="AE106">
            <v>0</v>
          </cell>
          <cell r="AG106">
            <v>0</v>
          </cell>
          <cell r="AI106">
            <v>0</v>
          </cell>
          <cell r="AK106">
            <v>0</v>
          </cell>
          <cell r="AO106" t="str">
            <v>mstag:commonDividends</v>
          </cell>
          <cell r="AP106">
            <v>6</v>
          </cell>
          <cell r="AQ106" t="str">
            <v>ISO4217:USD</v>
          </cell>
          <cell r="AR106" t="b">
            <v>0</v>
          </cell>
          <cell r="AS106" t="b">
            <v>0</v>
          </cell>
        </row>
        <row r="107">
          <cell r="B107" t="str">
            <v>Unrecorded Goodwill</v>
          </cell>
          <cell r="C107">
            <v>0</v>
          </cell>
          <cell r="E107">
            <v>0</v>
          </cell>
          <cell r="G107">
            <v>0</v>
          </cell>
          <cell r="I107">
            <v>0</v>
          </cell>
          <cell r="K107">
            <v>0</v>
          </cell>
          <cell r="M107">
            <v>0</v>
          </cell>
          <cell r="O107">
            <v>0</v>
          </cell>
          <cell r="Q107">
            <v>0</v>
          </cell>
          <cell r="S107">
            <v>0</v>
          </cell>
          <cell r="U107">
            <v>0</v>
          </cell>
          <cell r="W107">
            <v>0</v>
          </cell>
          <cell r="Y107">
            <v>0</v>
          </cell>
          <cell r="AA107">
            <v>0</v>
          </cell>
          <cell r="AC107">
            <v>0</v>
          </cell>
          <cell r="AE107">
            <v>0</v>
          </cell>
          <cell r="AG107">
            <v>0</v>
          </cell>
          <cell r="AI107">
            <v>0</v>
          </cell>
          <cell r="AK107">
            <v>0</v>
          </cell>
          <cell r="AO107" t="str">
            <v>mstag:unrecordedGoodwillFromPoolingAndAmortizedOrWrittenOffGoodwill</v>
          </cell>
          <cell r="AP107">
            <v>6</v>
          </cell>
          <cell r="AQ107" t="str">
            <v>ISO4217:USD</v>
          </cell>
          <cell r="AR107" t="b">
            <v>0</v>
          </cell>
          <cell r="AS107" t="b">
            <v>0</v>
          </cell>
        </row>
        <row r="109">
          <cell r="B109" t="str">
            <v>If-Converted Calculation</v>
          </cell>
        </row>
        <row r="110">
          <cell r="Y110" t="str">
            <v>2004E</v>
          </cell>
          <cell r="AA110" t="str">
            <v>2005E</v>
          </cell>
          <cell r="AC110" t="str">
            <v>2006E</v>
          </cell>
          <cell r="AE110" t="str">
            <v>2007E</v>
          </cell>
          <cell r="AG110" t="str">
            <v>2008E</v>
          </cell>
          <cell r="AI110" t="str">
            <v>2009E</v>
          </cell>
          <cell r="AK110" t="str">
            <v>2010E</v>
          </cell>
        </row>
        <row r="111">
          <cell r="B111" t="str">
            <v>Net Earnings</v>
          </cell>
          <cell r="Y111">
            <v>3106.7999999999993</v>
          </cell>
          <cell r="AA111">
            <v>4023</v>
          </cell>
          <cell r="AC111">
            <v>4335.4931825000003</v>
          </cell>
          <cell r="AE111">
            <v>4671.2119694975627</v>
          </cell>
          <cell r="AG111">
            <v>5157.5244034755797</v>
          </cell>
          <cell r="AI111">
            <v>5486.3131761720342</v>
          </cell>
          <cell r="AK111">
            <v>5830.7509225580634</v>
          </cell>
        </row>
        <row r="112">
          <cell r="B112" t="str">
            <v>Diluted Share Count</v>
          </cell>
          <cell r="Y112">
            <v>1285.05</v>
          </cell>
          <cell r="AA112">
            <v>1236</v>
          </cell>
          <cell r="AC112">
            <v>1173.37546275</v>
          </cell>
          <cell r="AE112">
            <v>1131.9282839554037</v>
          </cell>
          <cell r="AG112">
            <v>1105.6672499945955</v>
          </cell>
          <cell r="AI112">
            <v>1078.6145376915538</v>
          </cell>
          <cell r="AK112">
            <v>1055.2640764166335</v>
          </cell>
        </row>
        <row r="113">
          <cell r="B113" t="str">
            <v>EPS, diluted</v>
          </cell>
          <cell r="Y113">
            <v>2.4176491187113336</v>
          </cell>
          <cell r="AA113">
            <v>3.2548543689320391</v>
          </cell>
          <cell r="AC113">
            <v>3.6948899309169572</v>
          </cell>
          <cell r="AE113">
            <v>4.1267737856805793</v>
          </cell>
          <cell r="AG113">
            <v>4.6646261825162947</v>
          </cell>
          <cell r="AI113">
            <v>5.0864446792213815</v>
          </cell>
          <cell r="AK113">
            <v>5.5253950673253076</v>
          </cell>
        </row>
        <row r="115">
          <cell r="B115" t="str">
            <v>Interest add-back</v>
          </cell>
          <cell r="Y115">
            <v>21.06</v>
          </cell>
          <cell r="AA115">
            <v>6</v>
          </cell>
          <cell r="AC115">
            <v>4</v>
          </cell>
          <cell r="AE115">
            <v>4</v>
          </cell>
          <cell r="AG115">
            <v>4</v>
          </cell>
          <cell r="AI115">
            <v>4</v>
          </cell>
          <cell r="AK115">
            <v>4</v>
          </cell>
        </row>
        <row r="116">
          <cell r="B116" t="str">
            <v>If-converted shares</v>
          </cell>
          <cell r="Y116">
            <v>35</v>
          </cell>
          <cell r="AA116">
            <v>22</v>
          </cell>
          <cell r="AC116">
            <v>8</v>
          </cell>
          <cell r="AE116">
            <v>8</v>
          </cell>
          <cell r="AG116">
            <v>8</v>
          </cell>
          <cell r="AI116">
            <v>8</v>
          </cell>
          <cell r="AK116">
            <v>8</v>
          </cell>
        </row>
        <row r="117">
          <cell r="B117" t="str">
            <v>"If converted" EPS</v>
          </cell>
          <cell r="Y117">
            <v>2.36950115525927</v>
          </cell>
          <cell r="AA117">
            <v>3.2027027027027026</v>
          </cell>
          <cell r="AC117">
            <v>3.6732548790191979</v>
          </cell>
          <cell r="AE117">
            <v>4.1013211403748855</v>
          </cell>
          <cell r="AG117">
            <v>4.6347096976234399</v>
          </cell>
          <cell r="AI117">
            <v>5.0526778224740756</v>
          </cell>
          <cell r="AK117">
            <v>5.4875839896915242</v>
          </cell>
        </row>
        <row r="118">
          <cell r="B118" t="str">
            <v>EPS dilution</v>
          </cell>
          <cell r="Y118">
            <v>-1.9915199058218813E-2</v>
          </cell>
          <cell r="AA118">
            <v>-1.6022734143539608E-2</v>
          </cell>
          <cell r="AC118">
            <v>-5.8553982127391713E-3</v>
          </cell>
          <cell r="AE118">
            <v>-6.167686097554359E-3</v>
          </cell>
          <cell r="AG118">
            <v>-6.4134796063586297E-3</v>
          </cell>
          <cell r="AI118">
            <v>-6.6385970706114295E-3</v>
          </cell>
          <cell r="AK118">
            <v>-6.8431446390830875E-3</v>
          </cell>
        </row>
        <row r="119">
          <cell r="B119" t="str">
            <v>Modelware adjustment</v>
          </cell>
          <cell r="U119">
            <v>20.5</v>
          </cell>
          <cell r="W119">
            <v>20.5</v>
          </cell>
          <cell r="Y119">
            <v>21.06</v>
          </cell>
          <cell r="AA119">
            <v>6</v>
          </cell>
          <cell r="AC119">
            <v>4</v>
          </cell>
          <cell r="AE119">
            <v>4</v>
          </cell>
          <cell r="AG119">
            <v>4</v>
          </cell>
          <cell r="AI119">
            <v>4</v>
          </cell>
          <cell r="AK119">
            <v>4</v>
          </cell>
          <cell r="AO119" t="str">
            <v>mstag:adjustmentToNetIncomeForDilutiveItems</v>
          </cell>
          <cell r="AP119">
            <v>6</v>
          </cell>
          <cell r="AQ119" t="str">
            <v>ISO4217:USD</v>
          </cell>
          <cell r="AR119" t="b">
            <v>0</v>
          </cell>
          <cell r="AS119" t="b">
            <v>0</v>
          </cell>
        </row>
      </sheetData>
      <sheetData sheetId="7" refreshError="1">
        <row r="1">
          <cell r="B1" t="str">
            <v>Amgen Balance Sheet</v>
          </cell>
          <cell r="AO1" t="str">
            <v>ElementName</v>
          </cell>
          <cell r="AP1" t="str">
            <v>ScaleOverride</v>
          </cell>
          <cell r="AQ1" t="str">
            <v>UnitOverride</v>
          </cell>
          <cell r="AR1" t="str">
            <v>ReverseSign</v>
          </cell>
          <cell r="AS1" t="str">
            <v>IsDrivingAssumption</v>
          </cell>
          <cell r="AT1" t="str">
            <v>SegmentID</v>
          </cell>
        </row>
        <row r="2">
          <cell r="B2" t="str">
            <v>(Dollars in millions)</v>
          </cell>
        </row>
        <row r="4">
          <cell r="C4" t="str">
            <v>1993A</v>
          </cell>
          <cell r="E4" t="str">
            <v>1994A</v>
          </cell>
          <cell r="G4" t="str">
            <v>1995A</v>
          </cell>
          <cell r="I4" t="str">
            <v>1996A</v>
          </cell>
          <cell r="K4" t="str">
            <v>1997A</v>
          </cell>
          <cell r="M4" t="str">
            <v>1998A</v>
          </cell>
          <cell r="O4" t="str">
            <v>1999A</v>
          </cell>
          <cell r="Q4" t="str">
            <v>2000A</v>
          </cell>
          <cell r="S4" t="str">
            <v>2001A</v>
          </cell>
          <cell r="U4" t="str">
            <v>2002A</v>
          </cell>
          <cell r="W4" t="str">
            <v>2003A</v>
          </cell>
          <cell r="Y4" t="str">
            <v>2004A</v>
          </cell>
          <cell r="AA4" t="str">
            <v>2005A</v>
          </cell>
          <cell r="AC4" t="str">
            <v>2006E</v>
          </cell>
          <cell r="AE4" t="str">
            <v>2007E</v>
          </cell>
          <cell r="AG4" t="str">
            <v>2008E</v>
          </cell>
          <cell r="AI4" t="str">
            <v>2009E</v>
          </cell>
          <cell r="AK4" t="str">
            <v>2010E</v>
          </cell>
        </row>
        <row r="5">
          <cell r="B5" t="str">
            <v>Current assets:</v>
          </cell>
        </row>
        <row r="6">
          <cell r="B6" t="str">
            <v>Cash and Equivalents</v>
          </cell>
          <cell r="C6">
            <v>128.505</v>
          </cell>
          <cell r="E6">
            <v>211.32300000000001</v>
          </cell>
          <cell r="G6">
            <v>66.7</v>
          </cell>
          <cell r="I6">
            <v>169.3</v>
          </cell>
          <cell r="K6">
            <v>239.1</v>
          </cell>
          <cell r="M6">
            <v>201.1</v>
          </cell>
          <cell r="O6">
            <v>130.9</v>
          </cell>
          <cell r="Q6">
            <v>226.5</v>
          </cell>
          <cell r="S6">
            <v>689.1</v>
          </cell>
          <cell r="U6">
            <v>1851.7</v>
          </cell>
          <cell r="W6">
            <v>836.6</v>
          </cell>
          <cell r="Y6">
            <v>1526</v>
          </cell>
          <cell r="AA6">
            <v>1840</v>
          </cell>
          <cell r="AC6">
            <v>1595.73967569264</v>
          </cell>
          <cell r="AE6">
            <v>2878.8628570857336</v>
          </cell>
          <cell r="AG6">
            <v>4488.7177429048934</v>
          </cell>
          <cell r="AI6">
            <v>5822.949278354683</v>
          </cell>
          <cell r="AK6">
            <v>8527.1936550496484</v>
          </cell>
          <cell r="AO6" t="str">
            <v>mstag:cashAndCashEquivalents</v>
          </cell>
          <cell r="AP6">
            <v>6</v>
          </cell>
          <cell r="AQ6" t="str">
            <v>ISO4217:USD</v>
          </cell>
          <cell r="AR6" t="b">
            <v>0</v>
          </cell>
          <cell r="AS6" t="b">
            <v>0</v>
          </cell>
        </row>
        <row r="7">
          <cell r="B7" t="str">
            <v>Marketable Securities</v>
          </cell>
          <cell r="C7">
            <v>594.67899999999997</v>
          </cell>
          <cell r="E7">
            <v>485.358</v>
          </cell>
          <cell r="G7">
            <v>983.6</v>
          </cell>
          <cell r="I7">
            <v>907.7</v>
          </cell>
          <cell r="K7">
            <v>787.4</v>
          </cell>
          <cell r="M7">
            <v>1074.9000000000001</v>
          </cell>
          <cell r="O7">
            <v>1202.0999999999999</v>
          </cell>
          <cell r="Q7">
            <v>1801.6</v>
          </cell>
          <cell r="S7">
            <v>1973.1</v>
          </cell>
          <cell r="U7">
            <v>2812.2</v>
          </cell>
          <cell r="W7">
            <v>4286.3</v>
          </cell>
          <cell r="Y7">
            <v>4282</v>
          </cell>
          <cell r="AA7">
            <v>3415</v>
          </cell>
          <cell r="AC7">
            <v>3104.5454545454545</v>
          </cell>
          <cell r="AE7">
            <v>2956.7099567099567</v>
          </cell>
          <cell r="AG7">
            <v>2941.99995692533</v>
          </cell>
          <cell r="AI7">
            <v>2927.363141219234</v>
          </cell>
          <cell r="AK7">
            <v>2912.7991454917751</v>
          </cell>
          <cell r="AO7" t="str">
            <v>mstag:shortTermInvestments</v>
          </cell>
          <cell r="AP7">
            <v>6</v>
          </cell>
          <cell r="AQ7" t="str">
            <v>ISO4217:USD</v>
          </cell>
          <cell r="AR7" t="b">
            <v>0</v>
          </cell>
          <cell r="AS7" t="b">
            <v>0</v>
          </cell>
        </row>
        <row r="8">
          <cell r="B8" t="str">
            <v>Trade Receivables, net</v>
          </cell>
          <cell r="C8">
            <v>164.33699999999999</v>
          </cell>
          <cell r="E8">
            <v>194.71199999999999</v>
          </cell>
          <cell r="G8">
            <v>199.3</v>
          </cell>
          <cell r="I8">
            <v>225.4</v>
          </cell>
          <cell r="K8">
            <v>269</v>
          </cell>
          <cell r="M8">
            <v>319.89999999999998</v>
          </cell>
          <cell r="O8">
            <v>412.2</v>
          </cell>
          <cell r="Q8">
            <v>389.2</v>
          </cell>
          <cell r="S8">
            <v>497.2</v>
          </cell>
          <cell r="U8">
            <v>752.4</v>
          </cell>
          <cell r="W8">
            <v>1007.9</v>
          </cell>
          <cell r="Y8">
            <v>1461</v>
          </cell>
          <cell r="AA8">
            <v>1769</v>
          </cell>
          <cell r="AC8">
            <v>1968.4285714285713</v>
          </cell>
          <cell r="AE8">
            <v>2155.6826036867242</v>
          </cell>
          <cell r="AG8">
            <v>2372.6533954538641</v>
          </cell>
          <cell r="AI8">
            <v>2597.047178258721</v>
          </cell>
          <cell r="AK8">
            <v>2826.4134872455193</v>
          </cell>
          <cell r="AO8" t="str">
            <v>mstag:tradeReceivables</v>
          </cell>
          <cell r="AP8">
            <v>6</v>
          </cell>
          <cell r="AQ8" t="str">
            <v>ISO4217:USD</v>
          </cell>
          <cell r="AR8" t="b">
            <v>0</v>
          </cell>
          <cell r="AS8" t="b">
            <v>0</v>
          </cell>
        </row>
        <row r="9">
          <cell r="B9" t="str">
            <v>Inventories</v>
          </cell>
          <cell r="C9">
            <v>74.712000000000003</v>
          </cell>
          <cell r="E9">
            <v>98.004000000000005</v>
          </cell>
          <cell r="G9">
            <v>88.8</v>
          </cell>
          <cell r="I9">
            <v>97.4</v>
          </cell>
          <cell r="K9">
            <v>109.2</v>
          </cell>
          <cell r="M9">
            <v>110.8</v>
          </cell>
          <cell r="O9">
            <v>184.3</v>
          </cell>
          <cell r="Q9">
            <v>305.2</v>
          </cell>
          <cell r="S9">
            <v>355.6</v>
          </cell>
          <cell r="U9">
            <v>544.9</v>
          </cell>
          <cell r="W9">
            <v>712.6</v>
          </cell>
          <cell r="Y9">
            <v>888</v>
          </cell>
          <cell r="AA9">
            <v>1258</v>
          </cell>
          <cell r="AC9">
            <v>1422.0328124999999</v>
          </cell>
          <cell r="AE9">
            <v>1544.5641329739619</v>
          </cell>
          <cell r="AG9">
            <v>1664.7963868306774</v>
          </cell>
          <cell r="AI9">
            <v>1826.1337440775962</v>
          </cell>
          <cell r="AK9">
            <v>2018.7024615605301</v>
          </cell>
          <cell r="AO9" t="str">
            <v>mstag:inventories</v>
          </cell>
          <cell r="AP9">
            <v>6</v>
          </cell>
          <cell r="AQ9" t="str">
            <v>ISO4217:USD</v>
          </cell>
          <cell r="AR9" t="b">
            <v>0</v>
          </cell>
          <cell r="AS9" t="b">
            <v>0</v>
          </cell>
        </row>
        <row r="10">
          <cell r="B10" t="str">
            <v>Deferred Taxes, Net</v>
          </cell>
          <cell r="C10">
            <v>58.936999999999998</v>
          </cell>
          <cell r="E10">
            <v>70.176000000000002</v>
          </cell>
          <cell r="G10">
            <v>51.7</v>
          </cell>
          <cell r="O10">
            <v>0</v>
          </cell>
          <cell r="Q10">
            <v>0</v>
          </cell>
          <cell r="S10">
            <v>0</v>
          </cell>
          <cell r="U10">
            <v>0</v>
          </cell>
          <cell r="W10">
            <v>0</v>
          </cell>
          <cell r="Y10">
            <v>0</v>
          </cell>
          <cell r="AA10">
            <v>0</v>
          </cell>
          <cell r="AC10">
            <v>0</v>
          </cell>
          <cell r="AE10">
            <v>0</v>
          </cell>
          <cell r="AG10">
            <v>0</v>
          </cell>
          <cell r="AI10">
            <v>0</v>
          </cell>
          <cell r="AK10">
            <v>0</v>
          </cell>
          <cell r="AO10" t="str">
            <v>mstag:deferredTaxAssets</v>
          </cell>
          <cell r="AP10">
            <v>6</v>
          </cell>
          <cell r="AQ10" t="str">
            <v>ISO4217:USD</v>
          </cell>
          <cell r="AR10" t="b">
            <v>0</v>
          </cell>
          <cell r="AS10" t="b">
            <v>0</v>
          </cell>
        </row>
        <row r="11">
          <cell r="B11" t="str">
            <v>Other Current Assets</v>
          </cell>
          <cell r="C11">
            <v>33.340000000000003</v>
          </cell>
          <cell r="E11">
            <v>56.064999999999998</v>
          </cell>
          <cell r="G11">
            <v>64</v>
          </cell>
          <cell r="I11">
            <v>102.8</v>
          </cell>
          <cell r="K11">
            <v>138.80000000000001</v>
          </cell>
          <cell r="M11">
            <v>156.6</v>
          </cell>
          <cell r="O11">
            <v>135.80000000000001</v>
          </cell>
          <cell r="Q11">
            <v>214.6</v>
          </cell>
          <cell r="S11">
            <v>343.6</v>
          </cell>
          <cell r="U11">
            <v>442.3</v>
          </cell>
          <cell r="W11">
            <v>558.79999999999995</v>
          </cell>
          <cell r="Y11">
            <v>1013</v>
          </cell>
          <cell r="AA11">
            <v>953</v>
          </cell>
          <cell r="AC11">
            <v>964.53000000000009</v>
          </cell>
          <cell r="AE11">
            <v>1207.1822580645655</v>
          </cell>
          <cell r="AG11">
            <v>1473.4177585768496</v>
          </cell>
          <cell r="AI11">
            <v>1612.7662976986658</v>
          </cell>
          <cell r="AK11">
            <v>1755.2027755794675</v>
          </cell>
          <cell r="AO11" t="str">
            <v>mstag:otherAssets</v>
          </cell>
          <cell r="AP11">
            <v>6</v>
          </cell>
          <cell r="AQ11" t="str">
            <v>ISO4217:USD</v>
          </cell>
          <cell r="AR11" t="b">
            <v>0</v>
          </cell>
          <cell r="AS11" t="b">
            <v>0</v>
          </cell>
        </row>
        <row r="12">
          <cell r="B12" t="str">
            <v>Total current assets</v>
          </cell>
          <cell r="C12">
            <v>1054.51</v>
          </cell>
          <cell r="E12">
            <v>1115.6380000000001</v>
          </cell>
          <cell r="G12">
            <v>1454.1</v>
          </cell>
          <cell r="I12">
            <v>1502.6000000000001</v>
          </cell>
          <cell r="K12">
            <v>1543.5</v>
          </cell>
          <cell r="M12">
            <v>1863.3</v>
          </cell>
          <cell r="O12">
            <v>2065.3000000000002</v>
          </cell>
          <cell r="Q12">
            <v>2937.0999999999995</v>
          </cell>
          <cell r="S12">
            <v>3858.5999999999995</v>
          </cell>
          <cell r="U12">
            <v>6403.4999999999991</v>
          </cell>
          <cell r="W12">
            <v>7402.2000000000007</v>
          </cell>
          <cell r="Y12">
            <v>9170</v>
          </cell>
          <cell r="AA12">
            <v>9235</v>
          </cell>
          <cell r="AC12">
            <v>9055.2765141666659</v>
          </cell>
          <cell r="AE12">
            <v>10743.001808520943</v>
          </cell>
          <cell r="AG12">
            <v>12941.585240691616</v>
          </cell>
          <cell r="AI12">
            <v>14786.259639608899</v>
          </cell>
          <cell r="AK12">
            <v>18040.311524926939</v>
          </cell>
        </row>
        <row r="14">
          <cell r="B14" t="str">
            <v>Property, Plant &amp; Equipment</v>
          </cell>
          <cell r="C14">
            <v>586.91200000000003</v>
          </cell>
          <cell r="E14">
            <v>665.31399999999996</v>
          </cell>
          <cell r="G14">
            <v>743.8</v>
          </cell>
          <cell r="I14">
            <v>910.5</v>
          </cell>
          <cell r="K14">
            <v>1186.2</v>
          </cell>
          <cell r="M14">
            <v>1450.2</v>
          </cell>
          <cell r="O14">
            <v>1553.6</v>
          </cell>
          <cell r="Q14">
            <v>1781.5</v>
          </cell>
          <cell r="S14">
            <v>1946.1</v>
          </cell>
          <cell r="U14">
            <v>2813.5</v>
          </cell>
          <cell r="W14">
            <v>3799.4</v>
          </cell>
          <cell r="Y14">
            <v>4712</v>
          </cell>
          <cell r="AA14">
            <v>5038</v>
          </cell>
          <cell r="AC14">
            <v>5980.5493333333325</v>
          </cell>
          <cell r="AE14">
            <v>6577.3994462366118</v>
          </cell>
          <cell r="AG14">
            <v>7084.1184670405946</v>
          </cell>
          <cell r="AI14">
            <v>7351.437436320256</v>
          </cell>
          <cell r="AK14">
            <v>7696.185373274071</v>
          </cell>
          <cell r="AO14" t="str">
            <v>mstag:propertyPlantAndEquipmentNet</v>
          </cell>
          <cell r="AP14">
            <v>6</v>
          </cell>
          <cell r="AQ14" t="str">
            <v>ISO4217:USD</v>
          </cell>
          <cell r="AR14" t="b">
            <v>0</v>
          </cell>
          <cell r="AS14" t="b">
            <v>0</v>
          </cell>
        </row>
        <row r="15">
          <cell r="B15" t="str">
            <v>Intangible Assets, net</v>
          </cell>
          <cell r="O15">
            <v>0</v>
          </cell>
          <cell r="Q15">
            <v>0</v>
          </cell>
          <cell r="S15">
            <v>34.1</v>
          </cell>
          <cell r="U15">
            <v>4801.8999999999996</v>
          </cell>
          <cell r="W15">
            <v>4455.5</v>
          </cell>
          <cell r="Y15">
            <v>4033</v>
          </cell>
          <cell r="AA15">
            <v>3742</v>
          </cell>
          <cell r="AC15">
            <v>3680.89</v>
          </cell>
          <cell r="AE15">
            <v>3462.2799999999997</v>
          </cell>
          <cell r="AG15">
            <v>3243.6699999999996</v>
          </cell>
          <cell r="AI15">
            <v>3025.0599999999995</v>
          </cell>
          <cell r="AK15">
            <v>2806.4499999999994</v>
          </cell>
          <cell r="AO15" t="str">
            <v>mstag:otherIntangibleAssets</v>
          </cell>
          <cell r="AP15">
            <v>6</v>
          </cell>
          <cell r="AQ15" t="str">
            <v>ISO4217:USD</v>
          </cell>
          <cell r="AR15" t="b">
            <v>0</v>
          </cell>
          <cell r="AS15" t="b">
            <v>0</v>
          </cell>
        </row>
        <row r="16">
          <cell r="B16" t="str">
            <v>Goodwill</v>
          </cell>
          <cell r="O16">
            <v>0</v>
          </cell>
          <cell r="Q16">
            <v>0</v>
          </cell>
          <cell r="S16">
            <v>97.2</v>
          </cell>
          <cell r="U16">
            <v>9871.1</v>
          </cell>
          <cell r="W16">
            <v>9715.9</v>
          </cell>
          <cell r="Y16">
            <v>10525</v>
          </cell>
          <cell r="AA16">
            <v>10495</v>
          </cell>
          <cell r="AC16">
            <v>10995</v>
          </cell>
          <cell r="AE16">
            <v>10995</v>
          </cell>
          <cell r="AG16">
            <v>10995</v>
          </cell>
          <cell r="AI16">
            <v>10995</v>
          </cell>
          <cell r="AK16">
            <v>10995</v>
          </cell>
          <cell r="AO16" t="str">
            <v>mstag:goodwill</v>
          </cell>
          <cell r="AP16">
            <v>6</v>
          </cell>
          <cell r="AQ16" t="str">
            <v>ISO4217:USD</v>
          </cell>
          <cell r="AR16" t="b">
            <v>0</v>
          </cell>
          <cell r="AS16" t="b">
            <v>0</v>
          </cell>
        </row>
        <row r="17">
          <cell r="B17" t="str">
            <v>Other Assets</v>
          </cell>
          <cell r="C17">
            <v>124.1</v>
          </cell>
          <cell r="E17">
            <v>213.2</v>
          </cell>
          <cell r="G17">
            <v>234.9</v>
          </cell>
          <cell r="I17">
            <v>352.5</v>
          </cell>
          <cell r="K17">
            <v>380.5</v>
          </cell>
          <cell r="M17">
            <v>358.7</v>
          </cell>
          <cell r="O17">
            <v>458.7</v>
          </cell>
          <cell r="Q17">
            <v>681</v>
          </cell>
          <cell r="S17">
            <v>507.1</v>
          </cell>
          <cell r="U17">
            <v>566.29999999999995</v>
          </cell>
          <cell r="W17">
            <v>803.5</v>
          </cell>
          <cell r="Y17">
            <v>781</v>
          </cell>
          <cell r="AA17">
            <v>787</v>
          </cell>
          <cell r="AC17">
            <v>787</v>
          </cell>
          <cell r="AE17">
            <v>787</v>
          </cell>
          <cell r="AG17">
            <v>787</v>
          </cell>
          <cell r="AI17">
            <v>787</v>
          </cell>
          <cell r="AK17">
            <v>787</v>
          </cell>
          <cell r="AO17" t="str">
            <v>mstag:otherAssetsNonOperating</v>
          </cell>
          <cell r="AP17">
            <v>6</v>
          </cell>
          <cell r="AQ17" t="str">
            <v>ISO4217:USD</v>
          </cell>
          <cell r="AR17" t="b">
            <v>0</v>
          </cell>
          <cell r="AS17" t="b">
            <v>0</v>
          </cell>
        </row>
        <row r="19">
          <cell r="B19" t="str">
            <v>Total assets</v>
          </cell>
          <cell r="C19">
            <v>1765.5219999999999</v>
          </cell>
          <cell r="E19">
            <v>1994.1520000000003</v>
          </cell>
          <cell r="G19">
            <v>2432.7999999999997</v>
          </cell>
          <cell r="I19">
            <v>2765.6000000000004</v>
          </cell>
          <cell r="K19">
            <v>3110.2</v>
          </cell>
          <cell r="M19">
            <v>3672.2</v>
          </cell>
          <cell r="O19">
            <v>4077.6</v>
          </cell>
          <cell r="Q19">
            <v>5399.5999999999995</v>
          </cell>
          <cell r="S19">
            <v>6443.0999999999995</v>
          </cell>
          <cell r="U19">
            <v>24456.3</v>
          </cell>
          <cell r="W19">
            <v>26176.5</v>
          </cell>
          <cell r="Y19">
            <v>29221</v>
          </cell>
          <cell r="AA19">
            <v>29297</v>
          </cell>
          <cell r="AC19">
            <v>30498.7158475</v>
          </cell>
          <cell r="AE19">
            <v>32564.681254757554</v>
          </cell>
          <cell r="AG19">
            <v>35051.373707732208</v>
          </cell>
          <cell r="AI19">
            <v>36944.757075929156</v>
          </cell>
          <cell r="AK19">
            <v>40324.946898201015</v>
          </cell>
        </row>
        <row r="21">
          <cell r="B21" t="str">
            <v>Current liabilities:</v>
          </cell>
        </row>
        <row r="22">
          <cell r="B22" t="str">
            <v>Accounts Payable</v>
          </cell>
          <cell r="C22">
            <v>23.056000000000001</v>
          </cell>
          <cell r="E22">
            <v>30.475999999999999</v>
          </cell>
          <cell r="G22">
            <v>54.4</v>
          </cell>
          <cell r="I22">
            <v>75</v>
          </cell>
          <cell r="K22">
            <v>111.1</v>
          </cell>
          <cell r="M22">
            <v>121.6</v>
          </cell>
          <cell r="O22">
            <v>83.4</v>
          </cell>
          <cell r="Q22">
            <v>143.19999999999999</v>
          </cell>
          <cell r="S22">
            <v>136.69999999999999</v>
          </cell>
          <cell r="U22">
            <v>254.6</v>
          </cell>
          <cell r="W22">
            <v>327.2</v>
          </cell>
          <cell r="Y22">
            <v>507</v>
          </cell>
          <cell r="AA22">
            <v>596</v>
          </cell>
          <cell r="AC22">
            <v>664.90923999999995</v>
          </cell>
          <cell r="AE22">
            <v>725.2428557948823</v>
          </cell>
          <cell r="AG22">
            <v>817.47919566890039</v>
          </cell>
          <cell r="AI22">
            <v>922.93696722228412</v>
          </cell>
          <cell r="AK22">
            <v>1024.8726343603414</v>
          </cell>
          <cell r="AO22" t="str">
            <v>mstag:tradeAndOtherPayables</v>
          </cell>
          <cell r="AP22">
            <v>6</v>
          </cell>
          <cell r="AQ22" t="str">
            <v>ISO4217:USD</v>
          </cell>
          <cell r="AR22" t="b">
            <v>0</v>
          </cell>
          <cell r="AS22" t="b">
            <v>0</v>
          </cell>
        </row>
        <row r="23">
          <cell r="B23" t="str">
            <v>Commercial Paper</v>
          </cell>
          <cell r="C23">
            <v>109.767</v>
          </cell>
          <cell r="E23">
            <v>99.667000000000002</v>
          </cell>
          <cell r="G23">
            <v>69.7</v>
          </cell>
          <cell r="I23">
            <v>0</v>
          </cell>
          <cell r="K23">
            <v>-302.2</v>
          </cell>
          <cell r="M23">
            <v>99.7</v>
          </cell>
          <cell r="O23">
            <v>99.5</v>
          </cell>
          <cell r="Q23">
            <v>99.7</v>
          </cell>
          <cell r="S23">
            <v>99.9</v>
          </cell>
          <cell r="U23">
            <v>0</v>
          </cell>
          <cell r="W23">
            <v>0</v>
          </cell>
          <cell r="Y23">
            <v>0</v>
          </cell>
          <cell r="AA23">
            <v>0</v>
          </cell>
          <cell r="AC23">
            <v>0</v>
          </cell>
          <cell r="AE23">
            <v>0</v>
          </cell>
          <cell r="AG23">
            <v>0</v>
          </cell>
          <cell r="AI23">
            <v>0</v>
          </cell>
          <cell r="AK23">
            <v>0</v>
          </cell>
          <cell r="AO23" t="str">
            <v>mstag:shortTermBorrowings</v>
          </cell>
          <cell r="AP23">
            <v>6</v>
          </cell>
          <cell r="AQ23" t="str">
            <v>ISO4217:USD</v>
          </cell>
          <cell r="AR23" t="b">
            <v>0</v>
          </cell>
          <cell r="AS23" t="b">
            <v>0</v>
          </cell>
        </row>
        <row r="24">
          <cell r="B24" t="str">
            <v>Accrued Liabilities</v>
          </cell>
          <cell r="C24">
            <v>279.43799999999999</v>
          </cell>
          <cell r="E24">
            <v>406.28699999999998</v>
          </cell>
          <cell r="G24">
            <v>459.7</v>
          </cell>
          <cell r="I24">
            <v>449.7</v>
          </cell>
          <cell r="K24">
            <v>608</v>
          </cell>
          <cell r="M24">
            <v>659.7</v>
          </cell>
          <cell r="O24">
            <v>648.20000000000005</v>
          </cell>
          <cell r="Q24">
            <v>619.20000000000005</v>
          </cell>
          <cell r="S24">
            <v>766.3</v>
          </cell>
          <cell r="U24">
            <v>1151.7</v>
          </cell>
          <cell r="W24">
            <v>1919.1</v>
          </cell>
          <cell r="Y24">
            <v>2477</v>
          </cell>
          <cell r="AA24">
            <v>2999</v>
          </cell>
          <cell r="AC24">
            <v>2908.9779249999997</v>
          </cell>
          <cell r="AE24">
            <v>3172.9374941026099</v>
          </cell>
          <cell r="AG24">
            <v>3335.3151183291138</v>
          </cell>
          <cell r="AI24">
            <v>3765.5828262669193</v>
          </cell>
          <cell r="AK24">
            <v>4181.4803481901936</v>
          </cell>
          <cell r="AO24" t="str">
            <v>mstag:accruedExpenses</v>
          </cell>
          <cell r="AP24">
            <v>6</v>
          </cell>
          <cell r="AQ24" t="str">
            <v>ISO4217:USD</v>
          </cell>
          <cell r="AR24" t="b">
            <v>0</v>
          </cell>
          <cell r="AS24" t="b">
            <v>0</v>
          </cell>
        </row>
        <row r="25">
          <cell r="B25" t="str">
            <v>Current Portion Long Term Debt</v>
          </cell>
          <cell r="I25">
            <v>118.2</v>
          </cell>
          <cell r="K25">
            <v>30</v>
          </cell>
          <cell r="M25">
            <v>6</v>
          </cell>
          <cell r="O25">
            <v>0</v>
          </cell>
          <cell r="Q25">
            <v>0</v>
          </cell>
          <cell r="S25">
            <v>0</v>
          </cell>
          <cell r="U25">
            <v>122.9</v>
          </cell>
          <cell r="W25">
            <v>0</v>
          </cell>
          <cell r="Y25">
            <v>1173</v>
          </cell>
          <cell r="AA25">
            <v>0</v>
          </cell>
          <cell r="AC25">
            <v>0</v>
          </cell>
          <cell r="AE25">
            <v>0</v>
          </cell>
          <cell r="AG25">
            <v>0</v>
          </cell>
          <cell r="AI25">
            <v>0</v>
          </cell>
          <cell r="AK25">
            <v>0</v>
          </cell>
          <cell r="AO25" t="str">
            <v>mstag:shortTermBorrowings</v>
          </cell>
          <cell r="AP25">
            <v>6</v>
          </cell>
          <cell r="AQ25" t="str">
            <v>ISO4217:USD</v>
          </cell>
          <cell r="AR25" t="b">
            <v>0</v>
          </cell>
          <cell r="AS25" t="b">
            <v>0</v>
          </cell>
        </row>
        <row r="26">
          <cell r="B26" t="str">
            <v>Total current liabilities</v>
          </cell>
          <cell r="C26">
            <v>412.26099999999997</v>
          </cell>
          <cell r="E26">
            <v>536.42999999999995</v>
          </cell>
          <cell r="G26">
            <v>583.79999999999995</v>
          </cell>
          <cell r="I26">
            <v>642.90000000000009</v>
          </cell>
          <cell r="K26">
            <v>446.9</v>
          </cell>
          <cell r="M26">
            <v>887</v>
          </cell>
          <cell r="O26">
            <v>831.1</v>
          </cell>
          <cell r="Q26">
            <v>862.1</v>
          </cell>
          <cell r="S26">
            <v>1002.9</v>
          </cell>
          <cell r="U26">
            <v>1529.2</v>
          </cell>
          <cell r="W26">
            <v>2246.2999999999997</v>
          </cell>
          <cell r="Y26">
            <v>4157</v>
          </cell>
          <cell r="AA26">
            <v>3595</v>
          </cell>
          <cell r="AC26">
            <v>3573.8871649999996</v>
          </cell>
          <cell r="AE26">
            <v>3898.1803498974923</v>
          </cell>
          <cell r="AG26">
            <v>4152.7943139980143</v>
          </cell>
          <cell r="AI26">
            <v>4688.519793489203</v>
          </cell>
          <cell r="AK26">
            <v>5206.3529825505348</v>
          </cell>
        </row>
        <row r="28">
          <cell r="B28" t="str">
            <v>Deferred Tax Liabilities</v>
          </cell>
          <cell r="C28">
            <v>0</v>
          </cell>
          <cell r="E28">
            <v>0</v>
          </cell>
          <cell r="G28">
            <v>0</v>
          </cell>
          <cell r="I28">
            <v>0</v>
          </cell>
          <cell r="K28">
            <v>0</v>
          </cell>
          <cell r="M28">
            <v>0</v>
          </cell>
          <cell r="O28">
            <v>0</v>
          </cell>
          <cell r="Q28">
            <v>0</v>
          </cell>
          <cell r="S28">
            <v>0</v>
          </cell>
          <cell r="U28">
            <v>1593.4</v>
          </cell>
          <cell r="W28">
            <v>1461.6</v>
          </cell>
          <cell r="Y28">
            <v>1294</v>
          </cell>
          <cell r="AA28">
            <v>1294</v>
          </cell>
          <cell r="AC28">
            <v>994</v>
          </cell>
          <cell r="AE28">
            <v>994</v>
          </cell>
          <cell r="AG28">
            <v>994</v>
          </cell>
          <cell r="AI28">
            <v>994</v>
          </cell>
          <cell r="AK28">
            <v>994</v>
          </cell>
          <cell r="AO28" t="str">
            <v>mstag:deferredTaxLiabilities</v>
          </cell>
          <cell r="AP28">
            <v>6</v>
          </cell>
          <cell r="AQ28" t="str">
            <v>ISO4217:USD</v>
          </cell>
          <cell r="AR28" t="b">
            <v>0</v>
          </cell>
          <cell r="AS28" t="b">
            <v>0</v>
          </cell>
        </row>
        <row r="29">
          <cell r="B29" t="str">
            <v xml:space="preserve">Long-Term Debt </v>
          </cell>
          <cell r="C29">
            <v>181.24199999999999</v>
          </cell>
          <cell r="E29">
            <v>183.40700000000001</v>
          </cell>
          <cell r="G29">
            <v>177.2</v>
          </cell>
          <cell r="I29">
            <v>59</v>
          </cell>
          <cell r="K29">
            <v>229</v>
          </cell>
          <cell r="M29">
            <v>223</v>
          </cell>
          <cell r="O29">
            <v>223</v>
          </cell>
          <cell r="Q29">
            <v>223</v>
          </cell>
          <cell r="S29">
            <v>223</v>
          </cell>
          <cell r="U29">
            <v>3047.7</v>
          </cell>
          <cell r="W29">
            <v>3079.5</v>
          </cell>
          <cell r="Y29">
            <v>4065</v>
          </cell>
          <cell r="AA29">
            <v>3957</v>
          </cell>
          <cell r="AC29">
            <v>8976.7887499999997</v>
          </cell>
          <cell r="AE29">
            <v>8896.5774999999994</v>
          </cell>
          <cell r="AG29">
            <v>8916.3662499999991</v>
          </cell>
          <cell r="AI29">
            <v>7938.1549999999988</v>
          </cell>
          <cell r="AK29">
            <v>7957.9437499999985</v>
          </cell>
          <cell r="AO29" t="str">
            <v>mstag:longTermDebt</v>
          </cell>
          <cell r="AP29">
            <v>6</v>
          </cell>
          <cell r="AQ29" t="str">
            <v>ISO4217:USD</v>
          </cell>
          <cell r="AR29" t="b">
            <v>0</v>
          </cell>
          <cell r="AS29" t="b">
            <v>0</v>
          </cell>
        </row>
        <row r="30">
          <cell r="B30" t="str">
            <v>Put Warrants</v>
          </cell>
          <cell r="C30">
            <v>0</v>
          </cell>
          <cell r="E30">
            <v>0</v>
          </cell>
          <cell r="G30">
            <v>0</v>
          </cell>
          <cell r="I30">
            <v>157.4</v>
          </cell>
          <cell r="K30">
            <v>0</v>
          </cell>
          <cell r="M30">
            <v>0</v>
          </cell>
          <cell r="O30">
            <v>0</v>
          </cell>
          <cell r="Q30">
            <v>0</v>
          </cell>
          <cell r="S30">
            <v>0</v>
          </cell>
          <cell r="U30">
            <v>0</v>
          </cell>
          <cell r="W30">
            <v>0</v>
          </cell>
          <cell r="Y30">
            <v>0</v>
          </cell>
          <cell r="AA30">
            <v>0</v>
          </cell>
          <cell r="AC30">
            <v>0</v>
          </cell>
          <cell r="AE30">
            <v>0</v>
          </cell>
          <cell r="AG30">
            <v>0</v>
          </cell>
          <cell r="AI30">
            <v>0</v>
          </cell>
          <cell r="AK30">
            <v>0</v>
          </cell>
          <cell r="AO30" t="str">
            <v>mstag:otherLiabilitiesNonOperating</v>
          </cell>
          <cell r="AP30">
            <v>6</v>
          </cell>
          <cell r="AQ30" t="str">
            <v>ISO4217:USD</v>
          </cell>
          <cell r="AR30" t="b">
            <v>0</v>
          </cell>
          <cell r="AS30" t="b">
            <v>0</v>
          </cell>
        </row>
        <row r="31">
          <cell r="B31" t="str">
            <v>Total liabilities</v>
          </cell>
          <cell r="C31">
            <v>593.50299999999993</v>
          </cell>
          <cell r="E31">
            <v>719.83699999999999</v>
          </cell>
          <cell r="G31">
            <v>761</v>
          </cell>
          <cell r="I31">
            <v>701.90000000000009</v>
          </cell>
          <cell r="K31">
            <v>675.9</v>
          </cell>
          <cell r="M31">
            <v>1110</v>
          </cell>
          <cell r="O31">
            <v>1054.0999999999999</v>
          </cell>
          <cell r="Q31">
            <v>1085.0999999999999</v>
          </cell>
          <cell r="S31">
            <v>1225.9000000000001</v>
          </cell>
          <cell r="U31">
            <v>6170.3</v>
          </cell>
          <cell r="W31">
            <v>6787.4</v>
          </cell>
          <cell r="Y31">
            <v>9516</v>
          </cell>
          <cell r="AA31">
            <v>8846</v>
          </cell>
          <cell r="AC31">
            <v>13544.675915</v>
          </cell>
          <cell r="AE31">
            <v>13788.757849897491</v>
          </cell>
          <cell r="AG31">
            <v>14063.160563998013</v>
          </cell>
          <cell r="AI31">
            <v>13620.674793489201</v>
          </cell>
          <cell r="AK31">
            <v>14158.296732550534</v>
          </cell>
        </row>
        <row r="33">
          <cell r="B33" t="str">
            <v>Stockholders' equity:</v>
          </cell>
        </row>
        <row r="34">
          <cell r="B34" t="str">
            <v>Preferred Stock</v>
          </cell>
          <cell r="S34">
            <v>0</v>
          </cell>
          <cell r="U34">
            <v>0</v>
          </cell>
          <cell r="W34">
            <v>0</v>
          </cell>
          <cell r="Y34">
            <v>0</v>
          </cell>
          <cell r="AA34">
            <v>0</v>
          </cell>
          <cell r="AC34">
            <v>0</v>
          </cell>
          <cell r="AE34">
            <v>0</v>
          </cell>
          <cell r="AG34">
            <v>0</v>
          </cell>
          <cell r="AI34">
            <v>0</v>
          </cell>
          <cell r="AK34">
            <v>0</v>
          </cell>
          <cell r="AO34" t="str">
            <v>mstag:preferredEquity</v>
          </cell>
          <cell r="AP34">
            <v>6</v>
          </cell>
          <cell r="AQ34" t="str">
            <v>ISO4217:USD</v>
          </cell>
          <cell r="AR34" t="b">
            <v>0</v>
          </cell>
          <cell r="AS34" t="b">
            <v>0</v>
          </cell>
        </row>
        <row r="35">
          <cell r="B35" t="str">
            <v>Common Stock and APIC</v>
          </cell>
          <cell r="C35">
            <v>583.19878761447876</v>
          </cell>
          <cell r="E35">
            <v>634.09843436545998</v>
          </cell>
          <cell r="G35">
            <v>831.89001308329694</v>
          </cell>
          <cell r="I35">
            <v>1026.9000000000001</v>
          </cell>
          <cell r="K35">
            <v>1196.0999999999999</v>
          </cell>
          <cell r="M35">
            <v>1671.9</v>
          </cell>
          <cell r="O35">
            <v>2072.3000000000002</v>
          </cell>
          <cell r="Q35">
            <v>2947.3</v>
          </cell>
          <cell r="S35">
            <v>3474.1</v>
          </cell>
          <cell r="U35">
            <v>19344.3</v>
          </cell>
          <cell r="W35">
            <v>19995.3</v>
          </cell>
          <cell r="Y35">
            <v>22078</v>
          </cell>
          <cell r="AA35">
            <v>23561</v>
          </cell>
          <cell r="AC35">
            <v>16734.574542499999</v>
          </cell>
          <cell r="AE35">
            <v>14375.822116285579</v>
          </cell>
          <cell r="AG35">
            <v>11943.489962124937</v>
          </cell>
          <cell r="AI35">
            <v>9343.913232858682</v>
          </cell>
          <cell r="AK35">
            <v>6943.2943418808663</v>
          </cell>
          <cell r="AO35" t="str">
            <v>mstag:totalShareCapital</v>
          </cell>
          <cell r="AP35">
            <v>6</v>
          </cell>
          <cell r="AQ35" t="str">
            <v>ISO4217:USD</v>
          </cell>
          <cell r="AR35" t="b">
            <v>0</v>
          </cell>
          <cell r="AS35" t="b">
            <v>0</v>
          </cell>
        </row>
        <row r="36">
          <cell r="B36" t="str">
            <v>Retained Earnings</v>
          </cell>
          <cell r="C36">
            <v>499.43033774288898</v>
          </cell>
          <cell r="E36">
            <v>543.01895333624066</v>
          </cell>
          <cell r="G36">
            <v>712.4005039492173</v>
          </cell>
          <cell r="I36">
            <v>879.4</v>
          </cell>
          <cell r="K36">
            <v>943.2</v>
          </cell>
          <cell r="M36">
            <v>894.3</v>
          </cell>
          <cell r="O36">
            <v>966</v>
          </cell>
          <cell r="Q36">
            <v>1304.5999999999999</v>
          </cell>
          <cell r="S36">
            <v>1686.8</v>
          </cell>
          <cell r="U36">
            <v>-1125.5</v>
          </cell>
          <cell r="W36">
            <v>-667</v>
          </cell>
          <cell r="Y36">
            <v>-2376</v>
          </cell>
          <cell r="AA36">
            <v>-3132</v>
          </cell>
          <cell r="AC36">
            <v>197.4653900000003</v>
          </cell>
          <cell r="AE36">
            <v>4378.1012885744822</v>
          </cell>
          <cell r="AG36">
            <v>9022.7231816092572</v>
          </cell>
          <cell r="AI36">
            <v>13958.169049581269</v>
          </cell>
          <cell r="AK36">
            <v>19201.355823769609</v>
          </cell>
          <cell r="AO36" t="str">
            <v>mstag:retainedEarnings</v>
          </cell>
          <cell r="AP36">
            <v>6</v>
          </cell>
          <cell r="AQ36" t="str">
            <v>ISO4217:USD</v>
          </cell>
          <cell r="AR36" t="b">
            <v>0</v>
          </cell>
          <cell r="AS36" t="b">
            <v>0</v>
          </cell>
        </row>
        <row r="37">
          <cell r="B37" t="str">
            <v>AOCI</v>
          </cell>
          <cell r="C37">
            <v>89.390874642632141</v>
          </cell>
          <cell r="E37">
            <v>97.192612298299153</v>
          </cell>
          <cell r="G37">
            <v>127.50948296748555</v>
          </cell>
          <cell r="I37">
            <v>157.4</v>
          </cell>
          <cell r="K37">
            <v>295</v>
          </cell>
          <cell r="M37">
            <v>-4</v>
          </cell>
          <cell r="O37">
            <v>-14.8</v>
          </cell>
          <cell r="Q37">
            <v>62.6</v>
          </cell>
          <cell r="S37">
            <v>56.3</v>
          </cell>
          <cell r="U37">
            <v>67.2</v>
          </cell>
          <cell r="W37">
            <v>60.8</v>
          </cell>
          <cell r="Y37">
            <v>3</v>
          </cell>
          <cell r="AA37">
            <v>22</v>
          </cell>
          <cell r="AC37">
            <v>22</v>
          </cell>
          <cell r="AE37">
            <v>22</v>
          </cell>
          <cell r="AG37">
            <v>22</v>
          </cell>
          <cell r="AI37">
            <v>22</v>
          </cell>
          <cell r="AK37">
            <v>22</v>
          </cell>
          <cell r="AO37" t="str">
            <v>mstag:accumulatedOtherComprehensiveIncomeLossAndReserves</v>
          </cell>
          <cell r="AP37">
            <v>6</v>
          </cell>
          <cell r="AQ37" t="str">
            <v>ISO4217:USD</v>
          </cell>
          <cell r="AR37" t="b">
            <v>0</v>
          </cell>
          <cell r="AS37" t="b">
            <v>0</v>
          </cell>
        </row>
        <row r="38">
          <cell r="B38" t="str">
            <v>Total stockholders' equity</v>
          </cell>
          <cell r="C38">
            <v>1172.02</v>
          </cell>
          <cell r="E38">
            <v>1274.31</v>
          </cell>
          <cell r="G38">
            <v>1671.8</v>
          </cell>
          <cell r="I38">
            <v>2063.7000000000003</v>
          </cell>
          <cell r="K38">
            <v>2434.3000000000002</v>
          </cell>
          <cell r="M38">
            <v>2562.1999999999998</v>
          </cell>
          <cell r="O38">
            <v>3023.5</v>
          </cell>
          <cell r="Q38">
            <v>4314.5</v>
          </cell>
          <cell r="S38">
            <v>5217.2</v>
          </cell>
          <cell r="U38">
            <v>18286</v>
          </cell>
          <cell r="W38">
            <v>19389.099999999999</v>
          </cell>
          <cell r="Y38">
            <v>19705</v>
          </cell>
          <cell r="AA38">
            <v>20451</v>
          </cell>
          <cell r="AC38">
            <v>16954.0399325</v>
          </cell>
          <cell r="AE38">
            <v>18775.923404860063</v>
          </cell>
          <cell r="AG38">
            <v>20988.213143734196</v>
          </cell>
          <cell r="AI38">
            <v>23324.082282439951</v>
          </cell>
          <cell r="AK38">
            <v>26166.650165650477</v>
          </cell>
        </row>
        <row r="40">
          <cell r="B40" t="str">
            <v>Total Liabilities and Equity</v>
          </cell>
          <cell r="C40">
            <v>1765.5229999999999</v>
          </cell>
          <cell r="E40">
            <v>1994.1469999999999</v>
          </cell>
          <cell r="G40">
            <v>2432.8000000000002</v>
          </cell>
          <cell r="I40">
            <v>2765.6000000000004</v>
          </cell>
          <cell r="K40">
            <v>3110.2000000000003</v>
          </cell>
          <cell r="M40">
            <v>3672.2</v>
          </cell>
          <cell r="O40">
            <v>4077.6</v>
          </cell>
          <cell r="Q40">
            <v>5399.6</v>
          </cell>
          <cell r="S40">
            <v>6443.1</v>
          </cell>
          <cell r="U40">
            <v>24456.3</v>
          </cell>
          <cell r="W40">
            <v>26176.5</v>
          </cell>
          <cell r="Y40">
            <v>29221</v>
          </cell>
          <cell r="AA40">
            <v>29297</v>
          </cell>
          <cell r="AC40">
            <v>30498.7158475</v>
          </cell>
          <cell r="AE40">
            <v>32564.681254757554</v>
          </cell>
          <cell r="AG40">
            <v>35051.373707732208</v>
          </cell>
          <cell r="AI40">
            <v>36944.757075929156</v>
          </cell>
          <cell r="AK40">
            <v>40324.946898201015</v>
          </cell>
        </row>
        <row r="42">
          <cell r="C42">
            <v>-9.9999999997635314E-4</v>
          </cell>
          <cell r="E42">
            <v>5.000000000336513E-3</v>
          </cell>
          <cell r="G42">
            <v>0</v>
          </cell>
          <cell r="I42">
            <v>0</v>
          </cell>
          <cell r="K42">
            <v>0</v>
          </cell>
          <cell r="M42">
            <v>0</v>
          </cell>
          <cell r="O42">
            <v>0</v>
          </cell>
          <cell r="Q42">
            <v>0</v>
          </cell>
          <cell r="S42">
            <v>0</v>
          </cell>
          <cell r="U42">
            <v>0</v>
          </cell>
          <cell r="W42">
            <v>0</v>
          </cell>
          <cell r="Y42">
            <v>0</v>
          </cell>
          <cell r="AA42">
            <v>0</v>
          </cell>
          <cell r="AC42">
            <v>0</v>
          </cell>
          <cell r="AE42">
            <v>0</v>
          </cell>
          <cell r="AG42">
            <v>0</v>
          </cell>
          <cell r="AI42">
            <v>0</v>
          </cell>
          <cell r="AK42">
            <v>0</v>
          </cell>
        </row>
        <row r="43">
          <cell r="C43">
            <v>-4.9999999998817657E-4</v>
          </cell>
          <cell r="E43">
            <v>2.5000000001682565E-3</v>
          </cell>
          <cell r="G43">
            <v>0</v>
          </cell>
          <cell r="I43">
            <v>0</v>
          </cell>
          <cell r="K43">
            <v>0</v>
          </cell>
          <cell r="M43">
            <v>0</v>
          </cell>
          <cell r="O43">
            <v>0</v>
          </cell>
          <cell r="Q43">
            <v>0</v>
          </cell>
          <cell r="S43">
            <v>0</v>
          </cell>
          <cell r="U43">
            <v>0</v>
          </cell>
          <cell r="W43">
            <v>0</v>
          </cell>
          <cell r="Y43">
            <v>0</v>
          </cell>
          <cell r="AA43">
            <v>0</v>
          </cell>
          <cell r="AC43">
            <v>0</v>
          </cell>
          <cell r="AE43">
            <v>0</v>
          </cell>
          <cell r="AG43">
            <v>0</v>
          </cell>
          <cell r="AI43">
            <v>0</v>
          </cell>
          <cell r="AK43">
            <v>0</v>
          </cell>
        </row>
        <row r="44">
          <cell r="B44" t="str">
            <v>Common Stock and APIC</v>
          </cell>
          <cell r="U44">
            <v>15870.199999999999</v>
          </cell>
          <cell r="W44">
            <v>651</v>
          </cell>
          <cell r="Y44">
            <v>2082.7000000000007</v>
          </cell>
          <cell r="AA44">
            <v>1483</v>
          </cell>
          <cell r="AC44">
            <v>-6826.4254575000014</v>
          </cell>
          <cell r="AE44">
            <v>-2358.7524262144198</v>
          </cell>
          <cell r="AG44">
            <v>-2432.3321541606419</v>
          </cell>
          <cell r="AI44">
            <v>-2599.5767292662549</v>
          </cell>
        </row>
        <row r="45">
          <cell r="B45" t="str">
            <v>Retained Earnings</v>
          </cell>
          <cell r="U45">
            <v>-2812.3</v>
          </cell>
          <cell r="W45">
            <v>2461.5</v>
          </cell>
          <cell r="Y45">
            <v>-1709</v>
          </cell>
          <cell r="AA45">
            <v>-756</v>
          </cell>
          <cell r="AC45">
            <v>3329.4653900000003</v>
          </cell>
          <cell r="AE45">
            <v>4180.6358985744819</v>
          </cell>
          <cell r="AG45">
            <v>4644.621893034775</v>
          </cell>
          <cell r="AI45">
            <v>4935.4458679720119</v>
          </cell>
        </row>
        <row r="46">
          <cell r="B46" t="str">
            <v>AOCI</v>
          </cell>
          <cell r="U46">
            <v>10.900000000000006</v>
          </cell>
          <cell r="W46">
            <v>-6.4000000000000057</v>
          </cell>
          <cell r="Y46">
            <v>-57.8</v>
          </cell>
          <cell r="AA46">
            <v>19</v>
          </cell>
          <cell r="AC46">
            <v>0</v>
          </cell>
          <cell r="AE46">
            <v>0</v>
          </cell>
          <cell r="AG46">
            <v>0</v>
          </cell>
          <cell r="AI46">
            <v>0</v>
          </cell>
        </row>
        <row r="48">
          <cell r="B48" t="str">
            <v>CALCULATIONS</v>
          </cell>
        </row>
        <row r="49">
          <cell r="W49" t="str">
            <v>2003-FY</v>
          </cell>
          <cell r="Y49" t="str">
            <v>2004-FY</v>
          </cell>
          <cell r="AA49" t="str">
            <v>2005-FY</v>
          </cell>
          <cell r="AC49" t="str">
            <v>2006-FY</v>
          </cell>
          <cell r="AE49" t="str">
            <v>2007-FY</v>
          </cell>
          <cell r="AG49" t="str">
            <v>2008-FY</v>
          </cell>
          <cell r="AI49" t="str">
            <v>2009-FY</v>
          </cell>
          <cell r="AK49" t="str">
            <v>2010-FY</v>
          </cell>
        </row>
        <row r="50">
          <cell r="A50" t="str">
            <v>Revenues</v>
          </cell>
          <cell r="O50">
            <v>3340.1</v>
          </cell>
          <cell r="Q50">
            <v>3629.3999999999996</v>
          </cell>
          <cell r="S50">
            <v>4015.7</v>
          </cell>
          <cell r="U50">
            <v>5522.9999999999991</v>
          </cell>
          <cell r="W50">
            <v>8356</v>
          </cell>
          <cell r="Y50">
            <v>10549.9</v>
          </cell>
          <cell r="AA50">
            <v>12430</v>
          </cell>
          <cell r="AC50">
            <v>13779</v>
          </cell>
          <cell r="AE50">
            <v>15089.778225807069</v>
          </cell>
          <cell r="AG50">
            <v>16371.308428631663</v>
          </cell>
          <cell r="AI50">
            <v>17919.625529985176</v>
          </cell>
          <cell r="AK50">
            <v>19502.253061994084</v>
          </cell>
        </row>
        <row r="51">
          <cell r="A51" t="str">
            <v>Operating expenses</v>
          </cell>
          <cell r="O51">
            <v>1847</v>
          </cell>
          <cell r="Q51">
            <v>2085.4</v>
          </cell>
          <cell r="S51">
            <v>2484.5</v>
          </cell>
          <cell r="U51">
            <v>3160.5</v>
          </cell>
          <cell r="W51">
            <v>4929.0000000000009</v>
          </cell>
          <cell r="Y51">
            <v>6315</v>
          </cell>
          <cell r="AA51">
            <v>7129</v>
          </cell>
          <cell r="AC51">
            <v>8311.3654999999999</v>
          </cell>
          <cell r="AE51">
            <v>9065.5356974360293</v>
          </cell>
          <cell r="AG51">
            <v>9809.7503480268042</v>
          </cell>
          <cell r="AI51">
            <v>11075.243606667409</v>
          </cell>
          <cell r="AK51">
            <v>12298.471612324098</v>
          </cell>
        </row>
        <row r="52">
          <cell r="A52" t="str">
            <v>COGS</v>
          </cell>
          <cell r="O52">
            <v>402.1</v>
          </cell>
          <cell r="Q52">
            <v>408.4</v>
          </cell>
          <cell r="S52">
            <v>443</v>
          </cell>
          <cell r="U52">
            <v>735.7</v>
          </cell>
          <cell r="W52">
            <v>1340.7</v>
          </cell>
          <cell r="Y52">
            <v>1731</v>
          </cell>
          <cell r="AA52">
            <v>2035</v>
          </cell>
          <cell r="AC52">
            <v>2275.2525000000001</v>
          </cell>
          <cell r="AE52">
            <v>2471.3026127583394</v>
          </cell>
          <cell r="AG52">
            <v>2663.674218929084</v>
          </cell>
          <cell r="AI52">
            <v>2921.8139905241542</v>
          </cell>
          <cell r="AK52">
            <v>3229.9239384968482</v>
          </cell>
        </row>
        <row r="54">
          <cell r="B54" t="str">
            <v>Depreciation and Amortization from</v>
          </cell>
          <cell r="AL54">
            <v>7.5</v>
          </cell>
        </row>
        <row r="55">
          <cell r="A55" t="str">
            <v xml:space="preserve">Existing PP&amp;E </v>
          </cell>
          <cell r="O55">
            <v>176.8</v>
          </cell>
          <cell r="Q55">
            <v>211.8</v>
          </cell>
          <cell r="S55">
            <v>265.89999999999998</v>
          </cell>
          <cell r="U55">
            <v>204.3</v>
          </cell>
          <cell r="W55">
            <v>77.599999999999994</v>
          </cell>
          <cell r="Y55">
            <v>0</v>
          </cell>
          <cell r="AA55">
            <v>0</v>
          </cell>
          <cell r="AC55">
            <v>0</v>
          </cell>
          <cell r="AE55">
            <v>0</v>
          </cell>
          <cell r="AG55">
            <v>0</v>
          </cell>
          <cell r="AI55">
            <v>0</v>
          </cell>
          <cell r="AK55">
            <v>0</v>
          </cell>
        </row>
        <row r="56">
          <cell r="A56" t="str">
            <v>2002 capital expenditures</v>
          </cell>
          <cell r="U56">
            <v>87.8</v>
          </cell>
          <cell r="W56">
            <v>87.8</v>
          </cell>
          <cell r="Y56">
            <v>87.8</v>
          </cell>
          <cell r="AA56">
            <v>87.8</v>
          </cell>
          <cell r="AC56">
            <v>87.8</v>
          </cell>
          <cell r="AE56">
            <v>87.8</v>
          </cell>
          <cell r="AG56">
            <v>87.8</v>
          </cell>
          <cell r="AI56">
            <v>87.8</v>
          </cell>
          <cell r="AK56">
            <v>87.8</v>
          </cell>
        </row>
        <row r="57">
          <cell r="A57" t="str">
            <v>2003 capital expenditures</v>
          </cell>
          <cell r="W57">
            <v>180.93333333333334</v>
          </cell>
          <cell r="Y57">
            <v>180.93333333333334</v>
          </cell>
          <cell r="AA57">
            <v>180.93333333333334</v>
          </cell>
          <cell r="AC57">
            <v>180.93333333333334</v>
          </cell>
          <cell r="AE57">
            <v>180.93333333333334</v>
          </cell>
          <cell r="AG57">
            <v>180.93333333333334</v>
          </cell>
          <cell r="AI57">
            <v>180.93333333333334</v>
          </cell>
          <cell r="AK57">
            <v>180.93333333333334</v>
          </cell>
        </row>
        <row r="58">
          <cell r="A58" t="str">
            <v>2004 capital expenditures</v>
          </cell>
          <cell r="Y58">
            <v>106.13333333333333</v>
          </cell>
          <cell r="AA58">
            <v>106.13333333333333</v>
          </cell>
          <cell r="AC58">
            <v>106.13333333333333</v>
          </cell>
          <cell r="AE58">
            <v>106.13333333333333</v>
          </cell>
          <cell r="AG58">
            <v>106.13333333333333</v>
          </cell>
          <cell r="AI58">
            <v>106.13333333333333</v>
          </cell>
          <cell r="AK58">
            <v>106.13333333333333</v>
          </cell>
        </row>
        <row r="59">
          <cell r="A59" t="str">
            <v>2005 capital expenditures</v>
          </cell>
          <cell r="AA59">
            <v>115.6</v>
          </cell>
          <cell r="AC59">
            <v>115.6</v>
          </cell>
          <cell r="AE59">
            <v>115.6</v>
          </cell>
          <cell r="AG59">
            <v>115.6</v>
          </cell>
          <cell r="AI59">
            <v>115.6</v>
          </cell>
          <cell r="AK59">
            <v>115.6</v>
          </cell>
        </row>
        <row r="60">
          <cell r="A60" t="str">
            <v>2006 capital expenditures</v>
          </cell>
          <cell r="AC60">
            <v>220.464</v>
          </cell>
          <cell r="AE60">
            <v>220.464</v>
          </cell>
          <cell r="AG60">
            <v>220.464</v>
          </cell>
          <cell r="AI60">
            <v>220.464</v>
          </cell>
          <cell r="AK60">
            <v>220.464</v>
          </cell>
        </row>
        <row r="61">
          <cell r="A61" t="str">
            <v>2007 capital expenditures</v>
          </cell>
          <cell r="AE61">
            <v>201.19704301076092</v>
          </cell>
          <cell r="AG61">
            <v>201.19704301076092</v>
          </cell>
          <cell r="AI61">
            <v>201.19704301076092</v>
          </cell>
          <cell r="AK61">
            <v>201.19704301076092</v>
          </cell>
        </row>
        <row r="62">
          <cell r="A62" t="str">
            <v>2008 capital expenditures</v>
          </cell>
          <cell r="AG62">
            <v>218.28411238175553</v>
          </cell>
          <cell r="AI62">
            <v>218.28411238175553</v>
          </cell>
          <cell r="AK62">
            <v>218.28411238175553</v>
          </cell>
        </row>
        <row r="63">
          <cell r="A63" t="str">
            <v>2009 capital expenditures</v>
          </cell>
          <cell r="AI63">
            <v>215.03550635982211</v>
          </cell>
          <cell r="AK63">
            <v>215.03550635982211</v>
          </cell>
        </row>
        <row r="64">
          <cell r="A64" t="str">
            <v>2010 capital expenditures</v>
          </cell>
          <cell r="AK64">
            <v>260.03004082658782</v>
          </cell>
        </row>
        <row r="65">
          <cell r="A65" t="str">
            <v>Total depreciation</v>
          </cell>
          <cell r="U65">
            <v>292.10000000000002</v>
          </cell>
          <cell r="W65">
            <v>350.7</v>
          </cell>
          <cell r="Y65">
            <v>374.86666666666667</v>
          </cell>
          <cell r="AA65">
            <v>598</v>
          </cell>
          <cell r="AC65">
            <v>710.93066666666664</v>
          </cell>
          <cell r="AE65">
            <v>912.12770967742756</v>
          </cell>
          <cell r="AG65">
            <v>1130.4118220591831</v>
          </cell>
          <cell r="AI65">
            <v>1345.4473284190053</v>
          </cell>
          <cell r="AK65">
            <v>1605.4773692455931</v>
          </cell>
        </row>
        <row r="66">
          <cell r="A66" t="str">
            <v>Amortization of Existing Intangible Assets</v>
          </cell>
          <cell r="U66">
            <v>155.19999999999999</v>
          </cell>
          <cell r="W66">
            <v>335.8</v>
          </cell>
          <cell r="Y66">
            <v>744.2</v>
          </cell>
          <cell r="AA66">
            <v>243</v>
          </cell>
          <cell r="AC66">
            <v>61.11</v>
          </cell>
          <cell r="AE66">
            <v>218.61</v>
          </cell>
          <cell r="AG66">
            <v>218.61</v>
          </cell>
          <cell r="AI66">
            <v>218.61</v>
          </cell>
          <cell r="AK66">
            <v>218.61</v>
          </cell>
        </row>
        <row r="67">
          <cell r="A67" t="str">
            <v>Total depreciation and amortization</v>
          </cell>
          <cell r="O67" t="e">
            <v>#REF!</v>
          </cell>
          <cell r="Q67">
            <v>211.8</v>
          </cell>
          <cell r="S67">
            <v>265.89999999999998</v>
          </cell>
          <cell r="U67">
            <v>447.3</v>
          </cell>
          <cell r="W67">
            <v>686.5</v>
          </cell>
          <cell r="Y67">
            <v>1119.0666666666666</v>
          </cell>
          <cell r="AA67">
            <v>841</v>
          </cell>
          <cell r="AC67">
            <v>772.04066666666665</v>
          </cell>
          <cell r="AE67">
            <v>1130.7377096774276</v>
          </cell>
          <cell r="AG67">
            <v>1349.0218220591833</v>
          </cell>
          <cell r="AI67">
            <v>1564.0573284190054</v>
          </cell>
          <cell r="AK67">
            <v>1824.087369245593</v>
          </cell>
        </row>
        <row r="68">
          <cell r="A68" t="str">
            <v xml:space="preserve">     Depreciation as % operating expenses</v>
          </cell>
          <cell r="U68">
            <v>9.2422085113115018E-2</v>
          </cell>
          <cell r="W68">
            <v>7.1150334753499675E-2</v>
          </cell>
          <cell r="Y68">
            <v>5.9361309052520454E-2</v>
          </cell>
          <cell r="AA68">
            <v>8.3882732501052035E-2</v>
          </cell>
          <cell r="AC68">
            <v>8.5537167949919501E-2</v>
          </cell>
          <cell r="AE68">
            <v>0.10061487154425977</v>
          </cell>
          <cell r="AG68">
            <v>0.11523349544635061</v>
          </cell>
          <cell r="AI68">
            <v>0.12148241394970602</v>
          </cell>
          <cell r="AK68">
            <v>0.13054283652911558</v>
          </cell>
        </row>
        <row r="69">
          <cell r="A69" t="str">
            <v xml:space="preserve">    Amortization as % of operating expenses</v>
          </cell>
          <cell r="U69">
            <v>4.9106154089542789E-2</v>
          </cell>
          <cell r="W69">
            <v>6.8127409210793258E-2</v>
          </cell>
          <cell r="Y69">
            <v>0.11784639746634996</v>
          </cell>
          <cell r="AA69">
            <v>3.4086127086547902E-2</v>
          </cell>
          <cell r="AC69">
            <v>7.3525824366645889E-3</v>
          </cell>
          <cell r="AE69">
            <v>2.4114405071707857E-2</v>
          </cell>
          <cell r="AG69">
            <v>2.2284970793774853E-2</v>
          </cell>
          <cell r="AI69">
            <v>1.973861774637576E-2</v>
          </cell>
          <cell r="AK69">
            <v>1.7775379485442281E-2</v>
          </cell>
        </row>
        <row r="71">
          <cell r="A71" t="str">
            <v>Working Capital</v>
          </cell>
        </row>
        <row r="72">
          <cell r="A72" t="str">
            <v>Trade receivables</v>
          </cell>
          <cell r="O72">
            <v>412.2</v>
          </cell>
          <cell r="Q72">
            <v>389.2</v>
          </cell>
          <cell r="S72">
            <v>497.2</v>
          </cell>
          <cell r="U72">
            <v>752.4</v>
          </cell>
          <cell r="W72">
            <v>1007.9</v>
          </cell>
          <cell r="Y72">
            <v>1461</v>
          </cell>
          <cell r="AA72">
            <v>1769</v>
          </cell>
          <cell r="AC72">
            <v>1968.4285714285713</v>
          </cell>
          <cell r="AE72">
            <v>2155.6826036867242</v>
          </cell>
          <cell r="AG72">
            <v>2372.6533954538641</v>
          </cell>
          <cell r="AI72">
            <v>2597.047178258721</v>
          </cell>
          <cell r="AK72">
            <v>2826.4134872455193</v>
          </cell>
        </row>
        <row r="73">
          <cell r="A73" t="str">
            <v>% revenue</v>
          </cell>
          <cell r="O73">
            <v>0.12340947875812101</v>
          </cell>
          <cell r="Q73">
            <v>0.10723535570617734</v>
          </cell>
          <cell r="S73">
            <v>0.12381402993251488</v>
          </cell>
          <cell r="U73">
            <v>0.13623030961434004</v>
          </cell>
          <cell r="W73">
            <v>0.12061991383437051</v>
          </cell>
          <cell r="Y73">
            <v>0.13848472497369643</v>
          </cell>
          <cell r="AA73">
            <v>0.14231697506033789</v>
          </cell>
          <cell r="AC73">
            <v>0.14285714285714285</v>
          </cell>
          <cell r="AE73">
            <v>0.14285714285714285</v>
          </cell>
          <cell r="AG73">
            <v>0.14492753623188406</v>
          </cell>
          <cell r="AI73">
            <v>0.14492753623188404</v>
          </cell>
          <cell r="AK73">
            <v>0.14492753623188404</v>
          </cell>
        </row>
        <row r="74">
          <cell r="A74" t="str">
            <v>Days receivables outstanding (CHECK)</v>
          </cell>
          <cell r="O74">
            <v>45.044459746714175</v>
          </cell>
          <cell r="Q74">
            <v>39.140904832754728</v>
          </cell>
          <cell r="S74">
            <v>45.192120925367938</v>
          </cell>
          <cell r="U74">
            <v>49.724063009234122</v>
          </cell>
          <cell r="W74">
            <v>44.026268549545236</v>
          </cell>
          <cell r="Y74">
            <v>50.546924615399199</v>
          </cell>
          <cell r="AA74">
            <v>51.945695897023327</v>
          </cell>
          <cell r="AC74">
            <v>52.142857142857146</v>
          </cell>
          <cell r="AE74">
            <v>52.142857142857146</v>
          </cell>
          <cell r="AG74">
            <v>52.89855072463768</v>
          </cell>
          <cell r="AI74">
            <v>52.89855072463768</v>
          </cell>
          <cell r="AK74">
            <v>52.89855072463768</v>
          </cell>
        </row>
        <row r="75">
          <cell r="A75" t="str">
            <v>Accounts receivable turnover</v>
          </cell>
          <cell r="O75">
            <v>8.1031052886948078</v>
          </cell>
          <cell r="Q75">
            <v>9.3252826310380268</v>
          </cell>
          <cell r="S75">
            <v>8.0766291230892993</v>
          </cell>
          <cell r="U75">
            <v>7.3405103668261553</v>
          </cell>
          <cell r="W75">
            <v>8.2905050104177</v>
          </cell>
          <cell r="Y75">
            <v>7.2210130047912386</v>
          </cell>
          <cell r="AA75">
            <v>7.0265686828716793</v>
          </cell>
          <cell r="AC75">
            <v>7</v>
          </cell>
          <cell r="AE75">
            <v>7</v>
          </cell>
          <cell r="AG75">
            <v>6.9</v>
          </cell>
          <cell r="AI75">
            <v>6.9</v>
          </cell>
          <cell r="AK75">
            <v>6.9</v>
          </cell>
        </row>
        <row r="76">
          <cell r="A76" t="str">
            <v>Inventories</v>
          </cell>
          <cell r="O76">
            <v>184.3</v>
          </cell>
          <cell r="Q76">
            <v>305.2</v>
          </cell>
          <cell r="S76">
            <v>355.6</v>
          </cell>
          <cell r="U76">
            <v>544.9</v>
          </cell>
          <cell r="W76">
            <v>712.6</v>
          </cell>
          <cell r="Y76">
            <v>888</v>
          </cell>
          <cell r="AA76">
            <v>1258</v>
          </cell>
          <cell r="AC76">
            <v>1422.0328124999999</v>
          </cell>
          <cell r="AE76">
            <v>1544.5641329739619</v>
          </cell>
          <cell r="AG76">
            <v>1664.7963868306774</v>
          </cell>
          <cell r="AI76">
            <v>1826.1337440775962</v>
          </cell>
          <cell r="AK76">
            <v>2018.7024615605301</v>
          </cell>
        </row>
        <row r="77">
          <cell r="A77" t="str">
            <v>% revenue</v>
          </cell>
          <cell r="O77">
            <v>5.5177988682973571E-2</v>
          </cell>
          <cell r="Q77">
            <v>8.4091034330743372E-2</v>
          </cell>
          <cell r="S77">
            <v>8.8552431705555698E-2</v>
          </cell>
          <cell r="U77">
            <v>9.8660148470034417E-2</v>
          </cell>
          <cell r="W77">
            <v>8.5280038295835331E-2</v>
          </cell>
          <cell r="Y77">
            <v>8.4171413947051632E-2</v>
          </cell>
          <cell r="AA77">
            <v>0.10120675784392598</v>
          </cell>
          <cell r="AC77">
            <v>0.10320290387546265</v>
          </cell>
          <cell r="AE77">
            <v>0.10235830572595123</v>
          </cell>
          <cell r="AG77">
            <v>0.10168987983386392</v>
          </cell>
          <cell r="AI77">
            <v>0.10190691435052029</v>
          </cell>
          <cell r="AK77">
            <v>0.10351124329806639</v>
          </cell>
        </row>
        <row r="78">
          <cell r="A78" t="str">
            <v>Days inventory outstanding (CHECK)</v>
          </cell>
          <cell r="O78">
            <v>167.29544889331012</v>
          </cell>
          <cell r="Q78">
            <v>272.76689520078355</v>
          </cell>
          <cell r="S78">
            <v>292.98871331828445</v>
          </cell>
          <cell r="U78">
            <v>270.33913279869506</v>
          </cell>
          <cell r="W78">
            <v>194.00238681285896</v>
          </cell>
          <cell r="Y78">
            <v>187.24436741767764</v>
          </cell>
          <cell r="AA78">
            <v>225.63636363636363</v>
          </cell>
          <cell r="AC78">
            <v>228.125</v>
          </cell>
          <cell r="AE78">
            <v>228.125</v>
          </cell>
          <cell r="AG78">
            <v>228.125</v>
          </cell>
          <cell r="AI78">
            <v>228.125</v>
          </cell>
          <cell r="AK78">
            <v>228.125</v>
          </cell>
        </row>
        <row r="79">
          <cell r="A79" t="str">
            <v>Inventory Turnover</v>
          </cell>
          <cell r="O79">
            <v>2.1817688551275096</v>
          </cell>
          <cell r="Q79">
            <v>1.3381389252948885</v>
          </cell>
          <cell r="S79">
            <v>1.2457817772778401</v>
          </cell>
          <cell r="U79">
            <v>1.350155991925124</v>
          </cell>
          <cell r="W79">
            <v>1.8814201515576761</v>
          </cell>
          <cell r="Y79">
            <v>1.9493243243243243</v>
          </cell>
          <cell r="AA79">
            <v>1.6176470588235294</v>
          </cell>
          <cell r="AC79">
            <v>1.6</v>
          </cell>
          <cell r="AE79">
            <v>1.6</v>
          </cell>
          <cell r="AG79">
            <v>1.6</v>
          </cell>
          <cell r="AI79">
            <v>1.6</v>
          </cell>
          <cell r="AK79">
            <v>1.6</v>
          </cell>
        </row>
        <row r="80">
          <cell r="A80" t="str">
            <v>Other current assets</v>
          </cell>
          <cell r="O80">
            <v>135.80000000000001</v>
          </cell>
          <cell r="Q80">
            <v>214.6</v>
          </cell>
          <cell r="S80">
            <v>343.6</v>
          </cell>
          <cell r="U80">
            <v>442.3</v>
          </cell>
          <cell r="W80">
            <v>558.79999999999995</v>
          </cell>
          <cell r="Y80">
            <v>1013</v>
          </cell>
          <cell r="AA80">
            <v>953</v>
          </cell>
          <cell r="AC80">
            <v>964.53000000000009</v>
          </cell>
          <cell r="AE80">
            <v>1207.1822580645655</v>
          </cell>
          <cell r="AG80">
            <v>1473.4177585768496</v>
          </cell>
          <cell r="AI80">
            <v>1612.7662976986658</v>
          </cell>
          <cell r="AK80">
            <v>1755.2027755794675</v>
          </cell>
        </row>
        <row r="81">
          <cell r="A81" t="str">
            <v>% revenue</v>
          </cell>
          <cell r="O81">
            <v>4.0657465345348948E-2</v>
          </cell>
          <cell r="Q81">
            <v>5.9128230561525323E-2</v>
          </cell>
          <cell r="S81">
            <v>8.5564160669372724E-2</v>
          </cell>
          <cell r="U81">
            <v>8.0083288068078962E-2</v>
          </cell>
          <cell r="W81">
            <v>6.6874102441359495E-2</v>
          </cell>
          <cell r="Y81">
            <v>9.6019867486895616E-2</v>
          </cell>
          <cell r="AA81">
            <v>7.6669348350764277E-2</v>
          </cell>
          <cell r="AC81">
            <v>7.0000000000000007E-2</v>
          </cell>
          <cell r="AE81">
            <v>0.08</v>
          </cell>
          <cell r="AG81">
            <v>0.09</v>
          </cell>
          <cell r="AI81">
            <v>0.09</v>
          </cell>
          <cell r="AK81">
            <v>0.09</v>
          </cell>
        </row>
        <row r="82">
          <cell r="A82" t="str">
            <v>% total current assets</v>
          </cell>
          <cell r="O82">
            <v>6.5753159347310311E-2</v>
          </cell>
          <cell r="Q82">
            <v>7.3065268462088467E-2</v>
          </cell>
          <cell r="S82">
            <v>8.9047841185922377E-2</v>
          </cell>
          <cell r="U82">
            <v>6.9071601467947233E-2</v>
          </cell>
          <cell r="W82">
            <v>7.5491070222366313E-2</v>
          </cell>
          <cell r="Y82">
            <v>0.11046892039258452</v>
          </cell>
          <cell r="AA82">
            <v>0.10319436924742827</v>
          </cell>
          <cell r="AC82">
            <v>0.10651579755637791</v>
          </cell>
          <cell r="AE82">
            <v>0.11236917572768854</v>
          </cell>
          <cell r="AG82">
            <v>0.11385141241770379</v>
          </cell>
          <cell r="AI82">
            <v>0.10907195849438796</v>
          </cell>
          <cell r="AK82">
            <v>9.7293373961654786E-2</v>
          </cell>
        </row>
        <row r="83">
          <cell r="A83" t="str">
            <v xml:space="preserve">Accounts payable </v>
          </cell>
          <cell r="O83">
            <v>83.4</v>
          </cell>
          <cell r="Q83">
            <v>143.19999999999999</v>
          </cell>
          <cell r="S83">
            <v>136.69999999999999</v>
          </cell>
          <cell r="U83">
            <v>254.6</v>
          </cell>
          <cell r="W83">
            <v>327.2</v>
          </cell>
          <cell r="Y83">
            <v>507</v>
          </cell>
          <cell r="AA83">
            <v>596</v>
          </cell>
          <cell r="AC83">
            <v>664.90923999999995</v>
          </cell>
          <cell r="AE83">
            <v>725.2428557948823</v>
          </cell>
          <cell r="AG83">
            <v>817.47919566890039</v>
          </cell>
          <cell r="AI83">
            <v>922.93696722228412</v>
          </cell>
          <cell r="AK83">
            <v>1024.8726343603414</v>
          </cell>
        </row>
        <row r="84">
          <cell r="A84" t="str">
            <v>% operating expenses</v>
          </cell>
          <cell r="O84">
            <v>4.5154304277206285E-2</v>
          </cell>
          <cell r="Q84">
            <v>6.86678814615901E-2</v>
          </cell>
          <cell r="S84">
            <v>5.5021131012276105E-2</v>
          </cell>
          <cell r="U84">
            <v>8.0556873912355637E-2</v>
          </cell>
          <cell r="W84">
            <v>6.6382633394197588E-2</v>
          </cell>
          <cell r="Y84">
            <v>8.0285035629453688E-2</v>
          </cell>
          <cell r="AA84">
            <v>8.3602188245195677E-2</v>
          </cell>
          <cell r="AC84">
            <v>0.08</v>
          </cell>
          <cell r="AE84">
            <v>0.08</v>
          </cell>
          <cell r="AG84">
            <v>8.3333333333333343E-2</v>
          </cell>
          <cell r="AI84">
            <v>8.3333333333333343E-2</v>
          </cell>
          <cell r="AK84">
            <v>8.3333333333333329E-2</v>
          </cell>
        </row>
        <row r="85">
          <cell r="A85" t="str">
            <v>Days payable outstanding (CHECK)</v>
          </cell>
          <cell r="O85">
            <v>75.705048495399154</v>
          </cell>
          <cell r="Q85">
            <v>127.98237022526935</v>
          </cell>
          <cell r="S85">
            <v>20.082712819480779</v>
          </cell>
          <cell r="U85">
            <v>29.403258978009809</v>
          </cell>
          <cell r="W85">
            <v>24.229661188882123</v>
          </cell>
          <cell r="Y85">
            <v>29.304038004750595</v>
          </cell>
          <cell r="AA85">
            <v>30.514798709496421</v>
          </cell>
          <cell r="AC85">
            <v>29.2</v>
          </cell>
          <cell r="AE85">
            <v>29.2</v>
          </cell>
          <cell r="AG85">
            <v>30.416666666666668</v>
          </cell>
          <cell r="AI85">
            <v>30.416666666666668</v>
          </cell>
          <cell r="AK85">
            <v>30.416666666666668</v>
          </cell>
        </row>
        <row r="86">
          <cell r="A86" t="str">
            <v>Accounts payable turnover</v>
          </cell>
          <cell r="O86">
            <v>5.3114027134456823</v>
          </cell>
          <cell r="Q86">
            <v>3.1910645136603657</v>
          </cell>
          <cell r="S86">
            <v>18.17483540599854</v>
          </cell>
          <cell r="U86">
            <v>12.413589945011783</v>
          </cell>
          <cell r="W86">
            <v>15.064180929095357</v>
          </cell>
          <cell r="Y86">
            <v>12.455621301775148</v>
          </cell>
          <cell r="AA86">
            <v>11.961409395973154</v>
          </cell>
          <cell r="AC86">
            <v>12.5</v>
          </cell>
          <cell r="AE86">
            <v>12.5</v>
          </cell>
          <cell r="AG86">
            <v>12</v>
          </cell>
          <cell r="AI86">
            <v>12</v>
          </cell>
          <cell r="AK86">
            <v>12</v>
          </cell>
        </row>
        <row r="87">
          <cell r="A87" t="str">
            <v>Accrued liabilities</v>
          </cell>
          <cell r="O87">
            <v>648.20000000000005</v>
          </cell>
          <cell r="Q87">
            <v>619.20000000000005</v>
          </cell>
          <cell r="S87">
            <v>766.3</v>
          </cell>
          <cell r="U87">
            <v>1151.7</v>
          </cell>
          <cell r="W87">
            <v>1919.1</v>
          </cell>
          <cell r="Y87">
            <v>2477</v>
          </cell>
          <cell r="AA87">
            <v>2999</v>
          </cell>
          <cell r="AC87">
            <v>2908.9779249999997</v>
          </cell>
          <cell r="AE87">
            <v>3172.9374941026099</v>
          </cell>
          <cell r="AG87">
            <v>3335.3151183291138</v>
          </cell>
          <cell r="AI87">
            <v>3765.5828262669193</v>
          </cell>
          <cell r="AK87">
            <v>4181.4803481901936</v>
          </cell>
        </row>
        <row r="88">
          <cell r="A88" t="str">
            <v>% operating expenses</v>
          </cell>
          <cell r="O88">
            <v>0.35094748240389823</v>
          </cell>
          <cell r="Q88">
            <v>0.29692145391771363</v>
          </cell>
          <cell r="S88">
            <v>0.30843228013684842</v>
          </cell>
          <cell r="U88">
            <v>0.36440436639772189</v>
          </cell>
          <cell r="W88">
            <v>0.38934875228241012</v>
          </cell>
          <cell r="Y88">
            <v>0.39224069675376089</v>
          </cell>
          <cell r="AA88">
            <v>0.42067611165661384</v>
          </cell>
          <cell r="AC88">
            <v>0.35</v>
          </cell>
          <cell r="AE88">
            <v>0.35</v>
          </cell>
          <cell r="AG88">
            <v>0.34</v>
          </cell>
          <cell r="AI88">
            <v>0.34</v>
          </cell>
          <cell r="AK88">
            <v>0.34</v>
          </cell>
        </row>
        <row r="89">
          <cell r="A89" t="str">
            <v>% total current liabilities</v>
          </cell>
          <cell r="O89">
            <v>0.7799302129707617</v>
          </cell>
          <cell r="Q89">
            <v>0.71824614313884705</v>
          </cell>
          <cell r="S89">
            <v>0.76408415594775148</v>
          </cell>
          <cell r="U89">
            <v>0.75313889615485219</v>
          </cell>
          <cell r="W89">
            <v>0.85433824511418788</v>
          </cell>
          <cell r="Y89">
            <v>0.59586240076978592</v>
          </cell>
          <cell r="AA89">
            <v>0.83421418636995825</v>
          </cell>
          <cell r="AC89">
            <v>0.81395348837209303</v>
          </cell>
          <cell r="AE89">
            <v>0.81395348837209303</v>
          </cell>
          <cell r="AG89">
            <v>0.80314960629921262</v>
          </cell>
          <cell r="AI89">
            <v>0.80314960629921262</v>
          </cell>
          <cell r="AK89">
            <v>0.80314960629921262</v>
          </cell>
        </row>
        <row r="91">
          <cell r="A91" t="str">
            <v>Property and Equipment, Net</v>
          </cell>
        </row>
        <row r="92">
          <cell r="A92" t="str">
            <v>Beginning balance</v>
          </cell>
          <cell r="O92">
            <v>1450.2</v>
          </cell>
          <cell r="Q92">
            <v>1553.6</v>
          </cell>
          <cell r="S92">
            <v>1781.5</v>
          </cell>
          <cell r="U92">
            <v>1946.1</v>
          </cell>
          <cell r="W92">
            <v>2813.5</v>
          </cell>
          <cell r="Y92">
            <v>3799.4</v>
          </cell>
          <cell r="AA92">
            <v>4712</v>
          </cell>
          <cell r="AC92">
            <v>5038</v>
          </cell>
          <cell r="AE92">
            <v>5980.5493333333325</v>
          </cell>
          <cell r="AG92">
            <v>6577.3994462366118</v>
          </cell>
          <cell r="AI92">
            <v>7084.1184670405946</v>
          </cell>
          <cell r="AK92">
            <v>7351.437436320256</v>
          </cell>
        </row>
        <row r="93">
          <cell r="A93" t="str">
            <v>Capital expenditures</v>
          </cell>
          <cell r="O93">
            <v>304.2</v>
          </cell>
          <cell r="Q93">
            <v>437.7</v>
          </cell>
          <cell r="S93">
            <v>441.8</v>
          </cell>
          <cell r="U93">
            <v>658.5</v>
          </cell>
          <cell r="W93">
            <v>1357</v>
          </cell>
          <cell r="Y93">
            <v>1336</v>
          </cell>
          <cell r="AA93">
            <v>867</v>
          </cell>
          <cell r="AC93">
            <v>1653.48</v>
          </cell>
          <cell r="AE93">
            <v>1508.977822580707</v>
          </cell>
          <cell r="AG93">
            <v>1637.1308428631664</v>
          </cell>
          <cell r="AI93">
            <v>1612.7662976986658</v>
          </cell>
          <cell r="AK93">
            <v>1950.2253061994086</v>
          </cell>
        </row>
        <row r="94">
          <cell r="A94" t="str">
            <v>% revenue</v>
          </cell>
          <cell r="O94">
            <v>9.1075117511451753E-2</v>
          </cell>
          <cell r="Q94">
            <v>0.12059844602413623</v>
          </cell>
          <cell r="S94">
            <v>0.11001817864880345</v>
          </cell>
          <cell r="U94">
            <v>0.11922868006518199</v>
          </cell>
          <cell r="W94">
            <v>0.16239827668741025</v>
          </cell>
          <cell r="Y94">
            <v>0.12663627143385245</v>
          </cell>
          <cell r="AA94">
            <v>6.9750603378921958E-2</v>
          </cell>
          <cell r="AC94">
            <v>0.12</v>
          </cell>
          <cell r="AE94">
            <v>0.1</v>
          </cell>
          <cell r="AG94">
            <v>0.1</v>
          </cell>
          <cell r="AI94">
            <v>0.09</v>
          </cell>
          <cell r="AK94">
            <v>0.1</v>
          </cell>
        </row>
        <row r="95">
          <cell r="A95" t="str">
            <v>Depreciation</v>
          </cell>
          <cell r="O95">
            <v>-176.8</v>
          </cell>
          <cell r="Q95">
            <v>-211.8</v>
          </cell>
          <cell r="S95">
            <v>-265.89999999999998</v>
          </cell>
          <cell r="U95">
            <v>-447.3</v>
          </cell>
          <cell r="W95">
            <v>-350.7</v>
          </cell>
          <cell r="Y95">
            <v>-374.86666666666667</v>
          </cell>
          <cell r="AA95">
            <v>-598</v>
          </cell>
          <cell r="AC95">
            <v>-710.93066666666664</v>
          </cell>
          <cell r="AE95">
            <v>-912.12770967742756</v>
          </cell>
          <cell r="AG95">
            <v>-1130.4118220591831</v>
          </cell>
          <cell r="AI95">
            <v>-1345.4473284190053</v>
          </cell>
          <cell r="AK95">
            <v>-1605.4773692455931</v>
          </cell>
        </row>
        <row r="96">
          <cell r="A96" t="str">
            <v>Ending balance</v>
          </cell>
          <cell r="O96">
            <v>1577.6000000000001</v>
          </cell>
          <cell r="Q96">
            <v>1779.5</v>
          </cell>
          <cell r="S96">
            <v>1946.1</v>
          </cell>
          <cell r="U96">
            <v>2813.5</v>
          </cell>
          <cell r="W96">
            <v>3799.4</v>
          </cell>
          <cell r="Y96">
            <v>4712</v>
          </cell>
          <cell r="AA96">
            <v>5038</v>
          </cell>
          <cell r="AC96">
            <v>5980.5493333333325</v>
          </cell>
          <cell r="AE96">
            <v>6577.3994462366118</v>
          </cell>
          <cell r="AG96">
            <v>7084.1184670405946</v>
          </cell>
          <cell r="AI96">
            <v>7351.437436320256</v>
          </cell>
          <cell r="AK96">
            <v>7696.185373274071</v>
          </cell>
        </row>
        <row r="97">
          <cell r="A97" t="str">
            <v>Fixed Asset Turnover (CHECK)</v>
          </cell>
          <cell r="Q97">
            <v>2.1764864621750473</v>
          </cell>
          <cell r="S97">
            <v>2.154576671316665</v>
          </cell>
          <cell r="U97">
            <v>2.3207832590974027</v>
          </cell>
          <cell r="W97">
            <v>2.5271817205764493</v>
          </cell>
          <cell r="Y97">
            <v>2.4790046290856966</v>
          </cell>
          <cell r="AA97">
            <v>2.5497435897435898</v>
          </cell>
          <cell r="AC97">
            <v>2.501055190326325</v>
          </cell>
          <cell r="AE97">
            <v>2.4032234070513274</v>
          </cell>
          <cell r="AG97">
            <v>2.3967041631180521</v>
          </cell>
          <cell r="AI97">
            <v>2.4827066792506649</v>
          </cell>
          <cell r="AK97">
            <v>2.6528489470157131</v>
          </cell>
        </row>
        <row r="99">
          <cell r="A99" t="str">
            <v>Employee Stock Option Analysis</v>
          </cell>
          <cell r="AC99">
            <v>1</v>
          </cell>
          <cell r="AE99">
            <v>2</v>
          </cell>
          <cell r="AG99">
            <v>3</v>
          </cell>
          <cell r="AI99">
            <v>4</v>
          </cell>
          <cell r="AK99">
            <v>5</v>
          </cell>
        </row>
        <row r="100">
          <cell r="O100">
            <v>1999</v>
          </cell>
          <cell r="Q100">
            <v>2000</v>
          </cell>
          <cell r="S100" t="str">
            <v>2001</v>
          </cell>
          <cell r="U100" t="str">
            <v>2002</v>
          </cell>
          <cell r="W100" t="str">
            <v>2003</v>
          </cell>
          <cell r="Y100" t="str">
            <v>2004</v>
          </cell>
          <cell r="AA100" t="str">
            <v>2005</v>
          </cell>
          <cell r="AC100" t="str">
            <v>2006E</v>
          </cell>
          <cell r="AE100" t="str">
            <v>2007E</v>
          </cell>
          <cell r="AG100" t="str">
            <v>2008E</v>
          </cell>
          <cell r="AI100" t="str">
            <v>2009E</v>
          </cell>
          <cell r="AK100" t="str">
            <v>2010E</v>
          </cell>
        </row>
        <row r="101">
          <cell r="A101" t="str">
            <v xml:space="preserve">Stock Price (average) </v>
          </cell>
          <cell r="S101">
            <v>62.31</v>
          </cell>
          <cell r="U101">
            <v>49.42</v>
          </cell>
          <cell r="W101">
            <v>61.4</v>
          </cell>
          <cell r="Y101">
            <v>63</v>
          </cell>
          <cell r="AA101">
            <v>70</v>
          </cell>
          <cell r="AC101">
            <v>75.775000000000006</v>
          </cell>
          <cell r="AE101">
            <v>82.026437500000014</v>
          </cell>
          <cell r="AG101">
            <v>88.793618593750011</v>
          </cell>
          <cell r="AI101">
            <v>96.11909212773439</v>
          </cell>
          <cell r="AK101">
            <v>104.04891722827247</v>
          </cell>
          <cell r="AM101">
            <v>8.2500000000000004E-2</v>
          </cell>
          <cell r="AN101" t="str">
            <v>Cost of Equity</v>
          </cell>
        </row>
        <row r="102">
          <cell r="A102" t="str">
            <v>Option Balance (Beginning Year)</v>
          </cell>
          <cell r="Q102">
            <v>115.8</v>
          </cell>
          <cell r="S102">
            <v>98.7</v>
          </cell>
          <cell r="U102">
            <v>94.399999999999991</v>
          </cell>
          <cell r="W102">
            <v>102.99999999999999</v>
          </cell>
          <cell r="Y102">
            <v>95</v>
          </cell>
          <cell r="AA102">
            <v>89</v>
          </cell>
          <cell r="AC102">
            <v>68</v>
          </cell>
          <cell r="AE102">
            <v>66.98</v>
          </cell>
          <cell r="AG102">
            <v>62.626300000000001</v>
          </cell>
          <cell r="AI102">
            <v>56.989932999999994</v>
          </cell>
          <cell r="AK102">
            <v>50.151141039999999</v>
          </cell>
          <cell r="AL102">
            <v>44.133004115199995</v>
          </cell>
        </row>
        <row r="103">
          <cell r="A103" t="str">
            <v xml:space="preserve"> Average Options In-the-Money</v>
          </cell>
          <cell r="S103">
            <v>53.4</v>
          </cell>
          <cell r="U103">
            <v>62.4</v>
          </cell>
          <cell r="W103">
            <v>53.4</v>
          </cell>
          <cell r="Y103">
            <v>47</v>
          </cell>
          <cell r="AA103">
            <v>34</v>
          </cell>
          <cell r="AC103">
            <v>30.370500000000003</v>
          </cell>
          <cell r="AE103">
            <v>29.161417500000002</v>
          </cell>
          <cell r="AG103">
            <v>26.913652424999999</v>
          </cell>
          <cell r="AI103">
            <v>21.428214808</v>
          </cell>
          <cell r="AK103">
            <v>18.85682903104</v>
          </cell>
          <cell r="AM103">
            <v>58</v>
          </cell>
          <cell r="AN103" t="str">
            <v>Target Price</v>
          </cell>
        </row>
        <row r="104">
          <cell r="A104" t="str">
            <v xml:space="preserve">   % Exercisable</v>
          </cell>
          <cell r="S104">
            <v>0.55308130502330399</v>
          </cell>
          <cell r="U104">
            <v>0.63221884498480252</v>
          </cell>
          <cell r="W104">
            <v>0.53939393939393943</v>
          </cell>
          <cell r="Y104">
            <v>0.51086956521739135</v>
          </cell>
          <cell r="AA104">
            <v>0.43312101910828027</v>
          </cell>
          <cell r="AC104">
            <v>0.45</v>
          </cell>
          <cell r="AE104">
            <v>0.45</v>
          </cell>
          <cell r="AG104">
            <v>0.45</v>
          </cell>
          <cell r="AI104">
            <v>0.4</v>
          </cell>
          <cell r="AK104">
            <v>0.4</v>
          </cell>
        </row>
        <row r="105">
          <cell r="A105" t="str">
            <v>Weighted Average Exercise Price of exercisable</v>
          </cell>
          <cell r="S105">
            <v>20.81</v>
          </cell>
          <cell r="U105">
            <v>27.03</v>
          </cell>
          <cell r="W105">
            <v>34.28</v>
          </cell>
          <cell r="Y105">
            <v>34.28</v>
          </cell>
          <cell r="AA105">
            <v>51.77</v>
          </cell>
          <cell r="AC105">
            <v>47</v>
          </cell>
          <cell r="AE105">
            <v>51</v>
          </cell>
          <cell r="AG105">
            <v>55</v>
          </cell>
          <cell r="AI105">
            <v>63</v>
          </cell>
          <cell r="AK105">
            <v>68</v>
          </cell>
        </row>
        <row r="106">
          <cell r="A106" t="str">
            <v>Options Cancelled</v>
          </cell>
          <cell r="S106">
            <v>2.2999999999999998</v>
          </cell>
          <cell r="U106">
            <v>4.9000000000000004</v>
          </cell>
          <cell r="W106">
            <v>3.8</v>
          </cell>
          <cell r="Y106">
            <v>6</v>
          </cell>
          <cell r="AA106">
            <v>6</v>
          </cell>
          <cell r="AC106">
            <v>4.42</v>
          </cell>
          <cell r="AE106">
            <v>4.3537000000000008</v>
          </cell>
          <cell r="AG106">
            <v>3.7575780000000001</v>
          </cell>
          <cell r="AI106">
            <v>3.4193959799999996</v>
          </cell>
          <cell r="AK106">
            <v>3.0090684623999997</v>
          </cell>
        </row>
        <row r="107">
          <cell r="A107" t="str">
            <v xml:space="preserve">   % Cancelled </v>
          </cell>
          <cell r="S107">
            <v>2.3302938196555215E-2</v>
          </cell>
          <cell r="U107">
            <v>5.1906779661016957E-2</v>
          </cell>
          <cell r="W107">
            <v>3.6893203883495151E-2</v>
          </cell>
          <cell r="Y107">
            <v>6.3157894736842107E-2</v>
          </cell>
          <cell r="AA107">
            <v>6.741573033707865E-2</v>
          </cell>
          <cell r="AC107">
            <v>6.5000000000000002E-2</v>
          </cell>
          <cell r="AE107">
            <v>6.5000000000000002E-2</v>
          </cell>
          <cell r="AG107">
            <v>0.06</v>
          </cell>
          <cell r="AI107">
            <v>0.06</v>
          </cell>
          <cell r="AK107">
            <v>0.06</v>
          </cell>
        </row>
        <row r="108">
          <cell r="A108" t="str">
            <v>Options Exercised</v>
          </cell>
          <cell r="Q108">
            <v>28.2</v>
          </cell>
          <cell r="S108">
            <v>20.6</v>
          </cell>
          <cell r="U108">
            <v>26.2</v>
          </cell>
          <cell r="W108">
            <v>23</v>
          </cell>
          <cell r="Y108">
            <v>20</v>
          </cell>
          <cell r="AA108">
            <v>25</v>
          </cell>
          <cell r="AC108">
            <v>10.199999999999999</v>
          </cell>
          <cell r="AE108">
            <v>13.396000000000001</v>
          </cell>
          <cell r="AG108">
            <v>15.656575</v>
          </cell>
          <cell r="AI108">
            <v>15.957181239999999</v>
          </cell>
          <cell r="AK108">
            <v>14.042319491200001</v>
          </cell>
        </row>
        <row r="109">
          <cell r="A109" t="str">
            <v xml:space="preserve">   % Exercised</v>
          </cell>
          <cell r="Q109">
            <v>0.24352331606217617</v>
          </cell>
          <cell r="S109">
            <v>0.2087132725430598</v>
          </cell>
          <cell r="U109">
            <v>0.27754237288135597</v>
          </cell>
          <cell r="W109">
            <v>0.22330097087378645</v>
          </cell>
          <cell r="Y109">
            <v>0.21052631578947367</v>
          </cell>
          <cell r="AA109">
            <v>0.2808988764044944</v>
          </cell>
          <cell r="AC109">
            <v>0.15</v>
          </cell>
          <cell r="AE109">
            <v>0.2</v>
          </cell>
          <cell r="AG109">
            <v>0.25</v>
          </cell>
          <cell r="AI109">
            <v>0.28000000000000003</v>
          </cell>
          <cell r="AK109">
            <v>0.28000000000000003</v>
          </cell>
        </row>
        <row r="110">
          <cell r="A110" t="str">
            <v>Weighted Average Exercise Price</v>
          </cell>
          <cell r="S110">
            <v>13.12</v>
          </cell>
          <cell r="U110">
            <v>15.9</v>
          </cell>
          <cell r="W110">
            <v>20.98</v>
          </cell>
          <cell r="Y110">
            <v>20.420000000000002</v>
          </cell>
          <cell r="AA110">
            <v>39.729999999999997</v>
          </cell>
          <cell r="AC110">
            <v>28</v>
          </cell>
          <cell r="AE110">
            <v>30.520000000000003</v>
          </cell>
          <cell r="AG110">
            <v>33.266800000000003</v>
          </cell>
          <cell r="AI110">
            <v>36.260812000000008</v>
          </cell>
          <cell r="AK110">
            <v>39.524285080000013</v>
          </cell>
          <cell r="AM110">
            <v>0.09</v>
          </cell>
        </row>
        <row r="111">
          <cell r="A111" t="str">
            <v xml:space="preserve">   Statuatory  Tax rate</v>
          </cell>
          <cell r="S111">
            <v>0.35</v>
          </cell>
          <cell r="U111">
            <v>0.35</v>
          </cell>
          <cell r="W111">
            <v>0.35</v>
          </cell>
          <cell r="Y111">
            <v>0.35</v>
          </cell>
          <cell r="AA111">
            <v>0.35</v>
          </cell>
          <cell r="AC111">
            <v>0.35</v>
          </cell>
          <cell r="AE111">
            <v>0.35</v>
          </cell>
          <cell r="AG111">
            <v>0.35</v>
          </cell>
          <cell r="AI111">
            <v>0.35</v>
          </cell>
          <cell r="AK111">
            <v>0.35</v>
          </cell>
        </row>
        <row r="112">
          <cell r="A112" t="str">
            <v>Proceeds from option</v>
          </cell>
          <cell r="Q112">
            <v>333.7</v>
          </cell>
          <cell r="S112">
            <v>282.3</v>
          </cell>
          <cell r="U112">
            <v>435.4</v>
          </cell>
          <cell r="W112">
            <v>537.70000000000005</v>
          </cell>
          <cell r="Y112">
            <v>513</v>
          </cell>
          <cell r="AA112">
            <v>1207</v>
          </cell>
          <cell r="AC112">
            <v>285.59999999999997</v>
          </cell>
          <cell r="AE112">
            <v>408.84592000000009</v>
          </cell>
          <cell r="AG112">
            <v>520.84414921000007</v>
          </cell>
          <cell r="AI112">
            <v>578.62034899356695</v>
          </cell>
          <cell r="AK112">
            <v>555.01263875462951</v>
          </cell>
        </row>
        <row r="113">
          <cell r="A113" t="str">
            <v>Tax Benefit from Options</v>
          </cell>
          <cell r="Q113">
            <v>376.6</v>
          </cell>
          <cell r="S113">
            <v>244.5</v>
          </cell>
          <cell r="U113">
            <v>251.6</v>
          </cell>
          <cell r="W113">
            <v>113.3</v>
          </cell>
          <cell r="Y113">
            <v>167</v>
          </cell>
          <cell r="AA113">
            <v>276</v>
          </cell>
          <cell r="AC113">
            <v>170.55674999999999</v>
          </cell>
          <cell r="AE113">
            <v>241.49308286250007</v>
          </cell>
          <cell r="AG113">
            <v>304.2759299385545</v>
          </cell>
          <cell r="AI113">
            <v>334.30929864953174</v>
          </cell>
          <cell r="AK113">
            <v>317.12642488736873</v>
          </cell>
        </row>
        <row r="114">
          <cell r="A114" t="str">
            <v>Options Granted</v>
          </cell>
          <cell r="Q114">
            <v>13.1</v>
          </cell>
          <cell r="S114">
            <v>18.600000000000001</v>
          </cell>
          <cell r="U114">
            <v>39.700000000000003</v>
          </cell>
          <cell r="W114">
            <v>18.5</v>
          </cell>
          <cell r="Y114">
            <v>16</v>
          </cell>
          <cell r="AA114">
            <v>10</v>
          </cell>
          <cell r="AC114">
            <v>13.600000000000001</v>
          </cell>
          <cell r="AE114">
            <v>13.396000000000001</v>
          </cell>
          <cell r="AG114">
            <v>13.777786000000001</v>
          </cell>
          <cell r="AI114">
            <v>12.537785259999998</v>
          </cell>
          <cell r="AK114">
            <v>11.033251028800001</v>
          </cell>
        </row>
        <row r="115">
          <cell r="A115" t="str">
            <v xml:space="preserve">     % of Outstanding Options</v>
          </cell>
          <cell r="Q115">
            <v>0.11312607944732297</v>
          </cell>
          <cell r="S115">
            <v>0.18844984802431611</v>
          </cell>
          <cell r="U115">
            <v>0.42055084745762716</v>
          </cell>
          <cell r="W115">
            <v>0.17961165048543692</v>
          </cell>
          <cell r="Y115">
            <v>0.16842105263157894</v>
          </cell>
          <cell r="AA115">
            <v>0.11235955056179775</v>
          </cell>
          <cell r="AC115">
            <v>0.2</v>
          </cell>
          <cell r="AE115">
            <v>0.2</v>
          </cell>
          <cell r="AG115">
            <v>0.22</v>
          </cell>
          <cell r="AI115">
            <v>0.22</v>
          </cell>
          <cell r="AK115">
            <v>0.22</v>
          </cell>
        </row>
        <row r="116">
          <cell r="A116" t="str">
            <v>Shares Issued</v>
          </cell>
          <cell r="S116">
            <v>0</v>
          </cell>
          <cell r="U116">
            <v>0</v>
          </cell>
          <cell r="W116">
            <v>0</v>
          </cell>
          <cell r="Y116">
            <v>22.6</v>
          </cell>
          <cell r="AA116">
            <v>0</v>
          </cell>
          <cell r="AC116">
            <v>0</v>
          </cell>
          <cell r="AE116">
            <v>0</v>
          </cell>
          <cell r="AG116">
            <v>0</v>
          </cell>
          <cell r="AI116">
            <v>0</v>
          </cell>
          <cell r="AK116">
            <v>0</v>
          </cell>
        </row>
        <row r="117">
          <cell r="A117" t="str">
            <v>Proceeds from share issuance</v>
          </cell>
          <cell r="S117">
            <v>0</v>
          </cell>
          <cell r="U117">
            <v>0</v>
          </cell>
          <cell r="W117">
            <v>0</v>
          </cell>
          <cell r="Y117">
            <v>0</v>
          </cell>
          <cell r="AA117">
            <v>0</v>
          </cell>
          <cell r="AC117">
            <v>0</v>
          </cell>
          <cell r="AE117">
            <v>0</v>
          </cell>
          <cell r="AG117">
            <v>0</v>
          </cell>
          <cell r="AI117">
            <v>0</v>
          </cell>
          <cell r="AK117">
            <v>0</v>
          </cell>
        </row>
        <row r="118">
          <cell r="A118" t="str">
            <v>Shares Repurchased (mm)</v>
          </cell>
          <cell r="S118">
            <v>12.7</v>
          </cell>
          <cell r="U118">
            <v>28</v>
          </cell>
          <cell r="W118">
            <v>29.7</v>
          </cell>
          <cell r="Y118">
            <v>69</v>
          </cell>
          <cell r="AA118">
            <v>63</v>
          </cell>
          <cell r="AC118">
            <v>100</v>
          </cell>
          <cell r="AE118">
            <v>40</v>
          </cell>
          <cell r="AG118">
            <v>40</v>
          </cell>
          <cell r="AI118">
            <v>40</v>
          </cell>
          <cell r="AK118">
            <v>35</v>
          </cell>
        </row>
        <row r="119">
          <cell r="A119" t="str">
            <v>Share Repurchase Cost</v>
          </cell>
          <cell r="Q119">
            <v>799.9</v>
          </cell>
          <cell r="S119">
            <v>737.5</v>
          </cell>
          <cell r="U119">
            <v>1420.4</v>
          </cell>
          <cell r="W119">
            <v>1801</v>
          </cell>
          <cell r="Y119">
            <v>4072</v>
          </cell>
          <cell r="AA119">
            <v>4430</v>
          </cell>
          <cell r="AC119">
            <v>7577.5000000000009</v>
          </cell>
          <cell r="AE119">
            <v>3281.0575000000008</v>
          </cell>
          <cell r="AG119">
            <v>3551.7447437500005</v>
          </cell>
          <cell r="AI119">
            <v>3844.7636851093757</v>
          </cell>
          <cell r="AK119">
            <v>3641.7121029895366</v>
          </cell>
        </row>
        <row r="120">
          <cell r="A120" t="str">
            <v>Share Issuance from Acquisitions</v>
          </cell>
          <cell r="Q120">
            <v>164.7</v>
          </cell>
          <cell r="U120">
            <v>15183.2</v>
          </cell>
          <cell r="Y120">
            <v>1403</v>
          </cell>
        </row>
        <row r="121">
          <cell r="A121" t="str">
            <v>Stock options expense</v>
          </cell>
          <cell r="AC121">
            <v>294.91779250000002</v>
          </cell>
          <cell r="AE121">
            <v>271.96607092308085</v>
          </cell>
          <cell r="AG121">
            <v>294.29251044080411</v>
          </cell>
          <cell r="AI121">
            <v>332.25730820002224</v>
          </cell>
          <cell r="AK121">
            <v>368.95414836972293</v>
          </cell>
        </row>
        <row r="122">
          <cell r="A122" t="str">
            <v>Total Change in APIC</v>
          </cell>
          <cell r="K122">
            <v>169.19999999999982</v>
          </cell>
          <cell r="M122">
            <v>475.80000000000018</v>
          </cell>
          <cell r="O122">
            <v>0</v>
          </cell>
          <cell r="Q122">
            <v>75.100000000000023</v>
          </cell>
          <cell r="S122">
            <v>-210.7</v>
          </cell>
          <cell r="U122">
            <v>14449.800000000001</v>
          </cell>
          <cell r="W122">
            <v>-1150</v>
          </cell>
          <cell r="Y122">
            <v>-1989</v>
          </cell>
          <cell r="AA122">
            <v>-2947</v>
          </cell>
          <cell r="AC122">
            <v>-6826.4254575000004</v>
          </cell>
          <cell r="AE122">
            <v>-2358.7524262144198</v>
          </cell>
          <cell r="AG122">
            <v>-2432.3321541606419</v>
          </cell>
          <cell r="AI122">
            <v>-2599.5767292662549</v>
          </cell>
          <cell r="AK122">
            <v>-2400.6188909778157</v>
          </cell>
          <cell r="AO122" t="str">
            <v>mstag:netIssuanceRepurchaseOfCommonStock</v>
          </cell>
          <cell r="AP122">
            <v>6</v>
          </cell>
          <cell r="AQ122" t="str">
            <v>ISO4217:USD</v>
          </cell>
          <cell r="AR122" t="b">
            <v>0</v>
          </cell>
          <cell r="AS122" t="b">
            <v>0</v>
          </cell>
        </row>
        <row r="123">
          <cell r="A123" t="str">
            <v>Beginning Period Shares</v>
          </cell>
          <cell r="Q123">
            <v>1021.8</v>
          </cell>
          <cell r="S123">
            <v>1037.4000000000001</v>
          </cell>
          <cell r="U123">
            <v>1045.8</v>
          </cell>
          <cell r="W123">
            <v>1289.0999999999999</v>
          </cell>
          <cell r="Y123">
            <v>1283.7</v>
          </cell>
          <cell r="AA123">
            <v>1260</v>
          </cell>
          <cell r="AC123">
            <v>1224</v>
          </cell>
          <cell r="AE123">
            <v>1134.2</v>
          </cell>
          <cell r="AG123">
            <v>1107.596</v>
          </cell>
          <cell r="AI123">
            <v>1083.252575</v>
          </cell>
          <cell r="AK123">
            <v>1059.2097562399999</v>
          </cell>
        </row>
        <row r="124">
          <cell r="A124" t="str">
            <v>End of Period Shares</v>
          </cell>
          <cell r="O124">
            <v>1021.8</v>
          </cell>
          <cell r="Q124">
            <v>1037.4000000000001</v>
          </cell>
          <cell r="S124">
            <v>1045.8</v>
          </cell>
          <cell r="U124">
            <v>1289.0999999999999</v>
          </cell>
          <cell r="W124">
            <v>1283.7</v>
          </cell>
          <cell r="Y124">
            <v>1260</v>
          </cell>
          <cell r="AA124">
            <v>1224</v>
          </cell>
          <cell r="AC124">
            <v>1134.2</v>
          </cell>
          <cell r="AE124">
            <v>1107.596</v>
          </cell>
          <cell r="AG124">
            <v>1083.252575</v>
          </cell>
          <cell r="AI124">
            <v>1059.2097562399999</v>
          </cell>
          <cell r="AK124">
            <v>1038.2520757312</v>
          </cell>
          <cell r="AO124" t="str">
            <v>mstag:periodEndBasicSharesOutstanding</v>
          </cell>
          <cell r="AP124">
            <v>6</v>
          </cell>
          <cell r="AQ124" t="str">
            <v>ms_eqr_gcim_Decimal:ms_eqr_gcim_decimal</v>
          </cell>
          <cell r="AR124" t="b">
            <v>0</v>
          </cell>
          <cell r="AS124" t="b">
            <v>0</v>
          </cell>
        </row>
        <row r="125">
          <cell r="A125" t="str">
            <v xml:space="preserve">Average Shares Outstanding-basic </v>
          </cell>
          <cell r="O125">
            <v>1021.7</v>
          </cell>
          <cell r="Q125">
            <v>1029.5999999999999</v>
          </cell>
          <cell r="S125">
            <v>1045.5</v>
          </cell>
          <cell r="U125">
            <v>1153.5</v>
          </cell>
          <cell r="W125">
            <v>1288.4000000000001</v>
          </cell>
          <cell r="Y125">
            <v>1270.6500000000001</v>
          </cell>
          <cell r="AA125">
            <v>1236</v>
          </cell>
          <cell r="AC125">
            <v>1179.0999999999999</v>
          </cell>
          <cell r="AE125">
            <v>1120.8980000000001</v>
          </cell>
          <cell r="AG125">
            <v>1095.4242875</v>
          </cell>
          <cell r="AI125">
            <v>1071.23116562</v>
          </cell>
          <cell r="AK125">
            <v>1048.7309159855999</v>
          </cell>
        </row>
        <row r="126">
          <cell r="A126" t="str">
            <v>Average Shares Outstanding-diluted</v>
          </cell>
          <cell r="O126">
            <v>1078.3</v>
          </cell>
          <cell r="Q126">
            <v>1084.7</v>
          </cell>
          <cell r="S126">
            <v>1084.2</v>
          </cell>
          <cell r="U126">
            <v>1153.5</v>
          </cell>
          <cell r="W126">
            <v>1346</v>
          </cell>
          <cell r="Y126">
            <v>1285.05</v>
          </cell>
          <cell r="AA126">
            <v>1258</v>
          </cell>
          <cell r="AC126">
            <v>1190.6329744308807</v>
          </cell>
          <cell r="AE126">
            <v>1131.9282839554037</v>
          </cell>
          <cell r="AG126">
            <v>1105.6672499945955</v>
          </cell>
          <cell r="AI126">
            <v>1078.6145376915538</v>
          </cell>
          <cell r="AK126">
            <v>1055.2640764166335</v>
          </cell>
        </row>
        <row r="130">
          <cell r="B130" t="str">
            <v>Amgen</v>
          </cell>
          <cell r="S130" t="str">
            <v>2001A</v>
          </cell>
          <cell r="U130" t="str">
            <v>2002A</v>
          </cell>
          <cell r="W130" t="str">
            <v>2003A</v>
          </cell>
          <cell r="Y130" t="str">
            <v>2004A</v>
          </cell>
          <cell r="AA130" t="str">
            <v>2005A</v>
          </cell>
          <cell r="AC130" t="str">
            <v>2006E</v>
          </cell>
          <cell r="AE130" t="str">
            <v>2007E</v>
          </cell>
          <cell r="AG130" t="str">
            <v>2008E</v>
          </cell>
          <cell r="AI130" t="str">
            <v>2009E</v>
          </cell>
          <cell r="AK130" t="str">
            <v>2010E</v>
          </cell>
        </row>
        <row r="131">
          <cell r="B131" t="str">
            <v>Current diluted EPS</v>
          </cell>
          <cell r="S131">
            <v>1.0327430363401584</v>
          </cell>
          <cell r="U131">
            <v>1.5215431296055475</v>
          </cell>
          <cell r="W131">
            <v>1.9281575037147096</v>
          </cell>
          <cell r="Y131">
            <v>2.36950115525927</v>
          </cell>
          <cell r="AA131">
            <v>3.2027027027027026</v>
          </cell>
          <cell r="AC131">
            <v>3.6698689952539394</v>
          </cell>
          <cell r="AE131">
            <v>4.1013211403748855</v>
          </cell>
          <cell r="AG131">
            <v>4.6347096976234399</v>
          </cell>
          <cell r="AI131">
            <v>5.0526778224740756</v>
          </cell>
          <cell r="AK131">
            <v>5.4875839896915242</v>
          </cell>
        </row>
        <row r="132">
          <cell r="B132" t="str">
            <v>Option expense</v>
          </cell>
          <cell r="S132">
            <v>189.1</v>
          </cell>
          <cell r="U132">
            <v>189.8</v>
          </cell>
          <cell r="W132">
            <v>198</v>
          </cell>
          <cell r="Y132">
            <v>200</v>
          </cell>
          <cell r="AA132">
            <v>200</v>
          </cell>
          <cell r="AC132">
            <v>200</v>
          </cell>
          <cell r="AE132">
            <v>200</v>
          </cell>
          <cell r="AG132">
            <v>200</v>
          </cell>
          <cell r="AI132">
            <v>200</v>
          </cell>
          <cell r="AK132">
            <v>200</v>
          </cell>
        </row>
        <row r="133">
          <cell r="B133" t="str">
            <v>Diluted EPS, pro forma</v>
          </cell>
          <cell r="S133">
            <v>0.85832872163807394</v>
          </cell>
          <cell r="U133">
            <v>1.3570004334633714</v>
          </cell>
          <cell r="W133">
            <v>1.7810549777117379</v>
          </cell>
          <cell r="Y133">
            <v>2.2179917427370168</v>
          </cell>
          <cell r="AA133">
            <v>3.0437201907790143</v>
          </cell>
          <cell r="AC133">
            <v>3.4994205698784278</v>
          </cell>
          <cell r="AE133">
            <v>3.925871506555795</v>
          </cell>
          <cell r="AG133">
            <v>4.4551228416743482</v>
          </cell>
          <cell r="AI133">
            <v>4.8686199131947765</v>
          </cell>
          <cell r="AK133">
            <v>5.2994839640854385</v>
          </cell>
        </row>
        <row r="134">
          <cell r="B134" t="str">
            <v>difference</v>
          </cell>
          <cell r="S134">
            <v>-0.16888452263999287</v>
          </cell>
          <cell r="U134">
            <v>-0.10814198621161197</v>
          </cell>
          <cell r="W134">
            <v>-7.6291758178245295E-2</v>
          </cell>
          <cell r="Y134">
            <v>-6.3941480756811497E-2</v>
          </cell>
          <cell r="AA134">
            <v>-4.9640109208240246E-2</v>
          </cell>
          <cell r="AC134">
            <v>-4.6445370555718513E-2</v>
          </cell>
          <cell r="AE134">
            <v>-4.2778809026169928E-2</v>
          </cell>
          <cell r="AG134">
            <v>-3.8748242644232711E-2</v>
          </cell>
          <cell r="AI134">
            <v>-3.6427794477735809E-2</v>
          </cell>
          <cell r="AK134">
            <v>-3.4277384357019991E-2</v>
          </cell>
        </row>
        <row r="136">
          <cell r="B136" t="str">
            <v>diluted shares</v>
          </cell>
          <cell r="S136">
            <v>1084.2</v>
          </cell>
          <cell r="U136">
            <v>1153.5</v>
          </cell>
          <cell r="W136">
            <v>1346</v>
          </cell>
          <cell r="Y136">
            <v>1320.05</v>
          </cell>
          <cell r="AA136">
            <v>1258</v>
          </cell>
          <cell r="AC136">
            <v>1173.37546275</v>
          </cell>
          <cell r="AE136">
            <v>1139.9282839554037</v>
          </cell>
          <cell r="AG136">
            <v>1113.6672499945955</v>
          </cell>
          <cell r="AI136">
            <v>1086.6145376915538</v>
          </cell>
          <cell r="AK136">
            <v>1063.2640764166335</v>
          </cell>
        </row>
      </sheetData>
      <sheetData sheetId="8" refreshError="1"/>
      <sheetData sheetId="9" refreshError="1">
        <row r="1">
          <cell r="B1" t="str">
            <v>Amgen Cash Flow Statements</v>
          </cell>
          <cell r="AN1" t="str">
            <v>ElementName</v>
          </cell>
          <cell r="AO1" t="str">
            <v>ScaleOverride</v>
          </cell>
          <cell r="AP1" t="str">
            <v>UnitOverride</v>
          </cell>
          <cell r="AQ1" t="str">
            <v>ReverseSign</v>
          </cell>
          <cell r="AR1" t="str">
            <v>IsDrivingAssumption</v>
          </cell>
          <cell r="AS1" t="str">
            <v>SegmentID</v>
          </cell>
        </row>
        <row r="2">
          <cell r="B2" t="str">
            <v>(Dollars in thousands)</v>
          </cell>
        </row>
        <row r="4">
          <cell r="C4" t="str">
            <v>1993A</v>
          </cell>
          <cell r="E4" t="str">
            <v>1994A</v>
          </cell>
          <cell r="G4" t="str">
            <v>1995A</v>
          </cell>
          <cell r="I4" t="str">
            <v>1996A</v>
          </cell>
          <cell r="K4" t="str">
            <v>1997A</v>
          </cell>
          <cell r="M4" t="str">
            <v>1998A</v>
          </cell>
          <cell r="O4" t="str">
            <v>1999A</v>
          </cell>
          <cell r="Q4" t="str">
            <v>2000A</v>
          </cell>
          <cell r="S4" t="str">
            <v>2001A</v>
          </cell>
          <cell r="U4" t="str">
            <v>2002A</v>
          </cell>
          <cell r="W4" t="str">
            <v>2003A</v>
          </cell>
          <cell r="Y4" t="str">
            <v>2004A</v>
          </cell>
          <cell r="AA4" t="str">
            <v>2005A</v>
          </cell>
          <cell r="AC4" t="str">
            <v>2006E</v>
          </cell>
          <cell r="AE4" t="str">
            <v>2007E</v>
          </cell>
          <cell r="AG4" t="str">
            <v>2008E</v>
          </cell>
          <cell r="AI4" t="str">
            <v>2009E</v>
          </cell>
          <cell r="AK4" t="str">
            <v>2010E</v>
          </cell>
        </row>
        <row r="5">
          <cell r="B5" t="str">
            <v>CASH FLOWS FROM OPERATING ACTIVITIES</v>
          </cell>
        </row>
        <row r="6">
          <cell r="B6" t="str">
            <v>Net Income (Loss)</v>
          </cell>
          <cell r="C6">
            <v>383.3</v>
          </cell>
          <cell r="E6">
            <v>319.7</v>
          </cell>
          <cell r="G6">
            <v>537.70000000000005</v>
          </cell>
          <cell r="I6">
            <v>679.8</v>
          </cell>
          <cell r="K6">
            <v>644.29999999999995</v>
          </cell>
          <cell r="M6">
            <v>863.2</v>
          </cell>
          <cell r="O6">
            <v>1096.4000000000001</v>
          </cell>
          <cell r="Q6">
            <v>1138.5</v>
          </cell>
          <cell r="S6">
            <v>1119.7</v>
          </cell>
          <cell r="U6">
            <v>-1391.9</v>
          </cell>
          <cell r="W6">
            <v>2259.4999999999991</v>
          </cell>
          <cell r="Y6">
            <v>2363</v>
          </cell>
          <cell r="AA6">
            <v>3674</v>
          </cell>
          <cell r="AC6">
            <v>3329.4653900000003</v>
          </cell>
          <cell r="AE6">
            <v>4180.6358985744819</v>
          </cell>
          <cell r="AG6">
            <v>4644.6218930347759</v>
          </cell>
          <cell r="AI6">
            <v>4935.4458679720119</v>
          </cell>
          <cell r="AK6">
            <v>5243.1867741883407</v>
          </cell>
          <cell r="AN6" t="str">
            <v>mstag:netIncomeReported</v>
          </cell>
          <cell r="AO6">
            <v>6</v>
          </cell>
          <cell r="AP6" t="str">
            <v>ISO4217:USD</v>
          </cell>
          <cell r="AQ6" t="b">
            <v>0</v>
          </cell>
          <cell r="AR6" t="b">
            <v>0</v>
          </cell>
        </row>
        <row r="7">
          <cell r="B7" t="str">
            <v>Write-Off Of In-Process Research and Development</v>
          </cell>
          <cell r="C7">
            <v>0</v>
          </cell>
          <cell r="E7">
            <v>116.4</v>
          </cell>
          <cell r="G7">
            <v>0</v>
          </cell>
          <cell r="I7">
            <v>0</v>
          </cell>
          <cell r="K7">
            <v>0</v>
          </cell>
          <cell r="M7">
            <v>0</v>
          </cell>
          <cell r="O7">
            <v>0</v>
          </cell>
          <cell r="Q7">
            <v>30.1</v>
          </cell>
          <cell r="S7">
            <v>0</v>
          </cell>
          <cell r="U7">
            <v>2991.8</v>
          </cell>
          <cell r="W7">
            <v>0</v>
          </cell>
          <cell r="Y7">
            <v>554</v>
          </cell>
          <cell r="AA7">
            <v>0</v>
          </cell>
          <cell r="AC7">
            <v>0</v>
          </cell>
          <cell r="AE7">
            <v>0</v>
          </cell>
          <cell r="AG7">
            <v>0</v>
          </cell>
          <cell r="AI7">
            <v>0</v>
          </cell>
          <cell r="AK7">
            <v>0</v>
          </cell>
          <cell r="AN7" t="str">
            <v>mstag:acquiredInProcessRAndD</v>
          </cell>
          <cell r="AO7">
            <v>6</v>
          </cell>
          <cell r="AP7" t="str">
            <v>ISO4217:USD</v>
          </cell>
          <cell r="AQ7" t="b">
            <v>0</v>
          </cell>
          <cell r="AR7" t="b">
            <v>0</v>
          </cell>
        </row>
        <row r="8">
          <cell r="B8" t="str">
            <v>Depreciation &amp; Amort.</v>
          </cell>
          <cell r="C8">
            <v>50.7</v>
          </cell>
          <cell r="E8">
            <v>74.5</v>
          </cell>
          <cell r="G8">
            <v>84.2</v>
          </cell>
          <cell r="I8">
            <v>100.3</v>
          </cell>
          <cell r="K8">
            <v>117.1</v>
          </cell>
          <cell r="M8">
            <v>143.80000000000001</v>
          </cell>
          <cell r="O8">
            <v>176.8</v>
          </cell>
          <cell r="Q8">
            <v>211.8</v>
          </cell>
          <cell r="S8">
            <v>265.89999999999998</v>
          </cell>
          <cell r="U8">
            <v>447.3</v>
          </cell>
          <cell r="W8">
            <v>686.5</v>
          </cell>
          <cell r="Y8">
            <v>734</v>
          </cell>
          <cell r="AA8">
            <v>841</v>
          </cell>
          <cell r="AC8">
            <v>772.04066666666665</v>
          </cell>
          <cell r="AE8">
            <v>1130.7377096774276</v>
          </cell>
          <cell r="AG8">
            <v>1349.0218220591833</v>
          </cell>
          <cell r="AI8">
            <v>1564.0573284190054</v>
          </cell>
          <cell r="AK8">
            <v>1824.087369245593</v>
          </cell>
        </row>
        <row r="9">
          <cell r="B9" t="str">
            <v xml:space="preserve">     Depreciation</v>
          </cell>
          <cell r="C9">
            <v>50.7</v>
          </cell>
          <cell r="E9">
            <v>74.5</v>
          </cell>
          <cell r="G9">
            <v>84.2</v>
          </cell>
          <cell r="I9">
            <v>100.3</v>
          </cell>
          <cell r="K9">
            <v>117.1</v>
          </cell>
          <cell r="M9">
            <v>143.80000000000001</v>
          </cell>
          <cell r="O9">
            <v>176.8</v>
          </cell>
          <cell r="Q9">
            <v>211.8</v>
          </cell>
          <cell r="S9">
            <v>265.89999999999998</v>
          </cell>
          <cell r="U9">
            <v>292.10000000000002</v>
          </cell>
          <cell r="W9">
            <v>350.7</v>
          </cell>
          <cell r="Y9">
            <v>374.86666666666667</v>
          </cell>
          <cell r="AA9">
            <v>598</v>
          </cell>
          <cell r="AC9">
            <v>710.93066666666664</v>
          </cell>
          <cell r="AE9">
            <v>912.12770967742756</v>
          </cell>
          <cell r="AG9">
            <v>1130.4118220591831</v>
          </cell>
          <cell r="AI9">
            <v>1345.4473284190053</v>
          </cell>
          <cell r="AK9">
            <v>1605.4773692455931</v>
          </cell>
          <cell r="AN9" t="str">
            <v>mstag:depreciation</v>
          </cell>
          <cell r="AO9">
            <v>6</v>
          </cell>
          <cell r="AP9" t="str">
            <v>ISO4217:USD</v>
          </cell>
          <cell r="AQ9" t="b">
            <v>0</v>
          </cell>
          <cell r="AR9" t="b">
            <v>0</v>
          </cell>
        </row>
        <row r="10">
          <cell r="B10" t="str">
            <v xml:space="preserve">     Amortization</v>
          </cell>
          <cell r="U10">
            <v>155.19999999999999</v>
          </cell>
          <cell r="W10">
            <v>335.8</v>
          </cell>
          <cell r="Y10">
            <v>359.13333333333333</v>
          </cell>
          <cell r="AA10">
            <v>243</v>
          </cell>
          <cell r="AC10">
            <v>61.11</v>
          </cell>
          <cell r="AE10">
            <v>218.61</v>
          </cell>
          <cell r="AG10">
            <v>218.61</v>
          </cell>
          <cell r="AI10">
            <v>218.61</v>
          </cell>
          <cell r="AK10">
            <v>218.61</v>
          </cell>
          <cell r="AN10" t="str">
            <v>mstag:amortizationOfOtherIntangibles</v>
          </cell>
          <cell r="AO10">
            <v>6</v>
          </cell>
          <cell r="AP10" t="str">
            <v>ISO4217:USD</v>
          </cell>
          <cell r="AQ10" t="b">
            <v>0</v>
          </cell>
          <cell r="AR10" t="b">
            <v>0</v>
          </cell>
        </row>
        <row r="11">
          <cell r="B11" t="str">
            <v>Tax Benefits Related to Employee Stock Options</v>
          </cell>
          <cell r="C11">
            <v>0</v>
          </cell>
          <cell r="E11">
            <v>0</v>
          </cell>
          <cell r="G11">
            <v>0</v>
          </cell>
          <cell r="I11">
            <v>48.6</v>
          </cell>
          <cell r="K11">
            <v>54.7</v>
          </cell>
          <cell r="M11">
            <v>108.2</v>
          </cell>
          <cell r="O11">
            <v>151.80000000000001</v>
          </cell>
          <cell r="Q11">
            <v>376.6</v>
          </cell>
          <cell r="S11">
            <v>244.5</v>
          </cell>
          <cell r="U11">
            <v>251.6</v>
          </cell>
          <cell r="W11">
            <v>268.60000000000002</v>
          </cell>
          <cell r="Y11">
            <v>203</v>
          </cell>
          <cell r="AA11">
            <v>315</v>
          </cell>
          <cell r="AC11">
            <v>0</v>
          </cell>
          <cell r="AE11">
            <v>0</v>
          </cell>
          <cell r="AG11">
            <v>0</v>
          </cell>
          <cell r="AI11">
            <v>0</v>
          </cell>
          <cell r="AK11">
            <v>0</v>
          </cell>
          <cell r="AN11" t="str">
            <v>mstag:taxBenefitFromExerciseOfEsosCashFlowStatement</v>
          </cell>
          <cell r="AO11">
            <v>6</v>
          </cell>
          <cell r="AP11" t="str">
            <v>ISO4217:USD</v>
          </cell>
          <cell r="AQ11" t="b">
            <v>0</v>
          </cell>
          <cell r="AR11" t="b">
            <v>0</v>
          </cell>
        </row>
        <row r="12">
          <cell r="B12" t="str">
            <v>Options expense (add back)</v>
          </cell>
          <cell r="AA12">
            <v>0</v>
          </cell>
          <cell r="AC12">
            <v>294.91779250000002</v>
          </cell>
          <cell r="AE12">
            <v>271.96607092308085</v>
          </cell>
          <cell r="AG12">
            <v>294.29251044080411</v>
          </cell>
          <cell r="AI12">
            <v>332.25730820002224</v>
          </cell>
          <cell r="AK12">
            <v>368.95414836972293</v>
          </cell>
          <cell r="AN12" t="str">
            <v>mstag:otherCashFlow</v>
          </cell>
          <cell r="AO12">
            <v>6</v>
          </cell>
          <cell r="AP12" t="str">
            <v>ISO4217:USD</v>
          </cell>
          <cell r="AQ12" t="b">
            <v>0</v>
          </cell>
          <cell r="AR12" t="b">
            <v>0</v>
          </cell>
        </row>
        <row r="13">
          <cell r="B13" t="str">
            <v>Other</v>
          </cell>
          <cell r="C13">
            <v>7.9</v>
          </cell>
          <cell r="E13">
            <v>2.8</v>
          </cell>
          <cell r="G13">
            <v>0.1</v>
          </cell>
          <cell r="I13">
            <v>0</v>
          </cell>
          <cell r="K13">
            <v>0</v>
          </cell>
          <cell r="M13">
            <v>15.8</v>
          </cell>
          <cell r="O13">
            <v>0</v>
          </cell>
          <cell r="Q13">
            <v>-8.3000000000000007</v>
          </cell>
          <cell r="S13">
            <v>97.8</v>
          </cell>
          <cell r="U13">
            <v>24.9</v>
          </cell>
          <cell r="W13">
            <v>99</v>
          </cell>
          <cell r="Y13">
            <v>161</v>
          </cell>
          <cell r="AA13">
            <v>166</v>
          </cell>
          <cell r="AC13">
            <v>0</v>
          </cell>
          <cell r="AE13">
            <v>0</v>
          </cell>
          <cell r="AG13">
            <v>0</v>
          </cell>
          <cell r="AI13">
            <v>0</v>
          </cell>
          <cell r="AK13">
            <v>0</v>
          </cell>
          <cell r="AN13" t="str">
            <v>mstag:otherProvisionsRecurringCashFlowStatement</v>
          </cell>
          <cell r="AO13">
            <v>6</v>
          </cell>
          <cell r="AP13" t="str">
            <v>ISO4217:USD</v>
          </cell>
          <cell r="AQ13" t="b">
            <v>0</v>
          </cell>
          <cell r="AR13" t="b">
            <v>0</v>
          </cell>
        </row>
        <row r="14">
          <cell r="B14" t="str">
            <v>Deferred Income Taxes</v>
          </cell>
          <cell r="C14">
            <v>17.399999999999999</v>
          </cell>
          <cell r="E14">
            <v>2.4</v>
          </cell>
          <cell r="G14">
            <v>23.9</v>
          </cell>
          <cell r="I14">
            <v>25.6</v>
          </cell>
          <cell r="K14">
            <v>-31.4</v>
          </cell>
          <cell r="M14">
            <v>-5.6</v>
          </cell>
          <cell r="O14">
            <v>9.8000000000000007</v>
          </cell>
          <cell r="Q14">
            <v>6.6</v>
          </cell>
          <cell r="S14">
            <v>-148.30000000000001</v>
          </cell>
          <cell r="U14">
            <v>174.7</v>
          </cell>
          <cell r="W14">
            <v>-189.6</v>
          </cell>
          <cell r="Y14">
            <v>57</v>
          </cell>
          <cell r="AA14">
            <v>-95</v>
          </cell>
          <cell r="AC14">
            <v>-300</v>
          </cell>
          <cell r="AE14">
            <v>0</v>
          </cell>
          <cell r="AG14">
            <v>0</v>
          </cell>
          <cell r="AI14">
            <v>0</v>
          </cell>
          <cell r="AK14">
            <v>0</v>
          </cell>
          <cell r="AN14" t="str">
            <v>mstag:deferredTax</v>
          </cell>
          <cell r="AO14">
            <v>6</v>
          </cell>
          <cell r="AP14" t="str">
            <v>ISO4217:USD</v>
          </cell>
          <cell r="AQ14" t="b">
            <v>0</v>
          </cell>
          <cell r="AR14" t="b">
            <v>0</v>
          </cell>
        </row>
        <row r="15">
          <cell r="B15" t="str">
            <v>Loss Of Affiliates, Net</v>
          </cell>
          <cell r="C15">
            <v>12.6</v>
          </cell>
          <cell r="E15">
            <v>31.2</v>
          </cell>
          <cell r="G15">
            <v>53.3</v>
          </cell>
          <cell r="I15">
            <v>52.8</v>
          </cell>
          <cell r="K15">
            <v>36.1</v>
          </cell>
          <cell r="M15">
            <v>28.6</v>
          </cell>
          <cell r="O15">
            <v>16.8</v>
          </cell>
          <cell r="Q15">
            <v>0</v>
          </cell>
          <cell r="S15">
            <v>0</v>
          </cell>
          <cell r="U15">
            <v>0</v>
          </cell>
          <cell r="W15">
            <v>0</v>
          </cell>
          <cell r="Y15">
            <v>0</v>
          </cell>
          <cell r="AA15">
            <v>0</v>
          </cell>
          <cell r="AC15">
            <v>0</v>
          </cell>
          <cell r="AE15">
            <v>0</v>
          </cell>
          <cell r="AG15">
            <v>0</v>
          </cell>
          <cell r="AI15">
            <v>0</v>
          </cell>
          <cell r="AK15">
            <v>0</v>
          </cell>
          <cell r="AN15" t="str">
            <v>mstag:incomeLossFromInvestmentsAccountedForUnderTheEquityMethodNonOperating</v>
          </cell>
          <cell r="AO15">
            <v>6</v>
          </cell>
          <cell r="AP15" t="str">
            <v>ISO4217:USD</v>
          </cell>
          <cell r="AQ15" t="b">
            <v>1</v>
          </cell>
          <cell r="AR15" t="b">
            <v>0</v>
          </cell>
        </row>
        <row r="16">
          <cell r="B16" t="str">
            <v>Changes in operating assets and liabilities</v>
          </cell>
        </row>
        <row r="17">
          <cell r="B17" t="str">
            <v xml:space="preserve">     net of the acquisition:</v>
          </cell>
        </row>
        <row r="18">
          <cell r="B18" t="str">
            <v>Trade Receivables</v>
          </cell>
          <cell r="C18">
            <v>-8.3000000000000007</v>
          </cell>
          <cell r="E18">
            <v>-30.4</v>
          </cell>
          <cell r="G18">
            <v>-4.5999999999999996</v>
          </cell>
          <cell r="I18">
            <v>-26.1</v>
          </cell>
          <cell r="K18">
            <v>-43.6</v>
          </cell>
          <cell r="M18">
            <v>-50.9</v>
          </cell>
          <cell r="O18">
            <v>-92.3</v>
          </cell>
          <cell r="Q18">
            <v>23</v>
          </cell>
          <cell r="S18">
            <v>-123</v>
          </cell>
          <cell r="U18">
            <v>-121.9</v>
          </cell>
          <cell r="W18">
            <v>-255.5</v>
          </cell>
          <cell r="Y18">
            <v>-453</v>
          </cell>
          <cell r="AA18">
            <v>-308</v>
          </cell>
          <cell r="AC18">
            <v>-199.42857142857133</v>
          </cell>
          <cell r="AE18">
            <v>-187.25403225815285</v>
          </cell>
          <cell r="AG18">
            <v>-216.97079176713987</v>
          </cell>
          <cell r="AI18">
            <v>-224.39378280485698</v>
          </cell>
          <cell r="AK18">
            <v>-229.36630898679823</v>
          </cell>
          <cell r="AN18" t="str">
            <v>mstag:netDecreaseInTradeReceivables</v>
          </cell>
          <cell r="AO18">
            <v>6</v>
          </cell>
          <cell r="AP18" t="str">
            <v>ISO4217:USD</v>
          </cell>
          <cell r="AQ18" t="b">
            <v>0</v>
          </cell>
          <cell r="AR18" t="b">
            <v>0</v>
          </cell>
        </row>
        <row r="19">
          <cell r="B19" t="str">
            <v>Inventories</v>
          </cell>
          <cell r="C19">
            <v>-17.899999999999999</v>
          </cell>
          <cell r="E19">
            <v>-23.3</v>
          </cell>
          <cell r="G19">
            <v>9.1999999999999993</v>
          </cell>
          <cell r="I19">
            <v>-8.6</v>
          </cell>
          <cell r="K19">
            <v>-11.8</v>
          </cell>
          <cell r="M19">
            <v>-1.6</v>
          </cell>
          <cell r="O19">
            <v>-73.5</v>
          </cell>
          <cell r="Q19">
            <v>-120.9</v>
          </cell>
          <cell r="S19">
            <v>-85.5</v>
          </cell>
          <cell r="U19">
            <v>-101.7</v>
          </cell>
          <cell r="W19">
            <v>-167.7</v>
          </cell>
          <cell r="Y19">
            <v>-175</v>
          </cell>
          <cell r="AA19">
            <v>-370</v>
          </cell>
          <cell r="AC19">
            <v>-164.03281249999986</v>
          </cell>
          <cell r="AE19">
            <v>-122.53132047396207</v>
          </cell>
          <cell r="AG19">
            <v>-120.23225385671549</v>
          </cell>
          <cell r="AI19">
            <v>-161.33735724691883</v>
          </cell>
          <cell r="AK19">
            <v>-192.56871748293383</v>
          </cell>
          <cell r="AN19" t="str">
            <v>mstag:netDecreaseInInventories</v>
          </cell>
          <cell r="AO19">
            <v>6</v>
          </cell>
          <cell r="AP19" t="str">
            <v>ISO4217:USD</v>
          </cell>
          <cell r="AQ19" t="b">
            <v>0</v>
          </cell>
          <cell r="AR19" t="b">
            <v>0</v>
          </cell>
        </row>
        <row r="20">
          <cell r="B20" t="str">
            <v>Other Current Assets</v>
          </cell>
          <cell r="C20">
            <v>-4.8</v>
          </cell>
          <cell r="E20">
            <v>1.8</v>
          </cell>
          <cell r="G20">
            <v>-8</v>
          </cell>
          <cell r="I20">
            <v>-11.8</v>
          </cell>
          <cell r="K20">
            <v>5</v>
          </cell>
          <cell r="M20">
            <v>-21.2</v>
          </cell>
          <cell r="O20">
            <v>-9</v>
          </cell>
          <cell r="Q20">
            <v>-51.4</v>
          </cell>
          <cell r="S20">
            <v>-31.5</v>
          </cell>
          <cell r="U20">
            <v>-5.2</v>
          </cell>
          <cell r="W20">
            <v>-32.799999999999997</v>
          </cell>
          <cell r="Y20">
            <v>-85</v>
          </cell>
          <cell r="AA20">
            <v>-47</v>
          </cell>
          <cell r="AC20">
            <v>-11.530000000000086</v>
          </cell>
          <cell r="AE20">
            <v>-242.65225806456544</v>
          </cell>
          <cell r="AG20">
            <v>-266.23550051228403</v>
          </cell>
          <cell r="AI20">
            <v>-139.3485391218162</v>
          </cell>
          <cell r="AK20">
            <v>-142.4364778808017</v>
          </cell>
          <cell r="AN20" t="str">
            <v>mstag:netDecreaseInOtherAssets</v>
          </cell>
          <cell r="AO20">
            <v>6</v>
          </cell>
          <cell r="AP20" t="str">
            <v>ISO4217:USD</v>
          </cell>
          <cell r="AQ20" t="b">
            <v>0</v>
          </cell>
          <cell r="AR20" t="b">
            <v>0</v>
          </cell>
        </row>
        <row r="21">
          <cell r="B21" t="str">
            <v>Goodwill</v>
          </cell>
          <cell r="AA21">
            <v>0</v>
          </cell>
          <cell r="AC21">
            <v>-500</v>
          </cell>
          <cell r="AE21">
            <v>0</v>
          </cell>
          <cell r="AG21">
            <v>0</v>
          </cell>
          <cell r="AI21">
            <v>0</v>
          </cell>
          <cell r="AK21">
            <v>0</v>
          </cell>
          <cell r="AN21" t="str">
            <v>mstag:premiumGoodwillOnAcquisions</v>
          </cell>
          <cell r="AO21">
            <v>6</v>
          </cell>
          <cell r="AP21" t="str">
            <v>ISO4217:USD</v>
          </cell>
          <cell r="AQ21" t="b">
            <v>1</v>
          </cell>
          <cell r="AR21" t="b">
            <v>0</v>
          </cell>
        </row>
        <row r="22">
          <cell r="B22" t="str">
            <v>Accounts Payable</v>
          </cell>
          <cell r="C22">
            <v>-14.9</v>
          </cell>
          <cell r="E22">
            <v>4.5999999999999996</v>
          </cell>
          <cell r="G22">
            <v>23.9</v>
          </cell>
          <cell r="I22">
            <v>20.6</v>
          </cell>
          <cell r="K22">
            <v>28.9</v>
          </cell>
          <cell r="M22">
            <v>17.7</v>
          </cell>
          <cell r="O22">
            <v>-38.200000000000003</v>
          </cell>
          <cell r="Q22">
            <v>59.8</v>
          </cell>
          <cell r="S22">
            <v>-6.5</v>
          </cell>
          <cell r="U22">
            <v>11</v>
          </cell>
          <cell r="W22">
            <v>74</v>
          </cell>
          <cell r="Y22">
            <v>179</v>
          </cell>
          <cell r="AA22">
            <v>72</v>
          </cell>
          <cell r="AC22">
            <v>68.909239999999954</v>
          </cell>
          <cell r="AE22">
            <v>60.333615794882348</v>
          </cell>
          <cell r="AG22">
            <v>92.236339874018086</v>
          </cell>
          <cell r="AI22">
            <v>105.45777155338374</v>
          </cell>
          <cell r="AK22">
            <v>101.93566713805728</v>
          </cell>
          <cell r="AN22" t="str">
            <v>mstag:netIncreaseInTradeAndOtherPayables</v>
          </cell>
          <cell r="AO22">
            <v>6</v>
          </cell>
          <cell r="AP22" t="str">
            <v>ISO4217:USD</v>
          </cell>
          <cell r="AQ22" t="b">
            <v>0</v>
          </cell>
          <cell r="AR22" t="b">
            <v>0</v>
          </cell>
        </row>
        <row r="23">
          <cell r="B23" t="str">
            <v>Accrued Liabilities</v>
          </cell>
          <cell r="C23">
            <v>7</v>
          </cell>
          <cell r="E23">
            <v>32.200000000000003</v>
          </cell>
          <cell r="G23">
            <v>53.5</v>
          </cell>
          <cell r="I23">
            <v>-10</v>
          </cell>
          <cell r="K23">
            <v>158.30000000000001</v>
          </cell>
          <cell r="M23">
            <v>51.7</v>
          </cell>
          <cell r="O23">
            <v>-11.5</v>
          </cell>
          <cell r="Q23">
            <v>-31.2</v>
          </cell>
          <cell r="S23">
            <v>147.1</v>
          </cell>
          <cell r="U23">
            <v>-31.8</v>
          </cell>
          <cell r="W23">
            <v>824.6</v>
          </cell>
          <cell r="Y23">
            <v>159</v>
          </cell>
          <cell r="AA23">
            <v>663</v>
          </cell>
          <cell r="AC23">
            <v>-90.022075000000314</v>
          </cell>
          <cell r="AE23">
            <v>263.9595691026102</v>
          </cell>
          <cell r="AG23">
            <v>162.37762422650394</v>
          </cell>
          <cell r="AI23">
            <v>430.26770793780543</v>
          </cell>
          <cell r="AK23">
            <v>415.89752192327433</v>
          </cell>
          <cell r="AN23" t="str">
            <v>mstag:netIncreaseInAccruedExpenses</v>
          </cell>
          <cell r="AO23">
            <v>6</v>
          </cell>
          <cell r="AP23" t="str">
            <v>ISO4217:USD</v>
          </cell>
          <cell r="AQ23" t="b">
            <v>0</v>
          </cell>
          <cell r="AR23" t="b">
            <v>0</v>
          </cell>
        </row>
        <row r="24">
          <cell r="B24" t="str">
            <v>Net cash provided by (used in) operating activities</v>
          </cell>
          <cell r="C24">
            <v>433</v>
          </cell>
          <cell r="E24">
            <v>531.9</v>
          </cell>
          <cell r="G24">
            <v>773.2</v>
          </cell>
          <cell r="I24">
            <v>871.19999999999993</v>
          </cell>
          <cell r="K24">
            <v>957.6</v>
          </cell>
          <cell r="M24">
            <v>1149.7</v>
          </cell>
          <cell r="O24">
            <v>1227.1000000000001</v>
          </cell>
          <cell r="Q24">
            <v>1634.6</v>
          </cell>
          <cell r="S24">
            <v>1480.1999999999998</v>
          </cell>
          <cell r="U24">
            <v>2248.8000000000002</v>
          </cell>
          <cell r="W24">
            <v>3566.5999999999995</v>
          </cell>
          <cell r="Y24">
            <v>3697</v>
          </cell>
          <cell r="AA24">
            <v>4911</v>
          </cell>
          <cell r="AC24">
            <v>3200.3196302380957</v>
          </cell>
          <cell r="AE24">
            <v>5355.1952532758032</v>
          </cell>
          <cell r="AG24">
            <v>5939.1116434991454</v>
          </cell>
          <cell r="AI24">
            <v>6842.4063049086362</v>
          </cell>
          <cell r="AK24">
            <v>7389.6899765144535</v>
          </cell>
        </row>
        <row r="26">
          <cell r="B26" t="str">
            <v>CASH FLOWS FROM INVESTING ACTIVITIES</v>
          </cell>
        </row>
        <row r="27">
          <cell r="B27" t="str">
            <v>Purchases of PP&amp;E</v>
          </cell>
          <cell r="C27">
            <v>-209.9</v>
          </cell>
          <cell r="E27">
            <v>-130.80000000000001</v>
          </cell>
          <cell r="G27">
            <v>-162.69999999999999</v>
          </cell>
          <cell r="I27">
            <v>-266.89999999999998</v>
          </cell>
          <cell r="K27">
            <v>-387.8</v>
          </cell>
          <cell r="M27">
            <v>-407.8</v>
          </cell>
          <cell r="O27">
            <v>-304.2</v>
          </cell>
          <cell r="Q27">
            <v>-437.7</v>
          </cell>
          <cell r="S27">
            <v>-441.8</v>
          </cell>
          <cell r="U27">
            <v>-658.5</v>
          </cell>
          <cell r="W27">
            <v>-1356.8</v>
          </cell>
          <cell r="Y27">
            <v>-1336</v>
          </cell>
          <cell r="AA27">
            <v>-867</v>
          </cell>
          <cell r="AC27">
            <v>-1653.48</v>
          </cell>
          <cell r="AE27">
            <v>-1508.977822580707</v>
          </cell>
          <cell r="AG27">
            <v>-1637.1308428631664</v>
          </cell>
          <cell r="AI27">
            <v>-1612.7662976986658</v>
          </cell>
          <cell r="AK27">
            <v>-1950.2253061994086</v>
          </cell>
          <cell r="AN27" t="str">
            <v>mstag:capitalExpenditures</v>
          </cell>
          <cell r="AO27">
            <v>6</v>
          </cell>
          <cell r="AP27" t="str">
            <v>ISO4217:USD</v>
          </cell>
          <cell r="AQ27" t="b">
            <v>1</v>
          </cell>
          <cell r="AR27" t="b">
            <v>0</v>
          </cell>
        </row>
        <row r="28">
          <cell r="B28" t="str">
            <v>Proceeds From Maturities Of Mktable Sec.</v>
          </cell>
          <cell r="C28">
            <v>0</v>
          </cell>
          <cell r="E28">
            <v>1593.5</v>
          </cell>
          <cell r="G28">
            <v>1148.3999999999999</v>
          </cell>
          <cell r="I28">
            <v>930.7</v>
          </cell>
          <cell r="K28">
            <v>891.40000000000009</v>
          </cell>
          <cell r="M28">
            <v>486.3</v>
          </cell>
          <cell r="O28">
            <v>40</v>
          </cell>
          <cell r="Q28">
            <v>0</v>
          </cell>
          <cell r="S28">
            <v>490.3</v>
          </cell>
          <cell r="U28">
            <v>778.2</v>
          </cell>
          <cell r="W28">
            <v>370.8</v>
          </cell>
          <cell r="Y28">
            <v>8354</v>
          </cell>
          <cell r="AA28">
            <v>603</v>
          </cell>
          <cell r="AC28">
            <v>310.4545454545455</v>
          </cell>
          <cell r="AE28">
            <v>147.83549783549785</v>
          </cell>
          <cell r="AG28">
            <v>14.70999978462665</v>
          </cell>
          <cell r="AI28">
            <v>14.63681570609617</v>
          </cell>
          <cell r="AK28">
            <v>14.563995727458876</v>
          </cell>
          <cell r="AN28" t="str">
            <v>mstag:otherCashFlow</v>
          </cell>
          <cell r="AO28">
            <v>6</v>
          </cell>
          <cell r="AP28" t="str">
            <v>ISO4217:USD</v>
          </cell>
          <cell r="AQ28" t="b">
            <v>0</v>
          </cell>
          <cell r="AR28" t="b">
            <v>0</v>
          </cell>
        </row>
        <row r="29">
          <cell r="B29" t="str">
            <v>Proceeds From Sales Of Mktable Sec.</v>
          </cell>
          <cell r="O29">
            <v>843.5</v>
          </cell>
          <cell r="Q29">
            <v>1067.8</v>
          </cell>
          <cell r="S29">
            <v>301.7</v>
          </cell>
          <cell r="U29">
            <v>1621.5</v>
          </cell>
          <cell r="W29">
            <v>3338.6</v>
          </cell>
          <cell r="Y29">
            <v>13079</v>
          </cell>
          <cell r="AA29">
            <v>9835</v>
          </cell>
          <cell r="AC29">
            <v>0</v>
          </cell>
          <cell r="AE29">
            <v>0</v>
          </cell>
          <cell r="AG29">
            <v>0</v>
          </cell>
          <cell r="AI29">
            <v>0</v>
          </cell>
          <cell r="AK29">
            <v>0</v>
          </cell>
          <cell r="AN29" t="str">
            <v>mstag:otherCashFlow</v>
          </cell>
          <cell r="AO29">
            <v>6</v>
          </cell>
          <cell r="AP29" t="str">
            <v>ISO4217:USD</v>
          </cell>
          <cell r="AQ29" t="b">
            <v>0</v>
          </cell>
          <cell r="AR29" t="b">
            <v>0</v>
          </cell>
        </row>
        <row r="30">
          <cell r="B30" t="str">
            <v>Purchases Of Marketable Securities</v>
          </cell>
          <cell r="C30">
            <v>-131.30000000000001</v>
          </cell>
          <cell r="E30">
            <v>-1395.1</v>
          </cell>
          <cell r="G30">
            <v>-1646.6</v>
          </cell>
          <cell r="I30">
            <v>-854.8</v>
          </cell>
          <cell r="K30">
            <v>-767.5</v>
          </cell>
          <cell r="M30">
            <v>-766.3</v>
          </cell>
          <cell r="O30">
            <v>-1032.7</v>
          </cell>
          <cell r="Q30">
            <v>-1638.7</v>
          </cell>
          <cell r="S30">
            <v>-918.2</v>
          </cell>
          <cell r="U30">
            <v>-2952.8</v>
          </cell>
          <cell r="W30">
            <v>-5320.3</v>
          </cell>
          <cell r="Y30">
            <v>-21488</v>
          </cell>
          <cell r="AA30">
            <v>-9597</v>
          </cell>
          <cell r="AC30">
            <v>0</v>
          </cell>
          <cell r="AE30">
            <v>0</v>
          </cell>
          <cell r="AG30">
            <v>0</v>
          </cell>
          <cell r="AI30">
            <v>0</v>
          </cell>
          <cell r="AK30">
            <v>0</v>
          </cell>
          <cell r="AN30" t="str">
            <v>mstag:otherCashFlow</v>
          </cell>
          <cell r="AO30">
            <v>6</v>
          </cell>
          <cell r="AP30" t="str">
            <v>ISO4217:USD</v>
          </cell>
          <cell r="AQ30" t="b">
            <v>0</v>
          </cell>
          <cell r="AR30" t="b">
            <v>0</v>
          </cell>
        </row>
        <row r="31">
          <cell r="B31" t="str">
            <v>Acquisitions, Net Of Cash</v>
          </cell>
          <cell r="C31">
            <v>0</v>
          </cell>
          <cell r="E31">
            <v>-240.8</v>
          </cell>
          <cell r="G31">
            <v>0</v>
          </cell>
          <cell r="I31">
            <v>0</v>
          </cell>
          <cell r="K31">
            <v>0</v>
          </cell>
          <cell r="M31">
            <v>0</v>
          </cell>
          <cell r="O31">
            <v>0</v>
          </cell>
          <cell r="Q31">
            <v>0</v>
          </cell>
          <cell r="S31">
            <v>0</v>
          </cell>
          <cell r="U31">
            <v>-1899</v>
          </cell>
          <cell r="W31">
            <v>0</v>
          </cell>
          <cell r="Y31">
            <v>115</v>
          </cell>
          <cell r="AA31">
            <v>0</v>
          </cell>
          <cell r="AC31">
            <v>0</v>
          </cell>
          <cell r="AE31">
            <v>0</v>
          </cell>
          <cell r="AG31">
            <v>0</v>
          </cell>
          <cell r="AI31">
            <v>0</v>
          </cell>
          <cell r="AK31">
            <v>0</v>
          </cell>
          <cell r="AN31" t="str">
            <v>mstag:otherCashFlow</v>
          </cell>
          <cell r="AO31">
            <v>6</v>
          </cell>
          <cell r="AP31" t="str">
            <v>ISO4217:USD</v>
          </cell>
          <cell r="AQ31" t="b">
            <v>0</v>
          </cell>
          <cell r="AR31" t="b">
            <v>0</v>
          </cell>
        </row>
        <row r="32">
          <cell r="B32" t="str">
            <v>Proceeds from Sale of Leukine Business</v>
          </cell>
          <cell r="U32">
            <v>389.9</v>
          </cell>
          <cell r="W32">
            <v>0</v>
          </cell>
          <cell r="Y32">
            <v>0</v>
          </cell>
          <cell r="AA32">
            <v>0</v>
          </cell>
          <cell r="AC32">
            <v>0</v>
          </cell>
          <cell r="AE32">
            <v>0</v>
          </cell>
          <cell r="AG32">
            <v>0</v>
          </cell>
          <cell r="AI32">
            <v>0</v>
          </cell>
          <cell r="AK32">
            <v>0</v>
          </cell>
          <cell r="AN32" t="str">
            <v>mstag:gainsLossesFromSaleOfOperatingAssetsOneTime</v>
          </cell>
          <cell r="AO32">
            <v>6</v>
          </cell>
          <cell r="AP32" t="str">
            <v>ISO4217:USD</v>
          </cell>
          <cell r="AQ32" t="b">
            <v>1</v>
          </cell>
          <cell r="AR32" t="b">
            <v>0</v>
          </cell>
        </row>
        <row r="33">
          <cell r="B33" t="str">
            <v>Purchase of Certain Rights from Roche</v>
          </cell>
          <cell r="U33">
            <v>-137.5</v>
          </cell>
          <cell r="W33">
            <v>0</v>
          </cell>
          <cell r="Y33">
            <v>0</v>
          </cell>
          <cell r="AA33">
            <v>0</v>
          </cell>
          <cell r="AC33">
            <v>0</v>
          </cell>
          <cell r="AE33">
            <v>0</v>
          </cell>
          <cell r="AG33">
            <v>0</v>
          </cell>
          <cell r="AI33">
            <v>0</v>
          </cell>
          <cell r="AK33">
            <v>0</v>
          </cell>
          <cell r="AN33" t="str">
            <v>mstag:otherCashFlow</v>
          </cell>
          <cell r="AO33">
            <v>6</v>
          </cell>
          <cell r="AP33" t="str">
            <v>ISO4217:USD</v>
          </cell>
          <cell r="AQ33" t="b">
            <v>0</v>
          </cell>
          <cell r="AR33" t="b">
            <v>0</v>
          </cell>
        </row>
        <row r="34">
          <cell r="B34" t="str">
            <v>Other</v>
          </cell>
          <cell r="C34">
            <v>-48.7</v>
          </cell>
          <cell r="E34">
            <v>-17.8</v>
          </cell>
          <cell r="G34">
            <v>-33.200000000000003</v>
          </cell>
          <cell r="I34">
            <v>-119.19999999999999</v>
          </cell>
          <cell r="K34">
            <v>-38.299999999999997</v>
          </cell>
          <cell r="M34">
            <v>14.100000000000001</v>
          </cell>
          <cell r="O34">
            <v>-10</v>
          </cell>
          <cell r="Q34">
            <v>-27.7</v>
          </cell>
          <cell r="S34">
            <v>28.4</v>
          </cell>
          <cell r="U34">
            <v>-5.6</v>
          </cell>
          <cell r="W34">
            <v>-242.5</v>
          </cell>
          <cell r="Y34">
            <v>-123</v>
          </cell>
          <cell r="AA34">
            <v>-33</v>
          </cell>
          <cell r="AC34">
            <v>0</v>
          </cell>
          <cell r="AE34">
            <v>0</v>
          </cell>
          <cell r="AG34">
            <v>0</v>
          </cell>
          <cell r="AI34">
            <v>0</v>
          </cell>
          <cell r="AK34">
            <v>0</v>
          </cell>
          <cell r="AN34" t="str">
            <v>mstag:otherCashFlow</v>
          </cell>
          <cell r="AO34">
            <v>6</v>
          </cell>
          <cell r="AP34" t="str">
            <v>ISO4217:USD</v>
          </cell>
          <cell r="AQ34" t="b">
            <v>0</v>
          </cell>
          <cell r="AR34" t="b">
            <v>0</v>
          </cell>
        </row>
        <row r="35">
          <cell r="B35" t="str">
            <v>Net cash used in investing activities</v>
          </cell>
          <cell r="C35">
            <v>-180</v>
          </cell>
          <cell r="E35">
            <v>-1653.6999999999998</v>
          </cell>
          <cell r="G35">
            <v>-694.10000000000014</v>
          </cell>
          <cell r="I35">
            <v>-310.19999999999987</v>
          </cell>
          <cell r="K35">
            <v>-302.19999999999993</v>
          </cell>
          <cell r="M35">
            <v>-673.69999999999993</v>
          </cell>
          <cell r="O35">
            <v>-463.40000000000009</v>
          </cell>
          <cell r="Q35">
            <v>-1036.3000000000002</v>
          </cell>
          <cell r="S35">
            <v>-539.6</v>
          </cell>
          <cell r="U35">
            <v>-2863.8</v>
          </cell>
          <cell r="W35">
            <v>-3210.2000000000003</v>
          </cell>
          <cell r="Y35">
            <v>-1399</v>
          </cell>
          <cell r="AA35">
            <v>-59</v>
          </cell>
          <cell r="AC35">
            <v>-1343.0254545454545</v>
          </cell>
          <cell r="AE35">
            <v>-1361.1423247452092</v>
          </cell>
          <cell r="AG35">
            <v>-1622.4208430785397</v>
          </cell>
          <cell r="AI35">
            <v>-1598.1294819925697</v>
          </cell>
          <cell r="AK35">
            <v>-1935.6613104719497</v>
          </cell>
        </row>
        <row r="37">
          <cell r="B37" t="str">
            <v>CASH FLOWS FROM FINANCING ACTIVITIES</v>
          </cell>
        </row>
        <row r="38">
          <cell r="B38" t="str">
            <v>Net Proceeds from Issuance Of Common Stock Upon</v>
          </cell>
        </row>
        <row r="39">
          <cell r="B39" t="str">
            <v xml:space="preserve">      Exercise of ESO in connection with ESOP</v>
          </cell>
          <cell r="C39">
            <v>62.199999999999996</v>
          </cell>
          <cell r="E39">
            <v>82.8</v>
          </cell>
          <cell r="G39">
            <v>145.39999999999998</v>
          </cell>
          <cell r="I39">
            <v>112.6</v>
          </cell>
          <cell r="K39">
            <v>134.30000000000001</v>
          </cell>
          <cell r="M39">
            <v>345.5</v>
          </cell>
          <cell r="O39">
            <v>248.8</v>
          </cell>
          <cell r="Q39">
            <v>333.7</v>
          </cell>
          <cell r="S39">
            <v>277.7</v>
          </cell>
          <cell r="U39">
            <v>427.8</v>
          </cell>
          <cell r="W39">
            <v>529</v>
          </cell>
          <cell r="Y39">
            <v>453</v>
          </cell>
          <cell r="AA39">
            <v>1087</v>
          </cell>
          <cell r="AC39">
            <v>285.59999999999997</v>
          </cell>
          <cell r="AE39">
            <v>408.84592000000009</v>
          </cell>
          <cell r="AG39">
            <v>520.84414921000007</v>
          </cell>
          <cell r="AI39">
            <v>578.62034899356695</v>
          </cell>
          <cell r="AK39">
            <v>555.01263875462951</v>
          </cell>
          <cell r="AN39" t="str">
            <v>mstag:proceedsFromIssuanceOfCommonStock</v>
          </cell>
          <cell r="AO39">
            <v>6</v>
          </cell>
          <cell r="AP39" t="str">
            <v>ISO4217:USD</v>
          </cell>
          <cell r="AQ39" t="b">
            <v>0</v>
          </cell>
          <cell r="AR39" t="b">
            <v>0</v>
          </cell>
        </row>
        <row r="40">
          <cell r="B40" t="str">
            <v xml:space="preserve">Issuance of Zero-Coupon Convertible Notes, net </v>
          </cell>
          <cell r="U40">
            <v>2764.7</v>
          </cell>
          <cell r="W40">
            <v>0</v>
          </cell>
          <cell r="Y40">
            <v>1989</v>
          </cell>
          <cell r="AA40">
            <v>0</v>
          </cell>
          <cell r="AC40">
            <v>19.78875</v>
          </cell>
          <cell r="AE40">
            <v>19.78875</v>
          </cell>
          <cell r="AG40">
            <v>19.78875</v>
          </cell>
          <cell r="AI40">
            <v>19.78875</v>
          </cell>
          <cell r="AK40">
            <v>19.78875</v>
          </cell>
          <cell r="AN40" t="str">
            <v>mstag:proceedsFromIssuanceAndCashUsedToRepayLongTermDebt</v>
          </cell>
          <cell r="AO40">
            <v>6</v>
          </cell>
          <cell r="AP40" t="str">
            <v>ISO4217:USD</v>
          </cell>
          <cell r="AQ40" t="b">
            <v>0</v>
          </cell>
          <cell r="AR40" t="b">
            <v>0</v>
          </cell>
        </row>
        <row r="41">
          <cell r="B41" t="str">
            <v>Stock Repurchases</v>
          </cell>
          <cell r="C41">
            <v>-207.4</v>
          </cell>
          <cell r="E41">
            <v>-300.5</v>
          </cell>
          <cell r="G41">
            <v>-285.7</v>
          </cell>
          <cell r="I41">
            <v>-450</v>
          </cell>
          <cell r="K41">
            <v>-737.9</v>
          </cell>
          <cell r="M41">
            <v>-912.1</v>
          </cell>
          <cell r="O41">
            <v>-1024.7</v>
          </cell>
          <cell r="Q41">
            <v>-799.9</v>
          </cell>
          <cell r="S41">
            <v>-737.5</v>
          </cell>
          <cell r="U41">
            <v>-1420.4</v>
          </cell>
          <cell r="W41">
            <v>-1801</v>
          </cell>
          <cell r="Y41">
            <v>-4072</v>
          </cell>
          <cell r="AA41">
            <v>-4430</v>
          </cell>
          <cell r="AC41">
            <v>-7577.5000000000009</v>
          </cell>
          <cell r="AE41">
            <v>-3281.0575000000008</v>
          </cell>
          <cell r="AG41">
            <v>-3551.7447437500005</v>
          </cell>
          <cell r="AI41">
            <v>-3844.7636851093757</v>
          </cell>
          <cell r="AK41">
            <v>-3641.7121029895366</v>
          </cell>
          <cell r="AN41" t="str">
            <v>mstag:fundsUsedToRepurchaseCommonStock</v>
          </cell>
          <cell r="AO41">
            <v>6</v>
          </cell>
          <cell r="AP41" t="str">
            <v>ISO4217:USD</v>
          </cell>
          <cell r="AQ41" t="b">
            <v>1</v>
          </cell>
          <cell r="AR41" t="b">
            <v>0</v>
          </cell>
        </row>
        <row r="42">
          <cell r="B42" t="str">
            <v>Tax Benefits Related to Employee Stock Options</v>
          </cell>
          <cell r="AC42">
            <v>170.55674999999999</v>
          </cell>
          <cell r="AE42">
            <v>241.49308286250007</v>
          </cell>
          <cell r="AG42">
            <v>304.2759299385545</v>
          </cell>
          <cell r="AI42">
            <v>334.30929864953174</v>
          </cell>
          <cell r="AK42">
            <v>317.12642488736873</v>
          </cell>
          <cell r="AN42" t="str">
            <v>mstag:taxBenefitFromExerciseOfEsosCashFlowStatement</v>
          </cell>
          <cell r="AO42">
            <v>6</v>
          </cell>
          <cell r="AP42" t="str">
            <v>ISO4217:USD</v>
          </cell>
          <cell r="AQ42" t="b">
            <v>0</v>
          </cell>
          <cell r="AR42" t="b">
            <v>0</v>
          </cell>
        </row>
        <row r="43">
          <cell r="B43" t="str">
            <v>Increase (Decrease) In Commercial Paper</v>
          </cell>
          <cell r="C43">
            <v>109.8</v>
          </cell>
          <cell r="E43">
            <v>-10.1</v>
          </cell>
          <cell r="G43">
            <v>-30</v>
          </cell>
          <cell r="I43">
            <v>-69.7</v>
          </cell>
          <cell r="K43">
            <v>0</v>
          </cell>
          <cell r="M43">
            <v>99.7</v>
          </cell>
          <cell r="O43">
            <v>-0.2</v>
          </cell>
          <cell r="Q43">
            <v>0</v>
          </cell>
          <cell r="S43">
            <v>0</v>
          </cell>
          <cell r="U43">
            <v>0</v>
          </cell>
          <cell r="W43">
            <v>0</v>
          </cell>
          <cell r="Y43">
            <v>0</v>
          </cell>
          <cell r="AA43">
            <v>0</v>
          </cell>
          <cell r="AC43">
            <v>0</v>
          </cell>
          <cell r="AE43">
            <v>0</v>
          </cell>
          <cell r="AG43">
            <v>0</v>
          </cell>
          <cell r="AI43">
            <v>0</v>
          </cell>
          <cell r="AK43">
            <v>0</v>
          </cell>
          <cell r="AN43" t="str">
            <v>mstag:proceedsFromIssuanceAndCashUsedToRepayLongTermDebt</v>
          </cell>
          <cell r="AO43">
            <v>6</v>
          </cell>
          <cell r="AP43" t="str">
            <v>ISO4217:USD</v>
          </cell>
          <cell r="AQ43" t="b">
            <v>0</v>
          </cell>
          <cell r="AR43" t="b">
            <v>0</v>
          </cell>
        </row>
        <row r="44">
          <cell r="B44" t="str">
            <v>Proceeds From Additions To Long-Term Debt</v>
          </cell>
          <cell r="C44">
            <v>53</v>
          </cell>
          <cell r="E44">
            <v>12.5</v>
          </cell>
          <cell r="G44">
            <v>0</v>
          </cell>
          <cell r="I44">
            <v>0</v>
          </cell>
          <cell r="K44">
            <v>200</v>
          </cell>
          <cell r="M44">
            <v>0</v>
          </cell>
          <cell r="O44">
            <v>0</v>
          </cell>
          <cell r="Q44">
            <v>0</v>
          </cell>
          <cell r="S44">
            <v>0</v>
          </cell>
          <cell r="U44">
            <v>0</v>
          </cell>
          <cell r="W44">
            <v>0</v>
          </cell>
          <cell r="Y44">
            <v>0</v>
          </cell>
          <cell r="AA44">
            <v>0</v>
          </cell>
          <cell r="AC44">
            <v>5000</v>
          </cell>
          <cell r="AE44">
            <v>0</v>
          </cell>
          <cell r="AG44">
            <v>0</v>
          </cell>
          <cell r="AI44">
            <v>0</v>
          </cell>
          <cell r="AK44">
            <v>0</v>
          </cell>
          <cell r="AN44" t="str">
            <v>mstag:proceedsFromIssuanceAndCashUsedToRepayLongTermDebt</v>
          </cell>
          <cell r="AO44">
            <v>6</v>
          </cell>
          <cell r="AP44" t="str">
            <v>ISO4217:USD</v>
          </cell>
          <cell r="AQ44" t="b">
            <v>0</v>
          </cell>
          <cell r="AR44" t="b">
            <v>0</v>
          </cell>
        </row>
        <row r="45">
          <cell r="B45" t="str">
            <v>Repayments Of Long-Term Debt</v>
          </cell>
          <cell r="C45">
            <v>-2</v>
          </cell>
          <cell r="E45">
            <v>-12</v>
          </cell>
          <cell r="G45">
            <v>-6.2</v>
          </cell>
          <cell r="I45">
            <v>0</v>
          </cell>
          <cell r="K45">
            <v>-118.2</v>
          </cell>
          <cell r="M45">
            <v>-30</v>
          </cell>
          <cell r="O45">
            <v>-6</v>
          </cell>
          <cell r="Q45">
            <v>0</v>
          </cell>
          <cell r="S45">
            <v>0</v>
          </cell>
          <cell r="U45">
            <v>0</v>
          </cell>
          <cell r="W45">
            <v>-123</v>
          </cell>
          <cell r="Y45">
            <v>0</v>
          </cell>
          <cell r="AA45">
            <v>-1175</v>
          </cell>
          <cell r="AC45">
            <v>0</v>
          </cell>
          <cell r="AE45">
            <v>-100</v>
          </cell>
          <cell r="AG45">
            <v>0</v>
          </cell>
          <cell r="AI45">
            <v>-998</v>
          </cell>
          <cell r="AK45">
            <v>0</v>
          </cell>
          <cell r="AN45" t="str">
            <v>mstag:proceedsFromIssuanceAndCashUsedToRepayLongTermDebt</v>
          </cell>
          <cell r="AO45">
            <v>6</v>
          </cell>
          <cell r="AP45" t="str">
            <v>ISO4217:USD</v>
          </cell>
          <cell r="AQ45" t="b">
            <v>0</v>
          </cell>
          <cell r="AR45" t="b">
            <v>0</v>
          </cell>
        </row>
        <row r="46">
          <cell r="B46" t="str">
            <v>Other</v>
          </cell>
          <cell r="C46">
            <v>-22.2</v>
          </cell>
          <cell r="E46">
            <v>-30.8</v>
          </cell>
          <cell r="G46">
            <v>-47.2</v>
          </cell>
          <cell r="I46">
            <v>-51.3</v>
          </cell>
          <cell r="K46">
            <v>-63.8</v>
          </cell>
          <cell r="M46">
            <v>-17.100000000000001</v>
          </cell>
          <cell r="O46">
            <v>-51.8</v>
          </cell>
          <cell r="Q46">
            <v>-36.5</v>
          </cell>
          <cell r="S46">
            <v>-18.2</v>
          </cell>
          <cell r="U46">
            <v>5.5</v>
          </cell>
          <cell r="W46">
            <v>23.5</v>
          </cell>
          <cell r="Y46">
            <v>21</v>
          </cell>
          <cell r="AA46">
            <v>-20</v>
          </cell>
          <cell r="AC46">
            <v>0</v>
          </cell>
          <cell r="AE46">
            <v>0</v>
          </cell>
          <cell r="AG46">
            <v>0</v>
          </cell>
          <cell r="AI46">
            <v>0</v>
          </cell>
          <cell r="AK46">
            <v>0</v>
          </cell>
          <cell r="AN46" t="str">
            <v>mstag:otherCashFlow</v>
          </cell>
          <cell r="AO46">
            <v>6</v>
          </cell>
          <cell r="AP46" t="str">
            <v>ISO4217:USD</v>
          </cell>
          <cell r="AQ46" t="b">
            <v>0</v>
          </cell>
          <cell r="AR46" t="b">
            <v>0</v>
          </cell>
        </row>
        <row r="47">
          <cell r="B47" t="str">
            <v>Net cash provided by financing activities</v>
          </cell>
          <cell r="C47">
            <v>138.60000000000002</v>
          </cell>
          <cell r="E47">
            <v>-40.4</v>
          </cell>
          <cell r="G47">
            <v>-223.7</v>
          </cell>
          <cell r="I47">
            <v>-458.4</v>
          </cell>
          <cell r="K47">
            <v>-585.59999999999991</v>
          </cell>
          <cell r="M47">
            <v>-514</v>
          </cell>
          <cell r="O47">
            <v>-833.90000000000009</v>
          </cell>
          <cell r="Q47">
            <v>-502.7</v>
          </cell>
          <cell r="S47">
            <v>-478</v>
          </cell>
          <cell r="U47">
            <v>1777.6</v>
          </cell>
          <cell r="W47">
            <v>-1371.5</v>
          </cell>
          <cell r="Y47">
            <v>-1609</v>
          </cell>
          <cell r="AA47">
            <v>-4538</v>
          </cell>
          <cell r="AC47">
            <v>-2101.5545000000011</v>
          </cell>
          <cell r="AE47">
            <v>-2710.9297471375007</v>
          </cell>
          <cell r="AG47">
            <v>-2706.8359146014459</v>
          </cell>
          <cell r="AI47">
            <v>-3910.0452874662769</v>
          </cell>
          <cell r="AK47">
            <v>-2749.7842893475386</v>
          </cell>
        </row>
        <row r="49">
          <cell r="B49" t="str">
            <v xml:space="preserve">Change in cash </v>
          </cell>
          <cell r="C49">
            <v>391.6</v>
          </cell>
          <cell r="E49">
            <v>-1162.1999999999998</v>
          </cell>
          <cell r="G49">
            <v>-144.60000000000014</v>
          </cell>
          <cell r="I49">
            <v>102.60000000000002</v>
          </cell>
          <cell r="K49">
            <v>69.800000000000182</v>
          </cell>
          <cell r="M49">
            <v>-37.999999999999773</v>
          </cell>
          <cell r="O49">
            <v>-70.200000000000045</v>
          </cell>
          <cell r="Q49">
            <v>95.599999999999682</v>
          </cell>
          <cell r="S49">
            <v>462.5999999999998</v>
          </cell>
          <cell r="U49">
            <v>1162.5999999999999</v>
          </cell>
          <cell r="W49">
            <v>-1015.1000000000013</v>
          </cell>
          <cell r="Y49">
            <v>689</v>
          </cell>
          <cell r="AA49">
            <v>314</v>
          </cell>
          <cell r="AC49">
            <v>-244.26032430735995</v>
          </cell>
          <cell r="AE49">
            <v>1283.1231813930935</v>
          </cell>
          <cell r="AG49">
            <v>1609.8548858191598</v>
          </cell>
          <cell r="AI49">
            <v>1334.2315354497896</v>
          </cell>
          <cell r="AK49">
            <v>2704.2443766949655</v>
          </cell>
        </row>
        <row r="50">
          <cell r="B50" t="str">
            <v>Cash at beginning of year</v>
          </cell>
          <cell r="C50">
            <v>92</v>
          </cell>
          <cell r="E50">
            <v>128.5</v>
          </cell>
          <cell r="G50">
            <v>211.3</v>
          </cell>
          <cell r="I50">
            <v>66.699999999999875</v>
          </cell>
          <cell r="K50">
            <v>169.2999999999999</v>
          </cell>
          <cell r="M50">
            <v>239.10000000000008</v>
          </cell>
          <cell r="O50">
            <v>201.10000000000031</v>
          </cell>
          <cell r="Q50">
            <v>130.90000000000026</v>
          </cell>
          <cell r="S50">
            <v>226.49999999999994</v>
          </cell>
          <cell r="U50">
            <v>689.09999999999968</v>
          </cell>
          <cell r="W50">
            <v>1851.6999999999996</v>
          </cell>
          <cell r="Y50">
            <v>836.59999999999832</v>
          </cell>
          <cell r="AA50">
            <v>1525.5999999999983</v>
          </cell>
          <cell r="AC50">
            <v>1839.5999999999983</v>
          </cell>
          <cell r="AE50">
            <v>1595.3396756926384</v>
          </cell>
          <cell r="AG50">
            <v>2878.4628570857321</v>
          </cell>
          <cell r="AI50">
            <v>4488.3177429048919</v>
          </cell>
          <cell r="AK50">
            <v>5822.5492783546815</v>
          </cell>
        </row>
        <row r="51">
          <cell r="B51" t="str">
            <v>Cash at end of year</v>
          </cell>
          <cell r="C51">
            <v>128.505</v>
          </cell>
          <cell r="E51">
            <v>-1033.6999999999998</v>
          </cell>
          <cell r="G51">
            <v>66.699999999999875</v>
          </cell>
          <cell r="I51">
            <v>169.2999999999999</v>
          </cell>
          <cell r="K51">
            <v>239.10000000000008</v>
          </cell>
          <cell r="M51">
            <v>201.10000000000031</v>
          </cell>
          <cell r="O51">
            <v>130.90000000000026</v>
          </cell>
          <cell r="Q51">
            <v>226.49999999999994</v>
          </cell>
          <cell r="S51">
            <v>689.09999999999968</v>
          </cell>
          <cell r="U51">
            <v>1851.6999999999996</v>
          </cell>
          <cell r="W51">
            <v>836.59999999999832</v>
          </cell>
          <cell r="Y51">
            <v>1525.5999999999983</v>
          </cell>
          <cell r="AA51">
            <v>1839.5999999999983</v>
          </cell>
          <cell r="AC51">
            <v>1595.3396756926384</v>
          </cell>
          <cell r="AE51">
            <v>2878.4628570857321</v>
          </cell>
          <cell r="AG51">
            <v>4488.3177429048919</v>
          </cell>
          <cell r="AI51">
            <v>5822.5492783546815</v>
          </cell>
          <cell r="AK51">
            <v>8526.793655049647</v>
          </cell>
        </row>
        <row r="52">
          <cell r="B52" t="str">
            <v>Cash and marketable securities at end of year</v>
          </cell>
          <cell r="C52">
            <v>723.18399999999997</v>
          </cell>
          <cell r="E52">
            <v>696.68100000000004</v>
          </cell>
          <cell r="G52">
            <v>1050.3</v>
          </cell>
          <cell r="I52">
            <v>1077</v>
          </cell>
          <cell r="K52">
            <v>1026.5</v>
          </cell>
          <cell r="M52">
            <v>1276</v>
          </cell>
          <cell r="O52">
            <v>1333</v>
          </cell>
          <cell r="Q52">
            <v>2028.1</v>
          </cell>
          <cell r="S52">
            <v>2662.2</v>
          </cell>
          <cell r="U52">
            <v>4663.8999999999996</v>
          </cell>
          <cell r="W52">
            <v>5122.9000000000005</v>
          </cell>
          <cell r="Y52">
            <v>5808</v>
          </cell>
          <cell r="AA52">
            <v>5255</v>
          </cell>
          <cell r="AC52">
            <v>4700.285130238095</v>
          </cell>
          <cell r="AE52">
            <v>5835.5728137956903</v>
          </cell>
          <cell r="AG52">
            <v>7430.7176998302239</v>
          </cell>
          <cell r="AI52">
            <v>8750.3124195739165</v>
          </cell>
          <cell r="AK52">
            <v>11439.992800541424</v>
          </cell>
        </row>
        <row r="54">
          <cell r="B54" t="str">
            <v>Source: Company data and Morgan Stanley Research</v>
          </cell>
        </row>
        <row r="56">
          <cell r="W56" t="str">
            <v>2003-FY</v>
          </cell>
          <cell r="Y56" t="str">
            <v>2004-FY</v>
          </cell>
          <cell r="AA56" t="str">
            <v>2005-FY</v>
          </cell>
          <cell r="AC56" t="str">
            <v>2006-FY</v>
          </cell>
          <cell r="AE56" t="str">
            <v>2007-FY</v>
          </cell>
          <cell r="AG56" t="str">
            <v>2008-FY</v>
          </cell>
          <cell r="AI56" t="str">
            <v>2009-FY</v>
          </cell>
          <cell r="AK56" t="str">
            <v>2010-FY</v>
          </cell>
        </row>
        <row r="59">
          <cell r="B59" t="str">
            <v>EBIT</v>
          </cell>
          <cell r="C59">
            <v>785.5</v>
          </cell>
          <cell r="E59">
            <v>815.59999999999991</v>
          </cell>
          <cell r="G59">
            <v>743.59999999999991</v>
          </cell>
          <cell r="I59">
            <v>904.89999999999986</v>
          </cell>
          <cell r="K59">
            <v>792.50000000000023</v>
          </cell>
          <cell r="M59">
            <v>1188.6999999999998</v>
          </cell>
          <cell r="O59">
            <v>1493.1</v>
          </cell>
          <cell r="Q59">
            <v>1543.9999999999995</v>
          </cell>
          <cell r="S59">
            <v>1531.1999999999998</v>
          </cell>
          <cell r="U59">
            <v>2362.4999999999991</v>
          </cell>
          <cell r="W59">
            <v>3426.9999999999991</v>
          </cell>
          <cell r="Y59">
            <v>4234.8999999999996</v>
          </cell>
          <cell r="AA59">
            <v>5301</v>
          </cell>
          <cell r="AC59">
            <v>5467.6345000000001</v>
          </cell>
          <cell r="AE59">
            <v>6024.24252837104</v>
          </cell>
          <cell r="AG59">
            <v>6561.5580806048583</v>
          </cell>
          <cell r="AI59">
            <v>6844.3819233177674</v>
          </cell>
          <cell r="AK59">
            <v>7203.7814496699866</v>
          </cell>
        </row>
        <row r="60">
          <cell r="B60" t="str">
            <v>EBIT * (1-tax)</v>
          </cell>
          <cell r="C60">
            <v>573.37117172969624</v>
          </cell>
          <cell r="E60">
            <v>550.09259483698941</v>
          </cell>
          <cell r="G60">
            <v>503.3153575025176</v>
          </cell>
          <cell r="I60">
            <v>639.25077418684384</v>
          </cell>
          <cell r="K60">
            <v>592.76497562108227</v>
          </cell>
          <cell r="M60">
            <v>838.03155831427625</v>
          </cell>
          <cell r="O60">
            <v>1045.2271995913677</v>
          </cell>
          <cell r="Q60">
            <v>1049.897867765633</v>
          </cell>
          <cell r="S60">
            <v>1016.7138943248531</v>
          </cell>
          <cell r="U60">
            <v>1683.8269035532987</v>
          </cell>
          <cell r="W60">
            <v>2440.2970281428247</v>
          </cell>
          <cell r="Y60">
            <v>3083.8713773645991</v>
          </cell>
          <cell r="AA60">
            <v>4007.8787821838005</v>
          </cell>
          <cell r="AC60">
            <v>4187.6740317983431</v>
          </cell>
          <cell r="AE60">
            <v>4608.5455342038458</v>
          </cell>
          <cell r="AG60">
            <v>5052.3997220657411</v>
          </cell>
          <cell r="AI60">
            <v>5304.39599057127</v>
          </cell>
          <cell r="AK60">
            <v>5586.5325142190741</v>
          </cell>
        </row>
        <row r="61">
          <cell r="B61" t="str">
            <v>Depreciation</v>
          </cell>
          <cell r="C61">
            <v>50.7</v>
          </cell>
          <cell r="E61">
            <v>74.5</v>
          </cell>
          <cell r="G61">
            <v>84.2</v>
          </cell>
          <cell r="I61">
            <v>100.3</v>
          </cell>
          <cell r="K61">
            <v>117.1</v>
          </cell>
          <cell r="M61">
            <v>143.80000000000001</v>
          </cell>
          <cell r="O61">
            <v>176.8</v>
          </cell>
          <cell r="Q61">
            <v>211.8</v>
          </cell>
          <cell r="S61">
            <v>265.89999999999998</v>
          </cell>
          <cell r="U61">
            <v>447.3</v>
          </cell>
          <cell r="W61">
            <v>686.5</v>
          </cell>
          <cell r="Y61">
            <v>734</v>
          </cell>
          <cell r="AA61">
            <v>841</v>
          </cell>
          <cell r="AC61">
            <v>772.04066666666665</v>
          </cell>
          <cell r="AE61">
            <v>1130.7377096774276</v>
          </cell>
          <cell r="AG61">
            <v>1349.0218220591833</v>
          </cell>
          <cell r="AI61">
            <v>1564.0573284190054</v>
          </cell>
          <cell r="AK61">
            <v>1824.087369245593</v>
          </cell>
        </row>
        <row r="62">
          <cell r="B62" t="str">
            <v>Cap Ex</v>
          </cell>
          <cell r="C62">
            <v>-209.9</v>
          </cell>
          <cell r="E62">
            <v>-130.80000000000001</v>
          </cell>
          <cell r="G62">
            <v>-162.69999999999999</v>
          </cell>
          <cell r="I62">
            <v>-266.89999999999998</v>
          </cell>
          <cell r="K62">
            <v>-387.8</v>
          </cell>
          <cell r="M62">
            <v>-407.8</v>
          </cell>
          <cell r="O62">
            <v>-304.2</v>
          </cell>
          <cell r="Q62">
            <v>-437.7</v>
          </cell>
          <cell r="S62">
            <v>-441.8</v>
          </cell>
          <cell r="U62">
            <v>-658.5</v>
          </cell>
          <cell r="W62">
            <v>-1356.8</v>
          </cell>
          <cell r="Y62">
            <v>-1336</v>
          </cell>
          <cell r="AA62">
            <v>-867</v>
          </cell>
          <cell r="AC62">
            <v>-1653.48</v>
          </cell>
          <cell r="AE62">
            <v>-1508.977822580707</v>
          </cell>
          <cell r="AG62">
            <v>-1637.1308428631664</v>
          </cell>
          <cell r="AI62">
            <v>-1612.7662976986658</v>
          </cell>
          <cell r="AK62">
            <v>-1950.2253061994086</v>
          </cell>
        </row>
        <row r="63">
          <cell r="B63" t="str">
            <v>Change to WC</v>
          </cell>
          <cell r="C63">
            <v>-38.9</v>
          </cell>
          <cell r="E63">
            <v>-15.100000000000001</v>
          </cell>
          <cell r="G63">
            <v>74</v>
          </cell>
          <cell r="I63">
            <v>-35.9</v>
          </cell>
          <cell r="K63">
            <v>136.80000000000001</v>
          </cell>
          <cell r="M63">
            <v>-4.2999999999999972</v>
          </cell>
          <cell r="O63">
            <v>-224.5</v>
          </cell>
          <cell r="Q63">
            <v>-120.70000000000002</v>
          </cell>
          <cell r="S63">
            <v>-99.4</v>
          </cell>
          <cell r="U63">
            <v>-249.60000000000002</v>
          </cell>
          <cell r="W63">
            <v>442.6</v>
          </cell>
          <cell r="Y63">
            <v>-375</v>
          </cell>
          <cell r="AA63">
            <v>10</v>
          </cell>
          <cell r="AC63">
            <v>-896.10421892857164</v>
          </cell>
          <cell r="AE63">
            <v>-228.14442589918781</v>
          </cell>
          <cell r="AG63">
            <v>-348.82458203561737</v>
          </cell>
          <cell r="AI63">
            <v>10.64580031759715</v>
          </cell>
          <cell r="AK63">
            <v>-46.53831528920216</v>
          </cell>
        </row>
        <row r="64">
          <cell r="B64" t="str">
            <v>Non-Cash Charges</v>
          </cell>
          <cell r="C64">
            <v>37.9</v>
          </cell>
          <cell r="E64">
            <v>152.80000000000001</v>
          </cell>
          <cell r="G64">
            <v>77.3</v>
          </cell>
          <cell r="I64">
            <v>78.400000000000006</v>
          </cell>
          <cell r="K64">
            <v>4.7000000000000028</v>
          </cell>
          <cell r="M64">
            <v>38.800000000000004</v>
          </cell>
          <cell r="O64">
            <v>26.6</v>
          </cell>
          <cell r="Q64">
            <v>28.4</v>
          </cell>
          <cell r="S64">
            <v>-50.500000000000014</v>
          </cell>
          <cell r="U64">
            <v>3191.4</v>
          </cell>
          <cell r="W64">
            <v>-90.6</v>
          </cell>
          <cell r="Y64">
            <v>772</v>
          </cell>
          <cell r="AA64">
            <v>71</v>
          </cell>
          <cell r="AC64">
            <v>-300</v>
          </cell>
          <cell r="AE64">
            <v>0</v>
          </cell>
          <cell r="AG64">
            <v>0</v>
          </cell>
          <cell r="AI64">
            <v>0</v>
          </cell>
          <cell r="AK64">
            <v>0</v>
          </cell>
        </row>
        <row r="65">
          <cell r="B65" t="str">
            <v>Tax Benefit from Stock Options</v>
          </cell>
          <cell r="C65">
            <v>0</v>
          </cell>
          <cell r="E65">
            <v>0</v>
          </cell>
          <cell r="G65">
            <v>0</v>
          </cell>
          <cell r="I65">
            <v>48.6</v>
          </cell>
          <cell r="K65">
            <v>54.7</v>
          </cell>
          <cell r="M65">
            <v>108.2</v>
          </cell>
          <cell r="O65">
            <v>151.80000000000001</v>
          </cell>
          <cell r="Q65">
            <v>376.6</v>
          </cell>
          <cell r="S65">
            <v>244.5</v>
          </cell>
          <cell r="U65">
            <v>251.6</v>
          </cell>
          <cell r="W65">
            <v>268.60000000000002</v>
          </cell>
          <cell r="Y65">
            <v>203</v>
          </cell>
          <cell r="AA65">
            <v>315</v>
          </cell>
          <cell r="AC65">
            <v>0</v>
          </cell>
          <cell r="AE65">
            <v>0</v>
          </cell>
          <cell r="AG65">
            <v>0</v>
          </cell>
          <cell r="AI65">
            <v>0</v>
          </cell>
          <cell r="AK65">
            <v>0</v>
          </cell>
        </row>
        <row r="66">
          <cell r="B66" t="str">
            <v>Free Cash Flow</v>
          </cell>
          <cell r="C66">
            <v>413.17117172969631</v>
          </cell>
          <cell r="E66">
            <v>631.49259483698938</v>
          </cell>
          <cell r="G66">
            <v>576.11535750251767</v>
          </cell>
          <cell r="I66">
            <v>563.75077418684384</v>
          </cell>
          <cell r="K66">
            <v>518.26497562108227</v>
          </cell>
          <cell r="M66">
            <v>716.7315583142763</v>
          </cell>
          <cell r="O66">
            <v>871.72719959136771</v>
          </cell>
          <cell r="Q66">
            <v>1108.2978677656329</v>
          </cell>
          <cell r="S66">
            <v>935.413894324853</v>
          </cell>
          <cell r="U66">
            <v>4666.0269035532992</v>
          </cell>
          <cell r="W66">
            <v>2390.5970281428249</v>
          </cell>
          <cell r="Y66">
            <v>3081.8713773645991</v>
          </cell>
          <cell r="AA66">
            <v>4377.8787821838005</v>
          </cell>
          <cell r="AC66">
            <v>2110.1304795364381</v>
          </cell>
          <cell r="AE66">
            <v>4002.1609954013784</v>
          </cell>
          <cell r="AG66">
            <v>4415.466119226141</v>
          </cell>
          <cell r="AI66">
            <v>5266.3328216092068</v>
          </cell>
          <cell r="AK66">
            <v>5413.8562619760569</v>
          </cell>
        </row>
        <row r="68">
          <cell r="B68" t="str">
            <v>CFO</v>
          </cell>
          <cell r="C68">
            <v>433</v>
          </cell>
          <cell r="E68">
            <v>531.9</v>
          </cell>
          <cell r="G68">
            <v>773.2</v>
          </cell>
          <cell r="I68">
            <v>871.19999999999993</v>
          </cell>
          <cell r="K68">
            <v>957.6</v>
          </cell>
          <cell r="M68">
            <v>1149.7</v>
          </cell>
          <cell r="O68">
            <v>1227.1000000000001</v>
          </cell>
          <cell r="Q68">
            <v>1634.6</v>
          </cell>
          <cell r="S68">
            <v>1480.1999999999998</v>
          </cell>
          <cell r="U68">
            <v>2248.8000000000002</v>
          </cell>
          <cell r="W68">
            <v>3566.5999999999995</v>
          </cell>
          <cell r="Y68">
            <v>3697</v>
          </cell>
          <cell r="AA68">
            <v>4911</v>
          </cell>
          <cell r="AC68">
            <v>3200.3196302380957</v>
          </cell>
          <cell r="AE68">
            <v>5355.1952532758032</v>
          </cell>
          <cell r="AG68">
            <v>5939.1116434991454</v>
          </cell>
          <cell r="AI68">
            <v>6842.4063049086362</v>
          </cell>
          <cell r="AK68">
            <v>7389.6899765144535</v>
          </cell>
        </row>
        <row r="69">
          <cell r="B69" t="str">
            <v>Cap Ex</v>
          </cell>
          <cell r="C69">
            <v>-209.9</v>
          </cell>
          <cell r="E69">
            <v>-130.80000000000001</v>
          </cell>
          <cell r="G69">
            <v>-162.69999999999999</v>
          </cell>
          <cell r="I69">
            <v>-266.89999999999998</v>
          </cell>
          <cell r="K69">
            <v>-387.8</v>
          </cell>
          <cell r="M69">
            <v>-407.8</v>
          </cell>
          <cell r="O69">
            <v>-304.2</v>
          </cell>
          <cell r="Q69">
            <v>-437.7</v>
          </cell>
          <cell r="S69">
            <v>-441.8</v>
          </cell>
          <cell r="U69">
            <v>-658.5</v>
          </cell>
          <cell r="W69">
            <v>-1356.8</v>
          </cell>
          <cell r="Y69">
            <v>-1336</v>
          </cell>
          <cell r="AA69">
            <v>-867</v>
          </cell>
          <cell r="AC69">
            <v>-1653.48</v>
          </cell>
          <cell r="AE69">
            <v>-1508.977822580707</v>
          </cell>
          <cell r="AG69">
            <v>-1637.1308428631664</v>
          </cell>
          <cell r="AI69">
            <v>-1612.7662976986658</v>
          </cell>
          <cell r="AK69">
            <v>-1950.2253061994086</v>
          </cell>
        </row>
        <row r="70">
          <cell r="AC70">
            <v>170.55674999999999</v>
          </cell>
          <cell r="AE70">
            <v>241.49308286250007</v>
          </cell>
          <cell r="AG70">
            <v>304.2759299385545</v>
          </cell>
          <cell r="AI70">
            <v>334.30929864953174</v>
          </cell>
          <cell r="AK70">
            <v>317.12642488736873</v>
          </cell>
        </row>
        <row r="71">
          <cell r="B71" t="str">
            <v>Free Cash Flow</v>
          </cell>
          <cell r="C71">
            <v>223.1</v>
          </cell>
          <cell r="E71">
            <v>401.09999999999997</v>
          </cell>
          <cell r="G71">
            <v>610.5</v>
          </cell>
          <cell r="I71">
            <v>604.29999999999995</v>
          </cell>
          <cell r="K71">
            <v>569.79999999999995</v>
          </cell>
          <cell r="M71">
            <v>741.90000000000009</v>
          </cell>
          <cell r="O71">
            <v>922.90000000000009</v>
          </cell>
          <cell r="Q71">
            <v>1196.8999999999999</v>
          </cell>
          <cell r="S71">
            <v>1038.3999999999999</v>
          </cell>
          <cell r="U71">
            <v>1590.3000000000002</v>
          </cell>
          <cell r="W71">
            <v>2209.7999999999993</v>
          </cell>
          <cell r="Y71">
            <v>2361</v>
          </cell>
          <cell r="AA71">
            <v>4044</v>
          </cell>
          <cell r="AC71">
            <v>1717.3963802380956</v>
          </cell>
          <cell r="AE71">
            <v>4087.7105135575966</v>
          </cell>
          <cell r="AG71">
            <v>4606.2567305745333</v>
          </cell>
          <cell r="AI71">
            <v>5563.9493058595026</v>
          </cell>
          <cell r="AK71">
            <v>5756.5910952024133</v>
          </cell>
        </row>
        <row r="76">
          <cell r="S76" t="str">
            <v>Cap Ex</v>
          </cell>
          <cell r="U76">
            <v>0.29282283884738525</v>
          </cell>
          <cell r="W76">
            <v>0.38041832557617905</v>
          </cell>
          <cell r="Y76">
            <v>0.36137408709764673</v>
          </cell>
          <cell r="AA76">
            <v>0.17654245571166768</v>
          </cell>
          <cell r="AC76">
            <v>0.51666089361111267</v>
          </cell>
          <cell r="AE76">
            <v>0.28177830148352795</v>
          </cell>
          <cell r="AG76">
            <v>0.27565247820440336</v>
          </cell>
          <cell r="AI76">
            <v>0.23570162685920773</v>
          </cell>
          <cell r="AK76">
            <v>0.26391165426391605</v>
          </cell>
        </row>
        <row r="77">
          <cell r="S77" t="str">
            <v>Repurchase</v>
          </cell>
          <cell r="U77">
            <v>0.63162575595873349</v>
          </cell>
          <cell r="W77">
            <v>0.50496270958335676</v>
          </cell>
          <cell r="Y77">
            <v>1.1014335948065999</v>
          </cell>
          <cell r="AA77">
            <v>0.90205660761555695</v>
          </cell>
          <cell r="AC77">
            <v>2.3677322503678342</v>
          </cell>
          <cell r="AE77">
            <v>0.61268681062431096</v>
          </cell>
          <cell r="AG77">
            <v>0.59802626334490316</v>
          </cell>
          <cell r="AI77">
            <v>0.56190227732474785</v>
          </cell>
          <cell r="AK77">
            <v>0.49280986273625083</v>
          </cell>
        </row>
        <row r="78">
          <cell r="S78" t="str">
            <v>Debt Repayment</v>
          </cell>
          <cell r="U78">
            <v>0</v>
          </cell>
          <cell r="W78">
            <v>3.4486625918241469E-2</v>
          </cell>
          <cell r="Y78">
            <v>0</v>
          </cell>
          <cell r="AA78">
            <v>0.23925880676033395</v>
          </cell>
          <cell r="AC78">
            <v>0</v>
          </cell>
          <cell r="AE78">
            <v>1.8673455452222668E-2</v>
          </cell>
          <cell r="AG78">
            <v>0</v>
          </cell>
          <cell r="AI78">
            <v>0.1458551210681614</v>
          </cell>
          <cell r="AK78">
            <v>0</v>
          </cell>
        </row>
        <row r="79">
          <cell r="S79" t="str">
            <v>M&amp;A</v>
          </cell>
          <cell r="U79">
            <v>0.84445037353255059</v>
          </cell>
          <cell r="W79">
            <v>0</v>
          </cell>
          <cell r="Y79">
            <v>-3.1106302407357317E-2</v>
          </cell>
          <cell r="AA79">
            <v>0</v>
          </cell>
          <cell r="AC79">
            <v>0.68743133629947006</v>
          </cell>
          <cell r="AE79">
            <v>0</v>
          </cell>
          <cell r="AG79">
            <v>0</v>
          </cell>
          <cell r="AI79">
            <v>0</v>
          </cell>
          <cell r="AK79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A1" t="str">
            <v>US Sales ($M)</v>
          </cell>
          <cell r="B1" t="str">
            <v xml:space="preserve">Aranesp </v>
          </cell>
          <cell r="C1" t="str">
            <v xml:space="preserve">YoY </v>
          </cell>
          <cell r="D1" t="str">
            <v>Aranesp  Share</v>
          </cell>
          <cell r="E1" t="str">
            <v xml:space="preserve">Procrit </v>
          </cell>
          <cell r="F1" t="str">
            <v xml:space="preserve">YoY </v>
          </cell>
          <cell r="G1" t="str">
            <v>Total ($M)</v>
          </cell>
          <cell r="H1" t="str">
            <v xml:space="preserve">YoY </v>
          </cell>
        </row>
        <row r="2">
          <cell r="A2" t="str">
            <v>4Q02A</v>
          </cell>
          <cell r="B2">
            <v>150</v>
          </cell>
          <cell r="D2">
            <v>0.15739769150052466</v>
          </cell>
          <cell r="E2">
            <v>803</v>
          </cell>
          <cell r="G2">
            <v>953</v>
          </cell>
        </row>
        <row r="3">
          <cell r="A3" t="str">
            <v>2002A</v>
          </cell>
          <cell r="B3">
            <v>150</v>
          </cell>
          <cell r="D3">
            <v>4.7110552763819098E-2</v>
          </cell>
          <cell r="E3">
            <v>3034</v>
          </cell>
          <cell r="G3">
            <v>3184</v>
          </cell>
        </row>
        <row r="4">
          <cell r="A4" t="str">
            <v>1Q03A</v>
          </cell>
          <cell r="B4">
            <v>157.9</v>
          </cell>
          <cell r="D4">
            <v>0.1792484958565104</v>
          </cell>
          <cell r="E4">
            <v>723</v>
          </cell>
          <cell r="G4">
            <v>880.9</v>
          </cell>
        </row>
        <row r="5">
          <cell r="A5" t="str">
            <v>2Q03A</v>
          </cell>
          <cell r="B5">
            <v>216.6</v>
          </cell>
          <cell r="D5">
            <v>0.23451710697271544</v>
          </cell>
          <cell r="E5">
            <v>707</v>
          </cell>
          <cell r="G5">
            <v>923.6</v>
          </cell>
        </row>
        <row r="6">
          <cell r="A6" t="str">
            <v>3Q03A</v>
          </cell>
          <cell r="B6">
            <v>283.89999999999998</v>
          </cell>
          <cell r="D6">
            <v>0.28766845678386865</v>
          </cell>
          <cell r="E6">
            <v>703</v>
          </cell>
          <cell r="G6">
            <v>986.9</v>
          </cell>
        </row>
        <row r="7">
          <cell r="A7" t="str">
            <v>4Q03A</v>
          </cell>
          <cell r="B7">
            <v>321.5</v>
          </cell>
          <cell r="C7">
            <v>1.1433333333333335</v>
          </cell>
          <cell r="D7">
            <v>0.32392947103274561</v>
          </cell>
          <cell r="E7">
            <v>671</v>
          </cell>
          <cell r="F7">
            <v>-0.16438356164383561</v>
          </cell>
          <cell r="G7">
            <v>992.5</v>
          </cell>
          <cell r="H7">
            <v>4.1448058761804907E-2</v>
          </cell>
        </row>
        <row r="8">
          <cell r="A8" t="str">
            <v>2003A</v>
          </cell>
          <cell r="B8">
            <v>979.9</v>
          </cell>
          <cell r="C8">
            <v>5.5326666666666666</v>
          </cell>
          <cell r="D8">
            <v>0.25896561748460584</v>
          </cell>
          <cell r="E8">
            <v>2804</v>
          </cell>
          <cell r="F8">
            <v>-7.5807514831905065E-2</v>
          </cell>
          <cell r="G8">
            <v>3783.9</v>
          </cell>
          <cell r="H8">
            <v>0.18841080402010046</v>
          </cell>
        </row>
        <row r="9">
          <cell r="A9" t="str">
            <v>1Q04A</v>
          </cell>
          <cell r="B9">
            <v>329.6</v>
          </cell>
          <cell r="C9">
            <v>1.0873970867637746</v>
          </cell>
          <cell r="D9">
            <v>0.32389937106918243</v>
          </cell>
          <cell r="E9">
            <v>688</v>
          </cell>
          <cell r="F9">
            <v>-4.8409405255878335E-2</v>
          </cell>
          <cell r="G9">
            <v>1017.6</v>
          </cell>
          <cell r="H9">
            <v>0.15518220002270411</v>
          </cell>
        </row>
        <row r="10">
          <cell r="A10" t="str">
            <v>2Q04A</v>
          </cell>
          <cell r="B10">
            <v>380.7</v>
          </cell>
          <cell r="C10">
            <v>0.75761772853185594</v>
          </cell>
          <cell r="D10">
            <v>0.3954502960423808</v>
          </cell>
          <cell r="E10">
            <v>582</v>
          </cell>
          <cell r="F10">
            <v>-0.1768033946251768</v>
          </cell>
          <cell r="G10">
            <v>962.7</v>
          </cell>
          <cell r="H10">
            <v>4.2334343871806013E-2</v>
          </cell>
        </row>
        <row r="11">
          <cell r="A11" t="str">
            <v>3Q04A</v>
          </cell>
          <cell r="B11">
            <v>374</v>
          </cell>
          <cell r="C11">
            <v>0.31736526946107801</v>
          </cell>
          <cell r="D11">
            <v>0.3789260385005066</v>
          </cell>
          <cell r="E11">
            <v>613</v>
          </cell>
          <cell r="F11">
            <v>-0.12802275960170695</v>
          </cell>
          <cell r="G11">
            <v>987</v>
          </cell>
          <cell r="H11">
            <v>1.0132738879331527E-4</v>
          </cell>
        </row>
        <row r="12">
          <cell r="A12" t="str">
            <v>4Q04A</v>
          </cell>
          <cell r="B12">
            <v>424</v>
          </cell>
          <cell r="C12">
            <v>0.3188180404354588</v>
          </cell>
          <cell r="D12">
            <v>0.42315369261477048</v>
          </cell>
          <cell r="E12">
            <v>578</v>
          </cell>
          <cell r="F12">
            <v>-0.13859910581222057</v>
          </cell>
          <cell r="G12">
            <v>1002</v>
          </cell>
          <cell r="H12">
            <v>9.5717884130981368E-3</v>
          </cell>
        </row>
        <row r="13">
          <cell r="A13" t="str">
            <v>2004A</v>
          </cell>
          <cell r="B13">
            <v>1533.3</v>
          </cell>
          <cell r="C13">
            <v>0.56475150525563822</v>
          </cell>
          <cell r="D13">
            <v>0.38387201762511575</v>
          </cell>
          <cell r="E13">
            <v>2461</v>
          </cell>
          <cell r="F13">
            <v>-0.12232524964336666</v>
          </cell>
          <cell r="G13">
            <v>3994.3</v>
          </cell>
          <cell r="H13">
            <v>5.5604006448373378E-2</v>
          </cell>
        </row>
        <row r="14">
          <cell r="A14" t="str">
            <v>1Q05A</v>
          </cell>
          <cell r="B14">
            <v>447</v>
          </cell>
          <cell r="C14">
            <v>0.3561893203883495</v>
          </cell>
          <cell r="D14">
            <v>0.44169960474308301</v>
          </cell>
          <cell r="E14">
            <v>565</v>
          </cell>
          <cell r="F14">
            <v>-0.17877906976744184</v>
          </cell>
          <cell r="G14">
            <v>1012</v>
          </cell>
          <cell r="H14">
            <v>-5.5031446540880768E-3</v>
          </cell>
        </row>
        <row r="15">
          <cell r="A15" t="str">
            <v>2Q05A</v>
          </cell>
          <cell r="B15">
            <v>536</v>
          </cell>
          <cell r="C15">
            <v>0.40793275545048591</v>
          </cell>
          <cell r="D15">
            <v>0.48638838475499091</v>
          </cell>
          <cell r="E15">
            <v>566</v>
          </cell>
          <cell r="F15">
            <v>-2.7491408934707917E-2</v>
          </cell>
          <cell r="G15">
            <v>1102</v>
          </cell>
          <cell r="H15">
            <v>0.14469720577542322</v>
          </cell>
        </row>
        <row r="16">
          <cell r="A16" t="str">
            <v>3Q05A</v>
          </cell>
          <cell r="B16">
            <v>542</v>
          </cell>
          <cell r="C16">
            <v>0.44919786096256686</v>
          </cell>
          <cell r="D16">
            <v>0.48522829006266788</v>
          </cell>
          <cell r="E16">
            <v>575</v>
          </cell>
          <cell r="F16">
            <v>-6.1990212071778128E-2</v>
          </cell>
          <cell r="G16">
            <v>1117</v>
          </cell>
          <cell r="H16">
            <v>0.13171225937183384</v>
          </cell>
        </row>
        <row r="17">
          <cell r="A17" t="str">
            <v>4Q05A</v>
          </cell>
          <cell r="B17">
            <v>579</v>
          </cell>
          <cell r="C17">
            <v>0.36556603773584895</v>
          </cell>
          <cell r="D17">
            <v>0.51742627345844505</v>
          </cell>
          <cell r="E17">
            <v>540</v>
          </cell>
          <cell r="F17">
            <v>-6.5743944636678209E-2</v>
          </cell>
          <cell r="G17">
            <v>1119</v>
          </cell>
          <cell r="H17">
            <v>0.11676646706586835</v>
          </cell>
        </row>
        <row r="18">
          <cell r="A18" t="str">
            <v>2005A</v>
          </cell>
          <cell r="B18">
            <v>2104</v>
          </cell>
          <cell r="C18">
            <v>0.37220374355964259</v>
          </cell>
          <cell r="D18">
            <v>0.48367816091954025</v>
          </cell>
          <cell r="E18">
            <v>2246</v>
          </cell>
          <cell r="F18">
            <v>-8.7362860625761929E-2</v>
          </cell>
          <cell r="G18">
            <v>4350</v>
          </cell>
          <cell r="H18">
            <v>8.9051898956012288E-2</v>
          </cell>
        </row>
        <row r="19">
          <cell r="A19" t="str">
            <v>1Q06A</v>
          </cell>
          <cell r="B19">
            <v>596</v>
          </cell>
          <cell r="C19">
            <v>0.33333333333333326</v>
          </cell>
          <cell r="D19">
            <v>0.53072128227960824</v>
          </cell>
          <cell r="E19">
            <v>527</v>
          </cell>
          <cell r="F19">
            <v>-6.7256637168141564E-2</v>
          </cell>
          <cell r="G19">
            <v>1123</v>
          </cell>
          <cell r="H19">
            <v>0.10968379446640308</v>
          </cell>
        </row>
        <row r="20">
          <cell r="A20" t="str">
            <v>2Q06E</v>
          </cell>
          <cell r="B20">
            <v>645</v>
          </cell>
          <cell r="C20">
            <v>0.20335820895522394</v>
          </cell>
          <cell r="D20">
            <v>0.54020100502512558</v>
          </cell>
          <cell r="E20">
            <v>549</v>
          </cell>
          <cell r="F20">
            <v>-3.0035335689045928E-2</v>
          </cell>
          <cell r="G20">
            <v>1194</v>
          </cell>
          <cell r="H20">
            <v>8.3484573502722315E-2</v>
          </cell>
        </row>
        <row r="21">
          <cell r="A21" t="str">
            <v>3Q06E</v>
          </cell>
          <cell r="B21">
            <v>665</v>
          </cell>
          <cell r="C21">
            <v>0.22693726937269365</v>
          </cell>
          <cell r="D21">
            <v>0.53115015974440893</v>
          </cell>
          <cell r="E21">
            <v>587</v>
          </cell>
          <cell r="F21">
            <v>2.0869565217391362E-2</v>
          </cell>
          <cell r="G21">
            <v>1252</v>
          </cell>
          <cell r="H21">
            <v>0.12085944494180834</v>
          </cell>
        </row>
        <row r="22">
          <cell r="A22" t="str">
            <v>4Q06E</v>
          </cell>
          <cell r="B22">
            <v>690</v>
          </cell>
          <cell r="C22">
            <v>0.19170984455958551</v>
          </cell>
          <cell r="D22">
            <v>0.56097560975609762</v>
          </cell>
          <cell r="E22">
            <v>540</v>
          </cell>
          <cell r="F22">
            <v>0</v>
          </cell>
          <cell r="G22">
            <v>1230</v>
          </cell>
          <cell r="H22">
            <v>9.9195710455764141E-2</v>
          </cell>
        </row>
        <row r="23">
          <cell r="A23" t="str">
            <v>2006E</v>
          </cell>
          <cell r="B23">
            <v>2596</v>
          </cell>
          <cell r="C23">
            <v>0.23384030418250945</v>
          </cell>
          <cell r="D23">
            <v>0.54094603042300482</v>
          </cell>
          <cell r="E23">
            <v>2203</v>
          </cell>
          <cell r="F23">
            <v>-1.9145146927871726E-2</v>
          </cell>
          <cell r="G23">
            <v>4799</v>
          </cell>
          <cell r="H23">
            <v>0.1032183908045976</v>
          </cell>
        </row>
        <row r="24">
          <cell r="A24" t="str">
            <v>2007E</v>
          </cell>
          <cell r="B24">
            <v>2975</v>
          </cell>
          <cell r="C24">
            <v>0.14599383667180277</v>
          </cell>
          <cell r="D24">
            <v>0.60198300283286121</v>
          </cell>
          <cell r="E24">
            <v>1967</v>
          </cell>
          <cell r="F24">
            <v>-0.10712664548343165</v>
          </cell>
          <cell r="G24">
            <v>4942</v>
          </cell>
          <cell r="H24">
            <v>2.97978745571994E-2</v>
          </cell>
        </row>
        <row r="25">
          <cell r="A25" t="str">
            <v>2008E</v>
          </cell>
          <cell r="B25">
            <v>3300</v>
          </cell>
          <cell r="C25">
            <v>0.10924369747899165</v>
          </cell>
          <cell r="D25">
            <v>0.65075921908893708</v>
          </cell>
          <cell r="E25">
            <v>1771</v>
          </cell>
          <cell r="F25">
            <v>-9.9644128113879016E-2</v>
          </cell>
          <cell r="G25">
            <v>5071</v>
          </cell>
          <cell r="H25">
            <v>2.6102792391744289E-2</v>
          </cell>
        </row>
        <row r="26">
          <cell r="A26" t="str">
            <v>2009E</v>
          </cell>
          <cell r="B26">
            <v>3600</v>
          </cell>
          <cell r="C26">
            <v>9.0909090909090828E-2</v>
          </cell>
          <cell r="D26">
            <v>0.69310743165190603</v>
          </cell>
          <cell r="E26">
            <v>1594</v>
          </cell>
          <cell r="F26">
            <v>-9.9943534726143368E-2</v>
          </cell>
          <cell r="G26">
            <v>5194</v>
          </cell>
          <cell r="H26">
            <v>2.4255570893314982E-2</v>
          </cell>
        </row>
      </sheetData>
      <sheetData sheetId="15" refreshError="1"/>
      <sheetData sheetId="16" refreshError="1"/>
      <sheetData sheetId="17"/>
      <sheetData sheetId="18" refreshError="1">
        <row r="1">
          <cell r="C1" t="str">
            <v>At Risk
for FN</v>
          </cell>
          <cell r="D1" t="str">
            <v>Treated Front-line</v>
          </cell>
          <cell r="E1" t="str">
            <v>Untreated
Front-line</v>
          </cell>
        </row>
        <row r="2">
          <cell r="B2" t="str">
            <v>Breast Cancer</v>
          </cell>
          <cell r="C2">
            <v>117000</v>
          </cell>
          <cell r="D2">
            <v>30420</v>
          </cell>
          <cell r="E2">
            <v>86580</v>
          </cell>
          <cell r="G2" t="str">
            <v>US</v>
          </cell>
          <cell r="H2" t="str">
            <v>1Q04</v>
          </cell>
          <cell r="I2" t="str">
            <v>2Q04</v>
          </cell>
          <cell r="J2" t="str">
            <v>3Q04</v>
          </cell>
          <cell r="L2" t="str">
            <v>n= 411</v>
          </cell>
          <cell r="M2" t="str">
            <v>AMG 162</v>
          </cell>
          <cell r="N2" t="str">
            <v>Fosamax</v>
          </cell>
          <cell r="O2" t="str">
            <v>Placebo</v>
          </cell>
        </row>
        <row r="3">
          <cell r="B3" t="str">
            <v>Lung Cancer</v>
          </cell>
          <cell r="C3">
            <v>138000</v>
          </cell>
          <cell r="D3">
            <v>11040</v>
          </cell>
          <cell r="E3">
            <v>126960</v>
          </cell>
          <cell r="G3" t="str">
            <v>Aranesp</v>
          </cell>
          <cell r="H3">
            <v>0.37</v>
          </cell>
          <cell r="I3">
            <v>0.39</v>
          </cell>
          <cell r="J3">
            <v>0.43</v>
          </cell>
          <cell r="L3" t="str">
            <v>BMD (6 months)</v>
          </cell>
          <cell r="M3" t="str">
            <v>+4-5%</v>
          </cell>
          <cell r="N3" t="str">
            <v>+5%</v>
          </cell>
        </row>
        <row r="4">
          <cell r="G4" t="str">
            <v>Procrit</v>
          </cell>
          <cell r="H4">
            <v>0.63</v>
          </cell>
          <cell r="I4">
            <v>0.61</v>
          </cell>
          <cell r="J4">
            <v>0.56999999999999995</v>
          </cell>
          <cell r="L4" t="str">
            <v>BMD (12 months)</v>
          </cell>
          <cell r="M4" t="str">
            <v>+4-7%</v>
          </cell>
          <cell r="N4" t="str">
            <v>+5%</v>
          </cell>
          <cell r="O4">
            <v>0.01</v>
          </cell>
          <cell r="S4" t="str">
            <v>Patent</v>
          </cell>
          <cell r="T4" t="str">
            <v>Date Issued</v>
          </cell>
          <cell r="U4" t="str">
            <v>Description*</v>
          </cell>
          <cell r="V4" t="str">
            <v>Status</v>
          </cell>
        </row>
        <row r="5">
          <cell r="L5" t="str">
            <v>Dyspepsia</v>
          </cell>
          <cell r="M5">
            <v>0.05</v>
          </cell>
          <cell r="N5">
            <v>0.2</v>
          </cell>
          <cell r="O5">
            <v>0.04</v>
          </cell>
          <cell r="S5" t="str">
            <v>'422</v>
          </cell>
          <cell r="T5">
            <v>36424</v>
          </cell>
          <cell r="U5" t="str">
            <v>Composition of therapeutically effective amount of erythropoietin</v>
          </cell>
          <cell r="V5" t="str">
            <v>Previously found to be valid and infringed upon</v>
          </cell>
        </row>
        <row r="6">
          <cell r="S6" t="str">
            <v>'080</v>
          </cell>
          <cell r="T6">
            <v>35535</v>
          </cell>
          <cell r="U6" t="str">
            <v>Erythropoietin product and manufacturing process</v>
          </cell>
          <cell r="V6" t="str">
            <v>Previously found to be valid and infringed upon</v>
          </cell>
        </row>
        <row r="7">
          <cell r="S7" t="str">
            <v>'698</v>
          </cell>
          <cell r="T7">
            <v>35521</v>
          </cell>
          <cell r="U7" t="str">
            <v>Preparation process of erythropoietin product active in vivo</v>
          </cell>
          <cell r="V7" t="str">
            <v>Found to be valid and infringed upon today</v>
          </cell>
        </row>
        <row r="8">
          <cell r="M8" t="str">
            <v>AMG 162</v>
          </cell>
          <cell r="N8" t="str">
            <v>Fosamax</v>
          </cell>
          <cell r="O8" t="str">
            <v>Placebo</v>
          </cell>
          <cell r="P8" t="str">
            <v>p-value 
(AMG162 vs. Fosomax)</v>
          </cell>
          <cell r="S8" t="str">
            <v>'349</v>
          </cell>
          <cell r="T8">
            <v>35916</v>
          </cell>
          <cell r="U8" t="str">
            <v>Use of vertebrae cells to produce erythropoietin products</v>
          </cell>
          <cell r="V8" t="str">
            <v>Found to be valid and infringed upon today</v>
          </cell>
        </row>
        <row r="9">
          <cell r="L9" t="str">
            <v>Lumbar Spine</v>
          </cell>
          <cell r="M9" t="str">
            <v>+5%</v>
          </cell>
          <cell r="N9" t="str">
            <v>+5%</v>
          </cell>
          <cell r="O9" t="str">
            <v>-1%</v>
          </cell>
          <cell r="P9" t="str">
            <v>NS</v>
          </cell>
          <cell r="S9" t="str">
            <v>Note:  * Broadest claim</v>
          </cell>
        </row>
        <row r="10">
          <cell r="L10" t="str">
            <v>Hip</v>
          </cell>
          <cell r="M10" t="str">
            <v>+3%</v>
          </cell>
          <cell r="N10" t="str">
            <v>+2%</v>
          </cell>
          <cell r="O10" t="str">
            <v>-1%</v>
          </cell>
          <cell r="P10" t="str">
            <v>p=0.01</v>
          </cell>
        </row>
        <row r="11">
          <cell r="L11" t="str">
            <v>Distal radius</v>
          </cell>
          <cell r="M11" t="str">
            <v>+1.2%</v>
          </cell>
          <cell r="N11" t="str">
            <v>0%</v>
          </cell>
          <cell r="O11" t="str">
            <v>-2%</v>
          </cell>
          <cell r="P11" t="str">
            <v>p&lt;0.01</v>
          </cell>
        </row>
      </sheetData>
      <sheetData sheetId="19" refreshError="1">
        <row r="4">
          <cell r="B4" t="str">
            <v>(For Marketing Pack)</v>
          </cell>
        </row>
        <row r="6">
          <cell r="D6" t="str">
            <v>2004A</v>
          </cell>
          <cell r="F6" t="str">
            <v>2005A</v>
          </cell>
          <cell r="H6" t="str">
            <v>2006E</v>
          </cell>
          <cell r="J6" t="str">
            <v>2007E</v>
          </cell>
        </row>
        <row r="7">
          <cell r="B7" t="str">
            <v>Epogen</v>
          </cell>
          <cell r="D7">
            <v>2600.6</v>
          </cell>
          <cell r="F7">
            <v>2455</v>
          </cell>
          <cell r="H7">
            <v>2514</v>
          </cell>
          <cell r="J7">
            <v>2572.1174973954289</v>
          </cell>
        </row>
        <row r="8">
          <cell r="B8" t="str">
            <v>Aranesp</v>
          </cell>
          <cell r="D8">
            <v>2472.9</v>
          </cell>
          <cell r="F8">
            <v>3273</v>
          </cell>
          <cell r="H8">
            <v>3913</v>
          </cell>
          <cell r="J8">
            <v>4350</v>
          </cell>
        </row>
        <row r="9">
          <cell r="B9" t="str">
            <v>Neulasta</v>
          </cell>
          <cell r="D9">
            <v>1739.6</v>
          </cell>
          <cell r="F9">
            <v>2288</v>
          </cell>
          <cell r="H9">
            <v>2603</v>
          </cell>
          <cell r="J9">
            <v>2889.3300000000004</v>
          </cell>
        </row>
        <row r="10">
          <cell r="B10" t="str">
            <v>Enbrel</v>
          </cell>
          <cell r="D10">
            <v>1900.3</v>
          </cell>
          <cell r="F10">
            <v>2573</v>
          </cell>
          <cell r="H10">
            <v>2793</v>
          </cell>
          <cell r="J10">
            <v>3016.8307284116399</v>
          </cell>
        </row>
        <row r="11">
          <cell r="B11" t="str">
            <v>EPS</v>
          </cell>
          <cell r="D11">
            <v>2.36950115525927</v>
          </cell>
          <cell r="F11">
            <v>3.2027027027027026</v>
          </cell>
          <cell r="H11">
            <v>3.6698689952539394</v>
          </cell>
          <cell r="J11">
            <v>4.1013211403748855</v>
          </cell>
        </row>
        <row r="12">
          <cell r="B12" t="str">
            <v>Consensus</v>
          </cell>
          <cell r="D12">
            <v>2.41</v>
          </cell>
          <cell r="F12">
            <v>3.21</v>
          </cell>
          <cell r="H12">
            <v>3.64</v>
          </cell>
          <cell r="J12">
            <v>4.13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 contribution analysis"/>
      <sheetName val="rev change analysis"/>
      <sheetName val="2015 rev change"/>
    </sheetNames>
    <sheetDataSet>
      <sheetData sheetId="0"/>
      <sheetData sheetId="1">
        <row r="1">
          <cell r="R1" t="str">
            <v>SmartCharts</v>
          </cell>
          <cell r="BA1" t="str">
            <v>.</v>
          </cell>
        </row>
        <row r="2">
          <cell r="BA2" t="str">
            <v>.</v>
          </cell>
        </row>
        <row r="3">
          <cell r="BA3" t="str">
            <v>.</v>
          </cell>
        </row>
        <row r="4">
          <cell r="BA4" t="str">
            <v>.</v>
          </cell>
        </row>
        <row r="5">
          <cell r="C5" t="str">
            <v>Define value axis here:</v>
          </cell>
        </row>
        <row r="6">
          <cell r="C6" t="str">
            <v>WYE YOY revenue change 2010E-2015E</v>
          </cell>
        </row>
        <row r="10">
          <cell r="C10" t="str">
            <v>Input your data here:</v>
          </cell>
          <cell r="BA10" t="str">
            <v>.</v>
          </cell>
        </row>
        <row r="11">
          <cell r="C11" t="str">
            <v>Sales ($M)</v>
          </cell>
          <cell r="D11" t="str">
            <v>2011E</v>
          </cell>
          <cell r="E11" t="str">
            <v>2012E</v>
          </cell>
          <cell r="F11" t="str">
            <v>2013E</v>
          </cell>
          <cell r="G11" t="str">
            <v>2014E</v>
          </cell>
          <cell r="H11" t="str">
            <v>2015E</v>
          </cell>
          <cell r="BA11" t="str">
            <v>.</v>
          </cell>
        </row>
        <row r="12">
          <cell r="C12" t="str">
            <v>In-line products</v>
          </cell>
          <cell r="D12">
            <v>777.7528584280044</v>
          </cell>
          <cell r="E12">
            <v>801.12416082795426</v>
          </cell>
          <cell r="F12">
            <v>480.32922347793647</v>
          </cell>
          <cell r="G12">
            <v>302.52535042870295</v>
          </cell>
          <cell r="H12">
            <v>-140.85209419635794</v>
          </cell>
          <cell r="BA12" t="str">
            <v>.</v>
          </cell>
        </row>
        <row r="13">
          <cell r="C13" t="str">
            <v>Pipeline products launching 2010–2015</v>
          </cell>
          <cell r="D13">
            <v>336.15000000000003</v>
          </cell>
          <cell r="E13">
            <v>486.05249999999995</v>
          </cell>
          <cell r="F13">
            <v>643.90925000000004</v>
          </cell>
          <cell r="G13">
            <v>903.77877650000028</v>
          </cell>
          <cell r="H13">
            <v>877.75910161390948</v>
          </cell>
          <cell r="BA13" t="str">
            <v>.</v>
          </cell>
        </row>
        <row r="14">
          <cell r="C14" t="str">
            <v>Products expiring 2010–15</v>
          </cell>
          <cell r="D14">
            <v>-1897.5856368349996</v>
          </cell>
          <cell r="E14">
            <v>-405.26704991404949</v>
          </cell>
          <cell r="F14">
            <v>-247.4564255044188</v>
          </cell>
          <cell r="G14">
            <v>-486.45018457921105</v>
          </cell>
          <cell r="H14">
            <v>-467.41580692871912</v>
          </cell>
          <cell r="BA14" t="str">
            <v>.</v>
          </cell>
        </row>
        <row r="15">
          <cell r="C15" t="str">
            <v>Net YOY change</v>
          </cell>
          <cell r="D15">
            <v>-783.68277840699375</v>
          </cell>
          <cell r="E15">
            <v>881.90961091390272</v>
          </cell>
          <cell r="F15">
            <v>876.78204797351646</v>
          </cell>
          <cell r="G15">
            <v>719.85394234949126</v>
          </cell>
          <cell r="H15">
            <v>269.4912004888356</v>
          </cell>
          <cell r="BA15" t="str">
            <v>.</v>
          </cell>
        </row>
        <row r="16">
          <cell r="BA16" t="str">
            <v>.</v>
          </cell>
        </row>
        <row r="17">
          <cell r="BA17" t="str">
            <v>.</v>
          </cell>
        </row>
        <row r="18">
          <cell r="BA18" t="str">
            <v>.</v>
          </cell>
        </row>
        <row r="20">
          <cell r="BA20" t="str">
            <v>.</v>
          </cell>
        </row>
        <row r="21">
          <cell r="BA21" t="str">
            <v>.</v>
          </cell>
        </row>
        <row r="22">
          <cell r="BA22" t="str">
            <v>.</v>
          </cell>
        </row>
        <row r="23">
          <cell r="BA23" t="str">
            <v>.</v>
          </cell>
        </row>
        <row r="24">
          <cell r="BA24" t="str">
            <v>.</v>
          </cell>
        </row>
        <row r="25">
          <cell r="BA25" t="str">
            <v>.</v>
          </cell>
        </row>
        <row r="26">
          <cell r="BA26" t="str">
            <v>.</v>
          </cell>
        </row>
        <row r="27">
          <cell r="BA27" t="str">
            <v>.</v>
          </cell>
        </row>
        <row r="28">
          <cell r="BA28" t="str">
            <v>.</v>
          </cell>
        </row>
        <row r="29">
          <cell r="BA29" t="str">
            <v>.</v>
          </cell>
        </row>
        <row r="30">
          <cell r="BA30" t="str">
            <v>.</v>
          </cell>
        </row>
        <row r="31">
          <cell r="BA31" t="str">
            <v>.</v>
          </cell>
        </row>
        <row r="32">
          <cell r="BA32" t="str">
            <v>.</v>
          </cell>
        </row>
        <row r="33">
          <cell r="BA33" t="str">
            <v>.</v>
          </cell>
        </row>
        <row r="34">
          <cell r="BA34" t="str">
            <v>.</v>
          </cell>
        </row>
        <row r="35">
          <cell r="J35" t="str">
            <v>Do not change the width of the exhibit or font sizes (they are optimized for export to Word).</v>
          </cell>
          <cell r="BA35" t="str">
            <v>.</v>
          </cell>
        </row>
        <row r="36">
          <cell r="BA36" t="str">
            <v>.</v>
          </cell>
        </row>
        <row r="37">
          <cell r="J37" t="str">
            <v>Do not delete any rows or columns (some gray cells are used for calculations).</v>
          </cell>
          <cell r="BA37" t="str">
            <v>.</v>
          </cell>
        </row>
        <row r="38">
          <cell r="BA38" t="str">
            <v>.</v>
          </cell>
        </row>
        <row r="39">
          <cell r="BA39" t="str">
            <v>.</v>
          </cell>
        </row>
        <row r="40">
          <cell r="BA40" t="str">
            <v>.</v>
          </cell>
        </row>
        <row r="41">
          <cell r="BA41" t="str">
            <v>.</v>
          </cell>
        </row>
        <row r="42">
          <cell r="BA42" t="str">
            <v>.</v>
          </cell>
        </row>
        <row r="43">
          <cell r="BA43" t="str">
            <v>.</v>
          </cell>
        </row>
        <row r="44">
          <cell r="BA44" t="str">
            <v>.</v>
          </cell>
        </row>
        <row r="45">
          <cell r="BA45" t="str">
            <v>.</v>
          </cell>
        </row>
        <row r="46">
          <cell r="BA46" t="str">
            <v>.</v>
          </cell>
        </row>
        <row r="47">
          <cell r="BA47" t="str">
            <v>.</v>
          </cell>
        </row>
        <row r="48">
          <cell r="BA48" t="str">
            <v>.</v>
          </cell>
        </row>
        <row r="49">
          <cell r="BA49" t="str">
            <v>.</v>
          </cell>
        </row>
        <row r="50">
          <cell r="BA50" t="str">
            <v>.</v>
          </cell>
        </row>
        <row r="51">
          <cell r="BA51" t="str">
            <v>.</v>
          </cell>
        </row>
        <row r="52">
          <cell r="BA52" t="str">
            <v>.</v>
          </cell>
        </row>
        <row r="53">
          <cell r="BA53" t="str">
            <v>.</v>
          </cell>
        </row>
        <row r="54">
          <cell r="BA54" t="str">
            <v>.</v>
          </cell>
        </row>
        <row r="55">
          <cell r="BA55" t="str">
            <v>.</v>
          </cell>
        </row>
        <row r="56">
          <cell r="BA56" t="str">
            <v>.</v>
          </cell>
        </row>
        <row r="57">
          <cell r="BA57" t="str">
            <v>.</v>
          </cell>
        </row>
        <row r="58">
          <cell r="BA58" t="str">
            <v>.</v>
          </cell>
        </row>
        <row r="59">
          <cell r="BA59" t="str">
            <v>.</v>
          </cell>
        </row>
        <row r="60">
          <cell r="BA60" t="str">
            <v>.</v>
          </cell>
        </row>
        <row r="61">
          <cell r="BA61" t="str">
            <v>.</v>
          </cell>
        </row>
        <row r="62">
          <cell r="BA62" t="str">
            <v>.</v>
          </cell>
        </row>
        <row r="63">
          <cell r="BA63" t="str">
            <v>.</v>
          </cell>
        </row>
        <row r="64">
          <cell r="BA64" t="str">
            <v>.</v>
          </cell>
        </row>
        <row r="65">
          <cell r="BA65" t="str">
            <v>.</v>
          </cell>
        </row>
        <row r="66">
          <cell r="BA66" t="str">
            <v>.</v>
          </cell>
        </row>
        <row r="67">
          <cell r="BA67" t="str">
            <v>.</v>
          </cell>
        </row>
        <row r="68">
          <cell r="BA68" t="str">
            <v>.</v>
          </cell>
        </row>
        <row r="69">
          <cell r="BA69" t="str">
            <v>.</v>
          </cell>
        </row>
        <row r="70">
          <cell r="BA70" t="str">
            <v>.</v>
          </cell>
        </row>
        <row r="71">
          <cell r="BA71" t="str">
            <v>.</v>
          </cell>
        </row>
        <row r="72">
          <cell r="BA72" t="str">
            <v>.</v>
          </cell>
        </row>
        <row r="73">
          <cell r="BA73" t="str">
            <v>.</v>
          </cell>
        </row>
        <row r="74">
          <cell r="BA74" t="str">
            <v>.</v>
          </cell>
        </row>
        <row r="75">
          <cell r="BA75" t="str">
            <v>.</v>
          </cell>
        </row>
        <row r="76">
          <cell r="BA76" t="str">
            <v>.</v>
          </cell>
        </row>
        <row r="77">
          <cell r="BA77" t="str">
            <v>.</v>
          </cell>
        </row>
        <row r="78">
          <cell r="BA78" t="str">
            <v>.</v>
          </cell>
        </row>
        <row r="79">
          <cell r="BA79" t="str">
            <v>.</v>
          </cell>
        </row>
        <row r="80">
          <cell r="BA80" t="str">
            <v>.</v>
          </cell>
        </row>
        <row r="81">
          <cell r="BA81" t="str">
            <v>.</v>
          </cell>
        </row>
        <row r="82">
          <cell r="BA82" t="str">
            <v>.</v>
          </cell>
        </row>
        <row r="83">
          <cell r="BA83" t="str">
            <v>.</v>
          </cell>
        </row>
        <row r="84">
          <cell r="BA84" t="str">
            <v>.</v>
          </cell>
        </row>
        <row r="85">
          <cell r="BA85" t="str">
            <v>.</v>
          </cell>
        </row>
        <row r="86">
          <cell r="BA86" t="str">
            <v>.</v>
          </cell>
        </row>
        <row r="87">
          <cell r="BA87" t="str">
            <v>.</v>
          </cell>
        </row>
        <row r="88">
          <cell r="BA88" t="str">
            <v>.</v>
          </cell>
        </row>
        <row r="89">
          <cell r="BA89" t="str">
            <v>.</v>
          </cell>
        </row>
        <row r="90">
          <cell r="BA90" t="str">
            <v>.</v>
          </cell>
        </row>
        <row r="91">
          <cell r="BA91" t="str">
            <v>.</v>
          </cell>
        </row>
        <row r="92">
          <cell r="BA92" t="str">
            <v>.</v>
          </cell>
        </row>
        <row r="93">
          <cell r="BA93" t="str">
            <v>.</v>
          </cell>
        </row>
        <row r="94">
          <cell r="BA94" t="str">
            <v>.</v>
          </cell>
        </row>
        <row r="95">
          <cell r="BA95" t="str">
            <v>.</v>
          </cell>
        </row>
        <row r="96">
          <cell r="BA96" t="str">
            <v>.</v>
          </cell>
        </row>
        <row r="97">
          <cell r="BA97" t="str">
            <v>.</v>
          </cell>
        </row>
        <row r="98">
          <cell r="BA98" t="str">
            <v>.</v>
          </cell>
        </row>
        <row r="99">
          <cell r="BA99" t="str">
            <v>.</v>
          </cell>
        </row>
        <row r="100">
          <cell r="BA100" t="str">
            <v>.</v>
          </cell>
        </row>
        <row r="101">
          <cell r="BA101" t="str">
            <v>.</v>
          </cell>
        </row>
        <row r="102">
          <cell r="BA102" t="str">
            <v>.</v>
          </cell>
        </row>
        <row r="103">
          <cell r="BA103" t="str">
            <v>.</v>
          </cell>
        </row>
        <row r="104">
          <cell r="BA104" t="str">
            <v>.</v>
          </cell>
        </row>
        <row r="105">
          <cell r="BA105" t="str">
            <v>.</v>
          </cell>
        </row>
        <row r="106">
          <cell r="BA106" t="str">
            <v>.</v>
          </cell>
        </row>
        <row r="107">
          <cell r="BA107" t="str">
            <v>.</v>
          </cell>
        </row>
        <row r="108">
          <cell r="BA108" t="str">
            <v>.</v>
          </cell>
        </row>
        <row r="109">
          <cell r="BA109" t="str">
            <v>.</v>
          </cell>
        </row>
        <row r="110">
          <cell r="BA110" t="str">
            <v>.</v>
          </cell>
        </row>
        <row r="111">
          <cell r="BA111" t="str">
            <v>.</v>
          </cell>
        </row>
        <row r="112">
          <cell r="BA112" t="str">
            <v>.</v>
          </cell>
        </row>
        <row r="113">
          <cell r="BA113" t="str">
            <v>.</v>
          </cell>
        </row>
        <row r="114">
          <cell r="BA114" t="str">
            <v>.</v>
          </cell>
        </row>
        <row r="115">
          <cell r="BA115" t="str">
            <v>.</v>
          </cell>
        </row>
        <row r="116">
          <cell r="BA116" t="str">
            <v>.</v>
          </cell>
        </row>
        <row r="117">
          <cell r="BA117" t="str">
            <v>.</v>
          </cell>
        </row>
        <row r="118">
          <cell r="BA118" t="str">
            <v>.</v>
          </cell>
        </row>
        <row r="119">
          <cell r="BA119" t="str">
            <v>.</v>
          </cell>
        </row>
        <row r="120">
          <cell r="BA120" t="str">
            <v>.</v>
          </cell>
        </row>
        <row r="121">
          <cell r="BA121" t="str">
            <v>.</v>
          </cell>
        </row>
        <row r="122">
          <cell r="BA122" t="str">
            <v>.</v>
          </cell>
        </row>
        <row r="123">
          <cell r="BA123" t="str">
            <v>.</v>
          </cell>
        </row>
        <row r="124">
          <cell r="BA124" t="str">
            <v>.</v>
          </cell>
        </row>
        <row r="125">
          <cell r="BA125" t="str">
            <v>.</v>
          </cell>
        </row>
        <row r="126">
          <cell r="BA126" t="str">
            <v>.</v>
          </cell>
        </row>
        <row r="127">
          <cell r="BA127" t="str">
            <v>.</v>
          </cell>
        </row>
        <row r="128">
          <cell r="BA128" t="str">
            <v>.</v>
          </cell>
        </row>
        <row r="129">
          <cell r="BA129" t="str">
            <v>.</v>
          </cell>
        </row>
        <row r="130">
          <cell r="BA130" t="str">
            <v>.</v>
          </cell>
        </row>
        <row r="131">
          <cell r="BA131" t="str">
            <v>.</v>
          </cell>
        </row>
        <row r="132">
          <cell r="BA132" t="str">
            <v>.</v>
          </cell>
        </row>
        <row r="133">
          <cell r="BA133" t="str">
            <v>.</v>
          </cell>
        </row>
        <row r="134">
          <cell r="BA134" t="str">
            <v>.</v>
          </cell>
        </row>
        <row r="135">
          <cell r="BA135" t="str">
            <v>.</v>
          </cell>
        </row>
        <row r="136">
          <cell r="BA136" t="str">
            <v>.</v>
          </cell>
        </row>
        <row r="137">
          <cell r="BA137" t="str">
            <v>.</v>
          </cell>
        </row>
        <row r="138">
          <cell r="BA138" t="str">
            <v>.</v>
          </cell>
        </row>
        <row r="139">
          <cell r="BA139" t="str">
            <v>.</v>
          </cell>
        </row>
        <row r="140">
          <cell r="BA140" t="str">
            <v>.</v>
          </cell>
        </row>
        <row r="141">
          <cell r="BA141" t="str">
            <v>.</v>
          </cell>
        </row>
        <row r="142">
          <cell r="BA142" t="str">
            <v>.</v>
          </cell>
        </row>
        <row r="143">
          <cell r="BA143" t="str">
            <v>.</v>
          </cell>
        </row>
        <row r="144">
          <cell r="BA144" t="str">
            <v>.</v>
          </cell>
        </row>
        <row r="145">
          <cell r="BA145" t="str">
            <v>.</v>
          </cell>
        </row>
        <row r="146">
          <cell r="BA146" t="str">
            <v>.</v>
          </cell>
        </row>
        <row r="147">
          <cell r="BA147" t="str">
            <v>.</v>
          </cell>
        </row>
        <row r="148">
          <cell r="BA148" t="str">
            <v>.</v>
          </cell>
        </row>
        <row r="149">
          <cell r="BA149" t="str">
            <v>.</v>
          </cell>
        </row>
        <row r="150">
          <cell r="BA150" t="str">
            <v>.</v>
          </cell>
        </row>
        <row r="151">
          <cell r="BA151" t="str">
            <v>.</v>
          </cell>
        </row>
        <row r="152">
          <cell r="BA152" t="str">
            <v>.</v>
          </cell>
        </row>
        <row r="153">
          <cell r="BA153" t="str">
            <v>.</v>
          </cell>
        </row>
        <row r="154">
          <cell r="BA154" t="str">
            <v>.</v>
          </cell>
        </row>
        <row r="155">
          <cell r="BA155" t="str">
            <v>.</v>
          </cell>
        </row>
        <row r="156">
          <cell r="BA156" t="str">
            <v>.</v>
          </cell>
        </row>
        <row r="157">
          <cell r="BA157" t="str">
            <v>.</v>
          </cell>
        </row>
        <row r="158">
          <cell r="BA158" t="str">
            <v>.</v>
          </cell>
        </row>
        <row r="159">
          <cell r="BA159" t="str">
            <v>.</v>
          </cell>
        </row>
        <row r="160">
          <cell r="BA160" t="str">
            <v>.</v>
          </cell>
        </row>
        <row r="161">
          <cell r="BA161" t="str">
            <v>.</v>
          </cell>
        </row>
        <row r="162">
          <cell r="BA162" t="str">
            <v>.</v>
          </cell>
        </row>
        <row r="163">
          <cell r="BA163" t="str">
            <v>.</v>
          </cell>
        </row>
        <row r="164">
          <cell r="BA164" t="str">
            <v>.</v>
          </cell>
        </row>
        <row r="165">
          <cell r="BA165" t="str">
            <v>.</v>
          </cell>
        </row>
        <row r="166">
          <cell r="BA166" t="str">
            <v>.</v>
          </cell>
        </row>
        <row r="167">
          <cell r="BA167" t="str">
            <v>.</v>
          </cell>
        </row>
        <row r="168">
          <cell r="BA168" t="str">
            <v>.</v>
          </cell>
        </row>
        <row r="169">
          <cell r="BA169" t="str">
            <v>.</v>
          </cell>
        </row>
        <row r="170">
          <cell r="BA170" t="str">
            <v>.</v>
          </cell>
        </row>
        <row r="171">
          <cell r="BA171" t="str">
            <v>.</v>
          </cell>
        </row>
        <row r="172">
          <cell r="BA172" t="str">
            <v>.</v>
          </cell>
        </row>
        <row r="173">
          <cell r="BA173" t="str">
            <v>.</v>
          </cell>
        </row>
        <row r="174">
          <cell r="BA174" t="str">
            <v>.</v>
          </cell>
        </row>
        <row r="175">
          <cell r="BA175" t="str">
            <v>.</v>
          </cell>
        </row>
        <row r="176">
          <cell r="BA176" t="str">
            <v>.</v>
          </cell>
        </row>
        <row r="177">
          <cell r="BA177" t="str">
            <v>.</v>
          </cell>
        </row>
        <row r="178">
          <cell r="BA178" t="str">
            <v>.</v>
          </cell>
        </row>
        <row r="179">
          <cell r="BA179" t="str">
            <v>.</v>
          </cell>
        </row>
        <row r="180">
          <cell r="BA180" t="str">
            <v>.</v>
          </cell>
        </row>
        <row r="181">
          <cell r="BA181" t="str">
            <v>.</v>
          </cell>
        </row>
        <row r="182">
          <cell r="BA182" t="str">
            <v>.</v>
          </cell>
        </row>
        <row r="183">
          <cell r="BA183" t="str">
            <v>.</v>
          </cell>
        </row>
        <row r="184">
          <cell r="BA184" t="str">
            <v>.</v>
          </cell>
        </row>
        <row r="185">
          <cell r="BA185" t="str">
            <v>.</v>
          </cell>
        </row>
        <row r="186">
          <cell r="BA186" t="str">
            <v>.</v>
          </cell>
        </row>
        <row r="187">
          <cell r="BA187" t="str">
            <v>.</v>
          </cell>
        </row>
        <row r="188">
          <cell r="BA188" t="str">
            <v>.</v>
          </cell>
        </row>
        <row r="189">
          <cell r="BA189" t="str">
            <v>.</v>
          </cell>
        </row>
        <row r="190">
          <cell r="BA190" t="str">
            <v>.</v>
          </cell>
        </row>
        <row r="191">
          <cell r="BA191" t="str">
            <v>.</v>
          </cell>
        </row>
        <row r="192">
          <cell r="BA192" t="str">
            <v>.</v>
          </cell>
        </row>
        <row r="193">
          <cell r="BA193" t="str">
            <v>.</v>
          </cell>
        </row>
        <row r="194">
          <cell r="BA194" t="str">
            <v>.</v>
          </cell>
        </row>
        <row r="195">
          <cell r="BA195" t="str">
            <v>.</v>
          </cell>
        </row>
        <row r="196">
          <cell r="BA196" t="str">
            <v>.</v>
          </cell>
        </row>
        <row r="197">
          <cell r="BA197" t="str">
            <v>.</v>
          </cell>
        </row>
        <row r="198">
          <cell r="BA198" t="str">
            <v>.</v>
          </cell>
        </row>
        <row r="199">
          <cell r="BA199" t="str">
            <v>.</v>
          </cell>
        </row>
        <row r="200">
          <cell r="BA200" t="str">
            <v>.</v>
          </cell>
        </row>
        <row r="201">
          <cell r="BA201" t="str">
            <v>.</v>
          </cell>
        </row>
        <row r="202">
          <cell r="BA202" t="str">
            <v>.</v>
          </cell>
        </row>
        <row r="203">
          <cell r="BA203" t="str">
            <v>.</v>
          </cell>
        </row>
        <row r="204">
          <cell r="BA204" t="str">
            <v>.</v>
          </cell>
        </row>
        <row r="205">
          <cell r="BA205" t="str">
            <v>.</v>
          </cell>
        </row>
        <row r="206">
          <cell r="BA206" t="str">
            <v>.</v>
          </cell>
        </row>
        <row r="207">
          <cell r="BA207" t="str">
            <v>.</v>
          </cell>
        </row>
        <row r="208">
          <cell r="BA208" t="str">
            <v>.</v>
          </cell>
        </row>
        <row r="209">
          <cell r="BA209" t="str">
            <v>.</v>
          </cell>
        </row>
        <row r="210">
          <cell r="BA210" t="str">
            <v>.</v>
          </cell>
        </row>
        <row r="211">
          <cell r="BA211" t="str">
            <v>.</v>
          </cell>
        </row>
        <row r="212">
          <cell r="BA212" t="str">
            <v>.</v>
          </cell>
        </row>
        <row r="213">
          <cell r="BA213" t="str">
            <v>.</v>
          </cell>
        </row>
        <row r="214">
          <cell r="BA214" t="str">
            <v>.</v>
          </cell>
        </row>
        <row r="215">
          <cell r="BA215" t="str">
            <v>.</v>
          </cell>
        </row>
        <row r="216">
          <cell r="BA216" t="str">
            <v>.</v>
          </cell>
        </row>
        <row r="217">
          <cell r="BA217" t="str">
            <v>.</v>
          </cell>
        </row>
        <row r="218">
          <cell r="BA218" t="str">
            <v>.</v>
          </cell>
        </row>
        <row r="219">
          <cell r="BA219" t="str">
            <v>.</v>
          </cell>
        </row>
        <row r="220">
          <cell r="BA220" t="str">
            <v>.</v>
          </cell>
        </row>
        <row r="221">
          <cell r="BA221" t="str">
            <v>.</v>
          </cell>
        </row>
        <row r="222">
          <cell r="BA222" t="str">
            <v>.</v>
          </cell>
        </row>
        <row r="223">
          <cell r="BA223" t="str">
            <v>.</v>
          </cell>
        </row>
        <row r="224">
          <cell r="BA224" t="str">
            <v>.</v>
          </cell>
        </row>
        <row r="225">
          <cell r="BA225" t="str">
            <v>.</v>
          </cell>
        </row>
        <row r="226">
          <cell r="BA226" t="str">
            <v>.</v>
          </cell>
        </row>
        <row r="227">
          <cell r="BA227" t="str">
            <v>.</v>
          </cell>
        </row>
        <row r="228">
          <cell r="BA228" t="str">
            <v>.</v>
          </cell>
        </row>
        <row r="229">
          <cell r="BA229" t="str">
            <v>.</v>
          </cell>
        </row>
        <row r="230">
          <cell r="BA230" t="str">
            <v>.</v>
          </cell>
        </row>
        <row r="231">
          <cell r="BA231" t="str">
            <v>.</v>
          </cell>
        </row>
        <row r="232">
          <cell r="BA232" t="str">
            <v>.</v>
          </cell>
        </row>
        <row r="233">
          <cell r="BA233" t="str">
            <v>.</v>
          </cell>
        </row>
        <row r="234">
          <cell r="BA234" t="str">
            <v>.</v>
          </cell>
        </row>
        <row r="235">
          <cell r="BA235" t="str">
            <v>.</v>
          </cell>
        </row>
        <row r="236">
          <cell r="BA236" t="str">
            <v>.</v>
          </cell>
        </row>
        <row r="237">
          <cell r="BA237" t="str">
            <v>.</v>
          </cell>
        </row>
        <row r="238">
          <cell r="BA238" t="str">
            <v>.</v>
          </cell>
        </row>
        <row r="239">
          <cell r="BA239" t="str">
            <v>.</v>
          </cell>
        </row>
        <row r="240">
          <cell r="BA240" t="str">
            <v>.</v>
          </cell>
        </row>
        <row r="241">
          <cell r="BA241" t="str">
            <v>.</v>
          </cell>
        </row>
        <row r="242">
          <cell r="BA242" t="str">
            <v>.</v>
          </cell>
        </row>
        <row r="243">
          <cell r="BA243" t="str">
            <v>.</v>
          </cell>
        </row>
        <row r="244">
          <cell r="BA244" t="str">
            <v>.</v>
          </cell>
        </row>
        <row r="245">
          <cell r="BA245" t="str">
            <v>.</v>
          </cell>
        </row>
        <row r="246">
          <cell r="BA246" t="str">
            <v>.</v>
          </cell>
        </row>
        <row r="247">
          <cell r="BA247" t="str">
            <v>.</v>
          </cell>
        </row>
        <row r="248">
          <cell r="BA248" t="str">
            <v>.</v>
          </cell>
        </row>
        <row r="249">
          <cell r="BA249" t="str">
            <v>.</v>
          </cell>
        </row>
        <row r="250">
          <cell r="BA250" t="str">
            <v>.</v>
          </cell>
        </row>
        <row r="251">
          <cell r="BA251" t="str">
            <v>.</v>
          </cell>
        </row>
        <row r="252">
          <cell r="BA252" t="str">
            <v>.</v>
          </cell>
        </row>
        <row r="253">
          <cell r="BA253" t="str">
            <v>.</v>
          </cell>
        </row>
        <row r="254">
          <cell r="BA254" t="str">
            <v>.</v>
          </cell>
        </row>
        <row r="255">
          <cell r="BA255" t="str">
            <v>.</v>
          </cell>
        </row>
        <row r="256">
          <cell r="BA256" t="str">
            <v>.</v>
          </cell>
        </row>
        <row r="257">
          <cell r="BA257" t="str">
            <v>.</v>
          </cell>
        </row>
        <row r="258">
          <cell r="BA258" t="str">
            <v>.</v>
          </cell>
        </row>
        <row r="259">
          <cell r="BA259" t="str">
            <v>.</v>
          </cell>
        </row>
        <row r="260">
          <cell r="BA260" t="str">
            <v>.</v>
          </cell>
        </row>
        <row r="261">
          <cell r="BA261" t="str">
            <v>.</v>
          </cell>
        </row>
        <row r="262">
          <cell r="BA262" t="str">
            <v>.</v>
          </cell>
        </row>
        <row r="263">
          <cell r="BA263" t="str">
            <v>.</v>
          </cell>
        </row>
        <row r="264">
          <cell r="BA264" t="str">
            <v>.</v>
          </cell>
        </row>
        <row r="265">
          <cell r="BA265" t="str">
            <v>.</v>
          </cell>
        </row>
        <row r="266">
          <cell r="BA266" t="str">
            <v>.</v>
          </cell>
        </row>
        <row r="267">
          <cell r="BA267" t="str">
            <v>.</v>
          </cell>
        </row>
        <row r="268">
          <cell r="BA268" t="str">
            <v>.</v>
          </cell>
        </row>
        <row r="269">
          <cell r="BA269" t="str">
            <v>.</v>
          </cell>
        </row>
        <row r="270">
          <cell r="BA270" t="str">
            <v>.</v>
          </cell>
        </row>
        <row r="271">
          <cell r="BA271" t="str">
            <v>.</v>
          </cell>
        </row>
        <row r="272">
          <cell r="BA272" t="str">
            <v>.</v>
          </cell>
        </row>
        <row r="273">
          <cell r="BA273" t="str">
            <v>.</v>
          </cell>
        </row>
        <row r="274">
          <cell r="BA274" t="str">
            <v>.</v>
          </cell>
        </row>
        <row r="275">
          <cell r="BA275" t="str">
            <v>.</v>
          </cell>
        </row>
        <row r="276">
          <cell r="BA276" t="str">
            <v>.</v>
          </cell>
        </row>
        <row r="277">
          <cell r="BA277" t="str">
            <v>.</v>
          </cell>
        </row>
        <row r="278">
          <cell r="BA278" t="str">
            <v>.</v>
          </cell>
        </row>
        <row r="279">
          <cell r="BA279" t="str">
            <v>.</v>
          </cell>
        </row>
        <row r="280">
          <cell r="BA280" t="str">
            <v>.</v>
          </cell>
        </row>
        <row r="281">
          <cell r="BA281" t="str">
            <v>.</v>
          </cell>
        </row>
        <row r="282">
          <cell r="BA282" t="str">
            <v>.</v>
          </cell>
        </row>
        <row r="283">
          <cell r="BA283" t="str">
            <v>.</v>
          </cell>
        </row>
        <row r="284">
          <cell r="BA284" t="str">
            <v>.</v>
          </cell>
        </row>
        <row r="285">
          <cell r="BA285" t="str">
            <v>.</v>
          </cell>
        </row>
        <row r="286">
          <cell r="BA286" t="str">
            <v>.</v>
          </cell>
        </row>
        <row r="287">
          <cell r="BA287" t="str">
            <v>.</v>
          </cell>
        </row>
        <row r="288">
          <cell r="BA288" t="str">
            <v>.</v>
          </cell>
        </row>
        <row r="289">
          <cell r="BA289" t="str">
            <v>.</v>
          </cell>
        </row>
        <row r="290">
          <cell r="BA290" t="str">
            <v>.</v>
          </cell>
        </row>
        <row r="291">
          <cell r="BA291" t="str">
            <v>.</v>
          </cell>
        </row>
        <row r="292">
          <cell r="BA292" t="str">
            <v>.</v>
          </cell>
        </row>
        <row r="293">
          <cell r="BA293" t="str">
            <v>.</v>
          </cell>
        </row>
        <row r="294">
          <cell r="BA294" t="str">
            <v>.</v>
          </cell>
        </row>
        <row r="295">
          <cell r="BA295" t="str">
            <v>.</v>
          </cell>
        </row>
        <row r="296">
          <cell r="BA296" t="str">
            <v>.</v>
          </cell>
        </row>
        <row r="297">
          <cell r="BA297" t="str">
            <v>.</v>
          </cell>
        </row>
        <row r="298">
          <cell r="BA298" t="str">
            <v>.</v>
          </cell>
        </row>
        <row r="299">
          <cell r="BA299" t="str">
            <v>.</v>
          </cell>
        </row>
        <row r="300">
          <cell r="BA300" t="str">
            <v>.</v>
          </cell>
        </row>
        <row r="301">
          <cell r="BA301" t="str">
            <v>.</v>
          </cell>
        </row>
        <row r="302">
          <cell r="BA302" t="str">
            <v>.</v>
          </cell>
        </row>
        <row r="303">
          <cell r="BA303" t="str">
            <v>.</v>
          </cell>
        </row>
        <row r="304">
          <cell r="BA304" t="str">
            <v>.</v>
          </cell>
        </row>
        <row r="305">
          <cell r="BA305" t="str">
            <v>.</v>
          </cell>
        </row>
        <row r="306">
          <cell r="BA306" t="str">
            <v>.</v>
          </cell>
        </row>
        <row r="307">
          <cell r="BA307" t="str">
            <v>.</v>
          </cell>
        </row>
        <row r="308">
          <cell r="BA308" t="str">
            <v>.</v>
          </cell>
        </row>
        <row r="309">
          <cell r="BA309" t="str">
            <v>.</v>
          </cell>
        </row>
        <row r="310">
          <cell r="BA310" t="str">
            <v>.</v>
          </cell>
        </row>
        <row r="311">
          <cell r="BA311" t="str">
            <v>.</v>
          </cell>
        </row>
        <row r="312">
          <cell r="BA312" t="str">
            <v>.</v>
          </cell>
        </row>
        <row r="313">
          <cell r="BA313" t="str">
            <v>.</v>
          </cell>
        </row>
        <row r="314">
          <cell r="BA314" t="str">
            <v>.</v>
          </cell>
        </row>
        <row r="315">
          <cell r="BA315" t="str">
            <v>.</v>
          </cell>
        </row>
        <row r="316">
          <cell r="BA316" t="str">
            <v>.</v>
          </cell>
        </row>
        <row r="317">
          <cell r="BA317" t="str">
            <v>.</v>
          </cell>
        </row>
        <row r="318">
          <cell r="BA318" t="str">
            <v>.</v>
          </cell>
        </row>
        <row r="319">
          <cell r="BA319" t="str">
            <v>.</v>
          </cell>
        </row>
        <row r="320">
          <cell r="BA320" t="str">
            <v>.</v>
          </cell>
        </row>
        <row r="321">
          <cell r="BA321" t="str">
            <v>.</v>
          </cell>
        </row>
        <row r="322">
          <cell r="BA322" t="str">
            <v>.</v>
          </cell>
        </row>
        <row r="323">
          <cell r="BA323" t="str">
            <v>.</v>
          </cell>
        </row>
        <row r="324">
          <cell r="BA324" t="str">
            <v>.</v>
          </cell>
        </row>
        <row r="325">
          <cell r="BA325" t="str">
            <v>.</v>
          </cell>
        </row>
        <row r="326">
          <cell r="BA326" t="str">
            <v>.</v>
          </cell>
        </row>
        <row r="327">
          <cell r="BA327" t="str">
            <v>.</v>
          </cell>
        </row>
        <row r="328">
          <cell r="BA328" t="str">
            <v>.</v>
          </cell>
        </row>
        <row r="329">
          <cell r="BA329" t="str">
            <v>.</v>
          </cell>
        </row>
        <row r="330">
          <cell r="BA330" t="str">
            <v>.</v>
          </cell>
        </row>
        <row r="331">
          <cell r="BA331" t="str">
            <v>.</v>
          </cell>
        </row>
        <row r="332">
          <cell r="BA332" t="str">
            <v>.</v>
          </cell>
        </row>
        <row r="333">
          <cell r="BA333" t="str">
            <v>.</v>
          </cell>
        </row>
        <row r="334">
          <cell r="BA334" t="str">
            <v>.</v>
          </cell>
        </row>
        <row r="335">
          <cell r="BA335" t="str">
            <v>.</v>
          </cell>
        </row>
        <row r="336">
          <cell r="BA336" t="str">
            <v>.</v>
          </cell>
        </row>
        <row r="337">
          <cell r="BA337" t="str">
            <v>.</v>
          </cell>
        </row>
        <row r="338">
          <cell r="BA338" t="str">
            <v>.</v>
          </cell>
        </row>
        <row r="339">
          <cell r="BA339" t="str">
            <v>.</v>
          </cell>
        </row>
        <row r="340">
          <cell r="BA340" t="str">
            <v>.</v>
          </cell>
        </row>
        <row r="341">
          <cell r="BA341" t="str">
            <v>.</v>
          </cell>
        </row>
        <row r="342">
          <cell r="BA342" t="str">
            <v>.</v>
          </cell>
        </row>
        <row r="343">
          <cell r="BA343" t="str">
            <v>.</v>
          </cell>
        </row>
        <row r="344">
          <cell r="BA344" t="str">
            <v>.</v>
          </cell>
        </row>
        <row r="345">
          <cell r="BA345" t="str">
            <v>.</v>
          </cell>
        </row>
        <row r="346">
          <cell r="BA346" t="str">
            <v>.</v>
          </cell>
        </row>
        <row r="347">
          <cell r="BA347" t="str">
            <v>.</v>
          </cell>
        </row>
        <row r="348">
          <cell r="BA348" t="str">
            <v>.</v>
          </cell>
        </row>
        <row r="349">
          <cell r="BA349" t="str">
            <v>.</v>
          </cell>
        </row>
        <row r="350">
          <cell r="BA350" t="str">
            <v>.</v>
          </cell>
        </row>
        <row r="351">
          <cell r="BA351" t="str">
            <v>.</v>
          </cell>
        </row>
        <row r="352">
          <cell r="BA352" t="str">
            <v>.</v>
          </cell>
        </row>
        <row r="353">
          <cell r="BA353" t="str">
            <v>.</v>
          </cell>
        </row>
        <row r="354">
          <cell r="BA354" t="str">
            <v>.</v>
          </cell>
        </row>
        <row r="355">
          <cell r="BA355" t="str">
            <v>.</v>
          </cell>
        </row>
        <row r="356">
          <cell r="BA356" t="str">
            <v>.</v>
          </cell>
        </row>
        <row r="357">
          <cell r="BA357" t="str">
            <v>.</v>
          </cell>
        </row>
        <row r="358">
          <cell r="BA358" t="str">
            <v>.</v>
          </cell>
        </row>
        <row r="359">
          <cell r="BA359" t="str">
            <v>.</v>
          </cell>
        </row>
        <row r="360">
          <cell r="BA360" t="str">
            <v>.</v>
          </cell>
        </row>
        <row r="361">
          <cell r="BA361" t="str">
            <v>.</v>
          </cell>
        </row>
        <row r="362">
          <cell r="BA362" t="str">
            <v>.</v>
          </cell>
        </row>
        <row r="363">
          <cell r="BA363" t="str">
            <v>.</v>
          </cell>
        </row>
        <row r="364">
          <cell r="BA364" t="str">
            <v>.</v>
          </cell>
        </row>
        <row r="365">
          <cell r="BA365" t="str">
            <v>.</v>
          </cell>
        </row>
        <row r="366">
          <cell r="BA366" t="str">
            <v>.</v>
          </cell>
        </row>
        <row r="367">
          <cell r="BA367" t="str">
            <v>.</v>
          </cell>
        </row>
        <row r="368">
          <cell r="BA368" t="str">
            <v>.</v>
          </cell>
        </row>
        <row r="369">
          <cell r="BA369" t="str">
            <v>.</v>
          </cell>
        </row>
        <row r="370">
          <cell r="BA370" t="str">
            <v>.</v>
          </cell>
        </row>
        <row r="371">
          <cell r="BA371" t="str">
            <v>.</v>
          </cell>
        </row>
        <row r="372">
          <cell r="BA372" t="str">
            <v>.</v>
          </cell>
        </row>
        <row r="373">
          <cell r="BA373" t="str">
            <v>.</v>
          </cell>
        </row>
        <row r="374">
          <cell r="BA374" t="str">
            <v>.</v>
          </cell>
        </row>
        <row r="375">
          <cell r="BA375" t="str">
            <v>.</v>
          </cell>
        </row>
        <row r="376">
          <cell r="BA376" t="str">
            <v>.</v>
          </cell>
        </row>
        <row r="377">
          <cell r="BA377" t="str">
            <v>.</v>
          </cell>
        </row>
        <row r="378">
          <cell r="BA378" t="str">
            <v>.</v>
          </cell>
        </row>
        <row r="379">
          <cell r="BA379" t="str">
            <v>.</v>
          </cell>
        </row>
        <row r="380">
          <cell r="BA380" t="str">
            <v>.</v>
          </cell>
        </row>
        <row r="381">
          <cell r="BA381" t="str">
            <v>.</v>
          </cell>
        </row>
        <row r="382">
          <cell r="BA382" t="str">
            <v>.</v>
          </cell>
        </row>
        <row r="383">
          <cell r="BA383" t="str">
            <v>.</v>
          </cell>
        </row>
        <row r="384">
          <cell r="BA384" t="str">
            <v>.</v>
          </cell>
        </row>
        <row r="385">
          <cell r="BA385" t="str">
            <v>.</v>
          </cell>
        </row>
        <row r="386">
          <cell r="BA386" t="str">
            <v>.</v>
          </cell>
        </row>
        <row r="387">
          <cell r="BA387" t="str">
            <v>.</v>
          </cell>
        </row>
        <row r="388">
          <cell r="BA388" t="str">
            <v>.</v>
          </cell>
        </row>
        <row r="389">
          <cell r="BA389" t="str">
            <v>.</v>
          </cell>
        </row>
        <row r="390">
          <cell r="BA390" t="str">
            <v>.</v>
          </cell>
        </row>
        <row r="391">
          <cell r="BA391" t="str">
            <v>.</v>
          </cell>
        </row>
        <row r="392">
          <cell r="BA392" t="str">
            <v>.</v>
          </cell>
        </row>
        <row r="393">
          <cell r="BA393" t="str">
            <v>.</v>
          </cell>
        </row>
        <row r="394">
          <cell r="BA394" t="str">
            <v>.</v>
          </cell>
        </row>
        <row r="395">
          <cell r="BA395" t="str">
            <v>.</v>
          </cell>
        </row>
        <row r="396">
          <cell r="BA396" t="str">
            <v>.</v>
          </cell>
        </row>
        <row r="397">
          <cell r="BA397" t="str">
            <v>.</v>
          </cell>
        </row>
        <row r="398">
          <cell r="BA398" t="str">
            <v>.</v>
          </cell>
        </row>
        <row r="399">
          <cell r="BA399" t="str">
            <v>.</v>
          </cell>
        </row>
        <row r="400">
          <cell r="BA400" t="str">
            <v>.</v>
          </cell>
        </row>
        <row r="401">
          <cell r="BA401" t="str">
            <v>.</v>
          </cell>
        </row>
        <row r="402">
          <cell r="BA402" t="str">
            <v>.</v>
          </cell>
        </row>
        <row r="403">
          <cell r="BA403" t="str">
            <v>.</v>
          </cell>
        </row>
        <row r="404">
          <cell r="BA404" t="str">
            <v>.</v>
          </cell>
        </row>
        <row r="405">
          <cell r="BA405" t="str">
            <v>.</v>
          </cell>
        </row>
        <row r="406">
          <cell r="BA406" t="str">
            <v>.</v>
          </cell>
        </row>
        <row r="407">
          <cell r="BA407" t="str">
            <v>.</v>
          </cell>
        </row>
        <row r="408">
          <cell r="BA408" t="str">
            <v>.</v>
          </cell>
        </row>
        <row r="409">
          <cell r="BA409" t="str">
            <v>.</v>
          </cell>
        </row>
        <row r="410">
          <cell r="BA410" t="str">
            <v>.</v>
          </cell>
        </row>
        <row r="411">
          <cell r="BA411" t="str">
            <v>.</v>
          </cell>
        </row>
        <row r="412">
          <cell r="BA412" t="str">
            <v>.</v>
          </cell>
        </row>
        <row r="413">
          <cell r="BA413" t="str">
            <v>.</v>
          </cell>
        </row>
        <row r="414">
          <cell r="BA414" t="str">
            <v>.</v>
          </cell>
        </row>
        <row r="415">
          <cell r="BA415" t="str">
            <v>.</v>
          </cell>
        </row>
        <row r="416">
          <cell r="BA416" t="str">
            <v>.</v>
          </cell>
        </row>
        <row r="417">
          <cell r="BA417" t="str">
            <v>.</v>
          </cell>
        </row>
        <row r="418">
          <cell r="BA418" t="str">
            <v>.</v>
          </cell>
        </row>
        <row r="419">
          <cell r="BA419" t="str">
            <v>.</v>
          </cell>
        </row>
        <row r="420">
          <cell r="BA420" t="str">
            <v>.</v>
          </cell>
        </row>
        <row r="421">
          <cell r="BA421" t="str">
            <v>.</v>
          </cell>
        </row>
        <row r="422">
          <cell r="BA422" t="str">
            <v>.</v>
          </cell>
        </row>
        <row r="423">
          <cell r="BA423" t="str">
            <v>.</v>
          </cell>
        </row>
        <row r="424">
          <cell r="BA424" t="str">
            <v>.</v>
          </cell>
        </row>
        <row r="425">
          <cell r="BA425" t="str">
            <v>.</v>
          </cell>
        </row>
        <row r="426">
          <cell r="BA426" t="str">
            <v>.</v>
          </cell>
        </row>
        <row r="427">
          <cell r="BA427" t="str">
            <v>.</v>
          </cell>
        </row>
        <row r="428">
          <cell r="BA428" t="str">
            <v>.</v>
          </cell>
        </row>
        <row r="429">
          <cell r="BA429" t="str">
            <v>.</v>
          </cell>
        </row>
        <row r="430">
          <cell r="BA430" t="str">
            <v>.</v>
          </cell>
        </row>
        <row r="431">
          <cell r="BA431" t="str">
            <v>.</v>
          </cell>
        </row>
        <row r="432">
          <cell r="BA432" t="str">
            <v>.</v>
          </cell>
        </row>
        <row r="433">
          <cell r="BA433" t="str">
            <v>.</v>
          </cell>
        </row>
        <row r="434">
          <cell r="BA434" t="str">
            <v>.</v>
          </cell>
        </row>
        <row r="435">
          <cell r="BA435" t="str">
            <v>.</v>
          </cell>
        </row>
        <row r="436">
          <cell r="BA436" t="str">
            <v>.</v>
          </cell>
        </row>
        <row r="437">
          <cell r="BA437" t="str">
            <v>.</v>
          </cell>
        </row>
        <row r="438">
          <cell r="BA438" t="str">
            <v>.</v>
          </cell>
        </row>
        <row r="439">
          <cell r="BA439" t="str">
            <v>.</v>
          </cell>
        </row>
        <row r="440">
          <cell r="BA440" t="str">
            <v>.</v>
          </cell>
        </row>
        <row r="441">
          <cell r="BA441" t="str">
            <v>.</v>
          </cell>
        </row>
        <row r="442">
          <cell r="BA442" t="str">
            <v>.</v>
          </cell>
        </row>
        <row r="443">
          <cell r="BA443" t="str">
            <v>.</v>
          </cell>
        </row>
        <row r="444">
          <cell r="BA444" t="str">
            <v>.</v>
          </cell>
        </row>
        <row r="445">
          <cell r="BA445" t="str">
            <v>.</v>
          </cell>
        </row>
        <row r="446">
          <cell r="BA446" t="str">
            <v>.</v>
          </cell>
        </row>
        <row r="447">
          <cell r="BA447" t="str">
            <v>.</v>
          </cell>
        </row>
        <row r="448">
          <cell r="BA448" t="str">
            <v>.</v>
          </cell>
        </row>
        <row r="449">
          <cell r="BA449" t="str">
            <v>.</v>
          </cell>
        </row>
        <row r="450">
          <cell r="BA450" t="str">
            <v>.</v>
          </cell>
        </row>
        <row r="451">
          <cell r="BA451" t="str">
            <v>.</v>
          </cell>
        </row>
        <row r="452">
          <cell r="BA452" t="str">
            <v>.</v>
          </cell>
        </row>
        <row r="453">
          <cell r="BA453" t="str">
            <v>.</v>
          </cell>
        </row>
        <row r="454">
          <cell r="BA454" t="str">
            <v>.</v>
          </cell>
        </row>
        <row r="455">
          <cell r="BA455" t="str">
            <v>.</v>
          </cell>
        </row>
        <row r="456">
          <cell r="BA456" t="str">
            <v>.</v>
          </cell>
        </row>
        <row r="457">
          <cell r="BA457" t="str">
            <v>.</v>
          </cell>
        </row>
        <row r="458">
          <cell r="BA458" t="str">
            <v>.</v>
          </cell>
        </row>
        <row r="459">
          <cell r="BA459" t="str">
            <v>.</v>
          </cell>
        </row>
        <row r="460">
          <cell r="BA460" t="str">
            <v>.</v>
          </cell>
        </row>
        <row r="461">
          <cell r="BA461" t="str">
            <v>.</v>
          </cell>
        </row>
        <row r="462">
          <cell r="BA462" t="str">
            <v>.</v>
          </cell>
        </row>
        <row r="463">
          <cell r="BA463" t="str">
            <v>.</v>
          </cell>
        </row>
        <row r="464">
          <cell r="BA464" t="str">
            <v>.</v>
          </cell>
        </row>
        <row r="465">
          <cell r="BA465" t="str">
            <v>.</v>
          </cell>
        </row>
        <row r="466">
          <cell r="BA466" t="str">
            <v>.</v>
          </cell>
        </row>
        <row r="467">
          <cell r="BA467" t="str">
            <v>.</v>
          </cell>
        </row>
        <row r="468">
          <cell r="BA468" t="str">
            <v>.</v>
          </cell>
        </row>
        <row r="469">
          <cell r="BA469" t="str">
            <v>.</v>
          </cell>
        </row>
        <row r="470">
          <cell r="BA470" t="str">
            <v>.</v>
          </cell>
        </row>
        <row r="471">
          <cell r="BA471" t="str">
            <v>.</v>
          </cell>
        </row>
        <row r="472">
          <cell r="BA472" t="str">
            <v>.</v>
          </cell>
        </row>
        <row r="473">
          <cell r="BA473" t="str">
            <v>.</v>
          </cell>
        </row>
        <row r="474">
          <cell r="BA474" t="str">
            <v>.</v>
          </cell>
        </row>
        <row r="475">
          <cell r="BA475" t="str">
            <v>.</v>
          </cell>
        </row>
        <row r="476">
          <cell r="BA476" t="str">
            <v>.</v>
          </cell>
        </row>
        <row r="477">
          <cell r="BA477" t="str">
            <v>.</v>
          </cell>
        </row>
        <row r="478">
          <cell r="BA478" t="str">
            <v>.</v>
          </cell>
        </row>
        <row r="479">
          <cell r="BA479" t="str">
            <v>.</v>
          </cell>
        </row>
        <row r="480">
          <cell r="BA480" t="str">
            <v>.</v>
          </cell>
        </row>
        <row r="481">
          <cell r="BA481" t="str">
            <v>.</v>
          </cell>
        </row>
        <row r="482">
          <cell r="BA482" t="str">
            <v>.</v>
          </cell>
        </row>
        <row r="483">
          <cell r="BA483" t="str">
            <v>.</v>
          </cell>
        </row>
        <row r="484">
          <cell r="BA484" t="str">
            <v>.</v>
          </cell>
        </row>
        <row r="485">
          <cell r="BA485" t="str">
            <v>.</v>
          </cell>
        </row>
        <row r="486">
          <cell r="BA486" t="str">
            <v>.</v>
          </cell>
        </row>
        <row r="487">
          <cell r="BA487" t="str">
            <v>.</v>
          </cell>
        </row>
        <row r="488">
          <cell r="BA488" t="str">
            <v>.</v>
          </cell>
        </row>
        <row r="489">
          <cell r="BA489" t="str">
            <v>.</v>
          </cell>
        </row>
        <row r="490">
          <cell r="BA490" t="str">
            <v>.</v>
          </cell>
        </row>
        <row r="491">
          <cell r="BA491" t="str">
            <v>.</v>
          </cell>
        </row>
        <row r="492">
          <cell r="BA492" t="str">
            <v>.</v>
          </cell>
        </row>
        <row r="493">
          <cell r="BA493" t="str">
            <v>.</v>
          </cell>
        </row>
        <row r="494">
          <cell r="BA494" t="str">
            <v>.</v>
          </cell>
        </row>
        <row r="495">
          <cell r="BA495" t="str">
            <v>.</v>
          </cell>
        </row>
        <row r="496">
          <cell r="BA496" t="str">
            <v>.</v>
          </cell>
        </row>
        <row r="497">
          <cell r="BA497" t="str">
            <v>.</v>
          </cell>
        </row>
        <row r="498">
          <cell r="BA498" t="str">
            <v>.</v>
          </cell>
        </row>
        <row r="499">
          <cell r="BA499" t="str">
            <v>.</v>
          </cell>
        </row>
        <row r="500">
          <cell r="BA500" t="str">
            <v>.</v>
          </cell>
        </row>
        <row r="501">
          <cell r="BA501" t="str">
            <v>.</v>
          </cell>
        </row>
        <row r="502">
          <cell r="BA502" t="str">
            <v>.</v>
          </cell>
        </row>
        <row r="503">
          <cell r="BA503" t="str">
            <v>.</v>
          </cell>
        </row>
        <row r="504">
          <cell r="BA504" t="str">
            <v>.</v>
          </cell>
        </row>
        <row r="505">
          <cell r="BA505" t="str">
            <v>.</v>
          </cell>
        </row>
        <row r="506">
          <cell r="BA506" t="str">
            <v>.</v>
          </cell>
        </row>
        <row r="507">
          <cell r="BA507" t="str">
            <v>.</v>
          </cell>
        </row>
        <row r="508">
          <cell r="BA508" t="str">
            <v>.</v>
          </cell>
        </row>
        <row r="509">
          <cell r="BA509" t="str">
            <v>.</v>
          </cell>
        </row>
        <row r="510">
          <cell r="BA510" t="str">
            <v>.</v>
          </cell>
        </row>
        <row r="511">
          <cell r="BA511" t="str">
            <v>.</v>
          </cell>
        </row>
        <row r="512">
          <cell r="BA512" t="str">
            <v>.</v>
          </cell>
        </row>
        <row r="513">
          <cell r="BA513" t="str">
            <v>.</v>
          </cell>
        </row>
        <row r="514">
          <cell r="BA514" t="str">
            <v>.</v>
          </cell>
        </row>
        <row r="515">
          <cell r="BA515" t="str">
            <v>.</v>
          </cell>
        </row>
        <row r="516">
          <cell r="BA516" t="str">
            <v>.</v>
          </cell>
        </row>
        <row r="517">
          <cell r="BA517" t="str">
            <v>.</v>
          </cell>
        </row>
        <row r="518">
          <cell r="BA518" t="str">
            <v>.</v>
          </cell>
        </row>
        <row r="519">
          <cell r="BA519" t="str">
            <v>.</v>
          </cell>
        </row>
        <row r="520">
          <cell r="BA520" t="str">
            <v>.</v>
          </cell>
        </row>
        <row r="521">
          <cell r="BA521" t="str">
            <v>.</v>
          </cell>
        </row>
        <row r="522">
          <cell r="BA522" t="str">
            <v>.</v>
          </cell>
        </row>
        <row r="523">
          <cell r="BA523" t="str">
            <v>.</v>
          </cell>
        </row>
        <row r="524">
          <cell r="BA524" t="str">
            <v>.</v>
          </cell>
        </row>
        <row r="525">
          <cell r="BA525" t="str">
            <v>.</v>
          </cell>
        </row>
        <row r="526">
          <cell r="BA526" t="str">
            <v>.</v>
          </cell>
        </row>
        <row r="527">
          <cell r="BA527" t="str">
            <v>.</v>
          </cell>
        </row>
        <row r="528">
          <cell r="BA528" t="str">
            <v>.</v>
          </cell>
        </row>
        <row r="529">
          <cell r="BA529" t="str">
            <v>.</v>
          </cell>
        </row>
        <row r="530">
          <cell r="BA530" t="str">
            <v>.</v>
          </cell>
        </row>
        <row r="531">
          <cell r="BA531" t="str">
            <v>.</v>
          </cell>
        </row>
        <row r="532">
          <cell r="BA532" t="str">
            <v>.</v>
          </cell>
        </row>
        <row r="533">
          <cell r="BA533" t="str">
            <v>.</v>
          </cell>
        </row>
        <row r="534">
          <cell r="BA534" t="str">
            <v>.</v>
          </cell>
        </row>
        <row r="535">
          <cell r="BA535" t="str">
            <v>.</v>
          </cell>
        </row>
        <row r="536">
          <cell r="BA536" t="str">
            <v>.</v>
          </cell>
        </row>
        <row r="537">
          <cell r="BA537" t="str">
            <v>.</v>
          </cell>
        </row>
        <row r="538">
          <cell r="BA538" t="str">
            <v>.</v>
          </cell>
        </row>
        <row r="539">
          <cell r="BA539" t="str">
            <v>.</v>
          </cell>
        </row>
        <row r="540">
          <cell r="BA540" t="str">
            <v>.</v>
          </cell>
        </row>
        <row r="541">
          <cell r="BA541" t="str">
            <v>.</v>
          </cell>
        </row>
        <row r="542">
          <cell r="BA542" t="str">
            <v>.</v>
          </cell>
        </row>
        <row r="543">
          <cell r="BA543" t="str">
            <v>.</v>
          </cell>
        </row>
        <row r="544">
          <cell r="BA544" t="str">
            <v>.</v>
          </cell>
        </row>
        <row r="545">
          <cell r="BA545" t="str">
            <v>.</v>
          </cell>
        </row>
        <row r="546">
          <cell r="BA546" t="str">
            <v>.</v>
          </cell>
        </row>
        <row r="547">
          <cell r="BA547" t="str">
            <v>.</v>
          </cell>
        </row>
        <row r="548">
          <cell r="BA548" t="str">
            <v>.</v>
          </cell>
        </row>
        <row r="549">
          <cell r="BA549" t="str">
            <v>.</v>
          </cell>
        </row>
        <row r="550">
          <cell r="BA550" t="str">
            <v>.</v>
          </cell>
        </row>
        <row r="551">
          <cell r="BA551" t="str">
            <v>.</v>
          </cell>
        </row>
        <row r="552">
          <cell r="BA552" t="str">
            <v>.</v>
          </cell>
        </row>
        <row r="553">
          <cell r="BA553" t="str">
            <v>.</v>
          </cell>
        </row>
        <row r="554">
          <cell r="BA554" t="str">
            <v>.</v>
          </cell>
        </row>
        <row r="555">
          <cell r="BA555" t="str">
            <v>.</v>
          </cell>
        </row>
        <row r="556">
          <cell r="BA556" t="str">
            <v>.</v>
          </cell>
        </row>
        <row r="557">
          <cell r="BA557" t="str">
            <v>.</v>
          </cell>
        </row>
        <row r="558">
          <cell r="BA558" t="str">
            <v>.</v>
          </cell>
        </row>
        <row r="559">
          <cell r="BA559" t="str">
            <v>.</v>
          </cell>
        </row>
        <row r="560">
          <cell r="BA560" t="str">
            <v>.</v>
          </cell>
        </row>
        <row r="561">
          <cell r="BA561" t="str">
            <v>.</v>
          </cell>
        </row>
        <row r="562">
          <cell r="BA562" t="str">
            <v>.</v>
          </cell>
        </row>
        <row r="563">
          <cell r="BA563" t="str">
            <v>.</v>
          </cell>
        </row>
        <row r="564">
          <cell r="BA564" t="str">
            <v>.</v>
          </cell>
        </row>
        <row r="565">
          <cell r="BA565" t="str">
            <v>.</v>
          </cell>
        </row>
        <row r="566">
          <cell r="BA566" t="str">
            <v>.</v>
          </cell>
        </row>
        <row r="567">
          <cell r="BA567" t="str">
            <v>.</v>
          </cell>
        </row>
        <row r="568">
          <cell r="BA568" t="str">
            <v>.</v>
          </cell>
        </row>
        <row r="569">
          <cell r="BA569" t="str">
            <v>.</v>
          </cell>
        </row>
        <row r="570">
          <cell r="BA570" t="str">
            <v>.</v>
          </cell>
        </row>
        <row r="571">
          <cell r="BA571" t="str">
            <v>.</v>
          </cell>
        </row>
        <row r="572">
          <cell r="BA572" t="str">
            <v>.</v>
          </cell>
        </row>
        <row r="573">
          <cell r="BA573" t="str">
            <v>.</v>
          </cell>
        </row>
        <row r="574">
          <cell r="BA574" t="str">
            <v>.</v>
          </cell>
        </row>
        <row r="575">
          <cell r="BA575" t="str">
            <v>.</v>
          </cell>
        </row>
        <row r="576">
          <cell r="BA576" t="str">
            <v>.</v>
          </cell>
        </row>
        <row r="577">
          <cell r="BA577" t="str">
            <v>.</v>
          </cell>
        </row>
        <row r="578">
          <cell r="BA578" t="str">
            <v>.</v>
          </cell>
        </row>
        <row r="579">
          <cell r="BA579" t="str">
            <v>.</v>
          </cell>
        </row>
        <row r="580">
          <cell r="BA580" t="str">
            <v>.</v>
          </cell>
        </row>
        <row r="581">
          <cell r="BA581" t="str">
            <v>.</v>
          </cell>
        </row>
        <row r="582">
          <cell r="BA582" t="str">
            <v>.</v>
          </cell>
        </row>
        <row r="583">
          <cell r="BA583" t="str">
            <v>.</v>
          </cell>
        </row>
        <row r="584">
          <cell r="BA584" t="str">
            <v>.</v>
          </cell>
        </row>
        <row r="585">
          <cell r="BA585" t="str">
            <v>.</v>
          </cell>
        </row>
        <row r="586">
          <cell r="BA586" t="str">
            <v>.</v>
          </cell>
        </row>
        <row r="587">
          <cell r="BA587" t="str">
            <v>.</v>
          </cell>
        </row>
        <row r="588">
          <cell r="BA588" t="str">
            <v>.</v>
          </cell>
        </row>
        <row r="589">
          <cell r="BA589" t="str">
            <v>.</v>
          </cell>
        </row>
        <row r="590">
          <cell r="BA590" t="str">
            <v>.</v>
          </cell>
        </row>
        <row r="591">
          <cell r="BA591" t="str">
            <v>.</v>
          </cell>
        </row>
        <row r="592">
          <cell r="BA592" t="str">
            <v>.</v>
          </cell>
        </row>
        <row r="593">
          <cell r="BA593" t="str">
            <v>.</v>
          </cell>
        </row>
        <row r="594">
          <cell r="BA594" t="str">
            <v>.</v>
          </cell>
        </row>
        <row r="595">
          <cell r="BA595" t="str">
            <v>.</v>
          </cell>
        </row>
        <row r="596">
          <cell r="BA596" t="str">
            <v>.</v>
          </cell>
        </row>
        <row r="597">
          <cell r="BA597" t="str">
            <v>.</v>
          </cell>
        </row>
        <row r="598">
          <cell r="BA598" t="str">
            <v>.</v>
          </cell>
        </row>
        <row r="599">
          <cell r="BA599" t="str">
            <v>.</v>
          </cell>
        </row>
        <row r="600">
          <cell r="BA600" t="str">
            <v>.</v>
          </cell>
        </row>
        <row r="601">
          <cell r="BA601" t="str">
            <v>.</v>
          </cell>
        </row>
        <row r="602">
          <cell r="BA602" t="str">
            <v>.</v>
          </cell>
        </row>
        <row r="603">
          <cell r="BA603" t="str">
            <v>.</v>
          </cell>
        </row>
        <row r="604">
          <cell r="BA604" t="str">
            <v>.</v>
          </cell>
        </row>
        <row r="605">
          <cell r="BA605" t="str">
            <v>.</v>
          </cell>
        </row>
        <row r="606">
          <cell r="BA606" t="str">
            <v>.</v>
          </cell>
        </row>
        <row r="607">
          <cell r="BA607" t="str">
            <v>.</v>
          </cell>
        </row>
        <row r="608">
          <cell r="BA608" t="str">
            <v>.</v>
          </cell>
        </row>
        <row r="609">
          <cell r="BA609" t="str">
            <v>.</v>
          </cell>
        </row>
        <row r="610">
          <cell r="BA610" t="str">
            <v>.</v>
          </cell>
        </row>
        <row r="611">
          <cell r="BA611" t="str">
            <v>.</v>
          </cell>
        </row>
        <row r="612">
          <cell r="BA612" t="str">
            <v>.</v>
          </cell>
        </row>
        <row r="613">
          <cell r="BA613" t="str">
            <v>.</v>
          </cell>
        </row>
        <row r="614">
          <cell r="BA614" t="str">
            <v>.</v>
          </cell>
        </row>
        <row r="615">
          <cell r="BA615" t="str">
            <v>.</v>
          </cell>
        </row>
        <row r="616">
          <cell r="BA616" t="str">
            <v>.</v>
          </cell>
        </row>
        <row r="617">
          <cell r="BA617" t="str">
            <v>.</v>
          </cell>
        </row>
        <row r="618">
          <cell r="BA618" t="str">
            <v>.</v>
          </cell>
        </row>
        <row r="619">
          <cell r="BA619" t="str">
            <v>.</v>
          </cell>
        </row>
        <row r="620">
          <cell r="BA620" t="str">
            <v>.</v>
          </cell>
        </row>
        <row r="621">
          <cell r="BA621" t="str">
            <v>.</v>
          </cell>
        </row>
        <row r="622">
          <cell r="BA622" t="str">
            <v>.</v>
          </cell>
        </row>
        <row r="623">
          <cell r="BA623" t="str">
            <v>.</v>
          </cell>
        </row>
        <row r="624">
          <cell r="BA624" t="str">
            <v>.</v>
          </cell>
        </row>
        <row r="625">
          <cell r="BA625" t="str">
            <v>.</v>
          </cell>
        </row>
        <row r="626">
          <cell r="BA626" t="str">
            <v>.</v>
          </cell>
        </row>
        <row r="627">
          <cell r="BA627" t="str">
            <v>.</v>
          </cell>
        </row>
        <row r="628">
          <cell r="BA628" t="str">
            <v>.</v>
          </cell>
        </row>
        <row r="629">
          <cell r="BA629" t="str">
            <v>.</v>
          </cell>
        </row>
        <row r="630">
          <cell r="BA630" t="str">
            <v>.</v>
          </cell>
        </row>
        <row r="631">
          <cell r="BA631" t="str">
            <v>.</v>
          </cell>
        </row>
        <row r="632">
          <cell r="BA632" t="str">
            <v>.</v>
          </cell>
        </row>
        <row r="633">
          <cell r="BA633" t="str">
            <v>.</v>
          </cell>
        </row>
        <row r="634">
          <cell r="BA634" t="str">
            <v>.</v>
          </cell>
        </row>
        <row r="635">
          <cell r="BA635" t="str">
            <v>.</v>
          </cell>
        </row>
        <row r="636">
          <cell r="BA636" t="str">
            <v>.</v>
          </cell>
        </row>
        <row r="637">
          <cell r="BA637" t="str">
            <v>.</v>
          </cell>
        </row>
        <row r="638">
          <cell r="BA638" t="str">
            <v>.</v>
          </cell>
        </row>
        <row r="639">
          <cell r="BA639" t="str">
            <v>.</v>
          </cell>
        </row>
        <row r="640">
          <cell r="BA640" t="str">
            <v>.</v>
          </cell>
        </row>
        <row r="641">
          <cell r="BA641" t="str">
            <v>.</v>
          </cell>
        </row>
        <row r="642">
          <cell r="BA642" t="str">
            <v>.</v>
          </cell>
        </row>
        <row r="643">
          <cell r="BA643" t="str">
            <v>.</v>
          </cell>
        </row>
        <row r="644">
          <cell r="BA644" t="str">
            <v>.</v>
          </cell>
        </row>
        <row r="645">
          <cell r="BA645" t="str">
            <v>.</v>
          </cell>
        </row>
        <row r="646">
          <cell r="BA646" t="str">
            <v>.</v>
          </cell>
        </row>
        <row r="647">
          <cell r="BA647" t="str">
            <v>.</v>
          </cell>
        </row>
        <row r="648">
          <cell r="BA648" t="str">
            <v>.</v>
          </cell>
        </row>
        <row r="649">
          <cell r="BA649" t="str">
            <v>.</v>
          </cell>
        </row>
        <row r="650">
          <cell r="BA650" t="str">
            <v>.</v>
          </cell>
        </row>
        <row r="651">
          <cell r="BA651" t="str">
            <v>.</v>
          </cell>
        </row>
        <row r="652">
          <cell r="BA652" t="str">
            <v>.</v>
          </cell>
        </row>
        <row r="653">
          <cell r="BA653" t="str">
            <v>.</v>
          </cell>
        </row>
        <row r="654">
          <cell r="BA654" t="str">
            <v>.</v>
          </cell>
        </row>
        <row r="655">
          <cell r="BA655" t="str">
            <v>.</v>
          </cell>
        </row>
        <row r="656">
          <cell r="BA656" t="str">
            <v>.</v>
          </cell>
        </row>
        <row r="657">
          <cell r="BA657" t="str">
            <v>.</v>
          </cell>
        </row>
        <row r="658">
          <cell r="BA658" t="str">
            <v>.</v>
          </cell>
        </row>
        <row r="659">
          <cell r="BA659" t="str">
            <v>.</v>
          </cell>
        </row>
        <row r="660">
          <cell r="BA660" t="str">
            <v>.</v>
          </cell>
        </row>
        <row r="661">
          <cell r="BA661" t="str">
            <v>.</v>
          </cell>
        </row>
        <row r="662">
          <cell r="BA662" t="str">
            <v>.</v>
          </cell>
        </row>
        <row r="663">
          <cell r="BA663" t="str">
            <v>.</v>
          </cell>
        </row>
        <row r="664">
          <cell r="BA664" t="str">
            <v>.</v>
          </cell>
        </row>
        <row r="665">
          <cell r="BA665" t="str">
            <v>.</v>
          </cell>
        </row>
        <row r="666">
          <cell r="BA666" t="str">
            <v>.</v>
          </cell>
        </row>
        <row r="667">
          <cell r="BA667" t="str">
            <v>.</v>
          </cell>
        </row>
        <row r="668">
          <cell r="BA668" t="str">
            <v>.</v>
          </cell>
        </row>
        <row r="669">
          <cell r="BA669" t="str">
            <v>.</v>
          </cell>
        </row>
        <row r="670">
          <cell r="BA670" t="str">
            <v>.</v>
          </cell>
        </row>
        <row r="671">
          <cell r="BA671" t="str">
            <v>.</v>
          </cell>
        </row>
        <row r="672">
          <cell r="BA672" t="str">
            <v>.</v>
          </cell>
        </row>
        <row r="673">
          <cell r="BA673" t="str">
            <v>.</v>
          </cell>
        </row>
        <row r="674">
          <cell r="BA674" t="str">
            <v>.</v>
          </cell>
        </row>
        <row r="675">
          <cell r="BA675" t="str">
            <v>.</v>
          </cell>
        </row>
        <row r="676">
          <cell r="BA676" t="str">
            <v>.</v>
          </cell>
        </row>
        <row r="677">
          <cell r="BA677" t="str">
            <v>.</v>
          </cell>
        </row>
        <row r="678">
          <cell r="BA678" t="str">
            <v>.</v>
          </cell>
        </row>
        <row r="679">
          <cell r="BA679" t="str">
            <v>.</v>
          </cell>
        </row>
        <row r="680">
          <cell r="BA680" t="str">
            <v>.</v>
          </cell>
        </row>
        <row r="681">
          <cell r="BA681" t="str">
            <v>.</v>
          </cell>
        </row>
        <row r="682">
          <cell r="BA682" t="str">
            <v>.</v>
          </cell>
        </row>
        <row r="683">
          <cell r="BA683" t="str">
            <v>.</v>
          </cell>
        </row>
        <row r="684">
          <cell r="BA684" t="str">
            <v>.</v>
          </cell>
        </row>
        <row r="685">
          <cell r="BA685" t="str">
            <v>.</v>
          </cell>
        </row>
        <row r="686">
          <cell r="BA686" t="str">
            <v>.</v>
          </cell>
        </row>
        <row r="687">
          <cell r="BA687" t="str">
            <v>.</v>
          </cell>
        </row>
        <row r="688">
          <cell r="BA688" t="str">
            <v>.</v>
          </cell>
        </row>
        <row r="689">
          <cell r="BA689" t="str">
            <v>.</v>
          </cell>
        </row>
        <row r="690">
          <cell r="BA690" t="str">
            <v>.</v>
          </cell>
        </row>
        <row r="691">
          <cell r="BA691" t="str">
            <v>.</v>
          </cell>
        </row>
        <row r="692">
          <cell r="BA692" t="str">
            <v>.</v>
          </cell>
        </row>
        <row r="693">
          <cell r="BA693" t="str">
            <v>.</v>
          </cell>
        </row>
        <row r="694">
          <cell r="BA694" t="str">
            <v>.</v>
          </cell>
        </row>
        <row r="695">
          <cell r="BA695" t="str">
            <v>.</v>
          </cell>
        </row>
        <row r="696">
          <cell r="BA696" t="str">
            <v>.</v>
          </cell>
        </row>
        <row r="697">
          <cell r="BA697" t="str">
            <v>.</v>
          </cell>
        </row>
        <row r="698">
          <cell r="BA698" t="str">
            <v>.</v>
          </cell>
        </row>
        <row r="699">
          <cell r="BA699" t="str">
            <v>.</v>
          </cell>
        </row>
        <row r="700">
          <cell r="BA700" t="str">
            <v>.</v>
          </cell>
        </row>
        <row r="701">
          <cell r="BA701" t="str">
            <v>.</v>
          </cell>
        </row>
        <row r="702">
          <cell r="BA702" t="str">
            <v>.</v>
          </cell>
        </row>
        <row r="703">
          <cell r="BA703" t="str">
            <v>.</v>
          </cell>
        </row>
        <row r="704">
          <cell r="BA704" t="str">
            <v>.</v>
          </cell>
        </row>
        <row r="705">
          <cell r="BA705" t="str">
            <v>.</v>
          </cell>
        </row>
        <row r="706">
          <cell r="BA706" t="str">
            <v>.</v>
          </cell>
        </row>
        <row r="707">
          <cell r="BA707" t="str">
            <v>.</v>
          </cell>
        </row>
        <row r="708">
          <cell r="BA708" t="str">
            <v>.</v>
          </cell>
        </row>
        <row r="709">
          <cell r="BA709" t="str">
            <v>.</v>
          </cell>
        </row>
        <row r="710">
          <cell r="BA710" t="str">
            <v>.</v>
          </cell>
        </row>
        <row r="711">
          <cell r="BA711" t="str">
            <v>.</v>
          </cell>
        </row>
        <row r="712">
          <cell r="BA712" t="str">
            <v>.</v>
          </cell>
        </row>
        <row r="713">
          <cell r="BA713" t="str">
            <v>.</v>
          </cell>
        </row>
        <row r="714">
          <cell r="BA714" t="str">
            <v>.</v>
          </cell>
        </row>
        <row r="715">
          <cell r="BA715" t="str">
            <v>.</v>
          </cell>
        </row>
        <row r="716">
          <cell r="BA716" t="str">
            <v>.</v>
          </cell>
        </row>
        <row r="717">
          <cell r="BA717" t="str">
            <v>.</v>
          </cell>
        </row>
        <row r="718">
          <cell r="BA718" t="str">
            <v>.</v>
          </cell>
        </row>
        <row r="719">
          <cell r="BA719" t="str">
            <v>.</v>
          </cell>
        </row>
        <row r="720">
          <cell r="BA720" t="str">
            <v>.</v>
          </cell>
        </row>
        <row r="721">
          <cell r="BA721" t="str">
            <v>.</v>
          </cell>
        </row>
        <row r="722">
          <cell r="BA722" t="str">
            <v>.</v>
          </cell>
        </row>
        <row r="723">
          <cell r="BA723" t="str">
            <v>.</v>
          </cell>
        </row>
        <row r="724">
          <cell r="BA724" t="str">
            <v>.</v>
          </cell>
        </row>
        <row r="725">
          <cell r="BA725" t="str">
            <v>.</v>
          </cell>
        </row>
        <row r="726">
          <cell r="BA726" t="str">
            <v>.</v>
          </cell>
        </row>
        <row r="727">
          <cell r="BA727" t="str">
            <v>.</v>
          </cell>
        </row>
        <row r="728">
          <cell r="BA728" t="str">
            <v>.</v>
          </cell>
        </row>
        <row r="729">
          <cell r="BA729" t="str">
            <v>.</v>
          </cell>
        </row>
        <row r="730">
          <cell r="BA730" t="str">
            <v>.</v>
          </cell>
        </row>
        <row r="731">
          <cell r="BA731" t="str">
            <v>.</v>
          </cell>
        </row>
        <row r="732">
          <cell r="BA732" t="str">
            <v>.</v>
          </cell>
        </row>
        <row r="733">
          <cell r="BA733" t="str">
            <v>.</v>
          </cell>
        </row>
        <row r="734">
          <cell r="BA734" t="str">
            <v>.</v>
          </cell>
        </row>
        <row r="735">
          <cell r="BA735" t="str">
            <v>.</v>
          </cell>
        </row>
        <row r="736">
          <cell r="BA736" t="str">
            <v>.</v>
          </cell>
        </row>
        <row r="737">
          <cell r="BA737" t="str">
            <v>.</v>
          </cell>
        </row>
        <row r="738">
          <cell r="BA738" t="str">
            <v>.</v>
          </cell>
        </row>
        <row r="739">
          <cell r="BA739" t="str">
            <v>.</v>
          </cell>
        </row>
        <row r="740">
          <cell r="BA740" t="str">
            <v>.</v>
          </cell>
        </row>
        <row r="741">
          <cell r="BA741" t="str">
            <v>.</v>
          </cell>
        </row>
        <row r="742">
          <cell r="BA742" t="str">
            <v>.</v>
          </cell>
        </row>
        <row r="743">
          <cell r="BA743" t="str">
            <v>.</v>
          </cell>
        </row>
        <row r="744">
          <cell r="BA744" t="str">
            <v>.</v>
          </cell>
        </row>
        <row r="745">
          <cell r="BA745" t="str">
            <v>.</v>
          </cell>
        </row>
        <row r="746">
          <cell r="BA746" t="str">
            <v>.</v>
          </cell>
        </row>
        <row r="747">
          <cell r="BA747" t="str">
            <v>.</v>
          </cell>
        </row>
        <row r="748">
          <cell r="BA748" t="str">
            <v>.</v>
          </cell>
        </row>
        <row r="749">
          <cell r="BA749" t="str">
            <v>.</v>
          </cell>
        </row>
        <row r="750">
          <cell r="BA750" t="str">
            <v>.</v>
          </cell>
        </row>
        <row r="751">
          <cell r="BA751" t="str">
            <v>.</v>
          </cell>
        </row>
        <row r="752">
          <cell r="BA752" t="str">
            <v>.</v>
          </cell>
        </row>
        <row r="753">
          <cell r="BA753" t="str">
            <v>.</v>
          </cell>
        </row>
        <row r="754">
          <cell r="BA754" t="str">
            <v>.</v>
          </cell>
        </row>
        <row r="755">
          <cell r="BA755" t="str">
            <v>.</v>
          </cell>
        </row>
        <row r="756">
          <cell r="BA756" t="str">
            <v>.</v>
          </cell>
        </row>
        <row r="757">
          <cell r="BA757" t="str">
            <v>.</v>
          </cell>
        </row>
        <row r="758">
          <cell r="BA758" t="str">
            <v>.</v>
          </cell>
        </row>
        <row r="759">
          <cell r="BA759" t="str">
            <v>.</v>
          </cell>
        </row>
        <row r="760">
          <cell r="BA760" t="str">
            <v>.</v>
          </cell>
        </row>
        <row r="761">
          <cell r="BA761" t="str">
            <v>.</v>
          </cell>
        </row>
        <row r="762">
          <cell r="BA762" t="str">
            <v>.</v>
          </cell>
        </row>
        <row r="763">
          <cell r="BA763" t="str">
            <v>.</v>
          </cell>
        </row>
        <row r="764">
          <cell r="BA764" t="str">
            <v>.</v>
          </cell>
        </row>
        <row r="765">
          <cell r="BA765" t="str">
            <v>.</v>
          </cell>
        </row>
        <row r="766">
          <cell r="BA766" t="str">
            <v>.</v>
          </cell>
        </row>
        <row r="767">
          <cell r="BA767" t="str">
            <v>.</v>
          </cell>
        </row>
        <row r="768">
          <cell r="BA768" t="str">
            <v>.</v>
          </cell>
        </row>
        <row r="769">
          <cell r="BA769" t="str">
            <v>.</v>
          </cell>
        </row>
        <row r="770">
          <cell r="BA770" t="str">
            <v>.</v>
          </cell>
        </row>
        <row r="771">
          <cell r="BA771" t="str">
            <v>.</v>
          </cell>
        </row>
        <row r="772">
          <cell r="BA772" t="str">
            <v>.</v>
          </cell>
        </row>
        <row r="773">
          <cell r="BA773" t="str">
            <v>.</v>
          </cell>
        </row>
        <row r="774">
          <cell r="BA774" t="str">
            <v>.</v>
          </cell>
        </row>
        <row r="775">
          <cell r="BA775" t="str">
            <v>.</v>
          </cell>
        </row>
        <row r="776">
          <cell r="BA776" t="str">
            <v>.</v>
          </cell>
        </row>
        <row r="777">
          <cell r="BA777" t="str">
            <v>.</v>
          </cell>
        </row>
        <row r="778">
          <cell r="BA778" t="str">
            <v>.</v>
          </cell>
        </row>
        <row r="779">
          <cell r="BA779" t="str">
            <v>.</v>
          </cell>
        </row>
        <row r="780">
          <cell r="BA780" t="str">
            <v>.</v>
          </cell>
        </row>
        <row r="781">
          <cell r="BA781" t="str">
            <v>.</v>
          </cell>
        </row>
        <row r="782">
          <cell r="BA782" t="str">
            <v>.</v>
          </cell>
        </row>
        <row r="783">
          <cell r="BA783" t="str">
            <v>.</v>
          </cell>
        </row>
        <row r="784">
          <cell r="BA784" t="str">
            <v>.</v>
          </cell>
        </row>
        <row r="785">
          <cell r="BA785" t="str">
            <v>.</v>
          </cell>
        </row>
        <row r="786">
          <cell r="BA786" t="str">
            <v>.</v>
          </cell>
        </row>
        <row r="787">
          <cell r="BA787" t="str">
            <v>.</v>
          </cell>
        </row>
        <row r="788">
          <cell r="BA788" t="str">
            <v>.</v>
          </cell>
        </row>
        <row r="789">
          <cell r="BA789" t="str">
            <v>.</v>
          </cell>
        </row>
        <row r="790">
          <cell r="BA790" t="str">
            <v>.</v>
          </cell>
        </row>
        <row r="791">
          <cell r="BA791" t="str">
            <v>.</v>
          </cell>
        </row>
        <row r="792">
          <cell r="BA792" t="str">
            <v>.</v>
          </cell>
        </row>
        <row r="793">
          <cell r="BA793" t="str">
            <v>.</v>
          </cell>
        </row>
        <row r="794">
          <cell r="BA794" t="str">
            <v>.</v>
          </cell>
        </row>
        <row r="795">
          <cell r="BA795" t="str">
            <v>.</v>
          </cell>
        </row>
        <row r="796">
          <cell r="BA796" t="str">
            <v>.</v>
          </cell>
        </row>
        <row r="797">
          <cell r="BA797" t="str">
            <v>.</v>
          </cell>
        </row>
        <row r="798">
          <cell r="BA798" t="str">
            <v>.</v>
          </cell>
        </row>
        <row r="799">
          <cell r="BA799" t="str">
            <v>.</v>
          </cell>
        </row>
        <row r="800">
          <cell r="BA800" t="str">
            <v>.</v>
          </cell>
        </row>
        <row r="801">
          <cell r="BA801" t="str">
            <v>.</v>
          </cell>
        </row>
        <row r="802">
          <cell r="BA802" t="str">
            <v>.</v>
          </cell>
        </row>
        <row r="803">
          <cell r="BA803" t="str">
            <v>.</v>
          </cell>
        </row>
        <row r="804">
          <cell r="BA804" t="str">
            <v>.</v>
          </cell>
        </row>
        <row r="805">
          <cell r="BA805" t="str">
            <v>.</v>
          </cell>
        </row>
        <row r="806">
          <cell r="BA806" t="str">
            <v>.</v>
          </cell>
        </row>
        <row r="807">
          <cell r="BA807" t="str">
            <v>.</v>
          </cell>
        </row>
        <row r="808">
          <cell r="BA808" t="str">
            <v>.</v>
          </cell>
        </row>
        <row r="809">
          <cell r="BA809" t="str">
            <v>.</v>
          </cell>
        </row>
        <row r="810">
          <cell r="BA810" t="str">
            <v>.</v>
          </cell>
        </row>
        <row r="811">
          <cell r="BA811" t="str">
            <v>.</v>
          </cell>
        </row>
        <row r="812">
          <cell r="BA812" t="str">
            <v>.</v>
          </cell>
        </row>
        <row r="813">
          <cell r="BA813" t="str">
            <v>.</v>
          </cell>
        </row>
        <row r="814">
          <cell r="BA814" t="str">
            <v>.</v>
          </cell>
        </row>
        <row r="815">
          <cell r="BA815" t="str">
            <v>.</v>
          </cell>
        </row>
        <row r="816">
          <cell r="BA816" t="str">
            <v>.</v>
          </cell>
        </row>
        <row r="817">
          <cell r="BA817" t="str">
            <v>.</v>
          </cell>
        </row>
        <row r="818">
          <cell r="BA818" t="str">
            <v>.</v>
          </cell>
        </row>
        <row r="819">
          <cell r="BA819" t="str">
            <v>.</v>
          </cell>
        </row>
        <row r="820">
          <cell r="BA820" t="str">
            <v>.</v>
          </cell>
        </row>
        <row r="821">
          <cell r="BA821" t="str">
            <v>.</v>
          </cell>
        </row>
        <row r="822">
          <cell r="BA822" t="str">
            <v>.</v>
          </cell>
        </row>
        <row r="823">
          <cell r="BA823" t="str">
            <v>.</v>
          </cell>
        </row>
        <row r="824">
          <cell r="BA824" t="str">
            <v>.</v>
          </cell>
        </row>
        <row r="825">
          <cell r="BA825" t="str">
            <v>.</v>
          </cell>
        </row>
        <row r="826">
          <cell r="BA826" t="str">
            <v>.</v>
          </cell>
        </row>
        <row r="827">
          <cell r="BA827" t="str">
            <v>.</v>
          </cell>
        </row>
        <row r="828">
          <cell r="BA828" t="str">
            <v>.</v>
          </cell>
        </row>
        <row r="829">
          <cell r="BA829" t="str">
            <v>.</v>
          </cell>
        </row>
        <row r="830">
          <cell r="BA830" t="str">
            <v>.</v>
          </cell>
        </row>
        <row r="831">
          <cell r="BA831" t="str">
            <v>.</v>
          </cell>
        </row>
        <row r="832">
          <cell r="BA832" t="str">
            <v>.</v>
          </cell>
        </row>
        <row r="833">
          <cell r="BA833" t="str">
            <v>.</v>
          </cell>
        </row>
        <row r="834">
          <cell r="BA834" t="str">
            <v>.</v>
          </cell>
        </row>
        <row r="835">
          <cell r="BA835" t="str">
            <v>.</v>
          </cell>
        </row>
        <row r="836">
          <cell r="BA836" t="str">
            <v>.</v>
          </cell>
        </row>
        <row r="837">
          <cell r="BA837" t="str">
            <v>.</v>
          </cell>
        </row>
        <row r="838">
          <cell r="BA838" t="str">
            <v>.</v>
          </cell>
        </row>
        <row r="839">
          <cell r="BA839" t="str">
            <v>.</v>
          </cell>
        </row>
        <row r="840">
          <cell r="BA840" t="str">
            <v>.</v>
          </cell>
        </row>
        <row r="841">
          <cell r="BA841" t="str">
            <v>.</v>
          </cell>
        </row>
        <row r="842">
          <cell r="BA842" t="str">
            <v>.</v>
          </cell>
        </row>
        <row r="843">
          <cell r="BA843" t="str">
            <v>.</v>
          </cell>
        </row>
        <row r="844">
          <cell r="BA844" t="str">
            <v>.</v>
          </cell>
        </row>
        <row r="845">
          <cell r="BA845" t="str">
            <v>.</v>
          </cell>
        </row>
        <row r="846">
          <cell r="BA846" t="str">
            <v>.</v>
          </cell>
        </row>
        <row r="847">
          <cell r="BA847" t="str">
            <v>.</v>
          </cell>
        </row>
        <row r="848">
          <cell r="BA848" t="str">
            <v>.</v>
          </cell>
        </row>
        <row r="849">
          <cell r="BA849" t="str">
            <v>.</v>
          </cell>
        </row>
        <row r="850">
          <cell r="BA850" t="str">
            <v>.</v>
          </cell>
        </row>
        <row r="851">
          <cell r="BA851" t="str">
            <v>.</v>
          </cell>
        </row>
        <row r="852">
          <cell r="BA852" t="str">
            <v>.</v>
          </cell>
        </row>
        <row r="853">
          <cell r="BA853" t="str">
            <v>.</v>
          </cell>
        </row>
        <row r="854">
          <cell r="BA854" t="str">
            <v>.</v>
          </cell>
        </row>
        <row r="855">
          <cell r="BA855" t="str">
            <v>.</v>
          </cell>
        </row>
        <row r="856">
          <cell r="BA856" t="str">
            <v>.</v>
          </cell>
        </row>
        <row r="857">
          <cell r="BA857" t="str">
            <v>.</v>
          </cell>
        </row>
        <row r="858">
          <cell r="BA858" t="str">
            <v>.</v>
          </cell>
        </row>
        <row r="859">
          <cell r="BA859" t="str">
            <v>.</v>
          </cell>
        </row>
        <row r="860">
          <cell r="BA860" t="str">
            <v>.</v>
          </cell>
        </row>
        <row r="861">
          <cell r="BA861" t="str">
            <v>.</v>
          </cell>
        </row>
        <row r="862">
          <cell r="BA862" t="str">
            <v>.</v>
          </cell>
        </row>
        <row r="863">
          <cell r="BA863" t="str">
            <v>.</v>
          </cell>
        </row>
        <row r="864">
          <cell r="BA864" t="str">
            <v>.</v>
          </cell>
        </row>
        <row r="865">
          <cell r="BA865" t="str">
            <v>.</v>
          </cell>
        </row>
        <row r="866">
          <cell r="BA866" t="str">
            <v>.</v>
          </cell>
        </row>
        <row r="867">
          <cell r="BA867" t="str">
            <v>.</v>
          </cell>
        </row>
        <row r="868">
          <cell r="BA868" t="str">
            <v>.</v>
          </cell>
        </row>
        <row r="869">
          <cell r="BA869" t="str">
            <v>.</v>
          </cell>
        </row>
        <row r="870">
          <cell r="BA870" t="str">
            <v>.</v>
          </cell>
        </row>
        <row r="871">
          <cell r="BA871" t="str">
            <v>.</v>
          </cell>
        </row>
        <row r="872">
          <cell r="BA872" t="str">
            <v>.</v>
          </cell>
        </row>
        <row r="873">
          <cell r="BA873" t="str">
            <v>.</v>
          </cell>
        </row>
        <row r="874">
          <cell r="BA874" t="str">
            <v>.</v>
          </cell>
        </row>
        <row r="875">
          <cell r="BA875" t="str">
            <v>.</v>
          </cell>
        </row>
        <row r="876">
          <cell r="BA876" t="str">
            <v>.</v>
          </cell>
        </row>
        <row r="877">
          <cell r="BA877" t="str">
            <v>.</v>
          </cell>
        </row>
        <row r="878">
          <cell r="BA878" t="str">
            <v>.</v>
          </cell>
        </row>
        <row r="879">
          <cell r="BA879" t="str">
            <v>.</v>
          </cell>
        </row>
        <row r="880">
          <cell r="BA880" t="str">
            <v>.</v>
          </cell>
        </row>
        <row r="881">
          <cell r="BA881" t="str">
            <v>.</v>
          </cell>
        </row>
        <row r="882">
          <cell r="BA882" t="str">
            <v>.</v>
          </cell>
        </row>
        <row r="883">
          <cell r="BA883" t="str">
            <v>.</v>
          </cell>
        </row>
        <row r="884">
          <cell r="BA884" t="str">
            <v>.</v>
          </cell>
        </row>
        <row r="885">
          <cell r="BA885" t="str">
            <v>.</v>
          </cell>
        </row>
        <row r="886">
          <cell r="BA886" t="str">
            <v>.</v>
          </cell>
        </row>
        <row r="887">
          <cell r="BA887" t="str">
            <v>.</v>
          </cell>
        </row>
        <row r="888">
          <cell r="BA888" t="str">
            <v>.</v>
          </cell>
        </row>
        <row r="889">
          <cell r="BA889" t="str">
            <v>.</v>
          </cell>
        </row>
        <row r="890">
          <cell r="BA890" t="str">
            <v>.</v>
          </cell>
        </row>
        <row r="891">
          <cell r="BA891" t="str">
            <v>.</v>
          </cell>
        </row>
        <row r="892">
          <cell r="BA892" t="str">
            <v>.</v>
          </cell>
        </row>
        <row r="893">
          <cell r="BA893" t="str">
            <v>.</v>
          </cell>
        </row>
        <row r="894">
          <cell r="BA894" t="str">
            <v>.</v>
          </cell>
        </row>
        <row r="895">
          <cell r="BA895" t="str">
            <v>.</v>
          </cell>
        </row>
        <row r="896">
          <cell r="BA896" t="str">
            <v>.</v>
          </cell>
        </row>
        <row r="897">
          <cell r="BA897" t="str">
            <v>.</v>
          </cell>
        </row>
        <row r="898">
          <cell r="BA898" t="str">
            <v>.</v>
          </cell>
        </row>
        <row r="899">
          <cell r="BA899" t="str">
            <v>.</v>
          </cell>
        </row>
        <row r="900">
          <cell r="BA900" t="str">
            <v>.</v>
          </cell>
        </row>
        <row r="901">
          <cell r="BA901" t="str">
            <v>.</v>
          </cell>
        </row>
        <row r="902">
          <cell r="BA902" t="str">
            <v>.</v>
          </cell>
        </row>
        <row r="903">
          <cell r="BA903" t="str">
            <v>.</v>
          </cell>
        </row>
        <row r="904">
          <cell r="BA904" t="str">
            <v>.</v>
          </cell>
        </row>
        <row r="905">
          <cell r="BA905" t="str">
            <v>.</v>
          </cell>
        </row>
        <row r="906">
          <cell r="BA906" t="str">
            <v>.</v>
          </cell>
        </row>
        <row r="907">
          <cell r="BA907" t="str">
            <v>.</v>
          </cell>
        </row>
        <row r="908">
          <cell r="BA908" t="str">
            <v>.</v>
          </cell>
        </row>
        <row r="909">
          <cell r="BA909" t="str">
            <v>.</v>
          </cell>
        </row>
        <row r="910">
          <cell r="BA910" t="str">
            <v>.</v>
          </cell>
        </row>
        <row r="911">
          <cell r="BA911" t="str">
            <v>.</v>
          </cell>
        </row>
        <row r="912">
          <cell r="BA912" t="str">
            <v>.</v>
          </cell>
        </row>
        <row r="913">
          <cell r="BA913" t="str">
            <v>.</v>
          </cell>
        </row>
        <row r="914">
          <cell r="BA914" t="str">
            <v>.</v>
          </cell>
        </row>
        <row r="915">
          <cell r="BA915" t="str">
            <v>.</v>
          </cell>
        </row>
        <row r="916">
          <cell r="BA916" t="str">
            <v>.</v>
          </cell>
        </row>
        <row r="917">
          <cell r="BA917" t="str">
            <v>.</v>
          </cell>
        </row>
        <row r="918">
          <cell r="BA918" t="str">
            <v>.</v>
          </cell>
        </row>
        <row r="919">
          <cell r="BA919" t="str">
            <v>.</v>
          </cell>
        </row>
        <row r="920">
          <cell r="BA920" t="str">
            <v>.</v>
          </cell>
        </row>
        <row r="921">
          <cell r="BA921" t="str">
            <v>.</v>
          </cell>
        </row>
        <row r="922">
          <cell r="BA922" t="str">
            <v>.</v>
          </cell>
        </row>
        <row r="923">
          <cell r="BA923" t="str">
            <v>.</v>
          </cell>
        </row>
        <row r="924">
          <cell r="BA924" t="str">
            <v>.</v>
          </cell>
        </row>
        <row r="925">
          <cell r="BA925" t="str">
            <v>.</v>
          </cell>
        </row>
        <row r="926">
          <cell r="BA926" t="str">
            <v>.</v>
          </cell>
        </row>
        <row r="927">
          <cell r="BA927" t="str">
            <v>.</v>
          </cell>
        </row>
        <row r="928">
          <cell r="BA928" t="str">
            <v>.</v>
          </cell>
        </row>
        <row r="929">
          <cell r="BA929" t="str">
            <v>.</v>
          </cell>
        </row>
        <row r="930">
          <cell r="BA930" t="str">
            <v>.</v>
          </cell>
        </row>
        <row r="931">
          <cell r="BA931" t="str">
            <v>.</v>
          </cell>
        </row>
        <row r="932">
          <cell r="BA932" t="str">
            <v>.</v>
          </cell>
        </row>
        <row r="933">
          <cell r="BA933" t="str">
            <v>.</v>
          </cell>
        </row>
        <row r="934">
          <cell r="BA934" t="str">
            <v>.</v>
          </cell>
        </row>
        <row r="935">
          <cell r="BA935" t="str">
            <v>.</v>
          </cell>
        </row>
        <row r="936">
          <cell r="BA936" t="str">
            <v>.</v>
          </cell>
        </row>
        <row r="937">
          <cell r="BA937" t="str">
            <v>.</v>
          </cell>
        </row>
        <row r="938">
          <cell r="BA938" t="str">
            <v>.</v>
          </cell>
        </row>
        <row r="939">
          <cell r="BA939" t="str">
            <v>.</v>
          </cell>
        </row>
        <row r="940">
          <cell r="BA940" t="str">
            <v>.</v>
          </cell>
        </row>
        <row r="941">
          <cell r="BA941" t="str">
            <v>.</v>
          </cell>
        </row>
        <row r="942">
          <cell r="BA942" t="str">
            <v>.</v>
          </cell>
        </row>
        <row r="943">
          <cell r="BA943" t="str">
            <v>.</v>
          </cell>
        </row>
        <row r="944">
          <cell r="BA944" t="str">
            <v>.</v>
          </cell>
        </row>
        <row r="945">
          <cell r="BA945" t="str">
            <v>.</v>
          </cell>
        </row>
        <row r="946">
          <cell r="BA946" t="str">
            <v>.</v>
          </cell>
        </row>
        <row r="947">
          <cell r="BA947" t="str">
            <v>.</v>
          </cell>
        </row>
        <row r="948">
          <cell r="BA948" t="str">
            <v>.</v>
          </cell>
        </row>
        <row r="949">
          <cell r="BA949" t="str">
            <v>.</v>
          </cell>
        </row>
        <row r="950">
          <cell r="BA950" t="str">
            <v>.</v>
          </cell>
        </row>
        <row r="951">
          <cell r="BA951" t="str">
            <v>.</v>
          </cell>
        </row>
        <row r="952">
          <cell r="BA952" t="str">
            <v>.</v>
          </cell>
        </row>
        <row r="953">
          <cell r="BA953" t="str">
            <v>.</v>
          </cell>
        </row>
        <row r="954">
          <cell r="BA954" t="str">
            <v>.</v>
          </cell>
        </row>
        <row r="955">
          <cell r="BA955" t="str">
            <v>.</v>
          </cell>
        </row>
        <row r="956">
          <cell r="BA956" t="str">
            <v>.</v>
          </cell>
        </row>
        <row r="957">
          <cell r="BA957" t="str">
            <v>.</v>
          </cell>
        </row>
        <row r="958">
          <cell r="BA958" t="str">
            <v>.</v>
          </cell>
        </row>
        <row r="959">
          <cell r="BA959" t="str">
            <v>.</v>
          </cell>
        </row>
        <row r="960">
          <cell r="BA960" t="str">
            <v>.</v>
          </cell>
        </row>
        <row r="961">
          <cell r="BA961" t="str">
            <v>.</v>
          </cell>
        </row>
        <row r="962">
          <cell r="BA962" t="str">
            <v>.</v>
          </cell>
        </row>
        <row r="963">
          <cell r="BA963" t="str">
            <v>.</v>
          </cell>
        </row>
        <row r="964">
          <cell r="BA964" t="str">
            <v>.</v>
          </cell>
        </row>
        <row r="965">
          <cell r="BA965" t="str">
            <v>.</v>
          </cell>
        </row>
        <row r="966">
          <cell r="BA966" t="str">
            <v>.</v>
          </cell>
        </row>
        <row r="967">
          <cell r="BA967" t="str">
            <v>.</v>
          </cell>
        </row>
        <row r="968">
          <cell r="BA968" t="str">
            <v>.</v>
          </cell>
        </row>
        <row r="969">
          <cell r="BA969" t="str">
            <v>.</v>
          </cell>
        </row>
        <row r="970">
          <cell r="BA970" t="str">
            <v>.</v>
          </cell>
        </row>
        <row r="971">
          <cell r="BA971" t="str">
            <v>.</v>
          </cell>
        </row>
        <row r="972">
          <cell r="BA972" t="str">
            <v>.</v>
          </cell>
        </row>
        <row r="973">
          <cell r="BA973" t="str">
            <v>.</v>
          </cell>
        </row>
        <row r="974">
          <cell r="BA974" t="str">
            <v>.</v>
          </cell>
        </row>
        <row r="975">
          <cell r="BA975" t="str">
            <v>.</v>
          </cell>
        </row>
        <row r="976">
          <cell r="BA976" t="str">
            <v>.</v>
          </cell>
        </row>
        <row r="977">
          <cell r="BA977" t="str">
            <v>.</v>
          </cell>
        </row>
        <row r="978">
          <cell r="BA978" t="str">
            <v>.</v>
          </cell>
        </row>
        <row r="979">
          <cell r="BA979" t="str">
            <v>.</v>
          </cell>
        </row>
        <row r="980">
          <cell r="BA980" t="str">
            <v>.</v>
          </cell>
        </row>
        <row r="981">
          <cell r="BA981" t="str">
            <v>.</v>
          </cell>
        </row>
        <row r="982">
          <cell r="BA982" t="str">
            <v>.</v>
          </cell>
        </row>
        <row r="983">
          <cell r="BA983" t="str">
            <v>.</v>
          </cell>
        </row>
        <row r="984">
          <cell r="BA984" t="str">
            <v>.</v>
          </cell>
        </row>
        <row r="985">
          <cell r="BA985" t="str">
            <v>.</v>
          </cell>
        </row>
        <row r="986">
          <cell r="BA986" t="str">
            <v>.</v>
          </cell>
        </row>
        <row r="987">
          <cell r="BA987" t="str">
            <v>.</v>
          </cell>
        </row>
        <row r="988">
          <cell r="BA988" t="str">
            <v>.</v>
          </cell>
        </row>
        <row r="989">
          <cell r="BA989" t="str">
            <v>.</v>
          </cell>
        </row>
        <row r="990">
          <cell r="BA990" t="str">
            <v>.</v>
          </cell>
        </row>
        <row r="991">
          <cell r="BA991" t="str">
            <v>.</v>
          </cell>
        </row>
        <row r="992">
          <cell r="BA992" t="str">
            <v>.</v>
          </cell>
        </row>
        <row r="993">
          <cell r="BA993" t="str">
            <v>.</v>
          </cell>
        </row>
        <row r="994">
          <cell r="BA994" t="str">
            <v>.</v>
          </cell>
        </row>
        <row r="995">
          <cell r="BA995" t="str">
            <v>.</v>
          </cell>
        </row>
        <row r="996">
          <cell r="BA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H997" t="str">
            <v>.</v>
          </cell>
          <cell r="S997" t="str">
            <v>.</v>
          </cell>
          <cell r="T997" t="str">
            <v>.</v>
          </cell>
          <cell r="U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</row>
      </sheetData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 contribution analysis"/>
      <sheetName val="rev change analysis"/>
      <sheetName val="2015 rev change"/>
      <sheetName val="Product Mix 100%"/>
      <sheetName val="Traditional &amp; Other"/>
      <sheetName val="Per Pharma Traditional &amp; Biolog"/>
      <sheetName val="MW-Cache"/>
      <sheetName val="__FDSCACHE__"/>
      <sheetName val="2010PE"/>
      <sheetName val="2010PE_Ex BMY"/>
      <sheetName val="2012PE"/>
      <sheetName val="2012PE_Ex BMY"/>
      <sheetName val="short IS"/>
      <sheetName val="cost savings"/>
      <sheetName val="2015 top 10"/>
      <sheetName val="2010 top 10"/>
    </sheetNames>
    <sheetDataSet>
      <sheetData sheetId="0"/>
      <sheetData sheetId="1">
        <row r="1">
          <cell r="R1" t="str">
            <v>SmartCharts</v>
          </cell>
          <cell r="BA1" t="str">
            <v>.</v>
          </cell>
        </row>
        <row r="2">
          <cell r="BA2" t="str">
            <v>.</v>
          </cell>
        </row>
        <row r="3">
          <cell r="BA3" t="str">
            <v>.</v>
          </cell>
        </row>
        <row r="4">
          <cell r="BA4" t="str">
            <v>.</v>
          </cell>
        </row>
        <row r="5">
          <cell r="C5" t="str">
            <v>Define value axis here:</v>
          </cell>
        </row>
        <row r="6">
          <cell r="C6" t="str">
            <v>PFE YOY revenue change 2010E-2015E</v>
          </cell>
        </row>
        <row r="10">
          <cell r="C10" t="str">
            <v>Input your data here:</v>
          </cell>
          <cell r="BA10" t="str">
            <v>.</v>
          </cell>
        </row>
        <row r="11">
          <cell r="C11" t="str">
            <v>Sales ($M)</v>
          </cell>
          <cell r="D11" t="str">
            <v>2011E</v>
          </cell>
          <cell r="E11" t="str">
            <v>2012E</v>
          </cell>
          <cell r="F11" t="str">
            <v>2013E</v>
          </cell>
          <cell r="G11" t="str">
            <v>2014E</v>
          </cell>
          <cell r="H11" t="str">
            <v>2015E</v>
          </cell>
          <cell r="BA11" t="str">
            <v>.</v>
          </cell>
        </row>
        <row r="12">
          <cell r="C12" t="str">
            <v>In-line products</v>
          </cell>
          <cell r="D12">
            <v>932.42080930800876</v>
          </cell>
          <cell r="E12">
            <v>1421.1035914094464</v>
          </cell>
          <cell r="F12">
            <v>1765.8870921994021</v>
          </cell>
          <cell r="G12">
            <v>1055.7675672663318</v>
          </cell>
          <cell r="H12">
            <v>577.39612356401631</v>
          </cell>
          <cell r="BA12" t="str">
            <v>.</v>
          </cell>
        </row>
        <row r="13">
          <cell r="C13" t="str">
            <v>Pipeline products launching 2010–2015</v>
          </cell>
          <cell r="D13">
            <v>488.88851560750004</v>
          </cell>
          <cell r="E13">
            <v>1032.6222136879819</v>
          </cell>
          <cell r="F13">
            <v>1194.3879881319788</v>
          </cell>
          <cell r="G13">
            <v>1586.9809373847056</v>
          </cell>
          <cell r="H13">
            <v>1912.159684759381</v>
          </cell>
          <cell r="BA13" t="str">
            <v>.</v>
          </cell>
        </row>
        <row r="14">
          <cell r="C14" t="str">
            <v>Products expiring 2010–15</v>
          </cell>
          <cell r="D14">
            <v>-3093.4238533699972</v>
          </cell>
          <cell r="E14">
            <v>-9244.3086322740019</v>
          </cell>
          <cell r="F14">
            <v>-2500.25038596167</v>
          </cell>
          <cell r="G14">
            <v>-2111.4680686893898</v>
          </cell>
          <cell r="H14">
            <v>-2273.0544201852699</v>
          </cell>
          <cell r="BA14" t="str">
            <v>.</v>
          </cell>
        </row>
        <row r="15">
          <cell r="C15" t="str">
            <v>Net YOY change</v>
          </cell>
          <cell r="D15">
            <v>-1672.1145284544909</v>
          </cell>
          <cell r="E15">
            <v>-6790.582827176564</v>
          </cell>
          <cell r="F15">
            <v>460.02469436970568</v>
          </cell>
          <cell r="G15">
            <v>531.28043596164935</v>
          </cell>
          <cell r="H15">
            <v>216.50138813813101</v>
          </cell>
          <cell r="BA15" t="str">
            <v>.</v>
          </cell>
        </row>
        <row r="16">
          <cell r="BA16" t="str">
            <v>.</v>
          </cell>
        </row>
        <row r="17">
          <cell r="BA17" t="str">
            <v>.</v>
          </cell>
        </row>
        <row r="18">
          <cell r="BA18" t="str">
            <v>.</v>
          </cell>
        </row>
        <row r="20">
          <cell r="BA20" t="str">
            <v>.</v>
          </cell>
        </row>
        <row r="21">
          <cell r="BA21" t="str">
            <v>.</v>
          </cell>
        </row>
        <row r="22">
          <cell r="BA22" t="str">
            <v>.</v>
          </cell>
        </row>
        <row r="23">
          <cell r="BA23" t="str">
            <v>.</v>
          </cell>
        </row>
        <row r="24">
          <cell r="BA24" t="str">
            <v>.</v>
          </cell>
        </row>
        <row r="25">
          <cell r="BA25" t="str">
            <v>.</v>
          </cell>
        </row>
        <row r="26">
          <cell r="BA26" t="str">
            <v>.</v>
          </cell>
        </row>
        <row r="27">
          <cell r="BA27" t="str">
            <v>.</v>
          </cell>
        </row>
        <row r="28">
          <cell r="BA28" t="str">
            <v>.</v>
          </cell>
        </row>
        <row r="29">
          <cell r="BA29" t="str">
            <v>.</v>
          </cell>
        </row>
        <row r="30">
          <cell r="BA30" t="str">
            <v>.</v>
          </cell>
        </row>
        <row r="31">
          <cell r="BA31" t="str">
            <v>.</v>
          </cell>
        </row>
        <row r="32">
          <cell r="BA32" t="str">
            <v>.</v>
          </cell>
        </row>
        <row r="33">
          <cell r="BA33" t="str">
            <v>.</v>
          </cell>
        </row>
        <row r="34">
          <cell r="BA34" t="str">
            <v>.</v>
          </cell>
        </row>
        <row r="35">
          <cell r="J35" t="str">
            <v>Do not change the width of the exhibit or font sizes (they are optimized for export to Word).</v>
          </cell>
          <cell r="BA35" t="str">
            <v>.</v>
          </cell>
        </row>
        <row r="36">
          <cell r="BA36" t="str">
            <v>.</v>
          </cell>
        </row>
        <row r="37">
          <cell r="J37" t="str">
            <v>Do not delete any rows or columns (some gray cells are used for calculations).</v>
          </cell>
          <cell r="BA37" t="str">
            <v>.</v>
          </cell>
        </row>
        <row r="38">
          <cell r="BA38" t="str">
            <v>.</v>
          </cell>
        </row>
        <row r="39">
          <cell r="BA39" t="str">
            <v>.</v>
          </cell>
        </row>
        <row r="40">
          <cell r="BA40" t="str">
            <v>.</v>
          </cell>
        </row>
        <row r="41">
          <cell r="BA41" t="str">
            <v>.</v>
          </cell>
        </row>
        <row r="42">
          <cell r="BA42" t="str">
            <v>.</v>
          </cell>
        </row>
        <row r="43">
          <cell r="BA43" t="str">
            <v>.</v>
          </cell>
        </row>
        <row r="44">
          <cell r="BA44" t="str">
            <v>.</v>
          </cell>
        </row>
        <row r="45">
          <cell r="BA45" t="str">
            <v>.</v>
          </cell>
        </row>
        <row r="46">
          <cell r="BA46" t="str">
            <v>.</v>
          </cell>
        </row>
        <row r="47">
          <cell r="BA47" t="str">
            <v>.</v>
          </cell>
        </row>
        <row r="48">
          <cell r="BA48" t="str">
            <v>.</v>
          </cell>
        </row>
        <row r="49">
          <cell r="BA49" t="str">
            <v>.</v>
          </cell>
        </row>
        <row r="50">
          <cell r="BA50" t="str">
            <v>.</v>
          </cell>
        </row>
        <row r="51">
          <cell r="BA51" t="str">
            <v>.</v>
          </cell>
        </row>
        <row r="52">
          <cell r="BA52" t="str">
            <v>.</v>
          </cell>
        </row>
        <row r="53">
          <cell r="BA53" t="str">
            <v>.</v>
          </cell>
        </row>
        <row r="54">
          <cell r="BA54" t="str">
            <v>.</v>
          </cell>
        </row>
        <row r="55">
          <cell r="BA55" t="str">
            <v>.</v>
          </cell>
        </row>
        <row r="56">
          <cell r="BA56" t="str">
            <v>.</v>
          </cell>
        </row>
        <row r="57">
          <cell r="BA57" t="str">
            <v>.</v>
          </cell>
        </row>
        <row r="58">
          <cell r="BA58" t="str">
            <v>.</v>
          </cell>
        </row>
        <row r="59">
          <cell r="BA59" t="str">
            <v>.</v>
          </cell>
        </row>
        <row r="60">
          <cell r="BA60" t="str">
            <v>.</v>
          </cell>
        </row>
        <row r="61">
          <cell r="BA61" t="str">
            <v>.</v>
          </cell>
        </row>
        <row r="62">
          <cell r="BA62" t="str">
            <v>.</v>
          </cell>
        </row>
        <row r="63">
          <cell r="BA63" t="str">
            <v>.</v>
          </cell>
        </row>
        <row r="64">
          <cell r="BA64" t="str">
            <v>.</v>
          </cell>
        </row>
        <row r="65">
          <cell r="BA65" t="str">
            <v>.</v>
          </cell>
        </row>
        <row r="66">
          <cell r="BA66" t="str">
            <v>.</v>
          </cell>
        </row>
        <row r="67">
          <cell r="BA67" t="str">
            <v>.</v>
          </cell>
        </row>
        <row r="68">
          <cell r="BA68" t="str">
            <v>.</v>
          </cell>
        </row>
        <row r="69">
          <cell r="BA69" t="str">
            <v>.</v>
          </cell>
        </row>
        <row r="70">
          <cell r="BA70" t="str">
            <v>.</v>
          </cell>
        </row>
        <row r="71">
          <cell r="BA71" t="str">
            <v>.</v>
          </cell>
        </row>
        <row r="72">
          <cell r="BA72" t="str">
            <v>.</v>
          </cell>
        </row>
        <row r="73">
          <cell r="BA73" t="str">
            <v>.</v>
          </cell>
        </row>
        <row r="74">
          <cell r="BA74" t="str">
            <v>.</v>
          </cell>
        </row>
        <row r="75">
          <cell r="BA75" t="str">
            <v>.</v>
          </cell>
        </row>
        <row r="76">
          <cell r="BA76" t="str">
            <v>.</v>
          </cell>
        </row>
        <row r="77">
          <cell r="BA77" t="str">
            <v>.</v>
          </cell>
        </row>
        <row r="78">
          <cell r="BA78" t="str">
            <v>.</v>
          </cell>
        </row>
        <row r="79">
          <cell r="BA79" t="str">
            <v>.</v>
          </cell>
        </row>
        <row r="80">
          <cell r="BA80" t="str">
            <v>.</v>
          </cell>
        </row>
        <row r="81">
          <cell r="BA81" t="str">
            <v>.</v>
          </cell>
        </row>
        <row r="82">
          <cell r="BA82" t="str">
            <v>.</v>
          </cell>
        </row>
        <row r="83">
          <cell r="BA83" t="str">
            <v>.</v>
          </cell>
        </row>
        <row r="84">
          <cell r="BA84" t="str">
            <v>.</v>
          </cell>
        </row>
        <row r="85">
          <cell r="BA85" t="str">
            <v>.</v>
          </cell>
        </row>
        <row r="86">
          <cell r="BA86" t="str">
            <v>.</v>
          </cell>
        </row>
        <row r="87">
          <cell r="BA87" t="str">
            <v>.</v>
          </cell>
        </row>
        <row r="88">
          <cell r="BA88" t="str">
            <v>.</v>
          </cell>
        </row>
        <row r="89">
          <cell r="BA89" t="str">
            <v>.</v>
          </cell>
        </row>
        <row r="90">
          <cell r="BA90" t="str">
            <v>.</v>
          </cell>
        </row>
        <row r="91">
          <cell r="BA91" t="str">
            <v>.</v>
          </cell>
        </row>
        <row r="92">
          <cell r="BA92" t="str">
            <v>.</v>
          </cell>
        </row>
        <row r="93">
          <cell r="BA93" t="str">
            <v>.</v>
          </cell>
        </row>
        <row r="94">
          <cell r="BA94" t="str">
            <v>.</v>
          </cell>
        </row>
        <row r="95">
          <cell r="BA95" t="str">
            <v>.</v>
          </cell>
        </row>
        <row r="96">
          <cell r="BA96" t="str">
            <v>.</v>
          </cell>
        </row>
        <row r="97">
          <cell r="BA97" t="str">
            <v>.</v>
          </cell>
        </row>
        <row r="98">
          <cell r="BA98" t="str">
            <v>.</v>
          </cell>
        </row>
        <row r="99">
          <cell r="BA99" t="str">
            <v>.</v>
          </cell>
        </row>
        <row r="100">
          <cell r="BA100" t="str">
            <v>.</v>
          </cell>
        </row>
        <row r="101">
          <cell r="BA101" t="str">
            <v>.</v>
          </cell>
        </row>
        <row r="102">
          <cell r="BA102" t="str">
            <v>.</v>
          </cell>
        </row>
        <row r="103">
          <cell r="BA103" t="str">
            <v>.</v>
          </cell>
        </row>
        <row r="104">
          <cell r="BA104" t="str">
            <v>.</v>
          </cell>
        </row>
        <row r="105">
          <cell r="BA105" t="str">
            <v>.</v>
          </cell>
        </row>
        <row r="106">
          <cell r="BA106" t="str">
            <v>.</v>
          </cell>
        </row>
        <row r="107">
          <cell r="BA107" t="str">
            <v>.</v>
          </cell>
        </row>
        <row r="108">
          <cell r="BA108" t="str">
            <v>.</v>
          </cell>
        </row>
        <row r="109">
          <cell r="BA109" t="str">
            <v>.</v>
          </cell>
        </row>
        <row r="110">
          <cell r="BA110" t="str">
            <v>.</v>
          </cell>
        </row>
        <row r="111">
          <cell r="BA111" t="str">
            <v>.</v>
          </cell>
        </row>
        <row r="112">
          <cell r="BA112" t="str">
            <v>.</v>
          </cell>
        </row>
        <row r="113">
          <cell r="BA113" t="str">
            <v>.</v>
          </cell>
        </row>
        <row r="114">
          <cell r="BA114" t="str">
            <v>.</v>
          </cell>
        </row>
        <row r="115">
          <cell r="BA115" t="str">
            <v>.</v>
          </cell>
        </row>
        <row r="116">
          <cell r="BA116" t="str">
            <v>.</v>
          </cell>
        </row>
        <row r="117">
          <cell r="BA117" t="str">
            <v>.</v>
          </cell>
        </row>
        <row r="118">
          <cell r="BA118" t="str">
            <v>.</v>
          </cell>
        </row>
        <row r="119">
          <cell r="BA119" t="str">
            <v>.</v>
          </cell>
        </row>
        <row r="120">
          <cell r="BA120" t="str">
            <v>.</v>
          </cell>
        </row>
        <row r="121">
          <cell r="BA121" t="str">
            <v>.</v>
          </cell>
        </row>
        <row r="122">
          <cell r="BA122" t="str">
            <v>.</v>
          </cell>
        </row>
        <row r="123">
          <cell r="BA123" t="str">
            <v>.</v>
          </cell>
        </row>
        <row r="124">
          <cell r="BA124" t="str">
            <v>.</v>
          </cell>
        </row>
        <row r="125">
          <cell r="BA125" t="str">
            <v>.</v>
          </cell>
        </row>
        <row r="126">
          <cell r="BA126" t="str">
            <v>.</v>
          </cell>
        </row>
        <row r="127">
          <cell r="BA127" t="str">
            <v>.</v>
          </cell>
        </row>
        <row r="128">
          <cell r="BA128" t="str">
            <v>.</v>
          </cell>
        </row>
        <row r="129">
          <cell r="BA129" t="str">
            <v>.</v>
          </cell>
        </row>
        <row r="130">
          <cell r="BA130" t="str">
            <v>.</v>
          </cell>
        </row>
        <row r="131">
          <cell r="BA131" t="str">
            <v>.</v>
          </cell>
        </row>
        <row r="132">
          <cell r="BA132" t="str">
            <v>.</v>
          </cell>
        </row>
        <row r="133">
          <cell r="BA133" t="str">
            <v>.</v>
          </cell>
        </row>
        <row r="134">
          <cell r="BA134" t="str">
            <v>.</v>
          </cell>
        </row>
        <row r="135">
          <cell r="BA135" t="str">
            <v>.</v>
          </cell>
        </row>
        <row r="136">
          <cell r="BA136" t="str">
            <v>.</v>
          </cell>
        </row>
        <row r="137">
          <cell r="BA137" t="str">
            <v>.</v>
          </cell>
        </row>
        <row r="138">
          <cell r="BA138" t="str">
            <v>.</v>
          </cell>
        </row>
        <row r="139">
          <cell r="BA139" t="str">
            <v>.</v>
          </cell>
        </row>
        <row r="140">
          <cell r="BA140" t="str">
            <v>.</v>
          </cell>
        </row>
        <row r="141">
          <cell r="BA141" t="str">
            <v>.</v>
          </cell>
        </row>
        <row r="142">
          <cell r="BA142" t="str">
            <v>.</v>
          </cell>
        </row>
        <row r="143">
          <cell r="BA143" t="str">
            <v>.</v>
          </cell>
        </row>
        <row r="144">
          <cell r="BA144" t="str">
            <v>.</v>
          </cell>
        </row>
        <row r="145">
          <cell r="BA145" t="str">
            <v>.</v>
          </cell>
        </row>
        <row r="146">
          <cell r="BA146" t="str">
            <v>.</v>
          </cell>
        </row>
        <row r="147">
          <cell r="BA147" t="str">
            <v>.</v>
          </cell>
        </row>
        <row r="148">
          <cell r="BA148" t="str">
            <v>.</v>
          </cell>
        </row>
        <row r="149">
          <cell r="BA149" t="str">
            <v>.</v>
          </cell>
        </row>
        <row r="150">
          <cell r="BA150" t="str">
            <v>.</v>
          </cell>
        </row>
        <row r="151">
          <cell r="BA151" t="str">
            <v>.</v>
          </cell>
        </row>
        <row r="152">
          <cell r="BA152" t="str">
            <v>.</v>
          </cell>
        </row>
        <row r="153">
          <cell r="BA153" t="str">
            <v>.</v>
          </cell>
        </row>
        <row r="154">
          <cell r="BA154" t="str">
            <v>.</v>
          </cell>
        </row>
        <row r="155">
          <cell r="BA155" t="str">
            <v>.</v>
          </cell>
        </row>
        <row r="156">
          <cell r="BA156" t="str">
            <v>.</v>
          </cell>
        </row>
        <row r="157">
          <cell r="BA157" t="str">
            <v>.</v>
          </cell>
        </row>
        <row r="158">
          <cell r="BA158" t="str">
            <v>.</v>
          </cell>
        </row>
        <row r="159">
          <cell r="BA159" t="str">
            <v>.</v>
          </cell>
        </row>
        <row r="160">
          <cell r="BA160" t="str">
            <v>.</v>
          </cell>
        </row>
        <row r="161">
          <cell r="BA161" t="str">
            <v>.</v>
          </cell>
        </row>
        <row r="162">
          <cell r="BA162" t="str">
            <v>.</v>
          </cell>
        </row>
        <row r="163">
          <cell r="BA163" t="str">
            <v>.</v>
          </cell>
        </row>
        <row r="164">
          <cell r="BA164" t="str">
            <v>.</v>
          </cell>
        </row>
        <row r="165">
          <cell r="BA165" t="str">
            <v>.</v>
          </cell>
        </row>
        <row r="166">
          <cell r="BA166" t="str">
            <v>.</v>
          </cell>
        </row>
        <row r="167">
          <cell r="BA167" t="str">
            <v>.</v>
          </cell>
        </row>
        <row r="168">
          <cell r="BA168" t="str">
            <v>.</v>
          </cell>
        </row>
        <row r="169">
          <cell r="BA169" t="str">
            <v>.</v>
          </cell>
        </row>
        <row r="170">
          <cell r="BA170" t="str">
            <v>.</v>
          </cell>
        </row>
        <row r="171">
          <cell r="BA171" t="str">
            <v>.</v>
          </cell>
        </row>
        <row r="172">
          <cell r="BA172" t="str">
            <v>.</v>
          </cell>
        </row>
        <row r="173">
          <cell r="BA173" t="str">
            <v>.</v>
          </cell>
        </row>
        <row r="174">
          <cell r="BA174" t="str">
            <v>.</v>
          </cell>
        </row>
        <row r="175">
          <cell r="BA175" t="str">
            <v>.</v>
          </cell>
        </row>
        <row r="176">
          <cell r="BA176" t="str">
            <v>.</v>
          </cell>
        </row>
        <row r="177">
          <cell r="BA177" t="str">
            <v>.</v>
          </cell>
        </row>
        <row r="178">
          <cell r="BA178" t="str">
            <v>.</v>
          </cell>
        </row>
        <row r="179">
          <cell r="BA179" t="str">
            <v>.</v>
          </cell>
        </row>
        <row r="180">
          <cell r="BA180" t="str">
            <v>.</v>
          </cell>
        </row>
        <row r="181">
          <cell r="BA181" t="str">
            <v>.</v>
          </cell>
        </row>
        <row r="182">
          <cell r="BA182" t="str">
            <v>.</v>
          </cell>
        </row>
        <row r="183">
          <cell r="BA183" t="str">
            <v>.</v>
          </cell>
        </row>
        <row r="184">
          <cell r="BA184" t="str">
            <v>.</v>
          </cell>
        </row>
        <row r="185">
          <cell r="BA185" t="str">
            <v>.</v>
          </cell>
        </row>
        <row r="186">
          <cell r="BA186" t="str">
            <v>.</v>
          </cell>
        </row>
        <row r="187">
          <cell r="BA187" t="str">
            <v>.</v>
          </cell>
        </row>
        <row r="188">
          <cell r="BA188" t="str">
            <v>.</v>
          </cell>
        </row>
        <row r="189">
          <cell r="BA189" t="str">
            <v>.</v>
          </cell>
        </row>
        <row r="190">
          <cell r="BA190" t="str">
            <v>.</v>
          </cell>
        </row>
        <row r="191">
          <cell r="BA191" t="str">
            <v>.</v>
          </cell>
        </row>
        <row r="192">
          <cell r="BA192" t="str">
            <v>.</v>
          </cell>
        </row>
        <row r="193">
          <cell r="BA193" t="str">
            <v>.</v>
          </cell>
        </row>
        <row r="194">
          <cell r="BA194" t="str">
            <v>.</v>
          </cell>
        </row>
        <row r="195">
          <cell r="BA195" t="str">
            <v>.</v>
          </cell>
        </row>
        <row r="196">
          <cell r="BA196" t="str">
            <v>.</v>
          </cell>
        </row>
        <row r="197">
          <cell r="BA197" t="str">
            <v>.</v>
          </cell>
        </row>
        <row r="198">
          <cell r="BA198" t="str">
            <v>.</v>
          </cell>
        </row>
        <row r="199">
          <cell r="BA199" t="str">
            <v>.</v>
          </cell>
        </row>
        <row r="200">
          <cell r="BA200" t="str">
            <v>.</v>
          </cell>
        </row>
        <row r="201">
          <cell r="BA201" t="str">
            <v>.</v>
          </cell>
        </row>
        <row r="202">
          <cell r="BA202" t="str">
            <v>.</v>
          </cell>
        </row>
        <row r="203">
          <cell r="BA203" t="str">
            <v>.</v>
          </cell>
        </row>
        <row r="204">
          <cell r="BA204" t="str">
            <v>.</v>
          </cell>
        </row>
        <row r="205">
          <cell r="BA205" t="str">
            <v>.</v>
          </cell>
        </row>
        <row r="206">
          <cell r="BA206" t="str">
            <v>.</v>
          </cell>
        </row>
        <row r="207">
          <cell r="BA207" t="str">
            <v>.</v>
          </cell>
        </row>
        <row r="208">
          <cell r="BA208" t="str">
            <v>.</v>
          </cell>
        </row>
        <row r="209">
          <cell r="BA209" t="str">
            <v>.</v>
          </cell>
        </row>
        <row r="210">
          <cell r="BA210" t="str">
            <v>.</v>
          </cell>
        </row>
        <row r="211">
          <cell r="BA211" t="str">
            <v>.</v>
          </cell>
        </row>
        <row r="212">
          <cell r="BA212" t="str">
            <v>.</v>
          </cell>
        </row>
        <row r="213">
          <cell r="BA213" t="str">
            <v>.</v>
          </cell>
        </row>
        <row r="214">
          <cell r="BA214" t="str">
            <v>.</v>
          </cell>
        </row>
        <row r="215">
          <cell r="BA215" t="str">
            <v>.</v>
          </cell>
        </row>
        <row r="216">
          <cell r="BA216" t="str">
            <v>.</v>
          </cell>
        </row>
        <row r="217">
          <cell r="BA217" t="str">
            <v>.</v>
          </cell>
        </row>
        <row r="218">
          <cell r="BA218" t="str">
            <v>.</v>
          </cell>
        </row>
        <row r="219">
          <cell r="BA219" t="str">
            <v>.</v>
          </cell>
        </row>
        <row r="220">
          <cell r="BA220" t="str">
            <v>.</v>
          </cell>
        </row>
        <row r="221">
          <cell r="BA221" t="str">
            <v>.</v>
          </cell>
        </row>
        <row r="222">
          <cell r="BA222" t="str">
            <v>.</v>
          </cell>
        </row>
        <row r="223">
          <cell r="BA223" t="str">
            <v>.</v>
          </cell>
        </row>
        <row r="224">
          <cell r="BA224" t="str">
            <v>.</v>
          </cell>
        </row>
        <row r="225">
          <cell r="BA225" t="str">
            <v>.</v>
          </cell>
        </row>
        <row r="226">
          <cell r="BA226" t="str">
            <v>.</v>
          </cell>
        </row>
        <row r="227">
          <cell r="BA227" t="str">
            <v>.</v>
          </cell>
        </row>
        <row r="228">
          <cell r="BA228" t="str">
            <v>.</v>
          </cell>
        </row>
        <row r="229">
          <cell r="BA229" t="str">
            <v>.</v>
          </cell>
        </row>
        <row r="230">
          <cell r="BA230" t="str">
            <v>.</v>
          </cell>
        </row>
        <row r="231">
          <cell r="BA231" t="str">
            <v>.</v>
          </cell>
        </row>
        <row r="232">
          <cell r="BA232" t="str">
            <v>.</v>
          </cell>
        </row>
        <row r="233">
          <cell r="BA233" t="str">
            <v>.</v>
          </cell>
        </row>
        <row r="234">
          <cell r="BA234" t="str">
            <v>.</v>
          </cell>
        </row>
        <row r="235">
          <cell r="BA235" t="str">
            <v>.</v>
          </cell>
        </row>
        <row r="236">
          <cell r="BA236" t="str">
            <v>.</v>
          </cell>
        </row>
        <row r="237">
          <cell r="BA237" t="str">
            <v>.</v>
          </cell>
        </row>
        <row r="238">
          <cell r="BA238" t="str">
            <v>.</v>
          </cell>
        </row>
        <row r="239">
          <cell r="BA239" t="str">
            <v>.</v>
          </cell>
        </row>
        <row r="240">
          <cell r="BA240" t="str">
            <v>.</v>
          </cell>
        </row>
        <row r="241">
          <cell r="BA241" t="str">
            <v>.</v>
          </cell>
        </row>
        <row r="242">
          <cell r="BA242" t="str">
            <v>.</v>
          </cell>
        </row>
        <row r="243">
          <cell r="BA243" t="str">
            <v>.</v>
          </cell>
        </row>
        <row r="244">
          <cell r="BA244" t="str">
            <v>.</v>
          </cell>
        </row>
        <row r="245">
          <cell r="BA245" t="str">
            <v>.</v>
          </cell>
        </row>
        <row r="246">
          <cell r="BA246" t="str">
            <v>.</v>
          </cell>
        </row>
        <row r="247">
          <cell r="BA247" t="str">
            <v>.</v>
          </cell>
        </row>
        <row r="248">
          <cell r="BA248" t="str">
            <v>.</v>
          </cell>
        </row>
        <row r="249">
          <cell r="BA249" t="str">
            <v>.</v>
          </cell>
        </row>
        <row r="250">
          <cell r="BA250" t="str">
            <v>.</v>
          </cell>
        </row>
        <row r="251">
          <cell r="BA251" t="str">
            <v>.</v>
          </cell>
        </row>
        <row r="252">
          <cell r="BA252" t="str">
            <v>.</v>
          </cell>
        </row>
        <row r="253">
          <cell r="BA253" t="str">
            <v>.</v>
          </cell>
        </row>
        <row r="254">
          <cell r="BA254" t="str">
            <v>.</v>
          </cell>
        </row>
        <row r="255">
          <cell r="BA255" t="str">
            <v>.</v>
          </cell>
        </row>
        <row r="256">
          <cell r="BA256" t="str">
            <v>.</v>
          </cell>
        </row>
        <row r="257">
          <cell r="BA257" t="str">
            <v>.</v>
          </cell>
        </row>
        <row r="258">
          <cell r="BA258" t="str">
            <v>.</v>
          </cell>
        </row>
        <row r="259">
          <cell r="BA259" t="str">
            <v>.</v>
          </cell>
        </row>
        <row r="260">
          <cell r="BA260" t="str">
            <v>.</v>
          </cell>
        </row>
        <row r="261">
          <cell r="BA261" t="str">
            <v>.</v>
          </cell>
        </row>
        <row r="262">
          <cell r="BA262" t="str">
            <v>.</v>
          </cell>
        </row>
        <row r="263">
          <cell r="BA263" t="str">
            <v>.</v>
          </cell>
        </row>
        <row r="264">
          <cell r="BA264" t="str">
            <v>.</v>
          </cell>
        </row>
        <row r="265">
          <cell r="BA265" t="str">
            <v>.</v>
          </cell>
        </row>
        <row r="266">
          <cell r="BA266" t="str">
            <v>.</v>
          </cell>
        </row>
        <row r="267">
          <cell r="BA267" t="str">
            <v>.</v>
          </cell>
        </row>
        <row r="268">
          <cell r="BA268" t="str">
            <v>.</v>
          </cell>
        </row>
        <row r="269">
          <cell r="BA269" t="str">
            <v>.</v>
          </cell>
        </row>
        <row r="270">
          <cell r="BA270" t="str">
            <v>.</v>
          </cell>
        </row>
        <row r="271">
          <cell r="BA271" t="str">
            <v>.</v>
          </cell>
        </row>
        <row r="272">
          <cell r="BA272" t="str">
            <v>.</v>
          </cell>
        </row>
        <row r="273">
          <cell r="BA273" t="str">
            <v>.</v>
          </cell>
        </row>
        <row r="274">
          <cell r="BA274" t="str">
            <v>.</v>
          </cell>
        </row>
        <row r="275">
          <cell r="BA275" t="str">
            <v>.</v>
          </cell>
        </row>
        <row r="276">
          <cell r="BA276" t="str">
            <v>.</v>
          </cell>
        </row>
        <row r="277">
          <cell r="BA277" t="str">
            <v>.</v>
          </cell>
        </row>
        <row r="278">
          <cell r="BA278" t="str">
            <v>.</v>
          </cell>
        </row>
        <row r="279">
          <cell r="BA279" t="str">
            <v>.</v>
          </cell>
        </row>
        <row r="280">
          <cell r="BA280" t="str">
            <v>.</v>
          </cell>
        </row>
        <row r="281">
          <cell r="BA281" t="str">
            <v>.</v>
          </cell>
        </row>
        <row r="282">
          <cell r="BA282" t="str">
            <v>.</v>
          </cell>
        </row>
        <row r="283">
          <cell r="BA283" t="str">
            <v>.</v>
          </cell>
        </row>
        <row r="284">
          <cell r="BA284" t="str">
            <v>.</v>
          </cell>
        </row>
        <row r="285">
          <cell r="BA285" t="str">
            <v>.</v>
          </cell>
        </row>
        <row r="286">
          <cell r="BA286" t="str">
            <v>.</v>
          </cell>
        </row>
        <row r="287">
          <cell r="BA287" t="str">
            <v>.</v>
          </cell>
        </row>
        <row r="288">
          <cell r="BA288" t="str">
            <v>.</v>
          </cell>
        </row>
        <row r="289">
          <cell r="BA289" t="str">
            <v>.</v>
          </cell>
        </row>
        <row r="290">
          <cell r="BA290" t="str">
            <v>.</v>
          </cell>
        </row>
        <row r="291">
          <cell r="BA291" t="str">
            <v>.</v>
          </cell>
        </row>
        <row r="292">
          <cell r="BA292" t="str">
            <v>.</v>
          </cell>
        </row>
        <row r="293">
          <cell r="BA293" t="str">
            <v>.</v>
          </cell>
        </row>
        <row r="294">
          <cell r="BA294" t="str">
            <v>.</v>
          </cell>
        </row>
        <row r="295">
          <cell r="BA295" t="str">
            <v>.</v>
          </cell>
        </row>
        <row r="296">
          <cell r="BA296" t="str">
            <v>.</v>
          </cell>
        </row>
        <row r="297">
          <cell r="BA297" t="str">
            <v>.</v>
          </cell>
        </row>
        <row r="298">
          <cell r="BA298" t="str">
            <v>.</v>
          </cell>
        </row>
        <row r="299">
          <cell r="BA299" t="str">
            <v>.</v>
          </cell>
        </row>
        <row r="300">
          <cell r="BA300" t="str">
            <v>.</v>
          </cell>
        </row>
        <row r="301">
          <cell r="BA301" t="str">
            <v>.</v>
          </cell>
        </row>
        <row r="302">
          <cell r="BA302" t="str">
            <v>.</v>
          </cell>
        </row>
        <row r="303">
          <cell r="BA303" t="str">
            <v>.</v>
          </cell>
        </row>
        <row r="304">
          <cell r="BA304" t="str">
            <v>.</v>
          </cell>
        </row>
        <row r="305">
          <cell r="BA305" t="str">
            <v>.</v>
          </cell>
        </row>
        <row r="306">
          <cell r="BA306" t="str">
            <v>.</v>
          </cell>
        </row>
        <row r="307">
          <cell r="BA307" t="str">
            <v>.</v>
          </cell>
        </row>
        <row r="308">
          <cell r="BA308" t="str">
            <v>.</v>
          </cell>
        </row>
        <row r="309">
          <cell r="BA309" t="str">
            <v>.</v>
          </cell>
        </row>
        <row r="310">
          <cell r="BA310" t="str">
            <v>.</v>
          </cell>
        </row>
        <row r="311">
          <cell r="BA311" t="str">
            <v>.</v>
          </cell>
        </row>
        <row r="312">
          <cell r="BA312" t="str">
            <v>.</v>
          </cell>
        </row>
        <row r="313">
          <cell r="BA313" t="str">
            <v>.</v>
          </cell>
        </row>
        <row r="314">
          <cell r="BA314" t="str">
            <v>.</v>
          </cell>
        </row>
        <row r="315">
          <cell r="BA315" t="str">
            <v>.</v>
          </cell>
        </row>
        <row r="316">
          <cell r="BA316" t="str">
            <v>.</v>
          </cell>
        </row>
        <row r="317">
          <cell r="BA317" t="str">
            <v>.</v>
          </cell>
        </row>
        <row r="318">
          <cell r="BA318" t="str">
            <v>.</v>
          </cell>
        </row>
        <row r="319">
          <cell r="BA319" t="str">
            <v>.</v>
          </cell>
        </row>
        <row r="320">
          <cell r="BA320" t="str">
            <v>.</v>
          </cell>
        </row>
        <row r="321">
          <cell r="BA321" t="str">
            <v>.</v>
          </cell>
        </row>
        <row r="322">
          <cell r="BA322" t="str">
            <v>.</v>
          </cell>
        </row>
        <row r="323">
          <cell r="BA323" t="str">
            <v>.</v>
          </cell>
        </row>
        <row r="324">
          <cell r="BA324" t="str">
            <v>.</v>
          </cell>
        </row>
        <row r="325">
          <cell r="BA325" t="str">
            <v>.</v>
          </cell>
        </row>
        <row r="326">
          <cell r="BA326" t="str">
            <v>.</v>
          </cell>
        </row>
        <row r="327">
          <cell r="BA327" t="str">
            <v>.</v>
          </cell>
        </row>
        <row r="328">
          <cell r="BA328" t="str">
            <v>.</v>
          </cell>
        </row>
        <row r="329">
          <cell r="BA329" t="str">
            <v>.</v>
          </cell>
        </row>
        <row r="330">
          <cell r="BA330" t="str">
            <v>.</v>
          </cell>
        </row>
        <row r="331">
          <cell r="BA331" t="str">
            <v>.</v>
          </cell>
        </row>
        <row r="332">
          <cell r="BA332" t="str">
            <v>.</v>
          </cell>
        </row>
        <row r="333">
          <cell r="BA333" t="str">
            <v>.</v>
          </cell>
        </row>
        <row r="334">
          <cell r="BA334" t="str">
            <v>.</v>
          </cell>
        </row>
        <row r="335">
          <cell r="BA335" t="str">
            <v>.</v>
          </cell>
        </row>
        <row r="336">
          <cell r="BA336" t="str">
            <v>.</v>
          </cell>
        </row>
        <row r="337">
          <cell r="BA337" t="str">
            <v>.</v>
          </cell>
        </row>
        <row r="338">
          <cell r="BA338" t="str">
            <v>.</v>
          </cell>
        </row>
        <row r="339">
          <cell r="BA339" t="str">
            <v>.</v>
          </cell>
        </row>
        <row r="340">
          <cell r="BA340" t="str">
            <v>.</v>
          </cell>
        </row>
        <row r="341">
          <cell r="BA341" t="str">
            <v>.</v>
          </cell>
        </row>
        <row r="342">
          <cell r="BA342" t="str">
            <v>.</v>
          </cell>
        </row>
        <row r="343">
          <cell r="BA343" t="str">
            <v>.</v>
          </cell>
        </row>
        <row r="344">
          <cell r="BA344" t="str">
            <v>.</v>
          </cell>
        </row>
        <row r="345">
          <cell r="BA345" t="str">
            <v>.</v>
          </cell>
        </row>
        <row r="346">
          <cell r="BA346" t="str">
            <v>.</v>
          </cell>
        </row>
        <row r="347">
          <cell r="BA347" t="str">
            <v>.</v>
          </cell>
        </row>
        <row r="348">
          <cell r="BA348" t="str">
            <v>.</v>
          </cell>
        </row>
        <row r="349">
          <cell r="BA349" t="str">
            <v>.</v>
          </cell>
        </row>
        <row r="350">
          <cell r="BA350" t="str">
            <v>.</v>
          </cell>
        </row>
        <row r="351">
          <cell r="BA351" t="str">
            <v>.</v>
          </cell>
        </row>
        <row r="352">
          <cell r="BA352" t="str">
            <v>.</v>
          </cell>
        </row>
        <row r="353">
          <cell r="BA353" t="str">
            <v>.</v>
          </cell>
        </row>
        <row r="354">
          <cell r="BA354" t="str">
            <v>.</v>
          </cell>
        </row>
        <row r="355">
          <cell r="BA355" t="str">
            <v>.</v>
          </cell>
        </row>
        <row r="356">
          <cell r="BA356" t="str">
            <v>.</v>
          </cell>
        </row>
        <row r="357">
          <cell r="BA357" t="str">
            <v>.</v>
          </cell>
        </row>
        <row r="358">
          <cell r="BA358" t="str">
            <v>.</v>
          </cell>
        </row>
        <row r="359">
          <cell r="BA359" t="str">
            <v>.</v>
          </cell>
        </row>
        <row r="360">
          <cell r="BA360" t="str">
            <v>.</v>
          </cell>
        </row>
        <row r="361">
          <cell r="BA361" t="str">
            <v>.</v>
          </cell>
        </row>
        <row r="362">
          <cell r="BA362" t="str">
            <v>.</v>
          </cell>
        </row>
        <row r="363">
          <cell r="BA363" t="str">
            <v>.</v>
          </cell>
        </row>
        <row r="364">
          <cell r="BA364" t="str">
            <v>.</v>
          </cell>
        </row>
        <row r="365">
          <cell r="BA365" t="str">
            <v>.</v>
          </cell>
        </row>
        <row r="366">
          <cell r="BA366" t="str">
            <v>.</v>
          </cell>
        </row>
        <row r="367">
          <cell r="BA367" t="str">
            <v>.</v>
          </cell>
        </row>
        <row r="368">
          <cell r="BA368" t="str">
            <v>.</v>
          </cell>
        </row>
        <row r="369">
          <cell r="BA369" t="str">
            <v>.</v>
          </cell>
        </row>
        <row r="370">
          <cell r="BA370" t="str">
            <v>.</v>
          </cell>
        </row>
        <row r="371">
          <cell r="BA371" t="str">
            <v>.</v>
          </cell>
        </row>
        <row r="372">
          <cell r="BA372" t="str">
            <v>.</v>
          </cell>
        </row>
        <row r="373">
          <cell r="BA373" t="str">
            <v>.</v>
          </cell>
        </row>
        <row r="374">
          <cell r="BA374" t="str">
            <v>.</v>
          </cell>
        </row>
        <row r="375">
          <cell r="BA375" t="str">
            <v>.</v>
          </cell>
        </row>
        <row r="376">
          <cell r="BA376" t="str">
            <v>.</v>
          </cell>
        </row>
        <row r="377">
          <cell r="BA377" t="str">
            <v>.</v>
          </cell>
        </row>
        <row r="378">
          <cell r="BA378" t="str">
            <v>.</v>
          </cell>
        </row>
        <row r="379">
          <cell r="BA379" t="str">
            <v>.</v>
          </cell>
        </row>
        <row r="380">
          <cell r="BA380" t="str">
            <v>.</v>
          </cell>
        </row>
        <row r="381">
          <cell r="BA381" t="str">
            <v>.</v>
          </cell>
        </row>
        <row r="382">
          <cell r="BA382" t="str">
            <v>.</v>
          </cell>
        </row>
        <row r="383">
          <cell r="BA383" t="str">
            <v>.</v>
          </cell>
        </row>
        <row r="384">
          <cell r="BA384" t="str">
            <v>.</v>
          </cell>
        </row>
        <row r="385">
          <cell r="BA385" t="str">
            <v>.</v>
          </cell>
        </row>
        <row r="386">
          <cell r="BA386" t="str">
            <v>.</v>
          </cell>
        </row>
        <row r="387">
          <cell r="BA387" t="str">
            <v>.</v>
          </cell>
        </row>
        <row r="388">
          <cell r="BA388" t="str">
            <v>.</v>
          </cell>
        </row>
        <row r="389">
          <cell r="BA389" t="str">
            <v>.</v>
          </cell>
        </row>
        <row r="390">
          <cell r="BA390" t="str">
            <v>.</v>
          </cell>
        </row>
        <row r="391">
          <cell r="BA391" t="str">
            <v>.</v>
          </cell>
        </row>
        <row r="392">
          <cell r="BA392" t="str">
            <v>.</v>
          </cell>
        </row>
        <row r="393">
          <cell r="BA393" t="str">
            <v>.</v>
          </cell>
        </row>
        <row r="394">
          <cell r="BA394" t="str">
            <v>.</v>
          </cell>
        </row>
        <row r="395">
          <cell r="BA395" t="str">
            <v>.</v>
          </cell>
        </row>
        <row r="396">
          <cell r="BA396" t="str">
            <v>.</v>
          </cell>
        </row>
        <row r="397">
          <cell r="BA397" t="str">
            <v>.</v>
          </cell>
        </row>
        <row r="398">
          <cell r="BA398" t="str">
            <v>.</v>
          </cell>
        </row>
        <row r="399">
          <cell r="BA399" t="str">
            <v>.</v>
          </cell>
        </row>
        <row r="400">
          <cell r="BA400" t="str">
            <v>.</v>
          </cell>
        </row>
        <row r="401">
          <cell r="BA401" t="str">
            <v>.</v>
          </cell>
        </row>
        <row r="402">
          <cell r="BA402" t="str">
            <v>.</v>
          </cell>
        </row>
        <row r="403">
          <cell r="BA403" t="str">
            <v>.</v>
          </cell>
        </row>
        <row r="404">
          <cell r="BA404" t="str">
            <v>.</v>
          </cell>
        </row>
        <row r="405">
          <cell r="BA405" t="str">
            <v>.</v>
          </cell>
        </row>
        <row r="406">
          <cell r="BA406" t="str">
            <v>.</v>
          </cell>
        </row>
        <row r="407">
          <cell r="BA407" t="str">
            <v>.</v>
          </cell>
        </row>
        <row r="408">
          <cell r="BA408" t="str">
            <v>.</v>
          </cell>
        </row>
        <row r="409">
          <cell r="BA409" t="str">
            <v>.</v>
          </cell>
        </row>
        <row r="410">
          <cell r="BA410" t="str">
            <v>.</v>
          </cell>
        </row>
        <row r="411">
          <cell r="BA411" t="str">
            <v>.</v>
          </cell>
        </row>
        <row r="412">
          <cell r="BA412" t="str">
            <v>.</v>
          </cell>
        </row>
        <row r="413">
          <cell r="BA413" t="str">
            <v>.</v>
          </cell>
        </row>
        <row r="414">
          <cell r="BA414" t="str">
            <v>.</v>
          </cell>
        </row>
        <row r="415">
          <cell r="BA415" t="str">
            <v>.</v>
          </cell>
        </row>
        <row r="416">
          <cell r="BA416" t="str">
            <v>.</v>
          </cell>
        </row>
        <row r="417">
          <cell r="BA417" t="str">
            <v>.</v>
          </cell>
        </row>
        <row r="418">
          <cell r="BA418" t="str">
            <v>.</v>
          </cell>
        </row>
        <row r="419">
          <cell r="BA419" t="str">
            <v>.</v>
          </cell>
        </row>
        <row r="420">
          <cell r="BA420" t="str">
            <v>.</v>
          </cell>
        </row>
        <row r="421">
          <cell r="BA421" t="str">
            <v>.</v>
          </cell>
        </row>
        <row r="422">
          <cell r="BA422" t="str">
            <v>.</v>
          </cell>
        </row>
        <row r="423">
          <cell r="BA423" t="str">
            <v>.</v>
          </cell>
        </row>
        <row r="424">
          <cell r="BA424" t="str">
            <v>.</v>
          </cell>
        </row>
        <row r="425">
          <cell r="BA425" t="str">
            <v>.</v>
          </cell>
        </row>
        <row r="426">
          <cell r="BA426" t="str">
            <v>.</v>
          </cell>
        </row>
        <row r="427">
          <cell r="BA427" t="str">
            <v>.</v>
          </cell>
        </row>
        <row r="428">
          <cell r="BA428" t="str">
            <v>.</v>
          </cell>
        </row>
        <row r="429">
          <cell r="BA429" t="str">
            <v>.</v>
          </cell>
        </row>
        <row r="430">
          <cell r="BA430" t="str">
            <v>.</v>
          </cell>
        </row>
        <row r="431">
          <cell r="BA431" t="str">
            <v>.</v>
          </cell>
        </row>
        <row r="432">
          <cell r="BA432" t="str">
            <v>.</v>
          </cell>
        </row>
        <row r="433">
          <cell r="BA433" t="str">
            <v>.</v>
          </cell>
        </row>
        <row r="434">
          <cell r="BA434" t="str">
            <v>.</v>
          </cell>
        </row>
        <row r="435">
          <cell r="BA435" t="str">
            <v>.</v>
          </cell>
        </row>
        <row r="436">
          <cell r="BA436" t="str">
            <v>.</v>
          </cell>
        </row>
        <row r="437">
          <cell r="BA437" t="str">
            <v>.</v>
          </cell>
        </row>
        <row r="438">
          <cell r="BA438" t="str">
            <v>.</v>
          </cell>
        </row>
        <row r="439">
          <cell r="BA439" t="str">
            <v>.</v>
          </cell>
        </row>
        <row r="440">
          <cell r="BA440" t="str">
            <v>.</v>
          </cell>
        </row>
        <row r="441">
          <cell r="BA441" t="str">
            <v>.</v>
          </cell>
        </row>
        <row r="442">
          <cell r="BA442" t="str">
            <v>.</v>
          </cell>
        </row>
        <row r="443">
          <cell r="BA443" t="str">
            <v>.</v>
          </cell>
        </row>
        <row r="444">
          <cell r="BA444" t="str">
            <v>.</v>
          </cell>
        </row>
        <row r="445">
          <cell r="BA445" t="str">
            <v>.</v>
          </cell>
        </row>
        <row r="446">
          <cell r="BA446" t="str">
            <v>.</v>
          </cell>
        </row>
        <row r="447">
          <cell r="BA447" t="str">
            <v>.</v>
          </cell>
        </row>
        <row r="448">
          <cell r="BA448" t="str">
            <v>.</v>
          </cell>
        </row>
        <row r="449">
          <cell r="BA449" t="str">
            <v>.</v>
          </cell>
        </row>
        <row r="450">
          <cell r="BA450" t="str">
            <v>.</v>
          </cell>
        </row>
        <row r="451">
          <cell r="BA451" t="str">
            <v>.</v>
          </cell>
        </row>
        <row r="452">
          <cell r="BA452" t="str">
            <v>.</v>
          </cell>
        </row>
        <row r="453">
          <cell r="BA453" t="str">
            <v>.</v>
          </cell>
        </row>
        <row r="454">
          <cell r="BA454" t="str">
            <v>.</v>
          </cell>
        </row>
        <row r="455">
          <cell r="BA455" t="str">
            <v>.</v>
          </cell>
        </row>
        <row r="456">
          <cell r="BA456" t="str">
            <v>.</v>
          </cell>
        </row>
        <row r="457">
          <cell r="BA457" t="str">
            <v>.</v>
          </cell>
        </row>
        <row r="458">
          <cell r="BA458" t="str">
            <v>.</v>
          </cell>
        </row>
        <row r="459">
          <cell r="BA459" t="str">
            <v>.</v>
          </cell>
        </row>
        <row r="460">
          <cell r="BA460" t="str">
            <v>.</v>
          </cell>
        </row>
        <row r="461">
          <cell r="BA461" t="str">
            <v>.</v>
          </cell>
        </row>
        <row r="462">
          <cell r="BA462" t="str">
            <v>.</v>
          </cell>
        </row>
        <row r="463">
          <cell r="BA463" t="str">
            <v>.</v>
          </cell>
        </row>
        <row r="464">
          <cell r="BA464" t="str">
            <v>.</v>
          </cell>
        </row>
        <row r="465">
          <cell r="BA465" t="str">
            <v>.</v>
          </cell>
        </row>
        <row r="466">
          <cell r="BA466" t="str">
            <v>.</v>
          </cell>
        </row>
        <row r="467">
          <cell r="BA467" t="str">
            <v>.</v>
          </cell>
        </row>
        <row r="468">
          <cell r="BA468" t="str">
            <v>.</v>
          </cell>
        </row>
        <row r="469">
          <cell r="BA469" t="str">
            <v>.</v>
          </cell>
        </row>
        <row r="470">
          <cell r="BA470" t="str">
            <v>.</v>
          </cell>
        </row>
        <row r="471">
          <cell r="BA471" t="str">
            <v>.</v>
          </cell>
        </row>
        <row r="472">
          <cell r="BA472" t="str">
            <v>.</v>
          </cell>
        </row>
        <row r="473">
          <cell r="BA473" t="str">
            <v>.</v>
          </cell>
        </row>
        <row r="474">
          <cell r="BA474" t="str">
            <v>.</v>
          </cell>
        </row>
        <row r="475">
          <cell r="BA475" t="str">
            <v>.</v>
          </cell>
        </row>
        <row r="476">
          <cell r="BA476" t="str">
            <v>.</v>
          </cell>
        </row>
        <row r="477">
          <cell r="BA477" t="str">
            <v>.</v>
          </cell>
        </row>
        <row r="478">
          <cell r="BA478" t="str">
            <v>.</v>
          </cell>
        </row>
        <row r="479">
          <cell r="BA479" t="str">
            <v>.</v>
          </cell>
        </row>
        <row r="480">
          <cell r="BA480" t="str">
            <v>.</v>
          </cell>
        </row>
        <row r="481">
          <cell r="BA481" t="str">
            <v>.</v>
          </cell>
        </row>
        <row r="482">
          <cell r="BA482" t="str">
            <v>.</v>
          </cell>
        </row>
        <row r="483">
          <cell r="BA483" t="str">
            <v>.</v>
          </cell>
        </row>
        <row r="484">
          <cell r="BA484" t="str">
            <v>.</v>
          </cell>
        </row>
        <row r="485">
          <cell r="BA485" t="str">
            <v>.</v>
          </cell>
        </row>
        <row r="486">
          <cell r="BA486" t="str">
            <v>.</v>
          </cell>
        </row>
        <row r="487">
          <cell r="BA487" t="str">
            <v>.</v>
          </cell>
        </row>
        <row r="488">
          <cell r="BA488" t="str">
            <v>.</v>
          </cell>
        </row>
        <row r="489">
          <cell r="BA489" t="str">
            <v>.</v>
          </cell>
        </row>
        <row r="490">
          <cell r="BA490" t="str">
            <v>.</v>
          </cell>
        </row>
        <row r="491">
          <cell r="BA491" t="str">
            <v>.</v>
          </cell>
        </row>
        <row r="492">
          <cell r="BA492" t="str">
            <v>.</v>
          </cell>
        </row>
        <row r="493">
          <cell r="BA493" t="str">
            <v>.</v>
          </cell>
        </row>
        <row r="494">
          <cell r="BA494" t="str">
            <v>.</v>
          </cell>
        </row>
        <row r="495">
          <cell r="BA495" t="str">
            <v>.</v>
          </cell>
        </row>
        <row r="496">
          <cell r="BA496" t="str">
            <v>.</v>
          </cell>
        </row>
        <row r="497">
          <cell r="BA497" t="str">
            <v>.</v>
          </cell>
        </row>
        <row r="498">
          <cell r="BA498" t="str">
            <v>.</v>
          </cell>
        </row>
        <row r="499">
          <cell r="BA499" t="str">
            <v>.</v>
          </cell>
        </row>
        <row r="500">
          <cell r="BA500" t="str">
            <v>.</v>
          </cell>
        </row>
        <row r="501">
          <cell r="BA501" t="str">
            <v>.</v>
          </cell>
        </row>
        <row r="502">
          <cell r="BA502" t="str">
            <v>.</v>
          </cell>
        </row>
        <row r="503">
          <cell r="BA503" t="str">
            <v>.</v>
          </cell>
        </row>
        <row r="504">
          <cell r="BA504" t="str">
            <v>.</v>
          </cell>
        </row>
        <row r="505">
          <cell r="BA505" t="str">
            <v>.</v>
          </cell>
        </row>
        <row r="506">
          <cell r="BA506" t="str">
            <v>.</v>
          </cell>
        </row>
        <row r="507">
          <cell r="BA507" t="str">
            <v>.</v>
          </cell>
        </row>
        <row r="508">
          <cell r="BA508" t="str">
            <v>.</v>
          </cell>
        </row>
        <row r="509">
          <cell r="BA509" t="str">
            <v>.</v>
          </cell>
        </row>
        <row r="510">
          <cell r="BA510" t="str">
            <v>.</v>
          </cell>
        </row>
        <row r="511">
          <cell r="BA511" t="str">
            <v>.</v>
          </cell>
        </row>
        <row r="512">
          <cell r="BA512" t="str">
            <v>.</v>
          </cell>
        </row>
        <row r="513">
          <cell r="BA513" t="str">
            <v>.</v>
          </cell>
        </row>
        <row r="514">
          <cell r="BA514" t="str">
            <v>.</v>
          </cell>
        </row>
        <row r="515">
          <cell r="BA515" t="str">
            <v>.</v>
          </cell>
        </row>
        <row r="516">
          <cell r="BA516" t="str">
            <v>.</v>
          </cell>
        </row>
        <row r="517">
          <cell r="BA517" t="str">
            <v>.</v>
          </cell>
        </row>
        <row r="518">
          <cell r="BA518" t="str">
            <v>.</v>
          </cell>
        </row>
        <row r="519">
          <cell r="BA519" t="str">
            <v>.</v>
          </cell>
        </row>
        <row r="520">
          <cell r="BA520" t="str">
            <v>.</v>
          </cell>
        </row>
        <row r="521">
          <cell r="BA521" t="str">
            <v>.</v>
          </cell>
        </row>
        <row r="522">
          <cell r="BA522" t="str">
            <v>.</v>
          </cell>
        </row>
        <row r="523">
          <cell r="BA523" t="str">
            <v>.</v>
          </cell>
        </row>
        <row r="524">
          <cell r="BA524" t="str">
            <v>.</v>
          </cell>
        </row>
        <row r="525">
          <cell r="BA525" t="str">
            <v>.</v>
          </cell>
        </row>
        <row r="526">
          <cell r="BA526" t="str">
            <v>.</v>
          </cell>
        </row>
        <row r="527">
          <cell r="BA527" t="str">
            <v>.</v>
          </cell>
        </row>
        <row r="528">
          <cell r="BA528" t="str">
            <v>.</v>
          </cell>
        </row>
        <row r="529">
          <cell r="BA529" t="str">
            <v>.</v>
          </cell>
        </row>
        <row r="530">
          <cell r="BA530" t="str">
            <v>.</v>
          </cell>
        </row>
        <row r="531">
          <cell r="BA531" t="str">
            <v>.</v>
          </cell>
        </row>
        <row r="532">
          <cell r="BA532" t="str">
            <v>.</v>
          </cell>
        </row>
        <row r="533">
          <cell r="BA533" t="str">
            <v>.</v>
          </cell>
        </row>
        <row r="534">
          <cell r="BA534" t="str">
            <v>.</v>
          </cell>
        </row>
        <row r="535">
          <cell r="BA535" t="str">
            <v>.</v>
          </cell>
        </row>
        <row r="536">
          <cell r="BA536" t="str">
            <v>.</v>
          </cell>
        </row>
        <row r="537">
          <cell r="BA537" t="str">
            <v>.</v>
          </cell>
        </row>
        <row r="538">
          <cell r="BA538" t="str">
            <v>.</v>
          </cell>
        </row>
        <row r="539">
          <cell r="BA539" t="str">
            <v>.</v>
          </cell>
        </row>
        <row r="540">
          <cell r="BA540" t="str">
            <v>.</v>
          </cell>
        </row>
        <row r="541">
          <cell r="BA541" t="str">
            <v>.</v>
          </cell>
        </row>
        <row r="542">
          <cell r="BA542" t="str">
            <v>.</v>
          </cell>
        </row>
        <row r="543">
          <cell r="BA543" t="str">
            <v>.</v>
          </cell>
        </row>
        <row r="544">
          <cell r="BA544" t="str">
            <v>.</v>
          </cell>
        </row>
        <row r="545">
          <cell r="BA545" t="str">
            <v>.</v>
          </cell>
        </row>
        <row r="546">
          <cell r="BA546" t="str">
            <v>.</v>
          </cell>
        </row>
        <row r="547">
          <cell r="BA547" t="str">
            <v>.</v>
          </cell>
        </row>
        <row r="548">
          <cell r="BA548" t="str">
            <v>.</v>
          </cell>
        </row>
        <row r="549">
          <cell r="BA549" t="str">
            <v>.</v>
          </cell>
        </row>
        <row r="550">
          <cell r="BA550" t="str">
            <v>.</v>
          </cell>
        </row>
        <row r="551">
          <cell r="BA551" t="str">
            <v>.</v>
          </cell>
        </row>
        <row r="552">
          <cell r="BA552" t="str">
            <v>.</v>
          </cell>
        </row>
        <row r="553">
          <cell r="BA553" t="str">
            <v>.</v>
          </cell>
        </row>
        <row r="554">
          <cell r="BA554" t="str">
            <v>.</v>
          </cell>
        </row>
        <row r="555">
          <cell r="BA555" t="str">
            <v>.</v>
          </cell>
        </row>
        <row r="556">
          <cell r="BA556" t="str">
            <v>.</v>
          </cell>
        </row>
        <row r="557">
          <cell r="BA557" t="str">
            <v>.</v>
          </cell>
        </row>
        <row r="558">
          <cell r="BA558" t="str">
            <v>.</v>
          </cell>
        </row>
        <row r="559">
          <cell r="BA559" t="str">
            <v>.</v>
          </cell>
        </row>
        <row r="560">
          <cell r="BA560" t="str">
            <v>.</v>
          </cell>
        </row>
        <row r="561">
          <cell r="BA561" t="str">
            <v>.</v>
          </cell>
        </row>
        <row r="562">
          <cell r="BA562" t="str">
            <v>.</v>
          </cell>
        </row>
        <row r="563">
          <cell r="BA563" t="str">
            <v>.</v>
          </cell>
        </row>
        <row r="564">
          <cell r="BA564" t="str">
            <v>.</v>
          </cell>
        </row>
        <row r="565">
          <cell r="BA565" t="str">
            <v>.</v>
          </cell>
        </row>
        <row r="566">
          <cell r="BA566" t="str">
            <v>.</v>
          </cell>
        </row>
        <row r="567">
          <cell r="BA567" t="str">
            <v>.</v>
          </cell>
        </row>
        <row r="568">
          <cell r="BA568" t="str">
            <v>.</v>
          </cell>
        </row>
        <row r="569">
          <cell r="BA569" t="str">
            <v>.</v>
          </cell>
        </row>
        <row r="570">
          <cell r="BA570" t="str">
            <v>.</v>
          </cell>
        </row>
        <row r="571">
          <cell r="BA571" t="str">
            <v>.</v>
          </cell>
        </row>
        <row r="572">
          <cell r="BA572" t="str">
            <v>.</v>
          </cell>
        </row>
        <row r="573">
          <cell r="BA573" t="str">
            <v>.</v>
          </cell>
        </row>
        <row r="574">
          <cell r="BA574" t="str">
            <v>.</v>
          </cell>
        </row>
        <row r="575">
          <cell r="BA575" t="str">
            <v>.</v>
          </cell>
        </row>
        <row r="576">
          <cell r="BA576" t="str">
            <v>.</v>
          </cell>
        </row>
        <row r="577">
          <cell r="BA577" t="str">
            <v>.</v>
          </cell>
        </row>
        <row r="578">
          <cell r="BA578" t="str">
            <v>.</v>
          </cell>
        </row>
        <row r="579">
          <cell r="BA579" t="str">
            <v>.</v>
          </cell>
        </row>
        <row r="580">
          <cell r="BA580" t="str">
            <v>.</v>
          </cell>
        </row>
        <row r="581">
          <cell r="BA581" t="str">
            <v>.</v>
          </cell>
        </row>
        <row r="582">
          <cell r="BA582" t="str">
            <v>.</v>
          </cell>
        </row>
        <row r="583">
          <cell r="BA583" t="str">
            <v>.</v>
          </cell>
        </row>
        <row r="584">
          <cell r="BA584" t="str">
            <v>.</v>
          </cell>
        </row>
        <row r="585">
          <cell r="BA585" t="str">
            <v>.</v>
          </cell>
        </row>
        <row r="586">
          <cell r="BA586" t="str">
            <v>.</v>
          </cell>
        </row>
        <row r="587">
          <cell r="BA587" t="str">
            <v>.</v>
          </cell>
        </row>
        <row r="588">
          <cell r="BA588" t="str">
            <v>.</v>
          </cell>
        </row>
        <row r="589">
          <cell r="BA589" t="str">
            <v>.</v>
          </cell>
        </row>
        <row r="590">
          <cell r="BA590" t="str">
            <v>.</v>
          </cell>
        </row>
        <row r="591">
          <cell r="BA591" t="str">
            <v>.</v>
          </cell>
        </row>
        <row r="592">
          <cell r="BA592" t="str">
            <v>.</v>
          </cell>
        </row>
        <row r="593">
          <cell r="BA593" t="str">
            <v>.</v>
          </cell>
        </row>
        <row r="594">
          <cell r="BA594" t="str">
            <v>.</v>
          </cell>
        </row>
        <row r="595">
          <cell r="BA595" t="str">
            <v>.</v>
          </cell>
        </row>
        <row r="596">
          <cell r="BA596" t="str">
            <v>.</v>
          </cell>
        </row>
        <row r="597">
          <cell r="BA597" t="str">
            <v>.</v>
          </cell>
        </row>
        <row r="598">
          <cell r="BA598" t="str">
            <v>.</v>
          </cell>
        </row>
        <row r="599">
          <cell r="BA599" t="str">
            <v>.</v>
          </cell>
        </row>
        <row r="600">
          <cell r="BA600" t="str">
            <v>.</v>
          </cell>
        </row>
        <row r="601">
          <cell r="BA601" t="str">
            <v>.</v>
          </cell>
        </row>
        <row r="602">
          <cell r="BA602" t="str">
            <v>.</v>
          </cell>
        </row>
        <row r="603">
          <cell r="BA603" t="str">
            <v>.</v>
          </cell>
        </row>
        <row r="604">
          <cell r="BA604" t="str">
            <v>.</v>
          </cell>
        </row>
        <row r="605">
          <cell r="BA605" t="str">
            <v>.</v>
          </cell>
        </row>
        <row r="606">
          <cell r="BA606" t="str">
            <v>.</v>
          </cell>
        </row>
        <row r="607">
          <cell r="BA607" t="str">
            <v>.</v>
          </cell>
        </row>
        <row r="608">
          <cell r="BA608" t="str">
            <v>.</v>
          </cell>
        </row>
        <row r="609">
          <cell r="BA609" t="str">
            <v>.</v>
          </cell>
        </row>
        <row r="610">
          <cell r="BA610" t="str">
            <v>.</v>
          </cell>
        </row>
        <row r="611">
          <cell r="BA611" t="str">
            <v>.</v>
          </cell>
        </row>
        <row r="612">
          <cell r="BA612" t="str">
            <v>.</v>
          </cell>
        </row>
        <row r="613">
          <cell r="BA613" t="str">
            <v>.</v>
          </cell>
        </row>
        <row r="614">
          <cell r="BA614" t="str">
            <v>.</v>
          </cell>
        </row>
        <row r="615">
          <cell r="BA615" t="str">
            <v>.</v>
          </cell>
        </row>
        <row r="616">
          <cell r="BA616" t="str">
            <v>.</v>
          </cell>
        </row>
        <row r="617">
          <cell r="BA617" t="str">
            <v>.</v>
          </cell>
        </row>
        <row r="618">
          <cell r="BA618" t="str">
            <v>.</v>
          </cell>
        </row>
        <row r="619">
          <cell r="BA619" t="str">
            <v>.</v>
          </cell>
        </row>
        <row r="620">
          <cell r="BA620" t="str">
            <v>.</v>
          </cell>
        </row>
        <row r="621">
          <cell r="BA621" t="str">
            <v>.</v>
          </cell>
        </row>
        <row r="622">
          <cell r="BA622" t="str">
            <v>.</v>
          </cell>
        </row>
        <row r="623">
          <cell r="BA623" t="str">
            <v>.</v>
          </cell>
        </row>
        <row r="624">
          <cell r="BA624" t="str">
            <v>.</v>
          </cell>
        </row>
        <row r="625">
          <cell r="BA625" t="str">
            <v>.</v>
          </cell>
        </row>
        <row r="626">
          <cell r="BA626" t="str">
            <v>.</v>
          </cell>
        </row>
        <row r="627">
          <cell r="BA627" t="str">
            <v>.</v>
          </cell>
        </row>
        <row r="628">
          <cell r="BA628" t="str">
            <v>.</v>
          </cell>
        </row>
        <row r="629">
          <cell r="BA629" t="str">
            <v>.</v>
          </cell>
        </row>
        <row r="630">
          <cell r="BA630" t="str">
            <v>.</v>
          </cell>
        </row>
        <row r="631">
          <cell r="BA631" t="str">
            <v>.</v>
          </cell>
        </row>
        <row r="632">
          <cell r="BA632" t="str">
            <v>.</v>
          </cell>
        </row>
        <row r="633">
          <cell r="BA633" t="str">
            <v>.</v>
          </cell>
        </row>
        <row r="634">
          <cell r="BA634" t="str">
            <v>.</v>
          </cell>
        </row>
        <row r="635">
          <cell r="BA635" t="str">
            <v>.</v>
          </cell>
        </row>
        <row r="636">
          <cell r="BA636" t="str">
            <v>.</v>
          </cell>
        </row>
        <row r="637">
          <cell r="BA637" t="str">
            <v>.</v>
          </cell>
        </row>
        <row r="638">
          <cell r="BA638" t="str">
            <v>.</v>
          </cell>
        </row>
        <row r="639">
          <cell r="BA639" t="str">
            <v>.</v>
          </cell>
        </row>
        <row r="640">
          <cell r="BA640" t="str">
            <v>.</v>
          </cell>
        </row>
        <row r="641">
          <cell r="BA641" t="str">
            <v>.</v>
          </cell>
        </row>
        <row r="642">
          <cell r="BA642" t="str">
            <v>.</v>
          </cell>
        </row>
        <row r="643">
          <cell r="BA643" t="str">
            <v>.</v>
          </cell>
        </row>
        <row r="644">
          <cell r="BA644" t="str">
            <v>.</v>
          </cell>
        </row>
        <row r="645">
          <cell r="BA645" t="str">
            <v>.</v>
          </cell>
        </row>
        <row r="646">
          <cell r="BA646" t="str">
            <v>.</v>
          </cell>
        </row>
        <row r="647">
          <cell r="BA647" t="str">
            <v>.</v>
          </cell>
        </row>
        <row r="648">
          <cell r="BA648" t="str">
            <v>.</v>
          </cell>
        </row>
        <row r="649">
          <cell r="BA649" t="str">
            <v>.</v>
          </cell>
        </row>
        <row r="650">
          <cell r="BA650" t="str">
            <v>.</v>
          </cell>
        </row>
        <row r="651">
          <cell r="BA651" t="str">
            <v>.</v>
          </cell>
        </row>
        <row r="652">
          <cell r="BA652" t="str">
            <v>.</v>
          </cell>
        </row>
        <row r="653">
          <cell r="BA653" t="str">
            <v>.</v>
          </cell>
        </row>
        <row r="654">
          <cell r="BA654" t="str">
            <v>.</v>
          </cell>
        </row>
        <row r="655">
          <cell r="BA655" t="str">
            <v>.</v>
          </cell>
        </row>
        <row r="656">
          <cell r="BA656" t="str">
            <v>.</v>
          </cell>
        </row>
        <row r="657">
          <cell r="BA657" t="str">
            <v>.</v>
          </cell>
        </row>
        <row r="658">
          <cell r="BA658" t="str">
            <v>.</v>
          </cell>
        </row>
        <row r="659">
          <cell r="BA659" t="str">
            <v>.</v>
          </cell>
        </row>
        <row r="660">
          <cell r="BA660" t="str">
            <v>.</v>
          </cell>
        </row>
        <row r="661">
          <cell r="BA661" t="str">
            <v>.</v>
          </cell>
        </row>
        <row r="662">
          <cell r="BA662" t="str">
            <v>.</v>
          </cell>
        </row>
        <row r="663">
          <cell r="BA663" t="str">
            <v>.</v>
          </cell>
        </row>
        <row r="664">
          <cell r="BA664" t="str">
            <v>.</v>
          </cell>
        </row>
        <row r="665">
          <cell r="BA665" t="str">
            <v>.</v>
          </cell>
        </row>
        <row r="666">
          <cell r="BA666" t="str">
            <v>.</v>
          </cell>
        </row>
        <row r="667">
          <cell r="BA667" t="str">
            <v>.</v>
          </cell>
        </row>
        <row r="668">
          <cell r="BA668" t="str">
            <v>.</v>
          </cell>
        </row>
        <row r="669">
          <cell r="BA669" t="str">
            <v>.</v>
          </cell>
        </row>
        <row r="670">
          <cell r="BA670" t="str">
            <v>.</v>
          </cell>
        </row>
        <row r="671">
          <cell r="BA671" t="str">
            <v>.</v>
          </cell>
        </row>
        <row r="672">
          <cell r="BA672" t="str">
            <v>.</v>
          </cell>
        </row>
        <row r="673">
          <cell r="BA673" t="str">
            <v>.</v>
          </cell>
        </row>
        <row r="674">
          <cell r="BA674" t="str">
            <v>.</v>
          </cell>
        </row>
        <row r="675">
          <cell r="BA675" t="str">
            <v>.</v>
          </cell>
        </row>
        <row r="676">
          <cell r="BA676" t="str">
            <v>.</v>
          </cell>
        </row>
        <row r="677">
          <cell r="BA677" t="str">
            <v>.</v>
          </cell>
        </row>
        <row r="678">
          <cell r="BA678" t="str">
            <v>.</v>
          </cell>
        </row>
        <row r="679">
          <cell r="BA679" t="str">
            <v>.</v>
          </cell>
        </row>
        <row r="680">
          <cell r="BA680" t="str">
            <v>.</v>
          </cell>
        </row>
        <row r="681">
          <cell r="BA681" t="str">
            <v>.</v>
          </cell>
        </row>
        <row r="682">
          <cell r="BA682" t="str">
            <v>.</v>
          </cell>
        </row>
        <row r="683">
          <cell r="BA683" t="str">
            <v>.</v>
          </cell>
        </row>
        <row r="684">
          <cell r="BA684" t="str">
            <v>.</v>
          </cell>
        </row>
        <row r="685">
          <cell r="BA685" t="str">
            <v>.</v>
          </cell>
        </row>
        <row r="686">
          <cell r="BA686" t="str">
            <v>.</v>
          </cell>
        </row>
        <row r="687">
          <cell r="BA687" t="str">
            <v>.</v>
          </cell>
        </row>
        <row r="688">
          <cell r="BA688" t="str">
            <v>.</v>
          </cell>
        </row>
        <row r="689">
          <cell r="BA689" t="str">
            <v>.</v>
          </cell>
        </row>
        <row r="690">
          <cell r="BA690" t="str">
            <v>.</v>
          </cell>
        </row>
        <row r="691">
          <cell r="BA691" t="str">
            <v>.</v>
          </cell>
        </row>
        <row r="692">
          <cell r="BA692" t="str">
            <v>.</v>
          </cell>
        </row>
        <row r="693">
          <cell r="BA693" t="str">
            <v>.</v>
          </cell>
        </row>
        <row r="694">
          <cell r="BA694" t="str">
            <v>.</v>
          </cell>
        </row>
        <row r="695">
          <cell r="BA695" t="str">
            <v>.</v>
          </cell>
        </row>
        <row r="696">
          <cell r="BA696" t="str">
            <v>.</v>
          </cell>
        </row>
        <row r="697">
          <cell r="BA697" t="str">
            <v>.</v>
          </cell>
        </row>
        <row r="698">
          <cell r="BA698" t="str">
            <v>.</v>
          </cell>
        </row>
        <row r="699">
          <cell r="BA699" t="str">
            <v>.</v>
          </cell>
        </row>
        <row r="700">
          <cell r="BA700" t="str">
            <v>.</v>
          </cell>
        </row>
        <row r="701">
          <cell r="BA701" t="str">
            <v>.</v>
          </cell>
        </row>
        <row r="702">
          <cell r="BA702" t="str">
            <v>.</v>
          </cell>
        </row>
        <row r="703">
          <cell r="BA703" t="str">
            <v>.</v>
          </cell>
        </row>
        <row r="704">
          <cell r="BA704" t="str">
            <v>.</v>
          </cell>
        </row>
        <row r="705">
          <cell r="BA705" t="str">
            <v>.</v>
          </cell>
        </row>
        <row r="706">
          <cell r="BA706" t="str">
            <v>.</v>
          </cell>
        </row>
        <row r="707">
          <cell r="BA707" t="str">
            <v>.</v>
          </cell>
        </row>
        <row r="708">
          <cell r="BA708" t="str">
            <v>.</v>
          </cell>
        </row>
        <row r="709">
          <cell r="BA709" t="str">
            <v>.</v>
          </cell>
        </row>
        <row r="710">
          <cell r="BA710" t="str">
            <v>.</v>
          </cell>
        </row>
        <row r="711">
          <cell r="BA711" t="str">
            <v>.</v>
          </cell>
        </row>
        <row r="712">
          <cell r="BA712" t="str">
            <v>.</v>
          </cell>
        </row>
        <row r="713">
          <cell r="BA713" t="str">
            <v>.</v>
          </cell>
        </row>
        <row r="714">
          <cell r="BA714" t="str">
            <v>.</v>
          </cell>
        </row>
        <row r="715">
          <cell r="BA715" t="str">
            <v>.</v>
          </cell>
        </row>
        <row r="716">
          <cell r="BA716" t="str">
            <v>.</v>
          </cell>
        </row>
        <row r="717">
          <cell r="BA717" t="str">
            <v>.</v>
          </cell>
        </row>
        <row r="718">
          <cell r="BA718" t="str">
            <v>.</v>
          </cell>
        </row>
        <row r="719">
          <cell r="BA719" t="str">
            <v>.</v>
          </cell>
        </row>
        <row r="720">
          <cell r="BA720" t="str">
            <v>.</v>
          </cell>
        </row>
        <row r="721">
          <cell r="BA721" t="str">
            <v>.</v>
          </cell>
        </row>
        <row r="722">
          <cell r="BA722" t="str">
            <v>.</v>
          </cell>
        </row>
        <row r="723">
          <cell r="BA723" t="str">
            <v>.</v>
          </cell>
        </row>
        <row r="724">
          <cell r="BA724" t="str">
            <v>.</v>
          </cell>
        </row>
        <row r="725">
          <cell r="BA725" t="str">
            <v>.</v>
          </cell>
        </row>
        <row r="726">
          <cell r="BA726" t="str">
            <v>.</v>
          </cell>
        </row>
        <row r="727">
          <cell r="BA727" t="str">
            <v>.</v>
          </cell>
        </row>
        <row r="728">
          <cell r="BA728" t="str">
            <v>.</v>
          </cell>
        </row>
        <row r="729">
          <cell r="BA729" t="str">
            <v>.</v>
          </cell>
        </row>
        <row r="730">
          <cell r="BA730" t="str">
            <v>.</v>
          </cell>
        </row>
        <row r="731">
          <cell r="BA731" t="str">
            <v>.</v>
          </cell>
        </row>
        <row r="732">
          <cell r="BA732" t="str">
            <v>.</v>
          </cell>
        </row>
        <row r="733">
          <cell r="BA733" t="str">
            <v>.</v>
          </cell>
        </row>
        <row r="734">
          <cell r="BA734" t="str">
            <v>.</v>
          </cell>
        </row>
        <row r="735">
          <cell r="BA735" t="str">
            <v>.</v>
          </cell>
        </row>
        <row r="736">
          <cell r="BA736" t="str">
            <v>.</v>
          </cell>
        </row>
        <row r="737">
          <cell r="BA737" t="str">
            <v>.</v>
          </cell>
        </row>
        <row r="738">
          <cell r="BA738" t="str">
            <v>.</v>
          </cell>
        </row>
        <row r="739">
          <cell r="BA739" t="str">
            <v>.</v>
          </cell>
        </row>
        <row r="740">
          <cell r="BA740" t="str">
            <v>.</v>
          </cell>
        </row>
        <row r="741">
          <cell r="BA741" t="str">
            <v>.</v>
          </cell>
        </row>
        <row r="742">
          <cell r="BA742" t="str">
            <v>.</v>
          </cell>
        </row>
        <row r="743">
          <cell r="BA743" t="str">
            <v>.</v>
          </cell>
        </row>
        <row r="744">
          <cell r="BA744" t="str">
            <v>.</v>
          </cell>
        </row>
        <row r="745">
          <cell r="BA745" t="str">
            <v>.</v>
          </cell>
        </row>
        <row r="746">
          <cell r="BA746" t="str">
            <v>.</v>
          </cell>
        </row>
        <row r="747">
          <cell r="BA747" t="str">
            <v>.</v>
          </cell>
        </row>
        <row r="748">
          <cell r="BA748" t="str">
            <v>.</v>
          </cell>
        </row>
        <row r="749">
          <cell r="BA749" t="str">
            <v>.</v>
          </cell>
        </row>
        <row r="750">
          <cell r="BA750" t="str">
            <v>.</v>
          </cell>
        </row>
        <row r="751">
          <cell r="BA751" t="str">
            <v>.</v>
          </cell>
        </row>
        <row r="752">
          <cell r="BA752" t="str">
            <v>.</v>
          </cell>
        </row>
        <row r="753">
          <cell r="BA753" t="str">
            <v>.</v>
          </cell>
        </row>
        <row r="754">
          <cell r="BA754" t="str">
            <v>.</v>
          </cell>
        </row>
        <row r="755">
          <cell r="BA755" t="str">
            <v>.</v>
          </cell>
        </row>
        <row r="756">
          <cell r="BA756" t="str">
            <v>.</v>
          </cell>
        </row>
        <row r="757">
          <cell r="BA757" t="str">
            <v>.</v>
          </cell>
        </row>
        <row r="758">
          <cell r="BA758" t="str">
            <v>.</v>
          </cell>
        </row>
        <row r="759">
          <cell r="BA759" t="str">
            <v>.</v>
          </cell>
        </row>
        <row r="760">
          <cell r="BA760" t="str">
            <v>.</v>
          </cell>
        </row>
        <row r="761">
          <cell r="BA761" t="str">
            <v>.</v>
          </cell>
        </row>
        <row r="762">
          <cell r="BA762" t="str">
            <v>.</v>
          </cell>
        </row>
        <row r="763">
          <cell r="BA763" t="str">
            <v>.</v>
          </cell>
        </row>
        <row r="764">
          <cell r="BA764" t="str">
            <v>.</v>
          </cell>
        </row>
        <row r="765">
          <cell r="BA765" t="str">
            <v>.</v>
          </cell>
        </row>
        <row r="766">
          <cell r="BA766" t="str">
            <v>.</v>
          </cell>
        </row>
        <row r="767">
          <cell r="BA767" t="str">
            <v>.</v>
          </cell>
        </row>
        <row r="768">
          <cell r="BA768" t="str">
            <v>.</v>
          </cell>
        </row>
        <row r="769">
          <cell r="BA769" t="str">
            <v>.</v>
          </cell>
        </row>
        <row r="770">
          <cell r="BA770" t="str">
            <v>.</v>
          </cell>
        </row>
        <row r="771">
          <cell r="BA771" t="str">
            <v>.</v>
          </cell>
        </row>
        <row r="772">
          <cell r="BA772" t="str">
            <v>.</v>
          </cell>
        </row>
        <row r="773">
          <cell r="BA773" t="str">
            <v>.</v>
          </cell>
        </row>
        <row r="774">
          <cell r="BA774" t="str">
            <v>.</v>
          </cell>
        </row>
        <row r="775">
          <cell r="BA775" t="str">
            <v>.</v>
          </cell>
        </row>
        <row r="776">
          <cell r="BA776" t="str">
            <v>.</v>
          </cell>
        </row>
        <row r="777">
          <cell r="BA777" t="str">
            <v>.</v>
          </cell>
        </row>
        <row r="778">
          <cell r="BA778" t="str">
            <v>.</v>
          </cell>
        </row>
        <row r="779">
          <cell r="BA779" t="str">
            <v>.</v>
          </cell>
        </row>
        <row r="780">
          <cell r="BA780" t="str">
            <v>.</v>
          </cell>
        </row>
        <row r="781">
          <cell r="BA781" t="str">
            <v>.</v>
          </cell>
        </row>
        <row r="782">
          <cell r="BA782" t="str">
            <v>.</v>
          </cell>
        </row>
        <row r="783">
          <cell r="BA783" t="str">
            <v>.</v>
          </cell>
        </row>
        <row r="784">
          <cell r="BA784" t="str">
            <v>.</v>
          </cell>
        </row>
        <row r="785">
          <cell r="BA785" t="str">
            <v>.</v>
          </cell>
        </row>
        <row r="786">
          <cell r="BA786" t="str">
            <v>.</v>
          </cell>
        </row>
        <row r="787">
          <cell r="BA787" t="str">
            <v>.</v>
          </cell>
        </row>
        <row r="788">
          <cell r="BA788" t="str">
            <v>.</v>
          </cell>
        </row>
        <row r="789">
          <cell r="BA789" t="str">
            <v>.</v>
          </cell>
        </row>
        <row r="790">
          <cell r="BA790" t="str">
            <v>.</v>
          </cell>
        </row>
        <row r="791">
          <cell r="BA791" t="str">
            <v>.</v>
          </cell>
        </row>
        <row r="792">
          <cell r="BA792" t="str">
            <v>.</v>
          </cell>
        </row>
        <row r="793">
          <cell r="BA793" t="str">
            <v>.</v>
          </cell>
        </row>
        <row r="794">
          <cell r="BA794" t="str">
            <v>.</v>
          </cell>
        </row>
        <row r="795">
          <cell r="BA795" t="str">
            <v>.</v>
          </cell>
        </row>
        <row r="796">
          <cell r="BA796" t="str">
            <v>.</v>
          </cell>
        </row>
        <row r="797">
          <cell r="BA797" t="str">
            <v>.</v>
          </cell>
        </row>
        <row r="798">
          <cell r="BA798" t="str">
            <v>.</v>
          </cell>
        </row>
        <row r="799">
          <cell r="BA799" t="str">
            <v>.</v>
          </cell>
        </row>
        <row r="800">
          <cell r="BA800" t="str">
            <v>.</v>
          </cell>
        </row>
        <row r="801">
          <cell r="BA801" t="str">
            <v>.</v>
          </cell>
        </row>
        <row r="802">
          <cell r="BA802" t="str">
            <v>.</v>
          </cell>
        </row>
        <row r="803">
          <cell r="BA803" t="str">
            <v>.</v>
          </cell>
        </row>
        <row r="804">
          <cell r="BA804" t="str">
            <v>.</v>
          </cell>
        </row>
        <row r="805">
          <cell r="BA805" t="str">
            <v>.</v>
          </cell>
        </row>
        <row r="806">
          <cell r="BA806" t="str">
            <v>.</v>
          </cell>
        </row>
        <row r="807">
          <cell r="BA807" t="str">
            <v>.</v>
          </cell>
        </row>
        <row r="808">
          <cell r="BA808" t="str">
            <v>.</v>
          </cell>
        </row>
        <row r="809">
          <cell r="BA809" t="str">
            <v>.</v>
          </cell>
        </row>
        <row r="810">
          <cell r="BA810" t="str">
            <v>.</v>
          </cell>
        </row>
        <row r="811">
          <cell r="BA811" t="str">
            <v>.</v>
          </cell>
        </row>
        <row r="812">
          <cell r="BA812" t="str">
            <v>.</v>
          </cell>
        </row>
        <row r="813">
          <cell r="BA813" t="str">
            <v>.</v>
          </cell>
        </row>
        <row r="814">
          <cell r="BA814" t="str">
            <v>.</v>
          </cell>
        </row>
        <row r="815">
          <cell r="BA815" t="str">
            <v>.</v>
          </cell>
        </row>
        <row r="816">
          <cell r="BA816" t="str">
            <v>.</v>
          </cell>
        </row>
        <row r="817">
          <cell r="BA817" t="str">
            <v>.</v>
          </cell>
        </row>
        <row r="818">
          <cell r="BA818" t="str">
            <v>.</v>
          </cell>
        </row>
        <row r="819">
          <cell r="BA819" t="str">
            <v>.</v>
          </cell>
        </row>
        <row r="820">
          <cell r="BA820" t="str">
            <v>.</v>
          </cell>
        </row>
        <row r="821">
          <cell r="BA821" t="str">
            <v>.</v>
          </cell>
        </row>
        <row r="822">
          <cell r="BA822" t="str">
            <v>.</v>
          </cell>
        </row>
        <row r="823">
          <cell r="BA823" t="str">
            <v>.</v>
          </cell>
        </row>
        <row r="824">
          <cell r="BA824" t="str">
            <v>.</v>
          </cell>
        </row>
        <row r="825">
          <cell r="BA825" t="str">
            <v>.</v>
          </cell>
        </row>
        <row r="826">
          <cell r="BA826" t="str">
            <v>.</v>
          </cell>
        </row>
        <row r="827">
          <cell r="BA827" t="str">
            <v>.</v>
          </cell>
        </row>
        <row r="828">
          <cell r="BA828" t="str">
            <v>.</v>
          </cell>
        </row>
        <row r="829">
          <cell r="BA829" t="str">
            <v>.</v>
          </cell>
        </row>
        <row r="830">
          <cell r="BA830" t="str">
            <v>.</v>
          </cell>
        </row>
        <row r="831">
          <cell r="BA831" t="str">
            <v>.</v>
          </cell>
        </row>
        <row r="832">
          <cell r="BA832" t="str">
            <v>.</v>
          </cell>
        </row>
        <row r="833">
          <cell r="BA833" t="str">
            <v>.</v>
          </cell>
        </row>
        <row r="834">
          <cell r="BA834" t="str">
            <v>.</v>
          </cell>
        </row>
        <row r="835">
          <cell r="BA835" t="str">
            <v>.</v>
          </cell>
        </row>
        <row r="836">
          <cell r="BA836" t="str">
            <v>.</v>
          </cell>
        </row>
        <row r="837">
          <cell r="BA837" t="str">
            <v>.</v>
          </cell>
        </row>
        <row r="838">
          <cell r="BA838" t="str">
            <v>.</v>
          </cell>
        </row>
        <row r="839">
          <cell r="BA839" t="str">
            <v>.</v>
          </cell>
        </row>
        <row r="840">
          <cell r="BA840" t="str">
            <v>.</v>
          </cell>
        </row>
        <row r="841">
          <cell r="BA841" t="str">
            <v>.</v>
          </cell>
        </row>
        <row r="842">
          <cell r="BA842" t="str">
            <v>.</v>
          </cell>
        </row>
        <row r="843">
          <cell r="BA843" t="str">
            <v>.</v>
          </cell>
        </row>
        <row r="844">
          <cell r="BA844" t="str">
            <v>.</v>
          </cell>
        </row>
        <row r="845">
          <cell r="BA845" t="str">
            <v>.</v>
          </cell>
        </row>
        <row r="846">
          <cell r="BA846" t="str">
            <v>.</v>
          </cell>
        </row>
        <row r="847">
          <cell r="BA847" t="str">
            <v>.</v>
          </cell>
        </row>
        <row r="848">
          <cell r="BA848" t="str">
            <v>.</v>
          </cell>
        </row>
        <row r="849">
          <cell r="BA849" t="str">
            <v>.</v>
          </cell>
        </row>
        <row r="850">
          <cell r="BA850" t="str">
            <v>.</v>
          </cell>
        </row>
        <row r="851">
          <cell r="BA851" t="str">
            <v>.</v>
          </cell>
        </row>
        <row r="852">
          <cell r="BA852" t="str">
            <v>.</v>
          </cell>
        </row>
        <row r="853">
          <cell r="BA853" t="str">
            <v>.</v>
          </cell>
        </row>
        <row r="854">
          <cell r="BA854" t="str">
            <v>.</v>
          </cell>
        </row>
        <row r="855">
          <cell r="BA855" t="str">
            <v>.</v>
          </cell>
        </row>
        <row r="856">
          <cell r="BA856" t="str">
            <v>.</v>
          </cell>
        </row>
        <row r="857">
          <cell r="BA857" t="str">
            <v>.</v>
          </cell>
        </row>
        <row r="858">
          <cell r="BA858" t="str">
            <v>.</v>
          </cell>
        </row>
        <row r="859">
          <cell r="BA859" t="str">
            <v>.</v>
          </cell>
        </row>
        <row r="860">
          <cell r="BA860" t="str">
            <v>.</v>
          </cell>
        </row>
        <row r="861">
          <cell r="BA861" t="str">
            <v>.</v>
          </cell>
        </row>
        <row r="862">
          <cell r="BA862" t="str">
            <v>.</v>
          </cell>
        </row>
        <row r="863">
          <cell r="BA863" t="str">
            <v>.</v>
          </cell>
        </row>
        <row r="864">
          <cell r="BA864" t="str">
            <v>.</v>
          </cell>
        </row>
        <row r="865">
          <cell r="BA865" t="str">
            <v>.</v>
          </cell>
        </row>
        <row r="866">
          <cell r="BA866" t="str">
            <v>.</v>
          </cell>
        </row>
        <row r="867">
          <cell r="BA867" t="str">
            <v>.</v>
          </cell>
        </row>
        <row r="868">
          <cell r="BA868" t="str">
            <v>.</v>
          </cell>
        </row>
        <row r="869">
          <cell r="BA869" t="str">
            <v>.</v>
          </cell>
        </row>
        <row r="870">
          <cell r="BA870" t="str">
            <v>.</v>
          </cell>
        </row>
        <row r="871">
          <cell r="BA871" t="str">
            <v>.</v>
          </cell>
        </row>
        <row r="872">
          <cell r="BA872" t="str">
            <v>.</v>
          </cell>
        </row>
        <row r="873">
          <cell r="BA873" t="str">
            <v>.</v>
          </cell>
        </row>
        <row r="874">
          <cell r="BA874" t="str">
            <v>.</v>
          </cell>
        </row>
        <row r="875">
          <cell r="BA875" t="str">
            <v>.</v>
          </cell>
        </row>
        <row r="876">
          <cell r="BA876" t="str">
            <v>.</v>
          </cell>
        </row>
        <row r="877">
          <cell r="BA877" t="str">
            <v>.</v>
          </cell>
        </row>
        <row r="878">
          <cell r="BA878" t="str">
            <v>.</v>
          </cell>
        </row>
        <row r="879">
          <cell r="BA879" t="str">
            <v>.</v>
          </cell>
        </row>
        <row r="880">
          <cell r="BA880" t="str">
            <v>.</v>
          </cell>
        </row>
        <row r="881">
          <cell r="BA881" t="str">
            <v>.</v>
          </cell>
        </row>
        <row r="882">
          <cell r="BA882" t="str">
            <v>.</v>
          </cell>
        </row>
        <row r="883">
          <cell r="BA883" t="str">
            <v>.</v>
          </cell>
        </row>
        <row r="884">
          <cell r="BA884" t="str">
            <v>.</v>
          </cell>
        </row>
        <row r="885">
          <cell r="BA885" t="str">
            <v>.</v>
          </cell>
        </row>
        <row r="886">
          <cell r="BA886" t="str">
            <v>.</v>
          </cell>
        </row>
        <row r="887">
          <cell r="BA887" t="str">
            <v>.</v>
          </cell>
        </row>
        <row r="888">
          <cell r="BA888" t="str">
            <v>.</v>
          </cell>
        </row>
        <row r="889">
          <cell r="BA889" t="str">
            <v>.</v>
          </cell>
        </row>
        <row r="890">
          <cell r="BA890" t="str">
            <v>.</v>
          </cell>
        </row>
        <row r="891">
          <cell r="BA891" t="str">
            <v>.</v>
          </cell>
        </row>
        <row r="892">
          <cell r="BA892" t="str">
            <v>.</v>
          </cell>
        </row>
        <row r="893">
          <cell r="BA893" t="str">
            <v>.</v>
          </cell>
        </row>
        <row r="894">
          <cell r="BA894" t="str">
            <v>.</v>
          </cell>
        </row>
        <row r="895">
          <cell r="BA895" t="str">
            <v>.</v>
          </cell>
        </row>
        <row r="896">
          <cell r="BA896" t="str">
            <v>.</v>
          </cell>
        </row>
        <row r="897">
          <cell r="BA897" t="str">
            <v>.</v>
          </cell>
        </row>
        <row r="898">
          <cell r="BA898" t="str">
            <v>.</v>
          </cell>
        </row>
        <row r="899">
          <cell r="BA899" t="str">
            <v>.</v>
          </cell>
        </row>
        <row r="900">
          <cell r="BA900" t="str">
            <v>.</v>
          </cell>
        </row>
        <row r="901">
          <cell r="BA901" t="str">
            <v>.</v>
          </cell>
        </row>
        <row r="902">
          <cell r="BA902" t="str">
            <v>.</v>
          </cell>
        </row>
        <row r="903">
          <cell r="BA903" t="str">
            <v>.</v>
          </cell>
        </row>
        <row r="904">
          <cell r="BA904" t="str">
            <v>.</v>
          </cell>
        </row>
        <row r="905">
          <cell r="BA905" t="str">
            <v>.</v>
          </cell>
        </row>
        <row r="906">
          <cell r="BA906" t="str">
            <v>.</v>
          </cell>
        </row>
        <row r="907">
          <cell r="BA907" t="str">
            <v>.</v>
          </cell>
        </row>
        <row r="908">
          <cell r="BA908" t="str">
            <v>.</v>
          </cell>
        </row>
        <row r="909">
          <cell r="BA909" t="str">
            <v>.</v>
          </cell>
        </row>
        <row r="910">
          <cell r="BA910" t="str">
            <v>.</v>
          </cell>
        </row>
        <row r="911">
          <cell r="BA911" t="str">
            <v>.</v>
          </cell>
        </row>
        <row r="912">
          <cell r="BA912" t="str">
            <v>.</v>
          </cell>
        </row>
        <row r="913">
          <cell r="BA913" t="str">
            <v>.</v>
          </cell>
        </row>
        <row r="914">
          <cell r="BA914" t="str">
            <v>.</v>
          </cell>
        </row>
        <row r="915">
          <cell r="BA915" t="str">
            <v>.</v>
          </cell>
        </row>
        <row r="916">
          <cell r="BA916" t="str">
            <v>.</v>
          </cell>
        </row>
        <row r="917">
          <cell r="BA917" t="str">
            <v>.</v>
          </cell>
        </row>
        <row r="918">
          <cell r="BA918" t="str">
            <v>.</v>
          </cell>
        </row>
        <row r="919">
          <cell r="BA919" t="str">
            <v>.</v>
          </cell>
        </row>
        <row r="920">
          <cell r="BA920" t="str">
            <v>.</v>
          </cell>
        </row>
        <row r="921">
          <cell r="BA921" t="str">
            <v>.</v>
          </cell>
        </row>
        <row r="922">
          <cell r="BA922" t="str">
            <v>.</v>
          </cell>
        </row>
        <row r="923">
          <cell r="BA923" t="str">
            <v>.</v>
          </cell>
        </row>
        <row r="924">
          <cell r="BA924" t="str">
            <v>.</v>
          </cell>
        </row>
        <row r="925">
          <cell r="BA925" t="str">
            <v>.</v>
          </cell>
        </row>
        <row r="926">
          <cell r="BA926" t="str">
            <v>.</v>
          </cell>
        </row>
        <row r="927">
          <cell r="BA927" t="str">
            <v>.</v>
          </cell>
        </row>
        <row r="928">
          <cell r="BA928" t="str">
            <v>.</v>
          </cell>
        </row>
        <row r="929">
          <cell r="BA929" t="str">
            <v>.</v>
          </cell>
        </row>
        <row r="930">
          <cell r="BA930" t="str">
            <v>.</v>
          </cell>
        </row>
        <row r="931">
          <cell r="BA931" t="str">
            <v>.</v>
          </cell>
        </row>
        <row r="932">
          <cell r="BA932" t="str">
            <v>.</v>
          </cell>
        </row>
        <row r="933">
          <cell r="BA933" t="str">
            <v>.</v>
          </cell>
        </row>
        <row r="934">
          <cell r="BA934" t="str">
            <v>.</v>
          </cell>
        </row>
        <row r="935">
          <cell r="BA935" t="str">
            <v>.</v>
          </cell>
        </row>
        <row r="936">
          <cell r="BA936" t="str">
            <v>.</v>
          </cell>
        </row>
        <row r="937">
          <cell r="BA937" t="str">
            <v>.</v>
          </cell>
        </row>
        <row r="938">
          <cell r="BA938" t="str">
            <v>.</v>
          </cell>
        </row>
        <row r="939">
          <cell r="BA939" t="str">
            <v>.</v>
          </cell>
        </row>
        <row r="940">
          <cell r="BA940" t="str">
            <v>.</v>
          </cell>
        </row>
        <row r="941">
          <cell r="BA941" t="str">
            <v>.</v>
          </cell>
        </row>
        <row r="942">
          <cell r="BA942" t="str">
            <v>.</v>
          </cell>
        </row>
        <row r="943">
          <cell r="BA943" t="str">
            <v>.</v>
          </cell>
        </row>
        <row r="944">
          <cell r="BA944" t="str">
            <v>.</v>
          </cell>
        </row>
        <row r="945">
          <cell r="BA945" t="str">
            <v>.</v>
          </cell>
        </row>
        <row r="946">
          <cell r="BA946" t="str">
            <v>.</v>
          </cell>
        </row>
        <row r="947">
          <cell r="BA947" t="str">
            <v>.</v>
          </cell>
        </row>
        <row r="948">
          <cell r="BA948" t="str">
            <v>.</v>
          </cell>
        </row>
        <row r="949">
          <cell r="BA949" t="str">
            <v>.</v>
          </cell>
        </row>
        <row r="950">
          <cell r="BA950" t="str">
            <v>.</v>
          </cell>
        </row>
        <row r="951">
          <cell r="BA951" t="str">
            <v>.</v>
          </cell>
        </row>
        <row r="952">
          <cell r="BA952" t="str">
            <v>.</v>
          </cell>
        </row>
        <row r="953">
          <cell r="BA953" t="str">
            <v>.</v>
          </cell>
        </row>
        <row r="954">
          <cell r="BA954" t="str">
            <v>.</v>
          </cell>
        </row>
        <row r="955">
          <cell r="BA955" t="str">
            <v>.</v>
          </cell>
        </row>
        <row r="956">
          <cell r="BA956" t="str">
            <v>.</v>
          </cell>
        </row>
        <row r="957">
          <cell r="BA957" t="str">
            <v>.</v>
          </cell>
        </row>
        <row r="958">
          <cell r="BA958" t="str">
            <v>.</v>
          </cell>
        </row>
        <row r="959">
          <cell r="BA959" t="str">
            <v>.</v>
          </cell>
        </row>
        <row r="960">
          <cell r="BA960" t="str">
            <v>.</v>
          </cell>
        </row>
        <row r="961">
          <cell r="BA961" t="str">
            <v>.</v>
          </cell>
        </row>
        <row r="962">
          <cell r="BA962" t="str">
            <v>.</v>
          </cell>
        </row>
        <row r="963">
          <cell r="BA963" t="str">
            <v>.</v>
          </cell>
        </row>
        <row r="964">
          <cell r="BA964" t="str">
            <v>.</v>
          </cell>
        </row>
        <row r="965">
          <cell r="BA965" t="str">
            <v>.</v>
          </cell>
        </row>
        <row r="966">
          <cell r="BA966" t="str">
            <v>.</v>
          </cell>
        </row>
        <row r="967">
          <cell r="BA967" t="str">
            <v>.</v>
          </cell>
        </row>
        <row r="968">
          <cell r="BA968" t="str">
            <v>.</v>
          </cell>
        </row>
        <row r="969">
          <cell r="BA969" t="str">
            <v>.</v>
          </cell>
        </row>
        <row r="970">
          <cell r="BA970" t="str">
            <v>.</v>
          </cell>
        </row>
        <row r="971">
          <cell r="BA971" t="str">
            <v>.</v>
          </cell>
        </row>
        <row r="972">
          <cell r="BA972" t="str">
            <v>.</v>
          </cell>
        </row>
        <row r="973">
          <cell r="BA973" t="str">
            <v>.</v>
          </cell>
        </row>
        <row r="974">
          <cell r="BA974" t="str">
            <v>.</v>
          </cell>
        </row>
        <row r="975">
          <cell r="BA975" t="str">
            <v>.</v>
          </cell>
        </row>
        <row r="976">
          <cell r="BA976" t="str">
            <v>.</v>
          </cell>
        </row>
        <row r="977">
          <cell r="BA977" t="str">
            <v>.</v>
          </cell>
        </row>
        <row r="978">
          <cell r="BA978" t="str">
            <v>.</v>
          </cell>
        </row>
        <row r="979">
          <cell r="BA979" t="str">
            <v>.</v>
          </cell>
        </row>
        <row r="980">
          <cell r="BA980" t="str">
            <v>.</v>
          </cell>
        </row>
        <row r="981">
          <cell r="BA981" t="str">
            <v>.</v>
          </cell>
        </row>
        <row r="982">
          <cell r="BA982" t="str">
            <v>.</v>
          </cell>
        </row>
        <row r="983">
          <cell r="BA983" t="str">
            <v>.</v>
          </cell>
        </row>
        <row r="984">
          <cell r="BA984" t="str">
            <v>.</v>
          </cell>
        </row>
        <row r="985">
          <cell r="BA985" t="str">
            <v>.</v>
          </cell>
        </row>
        <row r="986">
          <cell r="BA986" t="str">
            <v>.</v>
          </cell>
        </row>
        <row r="987">
          <cell r="BA987" t="str">
            <v>.</v>
          </cell>
        </row>
        <row r="988">
          <cell r="BA988" t="str">
            <v>.</v>
          </cell>
        </row>
        <row r="989">
          <cell r="BA989" t="str">
            <v>.</v>
          </cell>
        </row>
        <row r="990">
          <cell r="BA990" t="str">
            <v>.</v>
          </cell>
        </row>
        <row r="991">
          <cell r="BA991" t="str">
            <v>.</v>
          </cell>
        </row>
        <row r="992">
          <cell r="BA992" t="str">
            <v>.</v>
          </cell>
        </row>
        <row r="993">
          <cell r="BA993" t="str">
            <v>.</v>
          </cell>
        </row>
        <row r="994">
          <cell r="BA994" t="str">
            <v>.</v>
          </cell>
        </row>
        <row r="995">
          <cell r="BA995" t="str">
            <v>.</v>
          </cell>
        </row>
        <row r="996">
          <cell r="BA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H997" t="str">
            <v>.</v>
          </cell>
          <cell r="S997" t="str">
            <v>.</v>
          </cell>
          <cell r="T997" t="str">
            <v>.</v>
          </cell>
          <cell r="U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</row>
      </sheetData>
      <sheetData sheetId="2">
        <row r="1">
          <cell r="Y1" t="str">
            <v>SmartCharts</v>
          </cell>
          <cell r="BH1" t="str">
            <v>.</v>
          </cell>
        </row>
        <row r="2">
          <cell r="BH2" t="str">
            <v>.</v>
          </cell>
        </row>
        <row r="3">
          <cell r="BH3" t="str">
            <v>.</v>
          </cell>
        </row>
        <row r="6">
          <cell r="C6" t="str">
            <v>Input starting data point here:</v>
          </cell>
        </row>
        <row r="7">
          <cell r="C7" t="str">
            <v>2010E</v>
          </cell>
          <cell r="D7">
            <v>67.2</v>
          </cell>
        </row>
        <row r="8">
          <cell r="M8" t="str">
            <v>inv series</v>
          </cell>
          <cell r="P8" t="str">
            <v>clean labels</v>
          </cell>
        </row>
        <row r="9">
          <cell r="M9" t="str">
            <v>for labels</v>
          </cell>
        </row>
        <row r="10">
          <cell r="C10" t="str">
            <v>Input increments here:</v>
          </cell>
          <cell r="G10">
            <v>3</v>
          </cell>
          <cell r="H10" t="str">
            <v>Invisible</v>
          </cell>
          <cell r="I10" t="str">
            <v>Final</v>
          </cell>
          <cell r="J10" t="str">
            <v>Minus</v>
          </cell>
          <cell r="K10" t="str">
            <v>Plus</v>
          </cell>
          <cell r="L10" t="str">
            <v>Initial</v>
          </cell>
          <cell r="M10" t="str">
            <v>inside1</v>
          </cell>
          <cell r="N10" t="str">
            <v>inside2</v>
          </cell>
          <cell r="O10" t="str">
            <v>outside</v>
          </cell>
          <cell r="P10" t="str">
            <v>labfinal</v>
          </cell>
          <cell r="Q10" t="str">
            <v>labminus</v>
          </cell>
          <cell r="R10" t="str">
            <v>labplus</v>
          </cell>
          <cell r="S10" t="str">
            <v>labinitial</v>
          </cell>
          <cell r="T10" t="str">
            <v>labinside1</v>
          </cell>
          <cell r="U10" t="str">
            <v>labinside2</v>
          </cell>
        </row>
        <row r="11">
          <cell r="H11">
            <v>0</v>
          </cell>
        </row>
        <row r="12">
          <cell r="L12">
            <v>67.2</v>
          </cell>
          <cell r="M12">
            <v>0</v>
          </cell>
          <cell r="N12">
            <v>0</v>
          </cell>
          <cell r="O12">
            <v>0</v>
          </cell>
          <cell r="P12" t="str">
            <v/>
          </cell>
          <cell r="Q12" t="str">
            <v/>
          </cell>
          <cell r="R12" t="str">
            <v/>
          </cell>
          <cell r="S12">
            <v>67.2</v>
          </cell>
          <cell r="T12" t="str">
            <v>2010E</v>
          </cell>
        </row>
        <row r="13">
          <cell r="C13" t="str">
            <v>In-Line Products</v>
          </cell>
          <cell r="D13">
            <v>5.8</v>
          </cell>
          <cell r="G13">
            <v>1</v>
          </cell>
          <cell r="H13">
            <v>67.2</v>
          </cell>
          <cell r="I13" t="str">
            <v/>
          </cell>
          <cell r="J13">
            <v>0</v>
          </cell>
          <cell r="K13">
            <v>5.8</v>
          </cell>
          <cell r="M13">
            <v>0</v>
          </cell>
          <cell r="N13">
            <v>0</v>
          </cell>
          <cell r="O13">
            <v>0</v>
          </cell>
          <cell r="P13" t="str">
            <v/>
          </cell>
          <cell r="Q13" t="str">
            <v/>
          </cell>
          <cell r="R13">
            <v>5.8</v>
          </cell>
          <cell r="S13" t="str">
            <v/>
          </cell>
          <cell r="T13" t="str">
            <v/>
          </cell>
          <cell r="U13" t="str">
            <v>In-Line Products</v>
          </cell>
        </row>
        <row r="14">
          <cell r="C14" t="str">
            <v>Pipeline</v>
          </cell>
          <cell r="D14">
            <v>6.2</v>
          </cell>
          <cell r="G14">
            <v>2</v>
          </cell>
          <cell r="H14">
            <v>73</v>
          </cell>
          <cell r="I14" t="str">
            <v/>
          </cell>
          <cell r="J14">
            <v>0</v>
          </cell>
          <cell r="K14">
            <v>6.2</v>
          </cell>
          <cell r="M14">
            <v>0</v>
          </cell>
          <cell r="N14">
            <v>0</v>
          </cell>
          <cell r="O14">
            <v>0</v>
          </cell>
          <cell r="P14" t="str">
            <v/>
          </cell>
          <cell r="Q14" t="str">
            <v/>
          </cell>
          <cell r="R14">
            <v>6.2</v>
          </cell>
          <cell r="S14" t="str">
            <v/>
          </cell>
          <cell r="T14" t="str">
            <v/>
          </cell>
          <cell r="U14" t="str">
            <v>Pipeline</v>
          </cell>
        </row>
        <row r="15">
          <cell r="C15" t="str">
            <v>Expirations</v>
          </cell>
          <cell r="D15">
            <v>-19.2</v>
          </cell>
          <cell r="G15">
            <v>3</v>
          </cell>
          <cell r="H15">
            <v>60</v>
          </cell>
          <cell r="I15" t="str">
            <v/>
          </cell>
          <cell r="J15">
            <v>19.2</v>
          </cell>
          <cell r="K15">
            <v>0</v>
          </cell>
          <cell r="M15">
            <v>0</v>
          </cell>
          <cell r="N15">
            <v>0</v>
          </cell>
          <cell r="O15">
            <v>0</v>
          </cell>
          <cell r="P15" t="str">
            <v/>
          </cell>
          <cell r="Q15">
            <v>-19.2</v>
          </cell>
          <cell r="R15" t="str">
            <v/>
          </cell>
          <cell r="S15" t="str">
            <v/>
          </cell>
          <cell r="T15" t="str">
            <v/>
          </cell>
          <cell r="U15" t="str">
            <v>Expirations</v>
          </cell>
        </row>
        <row r="16">
          <cell r="G16">
            <v>4</v>
          </cell>
          <cell r="H16" t="str">
            <v/>
          </cell>
          <cell r="I16">
            <v>60</v>
          </cell>
          <cell r="J16">
            <v>0</v>
          </cell>
          <cell r="K16">
            <v>0</v>
          </cell>
          <cell r="M16">
            <v>0</v>
          </cell>
          <cell r="N16">
            <v>0</v>
          </cell>
          <cell r="O16">
            <v>0</v>
          </cell>
          <cell r="P16">
            <v>60</v>
          </cell>
          <cell r="Q16" t="str">
            <v/>
          </cell>
          <cell r="R16" t="str">
            <v/>
          </cell>
          <cell r="S16" t="str">
            <v/>
          </cell>
          <cell r="T16" t="str">
            <v>2015E</v>
          </cell>
          <cell r="U16" t="str">
            <v/>
          </cell>
        </row>
        <row r="17">
          <cell r="G17">
            <v>5</v>
          </cell>
          <cell r="H17" t="str">
            <v/>
          </cell>
          <cell r="I17" t="str">
            <v/>
          </cell>
          <cell r="J17">
            <v>0</v>
          </cell>
          <cell r="K17">
            <v>0</v>
          </cell>
          <cell r="M17">
            <v>0</v>
          </cell>
          <cell r="N17">
            <v>0</v>
          </cell>
          <cell r="O17">
            <v>0</v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</row>
        <row r="18">
          <cell r="G18">
            <v>6</v>
          </cell>
          <cell r="H18" t="str">
            <v/>
          </cell>
          <cell r="I18" t="str">
            <v/>
          </cell>
          <cell r="J18">
            <v>0</v>
          </cell>
          <cell r="K18">
            <v>0</v>
          </cell>
          <cell r="M18">
            <v>0</v>
          </cell>
          <cell r="N18">
            <v>0</v>
          </cell>
          <cell r="O18">
            <v>0</v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</row>
        <row r="19">
          <cell r="G19">
            <v>7</v>
          </cell>
          <cell r="H19" t="str">
            <v/>
          </cell>
          <cell r="I19" t="str">
            <v/>
          </cell>
          <cell r="J19">
            <v>0</v>
          </cell>
          <cell r="K19">
            <v>0</v>
          </cell>
          <cell r="M19">
            <v>0</v>
          </cell>
          <cell r="N19">
            <v>0</v>
          </cell>
          <cell r="O19">
            <v>0</v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</row>
        <row r="20">
          <cell r="G20">
            <v>8</v>
          </cell>
          <cell r="H20" t="str">
            <v/>
          </cell>
          <cell r="I20" t="str">
            <v/>
          </cell>
          <cell r="J20">
            <v>0</v>
          </cell>
          <cell r="K20">
            <v>0</v>
          </cell>
          <cell r="M20">
            <v>0</v>
          </cell>
          <cell r="N20">
            <v>0</v>
          </cell>
          <cell r="O20">
            <v>0</v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</row>
        <row r="21">
          <cell r="G21">
            <v>9</v>
          </cell>
          <cell r="H21" t="str">
            <v/>
          </cell>
          <cell r="I21" t="str">
            <v/>
          </cell>
          <cell r="J21">
            <v>0</v>
          </cell>
          <cell r="K21">
            <v>0</v>
          </cell>
          <cell r="M21">
            <v>0</v>
          </cell>
          <cell r="N21">
            <v>0</v>
          </cell>
          <cell r="O21">
            <v>0</v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</row>
        <row r="22">
          <cell r="G22">
            <v>10</v>
          </cell>
          <cell r="H22" t="str">
            <v/>
          </cell>
          <cell r="I22" t="str">
            <v/>
          </cell>
          <cell r="J22">
            <v>0</v>
          </cell>
          <cell r="K22">
            <v>0</v>
          </cell>
          <cell r="M22">
            <v>0</v>
          </cell>
          <cell r="N22">
            <v>0</v>
          </cell>
          <cell r="O22">
            <v>0</v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</row>
        <row r="23">
          <cell r="G23">
            <v>11</v>
          </cell>
          <cell r="H23" t="str">
            <v/>
          </cell>
          <cell r="I23" t="str">
            <v/>
          </cell>
          <cell r="M23">
            <v>0</v>
          </cell>
          <cell r="N23">
            <v>0</v>
          </cell>
          <cell r="O23">
            <v>0</v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G24">
            <v>12</v>
          </cell>
          <cell r="H24">
            <v>0</v>
          </cell>
          <cell r="I24" t="str">
            <v/>
          </cell>
          <cell r="M24">
            <v>0</v>
          </cell>
          <cell r="N24">
            <v>0</v>
          </cell>
          <cell r="O24">
            <v>0</v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H25" t="str">
            <v>net chg</v>
          </cell>
          <cell r="I25">
            <v>-7.2</v>
          </cell>
        </row>
        <row r="27">
          <cell r="C27" t="str">
            <v>Input label for end point here:</v>
          </cell>
        </row>
        <row r="28">
          <cell r="C28" t="str">
            <v>2015E</v>
          </cell>
        </row>
        <row r="30">
          <cell r="C30" t="str">
            <v xml:space="preserve">End data value 
</v>
          </cell>
          <cell r="D30" t="str">
            <v/>
          </cell>
        </row>
        <row r="31">
          <cell r="C31" t="str">
            <v>is calculated</v>
          </cell>
        </row>
        <row r="32">
          <cell r="C32" t="str">
            <v>automatically</v>
          </cell>
        </row>
        <row r="1002">
          <cell r="A1002" t="str">
            <v>.</v>
          </cell>
          <cell r="B1002" t="str">
            <v>.</v>
          </cell>
          <cell r="C1002" t="str">
            <v>.</v>
          </cell>
        </row>
      </sheetData>
      <sheetData sheetId="3">
        <row r="1">
          <cell r="S1" t="str">
            <v>SmartCharts</v>
          </cell>
          <cell r="BB1" t="str">
            <v>.</v>
          </cell>
        </row>
        <row r="2">
          <cell r="BB2" t="str">
            <v>.</v>
          </cell>
        </row>
        <row r="3">
          <cell r="BB3" t="str">
            <v>.</v>
          </cell>
        </row>
        <row r="4">
          <cell r="BB4" t="str">
            <v>.</v>
          </cell>
        </row>
        <row r="5">
          <cell r="C5" t="str">
            <v>Define value axis here:</v>
          </cell>
        </row>
        <row r="6">
          <cell r="C6" t="str">
            <v>PFE/WYE Revenue Contribution per Segment</v>
          </cell>
        </row>
        <row r="10">
          <cell r="C10" t="str">
            <v>Input your data here:</v>
          </cell>
          <cell r="BB10" t="str">
            <v>.</v>
          </cell>
        </row>
        <row r="11">
          <cell r="D11" t="str">
            <v>Other</v>
          </cell>
          <cell r="E11" t="str">
            <v>Nutritionals</v>
          </cell>
          <cell r="F11" t="str">
            <v>Animal</v>
          </cell>
          <cell r="G11" t="str">
            <v>CHC</v>
          </cell>
          <cell r="H11" t="str">
            <v>Biologic</v>
          </cell>
          <cell r="I11" t="str">
            <v>Traditional</v>
          </cell>
          <cell r="BB11" t="str">
            <v>.</v>
          </cell>
        </row>
        <row r="12">
          <cell r="C12">
            <v>2010</v>
          </cell>
          <cell r="D12">
            <v>7.3922836848778701E-3</v>
          </cell>
          <cell r="E12">
            <v>3.9694505637046879E-2</v>
          </cell>
          <cell r="F12">
            <v>4.9542591862029917E-2</v>
          </cell>
          <cell r="G12">
            <v>4.5134290951814274E-2</v>
          </cell>
          <cell r="H12">
            <v>0.15079210822131184</v>
          </cell>
          <cell r="I12">
            <v>0.70744421964291904</v>
          </cell>
          <cell r="BB12" t="str">
            <v>.</v>
          </cell>
        </row>
        <row r="13">
          <cell r="C13">
            <v>2011</v>
          </cell>
          <cell r="D13">
            <v>7.8621358780429015E-3</v>
          </cell>
          <cell r="E13">
            <v>4.3501848606407156E-2</v>
          </cell>
          <cell r="F13">
            <v>5.2892461739374758E-2</v>
          </cell>
          <cell r="G13">
            <v>4.7788394858716006E-2</v>
          </cell>
          <cell r="H13">
            <v>0.16335309234331286</v>
          </cell>
          <cell r="I13">
            <v>0.68460206657414613</v>
          </cell>
          <cell r="BB13" t="str">
            <v>.</v>
          </cell>
        </row>
        <row r="14">
          <cell r="C14">
            <v>2012</v>
          </cell>
          <cell r="D14">
            <v>9.0894156599119914E-3</v>
          </cell>
          <cell r="E14">
            <v>5.1809888445371488E-2</v>
          </cell>
          <cell r="F14">
            <v>6.1361732478238944E-2</v>
          </cell>
          <cell r="G14">
            <v>5.4948172167998723E-2</v>
          </cell>
          <cell r="H14">
            <v>0.2064642573378605</v>
          </cell>
          <cell r="I14">
            <v>0.61632653391061831</v>
          </cell>
          <cell r="BB14" t="str">
            <v>.</v>
          </cell>
        </row>
        <row r="15">
          <cell r="C15">
            <v>2013</v>
          </cell>
          <cell r="D15">
            <v>9.3639207719231066E-3</v>
          </cell>
          <cell r="E15">
            <v>5.4972084194039497E-2</v>
          </cell>
          <cell r="F15">
            <v>6.3414379086380118E-2</v>
          </cell>
          <cell r="G15">
            <v>5.6314339157607203E-2</v>
          </cell>
          <cell r="H15">
            <v>0.22546494243949647</v>
          </cell>
          <cell r="I15">
            <v>0.59047033435055385</v>
          </cell>
          <cell r="BB15" t="str">
            <v>.</v>
          </cell>
        </row>
        <row r="16">
          <cell r="C16">
            <v>2014</v>
          </cell>
          <cell r="D16">
            <v>9.6393304601885728E-3</v>
          </cell>
          <cell r="E16">
            <v>5.826952701183119E-2</v>
          </cell>
          <cell r="F16">
            <v>6.5465107357308594E-2</v>
          </cell>
          <cell r="G16">
            <v>5.766814515501012E-2</v>
          </cell>
          <cell r="H16">
            <v>0.23925277361350805</v>
          </cell>
          <cell r="I16">
            <v>0.56970511640215349</v>
          </cell>
          <cell r="BB16" t="str">
            <v>.</v>
          </cell>
        </row>
        <row r="17">
          <cell r="C17">
            <v>2015</v>
          </cell>
          <cell r="D17">
            <v>9.9799761432740278E-3</v>
          </cell>
          <cell r="E17">
            <v>6.2107028447675697E-2</v>
          </cell>
          <cell r="F17">
            <v>6.7950841022483971E-2</v>
          </cell>
          <cell r="G17">
            <v>5.9392717383289405E-2</v>
          </cell>
          <cell r="H17">
            <v>0.25421323458932704</v>
          </cell>
          <cell r="I17">
            <v>0.54635620241394955</v>
          </cell>
          <cell r="BB17" t="str">
            <v>.</v>
          </cell>
        </row>
        <row r="18">
          <cell r="BB18" t="str">
            <v>.</v>
          </cell>
        </row>
        <row r="20">
          <cell r="BB20" t="str">
            <v>.</v>
          </cell>
        </row>
        <row r="21">
          <cell r="BB21" t="str">
            <v>.</v>
          </cell>
        </row>
        <row r="22">
          <cell r="BB22" t="str">
            <v>.</v>
          </cell>
        </row>
        <row r="23">
          <cell r="BB23" t="str">
            <v>.</v>
          </cell>
        </row>
        <row r="24">
          <cell r="BB24" t="str">
            <v>.</v>
          </cell>
        </row>
        <row r="25">
          <cell r="BB25" t="str">
            <v>.</v>
          </cell>
        </row>
        <row r="26">
          <cell r="BB26" t="str">
            <v>.</v>
          </cell>
        </row>
        <row r="27">
          <cell r="BB27" t="str">
            <v>.</v>
          </cell>
        </row>
        <row r="28">
          <cell r="BB28" t="str">
            <v>.</v>
          </cell>
        </row>
        <row r="29">
          <cell r="BB29" t="str">
            <v>.</v>
          </cell>
        </row>
        <row r="30">
          <cell r="BB30" t="str">
            <v>.</v>
          </cell>
        </row>
        <row r="31">
          <cell r="BB31" t="str">
            <v>.</v>
          </cell>
        </row>
        <row r="32">
          <cell r="BB32" t="str">
            <v>.</v>
          </cell>
        </row>
        <row r="33">
          <cell r="BB33" t="str">
            <v>.</v>
          </cell>
        </row>
        <row r="34">
          <cell r="BB34" t="str">
            <v>.</v>
          </cell>
        </row>
        <row r="35">
          <cell r="BB35" t="str">
            <v>.</v>
          </cell>
        </row>
        <row r="36">
          <cell r="BB36" t="str">
            <v>.</v>
          </cell>
        </row>
        <row r="37">
          <cell r="K37" t="str">
            <v>Do not change the width of the exhibit or font sizes (they are optimized for export to Word).</v>
          </cell>
          <cell r="BB37" t="str">
            <v>.</v>
          </cell>
        </row>
        <row r="38">
          <cell r="BB38" t="str">
            <v>.</v>
          </cell>
        </row>
        <row r="39">
          <cell r="K39" t="str">
            <v>Do not delete any rows or columns (some gray cells are used for calculations).</v>
          </cell>
          <cell r="BB39" t="str">
            <v>.</v>
          </cell>
        </row>
        <row r="40">
          <cell r="BB40" t="str">
            <v>.</v>
          </cell>
        </row>
        <row r="41">
          <cell r="BB41" t="str">
            <v>.</v>
          </cell>
        </row>
        <row r="42">
          <cell r="BB42" t="str">
            <v>.</v>
          </cell>
        </row>
        <row r="43">
          <cell r="BB43" t="str">
            <v>.</v>
          </cell>
        </row>
        <row r="44">
          <cell r="BB44" t="str">
            <v>.</v>
          </cell>
        </row>
        <row r="45">
          <cell r="BB45" t="str">
            <v>.</v>
          </cell>
        </row>
        <row r="46">
          <cell r="BB46" t="str">
            <v>.</v>
          </cell>
        </row>
        <row r="47">
          <cell r="BB47" t="str">
            <v>.</v>
          </cell>
        </row>
        <row r="48">
          <cell r="BB48" t="str">
            <v>.</v>
          </cell>
        </row>
        <row r="49">
          <cell r="BB49" t="str">
            <v>.</v>
          </cell>
        </row>
        <row r="50">
          <cell r="BB50" t="str">
            <v>.</v>
          </cell>
        </row>
        <row r="51">
          <cell r="BB51" t="str">
            <v>.</v>
          </cell>
        </row>
        <row r="52">
          <cell r="BB52" t="str">
            <v>.</v>
          </cell>
        </row>
        <row r="53">
          <cell r="BB53" t="str">
            <v>.</v>
          </cell>
        </row>
        <row r="54">
          <cell r="BB54" t="str">
            <v>.</v>
          </cell>
        </row>
        <row r="55">
          <cell r="BB55" t="str">
            <v>.</v>
          </cell>
        </row>
        <row r="56">
          <cell r="BB56" t="str">
            <v>.</v>
          </cell>
        </row>
        <row r="57">
          <cell r="BB57" t="str">
            <v>.</v>
          </cell>
        </row>
        <row r="58">
          <cell r="BB58" t="str">
            <v>.</v>
          </cell>
        </row>
        <row r="59">
          <cell r="BB59" t="str">
            <v>.</v>
          </cell>
        </row>
        <row r="60">
          <cell r="BB60" t="str">
            <v>.</v>
          </cell>
        </row>
        <row r="61">
          <cell r="BB61" t="str">
            <v>.</v>
          </cell>
        </row>
        <row r="62">
          <cell r="BB62" t="str">
            <v>.</v>
          </cell>
        </row>
        <row r="63">
          <cell r="BB63" t="str">
            <v>.</v>
          </cell>
        </row>
        <row r="64">
          <cell r="BB64" t="str">
            <v>.</v>
          </cell>
        </row>
        <row r="65">
          <cell r="BB65" t="str">
            <v>.</v>
          </cell>
        </row>
        <row r="66">
          <cell r="BB66" t="str">
            <v>.</v>
          </cell>
        </row>
        <row r="67">
          <cell r="BB67" t="str">
            <v>.</v>
          </cell>
        </row>
        <row r="68">
          <cell r="BB68" t="str">
            <v>.</v>
          </cell>
        </row>
        <row r="69">
          <cell r="BB69" t="str">
            <v>.</v>
          </cell>
        </row>
        <row r="70">
          <cell r="BB70" t="str">
            <v>.</v>
          </cell>
        </row>
        <row r="71">
          <cell r="BB71" t="str">
            <v>.</v>
          </cell>
        </row>
        <row r="72">
          <cell r="BB72" t="str">
            <v>.</v>
          </cell>
        </row>
        <row r="73">
          <cell r="BB73" t="str">
            <v>.</v>
          </cell>
        </row>
        <row r="74">
          <cell r="BB74" t="str">
            <v>.</v>
          </cell>
        </row>
        <row r="75">
          <cell r="BB75" t="str">
            <v>.</v>
          </cell>
        </row>
        <row r="76">
          <cell r="BB76" t="str">
            <v>.</v>
          </cell>
        </row>
        <row r="77">
          <cell r="BB77" t="str">
            <v>.</v>
          </cell>
        </row>
        <row r="78">
          <cell r="BB78" t="str">
            <v>.</v>
          </cell>
        </row>
        <row r="79">
          <cell r="BB79" t="str">
            <v>.</v>
          </cell>
        </row>
        <row r="80">
          <cell r="BB80" t="str">
            <v>.</v>
          </cell>
        </row>
        <row r="81">
          <cell r="BB81" t="str">
            <v>.</v>
          </cell>
        </row>
        <row r="82">
          <cell r="BB82" t="str">
            <v>.</v>
          </cell>
        </row>
        <row r="83">
          <cell r="BB83" t="str">
            <v>.</v>
          </cell>
        </row>
        <row r="84">
          <cell r="BB84" t="str">
            <v>.</v>
          </cell>
        </row>
        <row r="85">
          <cell r="BB85" t="str">
            <v>.</v>
          </cell>
        </row>
        <row r="86">
          <cell r="BB86" t="str">
            <v>.</v>
          </cell>
        </row>
        <row r="87">
          <cell r="BB87" t="str">
            <v>.</v>
          </cell>
        </row>
        <row r="88">
          <cell r="BB88" t="str">
            <v>.</v>
          </cell>
        </row>
        <row r="89">
          <cell r="BB89" t="str">
            <v>.</v>
          </cell>
        </row>
        <row r="90">
          <cell r="BB90" t="str">
            <v>.</v>
          </cell>
        </row>
        <row r="91">
          <cell r="BB91" t="str">
            <v>.</v>
          </cell>
        </row>
        <row r="92">
          <cell r="BB92" t="str">
            <v>.</v>
          </cell>
        </row>
        <row r="93">
          <cell r="BB93" t="str">
            <v>.</v>
          </cell>
        </row>
        <row r="94">
          <cell r="BB94" t="str">
            <v>.</v>
          </cell>
        </row>
        <row r="95">
          <cell r="BB95" t="str">
            <v>.</v>
          </cell>
        </row>
        <row r="96">
          <cell r="BB96" t="str">
            <v>.</v>
          </cell>
        </row>
        <row r="97">
          <cell r="BB97" t="str">
            <v>.</v>
          </cell>
        </row>
        <row r="98">
          <cell r="BB98" t="str">
            <v>.</v>
          </cell>
        </row>
        <row r="99">
          <cell r="BB99" t="str">
            <v>.</v>
          </cell>
        </row>
        <row r="100">
          <cell r="BB100" t="str">
            <v>.</v>
          </cell>
        </row>
        <row r="101">
          <cell r="BB101" t="str">
            <v>.</v>
          </cell>
        </row>
        <row r="102">
          <cell r="BB102" t="str">
            <v>.</v>
          </cell>
        </row>
        <row r="103">
          <cell r="BB103" t="str">
            <v>.</v>
          </cell>
        </row>
        <row r="104">
          <cell r="BB104" t="str">
            <v>.</v>
          </cell>
        </row>
        <row r="105">
          <cell r="BB105" t="str">
            <v>.</v>
          </cell>
        </row>
        <row r="106">
          <cell r="BB106" t="str">
            <v>.</v>
          </cell>
        </row>
        <row r="107">
          <cell r="BB107" t="str">
            <v>.</v>
          </cell>
        </row>
        <row r="108">
          <cell r="BB108" t="str">
            <v>.</v>
          </cell>
        </row>
        <row r="109">
          <cell r="BB109" t="str">
            <v>.</v>
          </cell>
        </row>
        <row r="110">
          <cell r="BB110" t="str">
            <v>.</v>
          </cell>
        </row>
        <row r="111">
          <cell r="BB111" t="str">
            <v>.</v>
          </cell>
        </row>
        <row r="112">
          <cell r="BB112" t="str">
            <v>.</v>
          </cell>
        </row>
        <row r="113">
          <cell r="BB113" t="str">
            <v>.</v>
          </cell>
        </row>
        <row r="114">
          <cell r="BB114" t="str">
            <v>.</v>
          </cell>
        </row>
        <row r="115">
          <cell r="BB115" t="str">
            <v>.</v>
          </cell>
        </row>
        <row r="116">
          <cell r="BB116" t="str">
            <v>.</v>
          </cell>
        </row>
        <row r="117">
          <cell r="BB117" t="str">
            <v>.</v>
          </cell>
        </row>
        <row r="118">
          <cell r="BB118" t="str">
            <v>.</v>
          </cell>
        </row>
        <row r="119">
          <cell r="BB119" t="str">
            <v>.</v>
          </cell>
        </row>
        <row r="120">
          <cell r="BB120" t="str">
            <v>.</v>
          </cell>
        </row>
        <row r="121">
          <cell r="BB121" t="str">
            <v>.</v>
          </cell>
        </row>
        <row r="122">
          <cell r="BB122" t="str">
            <v>.</v>
          </cell>
        </row>
        <row r="123">
          <cell r="BB123" t="str">
            <v>.</v>
          </cell>
        </row>
        <row r="124">
          <cell r="BB124" t="str">
            <v>.</v>
          </cell>
        </row>
        <row r="125">
          <cell r="BB125" t="str">
            <v>.</v>
          </cell>
        </row>
        <row r="126">
          <cell r="BB126" t="str">
            <v>.</v>
          </cell>
        </row>
        <row r="127">
          <cell r="BB127" t="str">
            <v>.</v>
          </cell>
        </row>
        <row r="128">
          <cell r="BB128" t="str">
            <v>.</v>
          </cell>
        </row>
        <row r="129">
          <cell r="BB129" t="str">
            <v>.</v>
          </cell>
        </row>
        <row r="130">
          <cell r="BB130" t="str">
            <v>.</v>
          </cell>
        </row>
        <row r="131">
          <cell r="BB131" t="str">
            <v>.</v>
          </cell>
        </row>
        <row r="132">
          <cell r="BB132" t="str">
            <v>.</v>
          </cell>
        </row>
        <row r="133">
          <cell r="BB133" t="str">
            <v>.</v>
          </cell>
        </row>
        <row r="134">
          <cell r="BB134" t="str">
            <v>.</v>
          </cell>
        </row>
        <row r="135">
          <cell r="BB135" t="str">
            <v>.</v>
          </cell>
        </row>
        <row r="136">
          <cell r="BB136" t="str">
            <v>.</v>
          </cell>
        </row>
        <row r="137">
          <cell r="BB137" t="str">
            <v>.</v>
          </cell>
        </row>
        <row r="138">
          <cell r="BB138" t="str">
            <v>.</v>
          </cell>
        </row>
        <row r="139">
          <cell r="BB139" t="str">
            <v>.</v>
          </cell>
        </row>
        <row r="140">
          <cell r="BB140" t="str">
            <v>.</v>
          </cell>
        </row>
        <row r="141">
          <cell r="BB141" t="str">
            <v>.</v>
          </cell>
        </row>
        <row r="142">
          <cell r="BB142" t="str">
            <v>.</v>
          </cell>
        </row>
        <row r="143">
          <cell r="BB143" t="str">
            <v>.</v>
          </cell>
        </row>
        <row r="144">
          <cell r="BB144" t="str">
            <v>.</v>
          </cell>
        </row>
        <row r="145">
          <cell r="BB145" t="str">
            <v>.</v>
          </cell>
        </row>
        <row r="146">
          <cell r="BB146" t="str">
            <v>.</v>
          </cell>
        </row>
        <row r="147">
          <cell r="BB147" t="str">
            <v>.</v>
          </cell>
        </row>
        <row r="148">
          <cell r="BB148" t="str">
            <v>.</v>
          </cell>
        </row>
        <row r="149">
          <cell r="BB149" t="str">
            <v>.</v>
          </cell>
        </row>
        <row r="150">
          <cell r="BB150" t="str">
            <v>.</v>
          </cell>
        </row>
        <row r="151">
          <cell r="BB151" t="str">
            <v>.</v>
          </cell>
        </row>
        <row r="152">
          <cell r="BB152" t="str">
            <v>.</v>
          </cell>
        </row>
        <row r="153">
          <cell r="BB153" t="str">
            <v>.</v>
          </cell>
        </row>
        <row r="154">
          <cell r="BB154" t="str">
            <v>.</v>
          </cell>
        </row>
        <row r="155">
          <cell r="BB155" t="str">
            <v>.</v>
          </cell>
        </row>
        <row r="156">
          <cell r="BB156" t="str">
            <v>.</v>
          </cell>
        </row>
        <row r="157">
          <cell r="BB157" t="str">
            <v>.</v>
          </cell>
        </row>
        <row r="158">
          <cell r="BB158" t="str">
            <v>.</v>
          </cell>
        </row>
        <row r="159">
          <cell r="BB159" t="str">
            <v>.</v>
          </cell>
        </row>
        <row r="160">
          <cell r="BB160" t="str">
            <v>.</v>
          </cell>
        </row>
        <row r="161">
          <cell r="BB161" t="str">
            <v>.</v>
          </cell>
        </row>
        <row r="162">
          <cell r="BB162" t="str">
            <v>.</v>
          </cell>
        </row>
        <row r="163">
          <cell r="BB163" t="str">
            <v>.</v>
          </cell>
        </row>
        <row r="164">
          <cell r="BB164" t="str">
            <v>.</v>
          </cell>
        </row>
        <row r="165">
          <cell r="BB165" t="str">
            <v>.</v>
          </cell>
        </row>
        <row r="166">
          <cell r="BB166" t="str">
            <v>.</v>
          </cell>
        </row>
        <row r="167">
          <cell r="BB167" t="str">
            <v>.</v>
          </cell>
        </row>
        <row r="168">
          <cell r="BB168" t="str">
            <v>.</v>
          </cell>
        </row>
        <row r="169">
          <cell r="BB169" t="str">
            <v>.</v>
          </cell>
        </row>
        <row r="170">
          <cell r="BB170" t="str">
            <v>.</v>
          </cell>
        </row>
        <row r="171">
          <cell r="BB171" t="str">
            <v>.</v>
          </cell>
        </row>
        <row r="172">
          <cell r="BB172" t="str">
            <v>.</v>
          </cell>
        </row>
        <row r="173">
          <cell r="BB173" t="str">
            <v>.</v>
          </cell>
        </row>
        <row r="174">
          <cell r="BB174" t="str">
            <v>.</v>
          </cell>
        </row>
        <row r="175">
          <cell r="BB175" t="str">
            <v>.</v>
          </cell>
        </row>
        <row r="176">
          <cell r="BB176" t="str">
            <v>.</v>
          </cell>
        </row>
        <row r="177">
          <cell r="BB177" t="str">
            <v>.</v>
          </cell>
        </row>
        <row r="178">
          <cell r="BB178" t="str">
            <v>.</v>
          </cell>
        </row>
        <row r="179">
          <cell r="BB179" t="str">
            <v>.</v>
          </cell>
        </row>
        <row r="180">
          <cell r="BB180" t="str">
            <v>.</v>
          </cell>
        </row>
        <row r="181">
          <cell r="BB181" t="str">
            <v>.</v>
          </cell>
        </row>
        <row r="182">
          <cell r="BB182" t="str">
            <v>.</v>
          </cell>
        </row>
        <row r="183">
          <cell r="BB183" t="str">
            <v>.</v>
          </cell>
        </row>
        <row r="184">
          <cell r="BB184" t="str">
            <v>.</v>
          </cell>
        </row>
        <row r="185">
          <cell r="BB185" t="str">
            <v>.</v>
          </cell>
        </row>
        <row r="186">
          <cell r="BB186" t="str">
            <v>.</v>
          </cell>
        </row>
        <row r="187">
          <cell r="BB187" t="str">
            <v>.</v>
          </cell>
        </row>
        <row r="188">
          <cell r="BB188" t="str">
            <v>.</v>
          </cell>
        </row>
        <row r="189">
          <cell r="BB189" t="str">
            <v>.</v>
          </cell>
        </row>
        <row r="190">
          <cell r="BB190" t="str">
            <v>.</v>
          </cell>
        </row>
        <row r="191">
          <cell r="BB191" t="str">
            <v>.</v>
          </cell>
        </row>
        <row r="192">
          <cell r="BB192" t="str">
            <v>.</v>
          </cell>
        </row>
        <row r="193">
          <cell r="BB193" t="str">
            <v>.</v>
          </cell>
        </row>
        <row r="194">
          <cell r="BB194" t="str">
            <v>.</v>
          </cell>
        </row>
        <row r="195">
          <cell r="BB195" t="str">
            <v>.</v>
          </cell>
        </row>
        <row r="196">
          <cell r="BB196" t="str">
            <v>.</v>
          </cell>
        </row>
        <row r="197">
          <cell r="BB197" t="str">
            <v>.</v>
          </cell>
        </row>
        <row r="198">
          <cell r="BB198" t="str">
            <v>.</v>
          </cell>
        </row>
        <row r="199">
          <cell r="BB199" t="str">
            <v>.</v>
          </cell>
        </row>
        <row r="200">
          <cell r="BB200" t="str">
            <v>.</v>
          </cell>
        </row>
        <row r="201">
          <cell r="BB201" t="str">
            <v>.</v>
          </cell>
        </row>
        <row r="202">
          <cell r="BB202" t="str">
            <v>.</v>
          </cell>
        </row>
        <row r="203">
          <cell r="BB203" t="str">
            <v>.</v>
          </cell>
        </row>
        <row r="204">
          <cell r="BB204" t="str">
            <v>.</v>
          </cell>
        </row>
        <row r="205">
          <cell r="BB205" t="str">
            <v>.</v>
          </cell>
        </row>
        <row r="206">
          <cell r="BB206" t="str">
            <v>.</v>
          </cell>
        </row>
        <row r="207">
          <cell r="BB207" t="str">
            <v>.</v>
          </cell>
        </row>
        <row r="208">
          <cell r="BB208" t="str">
            <v>.</v>
          </cell>
        </row>
        <row r="209">
          <cell r="BB209" t="str">
            <v>.</v>
          </cell>
        </row>
        <row r="210">
          <cell r="BB210" t="str">
            <v>.</v>
          </cell>
        </row>
        <row r="211">
          <cell r="BB211" t="str">
            <v>.</v>
          </cell>
        </row>
        <row r="212">
          <cell r="BB212" t="str">
            <v>.</v>
          </cell>
        </row>
        <row r="213">
          <cell r="BB213" t="str">
            <v>.</v>
          </cell>
        </row>
        <row r="214">
          <cell r="BB214" t="str">
            <v>.</v>
          </cell>
        </row>
        <row r="215">
          <cell r="BB215" t="str">
            <v>.</v>
          </cell>
        </row>
        <row r="216">
          <cell r="BB216" t="str">
            <v>.</v>
          </cell>
        </row>
        <row r="217">
          <cell r="BB217" t="str">
            <v>.</v>
          </cell>
        </row>
        <row r="218">
          <cell r="BB218" t="str">
            <v>.</v>
          </cell>
        </row>
        <row r="219">
          <cell r="BB219" t="str">
            <v>.</v>
          </cell>
        </row>
        <row r="220">
          <cell r="BB220" t="str">
            <v>.</v>
          </cell>
        </row>
        <row r="221">
          <cell r="BB221" t="str">
            <v>.</v>
          </cell>
        </row>
        <row r="222">
          <cell r="BB222" t="str">
            <v>.</v>
          </cell>
        </row>
        <row r="223">
          <cell r="BB223" t="str">
            <v>.</v>
          </cell>
        </row>
        <row r="224">
          <cell r="BB224" t="str">
            <v>.</v>
          </cell>
        </row>
        <row r="225">
          <cell r="BB225" t="str">
            <v>.</v>
          </cell>
        </row>
        <row r="226">
          <cell r="BB226" t="str">
            <v>.</v>
          </cell>
        </row>
        <row r="227">
          <cell r="BB227" t="str">
            <v>.</v>
          </cell>
        </row>
        <row r="228">
          <cell r="BB228" t="str">
            <v>.</v>
          </cell>
        </row>
        <row r="229">
          <cell r="BB229" t="str">
            <v>.</v>
          </cell>
        </row>
        <row r="230">
          <cell r="BB230" t="str">
            <v>.</v>
          </cell>
        </row>
        <row r="231">
          <cell r="BB231" t="str">
            <v>.</v>
          </cell>
        </row>
        <row r="232">
          <cell r="BB232" t="str">
            <v>.</v>
          </cell>
        </row>
        <row r="233">
          <cell r="BB233" t="str">
            <v>.</v>
          </cell>
        </row>
        <row r="234">
          <cell r="BB234" t="str">
            <v>.</v>
          </cell>
        </row>
        <row r="235">
          <cell r="BB235" t="str">
            <v>.</v>
          </cell>
        </row>
        <row r="236">
          <cell r="BB236" t="str">
            <v>.</v>
          </cell>
        </row>
        <row r="237">
          <cell r="BB237" t="str">
            <v>.</v>
          </cell>
        </row>
        <row r="238">
          <cell r="BB238" t="str">
            <v>.</v>
          </cell>
        </row>
        <row r="239">
          <cell r="BB239" t="str">
            <v>.</v>
          </cell>
        </row>
        <row r="240">
          <cell r="BB240" t="str">
            <v>.</v>
          </cell>
        </row>
        <row r="241">
          <cell r="BB241" t="str">
            <v>.</v>
          </cell>
        </row>
        <row r="242">
          <cell r="BB242" t="str">
            <v>.</v>
          </cell>
        </row>
        <row r="243">
          <cell r="BB243" t="str">
            <v>.</v>
          </cell>
        </row>
        <row r="244">
          <cell r="BB244" t="str">
            <v>.</v>
          </cell>
        </row>
        <row r="245">
          <cell r="BB245" t="str">
            <v>.</v>
          </cell>
        </row>
        <row r="246">
          <cell r="BB246" t="str">
            <v>.</v>
          </cell>
        </row>
        <row r="247">
          <cell r="BB247" t="str">
            <v>.</v>
          </cell>
        </row>
        <row r="248">
          <cell r="BB248" t="str">
            <v>.</v>
          </cell>
        </row>
        <row r="249">
          <cell r="BB249" t="str">
            <v>.</v>
          </cell>
        </row>
        <row r="250">
          <cell r="BB250" t="str">
            <v>.</v>
          </cell>
        </row>
        <row r="251">
          <cell r="BB251" t="str">
            <v>.</v>
          </cell>
        </row>
        <row r="252">
          <cell r="BB252" t="str">
            <v>.</v>
          </cell>
        </row>
        <row r="253">
          <cell r="BB253" t="str">
            <v>.</v>
          </cell>
        </row>
        <row r="254">
          <cell r="BB254" t="str">
            <v>.</v>
          </cell>
        </row>
        <row r="255">
          <cell r="BB255" t="str">
            <v>.</v>
          </cell>
        </row>
        <row r="256">
          <cell r="BB256" t="str">
            <v>.</v>
          </cell>
        </row>
        <row r="257">
          <cell r="BB257" t="str">
            <v>.</v>
          </cell>
        </row>
        <row r="258">
          <cell r="BB258" t="str">
            <v>.</v>
          </cell>
        </row>
        <row r="259">
          <cell r="BB259" t="str">
            <v>.</v>
          </cell>
        </row>
        <row r="260">
          <cell r="BB260" t="str">
            <v>.</v>
          </cell>
        </row>
        <row r="261">
          <cell r="BB261" t="str">
            <v>.</v>
          </cell>
        </row>
        <row r="262">
          <cell r="BB262" t="str">
            <v>.</v>
          </cell>
        </row>
        <row r="263">
          <cell r="BB263" t="str">
            <v>.</v>
          </cell>
        </row>
        <row r="264">
          <cell r="BB264" t="str">
            <v>.</v>
          </cell>
        </row>
        <row r="265">
          <cell r="BB265" t="str">
            <v>.</v>
          </cell>
        </row>
        <row r="266">
          <cell r="BB266" t="str">
            <v>.</v>
          </cell>
        </row>
        <row r="267">
          <cell r="BB267" t="str">
            <v>.</v>
          </cell>
        </row>
        <row r="268">
          <cell r="BB268" t="str">
            <v>.</v>
          </cell>
        </row>
        <row r="269">
          <cell r="BB269" t="str">
            <v>.</v>
          </cell>
        </row>
        <row r="270">
          <cell r="BB270" t="str">
            <v>.</v>
          </cell>
        </row>
        <row r="271">
          <cell r="BB271" t="str">
            <v>.</v>
          </cell>
        </row>
        <row r="272">
          <cell r="BB272" t="str">
            <v>.</v>
          </cell>
        </row>
        <row r="273">
          <cell r="BB273" t="str">
            <v>.</v>
          </cell>
        </row>
        <row r="274">
          <cell r="BB274" t="str">
            <v>.</v>
          </cell>
        </row>
        <row r="275">
          <cell r="BB275" t="str">
            <v>.</v>
          </cell>
        </row>
        <row r="276">
          <cell r="BB276" t="str">
            <v>.</v>
          </cell>
        </row>
        <row r="277">
          <cell r="BB277" t="str">
            <v>.</v>
          </cell>
        </row>
        <row r="278">
          <cell r="BB278" t="str">
            <v>.</v>
          </cell>
        </row>
        <row r="279">
          <cell r="BB279" t="str">
            <v>.</v>
          </cell>
        </row>
        <row r="280">
          <cell r="BB280" t="str">
            <v>.</v>
          </cell>
        </row>
        <row r="281">
          <cell r="BB281" t="str">
            <v>.</v>
          </cell>
        </row>
        <row r="282">
          <cell r="BB282" t="str">
            <v>.</v>
          </cell>
        </row>
        <row r="283">
          <cell r="BB283" t="str">
            <v>.</v>
          </cell>
        </row>
        <row r="284">
          <cell r="BB284" t="str">
            <v>.</v>
          </cell>
        </row>
        <row r="285">
          <cell r="BB285" t="str">
            <v>.</v>
          </cell>
        </row>
        <row r="286">
          <cell r="BB286" t="str">
            <v>.</v>
          </cell>
        </row>
        <row r="287">
          <cell r="BB287" t="str">
            <v>.</v>
          </cell>
        </row>
        <row r="288">
          <cell r="BB288" t="str">
            <v>.</v>
          </cell>
        </row>
        <row r="289">
          <cell r="BB289" t="str">
            <v>.</v>
          </cell>
        </row>
        <row r="290">
          <cell r="BB290" t="str">
            <v>.</v>
          </cell>
        </row>
        <row r="291">
          <cell r="BB291" t="str">
            <v>.</v>
          </cell>
        </row>
        <row r="292">
          <cell r="BB292" t="str">
            <v>.</v>
          </cell>
        </row>
        <row r="293">
          <cell r="BB293" t="str">
            <v>.</v>
          </cell>
        </row>
        <row r="294">
          <cell r="BB294" t="str">
            <v>.</v>
          </cell>
        </row>
        <row r="295">
          <cell r="BB295" t="str">
            <v>.</v>
          </cell>
        </row>
        <row r="296">
          <cell r="BB296" t="str">
            <v>.</v>
          </cell>
        </row>
        <row r="297">
          <cell r="BB297" t="str">
            <v>.</v>
          </cell>
        </row>
        <row r="298">
          <cell r="BB298" t="str">
            <v>.</v>
          </cell>
        </row>
        <row r="299">
          <cell r="BB299" t="str">
            <v>.</v>
          </cell>
        </row>
        <row r="300">
          <cell r="BB300" t="str">
            <v>.</v>
          </cell>
        </row>
        <row r="301">
          <cell r="BB301" t="str">
            <v>.</v>
          </cell>
        </row>
        <row r="302">
          <cell r="BB302" t="str">
            <v>.</v>
          </cell>
        </row>
        <row r="303">
          <cell r="BB303" t="str">
            <v>.</v>
          </cell>
        </row>
        <row r="304">
          <cell r="BB304" t="str">
            <v>.</v>
          </cell>
        </row>
        <row r="305">
          <cell r="BB305" t="str">
            <v>.</v>
          </cell>
        </row>
        <row r="306">
          <cell r="BB306" t="str">
            <v>.</v>
          </cell>
        </row>
        <row r="307">
          <cell r="BB307" t="str">
            <v>.</v>
          </cell>
        </row>
        <row r="308">
          <cell r="BB308" t="str">
            <v>.</v>
          </cell>
        </row>
        <row r="309">
          <cell r="BB309" t="str">
            <v>.</v>
          </cell>
        </row>
        <row r="310">
          <cell r="BB310" t="str">
            <v>.</v>
          </cell>
        </row>
        <row r="311">
          <cell r="BB311" t="str">
            <v>.</v>
          </cell>
        </row>
        <row r="312">
          <cell r="BB312" t="str">
            <v>.</v>
          </cell>
        </row>
        <row r="313">
          <cell r="BB313" t="str">
            <v>.</v>
          </cell>
        </row>
        <row r="314">
          <cell r="BB314" t="str">
            <v>.</v>
          </cell>
        </row>
        <row r="315">
          <cell r="BB315" t="str">
            <v>.</v>
          </cell>
        </row>
        <row r="316">
          <cell r="BB316" t="str">
            <v>.</v>
          </cell>
        </row>
        <row r="317">
          <cell r="BB317" t="str">
            <v>.</v>
          </cell>
        </row>
        <row r="318">
          <cell r="BB318" t="str">
            <v>.</v>
          </cell>
        </row>
        <row r="319">
          <cell r="BB319" t="str">
            <v>.</v>
          </cell>
        </row>
        <row r="320">
          <cell r="BB320" t="str">
            <v>.</v>
          </cell>
        </row>
        <row r="321">
          <cell r="BB321" t="str">
            <v>.</v>
          </cell>
        </row>
        <row r="322">
          <cell r="BB322" t="str">
            <v>.</v>
          </cell>
        </row>
        <row r="323">
          <cell r="BB323" t="str">
            <v>.</v>
          </cell>
        </row>
        <row r="324">
          <cell r="BB324" t="str">
            <v>.</v>
          </cell>
        </row>
        <row r="325">
          <cell r="BB325" t="str">
            <v>.</v>
          </cell>
        </row>
        <row r="326">
          <cell r="BB326" t="str">
            <v>.</v>
          </cell>
        </row>
        <row r="327">
          <cell r="BB327" t="str">
            <v>.</v>
          </cell>
        </row>
        <row r="328">
          <cell r="BB328" t="str">
            <v>.</v>
          </cell>
        </row>
        <row r="329">
          <cell r="BB329" t="str">
            <v>.</v>
          </cell>
        </row>
        <row r="330">
          <cell r="BB330" t="str">
            <v>.</v>
          </cell>
        </row>
        <row r="331">
          <cell r="BB331" t="str">
            <v>.</v>
          </cell>
        </row>
        <row r="332">
          <cell r="BB332" t="str">
            <v>.</v>
          </cell>
        </row>
        <row r="333">
          <cell r="BB333" t="str">
            <v>.</v>
          </cell>
        </row>
        <row r="334">
          <cell r="BB334" t="str">
            <v>.</v>
          </cell>
        </row>
        <row r="335">
          <cell r="BB335" t="str">
            <v>.</v>
          </cell>
        </row>
        <row r="336">
          <cell r="BB336" t="str">
            <v>.</v>
          </cell>
        </row>
        <row r="337">
          <cell r="BB337" t="str">
            <v>.</v>
          </cell>
        </row>
        <row r="338">
          <cell r="BB338" t="str">
            <v>.</v>
          </cell>
        </row>
        <row r="339">
          <cell r="BB339" t="str">
            <v>.</v>
          </cell>
        </row>
        <row r="340">
          <cell r="BB340" t="str">
            <v>.</v>
          </cell>
        </row>
        <row r="341">
          <cell r="BB341" t="str">
            <v>.</v>
          </cell>
        </row>
        <row r="342">
          <cell r="BB342" t="str">
            <v>.</v>
          </cell>
        </row>
        <row r="343">
          <cell r="BB343" t="str">
            <v>.</v>
          </cell>
        </row>
        <row r="344">
          <cell r="BB344" t="str">
            <v>.</v>
          </cell>
        </row>
        <row r="345">
          <cell r="BB345" t="str">
            <v>.</v>
          </cell>
        </row>
        <row r="346">
          <cell r="BB346" t="str">
            <v>.</v>
          </cell>
        </row>
        <row r="347">
          <cell r="BB347" t="str">
            <v>.</v>
          </cell>
        </row>
        <row r="348">
          <cell r="BB348" t="str">
            <v>.</v>
          </cell>
        </row>
        <row r="349">
          <cell r="BB349" t="str">
            <v>.</v>
          </cell>
        </row>
        <row r="350">
          <cell r="BB350" t="str">
            <v>.</v>
          </cell>
        </row>
        <row r="351">
          <cell r="BB351" t="str">
            <v>.</v>
          </cell>
        </row>
        <row r="352">
          <cell r="BB352" t="str">
            <v>.</v>
          </cell>
        </row>
        <row r="353">
          <cell r="BB353" t="str">
            <v>.</v>
          </cell>
        </row>
        <row r="354">
          <cell r="BB354" t="str">
            <v>.</v>
          </cell>
        </row>
        <row r="355">
          <cell r="BB355" t="str">
            <v>.</v>
          </cell>
        </row>
        <row r="356">
          <cell r="BB356" t="str">
            <v>.</v>
          </cell>
        </row>
        <row r="357">
          <cell r="BB357" t="str">
            <v>.</v>
          </cell>
        </row>
        <row r="358">
          <cell r="BB358" t="str">
            <v>.</v>
          </cell>
        </row>
        <row r="359">
          <cell r="BB359" t="str">
            <v>.</v>
          </cell>
        </row>
        <row r="360">
          <cell r="BB360" t="str">
            <v>.</v>
          </cell>
        </row>
        <row r="361">
          <cell r="BB361" t="str">
            <v>.</v>
          </cell>
        </row>
        <row r="362">
          <cell r="BB362" t="str">
            <v>.</v>
          </cell>
        </row>
        <row r="363">
          <cell r="BB363" t="str">
            <v>.</v>
          </cell>
        </row>
        <row r="364">
          <cell r="BB364" t="str">
            <v>.</v>
          </cell>
        </row>
        <row r="365">
          <cell r="BB365" t="str">
            <v>.</v>
          </cell>
        </row>
        <row r="366">
          <cell r="BB366" t="str">
            <v>.</v>
          </cell>
        </row>
        <row r="367">
          <cell r="BB367" t="str">
            <v>.</v>
          </cell>
        </row>
        <row r="368">
          <cell r="BB368" t="str">
            <v>.</v>
          </cell>
        </row>
        <row r="369">
          <cell r="BB369" t="str">
            <v>.</v>
          </cell>
        </row>
        <row r="370">
          <cell r="BB370" t="str">
            <v>.</v>
          </cell>
        </row>
        <row r="371">
          <cell r="BB371" t="str">
            <v>.</v>
          </cell>
        </row>
        <row r="372">
          <cell r="BB372" t="str">
            <v>.</v>
          </cell>
        </row>
        <row r="373">
          <cell r="BB373" t="str">
            <v>.</v>
          </cell>
        </row>
        <row r="374">
          <cell r="BB374" t="str">
            <v>.</v>
          </cell>
        </row>
        <row r="375">
          <cell r="BB375" t="str">
            <v>.</v>
          </cell>
        </row>
        <row r="376">
          <cell r="BB376" t="str">
            <v>.</v>
          </cell>
        </row>
        <row r="377">
          <cell r="BB377" t="str">
            <v>.</v>
          </cell>
        </row>
        <row r="378">
          <cell r="BB378" t="str">
            <v>.</v>
          </cell>
        </row>
        <row r="379">
          <cell r="BB379" t="str">
            <v>.</v>
          </cell>
        </row>
        <row r="380">
          <cell r="BB380" t="str">
            <v>.</v>
          </cell>
        </row>
        <row r="381">
          <cell r="BB381" t="str">
            <v>.</v>
          </cell>
        </row>
        <row r="382">
          <cell r="BB382" t="str">
            <v>.</v>
          </cell>
        </row>
        <row r="383">
          <cell r="BB383" t="str">
            <v>.</v>
          </cell>
        </row>
        <row r="384">
          <cell r="BB384" t="str">
            <v>.</v>
          </cell>
        </row>
        <row r="385">
          <cell r="BB385" t="str">
            <v>.</v>
          </cell>
        </row>
        <row r="386">
          <cell r="BB386" t="str">
            <v>.</v>
          </cell>
        </row>
        <row r="387">
          <cell r="BB387" t="str">
            <v>.</v>
          </cell>
        </row>
        <row r="388">
          <cell r="BB388" t="str">
            <v>.</v>
          </cell>
        </row>
        <row r="389">
          <cell r="BB389" t="str">
            <v>.</v>
          </cell>
        </row>
        <row r="390">
          <cell r="BB390" t="str">
            <v>.</v>
          </cell>
        </row>
        <row r="391">
          <cell r="BB391" t="str">
            <v>.</v>
          </cell>
        </row>
        <row r="392">
          <cell r="BB392" t="str">
            <v>.</v>
          </cell>
        </row>
        <row r="393">
          <cell r="BB393" t="str">
            <v>.</v>
          </cell>
        </row>
        <row r="394">
          <cell r="BB394" t="str">
            <v>.</v>
          </cell>
        </row>
        <row r="395">
          <cell r="BB395" t="str">
            <v>.</v>
          </cell>
        </row>
        <row r="396">
          <cell r="BB396" t="str">
            <v>.</v>
          </cell>
        </row>
        <row r="397">
          <cell r="BB397" t="str">
            <v>.</v>
          </cell>
        </row>
        <row r="398">
          <cell r="BB398" t="str">
            <v>.</v>
          </cell>
        </row>
        <row r="399">
          <cell r="BB399" t="str">
            <v>.</v>
          </cell>
        </row>
        <row r="400">
          <cell r="BB400" t="str">
            <v>.</v>
          </cell>
        </row>
        <row r="401">
          <cell r="BB401" t="str">
            <v>.</v>
          </cell>
        </row>
        <row r="402">
          <cell r="BB402" t="str">
            <v>.</v>
          </cell>
        </row>
        <row r="403">
          <cell r="BB403" t="str">
            <v>.</v>
          </cell>
        </row>
        <row r="404">
          <cell r="BB404" t="str">
            <v>.</v>
          </cell>
        </row>
        <row r="405">
          <cell r="BB405" t="str">
            <v>.</v>
          </cell>
        </row>
        <row r="406">
          <cell r="BB406" t="str">
            <v>.</v>
          </cell>
        </row>
        <row r="407">
          <cell r="BB407" t="str">
            <v>.</v>
          </cell>
        </row>
        <row r="408">
          <cell r="BB408" t="str">
            <v>.</v>
          </cell>
        </row>
        <row r="409">
          <cell r="BB409" t="str">
            <v>.</v>
          </cell>
        </row>
        <row r="410">
          <cell r="BB410" t="str">
            <v>.</v>
          </cell>
        </row>
        <row r="411">
          <cell r="BB411" t="str">
            <v>.</v>
          </cell>
        </row>
        <row r="412">
          <cell r="BB412" t="str">
            <v>.</v>
          </cell>
        </row>
        <row r="413">
          <cell r="BB413" t="str">
            <v>.</v>
          </cell>
        </row>
        <row r="414">
          <cell r="BB414" t="str">
            <v>.</v>
          </cell>
        </row>
        <row r="415">
          <cell r="BB415" t="str">
            <v>.</v>
          </cell>
        </row>
        <row r="416">
          <cell r="BB416" t="str">
            <v>.</v>
          </cell>
        </row>
        <row r="417">
          <cell r="BB417" t="str">
            <v>.</v>
          </cell>
        </row>
        <row r="418">
          <cell r="BB418" t="str">
            <v>.</v>
          </cell>
        </row>
        <row r="419">
          <cell r="BB419" t="str">
            <v>.</v>
          </cell>
        </row>
        <row r="420">
          <cell r="BB420" t="str">
            <v>.</v>
          </cell>
        </row>
        <row r="421">
          <cell r="BB421" t="str">
            <v>.</v>
          </cell>
        </row>
        <row r="422">
          <cell r="BB422" t="str">
            <v>.</v>
          </cell>
        </row>
        <row r="423">
          <cell r="BB423" t="str">
            <v>.</v>
          </cell>
        </row>
        <row r="424">
          <cell r="BB424" t="str">
            <v>.</v>
          </cell>
        </row>
        <row r="425">
          <cell r="BB425" t="str">
            <v>.</v>
          </cell>
        </row>
        <row r="426">
          <cell r="BB426" t="str">
            <v>.</v>
          </cell>
        </row>
        <row r="427">
          <cell r="BB427" t="str">
            <v>.</v>
          </cell>
        </row>
        <row r="428">
          <cell r="BB428" t="str">
            <v>.</v>
          </cell>
        </row>
        <row r="429">
          <cell r="BB429" t="str">
            <v>.</v>
          </cell>
        </row>
        <row r="430">
          <cell r="BB430" t="str">
            <v>.</v>
          </cell>
        </row>
        <row r="431">
          <cell r="BB431" t="str">
            <v>.</v>
          </cell>
        </row>
        <row r="432">
          <cell r="BB432" t="str">
            <v>.</v>
          </cell>
        </row>
        <row r="433">
          <cell r="BB433" t="str">
            <v>.</v>
          </cell>
        </row>
        <row r="434">
          <cell r="BB434" t="str">
            <v>.</v>
          </cell>
        </row>
        <row r="435">
          <cell r="BB435" t="str">
            <v>.</v>
          </cell>
        </row>
        <row r="436">
          <cell r="BB436" t="str">
            <v>.</v>
          </cell>
        </row>
        <row r="437">
          <cell r="BB437" t="str">
            <v>.</v>
          </cell>
        </row>
        <row r="438">
          <cell r="BB438" t="str">
            <v>.</v>
          </cell>
        </row>
        <row r="439">
          <cell r="BB439" t="str">
            <v>.</v>
          </cell>
        </row>
        <row r="440">
          <cell r="BB440" t="str">
            <v>.</v>
          </cell>
        </row>
        <row r="441">
          <cell r="BB441" t="str">
            <v>.</v>
          </cell>
        </row>
        <row r="442">
          <cell r="BB442" t="str">
            <v>.</v>
          </cell>
        </row>
        <row r="443">
          <cell r="BB443" t="str">
            <v>.</v>
          </cell>
        </row>
        <row r="444">
          <cell r="BB444" t="str">
            <v>.</v>
          </cell>
        </row>
        <row r="445">
          <cell r="BB445" t="str">
            <v>.</v>
          </cell>
        </row>
        <row r="446">
          <cell r="BB446" t="str">
            <v>.</v>
          </cell>
        </row>
        <row r="447">
          <cell r="BB447" t="str">
            <v>.</v>
          </cell>
        </row>
        <row r="448">
          <cell r="BB448" t="str">
            <v>.</v>
          </cell>
        </row>
        <row r="449">
          <cell r="BB449" t="str">
            <v>.</v>
          </cell>
        </row>
        <row r="450">
          <cell r="BB450" t="str">
            <v>.</v>
          </cell>
        </row>
        <row r="451">
          <cell r="BB451" t="str">
            <v>.</v>
          </cell>
        </row>
        <row r="452">
          <cell r="BB452" t="str">
            <v>.</v>
          </cell>
        </row>
        <row r="453">
          <cell r="BB453" t="str">
            <v>.</v>
          </cell>
        </row>
        <row r="454">
          <cell r="BB454" t="str">
            <v>.</v>
          </cell>
        </row>
        <row r="455">
          <cell r="BB455" t="str">
            <v>.</v>
          </cell>
        </row>
        <row r="456">
          <cell r="BB456" t="str">
            <v>.</v>
          </cell>
        </row>
        <row r="457">
          <cell r="BB457" t="str">
            <v>.</v>
          </cell>
        </row>
        <row r="458">
          <cell r="BB458" t="str">
            <v>.</v>
          </cell>
        </row>
        <row r="459">
          <cell r="BB459" t="str">
            <v>.</v>
          </cell>
        </row>
        <row r="460">
          <cell r="BB460" t="str">
            <v>.</v>
          </cell>
        </row>
        <row r="461">
          <cell r="BB461" t="str">
            <v>.</v>
          </cell>
        </row>
        <row r="462">
          <cell r="BB462" t="str">
            <v>.</v>
          </cell>
        </row>
        <row r="463">
          <cell r="BB463" t="str">
            <v>.</v>
          </cell>
        </row>
        <row r="464">
          <cell r="BB464" t="str">
            <v>.</v>
          </cell>
        </row>
        <row r="465">
          <cell r="BB465" t="str">
            <v>.</v>
          </cell>
        </row>
        <row r="466">
          <cell r="BB466" t="str">
            <v>.</v>
          </cell>
        </row>
        <row r="467">
          <cell r="BB467" t="str">
            <v>.</v>
          </cell>
        </row>
        <row r="468">
          <cell r="BB468" t="str">
            <v>.</v>
          </cell>
        </row>
        <row r="469">
          <cell r="BB469" t="str">
            <v>.</v>
          </cell>
        </row>
        <row r="470">
          <cell r="BB470" t="str">
            <v>.</v>
          </cell>
        </row>
        <row r="471">
          <cell r="BB471" t="str">
            <v>.</v>
          </cell>
        </row>
        <row r="472">
          <cell r="BB472" t="str">
            <v>.</v>
          </cell>
        </row>
        <row r="473">
          <cell r="BB473" t="str">
            <v>.</v>
          </cell>
        </row>
        <row r="474">
          <cell r="BB474" t="str">
            <v>.</v>
          </cell>
        </row>
        <row r="475">
          <cell r="BB475" t="str">
            <v>.</v>
          </cell>
        </row>
        <row r="476">
          <cell r="BB476" t="str">
            <v>.</v>
          </cell>
        </row>
        <row r="477">
          <cell r="BB477" t="str">
            <v>.</v>
          </cell>
        </row>
        <row r="478">
          <cell r="BB478" t="str">
            <v>.</v>
          </cell>
        </row>
        <row r="479">
          <cell r="BB479" t="str">
            <v>.</v>
          </cell>
        </row>
        <row r="480">
          <cell r="BB480" t="str">
            <v>.</v>
          </cell>
        </row>
        <row r="481">
          <cell r="BB481" t="str">
            <v>.</v>
          </cell>
        </row>
        <row r="482">
          <cell r="BB482" t="str">
            <v>.</v>
          </cell>
        </row>
        <row r="483">
          <cell r="BB483" t="str">
            <v>.</v>
          </cell>
        </row>
        <row r="484">
          <cell r="BB484" t="str">
            <v>.</v>
          </cell>
        </row>
        <row r="485">
          <cell r="BB485" t="str">
            <v>.</v>
          </cell>
        </row>
        <row r="486">
          <cell r="BB486" t="str">
            <v>.</v>
          </cell>
        </row>
        <row r="487">
          <cell r="BB487" t="str">
            <v>.</v>
          </cell>
        </row>
        <row r="488">
          <cell r="BB488" t="str">
            <v>.</v>
          </cell>
        </row>
        <row r="489">
          <cell r="BB489" t="str">
            <v>.</v>
          </cell>
        </row>
        <row r="490">
          <cell r="BB490" t="str">
            <v>.</v>
          </cell>
        </row>
        <row r="491">
          <cell r="BB491" t="str">
            <v>.</v>
          </cell>
        </row>
        <row r="492">
          <cell r="BB492" t="str">
            <v>.</v>
          </cell>
        </row>
        <row r="493">
          <cell r="BB493" t="str">
            <v>.</v>
          </cell>
        </row>
        <row r="494">
          <cell r="BB494" t="str">
            <v>.</v>
          </cell>
        </row>
        <row r="495">
          <cell r="BB495" t="str">
            <v>.</v>
          </cell>
        </row>
        <row r="496">
          <cell r="BB496" t="str">
            <v>.</v>
          </cell>
        </row>
        <row r="497">
          <cell r="BB497" t="str">
            <v>.</v>
          </cell>
        </row>
        <row r="498">
          <cell r="BB498" t="str">
            <v>.</v>
          </cell>
        </row>
        <row r="499">
          <cell r="BB499" t="str">
            <v>.</v>
          </cell>
        </row>
        <row r="500">
          <cell r="BB500" t="str">
            <v>.</v>
          </cell>
        </row>
        <row r="501">
          <cell r="BB501" t="str">
            <v>.</v>
          </cell>
        </row>
        <row r="502">
          <cell r="BB502" t="str">
            <v>.</v>
          </cell>
        </row>
        <row r="503">
          <cell r="BB503" t="str">
            <v>.</v>
          </cell>
        </row>
        <row r="504">
          <cell r="BB504" t="str">
            <v>.</v>
          </cell>
        </row>
        <row r="505">
          <cell r="BB505" t="str">
            <v>.</v>
          </cell>
        </row>
        <row r="506">
          <cell r="BB506" t="str">
            <v>.</v>
          </cell>
        </row>
        <row r="507">
          <cell r="BB507" t="str">
            <v>.</v>
          </cell>
        </row>
        <row r="508">
          <cell r="BB508" t="str">
            <v>.</v>
          </cell>
        </row>
        <row r="509">
          <cell r="BB509" t="str">
            <v>.</v>
          </cell>
        </row>
        <row r="510">
          <cell r="BB510" t="str">
            <v>.</v>
          </cell>
        </row>
        <row r="511">
          <cell r="BB511" t="str">
            <v>.</v>
          </cell>
        </row>
        <row r="512">
          <cell r="BB512" t="str">
            <v>.</v>
          </cell>
        </row>
        <row r="513">
          <cell r="BB513" t="str">
            <v>.</v>
          </cell>
        </row>
        <row r="514">
          <cell r="BB514" t="str">
            <v>.</v>
          </cell>
        </row>
        <row r="515">
          <cell r="BB515" t="str">
            <v>.</v>
          </cell>
        </row>
        <row r="516">
          <cell r="BB516" t="str">
            <v>.</v>
          </cell>
        </row>
        <row r="517">
          <cell r="BB517" t="str">
            <v>.</v>
          </cell>
        </row>
        <row r="518">
          <cell r="BB518" t="str">
            <v>.</v>
          </cell>
        </row>
        <row r="519">
          <cell r="BB519" t="str">
            <v>.</v>
          </cell>
        </row>
        <row r="520">
          <cell r="BB520" t="str">
            <v>.</v>
          </cell>
        </row>
        <row r="521">
          <cell r="BB521" t="str">
            <v>.</v>
          </cell>
        </row>
        <row r="522">
          <cell r="BB522" t="str">
            <v>.</v>
          </cell>
        </row>
        <row r="523">
          <cell r="BB523" t="str">
            <v>.</v>
          </cell>
        </row>
        <row r="524">
          <cell r="BB524" t="str">
            <v>.</v>
          </cell>
        </row>
        <row r="525">
          <cell r="BB525" t="str">
            <v>.</v>
          </cell>
        </row>
        <row r="526">
          <cell r="BB526" t="str">
            <v>.</v>
          </cell>
        </row>
        <row r="527">
          <cell r="BB527" t="str">
            <v>.</v>
          </cell>
        </row>
        <row r="528">
          <cell r="BB528" t="str">
            <v>.</v>
          </cell>
        </row>
        <row r="529">
          <cell r="BB529" t="str">
            <v>.</v>
          </cell>
        </row>
        <row r="530">
          <cell r="BB530" t="str">
            <v>.</v>
          </cell>
        </row>
        <row r="531">
          <cell r="BB531" t="str">
            <v>.</v>
          </cell>
        </row>
        <row r="532">
          <cell r="BB532" t="str">
            <v>.</v>
          </cell>
        </row>
        <row r="533">
          <cell r="BB533" t="str">
            <v>.</v>
          </cell>
        </row>
        <row r="534">
          <cell r="BB534" t="str">
            <v>.</v>
          </cell>
        </row>
        <row r="535">
          <cell r="BB535" t="str">
            <v>.</v>
          </cell>
        </row>
        <row r="536">
          <cell r="BB536" t="str">
            <v>.</v>
          </cell>
        </row>
        <row r="537">
          <cell r="BB537" t="str">
            <v>.</v>
          </cell>
        </row>
        <row r="538">
          <cell r="BB538" t="str">
            <v>.</v>
          </cell>
        </row>
        <row r="539">
          <cell r="BB539" t="str">
            <v>.</v>
          </cell>
        </row>
        <row r="540">
          <cell r="BB540" t="str">
            <v>.</v>
          </cell>
        </row>
        <row r="541">
          <cell r="BB541" t="str">
            <v>.</v>
          </cell>
        </row>
        <row r="542">
          <cell r="BB542" t="str">
            <v>.</v>
          </cell>
        </row>
        <row r="543">
          <cell r="BB543" t="str">
            <v>.</v>
          </cell>
        </row>
        <row r="544">
          <cell r="BB544" t="str">
            <v>.</v>
          </cell>
        </row>
        <row r="545">
          <cell r="BB545" t="str">
            <v>.</v>
          </cell>
        </row>
        <row r="546">
          <cell r="BB546" t="str">
            <v>.</v>
          </cell>
        </row>
        <row r="547">
          <cell r="BB547" t="str">
            <v>.</v>
          </cell>
        </row>
        <row r="548">
          <cell r="BB548" t="str">
            <v>.</v>
          </cell>
        </row>
        <row r="549">
          <cell r="BB549" t="str">
            <v>.</v>
          </cell>
        </row>
        <row r="550">
          <cell r="BB550" t="str">
            <v>.</v>
          </cell>
        </row>
        <row r="551">
          <cell r="BB551" t="str">
            <v>.</v>
          </cell>
        </row>
        <row r="552">
          <cell r="BB552" t="str">
            <v>.</v>
          </cell>
        </row>
        <row r="553">
          <cell r="BB553" t="str">
            <v>.</v>
          </cell>
        </row>
        <row r="554">
          <cell r="BB554" t="str">
            <v>.</v>
          </cell>
        </row>
        <row r="555">
          <cell r="BB555" t="str">
            <v>.</v>
          </cell>
        </row>
        <row r="556">
          <cell r="BB556" t="str">
            <v>.</v>
          </cell>
        </row>
        <row r="557">
          <cell r="BB557" t="str">
            <v>.</v>
          </cell>
        </row>
        <row r="558">
          <cell r="BB558" t="str">
            <v>.</v>
          </cell>
        </row>
        <row r="559">
          <cell r="BB559" t="str">
            <v>.</v>
          </cell>
        </row>
        <row r="560">
          <cell r="BB560" t="str">
            <v>.</v>
          </cell>
        </row>
        <row r="561">
          <cell r="BB561" t="str">
            <v>.</v>
          </cell>
        </row>
        <row r="562">
          <cell r="BB562" t="str">
            <v>.</v>
          </cell>
        </row>
        <row r="563">
          <cell r="BB563" t="str">
            <v>.</v>
          </cell>
        </row>
        <row r="564">
          <cell r="BB564" t="str">
            <v>.</v>
          </cell>
        </row>
        <row r="565">
          <cell r="BB565" t="str">
            <v>.</v>
          </cell>
        </row>
        <row r="566">
          <cell r="BB566" t="str">
            <v>.</v>
          </cell>
        </row>
        <row r="567">
          <cell r="BB567" t="str">
            <v>.</v>
          </cell>
        </row>
        <row r="568">
          <cell r="BB568" t="str">
            <v>.</v>
          </cell>
        </row>
        <row r="569">
          <cell r="BB569" t="str">
            <v>.</v>
          </cell>
        </row>
        <row r="570">
          <cell r="BB570" t="str">
            <v>.</v>
          </cell>
        </row>
        <row r="571">
          <cell r="BB571" t="str">
            <v>.</v>
          </cell>
        </row>
        <row r="572">
          <cell r="BB572" t="str">
            <v>.</v>
          </cell>
        </row>
        <row r="573">
          <cell r="BB573" t="str">
            <v>.</v>
          </cell>
        </row>
        <row r="574">
          <cell r="BB574" t="str">
            <v>.</v>
          </cell>
        </row>
        <row r="575">
          <cell r="BB575" t="str">
            <v>.</v>
          </cell>
        </row>
        <row r="576">
          <cell r="BB576" t="str">
            <v>.</v>
          </cell>
        </row>
        <row r="577">
          <cell r="BB577" t="str">
            <v>.</v>
          </cell>
        </row>
        <row r="578">
          <cell r="BB578" t="str">
            <v>.</v>
          </cell>
        </row>
        <row r="579">
          <cell r="BB579" t="str">
            <v>.</v>
          </cell>
        </row>
        <row r="580">
          <cell r="BB580" t="str">
            <v>.</v>
          </cell>
        </row>
        <row r="581">
          <cell r="BB581" t="str">
            <v>.</v>
          </cell>
        </row>
        <row r="582">
          <cell r="BB582" t="str">
            <v>.</v>
          </cell>
        </row>
        <row r="583">
          <cell r="BB583" t="str">
            <v>.</v>
          </cell>
        </row>
        <row r="584">
          <cell r="BB584" t="str">
            <v>.</v>
          </cell>
        </row>
        <row r="585">
          <cell r="BB585" t="str">
            <v>.</v>
          </cell>
        </row>
        <row r="586">
          <cell r="BB586" t="str">
            <v>.</v>
          </cell>
        </row>
        <row r="587">
          <cell r="BB587" t="str">
            <v>.</v>
          </cell>
        </row>
        <row r="588">
          <cell r="BB588" t="str">
            <v>.</v>
          </cell>
        </row>
        <row r="589">
          <cell r="BB589" t="str">
            <v>.</v>
          </cell>
        </row>
        <row r="590">
          <cell r="BB590" t="str">
            <v>.</v>
          </cell>
        </row>
        <row r="591">
          <cell r="BB591" t="str">
            <v>.</v>
          </cell>
        </row>
        <row r="592">
          <cell r="BB592" t="str">
            <v>.</v>
          </cell>
        </row>
        <row r="593">
          <cell r="BB593" t="str">
            <v>.</v>
          </cell>
        </row>
        <row r="594">
          <cell r="BB594" t="str">
            <v>.</v>
          </cell>
        </row>
        <row r="595">
          <cell r="BB595" t="str">
            <v>.</v>
          </cell>
        </row>
        <row r="596">
          <cell r="BB596" t="str">
            <v>.</v>
          </cell>
        </row>
        <row r="597">
          <cell r="BB597" t="str">
            <v>.</v>
          </cell>
        </row>
        <row r="598">
          <cell r="BB598" t="str">
            <v>.</v>
          </cell>
        </row>
        <row r="599">
          <cell r="BB599" t="str">
            <v>.</v>
          </cell>
        </row>
        <row r="600">
          <cell r="BB600" t="str">
            <v>.</v>
          </cell>
        </row>
        <row r="601">
          <cell r="BB601" t="str">
            <v>.</v>
          </cell>
        </row>
        <row r="602">
          <cell r="BB602" t="str">
            <v>.</v>
          </cell>
        </row>
        <row r="603">
          <cell r="BB603" t="str">
            <v>.</v>
          </cell>
        </row>
        <row r="604">
          <cell r="BB604" t="str">
            <v>.</v>
          </cell>
        </row>
        <row r="605">
          <cell r="BB605" t="str">
            <v>.</v>
          </cell>
        </row>
        <row r="606">
          <cell r="BB606" t="str">
            <v>.</v>
          </cell>
        </row>
        <row r="607">
          <cell r="BB607" t="str">
            <v>.</v>
          </cell>
        </row>
        <row r="608">
          <cell r="BB608" t="str">
            <v>.</v>
          </cell>
        </row>
        <row r="609">
          <cell r="BB609" t="str">
            <v>.</v>
          </cell>
        </row>
        <row r="610">
          <cell r="BB610" t="str">
            <v>.</v>
          </cell>
        </row>
        <row r="611">
          <cell r="BB611" t="str">
            <v>.</v>
          </cell>
        </row>
        <row r="612">
          <cell r="BB612" t="str">
            <v>.</v>
          </cell>
        </row>
        <row r="613">
          <cell r="BB613" t="str">
            <v>.</v>
          </cell>
        </row>
        <row r="614">
          <cell r="BB614" t="str">
            <v>.</v>
          </cell>
        </row>
        <row r="615">
          <cell r="BB615" t="str">
            <v>.</v>
          </cell>
        </row>
        <row r="616">
          <cell r="BB616" t="str">
            <v>.</v>
          </cell>
        </row>
        <row r="617">
          <cell r="BB617" t="str">
            <v>.</v>
          </cell>
        </row>
        <row r="618">
          <cell r="BB618" t="str">
            <v>.</v>
          </cell>
        </row>
        <row r="619">
          <cell r="BB619" t="str">
            <v>.</v>
          </cell>
        </row>
        <row r="620">
          <cell r="BB620" t="str">
            <v>.</v>
          </cell>
        </row>
        <row r="621">
          <cell r="BB621" t="str">
            <v>.</v>
          </cell>
        </row>
        <row r="622">
          <cell r="BB622" t="str">
            <v>.</v>
          </cell>
        </row>
        <row r="623">
          <cell r="BB623" t="str">
            <v>.</v>
          </cell>
        </row>
        <row r="624">
          <cell r="BB624" t="str">
            <v>.</v>
          </cell>
        </row>
        <row r="625">
          <cell r="BB625" t="str">
            <v>.</v>
          </cell>
        </row>
        <row r="626">
          <cell r="BB626" t="str">
            <v>.</v>
          </cell>
        </row>
        <row r="627">
          <cell r="BB627" t="str">
            <v>.</v>
          </cell>
        </row>
        <row r="628">
          <cell r="BB628" t="str">
            <v>.</v>
          </cell>
        </row>
        <row r="629">
          <cell r="BB629" t="str">
            <v>.</v>
          </cell>
        </row>
        <row r="630">
          <cell r="BB630" t="str">
            <v>.</v>
          </cell>
        </row>
        <row r="631">
          <cell r="BB631" t="str">
            <v>.</v>
          </cell>
        </row>
        <row r="632">
          <cell r="BB632" t="str">
            <v>.</v>
          </cell>
        </row>
        <row r="633">
          <cell r="BB633" t="str">
            <v>.</v>
          </cell>
        </row>
        <row r="634">
          <cell r="BB634" t="str">
            <v>.</v>
          </cell>
        </row>
        <row r="635">
          <cell r="BB635" t="str">
            <v>.</v>
          </cell>
        </row>
        <row r="636">
          <cell r="BB636" t="str">
            <v>.</v>
          </cell>
        </row>
        <row r="637">
          <cell r="BB637" t="str">
            <v>.</v>
          </cell>
        </row>
        <row r="638">
          <cell r="BB638" t="str">
            <v>.</v>
          </cell>
        </row>
        <row r="639">
          <cell r="BB639" t="str">
            <v>.</v>
          </cell>
        </row>
        <row r="640">
          <cell r="BB640" t="str">
            <v>.</v>
          </cell>
        </row>
        <row r="641">
          <cell r="BB641" t="str">
            <v>.</v>
          </cell>
        </row>
        <row r="642">
          <cell r="BB642" t="str">
            <v>.</v>
          </cell>
        </row>
        <row r="643">
          <cell r="BB643" t="str">
            <v>.</v>
          </cell>
        </row>
        <row r="644">
          <cell r="BB644" t="str">
            <v>.</v>
          </cell>
        </row>
        <row r="645">
          <cell r="BB645" t="str">
            <v>.</v>
          </cell>
        </row>
        <row r="646">
          <cell r="BB646" t="str">
            <v>.</v>
          </cell>
        </row>
        <row r="647">
          <cell r="BB647" t="str">
            <v>.</v>
          </cell>
        </row>
        <row r="648">
          <cell r="BB648" t="str">
            <v>.</v>
          </cell>
        </row>
        <row r="649">
          <cell r="BB649" t="str">
            <v>.</v>
          </cell>
        </row>
        <row r="650">
          <cell r="BB650" t="str">
            <v>.</v>
          </cell>
        </row>
        <row r="651">
          <cell r="BB651" t="str">
            <v>.</v>
          </cell>
        </row>
        <row r="652">
          <cell r="BB652" t="str">
            <v>.</v>
          </cell>
        </row>
        <row r="653">
          <cell r="BB653" t="str">
            <v>.</v>
          </cell>
        </row>
        <row r="654">
          <cell r="BB654" t="str">
            <v>.</v>
          </cell>
        </row>
        <row r="655">
          <cell r="BB655" t="str">
            <v>.</v>
          </cell>
        </row>
        <row r="656">
          <cell r="BB656" t="str">
            <v>.</v>
          </cell>
        </row>
        <row r="657">
          <cell r="BB657" t="str">
            <v>.</v>
          </cell>
        </row>
        <row r="658">
          <cell r="BB658" t="str">
            <v>.</v>
          </cell>
        </row>
        <row r="659">
          <cell r="BB659" t="str">
            <v>.</v>
          </cell>
        </row>
        <row r="660">
          <cell r="BB660" t="str">
            <v>.</v>
          </cell>
        </row>
        <row r="661">
          <cell r="BB661" t="str">
            <v>.</v>
          </cell>
        </row>
        <row r="662">
          <cell r="BB662" t="str">
            <v>.</v>
          </cell>
        </row>
        <row r="663">
          <cell r="BB663" t="str">
            <v>.</v>
          </cell>
        </row>
        <row r="664">
          <cell r="BB664" t="str">
            <v>.</v>
          </cell>
        </row>
        <row r="665">
          <cell r="BB665" t="str">
            <v>.</v>
          </cell>
        </row>
        <row r="666">
          <cell r="BB666" t="str">
            <v>.</v>
          </cell>
        </row>
        <row r="667">
          <cell r="BB667" t="str">
            <v>.</v>
          </cell>
        </row>
        <row r="668">
          <cell r="BB668" t="str">
            <v>.</v>
          </cell>
        </row>
        <row r="669">
          <cell r="BB669" t="str">
            <v>.</v>
          </cell>
        </row>
        <row r="670">
          <cell r="BB670" t="str">
            <v>.</v>
          </cell>
        </row>
        <row r="671">
          <cell r="BB671" t="str">
            <v>.</v>
          </cell>
        </row>
        <row r="672">
          <cell r="BB672" t="str">
            <v>.</v>
          </cell>
        </row>
        <row r="673">
          <cell r="BB673" t="str">
            <v>.</v>
          </cell>
        </row>
        <row r="674">
          <cell r="BB674" t="str">
            <v>.</v>
          </cell>
        </row>
        <row r="675">
          <cell r="BB675" t="str">
            <v>.</v>
          </cell>
        </row>
        <row r="676">
          <cell r="BB676" t="str">
            <v>.</v>
          </cell>
        </row>
        <row r="677">
          <cell r="BB677" t="str">
            <v>.</v>
          </cell>
        </row>
        <row r="678">
          <cell r="BB678" t="str">
            <v>.</v>
          </cell>
        </row>
        <row r="679">
          <cell r="BB679" t="str">
            <v>.</v>
          </cell>
        </row>
        <row r="680">
          <cell r="BB680" t="str">
            <v>.</v>
          </cell>
        </row>
        <row r="681">
          <cell r="BB681" t="str">
            <v>.</v>
          </cell>
        </row>
        <row r="682">
          <cell r="BB682" t="str">
            <v>.</v>
          </cell>
        </row>
        <row r="683">
          <cell r="BB683" t="str">
            <v>.</v>
          </cell>
        </row>
        <row r="684">
          <cell r="BB684" t="str">
            <v>.</v>
          </cell>
        </row>
        <row r="685">
          <cell r="BB685" t="str">
            <v>.</v>
          </cell>
        </row>
        <row r="686">
          <cell r="BB686" t="str">
            <v>.</v>
          </cell>
        </row>
        <row r="687">
          <cell r="BB687" t="str">
            <v>.</v>
          </cell>
        </row>
        <row r="688">
          <cell r="BB688" t="str">
            <v>.</v>
          </cell>
        </row>
        <row r="689">
          <cell r="BB689" t="str">
            <v>.</v>
          </cell>
        </row>
        <row r="690">
          <cell r="BB690" t="str">
            <v>.</v>
          </cell>
        </row>
        <row r="691">
          <cell r="BB691" t="str">
            <v>.</v>
          </cell>
        </row>
        <row r="692">
          <cell r="BB692" t="str">
            <v>.</v>
          </cell>
        </row>
        <row r="693">
          <cell r="BB693" t="str">
            <v>.</v>
          </cell>
        </row>
        <row r="694">
          <cell r="BB694" t="str">
            <v>.</v>
          </cell>
        </row>
        <row r="695">
          <cell r="BB695" t="str">
            <v>.</v>
          </cell>
        </row>
        <row r="696">
          <cell r="BB696" t="str">
            <v>.</v>
          </cell>
        </row>
        <row r="697">
          <cell r="BB697" t="str">
            <v>.</v>
          </cell>
        </row>
        <row r="698">
          <cell r="BB698" t="str">
            <v>.</v>
          </cell>
        </row>
        <row r="699">
          <cell r="BB699" t="str">
            <v>.</v>
          </cell>
        </row>
        <row r="700">
          <cell r="BB700" t="str">
            <v>.</v>
          </cell>
        </row>
        <row r="701">
          <cell r="BB701" t="str">
            <v>.</v>
          </cell>
        </row>
        <row r="702">
          <cell r="BB702" t="str">
            <v>.</v>
          </cell>
        </row>
        <row r="703">
          <cell r="BB703" t="str">
            <v>.</v>
          </cell>
        </row>
        <row r="704">
          <cell r="BB704" t="str">
            <v>.</v>
          </cell>
        </row>
        <row r="705">
          <cell r="BB705" t="str">
            <v>.</v>
          </cell>
        </row>
        <row r="706">
          <cell r="BB706" t="str">
            <v>.</v>
          </cell>
        </row>
        <row r="707">
          <cell r="BB707" t="str">
            <v>.</v>
          </cell>
        </row>
        <row r="708">
          <cell r="BB708" t="str">
            <v>.</v>
          </cell>
        </row>
        <row r="709">
          <cell r="BB709" t="str">
            <v>.</v>
          </cell>
        </row>
        <row r="710">
          <cell r="BB710" t="str">
            <v>.</v>
          </cell>
        </row>
        <row r="711">
          <cell r="BB711" t="str">
            <v>.</v>
          </cell>
        </row>
        <row r="712">
          <cell r="BB712" t="str">
            <v>.</v>
          </cell>
        </row>
        <row r="713">
          <cell r="BB713" t="str">
            <v>.</v>
          </cell>
        </row>
        <row r="714">
          <cell r="BB714" t="str">
            <v>.</v>
          </cell>
        </row>
        <row r="715">
          <cell r="BB715" t="str">
            <v>.</v>
          </cell>
        </row>
        <row r="716">
          <cell r="BB716" t="str">
            <v>.</v>
          </cell>
        </row>
        <row r="717">
          <cell r="BB717" t="str">
            <v>.</v>
          </cell>
        </row>
        <row r="718">
          <cell r="BB718" t="str">
            <v>.</v>
          </cell>
        </row>
        <row r="719">
          <cell r="BB719" t="str">
            <v>.</v>
          </cell>
        </row>
        <row r="720">
          <cell r="BB720" t="str">
            <v>.</v>
          </cell>
        </row>
        <row r="721">
          <cell r="BB721" t="str">
            <v>.</v>
          </cell>
        </row>
        <row r="722">
          <cell r="BB722" t="str">
            <v>.</v>
          </cell>
        </row>
        <row r="723">
          <cell r="BB723" t="str">
            <v>.</v>
          </cell>
        </row>
        <row r="724">
          <cell r="BB724" t="str">
            <v>.</v>
          </cell>
        </row>
        <row r="725">
          <cell r="BB725" t="str">
            <v>.</v>
          </cell>
        </row>
        <row r="726">
          <cell r="BB726" t="str">
            <v>.</v>
          </cell>
        </row>
        <row r="727">
          <cell r="BB727" t="str">
            <v>.</v>
          </cell>
        </row>
        <row r="728">
          <cell r="BB728" t="str">
            <v>.</v>
          </cell>
        </row>
        <row r="729">
          <cell r="BB729" t="str">
            <v>.</v>
          </cell>
        </row>
        <row r="730">
          <cell r="BB730" t="str">
            <v>.</v>
          </cell>
        </row>
        <row r="731">
          <cell r="BB731" t="str">
            <v>.</v>
          </cell>
        </row>
        <row r="732">
          <cell r="BB732" t="str">
            <v>.</v>
          </cell>
        </row>
        <row r="733">
          <cell r="BB733" t="str">
            <v>.</v>
          </cell>
        </row>
        <row r="734">
          <cell r="BB734" t="str">
            <v>.</v>
          </cell>
        </row>
        <row r="735">
          <cell r="BB735" t="str">
            <v>.</v>
          </cell>
        </row>
        <row r="736">
          <cell r="BB736" t="str">
            <v>.</v>
          </cell>
        </row>
        <row r="737">
          <cell r="BB737" t="str">
            <v>.</v>
          </cell>
        </row>
        <row r="738">
          <cell r="BB738" t="str">
            <v>.</v>
          </cell>
        </row>
        <row r="739">
          <cell r="BB739" t="str">
            <v>.</v>
          </cell>
        </row>
        <row r="740">
          <cell r="BB740" t="str">
            <v>.</v>
          </cell>
        </row>
        <row r="741">
          <cell r="BB741" t="str">
            <v>.</v>
          </cell>
        </row>
        <row r="742">
          <cell r="BB742" t="str">
            <v>.</v>
          </cell>
        </row>
        <row r="743">
          <cell r="BB743" t="str">
            <v>.</v>
          </cell>
        </row>
        <row r="744">
          <cell r="BB744" t="str">
            <v>.</v>
          </cell>
        </row>
        <row r="745">
          <cell r="BB745" t="str">
            <v>.</v>
          </cell>
        </row>
        <row r="746">
          <cell r="BB746" t="str">
            <v>.</v>
          </cell>
        </row>
        <row r="747">
          <cell r="BB747" t="str">
            <v>.</v>
          </cell>
        </row>
        <row r="748">
          <cell r="BB748" t="str">
            <v>.</v>
          </cell>
        </row>
        <row r="749">
          <cell r="BB749" t="str">
            <v>.</v>
          </cell>
        </row>
        <row r="750">
          <cell r="BB750" t="str">
            <v>.</v>
          </cell>
        </row>
        <row r="751">
          <cell r="BB751" t="str">
            <v>.</v>
          </cell>
        </row>
        <row r="752">
          <cell r="BB752" t="str">
            <v>.</v>
          </cell>
        </row>
        <row r="753">
          <cell r="BB753" t="str">
            <v>.</v>
          </cell>
        </row>
        <row r="754">
          <cell r="BB754" t="str">
            <v>.</v>
          </cell>
        </row>
        <row r="755">
          <cell r="BB755" t="str">
            <v>.</v>
          </cell>
        </row>
        <row r="756">
          <cell r="BB756" t="str">
            <v>.</v>
          </cell>
        </row>
        <row r="757">
          <cell r="BB757" t="str">
            <v>.</v>
          </cell>
        </row>
        <row r="758">
          <cell r="BB758" t="str">
            <v>.</v>
          </cell>
        </row>
        <row r="759">
          <cell r="BB759" t="str">
            <v>.</v>
          </cell>
        </row>
        <row r="760">
          <cell r="BB760" t="str">
            <v>.</v>
          </cell>
        </row>
        <row r="761">
          <cell r="BB761" t="str">
            <v>.</v>
          </cell>
        </row>
        <row r="762">
          <cell r="BB762" t="str">
            <v>.</v>
          </cell>
        </row>
        <row r="763">
          <cell r="BB763" t="str">
            <v>.</v>
          </cell>
        </row>
        <row r="764">
          <cell r="BB764" t="str">
            <v>.</v>
          </cell>
        </row>
        <row r="765">
          <cell r="BB765" t="str">
            <v>.</v>
          </cell>
        </row>
        <row r="766">
          <cell r="BB766" t="str">
            <v>.</v>
          </cell>
        </row>
        <row r="767">
          <cell r="BB767" t="str">
            <v>.</v>
          </cell>
        </row>
        <row r="768">
          <cell r="BB768" t="str">
            <v>.</v>
          </cell>
        </row>
        <row r="769">
          <cell r="BB769" t="str">
            <v>.</v>
          </cell>
        </row>
        <row r="770">
          <cell r="BB770" t="str">
            <v>.</v>
          </cell>
        </row>
        <row r="771">
          <cell r="BB771" t="str">
            <v>.</v>
          </cell>
        </row>
        <row r="772">
          <cell r="BB772" t="str">
            <v>.</v>
          </cell>
        </row>
        <row r="773">
          <cell r="BB773" t="str">
            <v>.</v>
          </cell>
        </row>
        <row r="774">
          <cell r="BB774" t="str">
            <v>.</v>
          </cell>
        </row>
        <row r="775">
          <cell r="BB775" t="str">
            <v>.</v>
          </cell>
        </row>
        <row r="776">
          <cell r="BB776" t="str">
            <v>.</v>
          </cell>
        </row>
        <row r="777">
          <cell r="BB777" t="str">
            <v>.</v>
          </cell>
        </row>
        <row r="778">
          <cell r="BB778" t="str">
            <v>.</v>
          </cell>
        </row>
        <row r="779">
          <cell r="BB779" t="str">
            <v>.</v>
          </cell>
        </row>
        <row r="780">
          <cell r="BB780" t="str">
            <v>.</v>
          </cell>
        </row>
        <row r="781">
          <cell r="BB781" t="str">
            <v>.</v>
          </cell>
        </row>
        <row r="782">
          <cell r="BB782" t="str">
            <v>.</v>
          </cell>
        </row>
        <row r="783">
          <cell r="BB783" t="str">
            <v>.</v>
          </cell>
        </row>
        <row r="784">
          <cell r="BB784" t="str">
            <v>.</v>
          </cell>
        </row>
        <row r="785">
          <cell r="BB785" t="str">
            <v>.</v>
          </cell>
        </row>
        <row r="786">
          <cell r="BB786" t="str">
            <v>.</v>
          </cell>
        </row>
        <row r="787">
          <cell r="BB787" t="str">
            <v>.</v>
          </cell>
        </row>
        <row r="788">
          <cell r="BB788" t="str">
            <v>.</v>
          </cell>
        </row>
        <row r="789">
          <cell r="BB789" t="str">
            <v>.</v>
          </cell>
        </row>
        <row r="790">
          <cell r="BB790" t="str">
            <v>.</v>
          </cell>
        </row>
        <row r="791">
          <cell r="BB791" t="str">
            <v>.</v>
          </cell>
        </row>
        <row r="792">
          <cell r="BB792" t="str">
            <v>.</v>
          </cell>
        </row>
        <row r="793">
          <cell r="BB793" t="str">
            <v>.</v>
          </cell>
        </row>
        <row r="794">
          <cell r="BB794" t="str">
            <v>.</v>
          </cell>
        </row>
        <row r="795">
          <cell r="BB795" t="str">
            <v>.</v>
          </cell>
        </row>
        <row r="796">
          <cell r="BB796" t="str">
            <v>.</v>
          </cell>
        </row>
        <row r="797">
          <cell r="BB797" t="str">
            <v>.</v>
          </cell>
        </row>
        <row r="798">
          <cell r="BB798" t="str">
            <v>.</v>
          </cell>
        </row>
        <row r="799">
          <cell r="BB799" t="str">
            <v>.</v>
          </cell>
        </row>
        <row r="800">
          <cell r="BB800" t="str">
            <v>.</v>
          </cell>
        </row>
        <row r="801">
          <cell r="BB801" t="str">
            <v>.</v>
          </cell>
        </row>
        <row r="802">
          <cell r="BB802" t="str">
            <v>.</v>
          </cell>
        </row>
        <row r="803">
          <cell r="BB803" t="str">
            <v>.</v>
          </cell>
        </row>
        <row r="804">
          <cell r="BB804" t="str">
            <v>.</v>
          </cell>
        </row>
        <row r="805">
          <cell r="BB805" t="str">
            <v>.</v>
          </cell>
        </row>
        <row r="806">
          <cell r="BB806" t="str">
            <v>.</v>
          </cell>
        </row>
        <row r="807">
          <cell r="BB807" t="str">
            <v>.</v>
          </cell>
        </row>
        <row r="808">
          <cell r="BB808" t="str">
            <v>.</v>
          </cell>
        </row>
        <row r="809">
          <cell r="BB809" t="str">
            <v>.</v>
          </cell>
        </row>
        <row r="810">
          <cell r="BB810" t="str">
            <v>.</v>
          </cell>
        </row>
        <row r="811">
          <cell r="BB811" t="str">
            <v>.</v>
          </cell>
        </row>
        <row r="812">
          <cell r="BB812" t="str">
            <v>.</v>
          </cell>
        </row>
        <row r="813">
          <cell r="BB813" t="str">
            <v>.</v>
          </cell>
        </row>
        <row r="814">
          <cell r="BB814" t="str">
            <v>.</v>
          </cell>
        </row>
        <row r="815">
          <cell r="BB815" t="str">
            <v>.</v>
          </cell>
        </row>
        <row r="816">
          <cell r="BB816" t="str">
            <v>.</v>
          </cell>
        </row>
        <row r="817">
          <cell r="BB817" t="str">
            <v>.</v>
          </cell>
        </row>
        <row r="818">
          <cell r="BB818" t="str">
            <v>.</v>
          </cell>
        </row>
        <row r="819">
          <cell r="BB819" t="str">
            <v>.</v>
          </cell>
        </row>
        <row r="820">
          <cell r="BB820" t="str">
            <v>.</v>
          </cell>
        </row>
        <row r="821">
          <cell r="BB821" t="str">
            <v>.</v>
          </cell>
        </row>
        <row r="822">
          <cell r="BB822" t="str">
            <v>.</v>
          </cell>
        </row>
        <row r="823">
          <cell r="BB823" t="str">
            <v>.</v>
          </cell>
        </row>
        <row r="824">
          <cell r="BB824" t="str">
            <v>.</v>
          </cell>
        </row>
        <row r="825">
          <cell r="BB825" t="str">
            <v>.</v>
          </cell>
        </row>
        <row r="826">
          <cell r="BB826" t="str">
            <v>.</v>
          </cell>
        </row>
        <row r="827">
          <cell r="BB827" t="str">
            <v>.</v>
          </cell>
        </row>
        <row r="828">
          <cell r="BB828" t="str">
            <v>.</v>
          </cell>
        </row>
        <row r="829">
          <cell r="BB829" t="str">
            <v>.</v>
          </cell>
        </row>
        <row r="830">
          <cell r="BB830" t="str">
            <v>.</v>
          </cell>
        </row>
        <row r="831">
          <cell r="BB831" t="str">
            <v>.</v>
          </cell>
        </row>
        <row r="832">
          <cell r="BB832" t="str">
            <v>.</v>
          </cell>
        </row>
        <row r="833">
          <cell r="BB833" t="str">
            <v>.</v>
          </cell>
        </row>
        <row r="834">
          <cell r="BB834" t="str">
            <v>.</v>
          </cell>
        </row>
        <row r="835">
          <cell r="BB835" t="str">
            <v>.</v>
          </cell>
        </row>
        <row r="836">
          <cell r="BB836" t="str">
            <v>.</v>
          </cell>
        </row>
        <row r="837">
          <cell r="BB837" t="str">
            <v>.</v>
          </cell>
        </row>
        <row r="838">
          <cell r="BB838" t="str">
            <v>.</v>
          </cell>
        </row>
        <row r="839">
          <cell r="BB839" t="str">
            <v>.</v>
          </cell>
        </row>
        <row r="840">
          <cell r="BB840" t="str">
            <v>.</v>
          </cell>
        </row>
        <row r="841">
          <cell r="BB841" t="str">
            <v>.</v>
          </cell>
        </row>
        <row r="842">
          <cell r="BB842" t="str">
            <v>.</v>
          </cell>
        </row>
        <row r="843">
          <cell r="BB843" t="str">
            <v>.</v>
          </cell>
        </row>
        <row r="844">
          <cell r="BB844" t="str">
            <v>.</v>
          </cell>
        </row>
        <row r="845">
          <cell r="BB845" t="str">
            <v>.</v>
          </cell>
        </row>
        <row r="846">
          <cell r="BB846" t="str">
            <v>.</v>
          </cell>
        </row>
        <row r="847">
          <cell r="BB847" t="str">
            <v>.</v>
          </cell>
        </row>
        <row r="848">
          <cell r="BB848" t="str">
            <v>.</v>
          </cell>
        </row>
        <row r="849">
          <cell r="BB849" t="str">
            <v>.</v>
          </cell>
        </row>
        <row r="850">
          <cell r="BB850" t="str">
            <v>.</v>
          </cell>
        </row>
        <row r="851">
          <cell r="BB851" t="str">
            <v>.</v>
          </cell>
        </row>
        <row r="852">
          <cell r="BB852" t="str">
            <v>.</v>
          </cell>
        </row>
        <row r="853">
          <cell r="BB853" t="str">
            <v>.</v>
          </cell>
        </row>
        <row r="854">
          <cell r="BB854" t="str">
            <v>.</v>
          </cell>
        </row>
        <row r="855">
          <cell r="BB855" t="str">
            <v>.</v>
          </cell>
        </row>
        <row r="856">
          <cell r="BB856" t="str">
            <v>.</v>
          </cell>
        </row>
        <row r="857">
          <cell r="BB857" t="str">
            <v>.</v>
          </cell>
        </row>
        <row r="858">
          <cell r="BB858" t="str">
            <v>.</v>
          </cell>
        </row>
        <row r="859">
          <cell r="BB859" t="str">
            <v>.</v>
          </cell>
        </row>
        <row r="860">
          <cell r="BB860" t="str">
            <v>.</v>
          </cell>
        </row>
        <row r="861">
          <cell r="BB861" t="str">
            <v>.</v>
          </cell>
        </row>
        <row r="862">
          <cell r="BB862" t="str">
            <v>.</v>
          </cell>
        </row>
        <row r="863">
          <cell r="BB863" t="str">
            <v>.</v>
          </cell>
        </row>
        <row r="864">
          <cell r="BB864" t="str">
            <v>.</v>
          </cell>
        </row>
        <row r="865">
          <cell r="BB865" t="str">
            <v>.</v>
          </cell>
        </row>
        <row r="866">
          <cell r="BB866" t="str">
            <v>.</v>
          </cell>
        </row>
        <row r="867">
          <cell r="BB867" t="str">
            <v>.</v>
          </cell>
        </row>
        <row r="868">
          <cell r="BB868" t="str">
            <v>.</v>
          </cell>
        </row>
        <row r="869">
          <cell r="BB869" t="str">
            <v>.</v>
          </cell>
        </row>
        <row r="870">
          <cell r="BB870" t="str">
            <v>.</v>
          </cell>
        </row>
        <row r="871">
          <cell r="BB871" t="str">
            <v>.</v>
          </cell>
        </row>
        <row r="872">
          <cell r="BB872" t="str">
            <v>.</v>
          </cell>
        </row>
        <row r="873">
          <cell r="BB873" t="str">
            <v>.</v>
          </cell>
        </row>
        <row r="874">
          <cell r="BB874" t="str">
            <v>.</v>
          </cell>
        </row>
        <row r="875">
          <cell r="BB875" t="str">
            <v>.</v>
          </cell>
        </row>
        <row r="876">
          <cell r="BB876" t="str">
            <v>.</v>
          </cell>
        </row>
        <row r="877">
          <cell r="BB877" t="str">
            <v>.</v>
          </cell>
        </row>
        <row r="878">
          <cell r="BB878" t="str">
            <v>.</v>
          </cell>
        </row>
        <row r="879">
          <cell r="BB879" t="str">
            <v>.</v>
          </cell>
        </row>
        <row r="880">
          <cell r="BB880" t="str">
            <v>.</v>
          </cell>
        </row>
        <row r="881">
          <cell r="BB881" t="str">
            <v>.</v>
          </cell>
        </row>
        <row r="882">
          <cell r="BB882" t="str">
            <v>.</v>
          </cell>
        </row>
        <row r="883">
          <cell r="BB883" t="str">
            <v>.</v>
          </cell>
        </row>
        <row r="884">
          <cell r="BB884" t="str">
            <v>.</v>
          </cell>
        </row>
        <row r="885">
          <cell r="BB885" t="str">
            <v>.</v>
          </cell>
        </row>
        <row r="886">
          <cell r="BB886" t="str">
            <v>.</v>
          </cell>
        </row>
        <row r="887">
          <cell r="BB887" t="str">
            <v>.</v>
          </cell>
        </row>
        <row r="888">
          <cell r="BB888" t="str">
            <v>.</v>
          </cell>
        </row>
        <row r="889">
          <cell r="BB889" t="str">
            <v>.</v>
          </cell>
        </row>
        <row r="890">
          <cell r="BB890" t="str">
            <v>.</v>
          </cell>
        </row>
        <row r="891">
          <cell r="BB891" t="str">
            <v>.</v>
          </cell>
        </row>
        <row r="892">
          <cell r="BB892" t="str">
            <v>.</v>
          </cell>
        </row>
        <row r="893">
          <cell r="BB893" t="str">
            <v>.</v>
          </cell>
        </row>
        <row r="894">
          <cell r="BB894" t="str">
            <v>.</v>
          </cell>
        </row>
        <row r="895">
          <cell r="BB895" t="str">
            <v>.</v>
          </cell>
        </row>
        <row r="896">
          <cell r="BB896" t="str">
            <v>.</v>
          </cell>
        </row>
        <row r="897">
          <cell r="BB897" t="str">
            <v>.</v>
          </cell>
        </row>
        <row r="898">
          <cell r="BB898" t="str">
            <v>.</v>
          </cell>
        </row>
        <row r="899">
          <cell r="BB899" t="str">
            <v>.</v>
          </cell>
        </row>
        <row r="900">
          <cell r="BB900" t="str">
            <v>.</v>
          </cell>
        </row>
        <row r="901">
          <cell r="BB901" t="str">
            <v>.</v>
          </cell>
        </row>
        <row r="902">
          <cell r="BB902" t="str">
            <v>.</v>
          </cell>
        </row>
        <row r="903">
          <cell r="BB903" t="str">
            <v>.</v>
          </cell>
        </row>
        <row r="904">
          <cell r="BB904" t="str">
            <v>.</v>
          </cell>
        </row>
        <row r="905">
          <cell r="BB905" t="str">
            <v>.</v>
          </cell>
        </row>
        <row r="906">
          <cell r="BB906" t="str">
            <v>.</v>
          </cell>
        </row>
        <row r="907">
          <cell r="BB907" t="str">
            <v>.</v>
          </cell>
        </row>
        <row r="908">
          <cell r="BB908" t="str">
            <v>.</v>
          </cell>
        </row>
        <row r="909">
          <cell r="BB909" t="str">
            <v>.</v>
          </cell>
        </row>
        <row r="910">
          <cell r="BB910" t="str">
            <v>.</v>
          </cell>
        </row>
        <row r="911">
          <cell r="BB911" t="str">
            <v>.</v>
          </cell>
        </row>
        <row r="912">
          <cell r="BB912" t="str">
            <v>.</v>
          </cell>
        </row>
        <row r="913">
          <cell r="BB913" t="str">
            <v>.</v>
          </cell>
        </row>
        <row r="914">
          <cell r="BB914" t="str">
            <v>.</v>
          </cell>
        </row>
        <row r="915">
          <cell r="BB915" t="str">
            <v>.</v>
          </cell>
        </row>
        <row r="916">
          <cell r="BB916" t="str">
            <v>.</v>
          </cell>
        </row>
        <row r="917">
          <cell r="BB917" t="str">
            <v>.</v>
          </cell>
        </row>
        <row r="918">
          <cell r="BB918" t="str">
            <v>.</v>
          </cell>
        </row>
        <row r="919">
          <cell r="BB919" t="str">
            <v>.</v>
          </cell>
        </row>
        <row r="920">
          <cell r="BB920" t="str">
            <v>.</v>
          </cell>
        </row>
        <row r="921">
          <cell r="BB921" t="str">
            <v>.</v>
          </cell>
        </row>
        <row r="922">
          <cell r="BB922" t="str">
            <v>.</v>
          </cell>
        </row>
        <row r="923">
          <cell r="BB923" t="str">
            <v>.</v>
          </cell>
        </row>
        <row r="924">
          <cell r="BB924" t="str">
            <v>.</v>
          </cell>
        </row>
        <row r="925">
          <cell r="BB925" t="str">
            <v>.</v>
          </cell>
        </row>
        <row r="926">
          <cell r="BB926" t="str">
            <v>.</v>
          </cell>
        </row>
        <row r="927">
          <cell r="BB927" t="str">
            <v>.</v>
          </cell>
        </row>
        <row r="928">
          <cell r="BB928" t="str">
            <v>.</v>
          </cell>
        </row>
        <row r="929">
          <cell r="BB929" t="str">
            <v>.</v>
          </cell>
        </row>
        <row r="930">
          <cell r="BB930" t="str">
            <v>.</v>
          </cell>
        </row>
        <row r="931">
          <cell r="BB931" t="str">
            <v>.</v>
          </cell>
        </row>
        <row r="932">
          <cell r="BB932" t="str">
            <v>.</v>
          </cell>
        </row>
        <row r="933">
          <cell r="BB933" t="str">
            <v>.</v>
          </cell>
        </row>
        <row r="934">
          <cell r="BB934" t="str">
            <v>.</v>
          </cell>
        </row>
        <row r="935">
          <cell r="BB935" t="str">
            <v>.</v>
          </cell>
        </row>
        <row r="936">
          <cell r="BB936" t="str">
            <v>.</v>
          </cell>
        </row>
        <row r="937">
          <cell r="BB937" t="str">
            <v>.</v>
          </cell>
        </row>
        <row r="938">
          <cell r="BB938" t="str">
            <v>.</v>
          </cell>
        </row>
        <row r="939">
          <cell r="BB939" t="str">
            <v>.</v>
          </cell>
        </row>
        <row r="940">
          <cell r="BB940" t="str">
            <v>.</v>
          </cell>
        </row>
        <row r="941">
          <cell r="BB941" t="str">
            <v>.</v>
          </cell>
        </row>
        <row r="942">
          <cell r="BB942" t="str">
            <v>.</v>
          </cell>
        </row>
        <row r="943">
          <cell r="BB943" t="str">
            <v>.</v>
          </cell>
        </row>
        <row r="944">
          <cell r="BB944" t="str">
            <v>.</v>
          </cell>
        </row>
        <row r="945">
          <cell r="BB945" t="str">
            <v>.</v>
          </cell>
        </row>
        <row r="946">
          <cell r="BB946" t="str">
            <v>.</v>
          </cell>
        </row>
        <row r="947">
          <cell r="BB947" t="str">
            <v>.</v>
          </cell>
        </row>
        <row r="948">
          <cell r="BB948" t="str">
            <v>.</v>
          </cell>
        </row>
        <row r="949">
          <cell r="BB949" t="str">
            <v>.</v>
          </cell>
        </row>
        <row r="950">
          <cell r="BB950" t="str">
            <v>.</v>
          </cell>
        </row>
        <row r="951">
          <cell r="BB951" t="str">
            <v>.</v>
          </cell>
        </row>
        <row r="952">
          <cell r="BB952" t="str">
            <v>.</v>
          </cell>
        </row>
        <row r="953">
          <cell r="BB953" t="str">
            <v>.</v>
          </cell>
        </row>
        <row r="954">
          <cell r="BB954" t="str">
            <v>.</v>
          </cell>
        </row>
        <row r="955">
          <cell r="BB955" t="str">
            <v>.</v>
          </cell>
        </row>
        <row r="956">
          <cell r="BB956" t="str">
            <v>.</v>
          </cell>
        </row>
        <row r="957">
          <cell r="BB957" t="str">
            <v>.</v>
          </cell>
        </row>
        <row r="958">
          <cell r="BB958" t="str">
            <v>.</v>
          </cell>
        </row>
        <row r="959">
          <cell r="BB959" t="str">
            <v>.</v>
          </cell>
        </row>
        <row r="960">
          <cell r="BB960" t="str">
            <v>.</v>
          </cell>
        </row>
        <row r="961">
          <cell r="BB961" t="str">
            <v>.</v>
          </cell>
        </row>
        <row r="962">
          <cell r="BB962" t="str">
            <v>.</v>
          </cell>
        </row>
        <row r="963">
          <cell r="BB963" t="str">
            <v>.</v>
          </cell>
        </row>
        <row r="964">
          <cell r="BB964" t="str">
            <v>.</v>
          </cell>
        </row>
        <row r="965">
          <cell r="BB965" t="str">
            <v>.</v>
          </cell>
        </row>
        <row r="966">
          <cell r="BB966" t="str">
            <v>.</v>
          </cell>
        </row>
        <row r="967">
          <cell r="BB967" t="str">
            <v>.</v>
          </cell>
        </row>
        <row r="968">
          <cell r="BB968" t="str">
            <v>.</v>
          </cell>
        </row>
        <row r="969">
          <cell r="BB969" t="str">
            <v>.</v>
          </cell>
        </row>
        <row r="970">
          <cell r="BB970" t="str">
            <v>.</v>
          </cell>
        </row>
        <row r="971">
          <cell r="BB971" t="str">
            <v>.</v>
          </cell>
        </row>
        <row r="972">
          <cell r="BB972" t="str">
            <v>.</v>
          </cell>
        </row>
        <row r="973">
          <cell r="BB973" t="str">
            <v>.</v>
          </cell>
        </row>
        <row r="974">
          <cell r="BB974" t="str">
            <v>.</v>
          </cell>
        </row>
        <row r="975">
          <cell r="BB975" t="str">
            <v>.</v>
          </cell>
        </row>
        <row r="976">
          <cell r="BB976" t="str">
            <v>.</v>
          </cell>
        </row>
        <row r="977">
          <cell r="BB977" t="str">
            <v>.</v>
          </cell>
        </row>
        <row r="978">
          <cell r="BB978" t="str">
            <v>.</v>
          </cell>
        </row>
        <row r="979">
          <cell r="BB979" t="str">
            <v>.</v>
          </cell>
        </row>
        <row r="980">
          <cell r="BB980" t="str">
            <v>.</v>
          </cell>
        </row>
        <row r="981">
          <cell r="BB981" t="str">
            <v>.</v>
          </cell>
        </row>
        <row r="982">
          <cell r="BB982" t="str">
            <v>.</v>
          </cell>
        </row>
        <row r="983">
          <cell r="BB983" t="str">
            <v>.</v>
          </cell>
        </row>
        <row r="984">
          <cell r="BB984" t="str">
            <v>.</v>
          </cell>
        </row>
        <row r="985">
          <cell r="BB985" t="str">
            <v>.</v>
          </cell>
        </row>
        <row r="986">
          <cell r="BB986" t="str">
            <v>.</v>
          </cell>
        </row>
        <row r="987">
          <cell r="BB987" t="str">
            <v>.</v>
          </cell>
        </row>
        <row r="988">
          <cell r="BB988" t="str">
            <v>.</v>
          </cell>
        </row>
        <row r="989">
          <cell r="BB989" t="str">
            <v>.</v>
          </cell>
        </row>
        <row r="990">
          <cell r="BB990" t="str">
            <v>.</v>
          </cell>
        </row>
        <row r="991">
          <cell r="BB991" t="str">
            <v>.</v>
          </cell>
        </row>
        <row r="992">
          <cell r="BB992" t="str">
            <v>.</v>
          </cell>
        </row>
        <row r="993">
          <cell r="BB993" t="str">
            <v>.</v>
          </cell>
        </row>
        <row r="994">
          <cell r="BB994" t="str">
            <v>.</v>
          </cell>
        </row>
        <row r="995">
          <cell r="BB995" t="str">
            <v>.</v>
          </cell>
        </row>
        <row r="996">
          <cell r="BB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I997" t="str">
            <v>.</v>
          </cell>
          <cell r="T997" t="str">
            <v>.</v>
          </cell>
          <cell r="U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  <cell r="BB997" t="str">
            <v>.</v>
          </cell>
        </row>
      </sheetData>
      <sheetData sheetId="4"/>
      <sheetData sheetId="5">
        <row r="1">
          <cell r="S1" t="str">
            <v>SmartCharts</v>
          </cell>
          <cell r="BB1" t="str">
            <v>.</v>
          </cell>
        </row>
        <row r="2">
          <cell r="BB2" t="str">
            <v>.</v>
          </cell>
        </row>
        <row r="3">
          <cell r="BB3" t="str">
            <v>.</v>
          </cell>
        </row>
        <row r="4">
          <cell r="BB4" t="str">
            <v>.</v>
          </cell>
        </row>
        <row r="5">
          <cell r="C5" t="str">
            <v>Define value axis here:</v>
          </cell>
        </row>
        <row r="6">
          <cell r="C6" t="str">
            <v>Pharmaceutical Revenue Contribution</v>
          </cell>
        </row>
        <row r="10">
          <cell r="C10" t="str">
            <v>Input your data here:</v>
          </cell>
          <cell r="BB10" t="str">
            <v>.</v>
          </cell>
        </row>
        <row r="11">
          <cell r="D11" t="str">
            <v>Traditional</v>
          </cell>
          <cell r="E11" t="str">
            <v>Biologic</v>
          </cell>
          <cell r="BB11" t="str">
            <v>.</v>
          </cell>
        </row>
        <row r="12">
          <cell r="C12">
            <v>2010</v>
          </cell>
          <cell r="D12">
            <v>0.82430001699349376</v>
          </cell>
          <cell r="E12">
            <v>0.17569998300650647</v>
          </cell>
          <cell r="BB12" t="str">
            <v>.</v>
          </cell>
        </row>
        <row r="13">
          <cell r="C13">
            <v>2011</v>
          </cell>
          <cell r="D13">
            <v>0.80735644965960518</v>
          </cell>
          <cell r="E13">
            <v>0.19264355034039463</v>
          </cell>
          <cell r="BB13" t="str">
            <v>.</v>
          </cell>
        </row>
        <row r="14">
          <cell r="C14">
            <v>2012</v>
          </cell>
          <cell r="D14">
            <v>0.74906834211819795</v>
          </cell>
          <cell r="E14">
            <v>0.25093165788180211</v>
          </cell>
          <cell r="BB14" t="str">
            <v>.</v>
          </cell>
        </row>
        <row r="15">
          <cell r="C15">
            <v>2013</v>
          </cell>
          <cell r="D15">
            <v>0.72367300587064676</v>
          </cell>
          <cell r="E15">
            <v>0.27632699412935324</v>
          </cell>
          <cell r="BB15" t="str">
            <v>.</v>
          </cell>
        </row>
        <row r="16">
          <cell r="C16">
            <v>2014</v>
          </cell>
          <cell r="D16">
            <v>0.70424570108479179</v>
          </cell>
          <cell r="E16">
            <v>0.29575429891520816</v>
          </cell>
          <cell r="BB16" t="str">
            <v>.</v>
          </cell>
        </row>
        <row r="17">
          <cell r="C17">
            <v>2015</v>
          </cell>
          <cell r="D17">
            <v>0.68245948091534925</v>
          </cell>
          <cell r="E17">
            <v>0.3175405190846507</v>
          </cell>
          <cell r="BB17" t="str">
            <v>.</v>
          </cell>
        </row>
        <row r="18">
          <cell r="BB18" t="str">
            <v>.</v>
          </cell>
        </row>
        <row r="20">
          <cell r="BB20" t="str">
            <v>.</v>
          </cell>
        </row>
        <row r="21">
          <cell r="BB21" t="str">
            <v>.</v>
          </cell>
        </row>
        <row r="22">
          <cell r="BB22" t="str">
            <v>.</v>
          </cell>
        </row>
        <row r="23">
          <cell r="BB23" t="str">
            <v>.</v>
          </cell>
        </row>
        <row r="24">
          <cell r="BB24" t="str">
            <v>.</v>
          </cell>
        </row>
        <row r="25">
          <cell r="BB25" t="str">
            <v>.</v>
          </cell>
        </row>
        <row r="26">
          <cell r="BB26" t="str">
            <v>.</v>
          </cell>
        </row>
        <row r="27">
          <cell r="BB27" t="str">
            <v>.</v>
          </cell>
        </row>
        <row r="28">
          <cell r="BB28" t="str">
            <v>.</v>
          </cell>
        </row>
        <row r="29">
          <cell r="BB29" t="str">
            <v>.</v>
          </cell>
        </row>
        <row r="30">
          <cell r="BB30" t="str">
            <v>.</v>
          </cell>
        </row>
        <row r="31">
          <cell r="BB31" t="str">
            <v>.</v>
          </cell>
        </row>
        <row r="32">
          <cell r="BB32" t="str">
            <v>.</v>
          </cell>
        </row>
        <row r="33">
          <cell r="BB33" t="str">
            <v>.</v>
          </cell>
        </row>
        <row r="34">
          <cell r="BB34" t="str">
            <v>.</v>
          </cell>
        </row>
        <row r="35">
          <cell r="BB35" t="str">
            <v>.</v>
          </cell>
        </row>
        <row r="36">
          <cell r="BB36" t="str">
            <v>.</v>
          </cell>
        </row>
        <row r="37">
          <cell r="K37" t="str">
            <v>Do not change the width of the exhibit or font sizes (they are optimized for export to Word).</v>
          </cell>
          <cell r="BB37" t="str">
            <v>.</v>
          </cell>
        </row>
        <row r="38">
          <cell r="BB38" t="str">
            <v>.</v>
          </cell>
        </row>
        <row r="39">
          <cell r="K39" t="str">
            <v>Do not delete any rows or columns (some gray cells are used for calculations).</v>
          </cell>
          <cell r="BB39" t="str">
            <v>.</v>
          </cell>
        </row>
        <row r="40">
          <cell r="BB40" t="str">
            <v>.</v>
          </cell>
        </row>
        <row r="41">
          <cell r="BB41" t="str">
            <v>.</v>
          </cell>
        </row>
        <row r="42">
          <cell r="BB42" t="str">
            <v>.</v>
          </cell>
        </row>
        <row r="43">
          <cell r="BB43" t="str">
            <v>.</v>
          </cell>
        </row>
        <row r="44">
          <cell r="BB44" t="str">
            <v>.</v>
          </cell>
        </row>
        <row r="45">
          <cell r="BB45" t="str">
            <v>.</v>
          </cell>
        </row>
        <row r="46">
          <cell r="BB46" t="str">
            <v>.</v>
          </cell>
        </row>
        <row r="47">
          <cell r="BB47" t="str">
            <v>.</v>
          </cell>
        </row>
        <row r="48">
          <cell r="BB48" t="str">
            <v>.</v>
          </cell>
        </row>
        <row r="49">
          <cell r="BB49" t="str">
            <v>.</v>
          </cell>
        </row>
        <row r="50">
          <cell r="BB50" t="str">
            <v>.</v>
          </cell>
        </row>
        <row r="51">
          <cell r="BB51" t="str">
            <v>.</v>
          </cell>
        </row>
        <row r="52">
          <cell r="BB52" t="str">
            <v>.</v>
          </cell>
        </row>
        <row r="53">
          <cell r="BB53" t="str">
            <v>.</v>
          </cell>
        </row>
        <row r="54">
          <cell r="BB54" t="str">
            <v>.</v>
          </cell>
        </row>
        <row r="55">
          <cell r="BB55" t="str">
            <v>.</v>
          </cell>
        </row>
        <row r="56">
          <cell r="BB56" t="str">
            <v>.</v>
          </cell>
        </row>
        <row r="57">
          <cell r="BB57" t="str">
            <v>.</v>
          </cell>
        </row>
        <row r="58">
          <cell r="BB58" t="str">
            <v>.</v>
          </cell>
        </row>
        <row r="59">
          <cell r="BB59" t="str">
            <v>.</v>
          </cell>
        </row>
        <row r="60">
          <cell r="BB60" t="str">
            <v>.</v>
          </cell>
        </row>
        <row r="61">
          <cell r="BB61" t="str">
            <v>.</v>
          </cell>
        </row>
        <row r="62">
          <cell r="BB62" t="str">
            <v>.</v>
          </cell>
        </row>
        <row r="63">
          <cell r="BB63" t="str">
            <v>.</v>
          </cell>
        </row>
        <row r="64">
          <cell r="BB64" t="str">
            <v>.</v>
          </cell>
        </row>
        <row r="65">
          <cell r="BB65" t="str">
            <v>.</v>
          </cell>
        </row>
        <row r="66">
          <cell r="BB66" t="str">
            <v>.</v>
          </cell>
        </row>
        <row r="67">
          <cell r="BB67" t="str">
            <v>.</v>
          </cell>
        </row>
        <row r="68">
          <cell r="BB68" t="str">
            <v>.</v>
          </cell>
        </row>
        <row r="69">
          <cell r="BB69" t="str">
            <v>.</v>
          </cell>
        </row>
        <row r="70">
          <cell r="BB70" t="str">
            <v>.</v>
          </cell>
        </row>
        <row r="71">
          <cell r="BB71" t="str">
            <v>.</v>
          </cell>
        </row>
        <row r="72">
          <cell r="BB72" t="str">
            <v>.</v>
          </cell>
        </row>
        <row r="73">
          <cell r="BB73" t="str">
            <v>.</v>
          </cell>
        </row>
        <row r="74">
          <cell r="BB74" t="str">
            <v>.</v>
          </cell>
        </row>
        <row r="75">
          <cell r="BB75" t="str">
            <v>.</v>
          </cell>
        </row>
        <row r="76">
          <cell r="BB76" t="str">
            <v>.</v>
          </cell>
        </row>
        <row r="77">
          <cell r="BB77" t="str">
            <v>.</v>
          </cell>
        </row>
        <row r="78">
          <cell r="BB78" t="str">
            <v>.</v>
          </cell>
        </row>
        <row r="79">
          <cell r="BB79" t="str">
            <v>.</v>
          </cell>
        </row>
        <row r="80">
          <cell r="BB80" t="str">
            <v>.</v>
          </cell>
        </row>
        <row r="81">
          <cell r="BB81" t="str">
            <v>.</v>
          </cell>
        </row>
        <row r="82">
          <cell r="BB82" t="str">
            <v>.</v>
          </cell>
        </row>
        <row r="83">
          <cell r="BB83" t="str">
            <v>.</v>
          </cell>
        </row>
        <row r="84">
          <cell r="BB84" t="str">
            <v>.</v>
          </cell>
        </row>
        <row r="85">
          <cell r="BB85" t="str">
            <v>.</v>
          </cell>
        </row>
        <row r="86">
          <cell r="BB86" t="str">
            <v>.</v>
          </cell>
        </row>
        <row r="87">
          <cell r="BB87" t="str">
            <v>.</v>
          </cell>
        </row>
        <row r="88">
          <cell r="BB88" t="str">
            <v>.</v>
          </cell>
        </row>
        <row r="89">
          <cell r="BB89" t="str">
            <v>.</v>
          </cell>
        </row>
        <row r="90">
          <cell r="BB90" t="str">
            <v>.</v>
          </cell>
        </row>
        <row r="91">
          <cell r="BB91" t="str">
            <v>.</v>
          </cell>
        </row>
        <row r="92">
          <cell r="BB92" t="str">
            <v>.</v>
          </cell>
        </row>
        <row r="93">
          <cell r="BB93" t="str">
            <v>.</v>
          </cell>
        </row>
        <row r="94">
          <cell r="BB94" t="str">
            <v>.</v>
          </cell>
        </row>
        <row r="95">
          <cell r="BB95" t="str">
            <v>.</v>
          </cell>
        </row>
        <row r="96">
          <cell r="BB96" t="str">
            <v>.</v>
          </cell>
        </row>
        <row r="97">
          <cell r="BB97" t="str">
            <v>.</v>
          </cell>
        </row>
        <row r="98">
          <cell r="BB98" t="str">
            <v>.</v>
          </cell>
        </row>
        <row r="99">
          <cell r="BB99" t="str">
            <v>.</v>
          </cell>
        </row>
        <row r="100">
          <cell r="BB100" t="str">
            <v>.</v>
          </cell>
        </row>
        <row r="101">
          <cell r="BB101" t="str">
            <v>.</v>
          </cell>
        </row>
        <row r="102">
          <cell r="BB102" t="str">
            <v>.</v>
          </cell>
        </row>
        <row r="103">
          <cell r="BB103" t="str">
            <v>.</v>
          </cell>
        </row>
        <row r="104">
          <cell r="BB104" t="str">
            <v>.</v>
          </cell>
        </row>
        <row r="105">
          <cell r="BB105" t="str">
            <v>.</v>
          </cell>
        </row>
        <row r="106">
          <cell r="BB106" t="str">
            <v>.</v>
          </cell>
        </row>
        <row r="107">
          <cell r="BB107" t="str">
            <v>.</v>
          </cell>
        </row>
        <row r="108">
          <cell r="BB108" t="str">
            <v>.</v>
          </cell>
        </row>
        <row r="109">
          <cell r="BB109" t="str">
            <v>.</v>
          </cell>
        </row>
        <row r="110">
          <cell r="BB110" t="str">
            <v>.</v>
          </cell>
        </row>
        <row r="111">
          <cell r="BB111" t="str">
            <v>.</v>
          </cell>
        </row>
        <row r="112">
          <cell r="BB112" t="str">
            <v>.</v>
          </cell>
        </row>
        <row r="113">
          <cell r="BB113" t="str">
            <v>.</v>
          </cell>
        </row>
        <row r="114">
          <cell r="BB114" t="str">
            <v>.</v>
          </cell>
        </row>
        <row r="115">
          <cell r="BB115" t="str">
            <v>.</v>
          </cell>
        </row>
        <row r="116">
          <cell r="BB116" t="str">
            <v>.</v>
          </cell>
        </row>
        <row r="117">
          <cell r="BB117" t="str">
            <v>.</v>
          </cell>
        </row>
        <row r="118">
          <cell r="BB118" t="str">
            <v>.</v>
          </cell>
        </row>
        <row r="119">
          <cell r="BB119" t="str">
            <v>.</v>
          </cell>
        </row>
        <row r="120">
          <cell r="BB120" t="str">
            <v>.</v>
          </cell>
        </row>
        <row r="121">
          <cell r="BB121" t="str">
            <v>.</v>
          </cell>
        </row>
        <row r="122">
          <cell r="BB122" t="str">
            <v>.</v>
          </cell>
        </row>
        <row r="123">
          <cell r="BB123" t="str">
            <v>.</v>
          </cell>
        </row>
        <row r="124">
          <cell r="BB124" t="str">
            <v>.</v>
          </cell>
        </row>
        <row r="125">
          <cell r="BB125" t="str">
            <v>.</v>
          </cell>
        </row>
        <row r="126">
          <cell r="BB126" t="str">
            <v>.</v>
          </cell>
        </row>
        <row r="127">
          <cell r="BB127" t="str">
            <v>.</v>
          </cell>
        </row>
        <row r="128">
          <cell r="BB128" t="str">
            <v>.</v>
          </cell>
        </row>
        <row r="129">
          <cell r="BB129" t="str">
            <v>.</v>
          </cell>
        </row>
        <row r="130">
          <cell r="BB130" t="str">
            <v>.</v>
          </cell>
        </row>
        <row r="131">
          <cell r="BB131" t="str">
            <v>.</v>
          </cell>
        </row>
        <row r="132">
          <cell r="BB132" t="str">
            <v>.</v>
          </cell>
        </row>
        <row r="133">
          <cell r="BB133" t="str">
            <v>.</v>
          </cell>
        </row>
        <row r="134">
          <cell r="BB134" t="str">
            <v>.</v>
          </cell>
        </row>
        <row r="135">
          <cell r="BB135" t="str">
            <v>.</v>
          </cell>
        </row>
        <row r="136">
          <cell r="BB136" t="str">
            <v>.</v>
          </cell>
        </row>
        <row r="137">
          <cell r="BB137" t="str">
            <v>.</v>
          </cell>
        </row>
        <row r="138">
          <cell r="BB138" t="str">
            <v>.</v>
          </cell>
        </row>
        <row r="139">
          <cell r="BB139" t="str">
            <v>.</v>
          </cell>
        </row>
        <row r="140">
          <cell r="BB140" t="str">
            <v>.</v>
          </cell>
        </row>
        <row r="141">
          <cell r="BB141" t="str">
            <v>.</v>
          </cell>
        </row>
        <row r="142">
          <cell r="BB142" t="str">
            <v>.</v>
          </cell>
        </row>
        <row r="143">
          <cell r="BB143" t="str">
            <v>.</v>
          </cell>
        </row>
        <row r="144">
          <cell r="BB144" t="str">
            <v>.</v>
          </cell>
        </row>
        <row r="145">
          <cell r="BB145" t="str">
            <v>.</v>
          </cell>
        </row>
        <row r="146">
          <cell r="BB146" t="str">
            <v>.</v>
          </cell>
        </row>
        <row r="147">
          <cell r="BB147" t="str">
            <v>.</v>
          </cell>
        </row>
        <row r="148">
          <cell r="BB148" t="str">
            <v>.</v>
          </cell>
        </row>
        <row r="149">
          <cell r="BB149" t="str">
            <v>.</v>
          </cell>
        </row>
        <row r="150">
          <cell r="BB150" t="str">
            <v>.</v>
          </cell>
        </row>
        <row r="151">
          <cell r="BB151" t="str">
            <v>.</v>
          </cell>
        </row>
        <row r="152">
          <cell r="BB152" t="str">
            <v>.</v>
          </cell>
        </row>
        <row r="153">
          <cell r="BB153" t="str">
            <v>.</v>
          </cell>
        </row>
        <row r="154">
          <cell r="BB154" t="str">
            <v>.</v>
          </cell>
        </row>
        <row r="155">
          <cell r="BB155" t="str">
            <v>.</v>
          </cell>
        </row>
        <row r="156">
          <cell r="BB156" t="str">
            <v>.</v>
          </cell>
        </row>
        <row r="157">
          <cell r="BB157" t="str">
            <v>.</v>
          </cell>
        </row>
        <row r="158">
          <cell r="BB158" t="str">
            <v>.</v>
          </cell>
        </row>
        <row r="159">
          <cell r="BB159" t="str">
            <v>.</v>
          </cell>
        </row>
        <row r="160">
          <cell r="BB160" t="str">
            <v>.</v>
          </cell>
        </row>
        <row r="161">
          <cell r="BB161" t="str">
            <v>.</v>
          </cell>
        </row>
        <row r="162">
          <cell r="BB162" t="str">
            <v>.</v>
          </cell>
        </row>
        <row r="163">
          <cell r="BB163" t="str">
            <v>.</v>
          </cell>
        </row>
        <row r="164">
          <cell r="BB164" t="str">
            <v>.</v>
          </cell>
        </row>
        <row r="165">
          <cell r="BB165" t="str">
            <v>.</v>
          </cell>
        </row>
        <row r="166">
          <cell r="BB166" t="str">
            <v>.</v>
          </cell>
        </row>
        <row r="167">
          <cell r="BB167" t="str">
            <v>.</v>
          </cell>
        </row>
        <row r="168">
          <cell r="BB168" t="str">
            <v>.</v>
          </cell>
        </row>
        <row r="169">
          <cell r="BB169" t="str">
            <v>.</v>
          </cell>
        </row>
        <row r="170">
          <cell r="BB170" t="str">
            <v>.</v>
          </cell>
        </row>
        <row r="171">
          <cell r="BB171" t="str">
            <v>.</v>
          </cell>
        </row>
        <row r="172">
          <cell r="BB172" t="str">
            <v>.</v>
          </cell>
        </row>
        <row r="173">
          <cell r="BB173" t="str">
            <v>.</v>
          </cell>
        </row>
        <row r="174">
          <cell r="BB174" t="str">
            <v>.</v>
          </cell>
        </row>
        <row r="175">
          <cell r="BB175" t="str">
            <v>.</v>
          </cell>
        </row>
        <row r="176">
          <cell r="BB176" t="str">
            <v>.</v>
          </cell>
        </row>
        <row r="177">
          <cell r="BB177" t="str">
            <v>.</v>
          </cell>
        </row>
        <row r="178">
          <cell r="BB178" t="str">
            <v>.</v>
          </cell>
        </row>
        <row r="179">
          <cell r="BB179" t="str">
            <v>.</v>
          </cell>
        </row>
        <row r="180">
          <cell r="BB180" t="str">
            <v>.</v>
          </cell>
        </row>
        <row r="181">
          <cell r="BB181" t="str">
            <v>.</v>
          </cell>
        </row>
        <row r="182">
          <cell r="BB182" t="str">
            <v>.</v>
          </cell>
        </row>
        <row r="183">
          <cell r="BB183" t="str">
            <v>.</v>
          </cell>
        </row>
        <row r="184">
          <cell r="BB184" t="str">
            <v>.</v>
          </cell>
        </row>
        <row r="185">
          <cell r="BB185" t="str">
            <v>.</v>
          </cell>
        </row>
        <row r="186">
          <cell r="BB186" t="str">
            <v>.</v>
          </cell>
        </row>
        <row r="187">
          <cell r="BB187" t="str">
            <v>.</v>
          </cell>
        </row>
        <row r="188">
          <cell r="BB188" t="str">
            <v>.</v>
          </cell>
        </row>
        <row r="189">
          <cell r="BB189" t="str">
            <v>.</v>
          </cell>
        </row>
        <row r="190">
          <cell r="BB190" t="str">
            <v>.</v>
          </cell>
        </row>
        <row r="191">
          <cell r="BB191" t="str">
            <v>.</v>
          </cell>
        </row>
        <row r="192">
          <cell r="BB192" t="str">
            <v>.</v>
          </cell>
        </row>
        <row r="193">
          <cell r="BB193" t="str">
            <v>.</v>
          </cell>
        </row>
        <row r="194">
          <cell r="BB194" t="str">
            <v>.</v>
          </cell>
        </row>
        <row r="195">
          <cell r="BB195" t="str">
            <v>.</v>
          </cell>
        </row>
        <row r="196">
          <cell r="BB196" t="str">
            <v>.</v>
          </cell>
        </row>
        <row r="197">
          <cell r="BB197" t="str">
            <v>.</v>
          </cell>
        </row>
        <row r="198">
          <cell r="BB198" t="str">
            <v>.</v>
          </cell>
        </row>
        <row r="199">
          <cell r="BB199" t="str">
            <v>.</v>
          </cell>
        </row>
        <row r="200">
          <cell r="BB200" t="str">
            <v>.</v>
          </cell>
        </row>
        <row r="201">
          <cell r="BB201" t="str">
            <v>.</v>
          </cell>
        </row>
        <row r="202">
          <cell r="BB202" t="str">
            <v>.</v>
          </cell>
        </row>
        <row r="203">
          <cell r="BB203" t="str">
            <v>.</v>
          </cell>
        </row>
        <row r="204">
          <cell r="BB204" t="str">
            <v>.</v>
          </cell>
        </row>
        <row r="205">
          <cell r="BB205" t="str">
            <v>.</v>
          </cell>
        </row>
        <row r="206">
          <cell r="BB206" t="str">
            <v>.</v>
          </cell>
        </row>
        <row r="207">
          <cell r="BB207" t="str">
            <v>.</v>
          </cell>
        </row>
        <row r="208">
          <cell r="BB208" t="str">
            <v>.</v>
          </cell>
        </row>
        <row r="209">
          <cell r="BB209" t="str">
            <v>.</v>
          </cell>
        </row>
        <row r="210">
          <cell r="BB210" t="str">
            <v>.</v>
          </cell>
        </row>
        <row r="211">
          <cell r="BB211" t="str">
            <v>.</v>
          </cell>
        </row>
        <row r="212">
          <cell r="BB212" t="str">
            <v>.</v>
          </cell>
        </row>
        <row r="213">
          <cell r="BB213" t="str">
            <v>.</v>
          </cell>
        </row>
        <row r="214">
          <cell r="BB214" t="str">
            <v>.</v>
          </cell>
        </row>
        <row r="215">
          <cell r="BB215" t="str">
            <v>.</v>
          </cell>
        </row>
        <row r="216">
          <cell r="BB216" t="str">
            <v>.</v>
          </cell>
        </row>
        <row r="217">
          <cell r="BB217" t="str">
            <v>.</v>
          </cell>
        </row>
        <row r="218">
          <cell r="BB218" t="str">
            <v>.</v>
          </cell>
        </row>
        <row r="219">
          <cell r="BB219" t="str">
            <v>.</v>
          </cell>
        </row>
        <row r="220">
          <cell r="BB220" t="str">
            <v>.</v>
          </cell>
        </row>
        <row r="221">
          <cell r="BB221" t="str">
            <v>.</v>
          </cell>
        </row>
        <row r="222">
          <cell r="BB222" t="str">
            <v>.</v>
          </cell>
        </row>
        <row r="223">
          <cell r="BB223" t="str">
            <v>.</v>
          </cell>
        </row>
        <row r="224">
          <cell r="BB224" t="str">
            <v>.</v>
          </cell>
        </row>
        <row r="225">
          <cell r="BB225" t="str">
            <v>.</v>
          </cell>
        </row>
        <row r="226">
          <cell r="BB226" t="str">
            <v>.</v>
          </cell>
        </row>
        <row r="227">
          <cell r="BB227" t="str">
            <v>.</v>
          </cell>
        </row>
        <row r="228">
          <cell r="BB228" t="str">
            <v>.</v>
          </cell>
        </row>
        <row r="229">
          <cell r="BB229" t="str">
            <v>.</v>
          </cell>
        </row>
        <row r="230">
          <cell r="BB230" t="str">
            <v>.</v>
          </cell>
        </row>
        <row r="231">
          <cell r="BB231" t="str">
            <v>.</v>
          </cell>
        </row>
        <row r="232">
          <cell r="BB232" t="str">
            <v>.</v>
          </cell>
        </row>
        <row r="233">
          <cell r="BB233" t="str">
            <v>.</v>
          </cell>
        </row>
        <row r="234">
          <cell r="BB234" t="str">
            <v>.</v>
          </cell>
        </row>
        <row r="235">
          <cell r="BB235" t="str">
            <v>.</v>
          </cell>
        </row>
        <row r="236">
          <cell r="BB236" t="str">
            <v>.</v>
          </cell>
        </row>
        <row r="237">
          <cell r="BB237" t="str">
            <v>.</v>
          </cell>
        </row>
        <row r="238">
          <cell r="BB238" t="str">
            <v>.</v>
          </cell>
        </row>
        <row r="239">
          <cell r="BB239" t="str">
            <v>.</v>
          </cell>
        </row>
        <row r="240">
          <cell r="BB240" t="str">
            <v>.</v>
          </cell>
        </row>
        <row r="241">
          <cell r="BB241" t="str">
            <v>.</v>
          </cell>
        </row>
        <row r="242">
          <cell r="BB242" t="str">
            <v>.</v>
          </cell>
        </row>
        <row r="243">
          <cell r="BB243" t="str">
            <v>.</v>
          </cell>
        </row>
        <row r="244">
          <cell r="BB244" t="str">
            <v>.</v>
          </cell>
        </row>
        <row r="245">
          <cell r="BB245" t="str">
            <v>.</v>
          </cell>
        </row>
        <row r="246">
          <cell r="BB246" t="str">
            <v>.</v>
          </cell>
        </row>
        <row r="247">
          <cell r="BB247" t="str">
            <v>.</v>
          </cell>
        </row>
        <row r="248">
          <cell r="BB248" t="str">
            <v>.</v>
          </cell>
        </row>
        <row r="249">
          <cell r="BB249" t="str">
            <v>.</v>
          </cell>
        </row>
        <row r="250">
          <cell r="BB250" t="str">
            <v>.</v>
          </cell>
        </row>
        <row r="251">
          <cell r="BB251" t="str">
            <v>.</v>
          </cell>
        </row>
        <row r="252">
          <cell r="BB252" t="str">
            <v>.</v>
          </cell>
        </row>
        <row r="253">
          <cell r="BB253" t="str">
            <v>.</v>
          </cell>
        </row>
        <row r="254">
          <cell r="BB254" t="str">
            <v>.</v>
          </cell>
        </row>
        <row r="255">
          <cell r="BB255" t="str">
            <v>.</v>
          </cell>
        </row>
        <row r="256">
          <cell r="BB256" t="str">
            <v>.</v>
          </cell>
        </row>
        <row r="257">
          <cell r="BB257" t="str">
            <v>.</v>
          </cell>
        </row>
        <row r="258">
          <cell r="BB258" t="str">
            <v>.</v>
          </cell>
        </row>
        <row r="259">
          <cell r="BB259" t="str">
            <v>.</v>
          </cell>
        </row>
        <row r="260">
          <cell r="BB260" t="str">
            <v>.</v>
          </cell>
        </row>
        <row r="261">
          <cell r="BB261" t="str">
            <v>.</v>
          </cell>
        </row>
        <row r="262">
          <cell r="BB262" t="str">
            <v>.</v>
          </cell>
        </row>
        <row r="263">
          <cell r="BB263" t="str">
            <v>.</v>
          </cell>
        </row>
        <row r="264">
          <cell r="BB264" t="str">
            <v>.</v>
          </cell>
        </row>
        <row r="265">
          <cell r="BB265" t="str">
            <v>.</v>
          </cell>
        </row>
        <row r="266">
          <cell r="BB266" t="str">
            <v>.</v>
          </cell>
        </row>
        <row r="267">
          <cell r="BB267" t="str">
            <v>.</v>
          </cell>
        </row>
        <row r="268">
          <cell r="BB268" t="str">
            <v>.</v>
          </cell>
        </row>
        <row r="269">
          <cell r="BB269" t="str">
            <v>.</v>
          </cell>
        </row>
        <row r="270">
          <cell r="BB270" t="str">
            <v>.</v>
          </cell>
        </row>
        <row r="271">
          <cell r="BB271" t="str">
            <v>.</v>
          </cell>
        </row>
        <row r="272">
          <cell r="BB272" t="str">
            <v>.</v>
          </cell>
        </row>
        <row r="273">
          <cell r="BB273" t="str">
            <v>.</v>
          </cell>
        </row>
        <row r="274">
          <cell r="BB274" t="str">
            <v>.</v>
          </cell>
        </row>
        <row r="275">
          <cell r="BB275" t="str">
            <v>.</v>
          </cell>
        </row>
        <row r="276">
          <cell r="BB276" t="str">
            <v>.</v>
          </cell>
        </row>
        <row r="277">
          <cell r="BB277" t="str">
            <v>.</v>
          </cell>
        </row>
        <row r="278">
          <cell r="BB278" t="str">
            <v>.</v>
          </cell>
        </row>
        <row r="279">
          <cell r="BB279" t="str">
            <v>.</v>
          </cell>
        </row>
        <row r="280">
          <cell r="BB280" t="str">
            <v>.</v>
          </cell>
        </row>
        <row r="281">
          <cell r="BB281" t="str">
            <v>.</v>
          </cell>
        </row>
        <row r="282">
          <cell r="BB282" t="str">
            <v>.</v>
          </cell>
        </row>
        <row r="283">
          <cell r="BB283" t="str">
            <v>.</v>
          </cell>
        </row>
        <row r="284">
          <cell r="BB284" t="str">
            <v>.</v>
          </cell>
        </row>
        <row r="285">
          <cell r="BB285" t="str">
            <v>.</v>
          </cell>
        </row>
        <row r="286">
          <cell r="BB286" t="str">
            <v>.</v>
          </cell>
        </row>
        <row r="287">
          <cell r="BB287" t="str">
            <v>.</v>
          </cell>
        </row>
        <row r="288">
          <cell r="BB288" t="str">
            <v>.</v>
          </cell>
        </row>
        <row r="289">
          <cell r="BB289" t="str">
            <v>.</v>
          </cell>
        </row>
        <row r="290">
          <cell r="BB290" t="str">
            <v>.</v>
          </cell>
        </row>
        <row r="291">
          <cell r="BB291" t="str">
            <v>.</v>
          </cell>
        </row>
        <row r="292">
          <cell r="BB292" t="str">
            <v>.</v>
          </cell>
        </row>
        <row r="293">
          <cell r="BB293" t="str">
            <v>.</v>
          </cell>
        </row>
        <row r="294">
          <cell r="BB294" t="str">
            <v>.</v>
          </cell>
        </row>
        <row r="295">
          <cell r="BB295" t="str">
            <v>.</v>
          </cell>
        </row>
        <row r="296">
          <cell r="BB296" t="str">
            <v>.</v>
          </cell>
        </row>
        <row r="297">
          <cell r="BB297" t="str">
            <v>.</v>
          </cell>
        </row>
        <row r="298">
          <cell r="BB298" t="str">
            <v>.</v>
          </cell>
        </row>
        <row r="299">
          <cell r="BB299" t="str">
            <v>.</v>
          </cell>
        </row>
        <row r="300">
          <cell r="BB300" t="str">
            <v>.</v>
          </cell>
        </row>
        <row r="301">
          <cell r="BB301" t="str">
            <v>.</v>
          </cell>
        </row>
        <row r="302">
          <cell r="BB302" t="str">
            <v>.</v>
          </cell>
        </row>
        <row r="303">
          <cell r="BB303" t="str">
            <v>.</v>
          </cell>
        </row>
        <row r="304">
          <cell r="BB304" t="str">
            <v>.</v>
          </cell>
        </row>
        <row r="305">
          <cell r="BB305" t="str">
            <v>.</v>
          </cell>
        </row>
        <row r="306">
          <cell r="BB306" t="str">
            <v>.</v>
          </cell>
        </row>
        <row r="307">
          <cell r="BB307" t="str">
            <v>.</v>
          </cell>
        </row>
        <row r="308">
          <cell r="BB308" t="str">
            <v>.</v>
          </cell>
        </row>
        <row r="309">
          <cell r="BB309" t="str">
            <v>.</v>
          </cell>
        </row>
        <row r="310">
          <cell r="BB310" t="str">
            <v>.</v>
          </cell>
        </row>
        <row r="311">
          <cell r="BB311" t="str">
            <v>.</v>
          </cell>
        </row>
        <row r="312">
          <cell r="BB312" t="str">
            <v>.</v>
          </cell>
        </row>
        <row r="313">
          <cell r="BB313" t="str">
            <v>.</v>
          </cell>
        </row>
        <row r="314">
          <cell r="BB314" t="str">
            <v>.</v>
          </cell>
        </row>
        <row r="315">
          <cell r="BB315" t="str">
            <v>.</v>
          </cell>
        </row>
        <row r="316">
          <cell r="BB316" t="str">
            <v>.</v>
          </cell>
        </row>
        <row r="317">
          <cell r="BB317" t="str">
            <v>.</v>
          </cell>
        </row>
        <row r="318">
          <cell r="BB318" t="str">
            <v>.</v>
          </cell>
        </row>
        <row r="319">
          <cell r="BB319" t="str">
            <v>.</v>
          </cell>
        </row>
        <row r="320">
          <cell r="BB320" t="str">
            <v>.</v>
          </cell>
        </row>
        <row r="321">
          <cell r="BB321" t="str">
            <v>.</v>
          </cell>
        </row>
        <row r="322">
          <cell r="BB322" t="str">
            <v>.</v>
          </cell>
        </row>
        <row r="323">
          <cell r="BB323" t="str">
            <v>.</v>
          </cell>
        </row>
        <row r="324">
          <cell r="BB324" t="str">
            <v>.</v>
          </cell>
        </row>
        <row r="325">
          <cell r="BB325" t="str">
            <v>.</v>
          </cell>
        </row>
        <row r="326">
          <cell r="BB326" t="str">
            <v>.</v>
          </cell>
        </row>
        <row r="327">
          <cell r="BB327" t="str">
            <v>.</v>
          </cell>
        </row>
        <row r="328">
          <cell r="BB328" t="str">
            <v>.</v>
          </cell>
        </row>
        <row r="329">
          <cell r="BB329" t="str">
            <v>.</v>
          </cell>
        </row>
        <row r="330">
          <cell r="BB330" t="str">
            <v>.</v>
          </cell>
        </row>
        <row r="331">
          <cell r="BB331" t="str">
            <v>.</v>
          </cell>
        </row>
        <row r="332">
          <cell r="BB332" t="str">
            <v>.</v>
          </cell>
        </row>
        <row r="333">
          <cell r="BB333" t="str">
            <v>.</v>
          </cell>
        </row>
        <row r="334">
          <cell r="BB334" t="str">
            <v>.</v>
          </cell>
        </row>
        <row r="335">
          <cell r="BB335" t="str">
            <v>.</v>
          </cell>
        </row>
        <row r="336">
          <cell r="BB336" t="str">
            <v>.</v>
          </cell>
        </row>
        <row r="337">
          <cell r="BB337" t="str">
            <v>.</v>
          </cell>
        </row>
        <row r="338">
          <cell r="BB338" t="str">
            <v>.</v>
          </cell>
        </row>
        <row r="339">
          <cell r="BB339" t="str">
            <v>.</v>
          </cell>
        </row>
        <row r="340">
          <cell r="BB340" t="str">
            <v>.</v>
          </cell>
        </row>
        <row r="341">
          <cell r="BB341" t="str">
            <v>.</v>
          </cell>
        </row>
        <row r="342">
          <cell r="BB342" t="str">
            <v>.</v>
          </cell>
        </row>
        <row r="343">
          <cell r="BB343" t="str">
            <v>.</v>
          </cell>
        </row>
        <row r="344">
          <cell r="BB344" t="str">
            <v>.</v>
          </cell>
        </row>
        <row r="345">
          <cell r="BB345" t="str">
            <v>.</v>
          </cell>
        </row>
        <row r="346">
          <cell r="BB346" t="str">
            <v>.</v>
          </cell>
        </row>
        <row r="347">
          <cell r="BB347" t="str">
            <v>.</v>
          </cell>
        </row>
        <row r="348">
          <cell r="BB348" t="str">
            <v>.</v>
          </cell>
        </row>
        <row r="349">
          <cell r="BB349" t="str">
            <v>.</v>
          </cell>
        </row>
        <row r="350">
          <cell r="BB350" t="str">
            <v>.</v>
          </cell>
        </row>
        <row r="351">
          <cell r="BB351" t="str">
            <v>.</v>
          </cell>
        </row>
        <row r="352">
          <cell r="BB352" t="str">
            <v>.</v>
          </cell>
        </row>
        <row r="353">
          <cell r="BB353" t="str">
            <v>.</v>
          </cell>
        </row>
        <row r="354">
          <cell r="BB354" t="str">
            <v>.</v>
          </cell>
        </row>
        <row r="355">
          <cell r="BB355" t="str">
            <v>.</v>
          </cell>
        </row>
        <row r="356">
          <cell r="BB356" t="str">
            <v>.</v>
          </cell>
        </row>
        <row r="357">
          <cell r="BB357" t="str">
            <v>.</v>
          </cell>
        </row>
        <row r="358">
          <cell r="BB358" t="str">
            <v>.</v>
          </cell>
        </row>
        <row r="359">
          <cell r="BB359" t="str">
            <v>.</v>
          </cell>
        </row>
        <row r="360">
          <cell r="BB360" t="str">
            <v>.</v>
          </cell>
        </row>
        <row r="361">
          <cell r="BB361" t="str">
            <v>.</v>
          </cell>
        </row>
        <row r="362">
          <cell r="BB362" t="str">
            <v>.</v>
          </cell>
        </row>
        <row r="363">
          <cell r="BB363" t="str">
            <v>.</v>
          </cell>
        </row>
        <row r="364">
          <cell r="BB364" t="str">
            <v>.</v>
          </cell>
        </row>
        <row r="365">
          <cell r="BB365" t="str">
            <v>.</v>
          </cell>
        </row>
        <row r="366">
          <cell r="BB366" t="str">
            <v>.</v>
          </cell>
        </row>
        <row r="367">
          <cell r="BB367" t="str">
            <v>.</v>
          </cell>
        </row>
        <row r="368">
          <cell r="BB368" t="str">
            <v>.</v>
          </cell>
        </row>
        <row r="369">
          <cell r="BB369" t="str">
            <v>.</v>
          </cell>
        </row>
        <row r="370">
          <cell r="BB370" t="str">
            <v>.</v>
          </cell>
        </row>
        <row r="371">
          <cell r="BB371" t="str">
            <v>.</v>
          </cell>
        </row>
        <row r="372">
          <cell r="BB372" t="str">
            <v>.</v>
          </cell>
        </row>
        <row r="373">
          <cell r="BB373" t="str">
            <v>.</v>
          </cell>
        </row>
        <row r="374">
          <cell r="BB374" t="str">
            <v>.</v>
          </cell>
        </row>
        <row r="375">
          <cell r="BB375" t="str">
            <v>.</v>
          </cell>
        </row>
        <row r="376">
          <cell r="BB376" t="str">
            <v>.</v>
          </cell>
        </row>
        <row r="377">
          <cell r="BB377" t="str">
            <v>.</v>
          </cell>
        </row>
        <row r="378">
          <cell r="BB378" t="str">
            <v>.</v>
          </cell>
        </row>
        <row r="379">
          <cell r="BB379" t="str">
            <v>.</v>
          </cell>
        </row>
        <row r="380">
          <cell r="BB380" t="str">
            <v>.</v>
          </cell>
        </row>
        <row r="381">
          <cell r="BB381" t="str">
            <v>.</v>
          </cell>
        </row>
        <row r="382">
          <cell r="BB382" t="str">
            <v>.</v>
          </cell>
        </row>
        <row r="383">
          <cell r="BB383" t="str">
            <v>.</v>
          </cell>
        </row>
        <row r="384">
          <cell r="BB384" t="str">
            <v>.</v>
          </cell>
        </row>
        <row r="385">
          <cell r="BB385" t="str">
            <v>.</v>
          </cell>
        </row>
        <row r="386">
          <cell r="BB386" t="str">
            <v>.</v>
          </cell>
        </row>
        <row r="387">
          <cell r="BB387" t="str">
            <v>.</v>
          </cell>
        </row>
        <row r="388">
          <cell r="BB388" t="str">
            <v>.</v>
          </cell>
        </row>
        <row r="389">
          <cell r="BB389" t="str">
            <v>.</v>
          </cell>
        </row>
        <row r="390">
          <cell r="BB390" t="str">
            <v>.</v>
          </cell>
        </row>
        <row r="391">
          <cell r="BB391" t="str">
            <v>.</v>
          </cell>
        </row>
        <row r="392">
          <cell r="BB392" t="str">
            <v>.</v>
          </cell>
        </row>
        <row r="393">
          <cell r="BB393" t="str">
            <v>.</v>
          </cell>
        </row>
        <row r="394">
          <cell r="BB394" t="str">
            <v>.</v>
          </cell>
        </row>
        <row r="395">
          <cell r="BB395" t="str">
            <v>.</v>
          </cell>
        </row>
        <row r="396">
          <cell r="BB396" t="str">
            <v>.</v>
          </cell>
        </row>
        <row r="397">
          <cell r="BB397" t="str">
            <v>.</v>
          </cell>
        </row>
        <row r="398">
          <cell r="BB398" t="str">
            <v>.</v>
          </cell>
        </row>
        <row r="399">
          <cell r="BB399" t="str">
            <v>.</v>
          </cell>
        </row>
        <row r="400">
          <cell r="BB400" t="str">
            <v>.</v>
          </cell>
        </row>
        <row r="401">
          <cell r="BB401" t="str">
            <v>.</v>
          </cell>
        </row>
        <row r="402">
          <cell r="BB402" t="str">
            <v>.</v>
          </cell>
        </row>
        <row r="403">
          <cell r="BB403" t="str">
            <v>.</v>
          </cell>
        </row>
        <row r="404">
          <cell r="BB404" t="str">
            <v>.</v>
          </cell>
        </row>
        <row r="405">
          <cell r="BB405" t="str">
            <v>.</v>
          </cell>
        </row>
        <row r="406">
          <cell r="BB406" t="str">
            <v>.</v>
          </cell>
        </row>
        <row r="407">
          <cell r="BB407" t="str">
            <v>.</v>
          </cell>
        </row>
        <row r="408">
          <cell r="BB408" t="str">
            <v>.</v>
          </cell>
        </row>
        <row r="409">
          <cell r="BB409" t="str">
            <v>.</v>
          </cell>
        </row>
        <row r="410">
          <cell r="BB410" t="str">
            <v>.</v>
          </cell>
        </row>
        <row r="411">
          <cell r="BB411" t="str">
            <v>.</v>
          </cell>
        </row>
        <row r="412">
          <cell r="BB412" t="str">
            <v>.</v>
          </cell>
        </row>
        <row r="413">
          <cell r="BB413" t="str">
            <v>.</v>
          </cell>
        </row>
        <row r="414">
          <cell r="BB414" t="str">
            <v>.</v>
          </cell>
        </row>
        <row r="415">
          <cell r="BB415" t="str">
            <v>.</v>
          </cell>
        </row>
        <row r="416">
          <cell r="BB416" t="str">
            <v>.</v>
          </cell>
        </row>
        <row r="417">
          <cell r="BB417" t="str">
            <v>.</v>
          </cell>
        </row>
        <row r="418">
          <cell r="BB418" t="str">
            <v>.</v>
          </cell>
        </row>
        <row r="419">
          <cell r="BB419" t="str">
            <v>.</v>
          </cell>
        </row>
        <row r="420">
          <cell r="BB420" t="str">
            <v>.</v>
          </cell>
        </row>
        <row r="421">
          <cell r="BB421" t="str">
            <v>.</v>
          </cell>
        </row>
        <row r="422">
          <cell r="BB422" t="str">
            <v>.</v>
          </cell>
        </row>
        <row r="423">
          <cell r="BB423" t="str">
            <v>.</v>
          </cell>
        </row>
        <row r="424">
          <cell r="BB424" t="str">
            <v>.</v>
          </cell>
        </row>
        <row r="425">
          <cell r="BB425" t="str">
            <v>.</v>
          </cell>
        </row>
        <row r="426">
          <cell r="BB426" t="str">
            <v>.</v>
          </cell>
        </row>
        <row r="427">
          <cell r="BB427" t="str">
            <v>.</v>
          </cell>
        </row>
        <row r="428">
          <cell r="BB428" t="str">
            <v>.</v>
          </cell>
        </row>
        <row r="429">
          <cell r="BB429" t="str">
            <v>.</v>
          </cell>
        </row>
        <row r="430">
          <cell r="BB430" t="str">
            <v>.</v>
          </cell>
        </row>
        <row r="431">
          <cell r="BB431" t="str">
            <v>.</v>
          </cell>
        </row>
        <row r="432">
          <cell r="BB432" t="str">
            <v>.</v>
          </cell>
        </row>
        <row r="433">
          <cell r="BB433" t="str">
            <v>.</v>
          </cell>
        </row>
        <row r="434">
          <cell r="BB434" t="str">
            <v>.</v>
          </cell>
        </row>
        <row r="435">
          <cell r="BB435" t="str">
            <v>.</v>
          </cell>
        </row>
        <row r="436">
          <cell r="BB436" t="str">
            <v>.</v>
          </cell>
        </row>
        <row r="437">
          <cell r="BB437" t="str">
            <v>.</v>
          </cell>
        </row>
        <row r="438">
          <cell r="BB438" t="str">
            <v>.</v>
          </cell>
        </row>
        <row r="439">
          <cell r="BB439" t="str">
            <v>.</v>
          </cell>
        </row>
        <row r="440">
          <cell r="BB440" t="str">
            <v>.</v>
          </cell>
        </row>
        <row r="441">
          <cell r="BB441" t="str">
            <v>.</v>
          </cell>
        </row>
        <row r="442">
          <cell r="BB442" t="str">
            <v>.</v>
          </cell>
        </row>
        <row r="443">
          <cell r="BB443" t="str">
            <v>.</v>
          </cell>
        </row>
        <row r="444">
          <cell r="BB444" t="str">
            <v>.</v>
          </cell>
        </row>
        <row r="445">
          <cell r="BB445" t="str">
            <v>.</v>
          </cell>
        </row>
        <row r="446">
          <cell r="BB446" t="str">
            <v>.</v>
          </cell>
        </row>
        <row r="447">
          <cell r="BB447" t="str">
            <v>.</v>
          </cell>
        </row>
        <row r="448">
          <cell r="BB448" t="str">
            <v>.</v>
          </cell>
        </row>
        <row r="449">
          <cell r="BB449" t="str">
            <v>.</v>
          </cell>
        </row>
        <row r="450">
          <cell r="BB450" t="str">
            <v>.</v>
          </cell>
        </row>
        <row r="451">
          <cell r="BB451" t="str">
            <v>.</v>
          </cell>
        </row>
        <row r="452">
          <cell r="BB452" t="str">
            <v>.</v>
          </cell>
        </row>
        <row r="453">
          <cell r="BB453" t="str">
            <v>.</v>
          </cell>
        </row>
        <row r="454">
          <cell r="BB454" t="str">
            <v>.</v>
          </cell>
        </row>
        <row r="455">
          <cell r="BB455" t="str">
            <v>.</v>
          </cell>
        </row>
        <row r="456">
          <cell r="BB456" t="str">
            <v>.</v>
          </cell>
        </row>
        <row r="457">
          <cell r="BB457" t="str">
            <v>.</v>
          </cell>
        </row>
        <row r="458">
          <cell r="BB458" t="str">
            <v>.</v>
          </cell>
        </row>
        <row r="459">
          <cell r="BB459" t="str">
            <v>.</v>
          </cell>
        </row>
        <row r="460">
          <cell r="BB460" t="str">
            <v>.</v>
          </cell>
        </row>
        <row r="461">
          <cell r="BB461" t="str">
            <v>.</v>
          </cell>
        </row>
        <row r="462">
          <cell r="BB462" t="str">
            <v>.</v>
          </cell>
        </row>
        <row r="463">
          <cell r="BB463" t="str">
            <v>.</v>
          </cell>
        </row>
        <row r="464">
          <cell r="BB464" t="str">
            <v>.</v>
          </cell>
        </row>
        <row r="465">
          <cell r="BB465" t="str">
            <v>.</v>
          </cell>
        </row>
        <row r="466">
          <cell r="BB466" t="str">
            <v>.</v>
          </cell>
        </row>
        <row r="467">
          <cell r="BB467" t="str">
            <v>.</v>
          </cell>
        </row>
        <row r="468">
          <cell r="BB468" t="str">
            <v>.</v>
          </cell>
        </row>
        <row r="469">
          <cell r="BB469" t="str">
            <v>.</v>
          </cell>
        </row>
        <row r="470">
          <cell r="BB470" t="str">
            <v>.</v>
          </cell>
        </row>
        <row r="471">
          <cell r="BB471" t="str">
            <v>.</v>
          </cell>
        </row>
        <row r="472">
          <cell r="BB472" t="str">
            <v>.</v>
          </cell>
        </row>
        <row r="473">
          <cell r="BB473" t="str">
            <v>.</v>
          </cell>
        </row>
        <row r="474">
          <cell r="BB474" t="str">
            <v>.</v>
          </cell>
        </row>
        <row r="475">
          <cell r="BB475" t="str">
            <v>.</v>
          </cell>
        </row>
        <row r="476">
          <cell r="BB476" t="str">
            <v>.</v>
          </cell>
        </row>
        <row r="477">
          <cell r="BB477" t="str">
            <v>.</v>
          </cell>
        </row>
        <row r="478">
          <cell r="BB478" t="str">
            <v>.</v>
          </cell>
        </row>
        <row r="479">
          <cell r="BB479" t="str">
            <v>.</v>
          </cell>
        </row>
        <row r="480">
          <cell r="BB480" t="str">
            <v>.</v>
          </cell>
        </row>
        <row r="481">
          <cell r="BB481" t="str">
            <v>.</v>
          </cell>
        </row>
        <row r="482">
          <cell r="BB482" t="str">
            <v>.</v>
          </cell>
        </row>
        <row r="483">
          <cell r="BB483" t="str">
            <v>.</v>
          </cell>
        </row>
        <row r="484">
          <cell r="BB484" t="str">
            <v>.</v>
          </cell>
        </row>
        <row r="485">
          <cell r="BB485" t="str">
            <v>.</v>
          </cell>
        </row>
        <row r="486">
          <cell r="BB486" t="str">
            <v>.</v>
          </cell>
        </row>
        <row r="487">
          <cell r="BB487" t="str">
            <v>.</v>
          </cell>
        </row>
        <row r="488">
          <cell r="BB488" t="str">
            <v>.</v>
          </cell>
        </row>
        <row r="489">
          <cell r="BB489" t="str">
            <v>.</v>
          </cell>
        </row>
        <row r="490">
          <cell r="BB490" t="str">
            <v>.</v>
          </cell>
        </row>
        <row r="491">
          <cell r="BB491" t="str">
            <v>.</v>
          </cell>
        </row>
        <row r="492">
          <cell r="BB492" t="str">
            <v>.</v>
          </cell>
        </row>
        <row r="493">
          <cell r="BB493" t="str">
            <v>.</v>
          </cell>
        </row>
        <row r="494">
          <cell r="BB494" t="str">
            <v>.</v>
          </cell>
        </row>
        <row r="495">
          <cell r="BB495" t="str">
            <v>.</v>
          </cell>
        </row>
        <row r="496">
          <cell r="BB496" t="str">
            <v>.</v>
          </cell>
        </row>
        <row r="497">
          <cell r="BB497" t="str">
            <v>.</v>
          </cell>
        </row>
        <row r="498">
          <cell r="BB498" t="str">
            <v>.</v>
          </cell>
        </row>
        <row r="499">
          <cell r="BB499" t="str">
            <v>.</v>
          </cell>
        </row>
        <row r="500">
          <cell r="BB500" t="str">
            <v>.</v>
          </cell>
        </row>
        <row r="501">
          <cell r="BB501" t="str">
            <v>.</v>
          </cell>
        </row>
        <row r="502">
          <cell r="BB502" t="str">
            <v>.</v>
          </cell>
        </row>
        <row r="503">
          <cell r="BB503" t="str">
            <v>.</v>
          </cell>
        </row>
        <row r="504">
          <cell r="BB504" t="str">
            <v>.</v>
          </cell>
        </row>
        <row r="505">
          <cell r="BB505" t="str">
            <v>.</v>
          </cell>
        </row>
        <row r="506">
          <cell r="BB506" t="str">
            <v>.</v>
          </cell>
        </row>
        <row r="507">
          <cell r="BB507" t="str">
            <v>.</v>
          </cell>
        </row>
        <row r="508">
          <cell r="BB508" t="str">
            <v>.</v>
          </cell>
        </row>
        <row r="509">
          <cell r="BB509" t="str">
            <v>.</v>
          </cell>
        </row>
        <row r="510">
          <cell r="BB510" t="str">
            <v>.</v>
          </cell>
        </row>
        <row r="511">
          <cell r="BB511" t="str">
            <v>.</v>
          </cell>
        </row>
        <row r="512">
          <cell r="BB512" t="str">
            <v>.</v>
          </cell>
        </row>
        <row r="513">
          <cell r="BB513" t="str">
            <v>.</v>
          </cell>
        </row>
        <row r="514">
          <cell r="BB514" t="str">
            <v>.</v>
          </cell>
        </row>
        <row r="515">
          <cell r="BB515" t="str">
            <v>.</v>
          </cell>
        </row>
        <row r="516">
          <cell r="BB516" t="str">
            <v>.</v>
          </cell>
        </row>
        <row r="517">
          <cell r="BB517" t="str">
            <v>.</v>
          </cell>
        </row>
        <row r="518">
          <cell r="BB518" t="str">
            <v>.</v>
          </cell>
        </row>
        <row r="519">
          <cell r="BB519" t="str">
            <v>.</v>
          </cell>
        </row>
        <row r="520">
          <cell r="BB520" t="str">
            <v>.</v>
          </cell>
        </row>
        <row r="521">
          <cell r="BB521" t="str">
            <v>.</v>
          </cell>
        </row>
        <row r="522">
          <cell r="BB522" t="str">
            <v>.</v>
          </cell>
        </row>
        <row r="523">
          <cell r="BB523" t="str">
            <v>.</v>
          </cell>
        </row>
        <row r="524">
          <cell r="BB524" t="str">
            <v>.</v>
          </cell>
        </row>
        <row r="525">
          <cell r="BB525" t="str">
            <v>.</v>
          </cell>
        </row>
        <row r="526">
          <cell r="BB526" t="str">
            <v>.</v>
          </cell>
        </row>
        <row r="527">
          <cell r="BB527" t="str">
            <v>.</v>
          </cell>
        </row>
        <row r="528">
          <cell r="BB528" t="str">
            <v>.</v>
          </cell>
        </row>
        <row r="529">
          <cell r="BB529" t="str">
            <v>.</v>
          </cell>
        </row>
        <row r="530">
          <cell r="BB530" t="str">
            <v>.</v>
          </cell>
        </row>
        <row r="531">
          <cell r="BB531" t="str">
            <v>.</v>
          </cell>
        </row>
        <row r="532">
          <cell r="BB532" t="str">
            <v>.</v>
          </cell>
        </row>
        <row r="533">
          <cell r="BB533" t="str">
            <v>.</v>
          </cell>
        </row>
        <row r="534">
          <cell r="BB534" t="str">
            <v>.</v>
          </cell>
        </row>
        <row r="535">
          <cell r="BB535" t="str">
            <v>.</v>
          </cell>
        </row>
        <row r="536">
          <cell r="BB536" t="str">
            <v>.</v>
          </cell>
        </row>
        <row r="537">
          <cell r="BB537" t="str">
            <v>.</v>
          </cell>
        </row>
        <row r="538">
          <cell r="BB538" t="str">
            <v>.</v>
          </cell>
        </row>
        <row r="539">
          <cell r="BB539" t="str">
            <v>.</v>
          </cell>
        </row>
        <row r="540">
          <cell r="BB540" t="str">
            <v>.</v>
          </cell>
        </row>
        <row r="541">
          <cell r="BB541" t="str">
            <v>.</v>
          </cell>
        </row>
        <row r="542">
          <cell r="BB542" t="str">
            <v>.</v>
          </cell>
        </row>
        <row r="543">
          <cell r="BB543" t="str">
            <v>.</v>
          </cell>
        </row>
        <row r="544">
          <cell r="BB544" t="str">
            <v>.</v>
          </cell>
        </row>
        <row r="545">
          <cell r="BB545" t="str">
            <v>.</v>
          </cell>
        </row>
        <row r="546">
          <cell r="BB546" t="str">
            <v>.</v>
          </cell>
        </row>
        <row r="547">
          <cell r="BB547" t="str">
            <v>.</v>
          </cell>
        </row>
        <row r="548">
          <cell r="BB548" t="str">
            <v>.</v>
          </cell>
        </row>
        <row r="549">
          <cell r="BB549" t="str">
            <v>.</v>
          </cell>
        </row>
        <row r="550">
          <cell r="BB550" t="str">
            <v>.</v>
          </cell>
        </row>
        <row r="551">
          <cell r="BB551" t="str">
            <v>.</v>
          </cell>
        </row>
        <row r="552">
          <cell r="BB552" t="str">
            <v>.</v>
          </cell>
        </row>
        <row r="553">
          <cell r="BB553" t="str">
            <v>.</v>
          </cell>
        </row>
        <row r="554">
          <cell r="BB554" t="str">
            <v>.</v>
          </cell>
        </row>
        <row r="555">
          <cell r="BB555" t="str">
            <v>.</v>
          </cell>
        </row>
        <row r="556">
          <cell r="BB556" t="str">
            <v>.</v>
          </cell>
        </row>
        <row r="557">
          <cell r="BB557" t="str">
            <v>.</v>
          </cell>
        </row>
        <row r="558">
          <cell r="BB558" t="str">
            <v>.</v>
          </cell>
        </row>
        <row r="559">
          <cell r="BB559" t="str">
            <v>.</v>
          </cell>
        </row>
        <row r="560">
          <cell r="BB560" t="str">
            <v>.</v>
          </cell>
        </row>
        <row r="561">
          <cell r="BB561" t="str">
            <v>.</v>
          </cell>
        </row>
        <row r="562">
          <cell r="BB562" t="str">
            <v>.</v>
          </cell>
        </row>
        <row r="563">
          <cell r="BB563" t="str">
            <v>.</v>
          </cell>
        </row>
        <row r="564">
          <cell r="BB564" t="str">
            <v>.</v>
          </cell>
        </row>
        <row r="565">
          <cell r="BB565" t="str">
            <v>.</v>
          </cell>
        </row>
        <row r="566">
          <cell r="BB566" t="str">
            <v>.</v>
          </cell>
        </row>
        <row r="567">
          <cell r="BB567" t="str">
            <v>.</v>
          </cell>
        </row>
        <row r="568">
          <cell r="BB568" t="str">
            <v>.</v>
          </cell>
        </row>
        <row r="569">
          <cell r="BB569" t="str">
            <v>.</v>
          </cell>
        </row>
        <row r="570">
          <cell r="BB570" t="str">
            <v>.</v>
          </cell>
        </row>
        <row r="571">
          <cell r="BB571" t="str">
            <v>.</v>
          </cell>
        </row>
        <row r="572">
          <cell r="BB572" t="str">
            <v>.</v>
          </cell>
        </row>
        <row r="573">
          <cell r="BB573" t="str">
            <v>.</v>
          </cell>
        </row>
        <row r="574">
          <cell r="BB574" t="str">
            <v>.</v>
          </cell>
        </row>
        <row r="575">
          <cell r="BB575" t="str">
            <v>.</v>
          </cell>
        </row>
        <row r="576">
          <cell r="BB576" t="str">
            <v>.</v>
          </cell>
        </row>
        <row r="577">
          <cell r="BB577" t="str">
            <v>.</v>
          </cell>
        </row>
        <row r="578">
          <cell r="BB578" t="str">
            <v>.</v>
          </cell>
        </row>
        <row r="579">
          <cell r="BB579" t="str">
            <v>.</v>
          </cell>
        </row>
        <row r="580">
          <cell r="BB580" t="str">
            <v>.</v>
          </cell>
        </row>
        <row r="581">
          <cell r="BB581" t="str">
            <v>.</v>
          </cell>
        </row>
        <row r="582">
          <cell r="BB582" t="str">
            <v>.</v>
          </cell>
        </row>
        <row r="583">
          <cell r="BB583" t="str">
            <v>.</v>
          </cell>
        </row>
        <row r="584">
          <cell r="BB584" t="str">
            <v>.</v>
          </cell>
        </row>
        <row r="585">
          <cell r="BB585" t="str">
            <v>.</v>
          </cell>
        </row>
        <row r="586">
          <cell r="BB586" t="str">
            <v>.</v>
          </cell>
        </row>
        <row r="587">
          <cell r="BB587" t="str">
            <v>.</v>
          </cell>
        </row>
        <row r="588">
          <cell r="BB588" t="str">
            <v>.</v>
          </cell>
        </row>
        <row r="589">
          <cell r="BB589" t="str">
            <v>.</v>
          </cell>
        </row>
        <row r="590">
          <cell r="BB590" t="str">
            <v>.</v>
          </cell>
        </row>
        <row r="591">
          <cell r="BB591" t="str">
            <v>.</v>
          </cell>
        </row>
        <row r="592">
          <cell r="BB592" t="str">
            <v>.</v>
          </cell>
        </row>
        <row r="593">
          <cell r="BB593" t="str">
            <v>.</v>
          </cell>
        </row>
        <row r="594">
          <cell r="BB594" t="str">
            <v>.</v>
          </cell>
        </row>
        <row r="595">
          <cell r="BB595" t="str">
            <v>.</v>
          </cell>
        </row>
        <row r="596">
          <cell r="BB596" t="str">
            <v>.</v>
          </cell>
        </row>
        <row r="597">
          <cell r="BB597" t="str">
            <v>.</v>
          </cell>
        </row>
        <row r="598">
          <cell r="BB598" t="str">
            <v>.</v>
          </cell>
        </row>
        <row r="599">
          <cell r="BB599" t="str">
            <v>.</v>
          </cell>
        </row>
        <row r="600">
          <cell r="BB600" t="str">
            <v>.</v>
          </cell>
        </row>
        <row r="601">
          <cell r="BB601" t="str">
            <v>.</v>
          </cell>
        </row>
        <row r="602">
          <cell r="BB602" t="str">
            <v>.</v>
          </cell>
        </row>
        <row r="603">
          <cell r="BB603" t="str">
            <v>.</v>
          </cell>
        </row>
        <row r="604">
          <cell r="BB604" t="str">
            <v>.</v>
          </cell>
        </row>
        <row r="605">
          <cell r="BB605" t="str">
            <v>.</v>
          </cell>
        </row>
        <row r="606">
          <cell r="BB606" t="str">
            <v>.</v>
          </cell>
        </row>
        <row r="607">
          <cell r="BB607" t="str">
            <v>.</v>
          </cell>
        </row>
        <row r="608">
          <cell r="BB608" t="str">
            <v>.</v>
          </cell>
        </row>
        <row r="609">
          <cell r="BB609" t="str">
            <v>.</v>
          </cell>
        </row>
        <row r="610">
          <cell r="BB610" t="str">
            <v>.</v>
          </cell>
        </row>
        <row r="611">
          <cell r="BB611" t="str">
            <v>.</v>
          </cell>
        </row>
        <row r="612">
          <cell r="BB612" t="str">
            <v>.</v>
          </cell>
        </row>
        <row r="613">
          <cell r="BB613" t="str">
            <v>.</v>
          </cell>
        </row>
        <row r="614">
          <cell r="BB614" t="str">
            <v>.</v>
          </cell>
        </row>
        <row r="615">
          <cell r="BB615" t="str">
            <v>.</v>
          </cell>
        </row>
        <row r="616">
          <cell r="BB616" t="str">
            <v>.</v>
          </cell>
        </row>
        <row r="617">
          <cell r="BB617" t="str">
            <v>.</v>
          </cell>
        </row>
        <row r="618">
          <cell r="BB618" t="str">
            <v>.</v>
          </cell>
        </row>
        <row r="619">
          <cell r="BB619" t="str">
            <v>.</v>
          </cell>
        </row>
        <row r="620">
          <cell r="BB620" t="str">
            <v>.</v>
          </cell>
        </row>
        <row r="621">
          <cell r="BB621" t="str">
            <v>.</v>
          </cell>
        </row>
        <row r="622">
          <cell r="BB622" t="str">
            <v>.</v>
          </cell>
        </row>
        <row r="623">
          <cell r="BB623" t="str">
            <v>.</v>
          </cell>
        </row>
        <row r="624">
          <cell r="BB624" t="str">
            <v>.</v>
          </cell>
        </row>
        <row r="625">
          <cell r="BB625" t="str">
            <v>.</v>
          </cell>
        </row>
        <row r="626">
          <cell r="BB626" t="str">
            <v>.</v>
          </cell>
        </row>
        <row r="627">
          <cell r="BB627" t="str">
            <v>.</v>
          </cell>
        </row>
        <row r="628">
          <cell r="BB628" t="str">
            <v>.</v>
          </cell>
        </row>
        <row r="629">
          <cell r="BB629" t="str">
            <v>.</v>
          </cell>
        </row>
        <row r="630">
          <cell r="BB630" t="str">
            <v>.</v>
          </cell>
        </row>
        <row r="631">
          <cell r="BB631" t="str">
            <v>.</v>
          </cell>
        </row>
        <row r="632">
          <cell r="BB632" t="str">
            <v>.</v>
          </cell>
        </row>
        <row r="633">
          <cell r="BB633" t="str">
            <v>.</v>
          </cell>
        </row>
        <row r="634">
          <cell r="BB634" t="str">
            <v>.</v>
          </cell>
        </row>
        <row r="635">
          <cell r="BB635" t="str">
            <v>.</v>
          </cell>
        </row>
        <row r="636">
          <cell r="BB636" t="str">
            <v>.</v>
          </cell>
        </row>
        <row r="637">
          <cell r="BB637" t="str">
            <v>.</v>
          </cell>
        </row>
        <row r="638">
          <cell r="BB638" t="str">
            <v>.</v>
          </cell>
        </row>
        <row r="639">
          <cell r="BB639" t="str">
            <v>.</v>
          </cell>
        </row>
        <row r="640">
          <cell r="BB640" t="str">
            <v>.</v>
          </cell>
        </row>
        <row r="641">
          <cell r="BB641" t="str">
            <v>.</v>
          </cell>
        </row>
        <row r="642">
          <cell r="BB642" t="str">
            <v>.</v>
          </cell>
        </row>
        <row r="643">
          <cell r="BB643" t="str">
            <v>.</v>
          </cell>
        </row>
        <row r="644">
          <cell r="BB644" t="str">
            <v>.</v>
          </cell>
        </row>
        <row r="645">
          <cell r="BB645" t="str">
            <v>.</v>
          </cell>
        </row>
        <row r="646">
          <cell r="BB646" t="str">
            <v>.</v>
          </cell>
        </row>
        <row r="647">
          <cell r="BB647" t="str">
            <v>.</v>
          </cell>
        </row>
        <row r="648">
          <cell r="BB648" t="str">
            <v>.</v>
          </cell>
        </row>
        <row r="649">
          <cell r="BB649" t="str">
            <v>.</v>
          </cell>
        </row>
        <row r="650">
          <cell r="BB650" t="str">
            <v>.</v>
          </cell>
        </row>
        <row r="651">
          <cell r="BB651" t="str">
            <v>.</v>
          </cell>
        </row>
        <row r="652">
          <cell r="BB652" t="str">
            <v>.</v>
          </cell>
        </row>
        <row r="653">
          <cell r="BB653" t="str">
            <v>.</v>
          </cell>
        </row>
        <row r="654">
          <cell r="BB654" t="str">
            <v>.</v>
          </cell>
        </row>
        <row r="655">
          <cell r="BB655" t="str">
            <v>.</v>
          </cell>
        </row>
        <row r="656">
          <cell r="BB656" t="str">
            <v>.</v>
          </cell>
        </row>
        <row r="657">
          <cell r="BB657" t="str">
            <v>.</v>
          </cell>
        </row>
        <row r="658">
          <cell r="BB658" t="str">
            <v>.</v>
          </cell>
        </row>
        <row r="659">
          <cell r="BB659" t="str">
            <v>.</v>
          </cell>
        </row>
        <row r="660">
          <cell r="BB660" t="str">
            <v>.</v>
          </cell>
        </row>
        <row r="661">
          <cell r="BB661" t="str">
            <v>.</v>
          </cell>
        </row>
        <row r="662">
          <cell r="BB662" t="str">
            <v>.</v>
          </cell>
        </row>
        <row r="663">
          <cell r="BB663" t="str">
            <v>.</v>
          </cell>
        </row>
        <row r="664">
          <cell r="BB664" t="str">
            <v>.</v>
          </cell>
        </row>
        <row r="665">
          <cell r="BB665" t="str">
            <v>.</v>
          </cell>
        </row>
        <row r="666">
          <cell r="BB666" t="str">
            <v>.</v>
          </cell>
        </row>
        <row r="667">
          <cell r="BB667" t="str">
            <v>.</v>
          </cell>
        </row>
        <row r="668">
          <cell r="BB668" t="str">
            <v>.</v>
          </cell>
        </row>
        <row r="669">
          <cell r="BB669" t="str">
            <v>.</v>
          </cell>
        </row>
        <row r="670">
          <cell r="BB670" t="str">
            <v>.</v>
          </cell>
        </row>
        <row r="671">
          <cell r="BB671" t="str">
            <v>.</v>
          </cell>
        </row>
        <row r="672">
          <cell r="BB672" t="str">
            <v>.</v>
          </cell>
        </row>
        <row r="673">
          <cell r="BB673" t="str">
            <v>.</v>
          </cell>
        </row>
        <row r="674">
          <cell r="BB674" t="str">
            <v>.</v>
          </cell>
        </row>
        <row r="675">
          <cell r="BB675" t="str">
            <v>.</v>
          </cell>
        </row>
        <row r="676">
          <cell r="BB676" t="str">
            <v>.</v>
          </cell>
        </row>
        <row r="677">
          <cell r="BB677" t="str">
            <v>.</v>
          </cell>
        </row>
        <row r="678">
          <cell r="BB678" t="str">
            <v>.</v>
          </cell>
        </row>
        <row r="679">
          <cell r="BB679" t="str">
            <v>.</v>
          </cell>
        </row>
        <row r="680">
          <cell r="BB680" t="str">
            <v>.</v>
          </cell>
        </row>
        <row r="681">
          <cell r="BB681" t="str">
            <v>.</v>
          </cell>
        </row>
        <row r="682">
          <cell r="BB682" t="str">
            <v>.</v>
          </cell>
        </row>
        <row r="683">
          <cell r="BB683" t="str">
            <v>.</v>
          </cell>
        </row>
        <row r="684">
          <cell r="BB684" t="str">
            <v>.</v>
          </cell>
        </row>
        <row r="685">
          <cell r="BB685" t="str">
            <v>.</v>
          </cell>
        </row>
        <row r="686">
          <cell r="BB686" t="str">
            <v>.</v>
          </cell>
        </row>
        <row r="687">
          <cell r="BB687" t="str">
            <v>.</v>
          </cell>
        </row>
        <row r="688">
          <cell r="BB688" t="str">
            <v>.</v>
          </cell>
        </row>
        <row r="689">
          <cell r="BB689" t="str">
            <v>.</v>
          </cell>
        </row>
        <row r="690">
          <cell r="BB690" t="str">
            <v>.</v>
          </cell>
        </row>
        <row r="691">
          <cell r="BB691" t="str">
            <v>.</v>
          </cell>
        </row>
        <row r="692">
          <cell r="BB692" t="str">
            <v>.</v>
          </cell>
        </row>
        <row r="693">
          <cell r="BB693" t="str">
            <v>.</v>
          </cell>
        </row>
        <row r="694">
          <cell r="BB694" t="str">
            <v>.</v>
          </cell>
        </row>
        <row r="695">
          <cell r="BB695" t="str">
            <v>.</v>
          </cell>
        </row>
        <row r="696">
          <cell r="BB696" t="str">
            <v>.</v>
          </cell>
        </row>
        <row r="697">
          <cell r="BB697" t="str">
            <v>.</v>
          </cell>
        </row>
        <row r="698">
          <cell r="BB698" t="str">
            <v>.</v>
          </cell>
        </row>
        <row r="699">
          <cell r="BB699" t="str">
            <v>.</v>
          </cell>
        </row>
        <row r="700">
          <cell r="BB700" t="str">
            <v>.</v>
          </cell>
        </row>
        <row r="701">
          <cell r="BB701" t="str">
            <v>.</v>
          </cell>
        </row>
        <row r="702">
          <cell r="BB702" t="str">
            <v>.</v>
          </cell>
        </row>
        <row r="703">
          <cell r="BB703" t="str">
            <v>.</v>
          </cell>
        </row>
        <row r="704">
          <cell r="BB704" t="str">
            <v>.</v>
          </cell>
        </row>
        <row r="705">
          <cell r="BB705" t="str">
            <v>.</v>
          </cell>
        </row>
        <row r="706">
          <cell r="BB706" t="str">
            <v>.</v>
          </cell>
        </row>
        <row r="707">
          <cell r="BB707" t="str">
            <v>.</v>
          </cell>
        </row>
        <row r="708">
          <cell r="BB708" t="str">
            <v>.</v>
          </cell>
        </row>
        <row r="709">
          <cell r="BB709" t="str">
            <v>.</v>
          </cell>
        </row>
        <row r="710">
          <cell r="BB710" t="str">
            <v>.</v>
          </cell>
        </row>
        <row r="711">
          <cell r="BB711" t="str">
            <v>.</v>
          </cell>
        </row>
        <row r="712">
          <cell r="BB712" t="str">
            <v>.</v>
          </cell>
        </row>
        <row r="713">
          <cell r="BB713" t="str">
            <v>.</v>
          </cell>
        </row>
        <row r="714">
          <cell r="BB714" t="str">
            <v>.</v>
          </cell>
        </row>
        <row r="715">
          <cell r="BB715" t="str">
            <v>.</v>
          </cell>
        </row>
        <row r="716">
          <cell r="BB716" t="str">
            <v>.</v>
          </cell>
        </row>
        <row r="717">
          <cell r="BB717" t="str">
            <v>.</v>
          </cell>
        </row>
        <row r="718">
          <cell r="BB718" t="str">
            <v>.</v>
          </cell>
        </row>
        <row r="719">
          <cell r="BB719" t="str">
            <v>.</v>
          </cell>
        </row>
        <row r="720">
          <cell r="BB720" t="str">
            <v>.</v>
          </cell>
        </row>
        <row r="721">
          <cell r="BB721" t="str">
            <v>.</v>
          </cell>
        </row>
        <row r="722">
          <cell r="BB722" t="str">
            <v>.</v>
          </cell>
        </row>
        <row r="723">
          <cell r="BB723" t="str">
            <v>.</v>
          </cell>
        </row>
        <row r="724">
          <cell r="BB724" t="str">
            <v>.</v>
          </cell>
        </row>
        <row r="725">
          <cell r="BB725" t="str">
            <v>.</v>
          </cell>
        </row>
        <row r="726">
          <cell r="BB726" t="str">
            <v>.</v>
          </cell>
        </row>
        <row r="727">
          <cell r="BB727" t="str">
            <v>.</v>
          </cell>
        </row>
        <row r="728">
          <cell r="BB728" t="str">
            <v>.</v>
          </cell>
        </row>
        <row r="729">
          <cell r="BB729" t="str">
            <v>.</v>
          </cell>
        </row>
        <row r="730">
          <cell r="BB730" t="str">
            <v>.</v>
          </cell>
        </row>
        <row r="731">
          <cell r="BB731" t="str">
            <v>.</v>
          </cell>
        </row>
        <row r="732">
          <cell r="BB732" t="str">
            <v>.</v>
          </cell>
        </row>
        <row r="733">
          <cell r="BB733" t="str">
            <v>.</v>
          </cell>
        </row>
        <row r="734">
          <cell r="BB734" t="str">
            <v>.</v>
          </cell>
        </row>
        <row r="735">
          <cell r="BB735" t="str">
            <v>.</v>
          </cell>
        </row>
        <row r="736">
          <cell r="BB736" t="str">
            <v>.</v>
          </cell>
        </row>
        <row r="737">
          <cell r="BB737" t="str">
            <v>.</v>
          </cell>
        </row>
        <row r="738">
          <cell r="BB738" t="str">
            <v>.</v>
          </cell>
        </row>
        <row r="739">
          <cell r="BB739" t="str">
            <v>.</v>
          </cell>
        </row>
        <row r="740">
          <cell r="BB740" t="str">
            <v>.</v>
          </cell>
        </row>
        <row r="741">
          <cell r="BB741" t="str">
            <v>.</v>
          </cell>
        </row>
        <row r="742">
          <cell r="BB742" t="str">
            <v>.</v>
          </cell>
        </row>
        <row r="743">
          <cell r="BB743" t="str">
            <v>.</v>
          </cell>
        </row>
        <row r="744">
          <cell r="BB744" t="str">
            <v>.</v>
          </cell>
        </row>
        <row r="745">
          <cell r="BB745" t="str">
            <v>.</v>
          </cell>
        </row>
        <row r="746">
          <cell r="BB746" t="str">
            <v>.</v>
          </cell>
        </row>
        <row r="747">
          <cell r="BB747" t="str">
            <v>.</v>
          </cell>
        </row>
        <row r="748">
          <cell r="BB748" t="str">
            <v>.</v>
          </cell>
        </row>
        <row r="749">
          <cell r="BB749" t="str">
            <v>.</v>
          </cell>
        </row>
        <row r="750">
          <cell r="BB750" t="str">
            <v>.</v>
          </cell>
        </row>
        <row r="751">
          <cell r="BB751" t="str">
            <v>.</v>
          </cell>
        </row>
        <row r="752">
          <cell r="BB752" t="str">
            <v>.</v>
          </cell>
        </row>
        <row r="753">
          <cell r="BB753" t="str">
            <v>.</v>
          </cell>
        </row>
        <row r="754">
          <cell r="BB754" t="str">
            <v>.</v>
          </cell>
        </row>
        <row r="755">
          <cell r="BB755" t="str">
            <v>.</v>
          </cell>
        </row>
        <row r="756">
          <cell r="BB756" t="str">
            <v>.</v>
          </cell>
        </row>
        <row r="757">
          <cell r="BB757" t="str">
            <v>.</v>
          </cell>
        </row>
        <row r="758">
          <cell r="BB758" t="str">
            <v>.</v>
          </cell>
        </row>
        <row r="759">
          <cell r="BB759" t="str">
            <v>.</v>
          </cell>
        </row>
        <row r="760">
          <cell r="BB760" t="str">
            <v>.</v>
          </cell>
        </row>
        <row r="761">
          <cell r="BB761" t="str">
            <v>.</v>
          </cell>
        </row>
        <row r="762">
          <cell r="BB762" t="str">
            <v>.</v>
          </cell>
        </row>
        <row r="763">
          <cell r="BB763" t="str">
            <v>.</v>
          </cell>
        </row>
        <row r="764">
          <cell r="BB764" t="str">
            <v>.</v>
          </cell>
        </row>
        <row r="765">
          <cell r="BB765" t="str">
            <v>.</v>
          </cell>
        </row>
        <row r="766">
          <cell r="BB766" t="str">
            <v>.</v>
          </cell>
        </row>
        <row r="767">
          <cell r="BB767" t="str">
            <v>.</v>
          </cell>
        </row>
        <row r="768">
          <cell r="BB768" t="str">
            <v>.</v>
          </cell>
        </row>
        <row r="769">
          <cell r="BB769" t="str">
            <v>.</v>
          </cell>
        </row>
        <row r="770">
          <cell r="BB770" t="str">
            <v>.</v>
          </cell>
        </row>
        <row r="771">
          <cell r="BB771" t="str">
            <v>.</v>
          </cell>
        </row>
        <row r="772">
          <cell r="BB772" t="str">
            <v>.</v>
          </cell>
        </row>
        <row r="773">
          <cell r="BB773" t="str">
            <v>.</v>
          </cell>
        </row>
        <row r="774">
          <cell r="BB774" t="str">
            <v>.</v>
          </cell>
        </row>
        <row r="775">
          <cell r="BB775" t="str">
            <v>.</v>
          </cell>
        </row>
        <row r="776">
          <cell r="BB776" t="str">
            <v>.</v>
          </cell>
        </row>
        <row r="777">
          <cell r="BB777" t="str">
            <v>.</v>
          </cell>
        </row>
        <row r="778">
          <cell r="BB778" t="str">
            <v>.</v>
          </cell>
        </row>
        <row r="779">
          <cell r="BB779" t="str">
            <v>.</v>
          </cell>
        </row>
        <row r="780">
          <cell r="BB780" t="str">
            <v>.</v>
          </cell>
        </row>
        <row r="781">
          <cell r="BB781" t="str">
            <v>.</v>
          </cell>
        </row>
        <row r="782">
          <cell r="BB782" t="str">
            <v>.</v>
          </cell>
        </row>
        <row r="783">
          <cell r="BB783" t="str">
            <v>.</v>
          </cell>
        </row>
        <row r="784">
          <cell r="BB784" t="str">
            <v>.</v>
          </cell>
        </row>
        <row r="785">
          <cell r="BB785" t="str">
            <v>.</v>
          </cell>
        </row>
        <row r="786">
          <cell r="BB786" t="str">
            <v>.</v>
          </cell>
        </row>
        <row r="787">
          <cell r="BB787" t="str">
            <v>.</v>
          </cell>
        </row>
        <row r="788">
          <cell r="BB788" t="str">
            <v>.</v>
          </cell>
        </row>
        <row r="789">
          <cell r="BB789" t="str">
            <v>.</v>
          </cell>
        </row>
        <row r="790">
          <cell r="BB790" t="str">
            <v>.</v>
          </cell>
        </row>
        <row r="791">
          <cell r="BB791" t="str">
            <v>.</v>
          </cell>
        </row>
        <row r="792">
          <cell r="BB792" t="str">
            <v>.</v>
          </cell>
        </row>
        <row r="793">
          <cell r="BB793" t="str">
            <v>.</v>
          </cell>
        </row>
        <row r="794">
          <cell r="BB794" t="str">
            <v>.</v>
          </cell>
        </row>
        <row r="795">
          <cell r="BB795" t="str">
            <v>.</v>
          </cell>
        </row>
        <row r="796">
          <cell r="BB796" t="str">
            <v>.</v>
          </cell>
        </row>
        <row r="797">
          <cell r="BB797" t="str">
            <v>.</v>
          </cell>
        </row>
        <row r="798">
          <cell r="BB798" t="str">
            <v>.</v>
          </cell>
        </row>
        <row r="799">
          <cell r="BB799" t="str">
            <v>.</v>
          </cell>
        </row>
        <row r="800">
          <cell r="BB800" t="str">
            <v>.</v>
          </cell>
        </row>
        <row r="801">
          <cell r="BB801" t="str">
            <v>.</v>
          </cell>
        </row>
        <row r="802">
          <cell r="BB802" t="str">
            <v>.</v>
          </cell>
        </row>
        <row r="803">
          <cell r="BB803" t="str">
            <v>.</v>
          </cell>
        </row>
        <row r="804">
          <cell r="BB804" t="str">
            <v>.</v>
          </cell>
        </row>
        <row r="805">
          <cell r="BB805" t="str">
            <v>.</v>
          </cell>
        </row>
        <row r="806">
          <cell r="BB806" t="str">
            <v>.</v>
          </cell>
        </row>
        <row r="807">
          <cell r="BB807" t="str">
            <v>.</v>
          </cell>
        </row>
        <row r="808">
          <cell r="BB808" t="str">
            <v>.</v>
          </cell>
        </row>
        <row r="809">
          <cell r="BB809" t="str">
            <v>.</v>
          </cell>
        </row>
        <row r="810">
          <cell r="BB810" t="str">
            <v>.</v>
          </cell>
        </row>
        <row r="811">
          <cell r="BB811" t="str">
            <v>.</v>
          </cell>
        </row>
        <row r="812">
          <cell r="BB812" t="str">
            <v>.</v>
          </cell>
        </row>
        <row r="813">
          <cell r="BB813" t="str">
            <v>.</v>
          </cell>
        </row>
        <row r="814">
          <cell r="BB814" t="str">
            <v>.</v>
          </cell>
        </row>
        <row r="815">
          <cell r="BB815" t="str">
            <v>.</v>
          </cell>
        </row>
        <row r="816">
          <cell r="BB816" t="str">
            <v>.</v>
          </cell>
        </row>
        <row r="817">
          <cell r="BB817" t="str">
            <v>.</v>
          </cell>
        </row>
        <row r="818">
          <cell r="BB818" t="str">
            <v>.</v>
          </cell>
        </row>
        <row r="819">
          <cell r="BB819" t="str">
            <v>.</v>
          </cell>
        </row>
        <row r="820">
          <cell r="BB820" t="str">
            <v>.</v>
          </cell>
        </row>
        <row r="821">
          <cell r="BB821" t="str">
            <v>.</v>
          </cell>
        </row>
        <row r="822">
          <cell r="BB822" t="str">
            <v>.</v>
          </cell>
        </row>
        <row r="823">
          <cell r="BB823" t="str">
            <v>.</v>
          </cell>
        </row>
        <row r="824">
          <cell r="BB824" t="str">
            <v>.</v>
          </cell>
        </row>
        <row r="825">
          <cell r="BB825" t="str">
            <v>.</v>
          </cell>
        </row>
        <row r="826">
          <cell r="BB826" t="str">
            <v>.</v>
          </cell>
        </row>
        <row r="827">
          <cell r="BB827" t="str">
            <v>.</v>
          </cell>
        </row>
        <row r="828">
          <cell r="BB828" t="str">
            <v>.</v>
          </cell>
        </row>
        <row r="829">
          <cell r="BB829" t="str">
            <v>.</v>
          </cell>
        </row>
        <row r="830">
          <cell r="BB830" t="str">
            <v>.</v>
          </cell>
        </row>
        <row r="831">
          <cell r="BB831" t="str">
            <v>.</v>
          </cell>
        </row>
        <row r="832">
          <cell r="BB832" t="str">
            <v>.</v>
          </cell>
        </row>
        <row r="833">
          <cell r="BB833" t="str">
            <v>.</v>
          </cell>
        </row>
        <row r="834">
          <cell r="BB834" t="str">
            <v>.</v>
          </cell>
        </row>
        <row r="835">
          <cell r="BB835" t="str">
            <v>.</v>
          </cell>
        </row>
        <row r="836">
          <cell r="BB836" t="str">
            <v>.</v>
          </cell>
        </row>
        <row r="837">
          <cell r="BB837" t="str">
            <v>.</v>
          </cell>
        </row>
        <row r="838">
          <cell r="BB838" t="str">
            <v>.</v>
          </cell>
        </row>
        <row r="839">
          <cell r="BB839" t="str">
            <v>.</v>
          </cell>
        </row>
        <row r="840">
          <cell r="BB840" t="str">
            <v>.</v>
          </cell>
        </row>
        <row r="841">
          <cell r="BB841" t="str">
            <v>.</v>
          </cell>
        </row>
        <row r="842">
          <cell r="BB842" t="str">
            <v>.</v>
          </cell>
        </row>
        <row r="843">
          <cell r="BB843" t="str">
            <v>.</v>
          </cell>
        </row>
        <row r="844">
          <cell r="BB844" t="str">
            <v>.</v>
          </cell>
        </row>
        <row r="845">
          <cell r="BB845" t="str">
            <v>.</v>
          </cell>
        </row>
        <row r="846">
          <cell r="BB846" t="str">
            <v>.</v>
          </cell>
        </row>
        <row r="847">
          <cell r="BB847" t="str">
            <v>.</v>
          </cell>
        </row>
        <row r="848">
          <cell r="BB848" t="str">
            <v>.</v>
          </cell>
        </row>
        <row r="849">
          <cell r="BB849" t="str">
            <v>.</v>
          </cell>
        </row>
        <row r="850">
          <cell r="BB850" t="str">
            <v>.</v>
          </cell>
        </row>
        <row r="851">
          <cell r="BB851" t="str">
            <v>.</v>
          </cell>
        </row>
        <row r="852">
          <cell r="BB852" t="str">
            <v>.</v>
          </cell>
        </row>
        <row r="853">
          <cell r="BB853" t="str">
            <v>.</v>
          </cell>
        </row>
        <row r="854">
          <cell r="BB854" t="str">
            <v>.</v>
          </cell>
        </row>
        <row r="855">
          <cell r="BB855" t="str">
            <v>.</v>
          </cell>
        </row>
        <row r="856">
          <cell r="BB856" t="str">
            <v>.</v>
          </cell>
        </row>
        <row r="857">
          <cell r="BB857" t="str">
            <v>.</v>
          </cell>
        </row>
        <row r="858">
          <cell r="BB858" t="str">
            <v>.</v>
          </cell>
        </row>
        <row r="859">
          <cell r="BB859" t="str">
            <v>.</v>
          </cell>
        </row>
        <row r="860">
          <cell r="BB860" t="str">
            <v>.</v>
          </cell>
        </row>
        <row r="861">
          <cell r="BB861" t="str">
            <v>.</v>
          </cell>
        </row>
        <row r="862">
          <cell r="BB862" t="str">
            <v>.</v>
          </cell>
        </row>
        <row r="863">
          <cell r="BB863" t="str">
            <v>.</v>
          </cell>
        </row>
        <row r="864">
          <cell r="BB864" t="str">
            <v>.</v>
          </cell>
        </row>
        <row r="865">
          <cell r="BB865" t="str">
            <v>.</v>
          </cell>
        </row>
        <row r="866">
          <cell r="BB866" t="str">
            <v>.</v>
          </cell>
        </row>
        <row r="867">
          <cell r="BB867" t="str">
            <v>.</v>
          </cell>
        </row>
        <row r="868">
          <cell r="BB868" t="str">
            <v>.</v>
          </cell>
        </row>
        <row r="869">
          <cell r="BB869" t="str">
            <v>.</v>
          </cell>
        </row>
        <row r="870">
          <cell r="BB870" t="str">
            <v>.</v>
          </cell>
        </row>
        <row r="871">
          <cell r="BB871" t="str">
            <v>.</v>
          </cell>
        </row>
        <row r="872">
          <cell r="BB872" t="str">
            <v>.</v>
          </cell>
        </row>
        <row r="873">
          <cell r="BB873" t="str">
            <v>.</v>
          </cell>
        </row>
        <row r="874">
          <cell r="BB874" t="str">
            <v>.</v>
          </cell>
        </row>
        <row r="875">
          <cell r="BB875" t="str">
            <v>.</v>
          </cell>
        </row>
        <row r="876">
          <cell r="BB876" t="str">
            <v>.</v>
          </cell>
        </row>
        <row r="877">
          <cell r="BB877" t="str">
            <v>.</v>
          </cell>
        </row>
        <row r="878">
          <cell r="BB878" t="str">
            <v>.</v>
          </cell>
        </row>
        <row r="879">
          <cell r="BB879" t="str">
            <v>.</v>
          </cell>
        </row>
        <row r="880">
          <cell r="BB880" t="str">
            <v>.</v>
          </cell>
        </row>
        <row r="881">
          <cell r="BB881" t="str">
            <v>.</v>
          </cell>
        </row>
        <row r="882">
          <cell r="BB882" t="str">
            <v>.</v>
          </cell>
        </row>
        <row r="883">
          <cell r="BB883" t="str">
            <v>.</v>
          </cell>
        </row>
        <row r="884">
          <cell r="BB884" t="str">
            <v>.</v>
          </cell>
        </row>
        <row r="885">
          <cell r="BB885" t="str">
            <v>.</v>
          </cell>
        </row>
        <row r="886">
          <cell r="BB886" t="str">
            <v>.</v>
          </cell>
        </row>
        <row r="887">
          <cell r="BB887" t="str">
            <v>.</v>
          </cell>
        </row>
        <row r="888">
          <cell r="BB888" t="str">
            <v>.</v>
          </cell>
        </row>
        <row r="889">
          <cell r="BB889" t="str">
            <v>.</v>
          </cell>
        </row>
        <row r="890">
          <cell r="BB890" t="str">
            <v>.</v>
          </cell>
        </row>
        <row r="891">
          <cell r="BB891" t="str">
            <v>.</v>
          </cell>
        </row>
        <row r="892">
          <cell r="BB892" t="str">
            <v>.</v>
          </cell>
        </row>
        <row r="893">
          <cell r="BB893" t="str">
            <v>.</v>
          </cell>
        </row>
        <row r="894">
          <cell r="BB894" t="str">
            <v>.</v>
          </cell>
        </row>
        <row r="895">
          <cell r="BB895" t="str">
            <v>.</v>
          </cell>
        </row>
        <row r="896">
          <cell r="BB896" t="str">
            <v>.</v>
          </cell>
        </row>
        <row r="897">
          <cell r="BB897" t="str">
            <v>.</v>
          </cell>
        </row>
        <row r="898">
          <cell r="BB898" t="str">
            <v>.</v>
          </cell>
        </row>
        <row r="899">
          <cell r="BB899" t="str">
            <v>.</v>
          </cell>
        </row>
        <row r="900">
          <cell r="BB900" t="str">
            <v>.</v>
          </cell>
        </row>
        <row r="901">
          <cell r="BB901" t="str">
            <v>.</v>
          </cell>
        </row>
        <row r="902">
          <cell r="BB902" t="str">
            <v>.</v>
          </cell>
        </row>
        <row r="903">
          <cell r="BB903" t="str">
            <v>.</v>
          </cell>
        </row>
        <row r="904">
          <cell r="BB904" t="str">
            <v>.</v>
          </cell>
        </row>
        <row r="905">
          <cell r="BB905" t="str">
            <v>.</v>
          </cell>
        </row>
        <row r="906">
          <cell r="BB906" t="str">
            <v>.</v>
          </cell>
        </row>
        <row r="907">
          <cell r="BB907" t="str">
            <v>.</v>
          </cell>
        </row>
        <row r="908">
          <cell r="BB908" t="str">
            <v>.</v>
          </cell>
        </row>
        <row r="909">
          <cell r="BB909" t="str">
            <v>.</v>
          </cell>
        </row>
        <row r="910">
          <cell r="BB910" t="str">
            <v>.</v>
          </cell>
        </row>
        <row r="911">
          <cell r="BB911" t="str">
            <v>.</v>
          </cell>
        </row>
        <row r="912">
          <cell r="BB912" t="str">
            <v>.</v>
          </cell>
        </row>
        <row r="913">
          <cell r="BB913" t="str">
            <v>.</v>
          </cell>
        </row>
        <row r="914">
          <cell r="BB914" t="str">
            <v>.</v>
          </cell>
        </row>
        <row r="915">
          <cell r="BB915" t="str">
            <v>.</v>
          </cell>
        </row>
        <row r="916">
          <cell r="BB916" t="str">
            <v>.</v>
          </cell>
        </row>
        <row r="917">
          <cell r="BB917" t="str">
            <v>.</v>
          </cell>
        </row>
        <row r="918">
          <cell r="BB918" t="str">
            <v>.</v>
          </cell>
        </row>
        <row r="919">
          <cell r="BB919" t="str">
            <v>.</v>
          </cell>
        </row>
        <row r="920">
          <cell r="BB920" t="str">
            <v>.</v>
          </cell>
        </row>
        <row r="921">
          <cell r="BB921" t="str">
            <v>.</v>
          </cell>
        </row>
        <row r="922">
          <cell r="BB922" t="str">
            <v>.</v>
          </cell>
        </row>
        <row r="923">
          <cell r="BB923" t="str">
            <v>.</v>
          </cell>
        </row>
        <row r="924">
          <cell r="BB924" t="str">
            <v>.</v>
          </cell>
        </row>
        <row r="925">
          <cell r="BB925" t="str">
            <v>.</v>
          </cell>
        </row>
        <row r="926">
          <cell r="BB926" t="str">
            <v>.</v>
          </cell>
        </row>
        <row r="927">
          <cell r="BB927" t="str">
            <v>.</v>
          </cell>
        </row>
        <row r="928">
          <cell r="BB928" t="str">
            <v>.</v>
          </cell>
        </row>
        <row r="929">
          <cell r="BB929" t="str">
            <v>.</v>
          </cell>
        </row>
        <row r="930">
          <cell r="BB930" t="str">
            <v>.</v>
          </cell>
        </row>
        <row r="931">
          <cell r="BB931" t="str">
            <v>.</v>
          </cell>
        </row>
        <row r="932">
          <cell r="BB932" t="str">
            <v>.</v>
          </cell>
        </row>
        <row r="933">
          <cell r="BB933" t="str">
            <v>.</v>
          </cell>
        </row>
        <row r="934">
          <cell r="BB934" t="str">
            <v>.</v>
          </cell>
        </row>
        <row r="935">
          <cell r="BB935" t="str">
            <v>.</v>
          </cell>
        </row>
        <row r="936">
          <cell r="BB936" t="str">
            <v>.</v>
          </cell>
        </row>
        <row r="937">
          <cell r="BB937" t="str">
            <v>.</v>
          </cell>
        </row>
        <row r="938">
          <cell r="BB938" t="str">
            <v>.</v>
          </cell>
        </row>
        <row r="939">
          <cell r="BB939" t="str">
            <v>.</v>
          </cell>
        </row>
        <row r="940">
          <cell r="BB940" t="str">
            <v>.</v>
          </cell>
        </row>
        <row r="941">
          <cell r="BB941" t="str">
            <v>.</v>
          </cell>
        </row>
        <row r="942">
          <cell r="BB942" t="str">
            <v>.</v>
          </cell>
        </row>
        <row r="943">
          <cell r="BB943" t="str">
            <v>.</v>
          </cell>
        </row>
        <row r="944">
          <cell r="BB944" t="str">
            <v>.</v>
          </cell>
        </row>
        <row r="945">
          <cell r="BB945" t="str">
            <v>.</v>
          </cell>
        </row>
        <row r="946">
          <cell r="BB946" t="str">
            <v>.</v>
          </cell>
        </row>
        <row r="947">
          <cell r="BB947" t="str">
            <v>.</v>
          </cell>
        </row>
        <row r="948">
          <cell r="BB948" t="str">
            <v>.</v>
          </cell>
        </row>
        <row r="949">
          <cell r="BB949" t="str">
            <v>.</v>
          </cell>
        </row>
        <row r="950">
          <cell r="BB950" t="str">
            <v>.</v>
          </cell>
        </row>
        <row r="951">
          <cell r="BB951" t="str">
            <v>.</v>
          </cell>
        </row>
        <row r="952">
          <cell r="BB952" t="str">
            <v>.</v>
          </cell>
        </row>
        <row r="953">
          <cell r="BB953" t="str">
            <v>.</v>
          </cell>
        </row>
        <row r="954">
          <cell r="BB954" t="str">
            <v>.</v>
          </cell>
        </row>
        <row r="955">
          <cell r="BB955" t="str">
            <v>.</v>
          </cell>
        </row>
        <row r="956">
          <cell r="BB956" t="str">
            <v>.</v>
          </cell>
        </row>
        <row r="957">
          <cell r="BB957" t="str">
            <v>.</v>
          </cell>
        </row>
        <row r="958">
          <cell r="BB958" t="str">
            <v>.</v>
          </cell>
        </row>
        <row r="959">
          <cell r="BB959" t="str">
            <v>.</v>
          </cell>
        </row>
        <row r="960">
          <cell r="BB960" t="str">
            <v>.</v>
          </cell>
        </row>
        <row r="961">
          <cell r="BB961" t="str">
            <v>.</v>
          </cell>
        </row>
        <row r="962">
          <cell r="BB962" t="str">
            <v>.</v>
          </cell>
        </row>
        <row r="963">
          <cell r="BB963" t="str">
            <v>.</v>
          </cell>
        </row>
        <row r="964">
          <cell r="BB964" t="str">
            <v>.</v>
          </cell>
        </row>
        <row r="965">
          <cell r="BB965" t="str">
            <v>.</v>
          </cell>
        </row>
        <row r="966">
          <cell r="BB966" t="str">
            <v>.</v>
          </cell>
        </row>
        <row r="967">
          <cell r="BB967" t="str">
            <v>.</v>
          </cell>
        </row>
        <row r="968">
          <cell r="BB968" t="str">
            <v>.</v>
          </cell>
        </row>
        <row r="969">
          <cell r="BB969" t="str">
            <v>.</v>
          </cell>
        </row>
        <row r="970">
          <cell r="BB970" t="str">
            <v>.</v>
          </cell>
        </row>
        <row r="971">
          <cell r="BB971" t="str">
            <v>.</v>
          </cell>
        </row>
        <row r="972">
          <cell r="BB972" t="str">
            <v>.</v>
          </cell>
        </row>
        <row r="973">
          <cell r="BB973" t="str">
            <v>.</v>
          </cell>
        </row>
        <row r="974">
          <cell r="BB974" t="str">
            <v>.</v>
          </cell>
        </row>
        <row r="975">
          <cell r="BB975" t="str">
            <v>.</v>
          </cell>
        </row>
        <row r="976">
          <cell r="BB976" t="str">
            <v>.</v>
          </cell>
        </row>
        <row r="977">
          <cell r="BB977" t="str">
            <v>.</v>
          </cell>
        </row>
        <row r="978">
          <cell r="BB978" t="str">
            <v>.</v>
          </cell>
        </row>
        <row r="979">
          <cell r="BB979" t="str">
            <v>.</v>
          </cell>
        </row>
        <row r="980">
          <cell r="BB980" t="str">
            <v>.</v>
          </cell>
        </row>
        <row r="981">
          <cell r="BB981" t="str">
            <v>.</v>
          </cell>
        </row>
        <row r="982">
          <cell r="BB982" t="str">
            <v>.</v>
          </cell>
        </row>
        <row r="983">
          <cell r="BB983" t="str">
            <v>.</v>
          </cell>
        </row>
        <row r="984">
          <cell r="BB984" t="str">
            <v>.</v>
          </cell>
        </row>
        <row r="985">
          <cell r="BB985" t="str">
            <v>.</v>
          </cell>
        </row>
        <row r="986">
          <cell r="BB986" t="str">
            <v>.</v>
          </cell>
        </row>
        <row r="987">
          <cell r="BB987" t="str">
            <v>.</v>
          </cell>
        </row>
        <row r="988">
          <cell r="BB988" t="str">
            <v>.</v>
          </cell>
        </row>
        <row r="989">
          <cell r="BB989" t="str">
            <v>.</v>
          </cell>
        </row>
        <row r="990">
          <cell r="BB990" t="str">
            <v>.</v>
          </cell>
        </row>
        <row r="991">
          <cell r="BB991" t="str">
            <v>.</v>
          </cell>
        </row>
        <row r="992">
          <cell r="BB992" t="str">
            <v>.</v>
          </cell>
        </row>
        <row r="993">
          <cell r="BB993" t="str">
            <v>.</v>
          </cell>
        </row>
        <row r="994">
          <cell r="BB994" t="str">
            <v>.</v>
          </cell>
        </row>
        <row r="995">
          <cell r="BB995" t="str">
            <v>.</v>
          </cell>
        </row>
        <row r="996">
          <cell r="BB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I997" t="str">
            <v>.</v>
          </cell>
          <cell r="T997" t="str">
            <v>.</v>
          </cell>
          <cell r="U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  <cell r="BB997" t="str">
            <v>.</v>
          </cell>
        </row>
      </sheetData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($M)</v>
          </cell>
          <cell r="C2" t="str">
            <v>2009E</v>
          </cell>
          <cell r="D2" t="str">
            <v>2010E</v>
          </cell>
          <cell r="E2" t="str">
            <v>2011E</v>
          </cell>
          <cell r="F2" t="str">
            <v>2012E</v>
          </cell>
          <cell r="G2" t="str">
            <v>2013E</v>
          </cell>
          <cell r="H2" t="str">
            <v>2014E</v>
          </cell>
          <cell r="I2" t="str">
            <v>2015E</v>
          </cell>
        </row>
        <row r="3">
          <cell r="B3" t="str">
            <v>Revenue</v>
          </cell>
          <cell r="C3">
            <v>46664.590000000004</v>
          </cell>
          <cell r="D3">
            <v>59490.450000000004</v>
          </cell>
          <cell r="E3">
            <v>57134.93</v>
          </cell>
          <cell r="F3">
            <v>58779.911381268947</v>
          </cell>
          <cell r="G3">
            <v>59239.936075638652</v>
          </cell>
          <cell r="H3">
            <v>59771.216511600302</v>
          </cell>
          <cell r="I3">
            <v>59987.717899738433</v>
          </cell>
        </row>
        <row r="4">
          <cell r="B4" t="str">
            <v>Op. Income</v>
          </cell>
          <cell r="C4">
            <v>7540</v>
          </cell>
          <cell r="D4">
            <v>10000</v>
          </cell>
          <cell r="E4">
            <v>9200</v>
          </cell>
          <cell r="F4">
            <v>23420.697731424829</v>
          </cell>
          <cell r="G4">
            <v>24062.427582023694</v>
          </cell>
          <cell r="H4">
            <v>24252.934339512249</v>
          </cell>
          <cell r="I4">
            <v>24182.870845785517</v>
          </cell>
        </row>
        <row r="5">
          <cell r="B5" t="str">
            <v>Op. Margin</v>
          </cell>
          <cell r="C5">
            <v>0.15271279077999245</v>
          </cell>
          <cell r="D5">
            <v>0.14871522964147593</v>
          </cell>
          <cell r="E5">
            <v>0.14030701020421829</v>
          </cell>
          <cell r="F5">
            <v>0.39844731271384948</v>
          </cell>
          <cell r="G5">
            <v>0.40618591403104048</v>
          </cell>
          <cell r="H5">
            <v>0.40576276935580319</v>
          </cell>
          <cell r="I5">
            <v>0.40313036888991177</v>
          </cell>
        </row>
        <row r="6">
          <cell r="B6" t="str">
            <v>EPS</v>
          </cell>
          <cell r="C6">
            <v>0</v>
          </cell>
          <cell r="D6">
            <v>0</v>
          </cell>
          <cell r="E6">
            <v>0</v>
          </cell>
          <cell r="F6">
            <v>2.1029587057701495</v>
          </cell>
          <cell r="G6">
            <v>2.2372166055191349</v>
          </cell>
          <cell r="H6">
            <v>2.3276533306404867</v>
          </cell>
          <cell r="I6">
            <v>2.3911545965022829</v>
          </cell>
        </row>
      </sheetData>
      <sheetData sheetId="13">
        <row r="1">
          <cell r="B1" t="str">
            <v>Historical Planned vs. Realized Cost Savings</v>
          </cell>
        </row>
        <row r="3">
          <cell r="B3" t="str">
            <v>($B)</v>
          </cell>
          <cell r="C3" t="str">
            <v>Warner-Lambert</v>
          </cell>
          <cell r="D3" t="str">
            <v>Pharmacia</v>
          </cell>
          <cell r="E3" t="str">
            <v>Adapting to Scale (AtS)</v>
          </cell>
          <cell r="F3" t="str">
            <v>2007/2008 Plan</v>
          </cell>
        </row>
        <row r="4">
          <cell r="B4" t="str">
            <v>Original Goal</v>
          </cell>
          <cell r="C4">
            <v>1.6</v>
          </cell>
          <cell r="D4">
            <v>3.8</v>
          </cell>
          <cell r="E4">
            <v>2</v>
          </cell>
          <cell r="F4" t="str">
            <v>1.5-2.0</v>
          </cell>
        </row>
        <row r="5">
          <cell r="B5" t="str">
            <v>Actual Savings</v>
          </cell>
          <cell r="C5">
            <v>1.8</v>
          </cell>
          <cell r="D5">
            <v>4.2</v>
          </cell>
          <cell r="E5">
            <v>2.6</v>
          </cell>
          <cell r="F5">
            <v>2.8</v>
          </cell>
        </row>
        <row r="6">
          <cell r="B6" t="str">
            <v>% Upside</v>
          </cell>
          <cell r="C6">
            <v>0.12499999999999997</v>
          </cell>
          <cell r="D6">
            <v>0.10526315789473695</v>
          </cell>
          <cell r="E6">
            <v>0.30000000000000004</v>
          </cell>
          <cell r="F6" t="str">
            <v>40%-87%</v>
          </cell>
        </row>
      </sheetData>
      <sheetData sheetId="14"/>
      <sheetData sheetId="1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od 2-32"/>
      <sheetName val="Good 12-00 (3)"/>
      <sheetName val="Good 12-43"/>
      <sheetName val="Good 12-07"/>
      <sheetName val="Good 12-00 (2)"/>
      <sheetName val="Good 12-00"/>
      <sheetName val="Good 11-50"/>
      <sheetName val="Good 11-40"/>
      <sheetName val="Good 11-36"/>
      <sheetName val="Good 11-18"/>
      <sheetName val="Good 10-48 pm (2)"/>
      <sheetName val="Samples"/>
      <sheetName val="Good 10-48 pm"/>
      <sheetName val="Good 11-04 pm"/>
      <sheetName val="Sheet3 (6)"/>
      <sheetName val="Sheet3 (5)"/>
      <sheetName val="Sheet3 (3)"/>
      <sheetName val="Sheet3 (2)"/>
      <sheetName val="Sheet1"/>
      <sheetName val="Sheet2"/>
      <sheetName val="Sheet3"/>
      <sheetName val="Sheet3 (4)"/>
      <sheetName val="Good 12-22_tbnt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A3" t="str">
            <v>Base</v>
          </cell>
          <cell r="B3">
            <v>40</v>
          </cell>
        </row>
        <row r="4">
          <cell r="A4" t="str">
            <v>Price Target</v>
          </cell>
          <cell r="B4">
            <v>40</v>
          </cell>
          <cell r="S4" t="str">
            <v>Bear</v>
          </cell>
          <cell r="U4" t="str">
            <v>Base</v>
          </cell>
          <cell r="X4" t="str">
            <v>Bull</v>
          </cell>
        </row>
        <row r="5">
          <cell r="R5">
            <v>-30</v>
          </cell>
          <cell r="S5">
            <v>-30</v>
          </cell>
          <cell r="U5">
            <v>40</v>
          </cell>
          <cell r="X5">
            <v>17</v>
          </cell>
          <cell r="Z5">
            <v>17</v>
          </cell>
        </row>
        <row r="6">
          <cell r="C6" t="str">
            <v>Bear</v>
          </cell>
          <cell r="S6" t="str">
            <v>-space2</v>
          </cell>
          <cell r="T6" t="str">
            <v>-bear</v>
          </cell>
          <cell r="U6" t="str">
            <v>-space1</v>
          </cell>
          <cell r="V6" t="str">
            <v>+space1</v>
          </cell>
          <cell r="W6" t="str">
            <v>+bull</v>
          </cell>
          <cell r="X6" t="str">
            <v>+space2</v>
          </cell>
        </row>
        <row r="7">
          <cell r="A7" t="str">
            <v>Binary driver one</v>
          </cell>
          <cell r="C7">
            <v>-5</v>
          </cell>
          <cell r="S7">
            <v>-23</v>
          </cell>
          <cell r="T7">
            <v>-7</v>
          </cell>
          <cell r="U7">
            <v>0</v>
          </cell>
          <cell r="V7">
            <v>0</v>
          </cell>
          <cell r="W7">
            <v>3</v>
          </cell>
          <cell r="X7">
            <v>14</v>
          </cell>
          <cell r="Y7">
            <v>17</v>
          </cell>
        </row>
        <row r="8">
          <cell r="A8" t="str">
            <v>Binary driver two</v>
          </cell>
          <cell r="C8">
            <v>-5</v>
          </cell>
          <cell r="S8">
            <v>-18</v>
          </cell>
          <cell r="T8">
            <v>-5</v>
          </cell>
          <cell r="U8">
            <v>-7</v>
          </cell>
          <cell r="V8">
            <v>3</v>
          </cell>
          <cell r="W8">
            <v>2</v>
          </cell>
          <cell r="X8">
            <v>12</v>
          </cell>
          <cell r="Y8">
            <v>17</v>
          </cell>
        </row>
        <row r="9">
          <cell r="A9" t="str">
            <v>Binary driver three</v>
          </cell>
          <cell r="C9">
            <v>-6</v>
          </cell>
          <cell r="S9">
            <v>-12</v>
          </cell>
          <cell r="T9">
            <v>-6</v>
          </cell>
          <cell r="U9">
            <v>-12</v>
          </cell>
          <cell r="V9">
            <v>5</v>
          </cell>
          <cell r="W9">
            <v>3</v>
          </cell>
          <cell r="X9">
            <v>9</v>
          </cell>
          <cell r="Y9">
            <v>17</v>
          </cell>
        </row>
        <row r="10">
          <cell r="A10" t="str">
            <v>Bull only driver one</v>
          </cell>
          <cell r="C10">
            <v>0</v>
          </cell>
          <cell r="S10">
            <v>-12</v>
          </cell>
          <cell r="U10">
            <v>-18</v>
          </cell>
          <cell r="V10">
            <v>8</v>
          </cell>
          <cell r="W10">
            <v>4</v>
          </cell>
          <cell r="X10">
            <v>5</v>
          </cell>
          <cell r="Y10">
            <v>17</v>
          </cell>
        </row>
        <row r="11">
          <cell r="A11" t="str">
            <v>Bull only driver two</v>
          </cell>
          <cell r="C11">
            <v>0</v>
          </cell>
          <cell r="S11">
            <v>-12</v>
          </cell>
          <cell r="U11">
            <v>-18</v>
          </cell>
          <cell r="V11">
            <v>12</v>
          </cell>
          <cell r="W11">
            <v>5</v>
          </cell>
          <cell r="X11">
            <v>0</v>
          </cell>
          <cell r="Y11">
            <v>17</v>
          </cell>
        </row>
        <row r="12">
          <cell r="A12" t="str">
            <v>Bear only driver one</v>
          </cell>
          <cell r="C12">
            <v>-4</v>
          </cell>
          <cell r="S12">
            <v>-8</v>
          </cell>
          <cell r="T12">
            <v>-4</v>
          </cell>
          <cell r="U12">
            <v>-18</v>
          </cell>
          <cell r="V12">
            <v>17</v>
          </cell>
          <cell r="X12">
            <v>0</v>
          </cell>
          <cell r="Y12">
            <v>17</v>
          </cell>
        </row>
        <row r="13">
          <cell r="A13" t="str">
            <v>Bear only driver two</v>
          </cell>
          <cell r="C13">
            <v>-3</v>
          </cell>
          <cell r="S13">
            <v>-5</v>
          </cell>
          <cell r="T13">
            <v>-3</v>
          </cell>
          <cell r="U13">
            <v>-22</v>
          </cell>
          <cell r="V13">
            <v>17</v>
          </cell>
          <cell r="X13">
            <v>0</v>
          </cell>
          <cell r="Y13">
            <v>17</v>
          </cell>
        </row>
        <row r="14">
          <cell r="A14" t="str">
            <v>Bear only driver three</v>
          </cell>
          <cell r="C14">
            <v>-5</v>
          </cell>
          <cell r="S14">
            <v>0</v>
          </cell>
          <cell r="T14">
            <v>-5</v>
          </cell>
          <cell r="U14">
            <v>-25</v>
          </cell>
          <cell r="V14">
            <v>17</v>
          </cell>
          <cell r="X14">
            <v>0</v>
          </cell>
          <cell r="Y14">
            <v>17</v>
          </cell>
        </row>
        <row r="15">
          <cell r="C15">
            <v>0</v>
          </cell>
        </row>
        <row r="16">
          <cell r="S16" t="str">
            <v>-space1</v>
          </cell>
          <cell r="T16" t="str">
            <v>-bear</v>
          </cell>
          <cell r="U16" t="str">
            <v>-space2</v>
          </cell>
          <cell r="V16" t="str">
            <v>+space1</v>
          </cell>
          <cell r="W16" t="str">
            <v>+bull</v>
          </cell>
          <cell r="X16" t="str">
            <v>+space2</v>
          </cell>
          <cell r="Y16" t="str">
            <v>Bear 
10.00</v>
          </cell>
          <cell r="Z16" t="str">
            <v>Base 
40.00</v>
          </cell>
          <cell r="AA16" t="str">
            <v>Bull
57.00</v>
          </cell>
          <cell r="AB16" t="str">
            <v/>
          </cell>
        </row>
        <row r="18">
          <cell r="R18" t="str">
            <v>Binary driver one</v>
          </cell>
          <cell r="S18">
            <v>0</v>
          </cell>
          <cell r="T18">
            <v>-5</v>
          </cell>
          <cell r="U18">
            <v>-23</v>
          </cell>
          <cell r="V18">
            <v>0</v>
          </cell>
          <cell r="W18">
            <v>3</v>
          </cell>
          <cell r="X18">
            <v>14</v>
          </cell>
          <cell r="Y18">
            <v>-30</v>
          </cell>
          <cell r="Z18">
            <v>0</v>
          </cell>
          <cell r="AA18">
            <v>17</v>
          </cell>
          <cell r="AB18" t="str">
            <v/>
          </cell>
        </row>
        <row r="19">
          <cell r="R19" t="str">
            <v>Binary driver two</v>
          </cell>
          <cell r="S19">
            <v>-7</v>
          </cell>
          <cell r="T19">
            <v>-5</v>
          </cell>
          <cell r="U19">
            <v>-18</v>
          </cell>
          <cell r="V19">
            <v>3</v>
          </cell>
          <cell r="W19">
            <v>2</v>
          </cell>
          <cell r="X19">
            <v>12</v>
          </cell>
          <cell r="Y19">
            <v>-30</v>
          </cell>
          <cell r="Z19">
            <v>0</v>
          </cell>
          <cell r="AA19">
            <v>17</v>
          </cell>
          <cell r="AB19" t="str">
            <v/>
          </cell>
        </row>
        <row r="20">
          <cell r="R20" t="str">
            <v>Binary driver three</v>
          </cell>
          <cell r="S20">
            <v>-12</v>
          </cell>
          <cell r="T20">
            <v>-6</v>
          </cell>
          <cell r="U20">
            <v>-12</v>
          </cell>
          <cell r="V20">
            <v>5</v>
          </cell>
          <cell r="W20">
            <v>3</v>
          </cell>
          <cell r="X20">
            <v>9</v>
          </cell>
          <cell r="Y20">
            <v>-30</v>
          </cell>
          <cell r="Z20">
            <v>0</v>
          </cell>
          <cell r="AA20">
            <v>17</v>
          </cell>
          <cell r="AB20" t="str">
            <v/>
          </cell>
        </row>
        <row r="21">
          <cell r="R21" t="str">
            <v>Bull only driver one</v>
          </cell>
          <cell r="S21">
            <v>-18</v>
          </cell>
          <cell r="T21">
            <v>0</v>
          </cell>
          <cell r="U21">
            <v>-12</v>
          </cell>
          <cell r="V21">
            <v>8</v>
          </cell>
          <cell r="W21">
            <v>4</v>
          </cell>
          <cell r="X21">
            <v>5</v>
          </cell>
          <cell r="Y21">
            <v>-30</v>
          </cell>
          <cell r="Z21">
            <v>0</v>
          </cell>
          <cell r="AA21">
            <v>17</v>
          </cell>
          <cell r="AB21" t="str">
            <v/>
          </cell>
        </row>
        <row r="22">
          <cell r="R22" t="str">
            <v>Bull only driver two</v>
          </cell>
          <cell r="S22">
            <v>-18</v>
          </cell>
          <cell r="T22">
            <v>0</v>
          </cell>
          <cell r="U22">
            <v>-12</v>
          </cell>
          <cell r="V22">
            <v>12</v>
          </cell>
          <cell r="W22">
            <v>5</v>
          </cell>
          <cell r="X22">
            <v>0</v>
          </cell>
          <cell r="Y22">
            <v>-30</v>
          </cell>
          <cell r="Z22">
            <v>0</v>
          </cell>
          <cell r="AA22">
            <v>17</v>
          </cell>
          <cell r="AB22" t="str">
            <v/>
          </cell>
        </row>
        <row r="23">
          <cell r="R23" t="str">
            <v>Bear only driver one</v>
          </cell>
          <cell r="S23">
            <v>-18</v>
          </cell>
          <cell r="T23">
            <v>-4</v>
          </cell>
          <cell r="U23">
            <v>-8</v>
          </cell>
          <cell r="V23">
            <v>17</v>
          </cell>
          <cell r="W23">
            <v>0</v>
          </cell>
          <cell r="X23">
            <v>0</v>
          </cell>
          <cell r="Y23">
            <v>-30</v>
          </cell>
          <cell r="Z23">
            <v>0</v>
          </cell>
          <cell r="AA23">
            <v>17</v>
          </cell>
          <cell r="AB23" t="str">
            <v/>
          </cell>
        </row>
        <row r="24">
          <cell r="R24" t="str">
            <v>Bear only driver two</v>
          </cell>
          <cell r="S24">
            <v>-22</v>
          </cell>
          <cell r="T24">
            <v>-3</v>
          </cell>
          <cell r="U24">
            <v>-5</v>
          </cell>
          <cell r="V24">
            <v>17</v>
          </cell>
          <cell r="W24">
            <v>0</v>
          </cell>
          <cell r="X24">
            <v>0</v>
          </cell>
          <cell r="Y24">
            <v>-30</v>
          </cell>
          <cell r="Z24">
            <v>0</v>
          </cell>
          <cell r="AA24">
            <v>17</v>
          </cell>
          <cell r="AB24" t="str">
            <v/>
          </cell>
        </row>
        <row r="25">
          <cell r="R25" t="str">
            <v>Bear only driver three</v>
          </cell>
          <cell r="S25">
            <v>-25</v>
          </cell>
          <cell r="T25">
            <v>-5</v>
          </cell>
          <cell r="U25">
            <v>0</v>
          </cell>
          <cell r="V25">
            <v>17</v>
          </cell>
          <cell r="W25">
            <v>0</v>
          </cell>
          <cell r="X25">
            <v>0</v>
          </cell>
          <cell r="Y25">
            <v>-30</v>
          </cell>
          <cell r="Z25">
            <v>0</v>
          </cell>
          <cell r="AA25">
            <v>17</v>
          </cell>
          <cell r="AB25" t="str">
            <v/>
          </cell>
        </row>
        <row r="26">
          <cell r="Y26">
            <v>-30</v>
          </cell>
          <cell r="Z26">
            <v>0</v>
          </cell>
          <cell r="AA26">
            <v>17</v>
          </cell>
          <cell r="AB26" t="str">
            <v/>
          </cell>
        </row>
        <row r="27">
          <cell r="Y27">
            <v>-30</v>
          </cell>
          <cell r="Z27">
            <v>0</v>
          </cell>
          <cell r="AA27">
            <v>17</v>
          </cell>
          <cell r="AB27" t="str">
            <v/>
          </cell>
        </row>
        <row r="29">
          <cell r="AA29" t="str">
            <v>Note: Price Target = Base Case unless otherwise indicated.</v>
          </cell>
        </row>
        <row r="31">
          <cell r="R31" t="str">
            <v>Bear</v>
          </cell>
          <cell r="S31">
            <v>10</v>
          </cell>
        </row>
        <row r="32">
          <cell r="S32">
            <v>20</v>
          </cell>
        </row>
        <row r="33">
          <cell r="R33" t="str">
            <v>Bull</v>
          </cell>
          <cell r="S33">
            <v>57</v>
          </cell>
        </row>
      </sheetData>
      <sheetData sheetId="5" refreshError="1"/>
      <sheetData sheetId="6">
        <row r="4">
          <cell r="C4" t="str">
            <v>Bear</v>
          </cell>
          <cell r="E4" t="str">
            <v>Base</v>
          </cell>
          <cell r="H4" t="str">
            <v>Bull</v>
          </cell>
        </row>
        <row r="5">
          <cell r="B5">
            <v>-30</v>
          </cell>
          <cell r="C5">
            <v>-30</v>
          </cell>
          <cell r="E5">
            <v>40</v>
          </cell>
          <cell r="H5">
            <v>17</v>
          </cell>
          <cell r="J5">
            <v>17</v>
          </cell>
        </row>
        <row r="6">
          <cell r="C6" t="str">
            <v>-space2</v>
          </cell>
          <cell r="D6" t="str">
            <v>-bear</v>
          </cell>
          <cell r="E6" t="str">
            <v>-space1</v>
          </cell>
          <cell r="F6" t="str">
            <v>+space1</v>
          </cell>
          <cell r="G6" t="str">
            <v>+bull</v>
          </cell>
          <cell r="H6" t="str">
            <v>+space2</v>
          </cell>
        </row>
        <row r="7">
          <cell r="B7" t="str">
            <v>Binary driver one</v>
          </cell>
          <cell r="C7">
            <v>-23</v>
          </cell>
          <cell r="D7">
            <v>-7</v>
          </cell>
          <cell r="E7">
            <v>0</v>
          </cell>
          <cell r="F7">
            <v>0</v>
          </cell>
          <cell r="G7">
            <v>3</v>
          </cell>
          <cell r="H7">
            <v>14</v>
          </cell>
          <cell r="I7">
            <v>17</v>
          </cell>
        </row>
        <row r="8">
          <cell r="B8" t="str">
            <v>Binary driver two</v>
          </cell>
          <cell r="C8">
            <v>-18</v>
          </cell>
          <cell r="D8">
            <v>-5</v>
          </cell>
          <cell r="E8">
            <v>-7</v>
          </cell>
          <cell r="F8">
            <v>3</v>
          </cell>
          <cell r="G8">
            <v>2</v>
          </cell>
          <cell r="H8">
            <v>12</v>
          </cell>
          <cell r="I8">
            <v>17</v>
          </cell>
        </row>
        <row r="9">
          <cell r="B9" t="str">
            <v>Binary driver three</v>
          </cell>
          <cell r="C9">
            <v>-12</v>
          </cell>
          <cell r="D9">
            <v>-6</v>
          </cell>
          <cell r="E9">
            <v>-12</v>
          </cell>
          <cell r="F9">
            <v>5</v>
          </cell>
          <cell r="G9">
            <v>3</v>
          </cell>
          <cell r="H9">
            <v>9</v>
          </cell>
          <cell r="I9">
            <v>17</v>
          </cell>
        </row>
        <row r="10">
          <cell r="B10" t="str">
            <v>Bull only driver one</v>
          </cell>
          <cell r="C10">
            <v>-12</v>
          </cell>
          <cell r="E10">
            <v>-18</v>
          </cell>
          <cell r="F10">
            <v>8</v>
          </cell>
          <cell r="G10">
            <v>4</v>
          </cell>
          <cell r="H10">
            <v>5</v>
          </cell>
          <cell r="I10">
            <v>17</v>
          </cell>
        </row>
        <row r="11">
          <cell r="B11" t="str">
            <v>Bull only driver two</v>
          </cell>
          <cell r="C11">
            <v>-12</v>
          </cell>
          <cell r="E11">
            <v>-18</v>
          </cell>
          <cell r="F11">
            <v>12</v>
          </cell>
          <cell r="G11">
            <v>5</v>
          </cell>
          <cell r="H11">
            <v>0</v>
          </cell>
          <cell r="I11">
            <v>17</v>
          </cell>
        </row>
        <row r="12">
          <cell r="B12" t="str">
            <v>Bear only driver one</v>
          </cell>
          <cell r="C12">
            <v>-8</v>
          </cell>
          <cell r="D12">
            <v>-4</v>
          </cell>
          <cell r="E12">
            <v>-18</v>
          </cell>
          <cell r="F12">
            <v>17</v>
          </cell>
          <cell r="H12">
            <v>0</v>
          </cell>
          <cell r="I12">
            <v>17</v>
          </cell>
        </row>
        <row r="13">
          <cell r="B13" t="str">
            <v>Bear only driver two</v>
          </cell>
          <cell r="C13">
            <v>-5</v>
          </cell>
          <cell r="D13">
            <v>-3</v>
          </cell>
          <cell r="E13">
            <v>-22</v>
          </cell>
          <cell r="F13">
            <v>17</v>
          </cell>
          <cell r="H13">
            <v>0</v>
          </cell>
          <cell r="I13">
            <v>17</v>
          </cell>
        </row>
        <row r="14">
          <cell r="B14" t="str">
            <v>Bear only driver three</v>
          </cell>
          <cell r="C14">
            <v>0</v>
          </cell>
          <cell r="D14">
            <v>-5</v>
          </cell>
          <cell r="E14">
            <v>-25</v>
          </cell>
          <cell r="F14">
            <v>17</v>
          </cell>
          <cell r="H14">
            <v>0</v>
          </cell>
          <cell r="I14">
            <v>17</v>
          </cell>
        </row>
        <row r="16">
          <cell r="C16" t="str">
            <v>-space1</v>
          </cell>
          <cell r="D16" t="str">
            <v>-bear</v>
          </cell>
          <cell r="E16" t="str">
            <v>-space2</v>
          </cell>
          <cell r="F16" t="str">
            <v>+space1</v>
          </cell>
          <cell r="G16" t="str">
            <v>+bull</v>
          </cell>
          <cell r="H16" t="str">
            <v>+space2</v>
          </cell>
          <cell r="I16" t="str">
            <v>Bear  10.00</v>
          </cell>
          <cell r="J16" t="str">
            <v>Base  40.00</v>
          </cell>
          <cell r="K16" t="str">
            <v>Bull: 57.00</v>
          </cell>
          <cell r="L16" t="str">
            <v/>
          </cell>
        </row>
        <row r="18">
          <cell r="B18" t="str">
            <v>Binary driver one</v>
          </cell>
          <cell r="C18">
            <v>0</v>
          </cell>
          <cell r="D18">
            <v>-7</v>
          </cell>
          <cell r="E18">
            <v>-23</v>
          </cell>
          <cell r="F18">
            <v>0</v>
          </cell>
          <cell r="G18">
            <v>3</v>
          </cell>
          <cell r="H18">
            <v>14</v>
          </cell>
          <cell r="I18">
            <v>-30</v>
          </cell>
          <cell r="J18">
            <v>0</v>
          </cell>
          <cell r="K18">
            <v>17</v>
          </cell>
          <cell r="L18" t="str">
            <v/>
          </cell>
        </row>
        <row r="19">
          <cell r="B19" t="str">
            <v>Binary driver two</v>
          </cell>
          <cell r="C19">
            <v>-7</v>
          </cell>
          <cell r="D19">
            <v>-5</v>
          </cell>
          <cell r="E19">
            <v>-18</v>
          </cell>
          <cell r="F19">
            <v>3</v>
          </cell>
          <cell r="G19">
            <v>2</v>
          </cell>
          <cell r="H19">
            <v>12</v>
          </cell>
          <cell r="I19">
            <v>-30</v>
          </cell>
          <cell r="J19">
            <v>0</v>
          </cell>
          <cell r="K19">
            <v>17</v>
          </cell>
          <cell r="L19" t="str">
            <v/>
          </cell>
        </row>
        <row r="20">
          <cell r="B20" t="str">
            <v>Binary driver three</v>
          </cell>
          <cell r="C20">
            <v>-12</v>
          </cell>
          <cell r="D20">
            <v>-6</v>
          </cell>
          <cell r="E20">
            <v>-12</v>
          </cell>
          <cell r="F20">
            <v>5</v>
          </cell>
          <cell r="G20">
            <v>3</v>
          </cell>
          <cell r="H20">
            <v>9</v>
          </cell>
          <cell r="I20">
            <v>-30</v>
          </cell>
          <cell r="J20">
            <v>0</v>
          </cell>
          <cell r="K20">
            <v>17</v>
          </cell>
          <cell r="L20" t="str">
            <v/>
          </cell>
        </row>
        <row r="21">
          <cell r="B21" t="str">
            <v>Bull only driver one</v>
          </cell>
          <cell r="C21">
            <v>-18</v>
          </cell>
          <cell r="D21">
            <v>0</v>
          </cell>
          <cell r="E21">
            <v>-12</v>
          </cell>
          <cell r="F21">
            <v>8</v>
          </cell>
          <cell r="G21">
            <v>4</v>
          </cell>
          <cell r="H21">
            <v>5</v>
          </cell>
          <cell r="I21">
            <v>-30</v>
          </cell>
          <cell r="J21">
            <v>0</v>
          </cell>
          <cell r="K21">
            <v>17</v>
          </cell>
          <cell r="L21" t="str">
            <v/>
          </cell>
        </row>
        <row r="22">
          <cell r="B22" t="str">
            <v>Bull only driver two</v>
          </cell>
          <cell r="C22">
            <v>-18</v>
          </cell>
          <cell r="D22">
            <v>0</v>
          </cell>
          <cell r="E22">
            <v>-12</v>
          </cell>
          <cell r="F22">
            <v>12</v>
          </cell>
          <cell r="G22">
            <v>5</v>
          </cell>
          <cell r="H22">
            <v>0</v>
          </cell>
          <cell r="I22">
            <v>-30</v>
          </cell>
          <cell r="J22">
            <v>0</v>
          </cell>
          <cell r="K22">
            <v>17</v>
          </cell>
          <cell r="L22" t="str">
            <v/>
          </cell>
        </row>
        <row r="23">
          <cell r="B23" t="str">
            <v>Bear only driver one</v>
          </cell>
          <cell r="C23">
            <v>-18</v>
          </cell>
          <cell r="D23">
            <v>-4</v>
          </cell>
          <cell r="E23">
            <v>-8</v>
          </cell>
          <cell r="F23">
            <v>17</v>
          </cell>
          <cell r="G23">
            <v>0</v>
          </cell>
          <cell r="H23">
            <v>0</v>
          </cell>
          <cell r="I23">
            <v>-30</v>
          </cell>
          <cell r="J23">
            <v>0</v>
          </cell>
          <cell r="K23">
            <v>17</v>
          </cell>
          <cell r="L23" t="str">
            <v/>
          </cell>
        </row>
        <row r="24">
          <cell r="B24" t="str">
            <v>Bear only driver two</v>
          </cell>
          <cell r="C24">
            <v>-22</v>
          </cell>
          <cell r="D24">
            <v>-3</v>
          </cell>
          <cell r="E24">
            <v>-5</v>
          </cell>
          <cell r="F24">
            <v>17</v>
          </cell>
          <cell r="G24">
            <v>0</v>
          </cell>
          <cell r="H24">
            <v>0</v>
          </cell>
          <cell r="I24">
            <v>-30</v>
          </cell>
          <cell r="J24">
            <v>0</v>
          </cell>
          <cell r="K24">
            <v>17</v>
          </cell>
          <cell r="L24" t="str">
            <v/>
          </cell>
        </row>
        <row r="25">
          <cell r="B25" t="str">
            <v>Bear only driver three</v>
          </cell>
          <cell r="C25">
            <v>-25</v>
          </cell>
          <cell r="D25">
            <v>-5</v>
          </cell>
          <cell r="E25">
            <v>0</v>
          </cell>
          <cell r="F25">
            <v>17</v>
          </cell>
          <cell r="G25">
            <v>0</v>
          </cell>
          <cell r="H25">
            <v>0</v>
          </cell>
          <cell r="I25">
            <v>-30</v>
          </cell>
          <cell r="J25">
            <v>0</v>
          </cell>
          <cell r="K25">
            <v>17</v>
          </cell>
          <cell r="L25" t="str">
            <v/>
          </cell>
        </row>
        <row r="26">
          <cell r="I26">
            <v>-30</v>
          </cell>
          <cell r="J26">
            <v>0</v>
          </cell>
          <cell r="K26">
            <v>17</v>
          </cell>
          <cell r="L26" t="str">
            <v/>
          </cell>
        </row>
        <row r="27">
          <cell r="I27">
            <v>-30</v>
          </cell>
          <cell r="J27">
            <v>0</v>
          </cell>
          <cell r="K27">
            <v>17</v>
          </cell>
          <cell r="L27" t="str">
            <v/>
          </cell>
        </row>
        <row r="28">
          <cell r="B28" t="str">
            <v>Bear</v>
          </cell>
          <cell r="C28">
            <v>10</v>
          </cell>
        </row>
        <row r="29">
          <cell r="B29" t="str">
            <v>Base</v>
          </cell>
          <cell r="C29">
            <v>40</v>
          </cell>
          <cell r="K29" t="str">
            <v>Note: Price Target = Base Case unless otherwise indicated.</v>
          </cell>
        </row>
        <row r="30">
          <cell r="B30" t="str">
            <v>Bull</v>
          </cell>
          <cell r="C30">
            <v>57</v>
          </cell>
        </row>
        <row r="31">
          <cell r="B31" t="str">
            <v>Price Target</v>
          </cell>
          <cell r="C31">
            <v>40</v>
          </cell>
        </row>
        <row r="35">
          <cell r="I35" t="str">
            <v>s</v>
          </cell>
        </row>
      </sheetData>
      <sheetData sheetId="7" refreshError="1"/>
      <sheetData sheetId="8">
        <row r="4">
          <cell r="C4" t="str">
            <v>Bear</v>
          </cell>
          <cell r="E4" t="str">
            <v>Base</v>
          </cell>
          <cell r="H4" t="str">
            <v>Bull</v>
          </cell>
        </row>
        <row r="5">
          <cell r="B5">
            <v>-30</v>
          </cell>
          <cell r="C5">
            <v>-30</v>
          </cell>
          <cell r="E5">
            <v>40</v>
          </cell>
          <cell r="H5">
            <v>17</v>
          </cell>
          <cell r="J5">
            <v>17</v>
          </cell>
        </row>
        <row r="6">
          <cell r="C6" t="str">
            <v>-space2</v>
          </cell>
          <cell r="D6" t="str">
            <v>-bear</v>
          </cell>
          <cell r="E6" t="str">
            <v>-space1</v>
          </cell>
          <cell r="F6" t="str">
            <v>+space1</v>
          </cell>
          <cell r="G6" t="str">
            <v>+bull</v>
          </cell>
          <cell r="H6" t="str">
            <v>+space2</v>
          </cell>
        </row>
        <row r="7">
          <cell r="B7" t="str">
            <v>Binary driver one</v>
          </cell>
          <cell r="C7">
            <v>-23</v>
          </cell>
          <cell r="D7">
            <v>-7</v>
          </cell>
          <cell r="E7">
            <v>0</v>
          </cell>
          <cell r="F7">
            <v>0</v>
          </cell>
          <cell r="G7">
            <v>3</v>
          </cell>
          <cell r="H7">
            <v>14</v>
          </cell>
          <cell r="I7">
            <v>17</v>
          </cell>
        </row>
        <row r="8">
          <cell r="B8" t="str">
            <v>Binary driver two</v>
          </cell>
          <cell r="C8">
            <v>-18</v>
          </cell>
          <cell r="D8">
            <v>-5</v>
          </cell>
          <cell r="E8">
            <v>-7</v>
          </cell>
          <cell r="F8">
            <v>3</v>
          </cell>
          <cell r="G8">
            <v>2</v>
          </cell>
          <cell r="H8">
            <v>12</v>
          </cell>
          <cell r="I8">
            <v>17</v>
          </cell>
        </row>
        <row r="9">
          <cell r="B9" t="str">
            <v>Driver number three</v>
          </cell>
          <cell r="C9">
            <v>-12</v>
          </cell>
          <cell r="D9">
            <v>-6</v>
          </cell>
          <cell r="E9">
            <v>-12</v>
          </cell>
          <cell r="F9">
            <v>5</v>
          </cell>
          <cell r="G9">
            <v>3</v>
          </cell>
          <cell r="H9">
            <v>9</v>
          </cell>
          <cell r="I9">
            <v>17</v>
          </cell>
        </row>
        <row r="10">
          <cell r="B10" t="str">
            <v>Bull only driver one</v>
          </cell>
          <cell r="C10">
            <v>-12</v>
          </cell>
          <cell r="E10">
            <v>-18</v>
          </cell>
          <cell r="F10">
            <v>8</v>
          </cell>
          <cell r="G10">
            <v>4</v>
          </cell>
          <cell r="H10">
            <v>5</v>
          </cell>
          <cell r="I10">
            <v>17</v>
          </cell>
        </row>
        <row r="11">
          <cell r="B11" t="str">
            <v>Bull only driver two</v>
          </cell>
          <cell r="C11">
            <v>-12</v>
          </cell>
          <cell r="E11">
            <v>-18</v>
          </cell>
          <cell r="F11">
            <v>12</v>
          </cell>
          <cell r="G11">
            <v>5</v>
          </cell>
          <cell r="H11">
            <v>0</v>
          </cell>
          <cell r="I11">
            <v>17</v>
          </cell>
        </row>
        <row r="12">
          <cell r="B12" t="str">
            <v>Bear only driver one</v>
          </cell>
          <cell r="C12">
            <v>-8</v>
          </cell>
          <cell r="D12">
            <v>-4</v>
          </cell>
          <cell r="E12">
            <v>-18</v>
          </cell>
          <cell r="F12">
            <v>17</v>
          </cell>
          <cell r="H12">
            <v>0</v>
          </cell>
          <cell r="I12">
            <v>17</v>
          </cell>
        </row>
        <row r="13">
          <cell r="B13" t="str">
            <v>Bear only driver two</v>
          </cell>
          <cell r="C13">
            <v>-5</v>
          </cell>
          <cell r="D13">
            <v>-3</v>
          </cell>
          <cell r="E13">
            <v>-22</v>
          </cell>
          <cell r="F13">
            <v>17</v>
          </cell>
          <cell r="H13">
            <v>0</v>
          </cell>
          <cell r="I13">
            <v>17</v>
          </cell>
        </row>
        <row r="14">
          <cell r="B14" t="str">
            <v>Bear only driver three</v>
          </cell>
          <cell r="C14">
            <v>0</v>
          </cell>
          <cell r="D14">
            <v>-5</v>
          </cell>
          <cell r="E14">
            <v>-25</v>
          </cell>
          <cell r="F14">
            <v>17</v>
          </cell>
          <cell r="H14">
            <v>0</v>
          </cell>
          <cell r="I14">
            <v>17</v>
          </cell>
        </row>
        <row r="16">
          <cell r="C16" t="str">
            <v>-space1</v>
          </cell>
          <cell r="D16" t="str">
            <v>-bear</v>
          </cell>
          <cell r="E16" t="str">
            <v>-space2</v>
          </cell>
          <cell r="F16" t="str">
            <v>+space1</v>
          </cell>
          <cell r="G16" t="str">
            <v>+bull</v>
          </cell>
          <cell r="H16" t="str">
            <v>+space2</v>
          </cell>
          <cell r="I16" t="str">
            <v>Bear  10.00</v>
          </cell>
          <cell r="J16" t="str">
            <v>Base  40.00</v>
          </cell>
          <cell r="K16" t="str">
            <v>Bull: 57.00</v>
          </cell>
          <cell r="L16" t="str">
            <v/>
          </cell>
        </row>
        <row r="18">
          <cell r="B18" t="str">
            <v>Binary driver one</v>
          </cell>
          <cell r="C18">
            <v>0</v>
          </cell>
          <cell r="D18">
            <v>-7</v>
          </cell>
          <cell r="E18">
            <v>-23</v>
          </cell>
          <cell r="F18">
            <v>0</v>
          </cell>
          <cell r="G18">
            <v>3</v>
          </cell>
          <cell r="H18">
            <v>14</v>
          </cell>
          <cell r="I18">
            <v>-30</v>
          </cell>
          <cell r="J18">
            <v>0</v>
          </cell>
          <cell r="K18">
            <v>17</v>
          </cell>
          <cell r="L18" t="str">
            <v/>
          </cell>
        </row>
        <row r="19">
          <cell r="B19" t="str">
            <v>Binary driver two</v>
          </cell>
          <cell r="C19">
            <v>-7</v>
          </cell>
          <cell r="D19">
            <v>-5</v>
          </cell>
          <cell r="E19">
            <v>-18</v>
          </cell>
          <cell r="F19">
            <v>3</v>
          </cell>
          <cell r="G19">
            <v>2</v>
          </cell>
          <cell r="H19">
            <v>12</v>
          </cell>
          <cell r="I19">
            <v>-30</v>
          </cell>
          <cell r="J19">
            <v>0</v>
          </cell>
          <cell r="K19">
            <v>17</v>
          </cell>
          <cell r="L19" t="str">
            <v/>
          </cell>
        </row>
        <row r="20">
          <cell r="B20" t="str">
            <v>Driver number three</v>
          </cell>
          <cell r="C20">
            <v>-12</v>
          </cell>
          <cell r="D20">
            <v>-6</v>
          </cell>
          <cell r="E20">
            <v>-12</v>
          </cell>
          <cell r="F20">
            <v>5</v>
          </cell>
          <cell r="G20">
            <v>3</v>
          </cell>
          <cell r="H20">
            <v>9</v>
          </cell>
          <cell r="I20">
            <v>-30</v>
          </cell>
          <cell r="J20">
            <v>0</v>
          </cell>
          <cell r="K20">
            <v>17</v>
          </cell>
          <cell r="L20" t="str">
            <v/>
          </cell>
        </row>
        <row r="21">
          <cell r="B21" t="str">
            <v>Bull only driver one</v>
          </cell>
          <cell r="C21">
            <v>-18</v>
          </cell>
          <cell r="D21">
            <v>0</v>
          </cell>
          <cell r="E21">
            <v>-12</v>
          </cell>
          <cell r="F21">
            <v>8</v>
          </cell>
          <cell r="G21">
            <v>4</v>
          </cell>
          <cell r="H21">
            <v>5</v>
          </cell>
          <cell r="I21">
            <v>-30</v>
          </cell>
          <cell r="J21">
            <v>0</v>
          </cell>
          <cell r="K21">
            <v>17</v>
          </cell>
          <cell r="L21" t="str">
            <v/>
          </cell>
        </row>
        <row r="22">
          <cell r="B22" t="str">
            <v>Bull only driver two</v>
          </cell>
          <cell r="C22">
            <v>-18</v>
          </cell>
          <cell r="D22">
            <v>0</v>
          </cell>
          <cell r="E22">
            <v>-12</v>
          </cell>
          <cell r="F22">
            <v>12</v>
          </cell>
          <cell r="G22">
            <v>5</v>
          </cell>
          <cell r="H22">
            <v>0</v>
          </cell>
          <cell r="I22">
            <v>-30</v>
          </cell>
          <cell r="J22">
            <v>0</v>
          </cell>
          <cell r="K22">
            <v>17</v>
          </cell>
          <cell r="L22" t="str">
            <v/>
          </cell>
        </row>
        <row r="23">
          <cell r="B23" t="str">
            <v>Bear only driver one</v>
          </cell>
          <cell r="C23">
            <v>-18</v>
          </cell>
          <cell r="D23">
            <v>-4</v>
          </cell>
          <cell r="E23">
            <v>-8</v>
          </cell>
          <cell r="F23">
            <v>17</v>
          </cell>
          <cell r="G23">
            <v>0</v>
          </cell>
          <cell r="H23">
            <v>0</v>
          </cell>
          <cell r="I23">
            <v>-30</v>
          </cell>
          <cell r="J23">
            <v>0</v>
          </cell>
          <cell r="K23">
            <v>17</v>
          </cell>
          <cell r="L23" t="str">
            <v/>
          </cell>
        </row>
        <row r="24">
          <cell r="B24" t="str">
            <v>Bear only driver two</v>
          </cell>
          <cell r="C24">
            <v>-22</v>
          </cell>
          <cell r="D24">
            <v>-3</v>
          </cell>
          <cell r="E24">
            <v>-5</v>
          </cell>
          <cell r="F24">
            <v>17</v>
          </cell>
          <cell r="G24">
            <v>0</v>
          </cell>
          <cell r="H24">
            <v>0</v>
          </cell>
          <cell r="I24">
            <v>-30</v>
          </cell>
          <cell r="J24">
            <v>0</v>
          </cell>
          <cell r="K24">
            <v>17</v>
          </cell>
          <cell r="L24" t="str">
            <v/>
          </cell>
        </row>
        <row r="25">
          <cell r="B25" t="str">
            <v>Bear only driver three</v>
          </cell>
          <cell r="C25">
            <v>-25</v>
          </cell>
          <cell r="D25">
            <v>-5</v>
          </cell>
          <cell r="E25">
            <v>0</v>
          </cell>
          <cell r="F25">
            <v>17</v>
          </cell>
          <cell r="G25">
            <v>0</v>
          </cell>
          <cell r="H25">
            <v>0</v>
          </cell>
          <cell r="I25">
            <v>-30</v>
          </cell>
          <cell r="J25">
            <v>0</v>
          </cell>
          <cell r="K25">
            <v>17</v>
          </cell>
          <cell r="L25" t="str">
            <v/>
          </cell>
        </row>
        <row r="26">
          <cell r="I26">
            <v>-30</v>
          </cell>
          <cell r="J26">
            <v>0</v>
          </cell>
          <cell r="K26">
            <v>17</v>
          </cell>
          <cell r="L26" t="str">
            <v/>
          </cell>
        </row>
        <row r="27">
          <cell r="I27">
            <v>-30</v>
          </cell>
          <cell r="J27">
            <v>0</v>
          </cell>
          <cell r="K27">
            <v>17</v>
          </cell>
          <cell r="L27" t="str">
            <v/>
          </cell>
        </row>
        <row r="28">
          <cell r="B28" t="str">
            <v>Bear</v>
          </cell>
          <cell r="C28">
            <v>10</v>
          </cell>
        </row>
        <row r="29">
          <cell r="B29" t="str">
            <v>Base</v>
          </cell>
          <cell r="C29">
            <v>40</v>
          </cell>
          <cell r="K29" t="str">
            <v>Note: Price Target = Base Case unless otherwise indicated.</v>
          </cell>
        </row>
        <row r="30">
          <cell r="B30" t="str">
            <v>Bull</v>
          </cell>
          <cell r="C30">
            <v>57</v>
          </cell>
        </row>
        <row r="31">
          <cell r="B31" t="str">
            <v>Price Target</v>
          </cell>
          <cell r="C31">
            <v>40</v>
          </cell>
        </row>
        <row r="35">
          <cell r="I35" t="str">
            <v>s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4">
          <cell r="C4" t="str">
            <v>Bear</v>
          </cell>
          <cell r="E4" t="str">
            <v>Base</v>
          </cell>
          <cell r="H4" t="str">
            <v>Bull</v>
          </cell>
        </row>
        <row r="5">
          <cell r="B5">
            <v>-36</v>
          </cell>
          <cell r="C5">
            <v>-36</v>
          </cell>
          <cell r="E5">
            <v>40</v>
          </cell>
          <cell r="H5">
            <v>18</v>
          </cell>
          <cell r="J5">
            <v>18</v>
          </cell>
        </row>
        <row r="6">
          <cell r="A6" t="str">
            <v>check</v>
          </cell>
          <cell r="C6" t="str">
            <v>-space2</v>
          </cell>
          <cell r="D6" t="str">
            <v>-bear</v>
          </cell>
          <cell r="E6" t="str">
            <v>-space1</v>
          </cell>
          <cell r="F6" t="str">
            <v>+space1</v>
          </cell>
          <cell r="G6" t="str">
            <v>+bull</v>
          </cell>
          <cell r="H6" t="str">
            <v>+space2</v>
          </cell>
        </row>
        <row r="7">
          <cell r="A7">
            <v>-36</v>
          </cell>
          <cell r="B7" t="str">
            <v>This is long label number one</v>
          </cell>
          <cell r="C7">
            <v>-32</v>
          </cell>
          <cell r="D7">
            <v>-4</v>
          </cell>
          <cell r="E7">
            <v>0</v>
          </cell>
          <cell r="F7">
            <v>0</v>
          </cell>
          <cell r="G7">
            <v>4</v>
          </cell>
          <cell r="H7">
            <v>14</v>
          </cell>
          <cell r="I7">
            <v>18</v>
          </cell>
        </row>
        <row r="8">
          <cell r="A8">
            <v>-36</v>
          </cell>
          <cell r="B8" t="str">
            <v>This is long label number two</v>
          </cell>
          <cell r="C8">
            <v>-27</v>
          </cell>
          <cell r="D8">
            <v>-5</v>
          </cell>
          <cell r="E8">
            <v>-4</v>
          </cell>
          <cell r="F8">
            <v>4</v>
          </cell>
          <cell r="G8">
            <v>2</v>
          </cell>
          <cell r="H8">
            <v>12</v>
          </cell>
          <cell r="I8">
            <v>18</v>
          </cell>
        </row>
        <row r="9">
          <cell r="A9">
            <v>-36</v>
          </cell>
          <cell r="B9" t="str">
            <v>This is long label number three</v>
          </cell>
          <cell r="C9">
            <v>-21</v>
          </cell>
          <cell r="D9">
            <v>-6</v>
          </cell>
          <cell r="E9">
            <v>-9</v>
          </cell>
          <cell r="F9">
            <v>6</v>
          </cell>
          <cell r="G9">
            <v>3</v>
          </cell>
          <cell r="H9">
            <v>9</v>
          </cell>
          <cell r="I9">
            <v>18</v>
          </cell>
        </row>
        <row r="10">
          <cell r="A10">
            <v>-36</v>
          </cell>
          <cell r="B10" t="str">
            <v>This is long label number four</v>
          </cell>
          <cell r="C10">
            <v>-17</v>
          </cell>
          <cell r="D10">
            <v>-4</v>
          </cell>
          <cell r="E10">
            <v>-15</v>
          </cell>
          <cell r="F10">
            <v>9</v>
          </cell>
          <cell r="G10">
            <v>4</v>
          </cell>
          <cell r="H10">
            <v>5</v>
          </cell>
          <cell r="I10">
            <v>18</v>
          </cell>
        </row>
        <row r="11">
          <cell r="A11">
            <v>-36</v>
          </cell>
          <cell r="B11" t="str">
            <v>This is long label number five</v>
          </cell>
          <cell r="C11">
            <v>-12</v>
          </cell>
          <cell r="D11">
            <v>-5</v>
          </cell>
          <cell r="E11">
            <v>-19</v>
          </cell>
          <cell r="F11">
            <v>13</v>
          </cell>
          <cell r="G11">
            <v>5</v>
          </cell>
          <cell r="H11">
            <v>0</v>
          </cell>
          <cell r="I11">
            <v>18</v>
          </cell>
        </row>
        <row r="12">
          <cell r="A12">
            <v>-36</v>
          </cell>
          <cell r="B12" t="str">
            <v>This is long label number six</v>
          </cell>
          <cell r="C12">
            <v>-8</v>
          </cell>
          <cell r="D12">
            <v>-4</v>
          </cell>
          <cell r="E12">
            <v>-24</v>
          </cell>
          <cell r="F12">
            <v>18</v>
          </cell>
          <cell r="H12">
            <v>0</v>
          </cell>
          <cell r="I12">
            <v>18</v>
          </cell>
        </row>
        <row r="13">
          <cell r="A13">
            <v>-36</v>
          </cell>
          <cell r="B13" t="str">
            <v>This is long label number seven</v>
          </cell>
          <cell r="C13">
            <v>-5</v>
          </cell>
          <cell r="D13">
            <v>-3</v>
          </cell>
          <cell r="E13">
            <v>-28</v>
          </cell>
          <cell r="F13">
            <v>18</v>
          </cell>
          <cell r="H13">
            <v>0</v>
          </cell>
          <cell r="I13">
            <v>18</v>
          </cell>
        </row>
        <row r="14">
          <cell r="A14">
            <v>-36</v>
          </cell>
          <cell r="B14" t="str">
            <v>This is long label number eight</v>
          </cell>
          <cell r="C14">
            <v>0</v>
          </cell>
          <cell r="D14">
            <v>-5</v>
          </cell>
          <cell r="E14">
            <v>-31</v>
          </cell>
          <cell r="F14">
            <v>18</v>
          </cell>
          <cell r="H14">
            <v>0</v>
          </cell>
          <cell r="I14">
            <v>18</v>
          </cell>
        </row>
        <row r="16">
          <cell r="C16" t="str">
            <v>-space1</v>
          </cell>
          <cell r="D16" t="str">
            <v>-bear</v>
          </cell>
          <cell r="E16" t="str">
            <v>-space2</v>
          </cell>
          <cell r="F16" t="str">
            <v>+space1</v>
          </cell>
          <cell r="G16" t="str">
            <v>+bull</v>
          </cell>
          <cell r="H16" t="str">
            <v>+space2</v>
          </cell>
          <cell r="I16" t="str">
            <v>Bear  4.00</v>
          </cell>
          <cell r="J16" t="str">
            <v>Base  40.00</v>
          </cell>
          <cell r="K16" t="str">
            <v>Bull: 58.00</v>
          </cell>
          <cell r="L16" t="str">
            <v>PT:
42.00</v>
          </cell>
        </row>
        <row r="18">
          <cell r="B18" t="str">
            <v>Driver number one</v>
          </cell>
          <cell r="C18">
            <v>0</v>
          </cell>
          <cell r="D18">
            <v>-4</v>
          </cell>
          <cell r="E18">
            <v>-32</v>
          </cell>
          <cell r="F18">
            <v>0</v>
          </cell>
          <cell r="G18">
            <v>4</v>
          </cell>
          <cell r="H18">
            <v>14</v>
          </cell>
          <cell r="I18">
            <v>-36</v>
          </cell>
          <cell r="J18">
            <v>0</v>
          </cell>
          <cell r="K18">
            <v>18</v>
          </cell>
          <cell r="L18">
            <v>2</v>
          </cell>
        </row>
        <row r="19">
          <cell r="B19" t="str">
            <v>Driver number two</v>
          </cell>
          <cell r="C19">
            <v>-4</v>
          </cell>
          <cell r="D19">
            <v>-5</v>
          </cell>
          <cell r="E19">
            <v>-27</v>
          </cell>
          <cell r="F19">
            <v>4</v>
          </cell>
          <cell r="G19">
            <v>2</v>
          </cell>
          <cell r="H19">
            <v>12</v>
          </cell>
          <cell r="I19">
            <v>-36</v>
          </cell>
          <cell r="J19">
            <v>0</v>
          </cell>
          <cell r="K19">
            <v>18</v>
          </cell>
          <cell r="L19">
            <v>2</v>
          </cell>
        </row>
        <row r="20">
          <cell r="B20" t="str">
            <v>Driver number three</v>
          </cell>
          <cell r="C20">
            <v>-9</v>
          </cell>
          <cell r="D20">
            <v>-6</v>
          </cell>
          <cell r="E20">
            <v>-21</v>
          </cell>
          <cell r="F20">
            <v>6</v>
          </cell>
          <cell r="G20">
            <v>3</v>
          </cell>
          <cell r="H20">
            <v>9</v>
          </cell>
          <cell r="I20">
            <v>-36</v>
          </cell>
          <cell r="J20">
            <v>0</v>
          </cell>
          <cell r="K20">
            <v>18</v>
          </cell>
          <cell r="L20">
            <v>2</v>
          </cell>
        </row>
        <row r="21">
          <cell r="B21" t="str">
            <v>Driver number four</v>
          </cell>
          <cell r="C21">
            <v>-15</v>
          </cell>
          <cell r="D21">
            <v>-4</v>
          </cell>
          <cell r="E21">
            <v>-17</v>
          </cell>
          <cell r="F21">
            <v>9</v>
          </cell>
          <cell r="G21">
            <v>4</v>
          </cell>
          <cell r="H21">
            <v>5</v>
          </cell>
          <cell r="I21">
            <v>-36</v>
          </cell>
          <cell r="J21">
            <v>0</v>
          </cell>
          <cell r="K21">
            <v>18</v>
          </cell>
          <cell r="L21">
            <v>2</v>
          </cell>
        </row>
        <row r="22">
          <cell r="B22" t="str">
            <v>Driver number five</v>
          </cell>
          <cell r="C22">
            <v>-19</v>
          </cell>
          <cell r="D22">
            <v>-5</v>
          </cell>
          <cell r="E22">
            <v>-12</v>
          </cell>
          <cell r="F22">
            <v>13</v>
          </cell>
          <cell r="G22">
            <v>5</v>
          </cell>
          <cell r="H22">
            <v>0</v>
          </cell>
          <cell r="I22">
            <v>-36</v>
          </cell>
          <cell r="J22">
            <v>0</v>
          </cell>
          <cell r="K22">
            <v>18</v>
          </cell>
          <cell r="L22">
            <v>2</v>
          </cell>
        </row>
        <row r="23">
          <cell r="B23" t="str">
            <v>Driver number six</v>
          </cell>
          <cell r="C23">
            <v>-24</v>
          </cell>
          <cell r="D23">
            <v>-4</v>
          </cell>
          <cell r="E23">
            <v>-8</v>
          </cell>
          <cell r="F23">
            <v>18</v>
          </cell>
          <cell r="G23">
            <v>0</v>
          </cell>
          <cell r="H23">
            <v>0</v>
          </cell>
          <cell r="I23">
            <v>-36</v>
          </cell>
          <cell r="J23">
            <v>0</v>
          </cell>
          <cell r="K23">
            <v>18</v>
          </cell>
          <cell r="L23">
            <v>2</v>
          </cell>
        </row>
        <row r="24">
          <cell r="B24" t="str">
            <v>Driver number seven</v>
          </cell>
          <cell r="C24">
            <v>-28</v>
          </cell>
          <cell r="D24">
            <v>-3</v>
          </cell>
          <cell r="E24">
            <v>-5</v>
          </cell>
          <cell r="F24">
            <v>18</v>
          </cell>
          <cell r="G24">
            <v>0</v>
          </cell>
          <cell r="H24">
            <v>0</v>
          </cell>
          <cell r="I24">
            <v>-36</v>
          </cell>
          <cell r="J24">
            <v>0</v>
          </cell>
          <cell r="K24">
            <v>18</v>
          </cell>
          <cell r="L24">
            <v>2</v>
          </cell>
        </row>
        <row r="25">
          <cell r="B25" t="str">
            <v>Driver number eight</v>
          </cell>
          <cell r="C25">
            <v>-31</v>
          </cell>
          <cell r="D25">
            <v>-5</v>
          </cell>
          <cell r="E25">
            <v>0</v>
          </cell>
          <cell r="F25">
            <v>18</v>
          </cell>
          <cell r="G25">
            <v>0</v>
          </cell>
          <cell r="H25">
            <v>0</v>
          </cell>
          <cell r="I25">
            <v>-36</v>
          </cell>
          <cell r="J25">
            <v>0</v>
          </cell>
          <cell r="K25">
            <v>18</v>
          </cell>
          <cell r="L25">
            <v>2</v>
          </cell>
        </row>
        <row r="26">
          <cell r="I26">
            <v>-36</v>
          </cell>
          <cell r="J26">
            <v>0</v>
          </cell>
          <cell r="K26">
            <v>18</v>
          </cell>
          <cell r="L26">
            <v>2</v>
          </cell>
        </row>
        <row r="27">
          <cell r="I27">
            <v>-36</v>
          </cell>
          <cell r="J27">
            <v>0</v>
          </cell>
          <cell r="K27">
            <v>18</v>
          </cell>
          <cell r="L27">
            <v>2</v>
          </cell>
        </row>
        <row r="28">
          <cell r="B28" t="str">
            <v>Bear</v>
          </cell>
          <cell r="C28">
            <v>4</v>
          </cell>
        </row>
        <row r="29">
          <cell r="B29" t="str">
            <v>Base</v>
          </cell>
          <cell r="C29">
            <v>40</v>
          </cell>
        </row>
        <row r="30">
          <cell r="B30" t="str">
            <v>Bull</v>
          </cell>
          <cell r="C30">
            <v>58</v>
          </cell>
        </row>
        <row r="31">
          <cell r="B31" t="str">
            <v>Price Target</v>
          </cell>
          <cell r="C31">
            <v>42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ckground - FL"/>
      <sheetName val="Background - DLBCL"/>
      <sheetName val="Background-CLL"/>
      <sheetName val="Summary"/>
      <sheetName val="Sensitivity Analyses"/>
      <sheetName val="CLL"/>
      <sheetName val="FL"/>
      <sheetName val="DLBCL"/>
      <sheetName val="MM"/>
      <sheetName val="MCL"/>
      <sheetName val="PFS Simulator"/>
      <sheetName val="Avg Dur Therapy Sim"/>
      <sheetName val="Epidemiology"/>
      <sheetName val="US Data Var"/>
      <sheetName val="EU Data Va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1">
          <cell r="O1" t="str">
            <v>SmartCharts</v>
          </cell>
        </row>
        <row r="6">
          <cell r="C6" t="str">
            <v>Input value axis title here:</v>
          </cell>
        </row>
        <row r="7">
          <cell r="C7" t="str">
            <v>US Variance - PCYC v Roche data</v>
          </cell>
        </row>
        <row r="10">
          <cell r="C10" t="str">
            <v>Input your data here:</v>
          </cell>
          <cell r="BA10" t="str">
            <v>.</v>
          </cell>
        </row>
        <row r="11">
          <cell r="D11" t="str">
            <v>PCYC</v>
          </cell>
          <cell r="E11" t="str">
            <v>Roche</v>
          </cell>
          <cell r="AA11" t="str">
            <v>Cells below are used for chart calculations; please do not make any changes</v>
          </cell>
        </row>
        <row r="12">
          <cell r="C12" t="str">
            <v>CLL/SLL - R/R</v>
          </cell>
          <cell r="D12">
            <v>18000</v>
          </cell>
          <cell r="E12">
            <v>7300</v>
          </cell>
          <cell r="AA12">
            <v>6000</v>
          </cell>
          <cell r="AB12">
            <v>16700</v>
          </cell>
        </row>
        <row r="13">
          <cell r="C13" t="str">
            <v>CLL/SLL - Non R/R</v>
          </cell>
          <cell r="D13">
            <v>20000</v>
          </cell>
          <cell r="E13">
            <v>8200</v>
          </cell>
          <cell r="AA13">
            <v>4000</v>
          </cell>
          <cell r="AB13">
            <v>15800</v>
          </cell>
        </row>
        <row r="14">
          <cell r="C14" t="str">
            <v>DLBCL - R/R</v>
          </cell>
          <cell r="D14">
            <v>17000</v>
          </cell>
          <cell r="E14">
            <v>10400</v>
          </cell>
          <cell r="AA14">
            <v>7000</v>
          </cell>
          <cell r="AB14">
            <v>13600</v>
          </cell>
        </row>
        <row r="15">
          <cell r="C15" t="str">
            <v>DLBCL - Non R/R</v>
          </cell>
          <cell r="D15">
            <v>24000</v>
          </cell>
          <cell r="E15">
            <v>16900</v>
          </cell>
          <cell r="AA15">
            <v>0</v>
          </cell>
          <cell r="AB15">
            <v>7100</v>
          </cell>
        </row>
        <row r="16">
          <cell r="C16" t="str">
            <v>FL - R/R</v>
          </cell>
          <cell r="D16">
            <v>8000</v>
          </cell>
          <cell r="E16">
            <v>9500</v>
          </cell>
          <cell r="AA16">
            <v>16000</v>
          </cell>
          <cell r="AB16">
            <v>14500</v>
          </cell>
        </row>
        <row r="17">
          <cell r="C17" t="str">
            <v>FL - Non R/R</v>
          </cell>
          <cell r="D17">
            <v>13000</v>
          </cell>
          <cell r="E17">
            <v>10650</v>
          </cell>
          <cell r="AA17">
            <v>11000</v>
          </cell>
          <cell r="AB17">
            <v>13350</v>
          </cell>
        </row>
        <row r="18">
          <cell r="AA18">
            <v>24000</v>
          </cell>
          <cell r="AB18">
            <v>24000</v>
          </cell>
        </row>
        <row r="19">
          <cell r="AA19">
            <v>24000</v>
          </cell>
          <cell r="AB19">
            <v>24000</v>
          </cell>
        </row>
        <row r="20">
          <cell r="AA20">
            <v>24000</v>
          </cell>
          <cell r="AB20">
            <v>24000</v>
          </cell>
        </row>
        <row r="21">
          <cell r="AA21">
            <v>24000</v>
          </cell>
          <cell r="AB21">
            <v>24000</v>
          </cell>
        </row>
        <row r="22">
          <cell r="AA22">
            <v>24000</v>
          </cell>
          <cell r="AB22">
            <v>24000</v>
          </cell>
        </row>
        <row r="23">
          <cell r="AA23">
            <v>24000</v>
          </cell>
          <cell r="AB23">
            <v>24000</v>
          </cell>
        </row>
        <row r="24">
          <cell r="AA24">
            <v>24000</v>
          </cell>
          <cell r="AB24">
            <v>24000</v>
          </cell>
        </row>
        <row r="25">
          <cell r="AA25">
            <v>24000</v>
          </cell>
          <cell r="AB25">
            <v>24000</v>
          </cell>
        </row>
        <row r="26">
          <cell r="AA26">
            <v>24000</v>
          </cell>
          <cell r="AB26">
            <v>24000</v>
          </cell>
        </row>
        <row r="27">
          <cell r="AA27">
            <v>24000</v>
          </cell>
          <cell r="AB27">
            <v>24000</v>
          </cell>
        </row>
        <row r="28">
          <cell r="AA28">
            <v>24000</v>
          </cell>
          <cell r="AB28">
            <v>24000</v>
          </cell>
        </row>
        <row r="29">
          <cell r="AA29">
            <v>24000</v>
          </cell>
          <cell r="AB29">
            <v>24000</v>
          </cell>
        </row>
        <row r="30">
          <cell r="AA30">
            <v>24000</v>
          </cell>
          <cell r="AB30">
            <v>24000</v>
          </cell>
        </row>
        <row r="31">
          <cell r="AA31">
            <v>24000</v>
          </cell>
          <cell r="AB31">
            <v>24000</v>
          </cell>
        </row>
        <row r="998">
          <cell r="Q998" t="str">
            <v>.</v>
          </cell>
          <cell r="R998" t="str">
            <v>.</v>
          </cell>
          <cell r="S998" t="str">
            <v>.</v>
          </cell>
          <cell r="T998" t="str">
            <v>.</v>
          </cell>
          <cell r="U998" t="str">
            <v>.</v>
          </cell>
        </row>
      </sheetData>
      <sheetData sheetId="1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ail prices"/>
      <sheetName val="Margin build up"/>
      <sheetName val="Sheet1"/>
      <sheetName val="Sheet2"/>
      <sheetName val="Sheet3"/>
      <sheetName val="#REF"/>
    </sheetNames>
    <sheetDataSet>
      <sheetData sheetId="0">
        <row r="4">
          <cell r="C4" t="str">
            <v>Revlimid price in Germany</v>
          </cell>
        </row>
        <row r="5">
          <cell r="C5" t="str">
            <v>mg</v>
          </cell>
          <cell r="D5" t="str">
            <v>Pack size
(# of tabs)</v>
          </cell>
          <cell r="E5" t="str">
            <v>Price 
(€/ pack)</v>
          </cell>
          <cell r="F5" t="str">
            <v>Effective price in $ for 21 tabs</v>
          </cell>
          <cell r="G5" t="str">
            <v>Comparable price in US</v>
          </cell>
          <cell r="H5" t="str">
            <v>Increase in Germany price vs. US</v>
          </cell>
          <cell r="I5" t="str">
            <v>Net to Company</v>
          </cell>
          <cell r="J5" t="str">
            <v>Comparable Price in US</v>
          </cell>
          <cell r="K5" t="str">
            <v>Increase%</v>
          </cell>
        </row>
        <row r="6">
          <cell r="C6">
            <v>5</v>
          </cell>
          <cell r="D6">
            <v>21</v>
          </cell>
          <cell r="E6">
            <v>6496</v>
          </cell>
          <cell r="F6">
            <v>9198.3359999999993</v>
          </cell>
          <cell r="G6">
            <v>6080.9</v>
          </cell>
          <cell r="H6">
            <v>0.51266029699551052</v>
          </cell>
          <cell r="I6">
            <v>6714.7852799999991</v>
          </cell>
          <cell r="J6">
            <v>4905</v>
          </cell>
          <cell r="K6">
            <v>0.36896743730886827</v>
          </cell>
          <cell r="L6">
            <v>0.23769658715596331</v>
          </cell>
        </row>
        <row r="7">
          <cell r="C7">
            <v>10</v>
          </cell>
          <cell r="D7">
            <v>21</v>
          </cell>
          <cell r="E7">
            <v>6856</v>
          </cell>
          <cell r="F7">
            <v>9708.0959999999995</v>
          </cell>
          <cell r="G7">
            <v>6500</v>
          </cell>
          <cell r="H7">
            <v>0.49355323076923074</v>
          </cell>
          <cell r="I7">
            <v>7086.9100799999997</v>
          </cell>
          <cell r="J7">
            <v>5123</v>
          </cell>
          <cell r="K7">
            <v>0.38335156744095245</v>
          </cell>
          <cell r="L7">
            <v>0.25070141713839544</v>
          </cell>
        </row>
        <row r="8">
          <cell r="C8">
            <v>15</v>
          </cell>
          <cell r="D8">
            <v>21</v>
          </cell>
          <cell r="E8">
            <v>7216</v>
          </cell>
          <cell r="F8">
            <v>10217.856</v>
          </cell>
          <cell r="G8">
            <v>7429</v>
          </cell>
          <cell r="H8">
            <v>0.37540126531161655</v>
          </cell>
          <cell r="I8">
            <v>7459.0348799999992</v>
          </cell>
          <cell r="J8">
            <v>6056</v>
          </cell>
          <cell r="K8">
            <v>0.23167682959048874</v>
          </cell>
          <cell r="L8">
            <v>0.11357083223249664</v>
          </cell>
        </row>
        <row r="9">
          <cell r="C9">
            <v>25</v>
          </cell>
          <cell r="D9">
            <v>21</v>
          </cell>
          <cell r="E9">
            <v>7911</v>
          </cell>
          <cell r="F9">
            <v>11201.975999999999</v>
          </cell>
          <cell r="G9">
            <v>7826.2800000000007</v>
          </cell>
          <cell r="H9">
            <v>0.43132829390208349</v>
          </cell>
          <cell r="I9">
            <v>8177.4424799999988</v>
          </cell>
          <cell r="J9">
            <v>6381</v>
          </cell>
          <cell r="K9">
            <v>0.28152992947813793</v>
          </cell>
          <cell r="L9">
            <v>0.15864349788434406</v>
          </cell>
        </row>
        <row r="10">
          <cell r="I10">
            <v>0</v>
          </cell>
        </row>
        <row r="11">
          <cell r="I11">
            <v>0</v>
          </cell>
        </row>
        <row r="12">
          <cell r="C12" t="str">
            <v>Revlimid price in UK (private insurance)</v>
          </cell>
          <cell r="I12">
            <v>0</v>
          </cell>
        </row>
        <row r="13">
          <cell r="C13" t="str">
            <v>mg</v>
          </cell>
          <cell r="D13" t="str">
            <v>Pack size
(# of tabs)</v>
          </cell>
          <cell r="E13" t="str">
            <v>Price 
(£/ pack)</v>
          </cell>
          <cell r="F13" t="str">
            <v>Effective price in $ for 21 tabs</v>
          </cell>
          <cell r="G13" t="str">
            <v>Comparable price in US</v>
          </cell>
          <cell r="H13" t="str">
            <v>Increase in UK price vs. US</v>
          </cell>
          <cell r="I13" t="str">
            <v>Net to Company</v>
          </cell>
        </row>
        <row r="14">
          <cell r="C14">
            <v>5</v>
          </cell>
          <cell r="D14">
            <v>21</v>
          </cell>
          <cell r="E14">
            <v>5714</v>
          </cell>
          <cell r="F14">
            <v>11559.422</v>
          </cell>
          <cell r="G14">
            <v>6080.9</v>
          </cell>
          <cell r="H14">
            <v>0.90093933463796505</v>
          </cell>
          <cell r="I14">
            <v>8438.3780600000009</v>
          </cell>
          <cell r="J14">
            <v>4905</v>
          </cell>
          <cell r="K14">
            <v>0.72036249949031617</v>
          </cell>
        </row>
        <row r="15">
          <cell r="C15">
            <v>10</v>
          </cell>
          <cell r="D15">
            <v>21</v>
          </cell>
          <cell r="E15">
            <v>6050</v>
          </cell>
          <cell r="F15">
            <v>12239.150000000001</v>
          </cell>
          <cell r="G15">
            <v>6500</v>
          </cell>
          <cell r="H15">
            <v>0.88294615384615405</v>
          </cell>
          <cell r="I15">
            <v>8934.5795000000016</v>
          </cell>
          <cell r="J15">
            <v>5123</v>
          </cell>
          <cell r="K15">
            <v>0.74401317587351201</v>
          </cell>
        </row>
        <row r="16">
          <cell r="C16">
            <v>15</v>
          </cell>
          <cell r="D16">
            <v>21</v>
          </cell>
          <cell r="E16">
            <v>6352</v>
          </cell>
          <cell r="F16">
            <v>12850.096000000001</v>
          </cell>
          <cell r="G16">
            <v>7429</v>
          </cell>
          <cell r="H16">
            <v>0.72972082379862724</v>
          </cell>
          <cell r="I16">
            <v>9380.5700800000013</v>
          </cell>
          <cell r="J16">
            <v>6056</v>
          </cell>
          <cell r="K16">
            <v>0.54897128137384432</v>
          </cell>
        </row>
        <row r="17">
          <cell r="C17">
            <v>25</v>
          </cell>
          <cell r="D17">
            <v>21</v>
          </cell>
          <cell r="E17">
            <v>6990</v>
          </cell>
          <cell r="F17">
            <v>14140.77</v>
          </cell>
          <cell r="G17">
            <v>7826.2800000000007</v>
          </cell>
          <cell r="H17">
            <v>0.80683159815391203</v>
          </cell>
          <cell r="I17">
            <v>10322.7621</v>
          </cell>
          <cell r="J17">
            <v>6381</v>
          </cell>
          <cell r="K17">
            <v>0.61773422661024924</v>
          </cell>
        </row>
        <row r="18">
          <cell r="C18" t="str">
            <v>Source: Westbury, UK</v>
          </cell>
        </row>
        <row r="21">
          <cell r="C21" t="str">
            <v>Revlimid price in US</v>
          </cell>
        </row>
        <row r="22">
          <cell r="C22" t="str">
            <v>mg</v>
          </cell>
          <cell r="D22" t="str">
            <v>Pack size
(# of tabs)</v>
          </cell>
          <cell r="E22" t="str">
            <v>Price 
($/ pack)</v>
          </cell>
          <cell r="F22" t="str">
            <v>Effective price for 21 tabs</v>
          </cell>
          <cell r="G22" t="str">
            <v>Price given by Celgene in Jan, 07</v>
          </cell>
          <cell r="H22" t="str">
            <v>Est. price increase since Jan, 07</v>
          </cell>
        </row>
        <row r="23">
          <cell r="C23">
            <v>5</v>
          </cell>
          <cell r="D23">
            <v>30</v>
          </cell>
          <cell r="E23">
            <v>8687</v>
          </cell>
          <cell r="F23">
            <v>6080.9</v>
          </cell>
          <cell r="G23">
            <v>4905</v>
          </cell>
          <cell r="H23">
            <v>0.23973496432212027</v>
          </cell>
        </row>
        <row r="24">
          <cell r="C24">
            <v>10</v>
          </cell>
          <cell r="D24">
            <v>30</v>
          </cell>
          <cell r="E24">
            <v>9090</v>
          </cell>
          <cell r="F24">
            <v>6500</v>
          </cell>
          <cell r="G24">
            <v>5123</v>
          </cell>
          <cell r="H24">
            <v>0.26878781963693155</v>
          </cell>
        </row>
        <row r="25">
          <cell r="C25">
            <v>15</v>
          </cell>
          <cell r="D25">
            <v>21</v>
          </cell>
          <cell r="E25">
            <v>7423</v>
          </cell>
          <cell r="F25">
            <v>7429</v>
          </cell>
          <cell r="G25">
            <v>6056</v>
          </cell>
          <cell r="H25">
            <v>0.22671730515191535</v>
          </cell>
        </row>
        <row r="26">
          <cell r="C26">
            <v>25</v>
          </cell>
          <cell r="D26">
            <v>25</v>
          </cell>
          <cell r="E26">
            <v>9309</v>
          </cell>
          <cell r="F26">
            <v>7826.2800000000007</v>
          </cell>
          <cell r="G26">
            <v>6381</v>
          </cell>
          <cell r="H26">
            <v>0.22649741419840153</v>
          </cell>
        </row>
        <row r="27">
          <cell r="C27" t="str">
            <v>Source: NY pharmacies</v>
          </cell>
        </row>
        <row r="30">
          <cell r="C30" t="str">
            <v>mg</v>
          </cell>
          <cell r="D30" t="str">
            <v>Pack size
(# of tabs)</v>
          </cell>
          <cell r="E30" t="str">
            <v>Price 
($/ pack)</v>
          </cell>
          <cell r="F30" t="str">
            <v>Effective price for 21 tabs</v>
          </cell>
        </row>
        <row r="31">
          <cell r="C31">
            <v>5</v>
          </cell>
          <cell r="D31">
            <v>21</v>
          </cell>
          <cell r="E31" t="str">
            <v>N/A</v>
          </cell>
          <cell r="F31" t="str">
            <v>N/A</v>
          </cell>
        </row>
        <row r="32">
          <cell r="C32">
            <v>10</v>
          </cell>
          <cell r="D32">
            <v>21</v>
          </cell>
          <cell r="E32">
            <v>6637</v>
          </cell>
          <cell r="F32">
            <v>6637</v>
          </cell>
          <cell r="I32">
            <v>1.4159999999999999</v>
          </cell>
        </row>
        <row r="33">
          <cell r="C33">
            <v>15</v>
          </cell>
          <cell r="D33">
            <v>21</v>
          </cell>
          <cell r="E33">
            <v>7435</v>
          </cell>
          <cell r="F33">
            <v>7435</v>
          </cell>
        </row>
        <row r="34">
          <cell r="C34">
            <v>25</v>
          </cell>
          <cell r="D34">
            <v>21</v>
          </cell>
          <cell r="E34">
            <v>7833</v>
          </cell>
          <cell r="F34">
            <v>7833</v>
          </cell>
        </row>
        <row r="35">
          <cell r="C35" t="str">
            <v>Source: Duane Read, NY</v>
          </cell>
        </row>
        <row r="38">
          <cell r="C38" t="str">
            <v>mg</v>
          </cell>
          <cell r="D38" t="str">
            <v>Pack size
(# of tabs)</v>
          </cell>
          <cell r="E38" t="str">
            <v>Price 
($/ pack)</v>
          </cell>
          <cell r="F38" t="str">
            <v>Effective price for 21 tabs</v>
          </cell>
        </row>
        <row r="39">
          <cell r="C39">
            <v>5</v>
          </cell>
          <cell r="D39">
            <v>30</v>
          </cell>
          <cell r="E39">
            <v>8687</v>
          </cell>
          <cell r="F39">
            <v>6080.9</v>
          </cell>
        </row>
        <row r="40">
          <cell r="C40">
            <v>10</v>
          </cell>
          <cell r="D40">
            <v>30</v>
          </cell>
          <cell r="E40">
            <v>9090</v>
          </cell>
          <cell r="F40">
            <v>6363</v>
          </cell>
        </row>
        <row r="41">
          <cell r="C41">
            <v>15</v>
          </cell>
          <cell r="D41">
            <v>21</v>
          </cell>
          <cell r="E41">
            <v>7423</v>
          </cell>
          <cell r="F41">
            <v>7423</v>
          </cell>
        </row>
        <row r="42">
          <cell r="C42">
            <v>25</v>
          </cell>
          <cell r="D42">
            <v>25</v>
          </cell>
          <cell r="E42">
            <v>9309</v>
          </cell>
          <cell r="F42">
            <v>7819.56</v>
          </cell>
        </row>
        <row r="43">
          <cell r="C43" t="str">
            <v>Source: CVS Pharmacy, NY</v>
          </cell>
        </row>
        <row r="46">
          <cell r="C46" t="str">
            <v>mg</v>
          </cell>
          <cell r="D46" t="str">
            <v>Pack size
(# of tabs)</v>
          </cell>
          <cell r="E46" t="str">
            <v>Price 
($/ pack)</v>
          </cell>
          <cell r="F46" t="str">
            <v>Effective price for 21 tabs</v>
          </cell>
        </row>
        <row r="47">
          <cell r="C47">
            <v>5</v>
          </cell>
          <cell r="D47">
            <v>100</v>
          </cell>
          <cell r="E47">
            <v>26002</v>
          </cell>
          <cell r="F47">
            <v>5460.42</v>
          </cell>
        </row>
        <row r="48">
          <cell r="C48">
            <v>5</v>
          </cell>
          <cell r="D48">
            <v>300</v>
          </cell>
          <cell r="E48">
            <v>78006</v>
          </cell>
          <cell r="F48">
            <v>5460.42</v>
          </cell>
        </row>
        <row r="49">
          <cell r="C49">
            <v>10</v>
          </cell>
          <cell r="D49">
            <v>100</v>
          </cell>
          <cell r="E49">
            <v>28001</v>
          </cell>
          <cell r="F49">
            <v>5880.21</v>
          </cell>
        </row>
        <row r="50">
          <cell r="C50">
            <v>10</v>
          </cell>
          <cell r="D50">
            <v>30</v>
          </cell>
          <cell r="E50">
            <v>9232</v>
          </cell>
          <cell r="F50">
            <v>6462.4000000000005</v>
          </cell>
        </row>
        <row r="51">
          <cell r="C51">
            <v>10</v>
          </cell>
          <cell r="D51">
            <v>90</v>
          </cell>
          <cell r="E51">
            <v>27697</v>
          </cell>
          <cell r="F51">
            <v>6462.6333333333341</v>
          </cell>
        </row>
        <row r="52">
          <cell r="C52" t="str">
            <v>Sources: Walgreens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 contribution analysis"/>
      <sheetName val="rev change analysis"/>
      <sheetName val="2015 rev change"/>
      <sheetName val="short IS"/>
      <sheetName val="Product Mix 100%"/>
      <sheetName val="cost savings"/>
      <sheetName val="Per Pharma Traditional &amp; Biolog"/>
    </sheetNames>
    <sheetDataSet>
      <sheetData sheetId="0" refreshError="1"/>
      <sheetData sheetId="1">
        <row r="1">
          <cell r="R1" t="str">
            <v>SmartCharts</v>
          </cell>
          <cell r="BA1" t="str">
            <v>.</v>
          </cell>
        </row>
        <row r="2">
          <cell r="BA2" t="str">
            <v>.</v>
          </cell>
        </row>
        <row r="3">
          <cell r="BA3" t="str">
            <v>.</v>
          </cell>
        </row>
        <row r="4">
          <cell r="BA4" t="str">
            <v>.</v>
          </cell>
        </row>
        <row r="5">
          <cell r="C5" t="str">
            <v>Define value axis here:</v>
          </cell>
        </row>
        <row r="6">
          <cell r="C6" t="str">
            <v>Eli Lilly YOY revenue change 2010E-2015E</v>
          </cell>
        </row>
        <row r="10">
          <cell r="C10" t="str">
            <v>Input your data here:</v>
          </cell>
          <cell r="BA10" t="str">
            <v>.</v>
          </cell>
        </row>
        <row r="11">
          <cell r="C11" t="str">
            <v>Sales ($M)</v>
          </cell>
          <cell r="D11" t="str">
            <v>2011E</v>
          </cell>
          <cell r="E11" t="str">
            <v>2012E</v>
          </cell>
          <cell r="F11" t="str">
            <v>2013E</v>
          </cell>
          <cell r="G11" t="str">
            <v>2014E</v>
          </cell>
          <cell r="H11" t="str">
            <v>2015E</v>
          </cell>
          <cell r="BA11" t="str">
            <v>.</v>
          </cell>
        </row>
        <row r="12">
          <cell r="C12" t="str">
            <v>In-line products</v>
          </cell>
          <cell r="D12">
            <v>781.72624304999954</v>
          </cell>
          <cell r="E12">
            <v>628.01563373899808</v>
          </cell>
          <cell r="F12">
            <v>619.00336252127454</v>
          </cell>
          <cell r="G12">
            <v>650.37276247114823</v>
          </cell>
          <cell r="H12">
            <v>535.71762648130425</v>
          </cell>
          <cell r="BA12" t="str">
            <v>.</v>
          </cell>
        </row>
        <row r="13">
          <cell r="C13" t="str">
            <v>Pipeline products launching 2010–2015</v>
          </cell>
          <cell r="D13">
            <v>94.75</v>
          </cell>
          <cell r="E13">
            <v>176.17500000000001</v>
          </cell>
          <cell r="F13">
            <v>330.42500000000001</v>
          </cell>
          <cell r="G13">
            <v>642.0732999999999</v>
          </cell>
          <cell r="H13">
            <v>950.38365750000003</v>
          </cell>
          <cell r="BA13" t="str">
            <v>.</v>
          </cell>
        </row>
        <row r="14">
          <cell r="C14" t="str">
            <v>Products expiring 2010–2015</v>
          </cell>
          <cell r="D14">
            <v>-371.49615019999874</v>
          </cell>
          <cell r="E14">
            <v>-2226.0126789459991</v>
          </cell>
          <cell r="F14">
            <v>-713.0858879557818</v>
          </cell>
          <cell r="G14">
            <v>-2566.7028729389294</v>
          </cell>
          <cell r="H14">
            <v>-2382.3369144914741</v>
          </cell>
          <cell r="BA14" t="str">
            <v>.</v>
          </cell>
        </row>
        <row r="15">
          <cell r="C15" t="str">
            <v>Net YOY change</v>
          </cell>
          <cell r="D15">
            <v>504.9800928500008</v>
          </cell>
          <cell r="E15">
            <v>-1421.8220452070018</v>
          </cell>
          <cell r="F15">
            <v>236.34247456549201</v>
          </cell>
          <cell r="G15">
            <v>-1274.2568104677812</v>
          </cell>
          <cell r="H15">
            <v>-896.23563051016754</v>
          </cell>
          <cell r="BA15" t="str">
            <v>.</v>
          </cell>
        </row>
        <row r="16">
          <cell r="BA16" t="str">
            <v>.</v>
          </cell>
        </row>
        <row r="17">
          <cell r="BA17" t="str">
            <v>.</v>
          </cell>
        </row>
        <row r="18">
          <cell r="BA18" t="str">
            <v>.</v>
          </cell>
        </row>
        <row r="20">
          <cell r="BA20" t="str">
            <v>.</v>
          </cell>
        </row>
        <row r="21">
          <cell r="BA21" t="str">
            <v>.</v>
          </cell>
        </row>
        <row r="22">
          <cell r="BA22" t="str">
            <v>.</v>
          </cell>
        </row>
        <row r="23">
          <cell r="BA23" t="str">
            <v>.</v>
          </cell>
        </row>
        <row r="24">
          <cell r="BA24" t="str">
            <v>.</v>
          </cell>
        </row>
        <row r="25">
          <cell r="BA25" t="str">
            <v>.</v>
          </cell>
        </row>
        <row r="26">
          <cell r="BA26" t="str">
            <v>.</v>
          </cell>
        </row>
        <row r="27">
          <cell r="BA27" t="str">
            <v>.</v>
          </cell>
        </row>
        <row r="28">
          <cell r="BA28" t="str">
            <v>.</v>
          </cell>
        </row>
        <row r="29">
          <cell r="BA29" t="str">
            <v>.</v>
          </cell>
        </row>
        <row r="30">
          <cell r="BA30" t="str">
            <v>.</v>
          </cell>
        </row>
        <row r="31">
          <cell r="BA31" t="str">
            <v>.</v>
          </cell>
        </row>
        <row r="32">
          <cell r="BA32" t="str">
            <v>.</v>
          </cell>
        </row>
        <row r="33">
          <cell r="BA33" t="str">
            <v>.</v>
          </cell>
        </row>
        <row r="34">
          <cell r="BA34" t="str">
            <v>.</v>
          </cell>
        </row>
        <row r="35">
          <cell r="J35" t="str">
            <v>Do not change the width of the exhibit or font sizes (they are optimized for export to Word).</v>
          </cell>
          <cell r="BA35" t="str">
            <v>.</v>
          </cell>
        </row>
        <row r="36">
          <cell r="BA36" t="str">
            <v>.</v>
          </cell>
        </row>
        <row r="37">
          <cell r="J37" t="str">
            <v>Do not delete any rows or columns (some gray cells are used for calculations).</v>
          </cell>
          <cell r="BA37" t="str">
            <v>.</v>
          </cell>
        </row>
        <row r="38">
          <cell r="BA38" t="str">
            <v>.</v>
          </cell>
        </row>
        <row r="39">
          <cell r="BA39" t="str">
            <v>.</v>
          </cell>
        </row>
        <row r="40">
          <cell r="BA40" t="str">
            <v>.</v>
          </cell>
        </row>
        <row r="41">
          <cell r="BA41" t="str">
            <v>.</v>
          </cell>
        </row>
        <row r="42">
          <cell r="BA42" t="str">
            <v>.</v>
          </cell>
        </row>
        <row r="43">
          <cell r="BA43" t="str">
            <v>.</v>
          </cell>
        </row>
        <row r="44">
          <cell r="BA44" t="str">
            <v>.</v>
          </cell>
        </row>
        <row r="45">
          <cell r="BA45" t="str">
            <v>.</v>
          </cell>
        </row>
        <row r="46">
          <cell r="BA46" t="str">
            <v>.</v>
          </cell>
        </row>
        <row r="47">
          <cell r="BA47" t="str">
            <v>.</v>
          </cell>
        </row>
        <row r="48">
          <cell r="BA48" t="str">
            <v>.</v>
          </cell>
        </row>
        <row r="49">
          <cell r="BA49" t="str">
            <v>.</v>
          </cell>
        </row>
        <row r="50">
          <cell r="BA50" t="str">
            <v>.</v>
          </cell>
        </row>
        <row r="51">
          <cell r="BA51" t="str">
            <v>.</v>
          </cell>
        </row>
        <row r="52">
          <cell r="BA52" t="str">
            <v>.</v>
          </cell>
        </row>
        <row r="53">
          <cell r="BA53" t="str">
            <v>.</v>
          </cell>
        </row>
        <row r="54">
          <cell r="BA54" t="str">
            <v>.</v>
          </cell>
        </row>
        <row r="55">
          <cell r="BA55" t="str">
            <v>.</v>
          </cell>
        </row>
        <row r="56">
          <cell r="BA56" t="str">
            <v>.</v>
          </cell>
        </row>
        <row r="57">
          <cell r="BA57" t="str">
            <v>.</v>
          </cell>
        </row>
        <row r="58">
          <cell r="BA58" t="str">
            <v>.</v>
          </cell>
        </row>
        <row r="59">
          <cell r="BA59" t="str">
            <v>.</v>
          </cell>
        </row>
        <row r="60">
          <cell r="BA60" t="str">
            <v>.</v>
          </cell>
        </row>
        <row r="61">
          <cell r="BA61" t="str">
            <v>.</v>
          </cell>
        </row>
        <row r="62">
          <cell r="BA62" t="str">
            <v>.</v>
          </cell>
        </row>
        <row r="63">
          <cell r="BA63" t="str">
            <v>.</v>
          </cell>
        </row>
        <row r="64">
          <cell r="BA64" t="str">
            <v>.</v>
          </cell>
        </row>
        <row r="65">
          <cell r="BA65" t="str">
            <v>.</v>
          </cell>
        </row>
        <row r="66">
          <cell r="BA66" t="str">
            <v>.</v>
          </cell>
        </row>
        <row r="67">
          <cell r="BA67" t="str">
            <v>.</v>
          </cell>
        </row>
        <row r="68">
          <cell r="BA68" t="str">
            <v>.</v>
          </cell>
        </row>
        <row r="69">
          <cell r="BA69" t="str">
            <v>.</v>
          </cell>
        </row>
        <row r="70">
          <cell r="BA70" t="str">
            <v>.</v>
          </cell>
        </row>
        <row r="71">
          <cell r="BA71" t="str">
            <v>.</v>
          </cell>
        </row>
        <row r="72">
          <cell r="BA72" t="str">
            <v>.</v>
          </cell>
        </row>
        <row r="73">
          <cell r="BA73" t="str">
            <v>.</v>
          </cell>
        </row>
        <row r="74">
          <cell r="BA74" t="str">
            <v>.</v>
          </cell>
        </row>
        <row r="75">
          <cell r="BA75" t="str">
            <v>.</v>
          </cell>
        </row>
        <row r="76">
          <cell r="BA76" t="str">
            <v>.</v>
          </cell>
        </row>
        <row r="77">
          <cell r="BA77" t="str">
            <v>.</v>
          </cell>
        </row>
        <row r="78">
          <cell r="BA78" t="str">
            <v>.</v>
          </cell>
        </row>
        <row r="79">
          <cell r="BA79" t="str">
            <v>.</v>
          </cell>
        </row>
        <row r="80">
          <cell r="BA80" t="str">
            <v>.</v>
          </cell>
        </row>
        <row r="81">
          <cell r="BA81" t="str">
            <v>.</v>
          </cell>
        </row>
        <row r="82">
          <cell r="BA82" t="str">
            <v>.</v>
          </cell>
        </row>
        <row r="83">
          <cell r="BA83" t="str">
            <v>.</v>
          </cell>
        </row>
        <row r="84">
          <cell r="BA84" t="str">
            <v>.</v>
          </cell>
        </row>
        <row r="85">
          <cell r="BA85" t="str">
            <v>.</v>
          </cell>
        </row>
        <row r="86">
          <cell r="BA86" t="str">
            <v>.</v>
          </cell>
        </row>
        <row r="87">
          <cell r="BA87" t="str">
            <v>.</v>
          </cell>
        </row>
        <row r="88">
          <cell r="BA88" t="str">
            <v>.</v>
          </cell>
        </row>
        <row r="89">
          <cell r="BA89" t="str">
            <v>.</v>
          </cell>
        </row>
        <row r="90">
          <cell r="BA90" t="str">
            <v>.</v>
          </cell>
        </row>
        <row r="91">
          <cell r="BA91" t="str">
            <v>.</v>
          </cell>
        </row>
        <row r="92">
          <cell r="BA92" t="str">
            <v>.</v>
          </cell>
        </row>
        <row r="93">
          <cell r="BA93" t="str">
            <v>.</v>
          </cell>
        </row>
        <row r="94">
          <cell r="BA94" t="str">
            <v>.</v>
          </cell>
        </row>
        <row r="95">
          <cell r="BA95" t="str">
            <v>.</v>
          </cell>
        </row>
        <row r="96">
          <cell r="BA96" t="str">
            <v>.</v>
          </cell>
        </row>
        <row r="97">
          <cell r="BA97" t="str">
            <v>.</v>
          </cell>
        </row>
        <row r="98">
          <cell r="BA98" t="str">
            <v>.</v>
          </cell>
        </row>
        <row r="99">
          <cell r="BA99" t="str">
            <v>.</v>
          </cell>
        </row>
        <row r="100">
          <cell r="BA100" t="str">
            <v>.</v>
          </cell>
        </row>
        <row r="101">
          <cell r="BA101" t="str">
            <v>.</v>
          </cell>
        </row>
        <row r="102">
          <cell r="BA102" t="str">
            <v>.</v>
          </cell>
        </row>
        <row r="103">
          <cell r="BA103" t="str">
            <v>.</v>
          </cell>
        </row>
        <row r="104">
          <cell r="BA104" t="str">
            <v>.</v>
          </cell>
        </row>
        <row r="105">
          <cell r="BA105" t="str">
            <v>.</v>
          </cell>
        </row>
        <row r="106">
          <cell r="BA106" t="str">
            <v>.</v>
          </cell>
        </row>
        <row r="107">
          <cell r="BA107" t="str">
            <v>.</v>
          </cell>
        </row>
        <row r="108">
          <cell r="BA108" t="str">
            <v>.</v>
          </cell>
        </row>
        <row r="109">
          <cell r="BA109" t="str">
            <v>.</v>
          </cell>
        </row>
        <row r="110">
          <cell r="BA110" t="str">
            <v>.</v>
          </cell>
        </row>
        <row r="111">
          <cell r="BA111" t="str">
            <v>.</v>
          </cell>
        </row>
        <row r="112">
          <cell r="BA112" t="str">
            <v>.</v>
          </cell>
        </row>
        <row r="113">
          <cell r="BA113" t="str">
            <v>.</v>
          </cell>
        </row>
        <row r="114">
          <cell r="BA114" t="str">
            <v>.</v>
          </cell>
        </row>
        <row r="115">
          <cell r="BA115" t="str">
            <v>.</v>
          </cell>
        </row>
        <row r="116">
          <cell r="BA116" t="str">
            <v>.</v>
          </cell>
        </row>
        <row r="117">
          <cell r="BA117" t="str">
            <v>.</v>
          </cell>
        </row>
        <row r="118">
          <cell r="BA118" t="str">
            <v>.</v>
          </cell>
        </row>
        <row r="119">
          <cell r="BA119" t="str">
            <v>.</v>
          </cell>
        </row>
        <row r="120">
          <cell r="BA120" t="str">
            <v>.</v>
          </cell>
        </row>
        <row r="121">
          <cell r="BA121" t="str">
            <v>.</v>
          </cell>
        </row>
        <row r="122">
          <cell r="BA122" t="str">
            <v>.</v>
          </cell>
        </row>
        <row r="123">
          <cell r="BA123" t="str">
            <v>.</v>
          </cell>
        </row>
        <row r="124">
          <cell r="BA124" t="str">
            <v>.</v>
          </cell>
        </row>
        <row r="125">
          <cell r="BA125" t="str">
            <v>.</v>
          </cell>
        </row>
        <row r="126">
          <cell r="BA126" t="str">
            <v>.</v>
          </cell>
        </row>
        <row r="127">
          <cell r="BA127" t="str">
            <v>.</v>
          </cell>
        </row>
        <row r="128">
          <cell r="BA128" t="str">
            <v>.</v>
          </cell>
        </row>
        <row r="129">
          <cell r="BA129" t="str">
            <v>.</v>
          </cell>
        </row>
        <row r="130">
          <cell r="BA130" t="str">
            <v>.</v>
          </cell>
        </row>
        <row r="131">
          <cell r="BA131" t="str">
            <v>.</v>
          </cell>
        </row>
        <row r="132">
          <cell r="BA132" t="str">
            <v>.</v>
          </cell>
        </row>
        <row r="133">
          <cell r="BA133" t="str">
            <v>.</v>
          </cell>
        </row>
        <row r="134">
          <cell r="BA134" t="str">
            <v>.</v>
          </cell>
        </row>
        <row r="135">
          <cell r="BA135" t="str">
            <v>.</v>
          </cell>
        </row>
        <row r="136">
          <cell r="BA136" t="str">
            <v>.</v>
          </cell>
        </row>
        <row r="137">
          <cell r="BA137" t="str">
            <v>.</v>
          </cell>
        </row>
        <row r="138">
          <cell r="BA138" t="str">
            <v>.</v>
          </cell>
        </row>
        <row r="139">
          <cell r="BA139" t="str">
            <v>.</v>
          </cell>
        </row>
        <row r="140">
          <cell r="BA140" t="str">
            <v>.</v>
          </cell>
        </row>
        <row r="141">
          <cell r="BA141" t="str">
            <v>.</v>
          </cell>
        </row>
        <row r="142">
          <cell r="BA142" t="str">
            <v>.</v>
          </cell>
        </row>
        <row r="143">
          <cell r="BA143" t="str">
            <v>.</v>
          </cell>
        </row>
        <row r="144">
          <cell r="BA144" t="str">
            <v>.</v>
          </cell>
        </row>
        <row r="145">
          <cell r="BA145" t="str">
            <v>.</v>
          </cell>
        </row>
        <row r="146">
          <cell r="BA146" t="str">
            <v>.</v>
          </cell>
        </row>
        <row r="147">
          <cell r="BA147" t="str">
            <v>.</v>
          </cell>
        </row>
        <row r="148">
          <cell r="BA148" t="str">
            <v>.</v>
          </cell>
        </row>
        <row r="149">
          <cell r="BA149" t="str">
            <v>.</v>
          </cell>
        </row>
        <row r="150">
          <cell r="BA150" t="str">
            <v>.</v>
          </cell>
        </row>
        <row r="151">
          <cell r="BA151" t="str">
            <v>.</v>
          </cell>
        </row>
        <row r="152">
          <cell r="BA152" t="str">
            <v>.</v>
          </cell>
        </row>
        <row r="153">
          <cell r="BA153" t="str">
            <v>.</v>
          </cell>
        </row>
        <row r="154">
          <cell r="BA154" t="str">
            <v>.</v>
          </cell>
        </row>
        <row r="155">
          <cell r="BA155" t="str">
            <v>.</v>
          </cell>
        </row>
        <row r="156">
          <cell r="BA156" t="str">
            <v>.</v>
          </cell>
        </row>
        <row r="157">
          <cell r="BA157" t="str">
            <v>.</v>
          </cell>
        </row>
        <row r="158">
          <cell r="BA158" t="str">
            <v>.</v>
          </cell>
        </row>
        <row r="159">
          <cell r="BA159" t="str">
            <v>.</v>
          </cell>
        </row>
        <row r="160">
          <cell r="BA160" t="str">
            <v>.</v>
          </cell>
        </row>
        <row r="161">
          <cell r="BA161" t="str">
            <v>.</v>
          </cell>
        </row>
        <row r="162">
          <cell r="BA162" t="str">
            <v>.</v>
          </cell>
        </row>
        <row r="163">
          <cell r="BA163" t="str">
            <v>.</v>
          </cell>
        </row>
        <row r="164">
          <cell r="BA164" t="str">
            <v>.</v>
          </cell>
        </row>
        <row r="165">
          <cell r="BA165" t="str">
            <v>.</v>
          </cell>
        </row>
        <row r="166">
          <cell r="BA166" t="str">
            <v>.</v>
          </cell>
        </row>
        <row r="167">
          <cell r="BA167" t="str">
            <v>.</v>
          </cell>
        </row>
        <row r="168">
          <cell r="BA168" t="str">
            <v>.</v>
          </cell>
        </row>
        <row r="169">
          <cell r="BA169" t="str">
            <v>.</v>
          </cell>
        </row>
        <row r="170">
          <cell r="BA170" t="str">
            <v>.</v>
          </cell>
        </row>
        <row r="171">
          <cell r="BA171" t="str">
            <v>.</v>
          </cell>
        </row>
        <row r="172">
          <cell r="BA172" t="str">
            <v>.</v>
          </cell>
        </row>
        <row r="173">
          <cell r="BA173" t="str">
            <v>.</v>
          </cell>
        </row>
        <row r="174">
          <cell r="BA174" t="str">
            <v>.</v>
          </cell>
        </row>
        <row r="175">
          <cell r="BA175" t="str">
            <v>.</v>
          </cell>
        </row>
        <row r="176">
          <cell r="BA176" t="str">
            <v>.</v>
          </cell>
        </row>
        <row r="177">
          <cell r="BA177" t="str">
            <v>.</v>
          </cell>
        </row>
        <row r="178">
          <cell r="BA178" t="str">
            <v>.</v>
          </cell>
        </row>
        <row r="179">
          <cell r="BA179" t="str">
            <v>.</v>
          </cell>
        </row>
        <row r="180">
          <cell r="BA180" t="str">
            <v>.</v>
          </cell>
        </row>
        <row r="181">
          <cell r="BA181" t="str">
            <v>.</v>
          </cell>
        </row>
        <row r="182">
          <cell r="BA182" t="str">
            <v>.</v>
          </cell>
        </row>
        <row r="183">
          <cell r="BA183" t="str">
            <v>.</v>
          </cell>
        </row>
        <row r="184">
          <cell r="BA184" t="str">
            <v>.</v>
          </cell>
        </row>
        <row r="185">
          <cell r="BA185" t="str">
            <v>.</v>
          </cell>
        </row>
        <row r="186">
          <cell r="BA186" t="str">
            <v>.</v>
          </cell>
        </row>
        <row r="187">
          <cell r="BA187" t="str">
            <v>.</v>
          </cell>
        </row>
        <row r="188">
          <cell r="BA188" t="str">
            <v>.</v>
          </cell>
        </row>
        <row r="189">
          <cell r="BA189" t="str">
            <v>.</v>
          </cell>
        </row>
        <row r="190">
          <cell r="BA190" t="str">
            <v>.</v>
          </cell>
        </row>
        <row r="191">
          <cell r="BA191" t="str">
            <v>.</v>
          </cell>
        </row>
        <row r="192">
          <cell r="BA192" t="str">
            <v>.</v>
          </cell>
        </row>
        <row r="193">
          <cell r="BA193" t="str">
            <v>.</v>
          </cell>
        </row>
        <row r="194">
          <cell r="BA194" t="str">
            <v>.</v>
          </cell>
        </row>
        <row r="195">
          <cell r="BA195" t="str">
            <v>.</v>
          </cell>
        </row>
        <row r="196">
          <cell r="BA196" t="str">
            <v>.</v>
          </cell>
        </row>
        <row r="197">
          <cell r="BA197" t="str">
            <v>.</v>
          </cell>
        </row>
        <row r="198">
          <cell r="BA198" t="str">
            <v>.</v>
          </cell>
        </row>
        <row r="199">
          <cell r="BA199" t="str">
            <v>.</v>
          </cell>
        </row>
        <row r="200">
          <cell r="BA200" t="str">
            <v>.</v>
          </cell>
        </row>
        <row r="201">
          <cell r="BA201" t="str">
            <v>.</v>
          </cell>
        </row>
        <row r="202">
          <cell r="BA202" t="str">
            <v>.</v>
          </cell>
        </row>
        <row r="203">
          <cell r="BA203" t="str">
            <v>.</v>
          </cell>
        </row>
        <row r="204">
          <cell r="BA204" t="str">
            <v>.</v>
          </cell>
        </row>
        <row r="205">
          <cell r="BA205" t="str">
            <v>.</v>
          </cell>
        </row>
        <row r="206">
          <cell r="BA206" t="str">
            <v>.</v>
          </cell>
        </row>
        <row r="207">
          <cell r="BA207" t="str">
            <v>.</v>
          </cell>
        </row>
        <row r="208">
          <cell r="BA208" t="str">
            <v>.</v>
          </cell>
        </row>
        <row r="209">
          <cell r="BA209" t="str">
            <v>.</v>
          </cell>
        </row>
        <row r="210">
          <cell r="BA210" t="str">
            <v>.</v>
          </cell>
        </row>
        <row r="211">
          <cell r="BA211" t="str">
            <v>.</v>
          </cell>
        </row>
        <row r="212">
          <cell r="BA212" t="str">
            <v>.</v>
          </cell>
        </row>
        <row r="213">
          <cell r="BA213" t="str">
            <v>.</v>
          </cell>
        </row>
        <row r="214">
          <cell r="BA214" t="str">
            <v>.</v>
          </cell>
        </row>
        <row r="215">
          <cell r="BA215" t="str">
            <v>.</v>
          </cell>
        </row>
        <row r="216">
          <cell r="BA216" t="str">
            <v>.</v>
          </cell>
        </row>
        <row r="217">
          <cell r="BA217" t="str">
            <v>.</v>
          </cell>
        </row>
        <row r="218">
          <cell r="BA218" t="str">
            <v>.</v>
          </cell>
        </row>
        <row r="219">
          <cell r="BA219" t="str">
            <v>.</v>
          </cell>
        </row>
        <row r="220">
          <cell r="BA220" t="str">
            <v>.</v>
          </cell>
        </row>
        <row r="221">
          <cell r="BA221" t="str">
            <v>.</v>
          </cell>
        </row>
        <row r="222">
          <cell r="BA222" t="str">
            <v>.</v>
          </cell>
        </row>
        <row r="223">
          <cell r="BA223" t="str">
            <v>.</v>
          </cell>
        </row>
        <row r="224">
          <cell r="BA224" t="str">
            <v>.</v>
          </cell>
        </row>
        <row r="225">
          <cell r="BA225" t="str">
            <v>.</v>
          </cell>
        </row>
        <row r="226">
          <cell r="BA226" t="str">
            <v>.</v>
          </cell>
        </row>
        <row r="227">
          <cell r="BA227" t="str">
            <v>.</v>
          </cell>
        </row>
        <row r="228">
          <cell r="BA228" t="str">
            <v>.</v>
          </cell>
        </row>
        <row r="229">
          <cell r="BA229" t="str">
            <v>.</v>
          </cell>
        </row>
        <row r="230">
          <cell r="BA230" t="str">
            <v>.</v>
          </cell>
        </row>
        <row r="231">
          <cell r="BA231" t="str">
            <v>.</v>
          </cell>
        </row>
        <row r="232">
          <cell r="BA232" t="str">
            <v>.</v>
          </cell>
        </row>
        <row r="233">
          <cell r="BA233" t="str">
            <v>.</v>
          </cell>
        </row>
        <row r="234">
          <cell r="BA234" t="str">
            <v>.</v>
          </cell>
        </row>
        <row r="235">
          <cell r="BA235" t="str">
            <v>.</v>
          </cell>
        </row>
        <row r="236">
          <cell r="BA236" t="str">
            <v>.</v>
          </cell>
        </row>
        <row r="237">
          <cell r="BA237" t="str">
            <v>.</v>
          </cell>
        </row>
        <row r="238">
          <cell r="BA238" t="str">
            <v>.</v>
          </cell>
        </row>
        <row r="239">
          <cell r="BA239" t="str">
            <v>.</v>
          </cell>
        </row>
        <row r="240">
          <cell r="BA240" t="str">
            <v>.</v>
          </cell>
        </row>
        <row r="241">
          <cell r="BA241" t="str">
            <v>.</v>
          </cell>
        </row>
        <row r="242">
          <cell r="BA242" t="str">
            <v>.</v>
          </cell>
        </row>
        <row r="243">
          <cell r="BA243" t="str">
            <v>.</v>
          </cell>
        </row>
        <row r="244">
          <cell r="BA244" t="str">
            <v>.</v>
          </cell>
        </row>
        <row r="245">
          <cell r="BA245" t="str">
            <v>.</v>
          </cell>
        </row>
        <row r="246">
          <cell r="BA246" t="str">
            <v>.</v>
          </cell>
        </row>
        <row r="247">
          <cell r="BA247" t="str">
            <v>.</v>
          </cell>
        </row>
        <row r="248">
          <cell r="BA248" t="str">
            <v>.</v>
          </cell>
        </row>
        <row r="249">
          <cell r="BA249" t="str">
            <v>.</v>
          </cell>
        </row>
        <row r="250">
          <cell r="BA250" t="str">
            <v>.</v>
          </cell>
        </row>
        <row r="251">
          <cell r="BA251" t="str">
            <v>.</v>
          </cell>
        </row>
        <row r="252">
          <cell r="BA252" t="str">
            <v>.</v>
          </cell>
        </row>
        <row r="253">
          <cell r="BA253" t="str">
            <v>.</v>
          </cell>
        </row>
        <row r="254">
          <cell r="BA254" t="str">
            <v>.</v>
          </cell>
        </row>
        <row r="255">
          <cell r="BA255" t="str">
            <v>.</v>
          </cell>
        </row>
        <row r="256">
          <cell r="BA256" t="str">
            <v>.</v>
          </cell>
        </row>
        <row r="257">
          <cell r="BA257" t="str">
            <v>.</v>
          </cell>
        </row>
        <row r="258">
          <cell r="BA258" t="str">
            <v>.</v>
          </cell>
        </row>
        <row r="259">
          <cell r="BA259" t="str">
            <v>.</v>
          </cell>
        </row>
        <row r="260">
          <cell r="BA260" t="str">
            <v>.</v>
          </cell>
        </row>
        <row r="261">
          <cell r="BA261" t="str">
            <v>.</v>
          </cell>
        </row>
        <row r="262">
          <cell r="BA262" t="str">
            <v>.</v>
          </cell>
        </row>
        <row r="263">
          <cell r="BA263" t="str">
            <v>.</v>
          </cell>
        </row>
        <row r="264">
          <cell r="BA264" t="str">
            <v>.</v>
          </cell>
        </row>
        <row r="265">
          <cell r="BA265" t="str">
            <v>.</v>
          </cell>
        </row>
        <row r="266">
          <cell r="BA266" t="str">
            <v>.</v>
          </cell>
        </row>
        <row r="267">
          <cell r="BA267" t="str">
            <v>.</v>
          </cell>
        </row>
        <row r="268">
          <cell r="BA268" t="str">
            <v>.</v>
          </cell>
        </row>
        <row r="269">
          <cell r="BA269" t="str">
            <v>.</v>
          </cell>
        </row>
        <row r="270">
          <cell r="BA270" t="str">
            <v>.</v>
          </cell>
        </row>
        <row r="271">
          <cell r="BA271" t="str">
            <v>.</v>
          </cell>
        </row>
        <row r="272">
          <cell r="BA272" t="str">
            <v>.</v>
          </cell>
        </row>
        <row r="273">
          <cell r="BA273" t="str">
            <v>.</v>
          </cell>
        </row>
        <row r="274">
          <cell r="BA274" t="str">
            <v>.</v>
          </cell>
        </row>
        <row r="275">
          <cell r="BA275" t="str">
            <v>.</v>
          </cell>
        </row>
        <row r="276">
          <cell r="BA276" t="str">
            <v>.</v>
          </cell>
        </row>
        <row r="277">
          <cell r="BA277" t="str">
            <v>.</v>
          </cell>
        </row>
        <row r="278">
          <cell r="BA278" t="str">
            <v>.</v>
          </cell>
        </row>
        <row r="279">
          <cell r="BA279" t="str">
            <v>.</v>
          </cell>
        </row>
        <row r="280">
          <cell r="BA280" t="str">
            <v>.</v>
          </cell>
        </row>
        <row r="281">
          <cell r="BA281" t="str">
            <v>.</v>
          </cell>
        </row>
        <row r="282">
          <cell r="BA282" t="str">
            <v>.</v>
          </cell>
        </row>
        <row r="283">
          <cell r="BA283" t="str">
            <v>.</v>
          </cell>
        </row>
        <row r="284">
          <cell r="BA284" t="str">
            <v>.</v>
          </cell>
        </row>
        <row r="285">
          <cell r="BA285" t="str">
            <v>.</v>
          </cell>
        </row>
        <row r="286">
          <cell r="BA286" t="str">
            <v>.</v>
          </cell>
        </row>
        <row r="287">
          <cell r="BA287" t="str">
            <v>.</v>
          </cell>
        </row>
        <row r="288">
          <cell r="BA288" t="str">
            <v>.</v>
          </cell>
        </row>
        <row r="289">
          <cell r="BA289" t="str">
            <v>.</v>
          </cell>
        </row>
        <row r="290">
          <cell r="BA290" t="str">
            <v>.</v>
          </cell>
        </row>
        <row r="291">
          <cell r="BA291" t="str">
            <v>.</v>
          </cell>
        </row>
        <row r="292">
          <cell r="BA292" t="str">
            <v>.</v>
          </cell>
        </row>
        <row r="293">
          <cell r="BA293" t="str">
            <v>.</v>
          </cell>
        </row>
        <row r="294">
          <cell r="BA294" t="str">
            <v>.</v>
          </cell>
        </row>
        <row r="295">
          <cell r="BA295" t="str">
            <v>.</v>
          </cell>
        </row>
        <row r="296">
          <cell r="BA296" t="str">
            <v>.</v>
          </cell>
        </row>
        <row r="297">
          <cell r="BA297" t="str">
            <v>.</v>
          </cell>
        </row>
        <row r="298">
          <cell r="BA298" t="str">
            <v>.</v>
          </cell>
        </row>
        <row r="299">
          <cell r="BA299" t="str">
            <v>.</v>
          </cell>
        </row>
        <row r="300">
          <cell r="BA300" t="str">
            <v>.</v>
          </cell>
        </row>
        <row r="301">
          <cell r="BA301" t="str">
            <v>.</v>
          </cell>
        </row>
        <row r="302">
          <cell r="BA302" t="str">
            <v>.</v>
          </cell>
        </row>
        <row r="303">
          <cell r="BA303" t="str">
            <v>.</v>
          </cell>
        </row>
        <row r="304">
          <cell r="BA304" t="str">
            <v>.</v>
          </cell>
        </row>
        <row r="305">
          <cell r="BA305" t="str">
            <v>.</v>
          </cell>
        </row>
        <row r="306">
          <cell r="BA306" t="str">
            <v>.</v>
          </cell>
        </row>
        <row r="307">
          <cell r="BA307" t="str">
            <v>.</v>
          </cell>
        </row>
        <row r="308">
          <cell r="BA308" t="str">
            <v>.</v>
          </cell>
        </row>
        <row r="309">
          <cell r="BA309" t="str">
            <v>.</v>
          </cell>
        </row>
        <row r="310">
          <cell r="BA310" t="str">
            <v>.</v>
          </cell>
        </row>
        <row r="311">
          <cell r="BA311" t="str">
            <v>.</v>
          </cell>
        </row>
        <row r="312">
          <cell r="BA312" t="str">
            <v>.</v>
          </cell>
        </row>
        <row r="313">
          <cell r="BA313" t="str">
            <v>.</v>
          </cell>
        </row>
        <row r="314">
          <cell r="BA314" t="str">
            <v>.</v>
          </cell>
        </row>
        <row r="315">
          <cell r="BA315" t="str">
            <v>.</v>
          </cell>
        </row>
        <row r="316">
          <cell r="BA316" t="str">
            <v>.</v>
          </cell>
        </row>
        <row r="317">
          <cell r="BA317" t="str">
            <v>.</v>
          </cell>
        </row>
        <row r="318">
          <cell r="BA318" t="str">
            <v>.</v>
          </cell>
        </row>
        <row r="319">
          <cell r="BA319" t="str">
            <v>.</v>
          </cell>
        </row>
        <row r="320">
          <cell r="BA320" t="str">
            <v>.</v>
          </cell>
        </row>
        <row r="321">
          <cell r="BA321" t="str">
            <v>.</v>
          </cell>
        </row>
        <row r="322">
          <cell r="BA322" t="str">
            <v>.</v>
          </cell>
        </row>
        <row r="323">
          <cell r="BA323" t="str">
            <v>.</v>
          </cell>
        </row>
        <row r="324">
          <cell r="BA324" t="str">
            <v>.</v>
          </cell>
        </row>
        <row r="325">
          <cell r="BA325" t="str">
            <v>.</v>
          </cell>
        </row>
        <row r="326">
          <cell r="BA326" t="str">
            <v>.</v>
          </cell>
        </row>
        <row r="327">
          <cell r="BA327" t="str">
            <v>.</v>
          </cell>
        </row>
        <row r="328">
          <cell r="BA328" t="str">
            <v>.</v>
          </cell>
        </row>
        <row r="329">
          <cell r="BA329" t="str">
            <v>.</v>
          </cell>
        </row>
        <row r="330">
          <cell r="BA330" t="str">
            <v>.</v>
          </cell>
        </row>
        <row r="331">
          <cell r="BA331" t="str">
            <v>.</v>
          </cell>
        </row>
        <row r="332">
          <cell r="BA332" t="str">
            <v>.</v>
          </cell>
        </row>
        <row r="333">
          <cell r="BA333" t="str">
            <v>.</v>
          </cell>
        </row>
        <row r="334">
          <cell r="BA334" t="str">
            <v>.</v>
          </cell>
        </row>
        <row r="335">
          <cell r="BA335" t="str">
            <v>.</v>
          </cell>
        </row>
        <row r="336">
          <cell r="BA336" t="str">
            <v>.</v>
          </cell>
        </row>
        <row r="337">
          <cell r="BA337" t="str">
            <v>.</v>
          </cell>
        </row>
        <row r="338">
          <cell r="BA338" t="str">
            <v>.</v>
          </cell>
        </row>
        <row r="339">
          <cell r="BA339" t="str">
            <v>.</v>
          </cell>
        </row>
        <row r="340">
          <cell r="BA340" t="str">
            <v>.</v>
          </cell>
        </row>
        <row r="341">
          <cell r="BA341" t="str">
            <v>.</v>
          </cell>
        </row>
        <row r="342">
          <cell r="BA342" t="str">
            <v>.</v>
          </cell>
        </row>
        <row r="343">
          <cell r="BA343" t="str">
            <v>.</v>
          </cell>
        </row>
        <row r="344">
          <cell r="BA344" t="str">
            <v>.</v>
          </cell>
        </row>
        <row r="345">
          <cell r="BA345" t="str">
            <v>.</v>
          </cell>
        </row>
        <row r="346">
          <cell r="BA346" t="str">
            <v>.</v>
          </cell>
        </row>
        <row r="347">
          <cell r="BA347" t="str">
            <v>.</v>
          </cell>
        </row>
        <row r="348">
          <cell r="BA348" t="str">
            <v>.</v>
          </cell>
        </row>
        <row r="349">
          <cell r="BA349" t="str">
            <v>.</v>
          </cell>
        </row>
        <row r="350">
          <cell r="BA350" t="str">
            <v>.</v>
          </cell>
        </row>
        <row r="351">
          <cell r="BA351" t="str">
            <v>.</v>
          </cell>
        </row>
        <row r="352">
          <cell r="BA352" t="str">
            <v>.</v>
          </cell>
        </row>
        <row r="353">
          <cell r="BA353" t="str">
            <v>.</v>
          </cell>
        </row>
        <row r="354">
          <cell r="BA354" t="str">
            <v>.</v>
          </cell>
        </row>
        <row r="355">
          <cell r="BA355" t="str">
            <v>.</v>
          </cell>
        </row>
        <row r="356">
          <cell r="BA356" t="str">
            <v>.</v>
          </cell>
        </row>
        <row r="357">
          <cell r="BA357" t="str">
            <v>.</v>
          </cell>
        </row>
        <row r="358">
          <cell r="BA358" t="str">
            <v>.</v>
          </cell>
        </row>
        <row r="359">
          <cell r="BA359" t="str">
            <v>.</v>
          </cell>
        </row>
        <row r="360">
          <cell r="BA360" t="str">
            <v>.</v>
          </cell>
        </row>
        <row r="361">
          <cell r="BA361" t="str">
            <v>.</v>
          </cell>
        </row>
        <row r="362">
          <cell r="BA362" t="str">
            <v>.</v>
          </cell>
        </row>
        <row r="363">
          <cell r="BA363" t="str">
            <v>.</v>
          </cell>
        </row>
        <row r="364">
          <cell r="BA364" t="str">
            <v>.</v>
          </cell>
        </row>
        <row r="365">
          <cell r="BA365" t="str">
            <v>.</v>
          </cell>
        </row>
        <row r="366">
          <cell r="BA366" t="str">
            <v>.</v>
          </cell>
        </row>
        <row r="367">
          <cell r="BA367" t="str">
            <v>.</v>
          </cell>
        </row>
        <row r="368">
          <cell r="BA368" t="str">
            <v>.</v>
          </cell>
        </row>
        <row r="369">
          <cell r="BA369" t="str">
            <v>.</v>
          </cell>
        </row>
        <row r="370">
          <cell r="BA370" t="str">
            <v>.</v>
          </cell>
        </row>
        <row r="371">
          <cell r="BA371" t="str">
            <v>.</v>
          </cell>
        </row>
        <row r="372">
          <cell r="BA372" t="str">
            <v>.</v>
          </cell>
        </row>
        <row r="373">
          <cell r="BA373" t="str">
            <v>.</v>
          </cell>
        </row>
        <row r="374">
          <cell r="BA374" t="str">
            <v>.</v>
          </cell>
        </row>
        <row r="375">
          <cell r="BA375" t="str">
            <v>.</v>
          </cell>
        </row>
        <row r="376">
          <cell r="BA376" t="str">
            <v>.</v>
          </cell>
        </row>
        <row r="377">
          <cell r="BA377" t="str">
            <v>.</v>
          </cell>
        </row>
        <row r="378">
          <cell r="BA378" t="str">
            <v>.</v>
          </cell>
        </row>
        <row r="379">
          <cell r="BA379" t="str">
            <v>.</v>
          </cell>
        </row>
        <row r="380">
          <cell r="BA380" t="str">
            <v>.</v>
          </cell>
        </row>
        <row r="381">
          <cell r="BA381" t="str">
            <v>.</v>
          </cell>
        </row>
        <row r="382">
          <cell r="BA382" t="str">
            <v>.</v>
          </cell>
        </row>
        <row r="383">
          <cell r="BA383" t="str">
            <v>.</v>
          </cell>
        </row>
        <row r="384">
          <cell r="BA384" t="str">
            <v>.</v>
          </cell>
        </row>
        <row r="385">
          <cell r="BA385" t="str">
            <v>.</v>
          </cell>
        </row>
        <row r="386">
          <cell r="BA386" t="str">
            <v>.</v>
          </cell>
        </row>
        <row r="387">
          <cell r="BA387" t="str">
            <v>.</v>
          </cell>
        </row>
        <row r="388">
          <cell r="BA388" t="str">
            <v>.</v>
          </cell>
        </row>
        <row r="389">
          <cell r="BA389" t="str">
            <v>.</v>
          </cell>
        </row>
        <row r="390">
          <cell r="BA390" t="str">
            <v>.</v>
          </cell>
        </row>
        <row r="391">
          <cell r="BA391" t="str">
            <v>.</v>
          </cell>
        </row>
        <row r="392">
          <cell r="BA392" t="str">
            <v>.</v>
          </cell>
        </row>
        <row r="393">
          <cell r="BA393" t="str">
            <v>.</v>
          </cell>
        </row>
        <row r="394">
          <cell r="BA394" t="str">
            <v>.</v>
          </cell>
        </row>
        <row r="395">
          <cell r="BA395" t="str">
            <v>.</v>
          </cell>
        </row>
        <row r="396">
          <cell r="BA396" t="str">
            <v>.</v>
          </cell>
        </row>
        <row r="397">
          <cell r="BA397" t="str">
            <v>.</v>
          </cell>
        </row>
        <row r="398">
          <cell r="BA398" t="str">
            <v>.</v>
          </cell>
        </row>
        <row r="399">
          <cell r="BA399" t="str">
            <v>.</v>
          </cell>
        </row>
        <row r="400">
          <cell r="BA400" t="str">
            <v>.</v>
          </cell>
        </row>
        <row r="401">
          <cell r="BA401" t="str">
            <v>.</v>
          </cell>
        </row>
        <row r="402">
          <cell r="BA402" t="str">
            <v>.</v>
          </cell>
        </row>
        <row r="403">
          <cell r="BA403" t="str">
            <v>.</v>
          </cell>
        </row>
        <row r="404">
          <cell r="BA404" t="str">
            <v>.</v>
          </cell>
        </row>
        <row r="405">
          <cell r="BA405" t="str">
            <v>.</v>
          </cell>
        </row>
        <row r="406">
          <cell r="BA406" t="str">
            <v>.</v>
          </cell>
        </row>
        <row r="407">
          <cell r="BA407" t="str">
            <v>.</v>
          </cell>
        </row>
        <row r="408">
          <cell r="BA408" t="str">
            <v>.</v>
          </cell>
        </row>
        <row r="409">
          <cell r="BA409" t="str">
            <v>.</v>
          </cell>
        </row>
        <row r="410">
          <cell r="BA410" t="str">
            <v>.</v>
          </cell>
        </row>
        <row r="411">
          <cell r="BA411" t="str">
            <v>.</v>
          </cell>
        </row>
        <row r="412">
          <cell r="BA412" t="str">
            <v>.</v>
          </cell>
        </row>
        <row r="413">
          <cell r="BA413" t="str">
            <v>.</v>
          </cell>
        </row>
        <row r="414">
          <cell r="BA414" t="str">
            <v>.</v>
          </cell>
        </row>
        <row r="415">
          <cell r="BA415" t="str">
            <v>.</v>
          </cell>
        </row>
        <row r="416">
          <cell r="BA416" t="str">
            <v>.</v>
          </cell>
        </row>
        <row r="417">
          <cell r="BA417" t="str">
            <v>.</v>
          </cell>
        </row>
        <row r="418">
          <cell r="BA418" t="str">
            <v>.</v>
          </cell>
        </row>
        <row r="419">
          <cell r="BA419" t="str">
            <v>.</v>
          </cell>
        </row>
        <row r="420">
          <cell r="BA420" t="str">
            <v>.</v>
          </cell>
        </row>
        <row r="421">
          <cell r="BA421" t="str">
            <v>.</v>
          </cell>
        </row>
        <row r="422">
          <cell r="BA422" t="str">
            <v>.</v>
          </cell>
        </row>
        <row r="423">
          <cell r="BA423" t="str">
            <v>.</v>
          </cell>
        </row>
        <row r="424">
          <cell r="BA424" t="str">
            <v>.</v>
          </cell>
        </row>
        <row r="425">
          <cell r="BA425" t="str">
            <v>.</v>
          </cell>
        </row>
        <row r="426">
          <cell r="BA426" t="str">
            <v>.</v>
          </cell>
        </row>
        <row r="427">
          <cell r="BA427" t="str">
            <v>.</v>
          </cell>
        </row>
        <row r="428">
          <cell r="BA428" t="str">
            <v>.</v>
          </cell>
        </row>
        <row r="429">
          <cell r="BA429" t="str">
            <v>.</v>
          </cell>
        </row>
        <row r="430">
          <cell r="BA430" t="str">
            <v>.</v>
          </cell>
        </row>
        <row r="431">
          <cell r="BA431" t="str">
            <v>.</v>
          </cell>
        </row>
        <row r="432">
          <cell r="BA432" t="str">
            <v>.</v>
          </cell>
        </row>
        <row r="433">
          <cell r="BA433" t="str">
            <v>.</v>
          </cell>
        </row>
        <row r="434">
          <cell r="BA434" t="str">
            <v>.</v>
          </cell>
        </row>
        <row r="435">
          <cell r="BA435" t="str">
            <v>.</v>
          </cell>
        </row>
        <row r="436">
          <cell r="BA436" t="str">
            <v>.</v>
          </cell>
        </row>
        <row r="437">
          <cell r="BA437" t="str">
            <v>.</v>
          </cell>
        </row>
        <row r="438">
          <cell r="BA438" t="str">
            <v>.</v>
          </cell>
        </row>
        <row r="439">
          <cell r="BA439" t="str">
            <v>.</v>
          </cell>
        </row>
        <row r="440">
          <cell r="BA440" t="str">
            <v>.</v>
          </cell>
        </row>
        <row r="441">
          <cell r="BA441" t="str">
            <v>.</v>
          </cell>
        </row>
        <row r="442">
          <cell r="BA442" t="str">
            <v>.</v>
          </cell>
        </row>
        <row r="443">
          <cell r="BA443" t="str">
            <v>.</v>
          </cell>
        </row>
        <row r="444">
          <cell r="BA444" t="str">
            <v>.</v>
          </cell>
        </row>
        <row r="445">
          <cell r="BA445" t="str">
            <v>.</v>
          </cell>
        </row>
        <row r="446">
          <cell r="BA446" t="str">
            <v>.</v>
          </cell>
        </row>
        <row r="447">
          <cell r="BA447" t="str">
            <v>.</v>
          </cell>
        </row>
        <row r="448">
          <cell r="BA448" t="str">
            <v>.</v>
          </cell>
        </row>
        <row r="449">
          <cell r="BA449" t="str">
            <v>.</v>
          </cell>
        </row>
        <row r="450">
          <cell r="BA450" t="str">
            <v>.</v>
          </cell>
        </row>
        <row r="451">
          <cell r="BA451" t="str">
            <v>.</v>
          </cell>
        </row>
        <row r="452">
          <cell r="BA452" t="str">
            <v>.</v>
          </cell>
        </row>
        <row r="453">
          <cell r="BA453" t="str">
            <v>.</v>
          </cell>
        </row>
        <row r="454">
          <cell r="BA454" t="str">
            <v>.</v>
          </cell>
        </row>
        <row r="455">
          <cell r="BA455" t="str">
            <v>.</v>
          </cell>
        </row>
        <row r="456">
          <cell r="BA456" t="str">
            <v>.</v>
          </cell>
        </row>
        <row r="457">
          <cell r="BA457" t="str">
            <v>.</v>
          </cell>
        </row>
        <row r="458">
          <cell r="BA458" t="str">
            <v>.</v>
          </cell>
        </row>
        <row r="459">
          <cell r="BA459" t="str">
            <v>.</v>
          </cell>
        </row>
        <row r="460">
          <cell r="BA460" t="str">
            <v>.</v>
          </cell>
        </row>
        <row r="461">
          <cell r="BA461" t="str">
            <v>.</v>
          </cell>
        </row>
        <row r="462">
          <cell r="BA462" t="str">
            <v>.</v>
          </cell>
        </row>
        <row r="463">
          <cell r="BA463" t="str">
            <v>.</v>
          </cell>
        </row>
        <row r="464">
          <cell r="BA464" t="str">
            <v>.</v>
          </cell>
        </row>
        <row r="465">
          <cell r="BA465" t="str">
            <v>.</v>
          </cell>
        </row>
        <row r="466">
          <cell r="BA466" t="str">
            <v>.</v>
          </cell>
        </row>
        <row r="467">
          <cell r="BA467" t="str">
            <v>.</v>
          </cell>
        </row>
        <row r="468">
          <cell r="BA468" t="str">
            <v>.</v>
          </cell>
        </row>
        <row r="469">
          <cell r="BA469" t="str">
            <v>.</v>
          </cell>
        </row>
        <row r="470">
          <cell r="BA470" t="str">
            <v>.</v>
          </cell>
        </row>
        <row r="471">
          <cell r="BA471" t="str">
            <v>.</v>
          </cell>
        </row>
        <row r="472">
          <cell r="BA472" t="str">
            <v>.</v>
          </cell>
        </row>
        <row r="473">
          <cell r="BA473" t="str">
            <v>.</v>
          </cell>
        </row>
        <row r="474">
          <cell r="BA474" t="str">
            <v>.</v>
          </cell>
        </row>
        <row r="475">
          <cell r="BA475" t="str">
            <v>.</v>
          </cell>
        </row>
        <row r="476">
          <cell r="BA476" t="str">
            <v>.</v>
          </cell>
        </row>
        <row r="477">
          <cell r="BA477" t="str">
            <v>.</v>
          </cell>
        </row>
        <row r="478">
          <cell r="BA478" t="str">
            <v>.</v>
          </cell>
        </row>
        <row r="479">
          <cell r="BA479" t="str">
            <v>.</v>
          </cell>
        </row>
        <row r="480">
          <cell r="BA480" t="str">
            <v>.</v>
          </cell>
        </row>
        <row r="481">
          <cell r="BA481" t="str">
            <v>.</v>
          </cell>
        </row>
        <row r="482">
          <cell r="BA482" t="str">
            <v>.</v>
          </cell>
        </row>
        <row r="483">
          <cell r="BA483" t="str">
            <v>.</v>
          </cell>
        </row>
        <row r="484">
          <cell r="BA484" t="str">
            <v>.</v>
          </cell>
        </row>
        <row r="485">
          <cell r="BA485" t="str">
            <v>.</v>
          </cell>
        </row>
        <row r="486">
          <cell r="BA486" t="str">
            <v>.</v>
          </cell>
        </row>
        <row r="487">
          <cell r="BA487" t="str">
            <v>.</v>
          </cell>
        </row>
        <row r="488">
          <cell r="BA488" t="str">
            <v>.</v>
          </cell>
        </row>
        <row r="489">
          <cell r="BA489" t="str">
            <v>.</v>
          </cell>
        </row>
        <row r="490">
          <cell r="BA490" t="str">
            <v>.</v>
          </cell>
        </row>
        <row r="491">
          <cell r="BA491" t="str">
            <v>.</v>
          </cell>
        </row>
        <row r="492">
          <cell r="BA492" t="str">
            <v>.</v>
          </cell>
        </row>
        <row r="493">
          <cell r="BA493" t="str">
            <v>.</v>
          </cell>
        </row>
        <row r="494">
          <cell r="BA494" t="str">
            <v>.</v>
          </cell>
        </row>
        <row r="495">
          <cell r="BA495" t="str">
            <v>.</v>
          </cell>
        </row>
        <row r="496">
          <cell r="BA496" t="str">
            <v>.</v>
          </cell>
        </row>
        <row r="497">
          <cell r="BA497" t="str">
            <v>.</v>
          </cell>
        </row>
        <row r="498">
          <cell r="BA498" t="str">
            <v>.</v>
          </cell>
        </row>
        <row r="499">
          <cell r="BA499" t="str">
            <v>.</v>
          </cell>
        </row>
        <row r="500">
          <cell r="BA500" t="str">
            <v>.</v>
          </cell>
        </row>
        <row r="501">
          <cell r="BA501" t="str">
            <v>.</v>
          </cell>
        </row>
        <row r="502">
          <cell r="BA502" t="str">
            <v>.</v>
          </cell>
        </row>
        <row r="503">
          <cell r="BA503" t="str">
            <v>.</v>
          </cell>
        </row>
        <row r="504">
          <cell r="BA504" t="str">
            <v>.</v>
          </cell>
        </row>
        <row r="505">
          <cell r="BA505" t="str">
            <v>.</v>
          </cell>
        </row>
        <row r="506">
          <cell r="BA506" t="str">
            <v>.</v>
          </cell>
        </row>
        <row r="507">
          <cell r="BA507" t="str">
            <v>.</v>
          </cell>
        </row>
        <row r="508">
          <cell r="BA508" t="str">
            <v>.</v>
          </cell>
        </row>
        <row r="509">
          <cell r="BA509" t="str">
            <v>.</v>
          </cell>
        </row>
        <row r="510">
          <cell r="BA510" t="str">
            <v>.</v>
          </cell>
        </row>
        <row r="511">
          <cell r="BA511" t="str">
            <v>.</v>
          </cell>
        </row>
        <row r="512">
          <cell r="BA512" t="str">
            <v>.</v>
          </cell>
        </row>
        <row r="513">
          <cell r="BA513" t="str">
            <v>.</v>
          </cell>
        </row>
        <row r="514">
          <cell r="BA514" t="str">
            <v>.</v>
          </cell>
        </row>
        <row r="515">
          <cell r="BA515" t="str">
            <v>.</v>
          </cell>
        </row>
        <row r="516">
          <cell r="BA516" t="str">
            <v>.</v>
          </cell>
        </row>
        <row r="517">
          <cell r="BA517" t="str">
            <v>.</v>
          </cell>
        </row>
        <row r="518">
          <cell r="BA518" t="str">
            <v>.</v>
          </cell>
        </row>
        <row r="519">
          <cell r="BA519" t="str">
            <v>.</v>
          </cell>
        </row>
        <row r="520">
          <cell r="BA520" t="str">
            <v>.</v>
          </cell>
        </row>
        <row r="521">
          <cell r="BA521" t="str">
            <v>.</v>
          </cell>
        </row>
        <row r="522">
          <cell r="BA522" t="str">
            <v>.</v>
          </cell>
        </row>
        <row r="523">
          <cell r="BA523" t="str">
            <v>.</v>
          </cell>
        </row>
        <row r="524">
          <cell r="BA524" t="str">
            <v>.</v>
          </cell>
        </row>
        <row r="525">
          <cell r="BA525" t="str">
            <v>.</v>
          </cell>
        </row>
        <row r="526">
          <cell r="BA526" t="str">
            <v>.</v>
          </cell>
        </row>
        <row r="527">
          <cell r="BA527" t="str">
            <v>.</v>
          </cell>
        </row>
        <row r="528">
          <cell r="BA528" t="str">
            <v>.</v>
          </cell>
        </row>
        <row r="529">
          <cell r="BA529" t="str">
            <v>.</v>
          </cell>
        </row>
        <row r="530">
          <cell r="BA530" t="str">
            <v>.</v>
          </cell>
        </row>
        <row r="531">
          <cell r="BA531" t="str">
            <v>.</v>
          </cell>
        </row>
        <row r="532">
          <cell r="BA532" t="str">
            <v>.</v>
          </cell>
        </row>
        <row r="533">
          <cell r="BA533" t="str">
            <v>.</v>
          </cell>
        </row>
        <row r="534">
          <cell r="BA534" t="str">
            <v>.</v>
          </cell>
        </row>
        <row r="535">
          <cell r="BA535" t="str">
            <v>.</v>
          </cell>
        </row>
        <row r="536">
          <cell r="BA536" t="str">
            <v>.</v>
          </cell>
        </row>
        <row r="537">
          <cell r="BA537" t="str">
            <v>.</v>
          </cell>
        </row>
        <row r="538">
          <cell r="BA538" t="str">
            <v>.</v>
          </cell>
        </row>
        <row r="539">
          <cell r="BA539" t="str">
            <v>.</v>
          </cell>
        </row>
        <row r="540">
          <cell r="BA540" t="str">
            <v>.</v>
          </cell>
        </row>
        <row r="541">
          <cell r="BA541" t="str">
            <v>.</v>
          </cell>
        </row>
        <row r="542">
          <cell r="BA542" t="str">
            <v>.</v>
          </cell>
        </row>
        <row r="543">
          <cell r="BA543" t="str">
            <v>.</v>
          </cell>
        </row>
        <row r="544">
          <cell r="BA544" t="str">
            <v>.</v>
          </cell>
        </row>
        <row r="545">
          <cell r="BA545" t="str">
            <v>.</v>
          </cell>
        </row>
        <row r="546">
          <cell r="BA546" t="str">
            <v>.</v>
          </cell>
        </row>
        <row r="547">
          <cell r="BA547" t="str">
            <v>.</v>
          </cell>
        </row>
        <row r="548">
          <cell r="BA548" t="str">
            <v>.</v>
          </cell>
        </row>
        <row r="549">
          <cell r="BA549" t="str">
            <v>.</v>
          </cell>
        </row>
        <row r="550">
          <cell r="BA550" t="str">
            <v>.</v>
          </cell>
        </row>
        <row r="551">
          <cell r="BA551" t="str">
            <v>.</v>
          </cell>
        </row>
        <row r="552">
          <cell r="BA552" t="str">
            <v>.</v>
          </cell>
        </row>
        <row r="553">
          <cell r="BA553" t="str">
            <v>.</v>
          </cell>
        </row>
        <row r="554">
          <cell r="BA554" t="str">
            <v>.</v>
          </cell>
        </row>
        <row r="555">
          <cell r="BA555" t="str">
            <v>.</v>
          </cell>
        </row>
        <row r="556">
          <cell r="BA556" t="str">
            <v>.</v>
          </cell>
        </row>
        <row r="557">
          <cell r="BA557" t="str">
            <v>.</v>
          </cell>
        </row>
        <row r="558">
          <cell r="BA558" t="str">
            <v>.</v>
          </cell>
        </row>
        <row r="559">
          <cell r="BA559" t="str">
            <v>.</v>
          </cell>
        </row>
        <row r="560">
          <cell r="BA560" t="str">
            <v>.</v>
          </cell>
        </row>
        <row r="561">
          <cell r="BA561" t="str">
            <v>.</v>
          </cell>
        </row>
        <row r="562">
          <cell r="BA562" t="str">
            <v>.</v>
          </cell>
        </row>
        <row r="563">
          <cell r="BA563" t="str">
            <v>.</v>
          </cell>
        </row>
        <row r="564">
          <cell r="BA564" t="str">
            <v>.</v>
          </cell>
        </row>
        <row r="565">
          <cell r="BA565" t="str">
            <v>.</v>
          </cell>
        </row>
        <row r="566">
          <cell r="BA566" t="str">
            <v>.</v>
          </cell>
        </row>
        <row r="567">
          <cell r="BA567" t="str">
            <v>.</v>
          </cell>
        </row>
        <row r="568">
          <cell r="BA568" t="str">
            <v>.</v>
          </cell>
        </row>
        <row r="569">
          <cell r="BA569" t="str">
            <v>.</v>
          </cell>
        </row>
        <row r="570">
          <cell r="BA570" t="str">
            <v>.</v>
          </cell>
        </row>
        <row r="571">
          <cell r="BA571" t="str">
            <v>.</v>
          </cell>
        </row>
        <row r="572">
          <cell r="BA572" t="str">
            <v>.</v>
          </cell>
        </row>
        <row r="573">
          <cell r="BA573" t="str">
            <v>.</v>
          </cell>
        </row>
        <row r="574">
          <cell r="BA574" t="str">
            <v>.</v>
          </cell>
        </row>
        <row r="575">
          <cell r="BA575" t="str">
            <v>.</v>
          </cell>
        </row>
        <row r="576">
          <cell r="BA576" t="str">
            <v>.</v>
          </cell>
        </row>
        <row r="577">
          <cell r="BA577" t="str">
            <v>.</v>
          </cell>
        </row>
        <row r="578">
          <cell r="BA578" t="str">
            <v>.</v>
          </cell>
        </row>
        <row r="579">
          <cell r="BA579" t="str">
            <v>.</v>
          </cell>
        </row>
        <row r="580">
          <cell r="BA580" t="str">
            <v>.</v>
          </cell>
        </row>
        <row r="581">
          <cell r="BA581" t="str">
            <v>.</v>
          </cell>
        </row>
        <row r="582">
          <cell r="BA582" t="str">
            <v>.</v>
          </cell>
        </row>
        <row r="583">
          <cell r="BA583" t="str">
            <v>.</v>
          </cell>
        </row>
        <row r="584">
          <cell r="BA584" t="str">
            <v>.</v>
          </cell>
        </row>
        <row r="585">
          <cell r="BA585" t="str">
            <v>.</v>
          </cell>
        </row>
        <row r="586">
          <cell r="BA586" t="str">
            <v>.</v>
          </cell>
        </row>
        <row r="587">
          <cell r="BA587" t="str">
            <v>.</v>
          </cell>
        </row>
        <row r="588">
          <cell r="BA588" t="str">
            <v>.</v>
          </cell>
        </row>
        <row r="589">
          <cell r="BA589" t="str">
            <v>.</v>
          </cell>
        </row>
        <row r="590">
          <cell r="BA590" t="str">
            <v>.</v>
          </cell>
        </row>
        <row r="591">
          <cell r="BA591" t="str">
            <v>.</v>
          </cell>
        </row>
        <row r="592">
          <cell r="BA592" t="str">
            <v>.</v>
          </cell>
        </row>
        <row r="593">
          <cell r="BA593" t="str">
            <v>.</v>
          </cell>
        </row>
        <row r="594">
          <cell r="BA594" t="str">
            <v>.</v>
          </cell>
        </row>
        <row r="595">
          <cell r="BA595" t="str">
            <v>.</v>
          </cell>
        </row>
        <row r="596">
          <cell r="BA596" t="str">
            <v>.</v>
          </cell>
        </row>
        <row r="597">
          <cell r="BA597" t="str">
            <v>.</v>
          </cell>
        </row>
        <row r="598">
          <cell r="BA598" t="str">
            <v>.</v>
          </cell>
        </row>
        <row r="599">
          <cell r="BA599" t="str">
            <v>.</v>
          </cell>
        </row>
        <row r="600">
          <cell r="BA600" t="str">
            <v>.</v>
          </cell>
        </row>
        <row r="601">
          <cell r="BA601" t="str">
            <v>.</v>
          </cell>
        </row>
        <row r="602">
          <cell r="BA602" t="str">
            <v>.</v>
          </cell>
        </row>
        <row r="603">
          <cell r="BA603" t="str">
            <v>.</v>
          </cell>
        </row>
        <row r="604">
          <cell r="BA604" t="str">
            <v>.</v>
          </cell>
        </row>
        <row r="605">
          <cell r="BA605" t="str">
            <v>.</v>
          </cell>
        </row>
        <row r="606">
          <cell r="BA606" t="str">
            <v>.</v>
          </cell>
        </row>
        <row r="607">
          <cell r="BA607" t="str">
            <v>.</v>
          </cell>
        </row>
        <row r="608">
          <cell r="BA608" t="str">
            <v>.</v>
          </cell>
        </row>
        <row r="609">
          <cell r="BA609" t="str">
            <v>.</v>
          </cell>
        </row>
        <row r="610">
          <cell r="BA610" t="str">
            <v>.</v>
          </cell>
        </row>
        <row r="611">
          <cell r="BA611" t="str">
            <v>.</v>
          </cell>
        </row>
        <row r="612">
          <cell r="BA612" t="str">
            <v>.</v>
          </cell>
        </row>
        <row r="613">
          <cell r="BA613" t="str">
            <v>.</v>
          </cell>
        </row>
        <row r="614">
          <cell r="BA614" t="str">
            <v>.</v>
          </cell>
        </row>
        <row r="615">
          <cell r="BA615" t="str">
            <v>.</v>
          </cell>
        </row>
        <row r="616">
          <cell r="BA616" t="str">
            <v>.</v>
          </cell>
        </row>
        <row r="617">
          <cell r="BA617" t="str">
            <v>.</v>
          </cell>
        </row>
        <row r="618">
          <cell r="BA618" t="str">
            <v>.</v>
          </cell>
        </row>
        <row r="619">
          <cell r="BA619" t="str">
            <v>.</v>
          </cell>
        </row>
        <row r="620">
          <cell r="BA620" t="str">
            <v>.</v>
          </cell>
        </row>
        <row r="621">
          <cell r="BA621" t="str">
            <v>.</v>
          </cell>
        </row>
        <row r="622">
          <cell r="BA622" t="str">
            <v>.</v>
          </cell>
        </row>
        <row r="623">
          <cell r="BA623" t="str">
            <v>.</v>
          </cell>
        </row>
        <row r="624">
          <cell r="BA624" t="str">
            <v>.</v>
          </cell>
        </row>
        <row r="625">
          <cell r="BA625" t="str">
            <v>.</v>
          </cell>
        </row>
        <row r="626">
          <cell r="BA626" t="str">
            <v>.</v>
          </cell>
        </row>
        <row r="627">
          <cell r="BA627" t="str">
            <v>.</v>
          </cell>
        </row>
        <row r="628">
          <cell r="BA628" t="str">
            <v>.</v>
          </cell>
        </row>
        <row r="629">
          <cell r="BA629" t="str">
            <v>.</v>
          </cell>
        </row>
        <row r="630">
          <cell r="BA630" t="str">
            <v>.</v>
          </cell>
        </row>
        <row r="631">
          <cell r="BA631" t="str">
            <v>.</v>
          </cell>
        </row>
        <row r="632">
          <cell r="BA632" t="str">
            <v>.</v>
          </cell>
        </row>
        <row r="633">
          <cell r="BA633" t="str">
            <v>.</v>
          </cell>
        </row>
        <row r="634">
          <cell r="BA634" t="str">
            <v>.</v>
          </cell>
        </row>
        <row r="635">
          <cell r="BA635" t="str">
            <v>.</v>
          </cell>
        </row>
        <row r="636">
          <cell r="BA636" t="str">
            <v>.</v>
          </cell>
        </row>
        <row r="637">
          <cell r="BA637" t="str">
            <v>.</v>
          </cell>
        </row>
        <row r="638">
          <cell r="BA638" t="str">
            <v>.</v>
          </cell>
        </row>
        <row r="639">
          <cell r="BA639" t="str">
            <v>.</v>
          </cell>
        </row>
        <row r="640">
          <cell r="BA640" t="str">
            <v>.</v>
          </cell>
        </row>
        <row r="641">
          <cell r="BA641" t="str">
            <v>.</v>
          </cell>
        </row>
        <row r="642">
          <cell r="BA642" t="str">
            <v>.</v>
          </cell>
        </row>
        <row r="643">
          <cell r="BA643" t="str">
            <v>.</v>
          </cell>
        </row>
        <row r="644">
          <cell r="BA644" t="str">
            <v>.</v>
          </cell>
        </row>
        <row r="645">
          <cell r="BA645" t="str">
            <v>.</v>
          </cell>
        </row>
        <row r="646">
          <cell r="BA646" t="str">
            <v>.</v>
          </cell>
        </row>
        <row r="647">
          <cell r="BA647" t="str">
            <v>.</v>
          </cell>
        </row>
        <row r="648">
          <cell r="BA648" t="str">
            <v>.</v>
          </cell>
        </row>
        <row r="649">
          <cell r="BA649" t="str">
            <v>.</v>
          </cell>
        </row>
        <row r="650">
          <cell r="BA650" t="str">
            <v>.</v>
          </cell>
        </row>
        <row r="651">
          <cell r="BA651" t="str">
            <v>.</v>
          </cell>
        </row>
        <row r="652">
          <cell r="BA652" t="str">
            <v>.</v>
          </cell>
        </row>
        <row r="653">
          <cell r="BA653" t="str">
            <v>.</v>
          </cell>
        </row>
        <row r="654">
          <cell r="BA654" t="str">
            <v>.</v>
          </cell>
        </row>
        <row r="655">
          <cell r="BA655" t="str">
            <v>.</v>
          </cell>
        </row>
        <row r="656">
          <cell r="BA656" t="str">
            <v>.</v>
          </cell>
        </row>
        <row r="657">
          <cell r="BA657" t="str">
            <v>.</v>
          </cell>
        </row>
        <row r="658">
          <cell r="BA658" t="str">
            <v>.</v>
          </cell>
        </row>
        <row r="659">
          <cell r="BA659" t="str">
            <v>.</v>
          </cell>
        </row>
        <row r="660">
          <cell r="BA660" t="str">
            <v>.</v>
          </cell>
        </row>
        <row r="661">
          <cell r="BA661" t="str">
            <v>.</v>
          </cell>
        </row>
        <row r="662">
          <cell r="BA662" t="str">
            <v>.</v>
          </cell>
        </row>
        <row r="663">
          <cell r="BA663" t="str">
            <v>.</v>
          </cell>
        </row>
        <row r="664">
          <cell r="BA664" t="str">
            <v>.</v>
          </cell>
        </row>
        <row r="665">
          <cell r="BA665" t="str">
            <v>.</v>
          </cell>
        </row>
        <row r="666">
          <cell r="BA666" t="str">
            <v>.</v>
          </cell>
        </row>
        <row r="667">
          <cell r="BA667" t="str">
            <v>.</v>
          </cell>
        </row>
        <row r="668">
          <cell r="BA668" t="str">
            <v>.</v>
          </cell>
        </row>
        <row r="669">
          <cell r="BA669" t="str">
            <v>.</v>
          </cell>
        </row>
        <row r="670">
          <cell r="BA670" t="str">
            <v>.</v>
          </cell>
        </row>
        <row r="671">
          <cell r="BA671" t="str">
            <v>.</v>
          </cell>
        </row>
        <row r="672">
          <cell r="BA672" t="str">
            <v>.</v>
          </cell>
        </row>
        <row r="673">
          <cell r="BA673" t="str">
            <v>.</v>
          </cell>
        </row>
        <row r="674">
          <cell r="BA674" t="str">
            <v>.</v>
          </cell>
        </row>
        <row r="675">
          <cell r="BA675" t="str">
            <v>.</v>
          </cell>
        </row>
        <row r="676">
          <cell r="BA676" t="str">
            <v>.</v>
          </cell>
        </row>
        <row r="677">
          <cell r="BA677" t="str">
            <v>.</v>
          </cell>
        </row>
        <row r="678">
          <cell r="BA678" t="str">
            <v>.</v>
          </cell>
        </row>
        <row r="679">
          <cell r="BA679" t="str">
            <v>.</v>
          </cell>
        </row>
        <row r="680">
          <cell r="BA680" t="str">
            <v>.</v>
          </cell>
        </row>
        <row r="681">
          <cell r="BA681" t="str">
            <v>.</v>
          </cell>
        </row>
        <row r="682">
          <cell r="BA682" t="str">
            <v>.</v>
          </cell>
        </row>
        <row r="683">
          <cell r="BA683" t="str">
            <v>.</v>
          </cell>
        </row>
        <row r="684">
          <cell r="BA684" t="str">
            <v>.</v>
          </cell>
        </row>
        <row r="685">
          <cell r="BA685" t="str">
            <v>.</v>
          </cell>
        </row>
        <row r="686">
          <cell r="BA686" t="str">
            <v>.</v>
          </cell>
        </row>
        <row r="687">
          <cell r="BA687" t="str">
            <v>.</v>
          </cell>
        </row>
        <row r="688">
          <cell r="BA688" t="str">
            <v>.</v>
          </cell>
        </row>
        <row r="689">
          <cell r="BA689" t="str">
            <v>.</v>
          </cell>
        </row>
        <row r="690">
          <cell r="BA690" t="str">
            <v>.</v>
          </cell>
        </row>
        <row r="691">
          <cell r="BA691" t="str">
            <v>.</v>
          </cell>
        </row>
        <row r="692">
          <cell r="BA692" t="str">
            <v>.</v>
          </cell>
        </row>
        <row r="693">
          <cell r="BA693" t="str">
            <v>.</v>
          </cell>
        </row>
        <row r="694">
          <cell r="BA694" t="str">
            <v>.</v>
          </cell>
        </row>
        <row r="695">
          <cell r="BA695" t="str">
            <v>.</v>
          </cell>
        </row>
        <row r="696">
          <cell r="BA696" t="str">
            <v>.</v>
          </cell>
        </row>
        <row r="697">
          <cell r="BA697" t="str">
            <v>.</v>
          </cell>
        </row>
        <row r="698">
          <cell r="BA698" t="str">
            <v>.</v>
          </cell>
        </row>
        <row r="699">
          <cell r="BA699" t="str">
            <v>.</v>
          </cell>
        </row>
        <row r="700">
          <cell r="BA700" t="str">
            <v>.</v>
          </cell>
        </row>
        <row r="701">
          <cell r="BA701" t="str">
            <v>.</v>
          </cell>
        </row>
        <row r="702">
          <cell r="BA702" t="str">
            <v>.</v>
          </cell>
        </row>
        <row r="703">
          <cell r="BA703" t="str">
            <v>.</v>
          </cell>
        </row>
        <row r="704">
          <cell r="BA704" t="str">
            <v>.</v>
          </cell>
        </row>
        <row r="705">
          <cell r="BA705" t="str">
            <v>.</v>
          </cell>
        </row>
        <row r="706">
          <cell r="BA706" t="str">
            <v>.</v>
          </cell>
        </row>
        <row r="707">
          <cell r="BA707" t="str">
            <v>.</v>
          </cell>
        </row>
        <row r="708">
          <cell r="BA708" t="str">
            <v>.</v>
          </cell>
        </row>
        <row r="709">
          <cell r="BA709" t="str">
            <v>.</v>
          </cell>
        </row>
        <row r="710">
          <cell r="BA710" t="str">
            <v>.</v>
          </cell>
        </row>
        <row r="711">
          <cell r="BA711" t="str">
            <v>.</v>
          </cell>
        </row>
        <row r="712">
          <cell r="BA712" t="str">
            <v>.</v>
          </cell>
        </row>
        <row r="713">
          <cell r="BA713" t="str">
            <v>.</v>
          </cell>
        </row>
        <row r="714">
          <cell r="BA714" t="str">
            <v>.</v>
          </cell>
        </row>
        <row r="715">
          <cell r="BA715" t="str">
            <v>.</v>
          </cell>
        </row>
        <row r="716">
          <cell r="BA716" t="str">
            <v>.</v>
          </cell>
        </row>
        <row r="717">
          <cell r="BA717" t="str">
            <v>.</v>
          </cell>
        </row>
        <row r="718">
          <cell r="BA718" t="str">
            <v>.</v>
          </cell>
        </row>
        <row r="719">
          <cell r="BA719" t="str">
            <v>.</v>
          </cell>
        </row>
        <row r="720">
          <cell r="BA720" t="str">
            <v>.</v>
          </cell>
        </row>
        <row r="721">
          <cell r="BA721" t="str">
            <v>.</v>
          </cell>
        </row>
        <row r="722">
          <cell r="BA722" t="str">
            <v>.</v>
          </cell>
        </row>
        <row r="723">
          <cell r="BA723" t="str">
            <v>.</v>
          </cell>
        </row>
        <row r="724">
          <cell r="BA724" t="str">
            <v>.</v>
          </cell>
        </row>
        <row r="725">
          <cell r="BA725" t="str">
            <v>.</v>
          </cell>
        </row>
        <row r="726">
          <cell r="BA726" t="str">
            <v>.</v>
          </cell>
        </row>
        <row r="727">
          <cell r="BA727" t="str">
            <v>.</v>
          </cell>
        </row>
        <row r="728">
          <cell r="BA728" t="str">
            <v>.</v>
          </cell>
        </row>
        <row r="729">
          <cell r="BA729" t="str">
            <v>.</v>
          </cell>
        </row>
        <row r="730">
          <cell r="BA730" t="str">
            <v>.</v>
          </cell>
        </row>
        <row r="731">
          <cell r="BA731" t="str">
            <v>.</v>
          </cell>
        </row>
        <row r="732">
          <cell r="BA732" t="str">
            <v>.</v>
          </cell>
        </row>
        <row r="733">
          <cell r="BA733" t="str">
            <v>.</v>
          </cell>
        </row>
        <row r="734">
          <cell r="BA734" t="str">
            <v>.</v>
          </cell>
        </row>
        <row r="735">
          <cell r="BA735" t="str">
            <v>.</v>
          </cell>
        </row>
        <row r="736">
          <cell r="BA736" t="str">
            <v>.</v>
          </cell>
        </row>
        <row r="737">
          <cell r="BA737" t="str">
            <v>.</v>
          </cell>
        </row>
        <row r="738">
          <cell r="BA738" t="str">
            <v>.</v>
          </cell>
        </row>
        <row r="739">
          <cell r="BA739" t="str">
            <v>.</v>
          </cell>
        </row>
        <row r="740">
          <cell r="BA740" t="str">
            <v>.</v>
          </cell>
        </row>
        <row r="741">
          <cell r="BA741" t="str">
            <v>.</v>
          </cell>
        </row>
        <row r="742">
          <cell r="BA742" t="str">
            <v>.</v>
          </cell>
        </row>
        <row r="743">
          <cell r="BA743" t="str">
            <v>.</v>
          </cell>
        </row>
        <row r="744">
          <cell r="BA744" t="str">
            <v>.</v>
          </cell>
        </row>
        <row r="745">
          <cell r="BA745" t="str">
            <v>.</v>
          </cell>
        </row>
        <row r="746">
          <cell r="BA746" t="str">
            <v>.</v>
          </cell>
        </row>
        <row r="747">
          <cell r="BA747" t="str">
            <v>.</v>
          </cell>
        </row>
        <row r="748">
          <cell r="BA748" t="str">
            <v>.</v>
          </cell>
        </row>
        <row r="749">
          <cell r="BA749" t="str">
            <v>.</v>
          </cell>
        </row>
        <row r="750">
          <cell r="BA750" t="str">
            <v>.</v>
          </cell>
        </row>
        <row r="751">
          <cell r="BA751" t="str">
            <v>.</v>
          </cell>
        </row>
        <row r="752">
          <cell r="BA752" t="str">
            <v>.</v>
          </cell>
        </row>
        <row r="753">
          <cell r="BA753" t="str">
            <v>.</v>
          </cell>
        </row>
        <row r="754">
          <cell r="BA754" t="str">
            <v>.</v>
          </cell>
        </row>
        <row r="755">
          <cell r="BA755" t="str">
            <v>.</v>
          </cell>
        </row>
        <row r="756">
          <cell r="BA756" t="str">
            <v>.</v>
          </cell>
        </row>
        <row r="757">
          <cell r="BA757" t="str">
            <v>.</v>
          </cell>
        </row>
        <row r="758">
          <cell r="BA758" t="str">
            <v>.</v>
          </cell>
        </row>
        <row r="759">
          <cell r="BA759" t="str">
            <v>.</v>
          </cell>
        </row>
        <row r="760">
          <cell r="BA760" t="str">
            <v>.</v>
          </cell>
        </row>
        <row r="761">
          <cell r="BA761" t="str">
            <v>.</v>
          </cell>
        </row>
        <row r="762">
          <cell r="BA762" t="str">
            <v>.</v>
          </cell>
        </row>
        <row r="763">
          <cell r="BA763" t="str">
            <v>.</v>
          </cell>
        </row>
        <row r="764">
          <cell r="BA764" t="str">
            <v>.</v>
          </cell>
        </row>
        <row r="765">
          <cell r="BA765" t="str">
            <v>.</v>
          </cell>
        </row>
        <row r="766">
          <cell r="BA766" t="str">
            <v>.</v>
          </cell>
        </row>
        <row r="767">
          <cell r="BA767" t="str">
            <v>.</v>
          </cell>
        </row>
        <row r="768">
          <cell r="BA768" t="str">
            <v>.</v>
          </cell>
        </row>
        <row r="769">
          <cell r="BA769" t="str">
            <v>.</v>
          </cell>
        </row>
        <row r="770">
          <cell r="BA770" t="str">
            <v>.</v>
          </cell>
        </row>
        <row r="771">
          <cell r="BA771" t="str">
            <v>.</v>
          </cell>
        </row>
        <row r="772">
          <cell r="BA772" t="str">
            <v>.</v>
          </cell>
        </row>
        <row r="773">
          <cell r="BA773" t="str">
            <v>.</v>
          </cell>
        </row>
        <row r="774">
          <cell r="BA774" t="str">
            <v>.</v>
          </cell>
        </row>
        <row r="775">
          <cell r="BA775" t="str">
            <v>.</v>
          </cell>
        </row>
        <row r="776">
          <cell r="BA776" t="str">
            <v>.</v>
          </cell>
        </row>
        <row r="777">
          <cell r="BA777" t="str">
            <v>.</v>
          </cell>
        </row>
        <row r="778">
          <cell r="BA778" t="str">
            <v>.</v>
          </cell>
        </row>
        <row r="779">
          <cell r="BA779" t="str">
            <v>.</v>
          </cell>
        </row>
        <row r="780">
          <cell r="BA780" t="str">
            <v>.</v>
          </cell>
        </row>
        <row r="781">
          <cell r="BA781" t="str">
            <v>.</v>
          </cell>
        </row>
        <row r="782">
          <cell r="BA782" t="str">
            <v>.</v>
          </cell>
        </row>
        <row r="783">
          <cell r="BA783" t="str">
            <v>.</v>
          </cell>
        </row>
        <row r="784">
          <cell r="BA784" t="str">
            <v>.</v>
          </cell>
        </row>
        <row r="785">
          <cell r="BA785" t="str">
            <v>.</v>
          </cell>
        </row>
        <row r="786">
          <cell r="BA786" t="str">
            <v>.</v>
          </cell>
        </row>
        <row r="787">
          <cell r="BA787" t="str">
            <v>.</v>
          </cell>
        </row>
        <row r="788">
          <cell r="BA788" t="str">
            <v>.</v>
          </cell>
        </row>
        <row r="789">
          <cell r="BA789" t="str">
            <v>.</v>
          </cell>
        </row>
        <row r="790">
          <cell r="BA790" t="str">
            <v>.</v>
          </cell>
        </row>
        <row r="791">
          <cell r="BA791" t="str">
            <v>.</v>
          </cell>
        </row>
        <row r="792">
          <cell r="BA792" t="str">
            <v>.</v>
          </cell>
        </row>
        <row r="793">
          <cell r="BA793" t="str">
            <v>.</v>
          </cell>
        </row>
        <row r="794">
          <cell r="BA794" t="str">
            <v>.</v>
          </cell>
        </row>
        <row r="795">
          <cell r="BA795" t="str">
            <v>.</v>
          </cell>
        </row>
        <row r="796">
          <cell r="BA796" t="str">
            <v>.</v>
          </cell>
        </row>
        <row r="797">
          <cell r="BA797" t="str">
            <v>.</v>
          </cell>
        </row>
        <row r="798">
          <cell r="BA798" t="str">
            <v>.</v>
          </cell>
        </row>
        <row r="799">
          <cell r="BA799" t="str">
            <v>.</v>
          </cell>
        </row>
        <row r="800">
          <cell r="BA800" t="str">
            <v>.</v>
          </cell>
        </row>
        <row r="801">
          <cell r="BA801" t="str">
            <v>.</v>
          </cell>
        </row>
        <row r="802">
          <cell r="BA802" t="str">
            <v>.</v>
          </cell>
        </row>
        <row r="803">
          <cell r="BA803" t="str">
            <v>.</v>
          </cell>
        </row>
        <row r="804">
          <cell r="BA804" t="str">
            <v>.</v>
          </cell>
        </row>
        <row r="805">
          <cell r="BA805" t="str">
            <v>.</v>
          </cell>
        </row>
        <row r="806">
          <cell r="BA806" t="str">
            <v>.</v>
          </cell>
        </row>
        <row r="807">
          <cell r="BA807" t="str">
            <v>.</v>
          </cell>
        </row>
        <row r="808">
          <cell r="BA808" t="str">
            <v>.</v>
          </cell>
        </row>
        <row r="809">
          <cell r="BA809" t="str">
            <v>.</v>
          </cell>
        </row>
        <row r="810">
          <cell r="BA810" t="str">
            <v>.</v>
          </cell>
        </row>
        <row r="811">
          <cell r="BA811" t="str">
            <v>.</v>
          </cell>
        </row>
        <row r="812">
          <cell r="BA812" t="str">
            <v>.</v>
          </cell>
        </row>
        <row r="813">
          <cell r="BA813" t="str">
            <v>.</v>
          </cell>
        </row>
        <row r="814">
          <cell r="BA814" t="str">
            <v>.</v>
          </cell>
        </row>
        <row r="815">
          <cell r="BA815" t="str">
            <v>.</v>
          </cell>
        </row>
        <row r="816">
          <cell r="BA816" t="str">
            <v>.</v>
          </cell>
        </row>
        <row r="817">
          <cell r="BA817" t="str">
            <v>.</v>
          </cell>
        </row>
        <row r="818">
          <cell r="BA818" t="str">
            <v>.</v>
          </cell>
        </row>
        <row r="819">
          <cell r="BA819" t="str">
            <v>.</v>
          </cell>
        </row>
        <row r="820">
          <cell r="BA820" t="str">
            <v>.</v>
          </cell>
        </row>
        <row r="821">
          <cell r="BA821" t="str">
            <v>.</v>
          </cell>
        </row>
        <row r="822">
          <cell r="BA822" t="str">
            <v>.</v>
          </cell>
        </row>
        <row r="823">
          <cell r="BA823" t="str">
            <v>.</v>
          </cell>
        </row>
        <row r="824">
          <cell r="BA824" t="str">
            <v>.</v>
          </cell>
        </row>
        <row r="825">
          <cell r="BA825" t="str">
            <v>.</v>
          </cell>
        </row>
        <row r="826">
          <cell r="BA826" t="str">
            <v>.</v>
          </cell>
        </row>
        <row r="827">
          <cell r="BA827" t="str">
            <v>.</v>
          </cell>
        </row>
        <row r="828">
          <cell r="BA828" t="str">
            <v>.</v>
          </cell>
        </row>
        <row r="829">
          <cell r="BA829" t="str">
            <v>.</v>
          </cell>
        </row>
        <row r="830">
          <cell r="BA830" t="str">
            <v>.</v>
          </cell>
        </row>
        <row r="831">
          <cell r="BA831" t="str">
            <v>.</v>
          </cell>
        </row>
        <row r="832">
          <cell r="BA832" t="str">
            <v>.</v>
          </cell>
        </row>
        <row r="833">
          <cell r="BA833" t="str">
            <v>.</v>
          </cell>
        </row>
        <row r="834">
          <cell r="BA834" t="str">
            <v>.</v>
          </cell>
        </row>
        <row r="835">
          <cell r="BA835" t="str">
            <v>.</v>
          </cell>
        </row>
        <row r="836">
          <cell r="BA836" t="str">
            <v>.</v>
          </cell>
        </row>
        <row r="837">
          <cell r="BA837" t="str">
            <v>.</v>
          </cell>
        </row>
        <row r="838">
          <cell r="BA838" t="str">
            <v>.</v>
          </cell>
        </row>
        <row r="839">
          <cell r="BA839" t="str">
            <v>.</v>
          </cell>
        </row>
        <row r="840">
          <cell r="BA840" t="str">
            <v>.</v>
          </cell>
        </row>
        <row r="841">
          <cell r="BA841" t="str">
            <v>.</v>
          </cell>
        </row>
        <row r="842">
          <cell r="BA842" t="str">
            <v>.</v>
          </cell>
        </row>
        <row r="843">
          <cell r="BA843" t="str">
            <v>.</v>
          </cell>
        </row>
        <row r="844">
          <cell r="BA844" t="str">
            <v>.</v>
          </cell>
        </row>
        <row r="845">
          <cell r="BA845" t="str">
            <v>.</v>
          </cell>
        </row>
        <row r="846">
          <cell r="BA846" t="str">
            <v>.</v>
          </cell>
        </row>
        <row r="847">
          <cell r="BA847" t="str">
            <v>.</v>
          </cell>
        </row>
        <row r="848">
          <cell r="BA848" t="str">
            <v>.</v>
          </cell>
        </row>
        <row r="849">
          <cell r="BA849" t="str">
            <v>.</v>
          </cell>
        </row>
        <row r="850">
          <cell r="BA850" t="str">
            <v>.</v>
          </cell>
        </row>
        <row r="851">
          <cell r="BA851" t="str">
            <v>.</v>
          </cell>
        </row>
        <row r="852">
          <cell r="BA852" t="str">
            <v>.</v>
          </cell>
        </row>
        <row r="853">
          <cell r="BA853" t="str">
            <v>.</v>
          </cell>
        </row>
        <row r="854">
          <cell r="BA854" t="str">
            <v>.</v>
          </cell>
        </row>
        <row r="855">
          <cell r="BA855" t="str">
            <v>.</v>
          </cell>
        </row>
        <row r="856">
          <cell r="BA856" t="str">
            <v>.</v>
          </cell>
        </row>
        <row r="857">
          <cell r="BA857" t="str">
            <v>.</v>
          </cell>
        </row>
        <row r="858">
          <cell r="BA858" t="str">
            <v>.</v>
          </cell>
        </row>
        <row r="859">
          <cell r="BA859" t="str">
            <v>.</v>
          </cell>
        </row>
        <row r="860">
          <cell r="BA860" t="str">
            <v>.</v>
          </cell>
        </row>
        <row r="861">
          <cell r="BA861" t="str">
            <v>.</v>
          </cell>
        </row>
        <row r="862">
          <cell r="BA862" t="str">
            <v>.</v>
          </cell>
        </row>
        <row r="863">
          <cell r="BA863" t="str">
            <v>.</v>
          </cell>
        </row>
        <row r="864">
          <cell r="BA864" t="str">
            <v>.</v>
          </cell>
        </row>
        <row r="865">
          <cell r="BA865" t="str">
            <v>.</v>
          </cell>
        </row>
        <row r="866">
          <cell r="BA866" t="str">
            <v>.</v>
          </cell>
        </row>
        <row r="867">
          <cell r="BA867" t="str">
            <v>.</v>
          </cell>
        </row>
        <row r="868">
          <cell r="BA868" t="str">
            <v>.</v>
          </cell>
        </row>
        <row r="869">
          <cell r="BA869" t="str">
            <v>.</v>
          </cell>
        </row>
        <row r="870">
          <cell r="BA870" t="str">
            <v>.</v>
          </cell>
        </row>
        <row r="871">
          <cell r="BA871" t="str">
            <v>.</v>
          </cell>
        </row>
        <row r="872">
          <cell r="BA872" t="str">
            <v>.</v>
          </cell>
        </row>
        <row r="873">
          <cell r="BA873" t="str">
            <v>.</v>
          </cell>
        </row>
        <row r="874">
          <cell r="BA874" t="str">
            <v>.</v>
          </cell>
        </row>
        <row r="875">
          <cell r="BA875" t="str">
            <v>.</v>
          </cell>
        </row>
        <row r="876">
          <cell r="BA876" t="str">
            <v>.</v>
          </cell>
        </row>
        <row r="877">
          <cell r="BA877" t="str">
            <v>.</v>
          </cell>
        </row>
        <row r="878">
          <cell r="BA878" t="str">
            <v>.</v>
          </cell>
        </row>
        <row r="879">
          <cell r="BA879" t="str">
            <v>.</v>
          </cell>
        </row>
        <row r="880">
          <cell r="BA880" t="str">
            <v>.</v>
          </cell>
        </row>
        <row r="881">
          <cell r="BA881" t="str">
            <v>.</v>
          </cell>
        </row>
        <row r="882">
          <cell r="BA882" t="str">
            <v>.</v>
          </cell>
        </row>
        <row r="883">
          <cell r="BA883" t="str">
            <v>.</v>
          </cell>
        </row>
        <row r="884">
          <cell r="BA884" t="str">
            <v>.</v>
          </cell>
        </row>
        <row r="885">
          <cell r="BA885" t="str">
            <v>.</v>
          </cell>
        </row>
        <row r="886">
          <cell r="BA886" t="str">
            <v>.</v>
          </cell>
        </row>
        <row r="887">
          <cell r="BA887" t="str">
            <v>.</v>
          </cell>
        </row>
        <row r="888">
          <cell r="BA888" t="str">
            <v>.</v>
          </cell>
        </row>
        <row r="889">
          <cell r="BA889" t="str">
            <v>.</v>
          </cell>
        </row>
        <row r="890">
          <cell r="BA890" t="str">
            <v>.</v>
          </cell>
        </row>
        <row r="891">
          <cell r="BA891" t="str">
            <v>.</v>
          </cell>
        </row>
        <row r="892">
          <cell r="BA892" t="str">
            <v>.</v>
          </cell>
        </row>
        <row r="893">
          <cell r="BA893" t="str">
            <v>.</v>
          </cell>
        </row>
        <row r="894">
          <cell r="BA894" t="str">
            <v>.</v>
          </cell>
        </row>
        <row r="895">
          <cell r="BA895" t="str">
            <v>.</v>
          </cell>
        </row>
        <row r="896">
          <cell r="BA896" t="str">
            <v>.</v>
          </cell>
        </row>
        <row r="897">
          <cell r="BA897" t="str">
            <v>.</v>
          </cell>
        </row>
        <row r="898">
          <cell r="BA898" t="str">
            <v>.</v>
          </cell>
        </row>
        <row r="899">
          <cell r="BA899" t="str">
            <v>.</v>
          </cell>
        </row>
        <row r="900">
          <cell r="BA900" t="str">
            <v>.</v>
          </cell>
        </row>
        <row r="901">
          <cell r="BA901" t="str">
            <v>.</v>
          </cell>
        </row>
        <row r="902">
          <cell r="BA902" t="str">
            <v>.</v>
          </cell>
        </row>
        <row r="903">
          <cell r="BA903" t="str">
            <v>.</v>
          </cell>
        </row>
        <row r="904">
          <cell r="BA904" t="str">
            <v>.</v>
          </cell>
        </row>
        <row r="905">
          <cell r="BA905" t="str">
            <v>.</v>
          </cell>
        </row>
        <row r="906">
          <cell r="BA906" t="str">
            <v>.</v>
          </cell>
        </row>
        <row r="907">
          <cell r="BA907" t="str">
            <v>.</v>
          </cell>
        </row>
        <row r="908">
          <cell r="BA908" t="str">
            <v>.</v>
          </cell>
        </row>
        <row r="909">
          <cell r="BA909" t="str">
            <v>.</v>
          </cell>
        </row>
        <row r="910">
          <cell r="BA910" t="str">
            <v>.</v>
          </cell>
        </row>
        <row r="911">
          <cell r="BA911" t="str">
            <v>.</v>
          </cell>
        </row>
        <row r="912">
          <cell r="BA912" t="str">
            <v>.</v>
          </cell>
        </row>
        <row r="913">
          <cell r="BA913" t="str">
            <v>.</v>
          </cell>
        </row>
        <row r="914">
          <cell r="BA914" t="str">
            <v>.</v>
          </cell>
        </row>
        <row r="915">
          <cell r="BA915" t="str">
            <v>.</v>
          </cell>
        </row>
        <row r="916">
          <cell r="BA916" t="str">
            <v>.</v>
          </cell>
        </row>
        <row r="917">
          <cell r="BA917" t="str">
            <v>.</v>
          </cell>
        </row>
        <row r="918">
          <cell r="BA918" t="str">
            <v>.</v>
          </cell>
        </row>
        <row r="919">
          <cell r="BA919" t="str">
            <v>.</v>
          </cell>
        </row>
        <row r="920">
          <cell r="BA920" t="str">
            <v>.</v>
          </cell>
        </row>
        <row r="921">
          <cell r="BA921" t="str">
            <v>.</v>
          </cell>
        </row>
        <row r="922">
          <cell r="BA922" t="str">
            <v>.</v>
          </cell>
        </row>
        <row r="923">
          <cell r="BA923" t="str">
            <v>.</v>
          </cell>
        </row>
        <row r="924">
          <cell r="BA924" t="str">
            <v>.</v>
          </cell>
        </row>
        <row r="925">
          <cell r="BA925" t="str">
            <v>.</v>
          </cell>
        </row>
        <row r="926">
          <cell r="BA926" t="str">
            <v>.</v>
          </cell>
        </row>
        <row r="927">
          <cell r="BA927" t="str">
            <v>.</v>
          </cell>
        </row>
        <row r="928">
          <cell r="BA928" t="str">
            <v>.</v>
          </cell>
        </row>
        <row r="929">
          <cell r="BA929" t="str">
            <v>.</v>
          </cell>
        </row>
        <row r="930">
          <cell r="BA930" t="str">
            <v>.</v>
          </cell>
        </row>
        <row r="931">
          <cell r="BA931" t="str">
            <v>.</v>
          </cell>
        </row>
        <row r="932">
          <cell r="BA932" t="str">
            <v>.</v>
          </cell>
        </row>
        <row r="933">
          <cell r="BA933" t="str">
            <v>.</v>
          </cell>
        </row>
        <row r="934">
          <cell r="BA934" t="str">
            <v>.</v>
          </cell>
        </row>
        <row r="935">
          <cell r="BA935" t="str">
            <v>.</v>
          </cell>
        </row>
        <row r="936">
          <cell r="BA936" t="str">
            <v>.</v>
          </cell>
        </row>
        <row r="937">
          <cell r="BA937" t="str">
            <v>.</v>
          </cell>
        </row>
        <row r="938">
          <cell r="BA938" t="str">
            <v>.</v>
          </cell>
        </row>
        <row r="939">
          <cell r="BA939" t="str">
            <v>.</v>
          </cell>
        </row>
        <row r="940">
          <cell r="BA940" t="str">
            <v>.</v>
          </cell>
        </row>
        <row r="941">
          <cell r="BA941" t="str">
            <v>.</v>
          </cell>
        </row>
        <row r="942">
          <cell r="BA942" t="str">
            <v>.</v>
          </cell>
        </row>
        <row r="943">
          <cell r="BA943" t="str">
            <v>.</v>
          </cell>
        </row>
        <row r="944">
          <cell r="BA944" t="str">
            <v>.</v>
          </cell>
        </row>
        <row r="945">
          <cell r="BA945" t="str">
            <v>.</v>
          </cell>
        </row>
        <row r="946">
          <cell r="BA946" t="str">
            <v>.</v>
          </cell>
        </row>
        <row r="947">
          <cell r="BA947" t="str">
            <v>.</v>
          </cell>
        </row>
        <row r="948">
          <cell r="BA948" t="str">
            <v>.</v>
          </cell>
        </row>
        <row r="949">
          <cell r="BA949" t="str">
            <v>.</v>
          </cell>
        </row>
        <row r="950">
          <cell r="BA950" t="str">
            <v>.</v>
          </cell>
        </row>
        <row r="951">
          <cell r="BA951" t="str">
            <v>.</v>
          </cell>
        </row>
        <row r="952">
          <cell r="BA952" t="str">
            <v>.</v>
          </cell>
        </row>
        <row r="953">
          <cell r="BA953" t="str">
            <v>.</v>
          </cell>
        </row>
        <row r="954">
          <cell r="BA954" t="str">
            <v>.</v>
          </cell>
        </row>
        <row r="955">
          <cell r="BA955" t="str">
            <v>.</v>
          </cell>
        </row>
        <row r="956">
          <cell r="BA956" t="str">
            <v>.</v>
          </cell>
        </row>
        <row r="957">
          <cell r="BA957" t="str">
            <v>.</v>
          </cell>
        </row>
        <row r="958">
          <cell r="BA958" t="str">
            <v>.</v>
          </cell>
        </row>
        <row r="959">
          <cell r="BA959" t="str">
            <v>.</v>
          </cell>
        </row>
        <row r="960">
          <cell r="BA960" t="str">
            <v>.</v>
          </cell>
        </row>
        <row r="961">
          <cell r="BA961" t="str">
            <v>.</v>
          </cell>
        </row>
        <row r="962">
          <cell r="BA962" t="str">
            <v>.</v>
          </cell>
        </row>
        <row r="963">
          <cell r="BA963" t="str">
            <v>.</v>
          </cell>
        </row>
        <row r="964">
          <cell r="BA964" t="str">
            <v>.</v>
          </cell>
        </row>
        <row r="965">
          <cell r="BA965" t="str">
            <v>.</v>
          </cell>
        </row>
        <row r="966">
          <cell r="BA966" t="str">
            <v>.</v>
          </cell>
        </row>
        <row r="967">
          <cell r="BA967" t="str">
            <v>.</v>
          </cell>
        </row>
        <row r="968">
          <cell r="BA968" t="str">
            <v>.</v>
          </cell>
        </row>
        <row r="969">
          <cell r="BA969" t="str">
            <v>.</v>
          </cell>
        </row>
        <row r="970">
          <cell r="BA970" t="str">
            <v>.</v>
          </cell>
        </row>
        <row r="971">
          <cell r="BA971" t="str">
            <v>.</v>
          </cell>
        </row>
        <row r="972">
          <cell r="BA972" t="str">
            <v>.</v>
          </cell>
        </row>
        <row r="973">
          <cell r="BA973" t="str">
            <v>.</v>
          </cell>
        </row>
        <row r="974">
          <cell r="BA974" t="str">
            <v>.</v>
          </cell>
        </row>
        <row r="975">
          <cell r="BA975" t="str">
            <v>.</v>
          </cell>
        </row>
        <row r="976">
          <cell r="BA976" t="str">
            <v>.</v>
          </cell>
        </row>
        <row r="977">
          <cell r="BA977" t="str">
            <v>.</v>
          </cell>
        </row>
        <row r="978">
          <cell r="BA978" t="str">
            <v>.</v>
          </cell>
        </row>
        <row r="979">
          <cell r="BA979" t="str">
            <v>.</v>
          </cell>
        </row>
        <row r="980">
          <cell r="BA980" t="str">
            <v>.</v>
          </cell>
        </row>
        <row r="981">
          <cell r="BA981" t="str">
            <v>.</v>
          </cell>
        </row>
        <row r="982">
          <cell r="BA982" t="str">
            <v>.</v>
          </cell>
        </row>
        <row r="983">
          <cell r="BA983" t="str">
            <v>.</v>
          </cell>
        </row>
        <row r="984">
          <cell r="BA984" t="str">
            <v>.</v>
          </cell>
        </row>
        <row r="985">
          <cell r="BA985" t="str">
            <v>.</v>
          </cell>
        </row>
        <row r="986">
          <cell r="BA986" t="str">
            <v>.</v>
          </cell>
        </row>
        <row r="987">
          <cell r="BA987" t="str">
            <v>.</v>
          </cell>
        </row>
        <row r="988">
          <cell r="BA988" t="str">
            <v>.</v>
          </cell>
        </row>
        <row r="989">
          <cell r="BA989" t="str">
            <v>.</v>
          </cell>
        </row>
        <row r="990">
          <cell r="BA990" t="str">
            <v>.</v>
          </cell>
        </row>
        <row r="991">
          <cell r="BA991" t="str">
            <v>.</v>
          </cell>
        </row>
        <row r="992">
          <cell r="BA992" t="str">
            <v>.</v>
          </cell>
        </row>
        <row r="993">
          <cell r="BA993" t="str">
            <v>.</v>
          </cell>
        </row>
        <row r="994">
          <cell r="BA994" t="str">
            <v>.</v>
          </cell>
        </row>
        <row r="995">
          <cell r="BA995" t="str">
            <v>.</v>
          </cell>
        </row>
        <row r="996">
          <cell r="BA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H997" t="str">
            <v>.</v>
          </cell>
          <cell r="S997" t="str">
            <v>.</v>
          </cell>
          <cell r="T997" t="str">
            <v>.</v>
          </cell>
          <cell r="U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 contribution analysis"/>
      <sheetName val="rev change analysis"/>
      <sheetName val="2015 rev change"/>
      <sheetName val="2015 biopharma rev change"/>
      <sheetName val="margins"/>
    </sheetNames>
    <sheetDataSet>
      <sheetData sheetId="0"/>
      <sheetData sheetId="1">
        <row r="1">
          <cell r="R1" t="str">
            <v>SmartCharts</v>
          </cell>
          <cell r="BA1" t="str">
            <v>.</v>
          </cell>
        </row>
        <row r="2">
          <cell r="BA2" t="str">
            <v>.</v>
          </cell>
        </row>
        <row r="3">
          <cell r="BA3" t="str">
            <v>.</v>
          </cell>
        </row>
        <row r="4">
          <cell r="BA4" t="str">
            <v>.</v>
          </cell>
        </row>
        <row r="5">
          <cell r="C5" t="str">
            <v>Define value axis here:</v>
          </cell>
        </row>
        <row r="6">
          <cell r="C6" t="str">
            <v>Bristol-Myers Squibb YOY revenue change 2010E-2015E</v>
          </cell>
        </row>
        <row r="10">
          <cell r="C10" t="str">
            <v>Input your data here:</v>
          </cell>
          <cell r="BA10" t="str">
            <v>.</v>
          </cell>
        </row>
        <row r="11">
          <cell r="C11" t="str">
            <v>Sales ($M)</v>
          </cell>
          <cell r="D11" t="str">
            <v>2011E</v>
          </cell>
          <cell r="E11" t="str">
            <v>2012E</v>
          </cell>
          <cell r="F11" t="str">
            <v>2013E</v>
          </cell>
          <cell r="G11" t="str">
            <v>2014E</v>
          </cell>
          <cell r="H11" t="str">
            <v>2015E</v>
          </cell>
          <cell r="BA11" t="str">
            <v>.</v>
          </cell>
        </row>
        <row r="12">
          <cell r="C12" t="str">
            <v>In-line products</v>
          </cell>
          <cell r="D12">
            <v>428.20430499999929</v>
          </cell>
          <cell r="E12">
            <v>406.00087174999862</v>
          </cell>
          <cell r="F12">
            <v>379.77037045850375</v>
          </cell>
          <cell r="G12">
            <v>349.04459650893114</v>
          </cell>
          <cell r="H12">
            <v>290.7973990176979</v>
          </cell>
          <cell r="BA12" t="str">
            <v>.</v>
          </cell>
        </row>
        <row r="13">
          <cell r="C13" t="str">
            <v>Pipeline products launching 2010–2015</v>
          </cell>
          <cell r="D13">
            <v>509.8125</v>
          </cell>
          <cell r="E13">
            <v>791.0775000000001</v>
          </cell>
          <cell r="F13">
            <v>1302.57</v>
          </cell>
          <cell r="G13">
            <v>1653.0442999999996</v>
          </cell>
          <cell r="H13">
            <v>1227.8117000000011</v>
          </cell>
          <cell r="BA13" t="str">
            <v>.</v>
          </cell>
        </row>
        <row r="14">
          <cell r="C14" t="str">
            <v>Products expiring 2010–2015</v>
          </cell>
          <cell r="D14">
            <v>170.7135303846153</v>
          </cell>
          <cell r="E14">
            <v>-3013.0544055538448</v>
          </cell>
          <cell r="F14">
            <v>-3358.1474564076934</v>
          </cell>
          <cell r="G14">
            <v>-1309.0957018979234</v>
          </cell>
          <cell r="H14">
            <v>-2226.5059205538264</v>
          </cell>
          <cell r="BA14" t="str">
            <v>.</v>
          </cell>
        </row>
        <row r="15">
          <cell r="C15" t="str">
            <v>Biopharmaceuticals net YOY change</v>
          </cell>
          <cell r="D15">
            <v>1108.7303353846146</v>
          </cell>
          <cell r="E15">
            <v>-1815.9760338038468</v>
          </cell>
          <cell r="F15">
            <v>-1675.8070859491891</v>
          </cell>
          <cell r="G15">
            <v>692.99319461100822</v>
          </cell>
          <cell r="H15">
            <v>-707.89682153612739</v>
          </cell>
          <cell r="BA15" t="str">
            <v>.</v>
          </cell>
        </row>
        <row r="16">
          <cell r="C16" t="str">
            <v>Mead Johnson YOY change</v>
          </cell>
          <cell r="D16">
            <v>214.20896000000039</v>
          </cell>
          <cell r="E16">
            <v>221.85658040000044</v>
          </cell>
          <cell r="F16">
            <v>215.35684153200009</v>
          </cell>
          <cell r="G16">
            <v>204.1549097092402</v>
          </cell>
          <cell r="H16">
            <v>188.16653348492491</v>
          </cell>
          <cell r="BA16" t="str">
            <v>.</v>
          </cell>
        </row>
        <row r="17">
          <cell r="C17" t="str">
            <v>Total YOY change</v>
          </cell>
          <cell r="D17">
            <v>1322.9392953846145</v>
          </cell>
          <cell r="E17">
            <v>-1594.1194534038477</v>
          </cell>
          <cell r="F17">
            <v>-1460.4502444171885</v>
          </cell>
          <cell r="G17">
            <v>897.14810432025115</v>
          </cell>
          <cell r="H17">
            <v>-519.73028805120339</v>
          </cell>
          <cell r="BA17" t="str">
            <v>.</v>
          </cell>
        </row>
        <row r="18">
          <cell r="BA18" t="str">
            <v>.</v>
          </cell>
        </row>
        <row r="20">
          <cell r="BA20" t="str">
            <v>.</v>
          </cell>
        </row>
        <row r="21">
          <cell r="BA21" t="str">
            <v>.</v>
          </cell>
        </row>
        <row r="22">
          <cell r="BA22" t="str">
            <v>.</v>
          </cell>
        </row>
        <row r="23">
          <cell r="BA23" t="str">
            <v>.</v>
          </cell>
        </row>
        <row r="24">
          <cell r="BA24" t="str">
            <v>.</v>
          </cell>
        </row>
        <row r="25">
          <cell r="BA25" t="str">
            <v>.</v>
          </cell>
        </row>
        <row r="26">
          <cell r="BA26" t="str">
            <v>.</v>
          </cell>
        </row>
        <row r="27">
          <cell r="BA27" t="str">
            <v>.</v>
          </cell>
        </row>
        <row r="28">
          <cell r="BA28" t="str">
            <v>.</v>
          </cell>
        </row>
        <row r="29">
          <cell r="BA29" t="str">
            <v>.</v>
          </cell>
        </row>
        <row r="30">
          <cell r="BA30" t="str">
            <v>.</v>
          </cell>
        </row>
        <row r="31">
          <cell r="BA31" t="str">
            <v>.</v>
          </cell>
        </row>
        <row r="32">
          <cell r="BA32" t="str">
            <v>.</v>
          </cell>
        </row>
        <row r="33">
          <cell r="BA33" t="str">
            <v>.</v>
          </cell>
        </row>
        <row r="34">
          <cell r="BA34" t="str">
            <v>.</v>
          </cell>
        </row>
        <row r="35">
          <cell r="J35" t="str">
            <v>Do not change the width of the exhibit or font sizes (they are optimized for export to Word).</v>
          </cell>
          <cell r="BA35" t="str">
            <v>.</v>
          </cell>
        </row>
        <row r="36">
          <cell r="BA36" t="str">
            <v>.</v>
          </cell>
        </row>
        <row r="37">
          <cell r="J37" t="str">
            <v>Do not delete any rows or columns (some gray cells are used for calculations).</v>
          </cell>
          <cell r="BA37" t="str">
            <v>.</v>
          </cell>
        </row>
        <row r="38">
          <cell r="BA38" t="str">
            <v>.</v>
          </cell>
        </row>
        <row r="39">
          <cell r="BA39" t="str">
            <v>.</v>
          </cell>
        </row>
        <row r="40">
          <cell r="BA40" t="str">
            <v>.</v>
          </cell>
        </row>
        <row r="41">
          <cell r="BA41" t="str">
            <v>.</v>
          </cell>
        </row>
        <row r="42">
          <cell r="BA42" t="str">
            <v>.</v>
          </cell>
        </row>
        <row r="43">
          <cell r="BA43" t="str">
            <v>.</v>
          </cell>
        </row>
        <row r="44">
          <cell r="BA44" t="str">
            <v>.</v>
          </cell>
        </row>
        <row r="45">
          <cell r="BA45" t="str">
            <v>.</v>
          </cell>
        </row>
        <row r="46">
          <cell r="BA46" t="str">
            <v>.</v>
          </cell>
        </row>
        <row r="47">
          <cell r="BA47" t="str">
            <v>.</v>
          </cell>
        </row>
        <row r="48">
          <cell r="BA48" t="str">
            <v>.</v>
          </cell>
        </row>
        <row r="49">
          <cell r="BA49" t="str">
            <v>.</v>
          </cell>
        </row>
        <row r="50">
          <cell r="BA50" t="str">
            <v>.</v>
          </cell>
        </row>
        <row r="51">
          <cell r="BA51" t="str">
            <v>.</v>
          </cell>
        </row>
        <row r="52">
          <cell r="BA52" t="str">
            <v>.</v>
          </cell>
        </row>
        <row r="53">
          <cell r="BA53" t="str">
            <v>.</v>
          </cell>
        </row>
        <row r="54">
          <cell r="BA54" t="str">
            <v>.</v>
          </cell>
        </row>
        <row r="55">
          <cell r="BA55" t="str">
            <v>.</v>
          </cell>
        </row>
        <row r="56">
          <cell r="BA56" t="str">
            <v>.</v>
          </cell>
        </row>
        <row r="57">
          <cell r="BA57" t="str">
            <v>.</v>
          </cell>
        </row>
        <row r="58">
          <cell r="BA58" t="str">
            <v>.</v>
          </cell>
        </row>
        <row r="59">
          <cell r="BA59" t="str">
            <v>.</v>
          </cell>
        </row>
        <row r="60">
          <cell r="BA60" t="str">
            <v>.</v>
          </cell>
        </row>
        <row r="61">
          <cell r="BA61" t="str">
            <v>.</v>
          </cell>
        </row>
        <row r="62">
          <cell r="BA62" t="str">
            <v>.</v>
          </cell>
        </row>
        <row r="63">
          <cell r="BA63" t="str">
            <v>.</v>
          </cell>
        </row>
        <row r="64">
          <cell r="BA64" t="str">
            <v>.</v>
          </cell>
        </row>
        <row r="65">
          <cell r="BA65" t="str">
            <v>.</v>
          </cell>
        </row>
        <row r="66">
          <cell r="BA66" t="str">
            <v>.</v>
          </cell>
        </row>
        <row r="67">
          <cell r="BA67" t="str">
            <v>.</v>
          </cell>
        </row>
        <row r="68">
          <cell r="BA68" t="str">
            <v>.</v>
          </cell>
        </row>
        <row r="69">
          <cell r="BA69" t="str">
            <v>.</v>
          </cell>
        </row>
        <row r="70">
          <cell r="BA70" t="str">
            <v>.</v>
          </cell>
        </row>
        <row r="71">
          <cell r="BA71" t="str">
            <v>.</v>
          </cell>
        </row>
        <row r="72">
          <cell r="BA72" t="str">
            <v>.</v>
          </cell>
        </row>
        <row r="73">
          <cell r="BA73" t="str">
            <v>.</v>
          </cell>
        </row>
        <row r="74">
          <cell r="BA74" t="str">
            <v>.</v>
          </cell>
        </row>
        <row r="75">
          <cell r="BA75" t="str">
            <v>.</v>
          </cell>
        </row>
        <row r="76">
          <cell r="BA76" t="str">
            <v>.</v>
          </cell>
        </row>
        <row r="77">
          <cell r="BA77" t="str">
            <v>.</v>
          </cell>
        </row>
        <row r="78">
          <cell r="BA78" t="str">
            <v>.</v>
          </cell>
        </row>
        <row r="79">
          <cell r="BA79" t="str">
            <v>.</v>
          </cell>
        </row>
        <row r="80">
          <cell r="BA80" t="str">
            <v>.</v>
          </cell>
        </row>
        <row r="81">
          <cell r="BA81" t="str">
            <v>.</v>
          </cell>
        </row>
        <row r="82">
          <cell r="BA82" t="str">
            <v>.</v>
          </cell>
        </row>
        <row r="83">
          <cell r="BA83" t="str">
            <v>.</v>
          </cell>
        </row>
        <row r="84">
          <cell r="BA84" t="str">
            <v>.</v>
          </cell>
        </row>
        <row r="85">
          <cell r="BA85" t="str">
            <v>.</v>
          </cell>
        </row>
        <row r="86">
          <cell r="BA86" t="str">
            <v>.</v>
          </cell>
        </row>
        <row r="87">
          <cell r="BA87" t="str">
            <v>.</v>
          </cell>
        </row>
        <row r="88">
          <cell r="BA88" t="str">
            <v>.</v>
          </cell>
        </row>
        <row r="89">
          <cell r="BA89" t="str">
            <v>.</v>
          </cell>
        </row>
        <row r="90">
          <cell r="BA90" t="str">
            <v>.</v>
          </cell>
        </row>
        <row r="91">
          <cell r="BA91" t="str">
            <v>.</v>
          </cell>
        </row>
        <row r="92">
          <cell r="BA92" t="str">
            <v>.</v>
          </cell>
        </row>
        <row r="93">
          <cell r="BA93" t="str">
            <v>.</v>
          </cell>
        </row>
        <row r="94">
          <cell r="BA94" t="str">
            <v>.</v>
          </cell>
        </row>
        <row r="95">
          <cell r="BA95" t="str">
            <v>.</v>
          </cell>
        </row>
        <row r="96">
          <cell r="BA96" t="str">
            <v>.</v>
          </cell>
        </row>
        <row r="97">
          <cell r="BA97" t="str">
            <v>.</v>
          </cell>
        </row>
        <row r="98">
          <cell r="BA98" t="str">
            <v>.</v>
          </cell>
        </row>
        <row r="99">
          <cell r="BA99" t="str">
            <v>.</v>
          </cell>
        </row>
        <row r="100">
          <cell r="BA100" t="str">
            <v>.</v>
          </cell>
        </row>
        <row r="101">
          <cell r="BA101" t="str">
            <v>.</v>
          </cell>
        </row>
        <row r="102">
          <cell r="BA102" t="str">
            <v>.</v>
          </cell>
        </row>
        <row r="103">
          <cell r="BA103" t="str">
            <v>.</v>
          </cell>
        </row>
        <row r="104">
          <cell r="BA104" t="str">
            <v>.</v>
          </cell>
        </row>
        <row r="105">
          <cell r="BA105" t="str">
            <v>.</v>
          </cell>
        </row>
        <row r="106">
          <cell r="BA106" t="str">
            <v>.</v>
          </cell>
        </row>
        <row r="107">
          <cell r="BA107" t="str">
            <v>.</v>
          </cell>
        </row>
        <row r="108">
          <cell r="BA108" t="str">
            <v>.</v>
          </cell>
        </row>
        <row r="109">
          <cell r="BA109" t="str">
            <v>.</v>
          </cell>
        </row>
        <row r="110">
          <cell r="BA110" t="str">
            <v>.</v>
          </cell>
        </row>
        <row r="111">
          <cell r="BA111" t="str">
            <v>.</v>
          </cell>
        </row>
        <row r="112">
          <cell r="BA112" t="str">
            <v>.</v>
          </cell>
        </row>
        <row r="113">
          <cell r="BA113" t="str">
            <v>.</v>
          </cell>
        </row>
        <row r="114">
          <cell r="BA114" t="str">
            <v>.</v>
          </cell>
        </row>
        <row r="115">
          <cell r="BA115" t="str">
            <v>.</v>
          </cell>
        </row>
        <row r="116">
          <cell r="BA116" t="str">
            <v>.</v>
          </cell>
        </row>
        <row r="117">
          <cell r="BA117" t="str">
            <v>.</v>
          </cell>
        </row>
        <row r="118">
          <cell r="BA118" t="str">
            <v>.</v>
          </cell>
        </row>
        <row r="119">
          <cell r="BA119" t="str">
            <v>.</v>
          </cell>
        </row>
        <row r="120">
          <cell r="BA120" t="str">
            <v>.</v>
          </cell>
        </row>
        <row r="121">
          <cell r="BA121" t="str">
            <v>.</v>
          </cell>
        </row>
        <row r="122">
          <cell r="BA122" t="str">
            <v>.</v>
          </cell>
        </row>
        <row r="123">
          <cell r="BA123" t="str">
            <v>.</v>
          </cell>
        </row>
        <row r="124">
          <cell r="BA124" t="str">
            <v>.</v>
          </cell>
        </row>
        <row r="125">
          <cell r="BA125" t="str">
            <v>.</v>
          </cell>
        </row>
        <row r="126">
          <cell r="BA126" t="str">
            <v>.</v>
          </cell>
        </row>
        <row r="127">
          <cell r="BA127" t="str">
            <v>.</v>
          </cell>
        </row>
        <row r="128">
          <cell r="BA128" t="str">
            <v>.</v>
          </cell>
        </row>
        <row r="129">
          <cell r="BA129" t="str">
            <v>.</v>
          </cell>
        </row>
        <row r="130">
          <cell r="BA130" t="str">
            <v>.</v>
          </cell>
        </row>
        <row r="131">
          <cell r="BA131" t="str">
            <v>.</v>
          </cell>
        </row>
        <row r="132">
          <cell r="BA132" t="str">
            <v>.</v>
          </cell>
        </row>
        <row r="133">
          <cell r="BA133" t="str">
            <v>.</v>
          </cell>
        </row>
        <row r="134">
          <cell r="BA134" t="str">
            <v>.</v>
          </cell>
        </row>
        <row r="135">
          <cell r="BA135" t="str">
            <v>.</v>
          </cell>
        </row>
        <row r="136">
          <cell r="BA136" t="str">
            <v>.</v>
          </cell>
        </row>
        <row r="137">
          <cell r="BA137" t="str">
            <v>.</v>
          </cell>
        </row>
        <row r="138">
          <cell r="BA138" t="str">
            <v>.</v>
          </cell>
        </row>
        <row r="139">
          <cell r="BA139" t="str">
            <v>.</v>
          </cell>
        </row>
        <row r="140">
          <cell r="BA140" t="str">
            <v>.</v>
          </cell>
        </row>
        <row r="141">
          <cell r="BA141" t="str">
            <v>.</v>
          </cell>
        </row>
        <row r="142">
          <cell r="BA142" t="str">
            <v>.</v>
          </cell>
        </row>
        <row r="143">
          <cell r="BA143" t="str">
            <v>.</v>
          </cell>
        </row>
        <row r="144">
          <cell r="BA144" t="str">
            <v>.</v>
          </cell>
        </row>
        <row r="145">
          <cell r="BA145" t="str">
            <v>.</v>
          </cell>
        </row>
        <row r="146">
          <cell r="BA146" t="str">
            <v>.</v>
          </cell>
        </row>
        <row r="147">
          <cell r="BA147" t="str">
            <v>.</v>
          </cell>
        </row>
        <row r="148">
          <cell r="BA148" t="str">
            <v>.</v>
          </cell>
        </row>
        <row r="149">
          <cell r="BA149" t="str">
            <v>.</v>
          </cell>
        </row>
        <row r="150">
          <cell r="BA150" t="str">
            <v>.</v>
          </cell>
        </row>
        <row r="151">
          <cell r="BA151" t="str">
            <v>.</v>
          </cell>
        </row>
        <row r="152">
          <cell r="BA152" t="str">
            <v>.</v>
          </cell>
        </row>
        <row r="153">
          <cell r="BA153" t="str">
            <v>.</v>
          </cell>
        </row>
        <row r="154">
          <cell r="BA154" t="str">
            <v>.</v>
          </cell>
        </row>
        <row r="155">
          <cell r="BA155" t="str">
            <v>.</v>
          </cell>
        </row>
        <row r="156">
          <cell r="BA156" t="str">
            <v>.</v>
          </cell>
        </row>
        <row r="157">
          <cell r="BA157" t="str">
            <v>.</v>
          </cell>
        </row>
        <row r="158">
          <cell r="BA158" t="str">
            <v>.</v>
          </cell>
        </row>
        <row r="159">
          <cell r="BA159" t="str">
            <v>.</v>
          </cell>
        </row>
        <row r="160">
          <cell r="BA160" t="str">
            <v>.</v>
          </cell>
        </row>
        <row r="161">
          <cell r="BA161" t="str">
            <v>.</v>
          </cell>
        </row>
        <row r="162">
          <cell r="BA162" t="str">
            <v>.</v>
          </cell>
        </row>
        <row r="163">
          <cell r="BA163" t="str">
            <v>.</v>
          </cell>
        </row>
        <row r="164">
          <cell r="BA164" t="str">
            <v>.</v>
          </cell>
        </row>
        <row r="165">
          <cell r="BA165" t="str">
            <v>.</v>
          </cell>
        </row>
        <row r="166">
          <cell r="BA166" t="str">
            <v>.</v>
          </cell>
        </row>
        <row r="167">
          <cell r="BA167" t="str">
            <v>.</v>
          </cell>
        </row>
        <row r="168">
          <cell r="BA168" t="str">
            <v>.</v>
          </cell>
        </row>
        <row r="169">
          <cell r="BA169" t="str">
            <v>.</v>
          </cell>
        </row>
        <row r="170">
          <cell r="BA170" t="str">
            <v>.</v>
          </cell>
        </row>
        <row r="171">
          <cell r="BA171" t="str">
            <v>.</v>
          </cell>
        </row>
        <row r="172">
          <cell r="BA172" t="str">
            <v>.</v>
          </cell>
        </row>
        <row r="173">
          <cell r="BA173" t="str">
            <v>.</v>
          </cell>
        </row>
        <row r="174">
          <cell r="BA174" t="str">
            <v>.</v>
          </cell>
        </row>
        <row r="175">
          <cell r="BA175" t="str">
            <v>.</v>
          </cell>
        </row>
        <row r="176">
          <cell r="BA176" t="str">
            <v>.</v>
          </cell>
        </row>
        <row r="177">
          <cell r="BA177" t="str">
            <v>.</v>
          </cell>
        </row>
        <row r="178">
          <cell r="BA178" t="str">
            <v>.</v>
          </cell>
        </row>
        <row r="179">
          <cell r="BA179" t="str">
            <v>.</v>
          </cell>
        </row>
        <row r="180">
          <cell r="BA180" t="str">
            <v>.</v>
          </cell>
        </row>
        <row r="181">
          <cell r="BA181" t="str">
            <v>.</v>
          </cell>
        </row>
        <row r="182">
          <cell r="BA182" t="str">
            <v>.</v>
          </cell>
        </row>
        <row r="183">
          <cell r="BA183" t="str">
            <v>.</v>
          </cell>
        </row>
        <row r="184">
          <cell r="BA184" t="str">
            <v>.</v>
          </cell>
        </row>
        <row r="185">
          <cell r="BA185" t="str">
            <v>.</v>
          </cell>
        </row>
        <row r="186">
          <cell r="BA186" t="str">
            <v>.</v>
          </cell>
        </row>
        <row r="187">
          <cell r="BA187" t="str">
            <v>.</v>
          </cell>
        </row>
        <row r="188">
          <cell r="BA188" t="str">
            <v>.</v>
          </cell>
        </row>
        <row r="189">
          <cell r="BA189" t="str">
            <v>.</v>
          </cell>
        </row>
        <row r="190">
          <cell r="BA190" t="str">
            <v>.</v>
          </cell>
        </row>
        <row r="191">
          <cell r="BA191" t="str">
            <v>.</v>
          </cell>
        </row>
        <row r="192">
          <cell r="BA192" t="str">
            <v>.</v>
          </cell>
        </row>
        <row r="193">
          <cell r="BA193" t="str">
            <v>.</v>
          </cell>
        </row>
        <row r="194">
          <cell r="BA194" t="str">
            <v>.</v>
          </cell>
        </row>
        <row r="195">
          <cell r="BA195" t="str">
            <v>.</v>
          </cell>
        </row>
        <row r="196">
          <cell r="BA196" t="str">
            <v>.</v>
          </cell>
        </row>
        <row r="197">
          <cell r="BA197" t="str">
            <v>.</v>
          </cell>
        </row>
        <row r="198">
          <cell r="BA198" t="str">
            <v>.</v>
          </cell>
        </row>
        <row r="199">
          <cell r="BA199" t="str">
            <v>.</v>
          </cell>
        </row>
        <row r="200">
          <cell r="BA200" t="str">
            <v>.</v>
          </cell>
        </row>
        <row r="201">
          <cell r="BA201" t="str">
            <v>.</v>
          </cell>
        </row>
        <row r="202">
          <cell r="BA202" t="str">
            <v>.</v>
          </cell>
        </row>
        <row r="203">
          <cell r="BA203" t="str">
            <v>.</v>
          </cell>
        </row>
        <row r="204">
          <cell r="BA204" t="str">
            <v>.</v>
          </cell>
        </row>
        <row r="205">
          <cell r="BA205" t="str">
            <v>.</v>
          </cell>
        </row>
        <row r="206">
          <cell r="BA206" t="str">
            <v>.</v>
          </cell>
        </row>
        <row r="207">
          <cell r="BA207" t="str">
            <v>.</v>
          </cell>
        </row>
        <row r="208">
          <cell r="BA208" t="str">
            <v>.</v>
          </cell>
        </row>
        <row r="209">
          <cell r="BA209" t="str">
            <v>.</v>
          </cell>
        </row>
        <row r="210">
          <cell r="BA210" t="str">
            <v>.</v>
          </cell>
        </row>
        <row r="211">
          <cell r="BA211" t="str">
            <v>.</v>
          </cell>
        </row>
        <row r="212">
          <cell r="BA212" t="str">
            <v>.</v>
          </cell>
        </row>
        <row r="213">
          <cell r="BA213" t="str">
            <v>.</v>
          </cell>
        </row>
        <row r="214">
          <cell r="BA214" t="str">
            <v>.</v>
          </cell>
        </row>
        <row r="215">
          <cell r="BA215" t="str">
            <v>.</v>
          </cell>
        </row>
        <row r="216">
          <cell r="BA216" t="str">
            <v>.</v>
          </cell>
        </row>
        <row r="217">
          <cell r="BA217" t="str">
            <v>.</v>
          </cell>
        </row>
        <row r="218">
          <cell r="BA218" t="str">
            <v>.</v>
          </cell>
        </row>
        <row r="219">
          <cell r="BA219" t="str">
            <v>.</v>
          </cell>
        </row>
        <row r="220">
          <cell r="BA220" t="str">
            <v>.</v>
          </cell>
        </row>
        <row r="221">
          <cell r="BA221" t="str">
            <v>.</v>
          </cell>
        </row>
        <row r="222">
          <cell r="BA222" t="str">
            <v>.</v>
          </cell>
        </row>
        <row r="223">
          <cell r="BA223" t="str">
            <v>.</v>
          </cell>
        </row>
        <row r="224">
          <cell r="BA224" t="str">
            <v>.</v>
          </cell>
        </row>
        <row r="225">
          <cell r="BA225" t="str">
            <v>.</v>
          </cell>
        </row>
        <row r="226">
          <cell r="BA226" t="str">
            <v>.</v>
          </cell>
        </row>
        <row r="227">
          <cell r="BA227" t="str">
            <v>.</v>
          </cell>
        </row>
        <row r="228">
          <cell r="BA228" t="str">
            <v>.</v>
          </cell>
        </row>
        <row r="229">
          <cell r="BA229" t="str">
            <v>.</v>
          </cell>
        </row>
        <row r="230">
          <cell r="BA230" t="str">
            <v>.</v>
          </cell>
        </row>
        <row r="231">
          <cell r="BA231" t="str">
            <v>.</v>
          </cell>
        </row>
        <row r="232">
          <cell r="BA232" t="str">
            <v>.</v>
          </cell>
        </row>
        <row r="233">
          <cell r="BA233" t="str">
            <v>.</v>
          </cell>
        </row>
        <row r="234">
          <cell r="BA234" t="str">
            <v>.</v>
          </cell>
        </row>
        <row r="235">
          <cell r="BA235" t="str">
            <v>.</v>
          </cell>
        </row>
        <row r="236">
          <cell r="BA236" t="str">
            <v>.</v>
          </cell>
        </row>
        <row r="237">
          <cell r="BA237" t="str">
            <v>.</v>
          </cell>
        </row>
        <row r="238">
          <cell r="BA238" t="str">
            <v>.</v>
          </cell>
        </row>
        <row r="239">
          <cell r="BA239" t="str">
            <v>.</v>
          </cell>
        </row>
        <row r="240">
          <cell r="BA240" t="str">
            <v>.</v>
          </cell>
        </row>
        <row r="241">
          <cell r="BA241" t="str">
            <v>.</v>
          </cell>
        </row>
        <row r="242">
          <cell r="BA242" t="str">
            <v>.</v>
          </cell>
        </row>
        <row r="243">
          <cell r="BA243" t="str">
            <v>.</v>
          </cell>
        </row>
        <row r="244">
          <cell r="BA244" t="str">
            <v>.</v>
          </cell>
        </row>
        <row r="245">
          <cell r="BA245" t="str">
            <v>.</v>
          </cell>
        </row>
        <row r="246">
          <cell r="BA246" t="str">
            <v>.</v>
          </cell>
        </row>
        <row r="247">
          <cell r="BA247" t="str">
            <v>.</v>
          </cell>
        </row>
        <row r="248">
          <cell r="BA248" t="str">
            <v>.</v>
          </cell>
        </row>
        <row r="249">
          <cell r="BA249" t="str">
            <v>.</v>
          </cell>
        </row>
        <row r="250">
          <cell r="BA250" t="str">
            <v>.</v>
          </cell>
        </row>
        <row r="251">
          <cell r="BA251" t="str">
            <v>.</v>
          </cell>
        </row>
        <row r="252">
          <cell r="BA252" t="str">
            <v>.</v>
          </cell>
        </row>
        <row r="253">
          <cell r="BA253" t="str">
            <v>.</v>
          </cell>
        </row>
        <row r="254">
          <cell r="BA254" t="str">
            <v>.</v>
          </cell>
        </row>
        <row r="255">
          <cell r="BA255" t="str">
            <v>.</v>
          </cell>
        </row>
        <row r="256">
          <cell r="BA256" t="str">
            <v>.</v>
          </cell>
        </row>
        <row r="257">
          <cell r="BA257" t="str">
            <v>.</v>
          </cell>
        </row>
        <row r="258">
          <cell r="BA258" t="str">
            <v>.</v>
          </cell>
        </row>
        <row r="259">
          <cell r="BA259" t="str">
            <v>.</v>
          </cell>
        </row>
        <row r="260">
          <cell r="BA260" t="str">
            <v>.</v>
          </cell>
        </row>
        <row r="261">
          <cell r="BA261" t="str">
            <v>.</v>
          </cell>
        </row>
        <row r="262">
          <cell r="BA262" t="str">
            <v>.</v>
          </cell>
        </row>
        <row r="263">
          <cell r="BA263" t="str">
            <v>.</v>
          </cell>
        </row>
        <row r="264">
          <cell r="BA264" t="str">
            <v>.</v>
          </cell>
        </row>
        <row r="265">
          <cell r="BA265" t="str">
            <v>.</v>
          </cell>
        </row>
        <row r="266">
          <cell r="BA266" t="str">
            <v>.</v>
          </cell>
        </row>
        <row r="267">
          <cell r="BA267" t="str">
            <v>.</v>
          </cell>
        </row>
        <row r="268">
          <cell r="BA268" t="str">
            <v>.</v>
          </cell>
        </row>
        <row r="269">
          <cell r="BA269" t="str">
            <v>.</v>
          </cell>
        </row>
        <row r="270">
          <cell r="BA270" t="str">
            <v>.</v>
          </cell>
        </row>
        <row r="271">
          <cell r="BA271" t="str">
            <v>.</v>
          </cell>
        </row>
        <row r="272">
          <cell r="BA272" t="str">
            <v>.</v>
          </cell>
        </row>
        <row r="273">
          <cell r="BA273" t="str">
            <v>.</v>
          </cell>
        </row>
        <row r="274">
          <cell r="BA274" t="str">
            <v>.</v>
          </cell>
        </row>
        <row r="275">
          <cell r="BA275" t="str">
            <v>.</v>
          </cell>
        </row>
        <row r="276">
          <cell r="BA276" t="str">
            <v>.</v>
          </cell>
        </row>
        <row r="277">
          <cell r="BA277" t="str">
            <v>.</v>
          </cell>
        </row>
        <row r="278">
          <cell r="BA278" t="str">
            <v>.</v>
          </cell>
        </row>
        <row r="279">
          <cell r="BA279" t="str">
            <v>.</v>
          </cell>
        </row>
        <row r="280">
          <cell r="BA280" t="str">
            <v>.</v>
          </cell>
        </row>
        <row r="281">
          <cell r="BA281" t="str">
            <v>.</v>
          </cell>
        </row>
        <row r="282">
          <cell r="BA282" t="str">
            <v>.</v>
          </cell>
        </row>
        <row r="283">
          <cell r="BA283" t="str">
            <v>.</v>
          </cell>
        </row>
        <row r="284">
          <cell r="BA284" t="str">
            <v>.</v>
          </cell>
        </row>
        <row r="285">
          <cell r="BA285" t="str">
            <v>.</v>
          </cell>
        </row>
        <row r="286">
          <cell r="BA286" t="str">
            <v>.</v>
          </cell>
        </row>
        <row r="287">
          <cell r="BA287" t="str">
            <v>.</v>
          </cell>
        </row>
        <row r="288">
          <cell r="BA288" t="str">
            <v>.</v>
          </cell>
        </row>
        <row r="289">
          <cell r="BA289" t="str">
            <v>.</v>
          </cell>
        </row>
        <row r="290">
          <cell r="BA290" t="str">
            <v>.</v>
          </cell>
        </row>
        <row r="291">
          <cell r="BA291" t="str">
            <v>.</v>
          </cell>
        </row>
        <row r="292">
          <cell r="BA292" t="str">
            <v>.</v>
          </cell>
        </row>
        <row r="293">
          <cell r="BA293" t="str">
            <v>.</v>
          </cell>
        </row>
        <row r="294">
          <cell r="BA294" t="str">
            <v>.</v>
          </cell>
        </row>
        <row r="295">
          <cell r="BA295" t="str">
            <v>.</v>
          </cell>
        </row>
        <row r="296">
          <cell r="BA296" t="str">
            <v>.</v>
          </cell>
        </row>
        <row r="297">
          <cell r="BA297" t="str">
            <v>.</v>
          </cell>
        </row>
        <row r="298">
          <cell r="BA298" t="str">
            <v>.</v>
          </cell>
        </row>
        <row r="299">
          <cell r="BA299" t="str">
            <v>.</v>
          </cell>
        </row>
        <row r="300">
          <cell r="BA300" t="str">
            <v>.</v>
          </cell>
        </row>
        <row r="301">
          <cell r="BA301" t="str">
            <v>.</v>
          </cell>
        </row>
        <row r="302">
          <cell r="BA302" t="str">
            <v>.</v>
          </cell>
        </row>
        <row r="303">
          <cell r="BA303" t="str">
            <v>.</v>
          </cell>
        </row>
        <row r="304">
          <cell r="BA304" t="str">
            <v>.</v>
          </cell>
        </row>
        <row r="305">
          <cell r="BA305" t="str">
            <v>.</v>
          </cell>
        </row>
        <row r="306">
          <cell r="BA306" t="str">
            <v>.</v>
          </cell>
        </row>
        <row r="307">
          <cell r="BA307" t="str">
            <v>.</v>
          </cell>
        </row>
        <row r="308">
          <cell r="BA308" t="str">
            <v>.</v>
          </cell>
        </row>
        <row r="309">
          <cell r="BA309" t="str">
            <v>.</v>
          </cell>
        </row>
        <row r="310">
          <cell r="BA310" t="str">
            <v>.</v>
          </cell>
        </row>
        <row r="311">
          <cell r="BA311" t="str">
            <v>.</v>
          </cell>
        </row>
        <row r="312">
          <cell r="BA312" t="str">
            <v>.</v>
          </cell>
        </row>
        <row r="313">
          <cell r="BA313" t="str">
            <v>.</v>
          </cell>
        </row>
        <row r="314">
          <cell r="BA314" t="str">
            <v>.</v>
          </cell>
        </row>
        <row r="315">
          <cell r="BA315" t="str">
            <v>.</v>
          </cell>
        </row>
        <row r="316">
          <cell r="BA316" t="str">
            <v>.</v>
          </cell>
        </row>
        <row r="317">
          <cell r="BA317" t="str">
            <v>.</v>
          </cell>
        </row>
        <row r="318">
          <cell r="BA318" t="str">
            <v>.</v>
          </cell>
        </row>
        <row r="319">
          <cell r="BA319" t="str">
            <v>.</v>
          </cell>
        </row>
        <row r="320">
          <cell r="BA320" t="str">
            <v>.</v>
          </cell>
        </row>
        <row r="321">
          <cell r="BA321" t="str">
            <v>.</v>
          </cell>
        </row>
        <row r="322">
          <cell r="BA322" t="str">
            <v>.</v>
          </cell>
        </row>
        <row r="323">
          <cell r="BA323" t="str">
            <v>.</v>
          </cell>
        </row>
        <row r="324">
          <cell r="BA324" t="str">
            <v>.</v>
          </cell>
        </row>
        <row r="325">
          <cell r="BA325" t="str">
            <v>.</v>
          </cell>
        </row>
        <row r="326">
          <cell r="BA326" t="str">
            <v>.</v>
          </cell>
        </row>
        <row r="327">
          <cell r="BA327" t="str">
            <v>.</v>
          </cell>
        </row>
        <row r="328">
          <cell r="BA328" t="str">
            <v>.</v>
          </cell>
        </row>
        <row r="329">
          <cell r="BA329" t="str">
            <v>.</v>
          </cell>
        </row>
        <row r="330">
          <cell r="BA330" t="str">
            <v>.</v>
          </cell>
        </row>
        <row r="331">
          <cell r="BA331" t="str">
            <v>.</v>
          </cell>
        </row>
        <row r="332">
          <cell r="BA332" t="str">
            <v>.</v>
          </cell>
        </row>
        <row r="333">
          <cell r="BA333" t="str">
            <v>.</v>
          </cell>
        </row>
        <row r="334">
          <cell r="BA334" t="str">
            <v>.</v>
          </cell>
        </row>
        <row r="335">
          <cell r="BA335" t="str">
            <v>.</v>
          </cell>
        </row>
        <row r="336">
          <cell r="BA336" t="str">
            <v>.</v>
          </cell>
        </row>
        <row r="337">
          <cell r="BA337" t="str">
            <v>.</v>
          </cell>
        </row>
        <row r="338">
          <cell r="BA338" t="str">
            <v>.</v>
          </cell>
        </row>
        <row r="339">
          <cell r="BA339" t="str">
            <v>.</v>
          </cell>
        </row>
        <row r="340">
          <cell r="BA340" t="str">
            <v>.</v>
          </cell>
        </row>
        <row r="341">
          <cell r="BA341" t="str">
            <v>.</v>
          </cell>
        </row>
        <row r="342">
          <cell r="BA342" t="str">
            <v>.</v>
          </cell>
        </row>
        <row r="343">
          <cell r="BA343" t="str">
            <v>.</v>
          </cell>
        </row>
        <row r="344">
          <cell r="BA344" t="str">
            <v>.</v>
          </cell>
        </row>
        <row r="345">
          <cell r="BA345" t="str">
            <v>.</v>
          </cell>
        </row>
        <row r="346">
          <cell r="BA346" t="str">
            <v>.</v>
          </cell>
        </row>
        <row r="347">
          <cell r="BA347" t="str">
            <v>.</v>
          </cell>
        </row>
        <row r="348">
          <cell r="BA348" t="str">
            <v>.</v>
          </cell>
        </row>
        <row r="349">
          <cell r="BA349" t="str">
            <v>.</v>
          </cell>
        </row>
        <row r="350">
          <cell r="BA350" t="str">
            <v>.</v>
          </cell>
        </row>
        <row r="351">
          <cell r="BA351" t="str">
            <v>.</v>
          </cell>
        </row>
        <row r="352">
          <cell r="BA352" t="str">
            <v>.</v>
          </cell>
        </row>
        <row r="353">
          <cell r="BA353" t="str">
            <v>.</v>
          </cell>
        </row>
        <row r="354">
          <cell r="BA354" t="str">
            <v>.</v>
          </cell>
        </row>
        <row r="355">
          <cell r="BA355" t="str">
            <v>.</v>
          </cell>
        </row>
        <row r="356">
          <cell r="BA356" t="str">
            <v>.</v>
          </cell>
        </row>
        <row r="357">
          <cell r="BA357" t="str">
            <v>.</v>
          </cell>
        </row>
        <row r="358">
          <cell r="BA358" t="str">
            <v>.</v>
          </cell>
        </row>
        <row r="359">
          <cell r="BA359" t="str">
            <v>.</v>
          </cell>
        </row>
        <row r="360">
          <cell r="BA360" t="str">
            <v>.</v>
          </cell>
        </row>
        <row r="361">
          <cell r="BA361" t="str">
            <v>.</v>
          </cell>
        </row>
        <row r="362">
          <cell r="BA362" t="str">
            <v>.</v>
          </cell>
        </row>
        <row r="363">
          <cell r="BA363" t="str">
            <v>.</v>
          </cell>
        </row>
        <row r="364">
          <cell r="BA364" t="str">
            <v>.</v>
          </cell>
        </row>
        <row r="365">
          <cell r="BA365" t="str">
            <v>.</v>
          </cell>
        </row>
        <row r="366">
          <cell r="BA366" t="str">
            <v>.</v>
          </cell>
        </row>
        <row r="367">
          <cell r="BA367" t="str">
            <v>.</v>
          </cell>
        </row>
        <row r="368">
          <cell r="BA368" t="str">
            <v>.</v>
          </cell>
        </row>
        <row r="369">
          <cell r="BA369" t="str">
            <v>.</v>
          </cell>
        </row>
        <row r="370">
          <cell r="BA370" t="str">
            <v>.</v>
          </cell>
        </row>
        <row r="371">
          <cell r="BA371" t="str">
            <v>.</v>
          </cell>
        </row>
        <row r="372">
          <cell r="BA372" t="str">
            <v>.</v>
          </cell>
        </row>
        <row r="373">
          <cell r="BA373" t="str">
            <v>.</v>
          </cell>
        </row>
        <row r="374">
          <cell r="BA374" t="str">
            <v>.</v>
          </cell>
        </row>
        <row r="375">
          <cell r="BA375" t="str">
            <v>.</v>
          </cell>
        </row>
        <row r="376">
          <cell r="BA376" t="str">
            <v>.</v>
          </cell>
        </row>
        <row r="377">
          <cell r="BA377" t="str">
            <v>.</v>
          </cell>
        </row>
        <row r="378">
          <cell r="BA378" t="str">
            <v>.</v>
          </cell>
        </row>
        <row r="379">
          <cell r="BA379" t="str">
            <v>.</v>
          </cell>
        </row>
        <row r="380">
          <cell r="BA380" t="str">
            <v>.</v>
          </cell>
        </row>
        <row r="381">
          <cell r="BA381" t="str">
            <v>.</v>
          </cell>
        </row>
        <row r="382">
          <cell r="BA382" t="str">
            <v>.</v>
          </cell>
        </row>
        <row r="383">
          <cell r="BA383" t="str">
            <v>.</v>
          </cell>
        </row>
        <row r="384">
          <cell r="BA384" t="str">
            <v>.</v>
          </cell>
        </row>
        <row r="385">
          <cell r="BA385" t="str">
            <v>.</v>
          </cell>
        </row>
        <row r="386">
          <cell r="BA386" t="str">
            <v>.</v>
          </cell>
        </row>
        <row r="387">
          <cell r="BA387" t="str">
            <v>.</v>
          </cell>
        </row>
        <row r="388">
          <cell r="BA388" t="str">
            <v>.</v>
          </cell>
        </row>
        <row r="389">
          <cell r="BA389" t="str">
            <v>.</v>
          </cell>
        </row>
        <row r="390">
          <cell r="BA390" t="str">
            <v>.</v>
          </cell>
        </row>
        <row r="391">
          <cell r="BA391" t="str">
            <v>.</v>
          </cell>
        </row>
        <row r="392">
          <cell r="BA392" t="str">
            <v>.</v>
          </cell>
        </row>
        <row r="393">
          <cell r="BA393" t="str">
            <v>.</v>
          </cell>
        </row>
        <row r="394">
          <cell r="BA394" t="str">
            <v>.</v>
          </cell>
        </row>
        <row r="395">
          <cell r="BA395" t="str">
            <v>.</v>
          </cell>
        </row>
        <row r="396">
          <cell r="BA396" t="str">
            <v>.</v>
          </cell>
        </row>
        <row r="397">
          <cell r="BA397" t="str">
            <v>.</v>
          </cell>
        </row>
        <row r="398">
          <cell r="BA398" t="str">
            <v>.</v>
          </cell>
        </row>
        <row r="399">
          <cell r="BA399" t="str">
            <v>.</v>
          </cell>
        </row>
        <row r="400">
          <cell r="BA400" t="str">
            <v>.</v>
          </cell>
        </row>
        <row r="401">
          <cell r="BA401" t="str">
            <v>.</v>
          </cell>
        </row>
        <row r="402">
          <cell r="BA402" t="str">
            <v>.</v>
          </cell>
        </row>
        <row r="403">
          <cell r="BA403" t="str">
            <v>.</v>
          </cell>
        </row>
        <row r="404">
          <cell r="BA404" t="str">
            <v>.</v>
          </cell>
        </row>
        <row r="405">
          <cell r="BA405" t="str">
            <v>.</v>
          </cell>
        </row>
        <row r="406">
          <cell r="BA406" t="str">
            <v>.</v>
          </cell>
        </row>
        <row r="407">
          <cell r="BA407" t="str">
            <v>.</v>
          </cell>
        </row>
        <row r="408">
          <cell r="BA408" t="str">
            <v>.</v>
          </cell>
        </row>
        <row r="409">
          <cell r="BA409" t="str">
            <v>.</v>
          </cell>
        </row>
        <row r="410">
          <cell r="BA410" t="str">
            <v>.</v>
          </cell>
        </row>
        <row r="411">
          <cell r="BA411" t="str">
            <v>.</v>
          </cell>
        </row>
        <row r="412">
          <cell r="BA412" t="str">
            <v>.</v>
          </cell>
        </row>
        <row r="413">
          <cell r="BA413" t="str">
            <v>.</v>
          </cell>
        </row>
        <row r="414">
          <cell r="BA414" t="str">
            <v>.</v>
          </cell>
        </row>
        <row r="415">
          <cell r="BA415" t="str">
            <v>.</v>
          </cell>
        </row>
        <row r="416">
          <cell r="BA416" t="str">
            <v>.</v>
          </cell>
        </row>
        <row r="417">
          <cell r="BA417" t="str">
            <v>.</v>
          </cell>
        </row>
        <row r="418">
          <cell r="BA418" t="str">
            <v>.</v>
          </cell>
        </row>
        <row r="419">
          <cell r="BA419" t="str">
            <v>.</v>
          </cell>
        </row>
        <row r="420">
          <cell r="BA420" t="str">
            <v>.</v>
          </cell>
        </row>
        <row r="421">
          <cell r="BA421" t="str">
            <v>.</v>
          </cell>
        </row>
        <row r="422">
          <cell r="BA422" t="str">
            <v>.</v>
          </cell>
        </row>
        <row r="423">
          <cell r="BA423" t="str">
            <v>.</v>
          </cell>
        </row>
        <row r="424">
          <cell r="BA424" t="str">
            <v>.</v>
          </cell>
        </row>
        <row r="425">
          <cell r="BA425" t="str">
            <v>.</v>
          </cell>
        </row>
        <row r="426">
          <cell r="BA426" t="str">
            <v>.</v>
          </cell>
        </row>
        <row r="427">
          <cell r="BA427" t="str">
            <v>.</v>
          </cell>
        </row>
        <row r="428">
          <cell r="BA428" t="str">
            <v>.</v>
          </cell>
        </row>
        <row r="429">
          <cell r="BA429" t="str">
            <v>.</v>
          </cell>
        </row>
        <row r="430">
          <cell r="BA430" t="str">
            <v>.</v>
          </cell>
        </row>
        <row r="431">
          <cell r="BA431" t="str">
            <v>.</v>
          </cell>
        </row>
        <row r="432">
          <cell r="BA432" t="str">
            <v>.</v>
          </cell>
        </row>
        <row r="433">
          <cell r="BA433" t="str">
            <v>.</v>
          </cell>
        </row>
        <row r="434">
          <cell r="BA434" t="str">
            <v>.</v>
          </cell>
        </row>
        <row r="435">
          <cell r="BA435" t="str">
            <v>.</v>
          </cell>
        </row>
        <row r="436">
          <cell r="BA436" t="str">
            <v>.</v>
          </cell>
        </row>
        <row r="437">
          <cell r="BA437" t="str">
            <v>.</v>
          </cell>
        </row>
        <row r="438">
          <cell r="BA438" t="str">
            <v>.</v>
          </cell>
        </row>
        <row r="439">
          <cell r="BA439" t="str">
            <v>.</v>
          </cell>
        </row>
        <row r="440">
          <cell r="BA440" t="str">
            <v>.</v>
          </cell>
        </row>
        <row r="441">
          <cell r="BA441" t="str">
            <v>.</v>
          </cell>
        </row>
        <row r="442">
          <cell r="BA442" t="str">
            <v>.</v>
          </cell>
        </row>
        <row r="443">
          <cell r="BA443" t="str">
            <v>.</v>
          </cell>
        </row>
        <row r="444">
          <cell r="BA444" t="str">
            <v>.</v>
          </cell>
        </row>
        <row r="445">
          <cell r="BA445" t="str">
            <v>.</v>
          </cell>
        </row>
        <row r="446">
          <cell r="BA446" t="str">
            <v>.</v>
          </cell>
        </row>
        <row r="447">
          <cell r="BA447" t="str">
            <v>.</v>
          </cell>
        </row>
        <row r="448">
          <cell r="BA448" t="str">
            <v>.</v>
          </cell>
        </row>
        <row r="449">
          <cell r="BA449" t="str">
            <v>.</v>
          </cell>
        </row>
        <row r="450">
          <cell r="BA450" t="str">
            <v>.</v>
          </cell>
        </row>
        <row r="451">
          <cell r="BA451" t="str">
            <v>.</v>
          </cell>
        </row>
        <row r="452">
          <cell r="BA452" t="str">
            <v>.</v>
          </cell>
        </row>
        <row r="453">
          <cell r="BA453" t="str">
            <v>.</v>
          </cell>
        </row>
        <row r="454">
          <cell r="BA454" t="str">
            <v>.</v>
          </cell>
        </row>
        <row r="455">
          <cell r="BA455" t="str">
            <v>.</v>
          </cell>
        </row>
        <row r="456">
          <cell r="BA456" t="str">
            <v>.</v>
          </cell>
        </row>
        <row r="457">
          <cell r="BA457" t="str">
            <v>.</v>
          </cell>
        </row>
        <row r="458">
          <cell r="BA458" t="str">
            <v>.</v>
          </cell>
        </row>
        <row r="459">
          <cell r="BA459" t="str">
            <v>.</v>
          </cell>
        </row>
        <row r="460">
          <cell r="BA460" t="str">
            <v>.</v>
          </cell>
        </row>
        <row r="461">
          <cell r="BA461" t="str">
            <v>.</v>
          </cell>
        </row>
        <row r="462">
          <cell r="BA462" t="str">
            <v>.</v>
          </cell>
        </row>
        <row r="463">
          <cell r="BA463" t="str">
            <v>.</v>
          </cell>
        </row>
        <row r="464">
          <cell r="BA464" t="str">
            <v>.</v>
          </cell>
        </row>
        <row r="465">
          <cell r="BA465" t="str">
            <v>.</v>
          </cell>
        </row>
        <row r="466">
          <cell r="BA466" t="str">
            <v>.</v>
          </cell>
        </row>
        <row r="467">
          <cell r="BA467" t="str">
            <v>.</v>
          </cell>
        </row>
        <row r="468">
          <cell r="BA468" t="str">
            <v>.</v>
          </cell>
        </row>
        <row r="469">
          <cell r="BA469" t="str">
            <v>.</v>
          </cell>
        </row>
        <row r="470">
          <cell r="BA470" t="str">
            <v>.</v>
          </cell>
        </row>
        <row r="471">
          <cell r="BA471" t="str">
            <v>.</v>
          </cell>
        </row>
        <row r="472">
          <cell r="BA472" t="str">
            <v>.</v>
          </cell>
        </row>
        <row r="473">
          <cell r="BA473" t="str">
            <v>.</v>
          </cell>
        </row>
        <row r="474">
          <cell r="BA474" t="str">
            <v>.</v>
          </cell>
        </row>
        <row r="475">
          <cell r="BA475" t="str">
            <v>.</v>
          </cell>
        </row>
        <row r="476">
          <cell r="BA476" t="str">
            <v>.</v>
          </cell>
        </row>
        <row r="477">
          <cell r="BA477" t="str">
            <v>.</v>
          </cell>
        </row>
        <row r="478">
          <cell r="BA478" t="str">
            <v>.</v>
          </cell>
        </row>
        <row r="479">
          <cell r="BA479" t="str">
            <v>.</v>
          </cell>
        </row>
        <row r="480">
          <cell r="BA480" t="str">
            <v>.</v>
          </cell>
        </row>
        <row r="481">
          <cell r="BA481" t="str">
            <v>.</v>
          </cell>
        </row>
        <row r="482">
          <cell r="BA482" t="str">
            <v>.</v>
          </cell>
        </row>
        <row r="483">
          <cell r="BA483" t="str">
            <v>.</v>
          </cell>
        </row>
        <row r="484">
          <cell r="BA484" t="str">
            <v>.</v>
          </cell>
        </row>
        <row r="485">
          <cell r="BA485" t="str">
            <v>.</v>
          </cell>
        </row>
        <row r="486">
          <cell r="BA486" t="str">
            <v>.</v>
          </cell>
        </row>
        <row r="487">
          <cell r="BA487" t="str">
            <v>.</v>
          </cell>
        </row>
        <row r="488">
          <cell r="BA488" t="str">
            <v>.</v>
          </cell>
        </row>
        <row r="489">
          <cell r="BA489" t="str">
            <v>.</v>
          </cell>
        </row>
        <row r="490">
          <cell r="BA490" t="str">
            <v>.</v>
          </cell>
        </row>
        <row r="491">
          <cell r="BA491" t="str">
            <v>.</v>
          </cell>
        </row>
        <row r="492">
          <cell r="BA492" t="str">
            <v>.</v>
          </cell>
        </row>
        <row r="493">
          <cell r="BA493" t="str">
            <v>.</v>
          </cell>
        </row>
        <row r="494">
          <cell r="BA494" t="str">
            <v>.</v>
          </cell>
        </row>
        <row r="495">
          <cell r="BA495" t="str">
            <v>.</v>
          </cell>
        </row>
        <row r="496">
          <cell r="BA496" t="str">
            <v>.</v>
          </cell>
        </row>
        <row r="497">
          <cell r="BA497" t="str">
            <v>.</v>
          </cell>
        </row>
        <row r="498">
          <cell r="BA498" t="str">
            <v>.</v>
          </cell>
        </row>
        <row r="499">
          <cell r="BA499" t="str">
            <v>.</v>
          </cell>
        </row>
        <row r="500">
          <cell r="BA500" t="str">
            <v>.</v>
          </cell>
        </row>
        <row r="501">
          <cell r="BA501" t="str">
            <v>.</v>
          </cell>
        </row>
        <row r="502">
          <cell r="BA502" t="str">
            <v>.</v>
          </cell>
        </row>
        <row r="503">
          <cell r="BA503" t="str">
            <v>.</v>
          </cell>
        </row>
        <row r="504">
          <cell r="BA504" t="str">
            <v>.</v>
          </cell>
        </row>
        <row r="505">
          <cell r="BA505" t="str">
            <v>.</v>
          </cell>
        </row>
        <row r="506">
          <cell r="BA506" t="str">
            <v>.</v>
          </cell>
        </row>
        <row r="507">
          <cell r="BA507" t="str">
            <v>.</v>
          </cell>
        </row>
        <row r="508">
          <cell r="BA508" t="str">
            <v>.</v>
          </cell>
        </row>
        <row r="509">
          <cell r="BA509" t="str">
            <v>.</v>
          </cell>
        </row>
        <row r="510">
          <cell r="BA510" t="str">
            <v>.</v>
          </cell>
        </row>
        <row r="511">
          <cell r="BA511" t="str">
            <v>.</v>
          </cell>
        </row>
        <row r="512">
          <cell r="BA512" t="str">
            <v>.</v>
          </cell>
        </row>
        <row r="513">
          <cell r="BA513" t="str">
            <v>.</v>
          </cell>
        </row>
        <row r="514">
          <cell r="BA514" t="str">
            <v>.</v>
          </cell>
        </row>
        <row r="515">
          <cell r="BA515" t="str">
            <v>.</v>
          </cell>
        </row>
        <row r="516">
          <cell r="BA516" t="str">
            <v>.</v>
          </cell>
        </row>
        <row r="517">
          <cell r="BA517" t="str">
            <v>.</v>
          </cell>
        </row>
        <row r="518">
          <cell r="BA518" t="str">
            <v>.</v>
          </cell>
        </row>
        <row r="519">
          <cell r="BA519" t="str">
            <v>.</v>
          </cell>
        </row>
        <row r="520">
          <cell r="BA520" t="str">
            <v>.</v>
          </cell>
        </row>
        <row r="521">
          <cell r="BA521" t="str">
            <v>.</v>
          </cell>
        </row>
        <row r="522">
          <cell r="BA522" t="str">
            <v>.</v>
          </cell>
        </row>
        <row r="523">
          <cell r="BA523" t="str">
            <v>.</v>
          </cell>
        </row>
        <row r="524">
          <cell r="BA524" t="str">
            <v>.</v>
          </cell>
        </row>
        <row r="525">
          <cell r="BA525" t="str">
            <v>.</v>
          </cell>
        </row>
        <row r="526">
          <cell r="BA526" t="str">
            <v>.</v>
          </cell>
        </row>
        <row r="527">
          <cell r="BA527" t="str">
            <v>.</v>
          </cell>
        </row>
        <row r="528">
          <cell r="BA528" t="str">
            <v>.</v>
          </cell>
        </row>
        <row r="529">
          <cell r="BA529" t="str">
            <v>.</v>
          </cell>
        </row>
        <row r="530">
          <cell r="BA530" t="str">
            <v>.</v>
          </cell>
        </row>
        <row r="531">
          <cell r="BA531" t="str">
            <v>.</v>
          </cell>
        </row>
        <row r="532">
          <cell r="BA532" t="str">
            <v>.</v>
          </cell>
        </row>
        <row r="533">
          <cell r="BA533" t="str">
            <v>.</v>
          </cell>
        </row>
        <row r="534">
          <cell r="BA534" t="str">
            <v>.</v>
          </cell>
        </row>
        <row r="535">
          <cell r="BA535" t="str">
            <v>.</v>
          </cell>
        </row>
        <row r="536">
          <cell r="BA536" t="str">
            <v>.</v>
          </cell>
        </row>
        <row r="537">
          <cell r="BA537" t="str">
            <v>.</v>
          </cell>
        </row>
        <row r="538">
          <cell r="BA538" t="str">
            <v>.</v>
          </cell>
        </row>
        <row r="539">
          <cell r="BA539" t="str">
            <v>.</v>
          </cell>
        </row>
        <row r="540">
          <cell r="BA540" t="str">
            <v>.</v>
          </cell>
        </row>
        <row r="541">
          <cell r="BA541" t="str">
            <v>.</v>
          </cell>
        </row>
        <row r="542">
          <cell r="BA542" t="str">
            <v>.</v>
          </cell>
        </row>
        <row r="543">
          <cell r="BA543" t="str">
            <v>.</v>
          </cell>
        </row>
        <row r="544">
          <cell r="BA544" t="str">
            <v>.</v>
          </cell>
        </row>
        <row r="545">
          <cell r="BA545" t="str">
            <v>.</v>
          </cell>
        </row>
        <row r="546">
          <cell r="BA546" t="str">
            <v>.</v>
          </cell>
        </row>
        <row r="547">
          <cell r="BA547" t="str">
            <v>.</v>
          </cell>
        </row>
        <row r="548">
          <cell r="BA548" t="str">
            <v>.</v>
          </cell>
        </row>
        <row r="549">
          <cell r="BA549" t="str">
            <v>.</v>
          </cell>
        </row>
        <row r="550">
          <cell r="BA550" t="str">
            <v>.</v>
          </cell>
        </row>
        <row r="551">
          <cell r="BA551" t="str">
            <v>.</v>
          </cell>
        </row>
        <row r="552">
          <cell r="BA552" t="str">
            <v>.</v>
          </cell>
        </row>
        <row r="553">
          <cell r="BA553" t="str">
            <v>.</v>
          </cell>
        </row>
        <row r="554">
          <cell r="BA554" t="str">
            <v>.</v>
          </cell>
        </row>
        <row r="555">
          <cell r="BA555" t="str">
            <v>.</v>
          </cell>
        </row>
        <row r="556">
          <cell r="BA556" t="str">
            <v>.</v>
          </cell>
        </row>
        <row r="557">
          <cell r="BA557" t="str">
            <v>.</v>
          </cell>
        </row>
        <row r="558">
          <cell r="BA558" t="str">
            <v>.</v>
          </cell>
        </row>
        <row r="559">
          <cell r="BA559" t="str">
            <v>.</v>
          </cell>
        </row>
        <row r="560">
          <cell r="BA560" t="str">
            <v>.</v>
          </cell>
        </row>
        <row r="561">
          <cell r="BA561" t="str">
            <v>.</v>
          </cell>
        </row>
        <row r="562">
          <cell r="BA562" t="str">
            <v>.</v>
          </cell>
        </row>
        <row r="563">
          <cell r="BA563" t="str">
            <v>.</v>
          </cell>
        </row>
        <row r="564">
          <cell r="BA564" t="str">
            <v>.</v>
          </cell>
        </row>
        <row r="565">
          <cell r="BA565" t="str">
            <v>.</v>
          </cell>
        </row>
        <row r="566">
          <cell r="BA566" t="str">
            <v>.</v>
          </cell>
        </row>
        <row r="567">
          <cell r="BA567" t="str">
            <v>.</v>
          </cell>
        </row>
        <row r="568">
          <cell r="BA568" t="str">
            <v>.</v>
          </cell>
        </row>
        <row r="569">
          <cell r="BA569" t="str">
            <v>.</v>
          </cell>
        </row>
        <row r="570">
          <cell r="BA570" t="str">
            <v>.</v>
          </cell>
        </row>
        <row r="571">
          <cell r="BA571" t="str">
            <v>.</v>
          </cell>
        </row>
        <row r="572">
          <cell r="BA572" t="str">
            <v>.</v>
          </cell>
        </row>
        <row r="573">
          <cell r="BA573" t="str">
            <v>.</v>
          </cell>
        </row>
        <row r="574">
          <cell r="BA574" t="str">
            <v>.</v>
          </cell>
        </row>
        <row r="575">
          <cell r="BA575" t="str">
            <v>.</v>
          </cell>
        </row>
        <row r="576">
          <cell r="BA576" t="str">
            <v>.</v>
          </cell>
        </row>
        <row r="577">
          <cell r="BA577" t="str">
            <v>.</v>
          </cell>
        </row>
        <row r="578">
          <cell r="BA578" t="str">
            <v>.</v>
          </cell>
        </row>
        <row r="579">
          <cell r="BA579" t="str">
            <v>.</v>
          </cell>
        </row>
        <row r="580">
          <cell r="BA580" t="str">
            <v>.</v>
          </cell>
        </row>
        <row r="581">
          <cell r="BA581" t="str">
            <v>.</v>
          </cell>
        </row>
        <row r="582">
          <cell r="BA582" t="str">
            <v>.</v>
          </cell>
        </row>
        <row r="583">
          <cell r="BA583" t="str">
            <v>.</v>
          </cell>
        </row>
        <row r="584">
          <cell r="BA584" t="str">
            <v>.</v>
          </cell>
        </row>
        <row r="585">
          <cell r="BA585" t="str">
            <v>.</v>
          </cell>
        </row>
        <row r="586">
          <cell r="BA586" t="str">
            <v>.</v>
          </cell>
        </row>
        <row r="587">
          <cell r="BA587" t="str">
            <v>.</v>
          </cell>
        </row>
        <row r="588">
          <cell r="BA588" t="str">
            <v>.</v>
          </cell>
        </row>
        <row r="589">
          <cell r="BA589" t="str">
            <v>.</v>
          </cell>
        </row>
        <row r="590">
          <cell r="BA590" t="str">
            <v>.</v>
          </cell>
        </row>
        <row r="591">
          <cell r="BA591" t="str">
            <v>.</v>
          </cell>
        </row>
        <row r="592">
          <cell r="BA592" t="str">
            <v>.</v>
          </cell>
        </row>
        <row r="593">
          <cell r="BA593" t="str">
            <v>.</v>
          </cell>
        </row>
        <row r="594">
          <cell r="BA594" t="str">
            <v>.</v>
          </cell>
        </row>
        <row r="595">
          <cell r="BA595" t="str">
            <v>.</v>
          </cell>
        </row>
        <row r="596">
          <cell r="BA596" t="str">
            <v>.</v>
          </cell>
        </row>
        <row r="597">
          <cell r="BA597" t="str">
            <v>.</v>
          </cell>
        </row>
        <row r="598">
          <cell r="BA598" t="str">
            <v>.</v>
          </cell>
        </row>
        <row r="599">
          <cell r="BA599" t="str">
            <v>.</v>
          </cell>
        </row>
        <row r="600">
          <cell r="BA600" t="str">
            <v>.</v>
          </cell>
        </row>
        <row r="601">
          <cell r="BA601" t="str">
            <v>.</v>
          </cell>
        </row>
        <row r="602">
          <cell r="BA602" t="str">
            <v>.</v>
          </cell>
        </row>
        <row r="603">
          <cell r="BA603" t="str">
            <v>.</v>
          </cell>
        </row>
        <row r="604">
          <cell r="BA604" t="str">
            <v>.</v>
          </cell>
        </row>
        <row r="605">
          <cell r="BA605" t="str">
            <v>.</v>
          </cell>
        </row>
        <row r="606">
          <cell r="BA606" t="str">
            <v>.</v>
          </cell>
        </row>
        <row r="607">
          <cell r="BA607" t="str">
            <v>.</v>
          </cell>
        </row>
        <row r="608">
          <cell r="BA608" t="str">
            <v>.</v>
          </cell>
        </row>
        <row r="609">
          <cell r="BA609" t="str">
            <v>.</v>
          </cell>
        </row>
        <row r="610">
          <cell r="BA610" t="str">
            <v>.</v>
          </cell>
        </row>
        <row r="611">
          <cell r="BA611" t="str">
            <v>.</v>
          </cell>
        </row>
        <row r="612">
          <cell r="BA612" t="str">
            <v>.</v>
          </cell>
        </row>
        <row r="613">
          <cell r="BA613" t="str">
            <v>.</v>
          </cell>
        </row>
        <row r="614">
          <cell r="BA614" t="str">
            <v>.</v>
          </cell>
        </row>
        <row r="615">
          <cell r="BA615" t="str">
            <v>.</v>
          </cell>
        </row>
        <row r="616">
          <cell r="BA616" t="str">
            <v>.</v>
          </cell>
        </row>
        <row r="617">
          <cell r="BA617" t="str">
            <v>.</v>
          </cell>
        </row>
        <row r="618">
          <cell r="BA618" t="str">
            <v>.</v>
          </cell>
        </row>
        <row r="619">
          <cell r="BA619" t="str">
            <v>.</v>
          </cell>
        </row>
        <row r="620">
          <cell r="BA620" t="str">
            <v>.</v>
          </cell>
        </row>
        <row r="621">
          <cell r="BA621" t="str">
            <v>.</v>
          </cell>
        </row>
        <row r="622">
          <cell r="BA622" t="str">
            <v>.</v>
          </cell>
        </row>
        <row r="623">
          <cell r="BA623" t="str">
            <v>.</v>
          </cell>
        </row>
        <row r="624">
          <cell r="BA624" t="str">
            <v>.</v>
          </cell>
        </row>
        <row r="625">
          <cell r="BA625" t="str">
            <v>.</v>
          </cell>
        </row>
        <row r="626">
          <cell r="BA626" t="str">
            <v>.</v>
          </cell>
        </row>
        <row r="627">
          <cell r="BA627" t="str">
            <v>.</v>
          </cell>
        </row>
        <row r="628">
          <cell r="BA628" t="str">
            <v>.</v>
          </cell>
        </row>
        <row r="629">
          <cell r="BA629" t="str">
            <v>.</v>
          </cell>
        </row>
        <row r="630">
          <cell r="BA630" t="str">
            <v>.</v>
          </cell>
        </row>
        <row r="631">
          <cell r="BA631" t="str">
            <v>.</v>
          </cell>
        </row>
        <row r="632">
          <cell r="BA632" t="str">
            <v>.</v>
          </cell>
        </row>
        <row r="633">
          <cell r="BA633" t="str">
            <v>.</v>
          </cell>
        </row>
        <row r="634">
          <cell r="BA634" t="str">
            <v>.</v>
          </cell>
        </row>
        <row r="635">
          <cell r="BA635" t="str">
            <v>.</v>
          </cell>
        </row>
        <row r="636">
          <cell r="BA636" t="str">
            <v>.</v>
          </cell>
        </row>
        <row r="637">
          <cell r="BA637" t="str">
            <v>.</v>
          </cell>
        </row>
        <row r="638">
          <cell r="BA638" t="str">
            <v>.</v>
          </cell>
        </row>
        <row r="639">
          <cell r="BA639" t="str">
            <v>.</v>
          </cell>
        </row>
        <row r="640">
          <cell r="BA640" t="str">
            <v>.</v>
          </cell>
        </row>
        <row r="641">
          <cell r="BA641" t="str">
            <v>.</v>
          </cell>
        </row>
        <row r="642">
          <cell r="BA642" t="str">
            <v>.</v>
          </cell>
        </row>
        <row r="643">
          <cell r="BA643" t="str">
            <v>.</v>
          </cell>
        </row>
        <row r="644">
          <cell r="BA644" t="str">
            <v>.</v>
          </cell>
        </row>
        <row r="645">
          <cell r="BA645" t="str">
            <v>.</v>
          </cell>
        </row>
        <row r="646">
          <cell r="BA646" t="str">
            <v>.</v>
          </cell>
        </row>
        <row r="647">
          <cell r="BA647" t="str">
            <v>.</v>
          </cell>
        </row>
        <row r="648">
          <cell r="BA648" t="str">
            <v>.</v>
          </cell>
        </row>
        <row r="649">
          <cell r="BA649" t="str">
            <v>.</v>
          </cell>
        </row>
        <row r="650">
          <cell r="BA650" t="str">
            <v>.</v>
          </cell>
        </row>
        <row r="651">
          <cell r="BA651" t="str">
            <v>.</v>
          </cell>
        </row>
        <row r="652">
          <cell r="BA652" t="str">
            <v>.</v>
          </cell>
        </row>
        <row r="653">
          <cell r="BA653" t="str">
            <v>.</v>
          </cell>
        </row>
        <row r="654">
          <cell r="BA654" t="str">
            <v>.</v>
          </cell>
        </row>
        <row r="655">
          <cell r="BA655" t="str">
            <v>.</v>
          </cell>
        </row>
        <row r="656">
          <cell r="BA656" t="str">
            <v>.</v>
          </cell>
        </row>
        <row r="657">
          <cell r="BA657" t="str">
            <v>.</v>
          </cell>
        </row>
        <row r="658">
          <cell r="BA658" t="str">
            <v>.</v>
          </cell>
        </row>
        <row r="659">
          <cell r="BA659" t="str">
            <v>.</v>
          </cell>
        </row>
        <row r="660">
          <cell r="BA660" t="str">
            <v>.</v>
          </cell>
        </row>
        <row r="661">
          <cell r="BA661" t="str">
            <v>.</v>
          </cell>
        </row>
        <row r="662">
          <cell r="BA662" t="str">
            <v>.</v>
          </cell>
        </row>
        <row r="663">
          <cell r="BA663" t="str">
            <v>.</v>
          </cell>
        </row>
        <row r="664">
          <cell r="BA664" t="str">
            <v>.</v>
          </cell>
        </row>
        <row r="665">
          <cell r="BA665" t="str">
            <v>.</v>
          </cell>
        </row>
        <row r="666">
          <cell r="BA666" t="str">
            <v>.</v>
          </cell>
        </row>
        <row r="667">
          <cell r="BA667" t="str">
            <v>.</v>
          </cell>
        </row>
        <row r="668">
          <cell r="BA668" t="str">
            <v>.</v>
          </cell>
        </row>
        <row r="669">
          <cell r="BA669" t="str">
            <v>.</v>
          </cell>
        </row>
        <row r="670">
          <cell r="BA670" t="str">
            <v>.</v>
          </cell>
        </row>
        <row r="671">
          <cell r="BA671" t="str">
            <v>.</v>
          </cell>
        </row>
        <row r="672">
          <cell r="BA672" t="str">
            <v>.</v>
          </cell>
        </row>
        <row r="673">
          <cell r="BA673" t="str">
            <v>.</v>
          </cell>
        </row>
        <row r="674">
          <cell r="BA674" t="str">
            <v>.</v>
          </cell>
        </row>
        <row r="675">
          <cell r="BA675" t="str">
            <v>.</v>
          </cell>
        </row>
        <row r="676">
          <cell r="BA676" t="str">
            <v>.</v>
          </cell>
        </row>
        <row r="677">
          <cell r="BA677" t="str">
            <v>.</v>
          </cell>
        </row>
        <row r="678">
          <cell r="BA678" t="str">
            <v>.</v>
          </cell>
        </row>
        <row r="679">
          <cell r="BA679" t="str">
            <v>.</v>
          </cell>
        </row>
        <row r="680">
          <cell r="BA680" t="str">
            <v>.</v>
          </cell>
        </row>
        <row r="681">
          <cell r="BA681" t="str">
            <v>.</v>
          </cell>
        </row>
        <row r="682">
          <cell r="BA682" t="str">
            <v>.</v>
          </cell>
        </row>
        <row r="683">
          <cell r="BA683" t="str">
            <v>.</v>
          </cell>
        </row>
        <row r="684">
          <cell r="BA684" t="str">
            <v>.</v>
          </cell>
        </row>
        <row r="685">
          <cell r="BA685" t="str">
            <v>.</v>
          </cell>
        </row>
        <row r="686">
          <cell r="BA686" t="str">
            <v>.</v>
          </cell>
        </row>
        <row r="687">
          <cell r="BA687" t="str">
            <v>.</v>
          </cell>
        </row>
        <row r="688">
          <cell r="BA688" t="str">
            <v>.</v>
          </cell>
        </row>
        <row r="689">
          <cell r="BA689" t="str">
            <v>.</v>
          </cell>
        </row>
        <row r="690">
          <cell r="BA690" t="str">
            <v>.</v>
          </cell>
        </row>
        <row r="691">
          <cell r="BA691" t="str">
            <v>.</v>
          </cell>
        </row>
        <row r="692">
          <cell r="BA692" t="str">
            <v>.</v>
          </cell>
        </row>
        <row r="693">
          <cell r="BA693" t="str">
            <v>.</v>
          </cell>
        </row>
        <row r="694">
          <cell r="BA694" t="str">
            <v>.</v>
          </cell>
        </row>
        <row r="695">
          <cell r="BA695" t="str">
            <v>.</v>
          </cell>
        </row>
        <row r="696">
          <cell r="BA696" t="str">
            <v>.</v>
          </cell>
        </row>
        <row r="697">
          <cell r="BA697" t="str">
            <v>.</v>
          </cell>
        </row>
        <row r="698">
          <cell r="BA698" t="str">
            <v>.</v>
          </cell>
        </row>
        <row r="699">
          <cell r="BA699" t="str">
            <v>.</v>
          </cell>
        </row>
        <row r="700">
          <cell r="BA700" t="str">
            <v>.</v>
          </cell>
        </row>
        <row r="701">
          <cell r="BA701" t="str">
            <v>.</v>
          </cell>
        </row>
        <row r="702">
          <cell r="BA702" t="str">
            <v>.</v>
          </cell>
        </row>
        <row r="703">
          <cell r="BA703" t="str">
            <v>.</v>
          </cell>
        </row>
        <row r="704">
          <cell r="BA704" t="str">
            <v>.</v>
          </cell>
        </row>
        <row r="705">
          <cell r="BA705" t="str">
            <v>.</v>
          </cell>
        </row>
        <row r="706">
          <cell r="BA706" t="str">
            <v>.</v>
          </cell>
        </row>
        <row r="707">
          <cell r="BA707" t="str">
            <v>.</v>
          </cell>
        </row>
        <row r="708">
          <cell r="BA708" t="str">
            <v>.</v>
          </cell>
        </row>
        <row r="709">
          <cell r="BA709" t="str">
            <v>.</v>
          </cell>
        </row>
        <row r="710">
          <cell r="BA710" t="str">
            <v>.</v>
          </cell>
        </row>
        <row r="711">
          <cell r="BA711" t="str">
            <v>.</v>
          </cell>
        </row>
        <row r="712">
          <cell r="BA712" t="str">
            <v>.</v>
          </cell>
        </row>
        <row r="713">
          <cell r="BA713" t="str">
            <v>.</v>
          </cell>
        </row>
        <row r="714">
          <cell r="BA714" t="str">
            <v>.</v>
          </cell>
        </row>
        <row r="715">
          <cell r="BA715" t="str">
            <v>.</v>
          </cell>
        </row>
        <row r="716">
          <cell r="BA716" t="str">
            <v>.</v>
          </cell>
        </row>
        <row r="717">
          <cell r="BA717" t="str">
            <v>.</v>
          </cell>
        </row>
        <row r="718">
          <cell r="BA718" t="str">
            <v>.</v>
          </cell>
        </row>
        <row r="719">
          <cell r="BA719" t="str">
            <v>.</v>
          </cell>
        </row>
        <row r="720">
          <cell r="BA720" t="str">
            <v>.</v>
          </cell>
        </row>
        <row r="721">
          <cell r="BA721" t="str">
            <v>.</v>
          </cell>
        </row>
        <row r="722">
          <cell r="BA722" t="str">
            <v>.</v>
          </cell>
        </row>
        <row r="723">
          <cell r="BA723" t="str">
            <v>.</v>
          </cell>
        </row>
        <row r="724">
          <cell r="BA724" t="str">
            <v>.</v>
          </cell>
        </row>
        <row r="725">
          <cell r="BA725" t="str">
            <v>.</v>
          </cell>
        </row>
        <row r="726">
          <cell r="BA726" t="str">
            <v>.</v>
          </cell>
        </row>
        <row r="727">
          <cell r="BA727" t="str">
            <v>.</v>
          </cell>
        </row>
        <row r="728">
          <cell r="BA728" t="str">
            <v>.</v>
          </cell>
        </row>
        <row r="729">
          <cell r="BA729" t="str">
            <v>.</v>
          </cell>
        </row>
        <row r="730">
          <cell r="BA730" t="str">
            <v>.</v>
          </cell>
        </row>
        <row r="731">
          <cell r="BA731" t="str">
            <v>.</v>
          </cell>
        </row>
        <row r="732">
          <cell r="BA732" t="str">
            <v>.</v>
          </cell>
        </row>
        <row r="733">
          <cell r="BA733" t="str">
            <v>.</v>
          </cell>
        </row>
        <row r="734">
          <cell r="BA734" t="str">
            <v>.</v>
          </cell>
        </row>
        <row r="735">
          <cell r="BA735" t="str">
            <v>.</v>
          </cell>
        </row>
        <row r="736">
          <cell r="BA736" t="str">
            <v>.</v>
          </cell>
        </row>
        <row r="737">
          <cell r="BA737" t="str">
            <v>.</v>
          </cell>
        </row>
        <row r="738">
          <cell r="BA738" t="str">
            <v>.</v>
          </cell>
        </row>
        <row r="739">
          <cell r="BA739" t="str">
            <v>.</v>
          </cell>
        </row>
        <row r="740">
          <cell r="BA740" t="str">
            <v>.</v>
          </cell>
        </row>
        <row r="741">
          <cell r="BA741" t="str">
            <v>.</v>
          </cell>
        </row>
        <row r="742">
          <cell r="BA742" t="str">
            <v>.</v>
          </cell>
        </row>
        <row r="743">
          <cell r="BA743" t="str">
            <v>.</v>
          </cell>
        </row>
        <row r="744">
          <cell r="BA744" t="str">
            <v>.</v>
          </cell>
        </row>
        <row r="745">
          <cell r="BA745" t="str">
            <v>.</v>
          </cell>
        </row>
        <row r="746">
          <cell r="BA746" t="str">
            <v>.</v>
          </cell>
        </row>
        <row r="747">
          <cell r="BA747" t="str">
            <v>.</v>
          </cell>
        </row>
        <row r="748">
          <cell r="BA748" t="str">
            <v>.</v>
          </cell>
        </row>
        <row r="749">
          <cell r="BA749" t="str">
            <v>.</v>
          </cell>
        </row>
        <row r="750">
          <cell r="BA750" t="str">
            <v>.</v>
          </cell>
        </row>
        <row r="751">
          <cell r="BA751" t="str">
            <v>.</v>
          </cell>
        </row>
        <row r="752">
          <cell r="BA752" t="str">
            <v>.</v>
          </cell>
        </row>
        <row r="753">
          <cell r="BA753" t="str">
            <v>.</v>
          </cell>
        </row>
        <row r="754">
          <cell r="BA754" t="str">
            <v>.</v>
          </cell>
        </row>
        <row r="755">
          <cell r="BA755" t="str">
            <v>.</v>
          </cell>
        </row>
        <row r="756">
          <cell r="BA756" t="str">
            <v>.</v>
          </cell>
        </row>
        <row r="757">
          <cell r="BA757" t="str">
            <v>.</v>
          </cell>
        </row>
        <row r="758">
          <cell r="BA758" t="str">
            <v>.</v>
          </cell>
        </row>
        <row r="759">
          <cell r="BA759" t="str">
            <v>.</v>
          </cell>
        </row>
        <row r="760">
          <cell r="BA760" t="str">
            <v>.</v>
          </cell>
        </row>
        <row r="761">
          <cell r="BA761" t="str">
            <v>.</v>
          </cell>
        </row>
        <row r="762">
          <cell r="BA762" t="str">
            <v>.</v>
          </cell>
        </row>
        <row r="763">
          <cell r="BA763" t="str">
            <v>.</v>
          </cell>
        </row>
        <row r="764">
          <cell r="BA764" t="str">
            <v>.</v>
          </cell>
        </row>
        <row r="765">
          <cell r="BA765" t="str">
            <v>.</v>
          </cell>
        </row>
        <row r="766">
          <cell r="BA766" t="str">
            <v>.</v>
          </cell>
        </row>
        <row r="767">
          <cell r="BA767" t="str">
            <v>.</v>
          </cell>
        </row>
        <row r="768">
          <cell r="BA768" t="str">
            <v>.</v>
          </cell>
        </row>
        <row r="769">
          <cell r="BA769" t="str">
            <v>.</v>
          </cell>
        </row>
        <row r="770">
          <cell r="BA770" t="str">
            <v>.</v>
          </cell>
        </row>
        <row r="771">
          <cell r="BA771" t="str">
            <v>.</v>
          </cell>
        </row>
        <row r="772">
          <cell r="BA772" t="str">
            <v>.</v>
          </cell>
        </row>
        <row r="773">
          <cell r="BA773" t="str">
            <v>.</v>
          </cell>
        </row>
        <row r="774">
          <cell r="BA774" t="str">
            <v>.</v>
          </cell>
        </row>
        <row r="775">
          <cell r="BA775" t="str">
            <v>.</v>
          </cell>
        </row>
        <row r="776">
          <cell r="BA776" t="str">
            <v>.</v>
          </cell>
        </row>
        <row r="777">
          <cell r="BA777" t="str">
            <v>.</v>
          </cell>
        </row>
        <row r="778">
          <cell r="BA778" t="str">
            <v>.</v>
          </cell>
        </row>
        <row r="779">
          <cell r="BA779" t="str">
            <v>.</v>
          </cell>
        </row>
        <row r="780">
          <cell r="BA780" t="str">
            <v>.</v>
          </cell>
        </row>
        <row r="781">
          <cell r="BA781" t="str">
            <v>.</v>
          </cell>
        </row>
        <row r="782">
          <cell r="BA782" t="str">
            <v>.</v>
          </cell>
        </row>
        <row r="783">
          <cell r="BA783" t="str">
            <v>.</v>
          </cell>
        </row>
        <row r="784">
          <cell r="BA784" t="str">
            <v>.</v>
          </cell>
        </row>
        <row r="785">
          <cell r="BA785" t="str">
            <v>.</v>
          </cell>
        </row>
        <row r="786">
          <cell r="BA786" t="str">
            <v>.</v>
          </cell>
        </row>
        <row r="787">
          <cell r="BA787" t="str">
            <v>.</v>
          </cell>
        </row>
        <row r="788">
          <cell r="BA788" t="str">
            <v>.</v>
          </cell>
        </row>
        <row r="789">
          <cell r="BA789" t="str">
            <v>.</v>
          </cell>
        </row>
        <row r="790">
          <cell r="BA790" t="str">
            <v>.</v>
          </cell>
        </row>
        <row r="791">
          <cell r="BA791" t="str">
            <v>.</v>
          </cell>
        </row>
        <row r="792">
          <cell r="BA792" t="str">
            <v>.</v>
          </cell>
        </row>
        <row r="793">
          <cell r="BA793" t="str">
            <v>.</v>
          </cell>
        </row>
        <row r="794">
          <cell r="BA794" t="str">
            <v>.</v>
          </cell>
        </row>
        <row r="795">
          <cell r="BA795" t="str">
            <v>.</v>
          </cell>
        </row>
        <row r="796">
          <cell r="BA796" t="str">
            <v>.</v>
          </cell>
        </row>
        <row r="797">
          <cell r="BA797" t="str">
            <v>.</v>
          </cell>
        </row>
        <row r="798">
          <cell r="BA798" t="str">
            <v>.</v>
          </cell>
        </row>
        <row r="799">
          <cell r="BA799" t="str">
            <v>.</v>
          </cell>
        </row>
        <row r="800">
          <cell r="BA800" t="str">
            <v>.</v>
          </cell>
        </row>
        <row r="801">
          <cell r="BA801" t="str">
            <v>.</v>
          </cell>
        </row>
        <row r="802">
          <cell r="BA802" t="str">
            <v>.</v>
          </cell>
        </row>
        <row r="803">
          <cell r="BA803" t="str">
            <v>.</v>
          </cell>
        </row>
        <row r="804">
          <cell r="BA804" t="str">
            <v>.</v>
          </cell>
        </row>
        <row r="805">
          <cell r="BA805" t="str">
            <v>.</v>
          </cell>
        </row>
        <row r="806">
          <cell r="BA806" t="str">
            <v>.</v>
          </cell>
        </row>
        <row r="807">
          <cell r="BA807" t="str">
            <v>.</v>
          </cell>
        </row>
        <row r="808">
          <cell r="BA808" t="str">
            <v>.</v>
          </cell>
        </row>
        <row r="809">
          <cell r="BA809" t="str">
            <v>.</v>
          </cell>
        </row>
        <row r="810">
          <cell r="BA810" t="str">
            <v>.</v>
          </cell>
        </row>
        <row r="811">
          <cell r="BA811" t="str">
            <v>.</v>
          </cell>
        </row>
        <row r="812">
          <cell r="BA812" t="str">
            <v>.</v>
          </cell>
        </row>
        <row r="813">
          <cell r="BA813" t="str">
            <v>.</v>
          </cell>
        </row>
        <row r="814">
          <cell r="BA814" t="str">
            <v>.</v>
          </cell>
        </row>
        <row r="815">
          <cell r="BA815" t="str">
            <v>.</v>
          </cell>
        </row>
        <row r="816">
          <cell r="BA816" t="str">
            <v>.</v>
          </cell>
        </row>
        <row r="817">
          <cell r="BA817" t="str">
            <v>.</v>
          </cell>
        </row>
        <row r="818">
          <cell r="BA818" t="str">
            <v>.</v>
          </cell>
        </row>
        <row r="819">
          <cell r="BA819" t="str">
            <v>.</v>
          </cell>
        </row>
        <row r="820">
          <cell r="BA820" t="str">
            <v>.</v>
          </cell>
        </row>
        <row r="821">
          <cell r="BA821" t="str">
            <v>.</v>
          </cell>
        </row>
        <row r="822">
          <cell r="BA822" t="str">
            <v>.</v>
          </cell>
        </row>
        <row r="823">
          <cell r="BA823" t="str">
            <v>.</v>
          </cell>
        </row>
        <row r="824">
          <cell r="BA824" t="str">
            <v>.</v>
          </cell>
        </row>
        <row r="825">
          <cell r="BA825" t="str">
            <v>.</v>
          </cell>
        </row>
        <row r="826">
          <cell r="BA826" t="str">
            <v>.</v>
          </cell>
        </row>
        <row r="827">
          <cell r="BA827" t="str">
            <v>.</v>
          </cell>
        </row>
        <row r="828">
          <cell r="BA828" t="str">
            <v>.</v>
          </cell>
        </row>
        <row r="829">
          <cell r="BA829" t="str">
            <v>.</v>
          </cell>
        </row>
        <row r="830">
          <cell r="BA830" t="str">
            <v>.</v>
          </cell>
        </row>
        <row r="831">
          <cell r="BA831" t="str">
            <v>.</v>
          </cell>
        </row>
        <row r="832">
          <cell r="BA832" t="str">
            <v>.</v>
          </cell>
        </row>
        <row r="833">
          <cell r="BA833" t="str">
            <v>.</v>
          </cell>
        </row>
        <row r="834">
          <cell r="BA834" t="str">
            <v>.</v>
          </cell>
        </row>
        <row r="835">
          <cell r="BA835" t="str">
            <v>.</v>
          </cell>
        </row>
        <row r="836">
          <cell r="BA836" t="str">
            <v>.</v>
          </cell>
        </row>
        <row r="837">
          <cell r="BA837" t="str">
            <v>.</v>
          </cell>
        </row>
        <row r="838">
          <cell r="BA838" t="str">
            <v>.</v>
          </cell>
        </row>
        <row r="839">
          <cell r="BA839" t="str">
            <v>.</v>
          </cell>
        </row>
        <row r="840">
          <cell r="BA840" t="str">
            <v>.</v>
          </cell>
        </row>
        <row r="841">
          <cell r="BA841" t="str">
            <v>.</v>
          </cell>
        </row>
        <row r="842">
          <cell r="BA842" t="str">
            <v>.</v>
          </cell>
        </row>
        <row r="843">
          <cell r="BA843" t="str">
            <v>.</v>
          </cell>
        </row>
        <row r="844">
          <cell r="BA844" t="str">
            <v>.</v>
          </cell>
        </row>
        <row r="845">
          <cell r="BA845" t="str">
            <v>.</v>
          </cell>
        </row>
        <row r="846">
          <cell r="BA846" t="str">
            <v>.</v>
          </cell>
        </row>
        <row r="847">
          <cell r="BA847" t="str">
            <v>.</v>
          </cell>
        </row>
        <row r="848">
          <cell r="BA848" t="str">
            <v>.</v>
          </cell>
        </row>
        <row r="849">
          <cell r="BA849" t="str">
            <v>.</v>
          </cell>
        </row>
        <row r="850">
          <cell r="BA850" t="str">
            <v>.</v>
          </cell>
        </row>
        <row r="851">
          <cell r="BA851" t="str">
            <v>.</v>
          </cell>
        </row>
        <row r="852">
          <cell r="BA852" t="str">
            <v>.</v>
          </cell>
        </row>
        <row r="853">
          <cell r="BA853" t="str">
            <v>.</v>
          </cell>
        </row>
        <row r="854">
          <cell r="BA854" t="str">
            <v>.</v>
          </cell>
        </row>
        <row r="855">
          <cell r="BA855" t="str">
            <v>.</v>
          </cell>
        </row>
        <row r="856">
          <cell r="BA856" t="str">
            <v>.</v>
          </cell>
        </row>
        <row r="857">
          <cell r="BA857" t="str">
            <v>.</v>
          </cell>
        </row>
        <row r="858">
          <cell r="BA858" t="str">
            <v>.</v>
          </cell>
        </row>
        <row r="859">
          <cell r="BA859" t="str">
            <v>.</v>
          </cell>
        </row>
        <row r="860">
          <cell r="BA860" t="str">
            <v>.</v>
          </cell>
        </row>
        <row r="861">
          <cell r="BA861" t="str">
            <v>.</v>
          </cell>
        </row>
        <row r="862">
          <cell r="BA862" t="str">
            <v>.</v>
          </cell>
        </row>
        <row r="863">
          <cell r="BA863" t="str">
            <v>.</v>
          </cell>
        </row>
        <row r="864">
          <cell r="BA864" t="str">
            <v>.</v>
          </cell>
        </row>
        <row r="865">
          <cell r="BA865" t="str">
            <v>.</v>
          </cell>
        </row>
        <row r="866">
          <cell r="BA866" t="str">
            <v>.</v>
          </cell>
        </row>
        <row r="867">
          <cell r="BA867" t="str">
            <v>.</v>
          </cell>
        </row>
        <row r="868">
          <cell r="BA868" t="str">
            <v>.</v>
          </cell>
        </row>
        <row r="869">
          <cell r="BA869" t="str">
            <v>.</v>
          </cell>
        </row>
        <row r="870">
          <cell r="BA870" t="str">
            <v>.</v>
          </cell>
        </row>
        <row r="871">
          <cell r="BA871" t="str">
            <v>.</v>
          </cell>
        </row>
        <row r="872">
          <cell r="BA872" t="str">
            <v>.</v>
          </cell>
        </row>
        <row r="873">
          <cell r="BA873" t="str">
            <v>.</v>
          </cell>
        </row>
        <row r="874">
          <cell r="BA874" t="str">
            <v>.</v>
          </cell>
        </row>
        <row r="875">
          <cell r="BA875" t="str">
            <v>.</v>
          </cell>
        </row>
        <row r="876">
          <cell r="BA876" t="str">
            <v>.</v>
          </cell>
        </row>
        <row r="877">
          <cell r="BA877" t="str">
            <v>.</v>
          </cell>
        </row>
        <row r="878">
          <cell r="BA878" t="str">
            <v>.</v>
          </cell>
        </row>
        <row r="879">
          <cell r="BA879" t="str">
            <v>.</v>
          </cell>
        </row>
        <row r="880">
          <cell r="BA880" t="str">
            <v>.</v>
          </cell>
        </row>
        <row r="881">
          <cell r="BA881" t="str">
            <v>.</v>
          </cell>
        </row>
        <row r="882">
          <cell r="BA882" t="str">
            <v>.</v>
          </cell>
        </row>
        <row r="883">
          <cell r="BA883" t="str">
            <v>.</v>
          </cell>
        </row>
        <row r="884">
          <cell r="BA884" t="str">
            <v>.</v>
          </cell>
        </row>
        <row r="885">
          <cell r="BA885" t="str">
            <v>.</v>
          </cell>
        </row>
        <row r="886">
          <cell r="BA886" t="str">
            <v>.</v>
          </cell>
        </row>
        <row r="887">
          <cell r="BA887" t="str">
            <v>.</v>
          </cell>
        </row>
        <row r="888">
          <cell r="BA888" t="str">
            <v>.</v>
          </cell>
        </row>
        <row r="889">
          <cell r="BA889" t="str">
            <v>.</v>
          </cell>
        </row>
        <row r="890">
          <cell r="BA890" t="str">
            <v>.</v>
          </cell>
        </row>
        <row r="891">
          <cell r="BA891" t="str">
            <v>.</v>
          </cell>
        </row>
        <row r="892">
          <cell r="BA892" t="str">
            <v>.</v>
          </cell>
        </row>
        <row r="893">
          <cell r="BA893" t="str">
            <v>.</v>
          </cell>
        </row>
        <row r="894">
          <cell r="BA894" t="str">
            <v>.</v>
          </cell>
        </row>
        <row r="895">
          <cell r="BA895" t="str">
            <v>.</v>
          </cell>
        </row>
        <row r="896">
          <cell r="BA896" t="str">
            <v>.</v>
          </cell>
        </row>
        <row r="897">
          <cell r="BA897" t="str">
            <v>.</v>
          </cell>
        </row>
        <row r="898">
          <cell r="BA898" t="str">
            <v>.</v>
          </cell>
        </row>
        <row r="899">
          <cell r="BA899" t="str">
            <v>.</v>
          </cell>
        </row>
        <row r="900">
          <cell r="BA900" t="str">
            <v>.</v>
          </cell>
        </row>
        <row r="901">
          <cell r="BA901" t="str">
            <v>.</v>
          </cell>
        </row>
        <row r="902">
          <cell r="BA902" t="str">
            <v>.</v>
          </cell>
        </row>
        <row r="903">
          <cell r="BA903" t="str">
            <v>.</v>
          </cell>
        </row>
        <row r="904">
          <cell r="BA904" t="str">
            <v>.</v>
          </cell>
        </row>
        <row r="905">
          <cell r="BA905" t="str">
            <v>.</v>
          </cell>
        </row>
        <row r="906">
          <cell r="BA906" t="str">
            <v>.</v>
          </cell>
        </row>
        <row r="907">
          <cell r="BA907" t="str">
            <v>.</v>
          </cell>
        </row>
        <row r="908">
          <cell r="BA908" t="str">
            <v>.</v>
          </cell>
        </row>
        <row r="909">
          <cell r="BA909" t="str">
            <v>.</v>
          </cell>
        </row>
        <row r="910">
          <cell r="BA910" t="str">
            <v>.</v>
          </cell>
        </row>
        <row r="911">
          <cell r="BA911" t="str">
            <v>.</v>
          </cell>
        </row>
        <row r="912">
          <cell r="BA912" t="str">
            <v>.</v>
          </cell>
        </row>
        <row r="913">
          <cell r="BA913" t="str">
            <v>.</v>
          </cell>
        </row>
        <row r="914">
          <cell r="BA914" t="str">
            <v>.</v>
          </cell>
        </row>
        <row r="915">
          <cell r="BA915" t="str">
            <v>.</v>
          </cell>
        </row>
        <row r="916">
          <cell r="BA916" t="str">
            <v>.</v>
          </cell>
        </row>
        <row r="917">
          <cell r="BA917" t="str">
            <v>.</v>
          </cell>
        </row>
        <row r="918">
          <cell r="BA918" t="str">
            <v>.</v>
          </cell>
        </row>
        <row r="919">
          <cell r="BA919" t="str">
            <v>.</v>
          </cell>
        </row>
        <row r="920">
          <cell r="BA920" t="str">
            <v>.</v>
          </cell>
        </row>
        <row r="921">
          <cell r="BA921" t="str">
            <v>.</v>
          </cell>
        </row>
        <row r="922">
          <cell r="BA922" t="str">
            <v>.</v>
          </cell>
        </row>
        <row r="923">
          <cell r="BA923" t="str">
            <v>.</v>
          </cell>
        </row>
        <row r="924">
          <cell r="BA924" t="str">
            <v>.</v>
          </cell>
        </row>
        <row r="925">
          <cell r="BA925" t="str">
            <v>.</v>
          </cell>
        </row>
        <row r="926">
          <cell r="BA926" t="str">
            <v>.</v>
          </cell>
        </row>
        <row r="927">
          <cell r="BA927" t="str">
            <v>.</v>
          </cell>
        </row>
        <row r="928">
          <cell r="BA928" t="str">
            <v>.</v>
          </cell>
        </row>
        <row r="929">
          <cell r="BA929" t="str">
            <v>.</v>
          </cell>
        </row>
        <row r="930">
          <cell r="BA930" t="str">
            <v>.</v>
          </cell>
        </row>
        <row r="931">
          <cell r="BA931" t="str">
            <v>.</v>
          </cell>
        </row>
        <row r="932">
          <cell r="BA932" t="str">
            <v>.</v>
          </cell>
        </row>
        <row r="933">
          <cell r="BA933" t="str">
            <v>.</v>
          </cell>
        </row>
        <row r="934">
          <cell r="BA934" t="str">
            <v>.</v>
          </cell>
        </row>
        <row r="935">
          <cell r="BA935" t="str">
            <v>.</v>
          </cell>
        </row>
        <row r="936">
          <cell r="BA936" t="str">
            <v>.</v>
          </cell>
        </row>
        <row r="937">
          <cell r="BA937" t="str">
            <v>.</v>
          </cell>
        </row>
        <row r="938">
          <cell r="BA938" t="str">
            <v>.</v>
          </cell>
        </row>
        <row r="939">
          <cell r="BA939" t="str">
            <v>.</v>
          </cell>
        </row>
        <row r="940">
          <cell r="BA940" t="str">
            <v>.</v>
          </cell>
        </row>
        <row r="941">
          <cell r="BA941" t="str">
            <v>.</v>
          </cell>
        </row>
        <row r="942">
          <cell r="BA942" t="str">
            <v>.</v>
          </cell>
        </row>
        <row r="943">
          <cell r="BA943" t="str">
            <v>.</v>
          </cell>
        </row>
        <row r="944">
          <cell r="BA944" t="str">
            <v>.</v>
          </cell>
        </row>
        <row r="945">
          <cell r="BA945" t="str">
            <v>.</v>
          </cell>
        </row>
        <row r="946">
          <cell r="BA946" t="str">
            <v>.</v>
          </cell>
        </row>
        <row r="947">
          <cell r="BA947" t="str">
            <v>.</v>
          </cell>
        </row>
        <row r="948">
          <cell r="BA948" t="str">
            <v>.</v>
          </cell>
        </row>
        <row r="949">
          <cell r="BA949" t="str">
            <v>.</v>
          </cell>
        </row>
        <row r="950">
          <cell r="BA950" t="str">
            <v>.</v>
          </cell>
        </row>
        <row r="951">
          <cell r="BA951" t="str">
            <v>.</v>
          </cell>
        </row>
        <row r="952">
          <cell r="BA952" t="str">
            <v>.</v>
          </cell>
        </row>
        <row r="953">
          <cell r="BA953" t="str">
            <v>.</v>
          </cell>
        </row>
        <row r="954">
          <cell r="BA954" t="str">
            <v>.</v>
          </cell>
        </row>
        <row r="955">
          <cell r="BA955" t="str">
            <v>.</v>
          </cell>
        </row>
        <row r="956">
          <cell r="BA956" t="str">
            <v>.</v>
          </cell>
        </row>
        <row r="957">
          <cell r="BA957" t="str">
            <v>.</v>
          </cell>
        </row>
        <row r="958">
          <cell r="BA958" t="str">
            <v>.</v>
          </cell>
        </row>
        <row r="959">
          <cell r="BA959" t="str">
            <v>.</v>
          </cell>
        </row>
        <row r="960">
          <cell r="BA960" t="str">
            <v>.</v>
          </cell>
        </row>
        <row r="961">
          <cell r="BA961" t="str">
            <v>.</v>
          </cell>
        </row>
        <row r="962">
          <cell r="BA962" t="str">
            <v>.</v>
          </cell>
        </row>
        <row r="963">
          <cell r="BA963" t="str">
            <v>.</v>
          </cell>
        </row>
        <row r="964">
          <cell r="BA964" t="str">
            <v>.</v>
          </cell>
        </row>
        <row r="965">
          <cell r="BA965" t="str">
            <v>.</v>
          </cell>
        </row>
        <row r="966">
          <cell r="BA966" t="str">
            <v>.</v>
          </cell>
        </row>
        <row r="967">
          <cell r="BA967" t="str">
            <v>.</v>
          </cell>
        </row>
        <row r="968">
          <cell r="BA968" t="str">
            <v>.</v>
          </cell>
        </row>
        <row r="969">
          <cell r="BA969" t="str">
            <v>.</v>
          </cell>
        </row>
        <row r="970">
          <cell r="BA970" t="str">
            <v>.</v>
          </cell>
        </row>
        <row r="971">
          <cell r="BA971" t="str">
            <v>.</v>
          </cell>
        </row>
        <row r="972">
          <cell r="BA972" t="str">
            <v>.</v>
          </cell>
        </row>
        <row r="973">
          <cell r="BA973" t="str">
            <v>.</v>
          </cell>
        </row>
        <row r="974">
          <cell r="BA974" t="str">
            <v>.</v>
          </cell>
        </row>
        <row r="975">
          <cell r="BA975" t="str">
            <v>.</v>
          </cell>
        </row>
        <row r="976">
          <cell r="BA976" t="str">
            <v>.</v>
          </cell>
        </row>
        <row r="977">
          <cell r="BA977" t="str">
            <v>.</v>
          </cell>
        </row>
        <row r="978">
          <cell r="BA978" t="str">
            <v>.</v>
          </cell>
        </row>
        <row r="979">
          <cell r="BA979" t="str">
            <v>.</v>
          </cell>
        </row>
        <row r="980">
          <cell r="BA980" t="str">
            <v>.</v>
          </cell>
        </row>
        <row r="981">
          <cell r="BA981" t="str">
            <v>.</v>
          </cell>
        </row>
        <row r="982">
          <cell r="BA982" t="str">
            <v>.</v>
          </cell>
        </row>
        <row r="983">
          <cell r="BA983" t="str">
            <v>.</v>
          </cell>
        </row>
        <row r="984">
          <cell r="BA984" t="str">
            <v>.</v>
          </cell>
        </row>
        <row r="985">
          <cell r="BA985" t="str">
            <v>.</v>
          </cell>
        </row>
        <row r="986">
          <cell r="BA986" t="str">
            <v>.</v>
          </cell>
        </row>
        <row r="987">
          <cell r="BA987" t="str">
            <v>.</v>
          </cell>
        </row>
        <row r="988">
          <cell r="BA988" t="str">
            <v>.</v>
          </cell>
        </row>
        <row r="989">
          <cell r="BA989" t="str">
            <v>.</v>
          </cell>
        </row>
        <row r="990">
          <cell r="BA990" t="str">
            <v>.</v>
          </cell>
        </row>
        <row r="991">
          <cell r="BA991" t="str">
            <v>.</v>
          </cell>
        </row>
        <row r="992">
          <cell r="BA992" t="str">
            <v>.</v>
          </cell>
        </row>
        <row r="993">
          <cell r="BA993" t="str">
            <v>.</v>
          </cell>
        </row>
        <row r="994">
          <cell r="BA994" t="str">
            <v>.</v>
          </cell>
        </row>
        <row r="995">
          <cell r="BA995" t="str">
            <v>.</v>
          </cell>
        </row>
        <row r="996">
          <cell r="BA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H997" t="str">
            <v>.</v>
          </cell>
          <cell r="S997" t="str">
            <v>.</v>
          </cell>
          <cell r="T997" t="str">
            <v>.</v>
          </cell>
          <cell r="U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</row>
      </sheetData>
      <sheetData sheetId="2" refreshError="1"/>
      <sheetData sheetId="3" refreshError="1"/>
      <sheetData sheetId="4">
        <row r="1">
          <cell r="P1" t="str">
            <v>SmartCharts</v>
          </cell>
          <cell r="BA1" t="str">
            <v>.</v>
          </cell>
        </row>
        <row r="2">
          <cell r="BA2" t="str">
            <v>.</v>
          </cell>
        </row>
        <row r="3">
          <cell r="BA3" t="str">
            <v>.</v>
          </cell>
        </row>
        <row r="4">
          <cell r="BA4" t="str">
            <v>.</v>
          </cell>
        </row>
        <row r="5">
          <cell r="C5" t="str">
            <v>Define value axis here:</v>
          </cell>
        </row>
        <row r="6">
          <cell r="C6" t="str">
            <v>Bristol-Myers Squibb 2010E–2015 margins projections</v>
          </cell>
        </row>
        <row r="10">
          <cell r="C10" t="str">
            <v>Input your data here:</v>
          </cell>
          <cell r="BA10" t="str">
            <v>.</v>
          </cell>
        </row>
        <row r="11">
          <cell r="D11">
            <v>2010</v>
          </cell>
          <cell r="E11">
            <v>2015</v>
          </cell>
          <cell r="BA11" t="str">
            <v>.</v>
          </cell>
        </row>
        <row r="12">
          <cell r="C12" t="str">
            <v>Gross margin</v>
          </cell>
          <cell r="D12">
            <v>0.72499999999999998</v>
          </cell>
          <cell r="E12">
            <v>0.68100000000000005</v>
          </cell>
        </row>
        <row r="13">
          <cell r="C13" t="str">
            <v>Operating margin</v>
          </cell>
          <cell r="D13">
            <v>0.30161955647352828</v>
          </cell>
          <cell r="E13">
            <v>0.25676950311816399</v>
          </cell>
        </row>
        <row r="14">
          <cell r="C14" t="str">
            <v>Net margin</v>
          </cell>
          <cell r="D14">
            <v>0.18869606564379282</v>
          </cell>
          <cell r="E14">
            <v>0.17772499764542135</v>
          </cell>
          <cell r="BA14" t="str">
            <v>.</v>
          </cell>
        </row>
        <row r="15">
          <cell r="BA15" t="str">
            <v>.</v>
          </cell>
        </row>
        <row r="16">
          <cell r="BA16" t="str">
            <v>.</v>
          </cell>
        </row>
        <row r="17">
          <cell r="BA17" t="str">
            <v>.</v>
          </cell>
        </row>
        <row r="18">
          <cell r="C18" t="str">
            <v xml:space="preserve">More than six categories will make this chart </v>
          </cell>
          <cell r="BA18" t="str">
            <v>.</v>
          </cell>
        </row>
        <row r="19">
          <cell r="C19" t="str">
            <v>cluttered and too difficult to read.</v>
          </cell>
          <cell r="BA19" t="str">
            <v>.</v>
          </cell>
        </row>
        <row r="20">
          <cell r="BA20" t="str">
            <v>.</v>
          </cell>
        </row>
        <row r="21">
          <cell r="BA21" t="str">
            <v>.</v>
          </cell>
        </row>
        <row r="22">
          <cell r="BA22" t="str">
            <v>.</v>
          </cell>
        </row>
        <row r="23">
          <cell r="BA23" t="str">
            <v>.</v>
          </cell>
        </row>
        <row r="24">
          <cell r="BA24" t="str">
            <v>.</v>
          </cell>
        </row>
        <row r="25">
          <cell r="BA25" t="str">
            <v>.</v>
          </cell>
        </row>
        <row r="26">
          <cell r="BA26" t="str">
            <v>.</v>
          </cell>
        </row>
        <row r="27">
          <cell r="BA27" t="str">
            <v>.</v>
          </cell>
        </row>
        <row r="28">
          <cell r="BA28" t="str">
            <v>.</v>
          </cell>
        </row>
        <row r="29">
          <cell r="BA29" t="str">
            <v>.</v>
          </cell>
        </row>
        <row r="30">
          <cell r="BA30" t="str">
            <v>.</v>
          </cell>
        </row>
        <row r="31">
          <cell r="BA31" t="str">
            <v>.</v>
          </cell>
        </row>
        <row r="32">
          <cell r="BA32" t="str">
            <v>.</v>
          </cell>
        </row>
        <row r="33">
          <cell r="BA33" t="str">
            <v>.</v>
          </cell>
        </row>
        <row r="34">
          <cell r="BA34" t="str">
            <v>.</v>
          </cell>
        </row>
        <row r="35">
          <cell r="BA35" t="str">
            <v>.</v>
          </cell>
        </row>
        <row r="36">
          <cell r="BA36" t="str">
            <v>.</v>
          </cell>
        </row>
        <row r="37">
          <cell r="BA37" t="str">
            <v>.</v>
          </cell>
        </row>
        <row r="38">
          <cell r="BA38" t="str">
            <v>.</v>
          </cell>
        </row>
        <row r="39">
          <cell r="BA39" t="str">
            <v>.</v>
          </cell>
        </row>
        <row r="40">
          <cell r="BA40" t="str">
            <v>.</v>
          </cell>
        </row>
        <row r="41">
          <cell r="BA41" t="str">
            <v>.</v>
          </cell>
        </row>
        <row r="42">
          <cell r="I42" t="str">
            <v>Do not change the width of the exhibit or font sizes (they are optimized for export to Word).</v>
          </cell>
          <cell r="BA42" t="str">
            <v>.</v>
          </cell>
        </row>
        <row r="43">
          <cell r="BA43" t="str">
            <v>.</v>
          </cell>
        </row>
        <row r="44">
          <cell r="I44" t="str">
            <v>Do not delete any rows or columns (some gray cells are used for calculations).</v>
          </cell>
          <cell r="BA44" t="str">
            <v>.</v>
          </cell>
        </row>
        <row r="45">
          <cell r="BA45" t="str">
            <v>.</v>
          </cell>
        </row>
        <row r="46">
          <cell r="BA46" t="str">
            <v>.</v>
          </cell>
        </row>
        <row r="47">
          <cell r="BA47" t="str">
            <v>.</v>
          </cell>
        </row>
        <row r="48">
          <cell r="BA48" t="str">
            <v>.</v>
          </cell>
        </row>
        <row r="49">
          <cell r="BA49" t="str">
            <v>.</v>
          </cell>
        </row>
        <row r="50">
          <cell r="BA50" t="str">
            <v>.</v>
          </cell>
        </row>
        <row r="51">
          <cell r="BA51" t="str">
            <v>.</v>
          </cell>
        </row>
        <row r="52">
          <cell r="BA52" t="str">
            <v>.</v>
          </cell>
        </row>
        <row r="53">
          <cell r="BA53" t="str">
            <v>.</v>
          </cell>
        </row>
        <row r="54">
          <cell r="BA54" t="str">
            <v>.</v>
          </cell>
        </row>
        <row r="55">
          <cell r="BA55" t="str">
            <v>.</v>
          </cell>
        </row>
        <row r="56">
          <cell r="BA56" t="str">
            <v>.</v>
          </cell>
        </row>
        <row r="57">
          <cell r="BA57" t="str">
            <v>.</v>
          </cell>
        </row>
        <row r="58">
          <cell r="BA58" t="str">
            <v>.</v>
          </cell>
        </row>
        <row r="59">
          <cell r="BA59" t="str">
            <v>.</v>
          </cell>
        </row>
        <row r="60">
          <cell r="BA60" t="str">
            <v>.</v>
          </cell>
        </row>
        <row r="61">
          <cell r="BA61" t="str">
            <v>.</v>
          </cell>
        </row>
        <row r="62">
          <cell r="BA62" t="str">
            <v>.</v>
          </cell>
        </row>
        <row r="63">
          <cell r="BA63" t="str">
            <v>.</v>
          </cell>
        </row>
        <row r="64">
          <cell r="BA64" t="str">
            <v>.</v>
          </cell>
        </row>
        <row r="65">
          <cell r="BA65" t="str">
            <v>.</v>
          </cell>
        </row>
        <row r="66">
          <cell r="BA66" t="str">
            <v>.</v>
          </cell>
        </row>
        <row r="67">
          <cell r="BA67" t="str">
            <v>.</v>
          </cell>
        </row>
        <row r="68">
          <cell r="BA68" t="str">
            <v>.</v>
          </cell>
        </row>
        <row r="69">
          <cell r="BA69" t="str">
            <v>.</v>
          </cell>
        </row>
        <row r="70">
          <cell r="BA70" t="str">
            <v>.</v>
          </cell>
        </row>
        <row r="71">
          <cell r="BA71" t="str">
            <v>.</v>
          </cell>
        </row>
        <row r="72">
          <cell r="BA72" t="str">
            <v>.</v>
          </cell>
        </row>
        <row r="73">
          <cell r="BA73" t="str">
            <v>.</v>
          </cell>
        </row>
        <row r="74">
          <cell r="BA74" t="str">
            <v>.</v>
          </cell>
        </row>
        <row r="75">
          <cell r="BA75" t="str">
            <v>.</v>
          </cell>
        </row>
        <row r="76">
          <cell r="BA76" t="str">
            <v>.</v>
          </cell>
        </row>
        <row r="77">
          <cell r="BA77" t="str">
            <v>.</v>
          </cell>
        </row>
        <row r="78">
          <cell r="BA78" t="str">
            <v>.</v>
          </cell>
        </row>
        <row r="79">
          <cell r="BA79" t="str">
            <v>.</v>
          </cell>
        </row>
        <row r="80">
          <cell r="BA80" t="str">
            <v>.</v>
          </cell>
        </row>
        <row r="81">
          <cell r="BA81" t="str">
            <v>.</v>
          </cell>
        </row>
        <row r="82">
          <cell r="BA82" t="str">
            <v>.</v>
          </cell>
        </row>
        <row r="83">
          <cell r="BA83" t="str">
            <v>.</v>
          </cell>
        </row>
        <row r="84">
          <cell r="BA84" t="str">
            <v>.</v>
          </cell>
        </row>
        <row r="85">
          <cell r="BA85" t="str">
            <v>.</v>
          </cell>
        </row>
        <row r="86">
          <cell r="BA86" t="str">
            <v>.</v>
          </cell>
        </row>
        <row r="87">
          <cell r="BA87" t="str">
            <v>.</v>
          </cell>
        </row>
        <row r="88">
          <cell r="BA88" t="str">
            <v>.</v>
          </cell>
        </row>
        <row r="89">
          <cell r="BA89" t="str">
            <v>.</v>
          </cell>
        </row>
        <row r="90">
          <cell r="BA90" t="str">
            <v>.</v>
          </cell>
        </row>
        <row r="91">
          <cell r="BA91" t="str">
            <v>.</v>
          </cell>
        </row>
        <row r="92">
          <cell r="BA92" t="str">
            <v>.</v>
          </cell>
        </row>
        <row r="93">
          <cell r="BA93" t="str">
            <v>.</v>
          </cell>
        </row>
        <row r="94">
          <cell r="BA94" t="str">
            <v>.</v>
          </cell>
        </row>
        <row r="95">
          <cell r="BA95" t="str">
            <v>.</v>
          </cell>
        </row>
        <row r="96">
          <cell r="BA96" t="str">
            <v>.</v>
          </cell>
        </row>
        <row r="97">
          <cell r="BA97" t="str">
            <v>.</v>
          </cell>
        </row>
        <row r="98">
          <cell r="BA98" t="str">
            <v>.</v>
          </cell>
        </row>
        <row r="99">
          <cell r="BA99" t="str">
            <v>.</v>
          </cell>
        </row>
        <row r="100">
          <cell r="BA100" t="str">
            <v>.</v>
          </cell>
        </row>
        <row r="101">
          <cell r="BA101" t="str">
            <v>.</v>
          </cell>
        </row>
        <row r="102">
          <cell r="BA102" t="str">
            <v>.</v>
          </cell>
        </row>
        <row r="103">
          <cell r="BA103" t="str">
            <v>.</v>
          </cell>
        </row>
        <row r="104">
          <cell r="BA104" t="str">
            <v>.</v>
          </cell>
        </row>
        <row r="105">
          <cell r="BA105" t="str">
            <v>.</v>
          </cell>
        </row>
        <row r="106">
          <cell r="BA106" t="str">
            <v>.</v>
          </cell>
        </row>
        <row r="107">
          <cell r="BA107" t="str">
            <v>.</v>
          </cell>
        </row>
        <row r="108">
          <cell r="BA108" t="str">
            <v>.</v>
          </cell>
        </row>
        <row r="109">
          <cell r="BA109" t="str">
            <v>.</v>
          </cell>
        </row>
        <row r="110">
          <cell r="BA110" t="str">
            <v>.</v>
          </cell>
        </row>
        <row r="111">
          <cell r="BA111" t="str">
            <v>.</v>
          </cell>
        </row>
        <row r="112">
          <cell r="BA112" t="str">
            <v>.</v>
          </cell>
        </row>
        <row r="113">
          <cell r="BA113" t="str">
            <v>.</v>
          </cell>
        </row>
        <row r="114">
          <cell r="BA114" t="str">
            <v>.</v>
          </cell>
        </row>
        <row r="115">
          <cell r="BA115" t="str">
            <v>.</v>
          </cell>
        </row>
        <row r="116">
          <cell r="BA116" t="str">
            <v>.</v>
          </cell>
        </row>
        <row r="117">
          <cell r="BA117" t="str">
            <v>.</v>
          </cell>
        </row>
        <row r="118">
          <cell r="BA118" t="str">
            <v>.</v>
          </cell>
        </row>
        <row r="119">
          <cell r="BA119" t="str">
            <v>.</v>
          </cell>
        </row>
        <row r="120">
          <cell r="BA120" t="str">
            <v>.</v>
          </cell>
        </row>
        <row r="121">
          <cell r="BA121" t="str">
            <v>.</v>
          </cell>
        </row>
        <row r="122">
          <cell r="BA122" t="str">
            <v>.</v>
          </cell>
        </row>
        <row r="123">
          <cell r="BA123" t="str">
            <v>.</v>
          </cell>
        </row>
        <row r="124">
          <cell r="BA124" t="str">
            <v>.</v>
          </cell>
        </row>
        <row r="125">
          <cell r="BA125" t="str">
            <v>.</v>
          </cell>
        </row>
        <row r="126">
          <cell r="BA126" t="str">
            <v>.</v>
          </cell>
        </row>
        <row r="127">
          <cell r="BA127" t="str">
            <v>.</v>
          </cell>
        </row>
        <row r="128">
          <cell r="BA128" t="str">
            <v>.</v>
          </cell>
        </row>
        <row r="129">
          <cell r="BA129" t="str">
            <v>.</v>
          </cell>
        </row>
        <row r="130">
          <cell r="BA130" t="str">
            <v>.</v>
          </cell>
        </row>
        <row r="131">
          <cell r="BA131" t="str">
            <v>.</v>
          </cell>
        </row>
        <row r="132">
          <cell r="BA132" t="str">
            <v>.</v>
          </cell>
        </row>
        <row r="133">
          <cell r="BA133" t="str">
            <v>.</v>
          </cell>
        </row>
        <row r="134">
          <cell r="BA134" t="str">
            <v>.</v>
          </cell>
        </row>
        <row r="135">
          <cell r="BA135" t="str">
            <v>.</v>
          </cell>
        </row>
        <row r="136">
          <cell r="BA136" t="str">
            <v>.</v>
          </cell>
        </row>
        <row r="137">
          <cell r="BA137" t="str">
            <v>.</v>
          </cell>
        </row>
        <row r="138">
          <cell r="BA138" t="str">
            <v>.</v>
          </cell>
        </row>
        <row r="139">
          <cell r="BA139" t="str">
            <v>.</v>
          </cell>
        </row>
        <row r="140">
          <cell r="BA140" t="str">
            <v>.</v>
          </cell>
        </row>
        <row r="141">
          <cell r="BA141" t="str">
            <v>.</v>
          </cell>
        </row>
        <row r="142">
          <cell r="BA142" t="str">
            <v>.</v>
          </cell>
        </row>
        <row r="143">
          <cell r="BA143" t="str">
            <v>.</v>
          </cell>
        </row>
        <row r="144">
          <cell r="BA144" t="str">
            <v>.</v>
          </cell>
        </row>
        <row r="145">
          <cell r="BA145" t="str">
            <v>.</v>
          </cell>
        </row>
        <row r="146">
          <cell r="BA146" t="str">
            <v>.</v>
          </cell>
        </row>
        <row r="147">
          <cell r="BA147" t="str">
            <v>.</v>
          </cell>
        </row>
        <row r="148">
          <cell r="BA148" t="str">
            <v>.</v>
          </cell>
        </row>
        <row r="149">
          <cell r="BA149" t="str">
            <v>.</v>
          </cell>
        </row>
        <row r="150">
          <cell r="BA150" t="str">
            <v>.</v>
          </cell>
        </row>
        <row r="151">
          <cell r="BA151" t="str">
            <v>.</v>
          </cell>
        </row>
        <row r="152">
          <cell r="BA152" t="str">
            <v>.</v>
          </cell>
        </row>
        <row r="153">
          <cell r="BA153" t="str">
            <v>.</v>
          </cell>
        </row>
        <row r="154">
          <cell r="BA154" t="str">
            <v>.</v>
          </cell>
        </row>
        <row r="155">
          <cell r="BA155" t="str">
            <v>.</v>
          </cell>
        </row>
        <row r="156">
          <cell r="BA156" t="str">
            <v>.</v>
          </cell>
        </row>
        <row r="157">
          <cell r="BA157" t="str">
            <v>.</v>
          </cell>
        </row>
        <row r="158">
          <cell r="BA158" t="str">
            <v>.</v>
          </cell>
        </row>
        <row r="159">
          <cell r="BA159" t="str">
            <v>.</v>
          </cell>
        </row>
        <row r="160">
          <cell r="BA160" t="str">
            <v>.</v>
          </cell>
        </row>
        <row r="161">
          <cell r="BA161" t="str">
            <v>.</v>
          </cell>
        </row>
        <row r="162">
          <cell r="BA162" t="str">
            <v>.</v>
          </cell>
        </row>
        <row r="163">
          <cell r="BA163" t="str">
            <v>.</v>
          </cell>
        </row>
        <row r="164">
          <cell r="BA164" t="str">
            <v>.</v>
          </cell>
        </row>
        <row r="165">
          <cell r="BA165" t="str">
            <v>.</v>
          </cell>
        </row>
        <row r="166">
          <cell r="BA166" t="str">
            <v>.</v>
          </cell>
        </row>
        <row r="167">
          <cell r="BA167" t="str">
            <v>.</v>
          </cell>
        </row>
        <row r="168">
          <cell r="BA168" t="str">
            <v>.</v>
          </cell>
        </row>
        <row r="169">
          <cell r="BA169" t="str">
            <v>.</v>
          </cell>
        </row>
        <row r="170">
          <cell r="BA170" t="str">
            <v>.</v>
          </cell>
        </row>
        <row r="171">
          <cell r="BA171" t="str">
            <v>.</v>
          </cell>
        </row>
        <row r="172">
          <cell r="BA172" t="str">
            <v>.</v>
          </cell>
        </row>
        <row r="173">
          <cell r="BA173" t="str">
            <v>.</v>
          </cell>
        </row>
        <row r="174">
          <cell r="BA174" t="str">
            <v>.</v>
          </cell>
        </row>
        <row r="175">
          <cell r="BA175" t="str">
            <v>.</v>
          </cell>
        </row>
        <row r="176">
          <cell r="BA176" t="str">
            <v>.</v>
          </cell>
        </row>
        <row r="177">
          <cell r="BA177" t="str">
            <v>.</v>
          </cell>
        </row>
        <row r="178">
          <cell r="BA178" t="str">
            <v>.</v>
          </cell>
        </row>
        <row r="179">
          <cell r="BA179" t="str">
            <v>.</v>
          </cell>
        </row>
        <row r="180">
          <cell r="BA180" t="str">
            <v>.</v>
          </cell>
        </row>
        <row r="181">
          <cell r="BA181" t="str">
            <v>.</v>
          </cell>
        </row>
        <row r="182">
          <cell r="BA182" t="str">
            <v>.</v>
          </cell>
        </row>
        <row r="183">
          <cell r="BA183" t="str">
            <v>.</v>
          </cell>
        </row>
        <row r="184">
          <cell r="BA184" t="str">
            <v>.</v>
          </cell>
        </row>
        <row r="185">
          <cell r="BA185" t="str">
            <v>.</v>
          </cell>
        </row>
        <row r="186">
          <cell r="BA186" t="str">
            <v>.</v>
          </cell>
        </row>
        <row r="187">
          <cell r="BA187" t="str">
            <v>.</v>
          </cell>
        </row>
        <row r="188">
          <cell r="BA188" t="str">
            <v>.</v>
          </cell>
        </row>
        <row r="189">
          <cell r="BA189" t="str">
            <v>.</v>
          </cell>
        </row>
        <row r="190">
          <cell r="BA190" t="str">
            <v>.</v>
          </cell>
        </row>
        <row r="191">
          <cell r="BA191" t="str">
            <v>.</v>
          </cell>
        </row>
        <row r="192">
          <cell r="BA192" t="str">
            <v>.</v>
          </cell>
        </row>
        <row r="193">
          <cell r="BA193" t="str">
            <v>.</v>
          </cell>
        </row>
        <row r="194">
          <cell r="BA194" t="str">
            <v>.</v>
          </cell>
        </row>
        <row r="195">
          <cell r="BA195" t="str">
            <v>.</v>
          </cell>
        </row>
        <row r="196">
          <cell r="BA196" t="str">
            <v>.</v>
          </cell>
        </row>
        <row r="197">
          <cell r="BA197" t="str">
            <v>.</v>
          </cell>
        </row>
        <row r="198">
          <cell r="BA198" t="str">
            <v>.</v>
          </cell>
        </row>
        <row r="199">
          <cell r="BA199" t="str">
            <v>.</v>
          </cell>
        </row>
        <row r="200">
          <cell r="BA200" t="str">
            <v>.</v>
          </cell>
        </row>
        <row r="201">
          <cell r="BA201" t="str">
            <v>.</v>
          </cell>
        </row>
        <row r="202">
          <cell r="BA202" t="str">
            <v>.</v>
          </cell>
        </row>
        <row r="203">
          <cell r="BA203" t="str">
            <v>.</v>
          </cell>
        </row>
        <row r="204">
          <cell r="BA204" t="str">
            <v>.</v>
          </cell>
        </row>
        <row r="205">
          <cell r="BA205" t="str">
            <v>.</v>
          </cell>
        </row>
        <row r="206">
          <cell r="BA206" t="str">
            <v>.</v>
          </cell>
        </row>
        <row r="207">
          <cell r="BA207" t="str">
            <v>.</v>
          </cell>
        </row>
        <row r="208">
          <cell r="BA208" t="str">
            <v>.</v>
          </cell>
        </row>
        <row r="209">
          <cell r="BA209" t="str">
            <v>.</v>
          </cell>
        </row>
        <row r="210">
          <cell r="BA210" t="str">
            <v>.</v>
          </cell>
        </row>
        <row r="211">
          <cell r="BA211" t="str">
            <v>.</v>
          </cell>
        </row>
        <row r="212">
          <cell r="BA212" t="str">
            <v>.</v>
          </cell>
        </row>
        <row r="213">
          <cell r="BA213" t="str">
            <v>.</v>
          </cell>
        </row>
        <row r="214">
          <cell r="BA214" t="str">
            <v>.</v>
          </cell>
        </row>
        <row r="215">
          <cell r="BA215" t="str">
            <v>.</v>
          </cell>
        </row>
        <row r="216">
          <cell r="BA216" t="str">
            <v>.</v>
          </cell>
        </row>
        <row r="217">
          <cell r="BA217" t="str">
            <v>.</v>
          </cell>
        </row>
        <row r="218">
          <cell r="BA218" t="str">
            <v>.</v>
          </cell>
        </row>
        <row r="219">
          <cell r="BA219" t="str">
            <v>.</v>
          </cell>
        </row>
        <row r="220">
          <cell r="BA220" t="str">
            <v>.</v>
          </cell>
        </row>
        <row r="221">
          <cell r="BA221" t="str">
            <v>.</v>
          </cell>
        </row>
        <row r="222">
          <cell r="BA222" t="str">
            <v>.</v>
          </cell>
        </row>
        <row r="223">
          <cell r="BA223" t="str">
            <v>.</v>
          </cell>
        </row>
        <row r="224">
          <cell r="BA224" t="str">
            <v>.</v>
          </cell>
        </row>
        <row r="225">
          <cell r="BA225" t="str">
            <v>.</v>
          </cell>
        </row>
        <row r="226">
          <cell r="BA226" t="str">
            <v>.</v>
          </cell>
        </row>
        <row r="227">
          <cell r="BA227" t="str">
            <v>.</v>
          </cell>
        </row>
        <row r="228">
          <cell r="BA228" t="str">
            <v>.</v>
          </cell>
        </row>
        <row r="229">
          <cell r="BA229" t="str">
            <v>.</v>
          </cell>
        </row>
        <row r="230">
          <cell r="BA230" t="str">
            <v>.</v>
          </cell>
        </row>
        <row r="231">
          <cell r="BA231" t="str">
            <v>.</v>
          </cell>
        </row>
        <row r="232">
          <cell r="BA232" t="str">
            <v>.</v>
          </cell>
        </row>
        <row r="233">
          <cell r="BA233" t="str">
            <v>.</v>
          </cell>
        </row>
        <row r="234">
          <cell r="BA234" t="str">
            <v>.</v>
          </cell>
        </row>
        <row r="235">
          <cell r="BA235" t="str">
            <v>.</v>
          </cell>
        </row>
        <row r="236">
          <cell r="BA236" t="str">
            <v>.</v>
          </cell>
        </row>
        <row r="237">
          <cell r="BA237" t="str">
            <v>.</v>
          </cell>
        </row>
        <row r="238">
          <cell r="BA238" t="str">
            <v>.</v>
          </cell>
        </row>
        <row r="239">
          <cell r="BA239" t="str">
            <v>.</v>
          </cell>
        </row>
        <row r="240">
          <cell r="BA240" t="str">
            <v>.</v>
          </cell>
        </row>
        <row r="241">
          <cell r="BA241" t="str">
            <v>.</v>
          </cell>
        </row>
        <row r="242">
          <cell r="BA242" t="str">
            <v>.</v>
          </cell>
        </row>
        <row r="243">
          <cell r="BA243" t="str">
            <v>.</v>
          </cell>
        </row>
        <row r="244">
          <cell r="BA244" t="str">
            <v>.</v>
          </cell>
        </row>
        <row r="245">
          <cell r="BA245" t="str">
            <v>.</v>
          </cell>
        </row>
        <row r="246">
          <cell r="BA246" t="str">
            <v>.</v>
          </cell>
        </row>
        <row r="247">
          <cell r="BA247" t="str">
            <v>.</v>
          </cell>
        </row>
        <row r="248">
          <cell r="BA248" t="str">
            <v>.</v>
          </cell>
        </row>
        <row r="249">
          <cell r="BA249" t="str">
            <v>.</v>
          </cell>
        </row>
        <row r="250">
          <cell r="BA250" t="str">
            <v>.</v>
          </cell>
        </row>
        <row r="251">
          <cell r="BA251" t="str">
            <v>.</v>
          </cell>
        </row>
        <row r="252">
          <cell r="BA252" t="str">
            <v>.</v>
          </cell>
        </row>
        <row r="253">
          <cell r="BA253" t="str">
            <v>.</v>
          </cell>
        </row>
        <row r="254">
          <cell r="BA254" t="str">
            <v>.</v>
          </cell>
        </row>
        <row r="255">
          <cell r="BA255" t="str">
            <v>.</v>
          </cell>
        </row>
        <row r="256">
          <cell r="BA256" t="str">
            <v>.</v>
          </cell>
        </row>
        <row r="257">
          <cell r="BA257" t="str">
            <v>.</v>
          </cell>
        </row>
        <row r="258">
          <cell r="BA258" t="str">
            <v>.</v>
          </cell>
        </row>
        <row r="259">
          <cell r="BA259" t="str">
            <v>.</v>
          </cell>
        </row>
        <row r="260">
          <cell r="BA260" t="str">
            <v>.</v>
          </cell>
        </row>
        <row r="261">
          <cell r="BA261" t="str">
            <v>.</v>
          </cell>
        </row>
        <row r="262">
          <cell r="BA262" t="str">
            <v>.</v>
          </cell>
        </row>
        <row r="263">
          <cell r="BA263" t="str">
            <v>.</v>
          </cell>
        </row>
        <row r="264">
          <cell r="BA264" t="str">
            <v>.</v>
          </cell>
        </row>
        <row r="265">
          <cell r="BA265" t="str">
            <v>.</v>
          </cell>
        </row>
        <row r="266">
          <cell r="BA266" t="str">
            <v>.</v>
          </cell>
        </row>
        <row r="267">
          <cell r="BA267" t="str">
            <v>.</v>
          </cell>
        </row>
        <row r="268">
          <cell r="BA268" t="str">
            <v>.</v>
          </cell>
        </row>
        <row r="269">
          <cell r="BA269" t="str">
            <v>.</v>
          </cell>
        </row>
        <row r="270">
          <cell r="BA270" t="str">
            <v>.</v>
          </cell>
        </row>
        <row r="271">
          <cell r="BA271" t="str">
            <v>.</v>
          </cell>
        </row>
        <row r="272">
          <cell r="BA272" t="str">
            <v>.</v>
          </cell>
        </row>
        <row r="273">
          <cell r="BA273" t="str">
            <v>.</v>
          </cell>
        </row>
        <row r="274">
          <cell r="BA274" t="str">
            <v>.</v>
          </cell>
        </row>
        <row r="275">
          <cell r="BA275" t="str">
            <v>.</v>
          </cell>
        </row>
        <row r="276">
          <cell r="BA276" t="str">
            <v>.</v>
          </cell>
        </row>
        <row r="277">
          <cell r="BA277" t="str">
            <v>.</v>
          </cell>
        </row>
        <row r="278">
          <cell r="BA278" t="str">
            <v>.</v>
          </cell>
        </row>
        <row r="279">
          <cell r="BA279" t="str">
            <v>.</v>
          </cell>
        </row>
        <row r="280">
          <cell r="BA280" t="str">
            <v>.</v>
          </cell>
        </row>
        <row r="281">
          <cell r="BA281" t="str">
            <v>.</v>
          </cell>
        </row>
        <row r="282">
          <cell r="BA282" t="str">
            <v>.</v>
          </cell>
        </row>
        <row r="283">
          <cell r="BA283" t="str">
            <v>.</v>
          </cell>
        </row>
        <row r="284">
          <cell r="BA284" t="str">
            <v>.</v>
          </cell>
        </row>
        <row r="285">
          <cell r="BA285" t="str">
            <v>.</v>
          </cell>
        </row>
        <row r="286">
          <cell r="BA286" t="str">
            <v>.</v>
          </cell>
        </row>
        <row r="287">
          <cell r="BA287" t="str">
            <v>.</v>
          </cell>
        </row>
        <row r="288">
          <cell r="BA288" t="str">
            <v>.</v>
          </cell>
        </row>
        <row r="289">
          <cell r="BA289" t="str">
            <v>.</v>
          </cell>
        </row>
        <row r="290">
          <cell r="BA290" t="str">
            <v>.</v>
          </cell>
        </row>
        <row r="291">
          <cell r="BA291" t="str">
            <v>.</v>
          </cell>
        </row>
        <row r="292">
          <cell r="BA292" t="str">
            <v>.</v>
          </cell>
        </row>
        <row r="293">
          <cell r="BA293" t="str">
            <v>.</v>
          </cell>
        </row>
        <row r="294">
          <cell r="BA294" t="str">
            <v>.</v>
          </cell>
        </row>
        <row r="295">
          <cell r="BA295" t="str">
            <v>.</v>
          </cell>
        </row>
        <row r="296">
          <cell r="BA296" t="str">
            <v>.</v>
          </cell>
        </row>
        <row r="297">
          <cell r="BA297" t="str">
            <v>.</v>
          </cell>
        </row>
        <row r="298">
          <cell r="BA298" t="str">
            <v>.</v>
          </cell>
        </row>
        <row r="299">
          <cell r="BA299" t="str">
            <v>.</v>
          </cell>
        </row>
        <row r="300">
          <cell r="BA300" t="str">
            <v>.</v>
          </cell>
        </row>
        <row r="301">
          <cell r="BA301" t="str">
            <v>.</v>
          </cell>
        </row>
        <row r="302">
          <cell r="BA302" t="str">
            <v>.</v>
          </cell>
        </row>
        <row r="303">
          <cell r="BA303" t="str">
            <v>.</v>
          </cell>
        </row>
        <row r="304">
          <cell r="BA304" t="str">
            <v>.</v>
          </cell>
        </row>
        <row r="305">
          <cell r="BA305" t="str">
            <v>.</v>
          </cell>
        </row>
        <row r="306">
          <cell r="BA306" t="str">
            <v>.</v>
          </cell>
        </row>
        <row r="307">
          <cell r="BA307" t="str">
            <v>.</v>
          </cell>
        </row>
        <row r="308">
          <cell r="BA308" t="str">
            <v>.</v>
          </cell>
        </row>
        <row r="309">
          <cell r="BA309" t="str">
            <v>.</v>
          </cell>
        </row>
        <row r="310">
          <cell r="BA310" t="str">
            <v>.</v>
          </cell>
        </row>
        <row r="311">
          <cell r="BA311" t="str">
            <v>.</v>
          </cell>
        </row>
        <row r="312">
          <cell r="BA312" t="str">
            <v>.</v>
          </cell>
        </row>
        <row r="313">
          <cell r="BA313" t="str">
            <v>.</v>
          </cell>
        </row>
        <row r="314">
          <cell r="BA314" t="str">
            <v>.</v>
          </cell>
        </row>
        <row r="315">
          <cell r="BA315" t="str">
            <v>.</v>
          </cell>
        </row>
        <row r="316">
          <cell r="BA316" t="str">
            <v>.</v>
          </cell>
        </row>
        <row r="317">
          <cell r="BA317" t="str">
            <v>.</v>
          </cell>
        </row>
        <row r="318">
          <cell r="BA318" t="str">
            <v>.</v>
          </cell>
        </row>
        <row r="319">
          <cell r="BA319" t="str">
            <v>.</v>
          </cell>
        </row>
        <row r="320">
          <cell r="BA320" t="str">
            <v>.</v>
          </cell>
        </row>
        <row r="321">
          <cell r="BA321" t="str">
            <v>.</v>
          </cell>
        </row>
        <row r="322">
          <cell r="BA322" t="str">
            <v>.</v>
          </cell>
        </row>
        <row r="323">
          <cell r="BA323" t="str">
            <v>.</v>
          </cell>
        </row>
        <row r="324">
          <cell r="BA324" t="str">
            <v>.</v>
          </cell>
        </row>
        <row r="325">
          <cell r="BA325" t="str">
            <v>.</v>
          </cell>
        </row>
        <row r="326">
          <cell r="BA326" t="str">
            <v>.</v>
          </cell>
        </row>
        <row r="327">
          <cell r="BA327" t="str">
            <v>.</v>
          </cell>
        </row>
        <row r="328">
          <cell r="BA328" t="str">
            <v>.</v>
          </cell>
        </row>
        <row r="329">
          <cell r="BA329" t="str">
            <v>.</v>
          </cell>
        </row>
        <row r="330">
          <cell r="BA330" t="str">
            <v>.</v>
          </cell>
        </row>
        <row r="331">
          <cell r="BA331" t="str">
            <v>.</v>
          </cell>
        </row>
        <row r="332">
          <cell r="BA332" t="str">
            <v>.</v>
          </cell>
        </row>
        <row r="333">
          <cell r="BA333" t="str">
            <v>.</v>
          </cell>
        </row>
        <row r="334">
          <cell r="BA334" t="str">
            <v>.</v>
          </cell>
        </row>
        <row r="335">
          <cell r="BA335" t="str">
            <v>.</v>
          </cell>
        </row>
        <row r="336">
          <cell r="BA336" t="str">
            <v>.</v>
          </cell>
        </row>
        <row r="337">
          <cell r="BA337" t="str">
            <v>.</v>
          </cell>
        </row>
        <row r="338">
          <cell r="BA338" t="str">
            <v>.</v>
          </cell>
        </row>
        <row r="339">
          <cell r="BA339" t="str">
            <v>.</v>
          </cell>
        </row>
        <row r="340">
          <cell r="BA340" t="str">
            <v>.</v>
          </cell>
        </row>
        <row r="341">
          <cell r="BA341" t="str">
            <v>.</v>
          </cell>
        </row>
        <row r="342">
          <cell r="BA342" t="str">
            <v>.</v>
          </cell>
        </row>
        <row r="343">
          <cell r="BA343" t="str">
            <v>.</v>
          </cell>
        </row>
        <row r="344">
          <cell r="BA344" t="str">
            <v>.</v>
          </cell>
        </row>
        <row r="345">
          <cell r="BA345" t="str">
            <v>.</v>
          </cell>
        </row>
        <row r="346">
          <cell r="BA346" t="str">
            <v>.</v>
          </cell>
        </row>
        <row r="347">
          <cell r="BA347" t="str">
            <v>.</v>
          </cell>
        </row>
        <row r="348">
          <cell r="BA348" t="str">
            <v>.</v>
          </cell>
        </row>
        <row r="349">
          <cell r="BA349" t="str">
            <v>.</v>
          </cell>
        </row>
        <row r="350">
          <cell r="BA350" t="str">
            <v>.</v>
          </cell>
        </row>
        <row r="351">
          <cell r="BA351" t="str">
            <v>.</v>
          </cell>
        </row>
        <row r="352">
          <cell r="BA352" t="str">
            <v>.</v>
          </cell>
        </row>
        <row r="353">
          <cell r="BA353" t="str">
            <v>.</v>
          </cell>
        </row>
        <row r="354">
          <cell r="BA354" t="str">
            <v>.</v>
          </cell>
        </row>
        <row r="355">
          <cell r="BA355" t="str">
            <v>.</v>
          </cell>
        </row>
        <row r="356">
          <cell r="BA356" t="str">
            <v>.</v>
          </cell>
        </row>
        <row r="357">
          <cell r="BA357" t="str">
            <v>.</v>
          </cell>
        </row>
        <row r="358">
          <cell r="BA358" t="str">
            <v>.</v>
          </cell>
        </row>
        <row r="359">
          <cell r="BA359" t="str">
            <v>.</v>
          </cell>
        </row>
        <row r="360">
          <cell r="BA360" t="str">
            <v>.</v>
          </cell>
        </row>
        <row r="361">
          <cell r="BA361" t="str">
            <v>.</v>
          </cell>
        </row>
        <row r="362">
          <cell r="BA362" t="str">
            <v>.</v>
          </cell>
        </row>
        <row r="363">
          <cell r="BA363" t="str">
            <v>.</v>
          </cell>
        </row>
        <row r="364">
          <cell r="BA364" t="str">
            <v>.</v>
          </cell>
        </row>
        <row r="365">
          <cell r="BA365" t="str">
            <v>.</v>
          </cell>
        </row>
        <row r="366">
          <cell r="BA366" t="str">
            <v>.</v>
          </cell>
        </row>
        <row r="367">
          <cell r="BA367" t="str">
            <v>.</v>
          </cell>
        </row>
        <row r="368">
          <cell r="BA368" t="str">
            <v>.</v>
          </cell>
        </row>
        <row r="369">
          <cell r="BA369" t="str">
            <v>.</v>
          </cell>
        </row>
        <row r="370">
          <cell r="BA370" t="str">
            <v>.</v>
          </cell>
        </row>
        <row r="371">
          <cell r="BA371" t="str">
            <v>.</v>
          </cell>
        </row>
        <row r="372">
          <cell r="BA372" t="str">
            <v>.</v>
          </cell>
        </row>
        <row r="373">
          <cell r="BA373" t="str">
            <v>.</v>
          </cell>
        </row>
        <row r="374">
          <cell r="BA374" t="str">
            <v>.</v>
          </cell>
        </row>
        <row r="375">
          <cell r="BA375" t="str">
            <v>.</v>
          </cell>
        </row>
        <row r="376">
          <cell r="BA376" t="str">
            <v>.</v>
          </cell>
        </row>
        <row r="377">
          <cell r="BA377" t="str">
            <v>.</v>
          </cell>
        </row>
        <row r="378">
          <cell r="BA378" t="str">
            <v>.</v>
          </cell>
        </row>
        <row r="379">
          <cell r="BA379" t="str">
            <v>.</v>
          </cell>
        </row>
        <row r="380">
          <cell r="BA380" t="str">
            <v>.</v>
          </cell>
        </row>
        <row r="381">
          <cell r="BA381" t="str">
            <v>.</v>
          </cell>
        </row>
        <row r="382">
          <cell r="BA382" t="str">
            <v>.</v>
          </cell>
        </row>
        <row r="383">
          <cell r="BA383" t="str">
            <v>.</v>
          </cell>
        </row>
        <row r="384">
          <cell r="BA384" t="str">
            <v>.</v>
          </cell>
        </row>
        <row r="385">
          <cell r="BA385" t="str">
            <v>.</v>
          </cell>
        </row>
        <row r="386">
          <cell r="BA386" t="str">
            <v>.</v>
          </cell>
        </row>
        <row r="387">
          <cell r="BA387" t="str">
            <v>.</v>
          </cell>
        </row>
        <row r="388">
          <cell r="BA388" t="str">
            <v>.</v>
          </cell>
        </row>
        <row r="389">
          <cell r="BA389" t="str">
            <v>.</v>
          </cell>
        </row>
        <row r="390">
          <cell r="BA390" t="str">
            <v>.</v>
          </cell>
        </row>
        <row r="391">
          <cell r="BA391" t="str">
            <v>.</v>
          </cell>
        </row>
        <row r="392">
          <cell r="BA392" t="str">
            <v>.</v>
          </cell>
        </row>
        <row r="393">
          <cell r="BA393" t="str">
            <v>.</v>
          </cell>
        </row>
        <row r="394">
          <cell r="BA394" t="str">
            <v>.</v>
          </cell>
        </row>
        <row r="395">
          <cell r="BA395" t="str">
            <v>.</v>
          </cell>
        </row>
        <row r="396">
          <cell r="BA396" t="str">
            <v>.</v>
          </cell>
        </row>
        <row r="397">
          <cell r="BA397" t="str">
            <v>.</v>
          </cell>
        </row>
        <row r="398">
          <cell r="BA398" t="str">
            <v>.</v>
          </cell>
        </row>
        <row r="399">
          <cell r="BA399" t="str">
            <v>.</v>
          </cell>
        </row>
        <row r="400">
          <cell r="BA400" t="str">
            <v>.</v>
          </cell>
        </row>
        <row r="401">
          <cell r="BA401" t="str">
            <v>.</v>
          </cell>
        </row>
        <row r="402">
          <cell r="BA402" t="str">
            <v>.</v>
          </cell>
        </row>
        <row r="403">
          <cell r="BA403" t="str">
            <v>.</v>
          </cell>
        </row>
        <row r="404">
          <cell r="BA404" t="str">
            <v>.</v>
          </cell>
        </row>
        <row r="405">
          <cell r="BA405" t="str">
            <v>.</v>
          </cell>
        </row>
        <row r="406">
          <cell r="BA406" t="str">
            <v>.</v>
          </cell>
        </row>
        <row r="407">
          <cell r="BA407" t="str">
            <v>.</v>
          </cell>
        </row>
        <row r="408">
          <cell r="BA408" t="str">
            <v>.</v>
          </cell>
        </row>
        <row r="409">
          <cell r="BA409" t="str">
            <v>.</v>
          </cell>
        </row>
        <row r="410">
          <cell r="BA410" t="str">
            <v>.</v>
          </cell>
        </row>
        <row r="411">
          <cell r="BA411" t="str">
            <v>.</v>
          </cell>
        </row>
        <row r="412">
          <cell r="BA412" t="str">
            <v>.</v>
          </cell>
        </row>
        <row r="413">
          <cell r="BA413" t="str">
            <v>.</v>
          </cell>
        </row>
        <row r="414">
          <cell r="BA414" t="str">
            <v>.</v>
          </cell>
        </row>
        <row r="415">
          <cell r="BA415" t="str">
            <v>.</v>
          </cell>
        </row>
        <row r="416">
          <cell r="BA416" t="str">
            <v>.</v>
          </cell>
        </row>
        <row r="417">
          <cell r="BA417" t="str">
            <v>.</v>
          </cell>
        </row>
        <row r="418">
          <cell r="BA418" t="str">
            <v>.</v>
          </cell>
        </row>
        <row r="419">
          <cell r="BA419" t="str">
            <v>.</v>
          </cell>
        </row>
        <row r="420">
          <cell r="BA420" t="str">
            <v>.</v>
          </cell>
        </row>
        <row r="421">
          <cell r="BA421" t="str">
            <v>.</v>
          </cell>
        </row>
        <row r="422">
          <cell r="BA422" t="str">
            <v>.</v>
          </cell>
        </row>
        <row r="423">
          <cell r="BA423" t="str">
            <v>.</v>
          </cell>
        </row>
        <row r="424">
          <cell r="BA424" t="str">
            <v>.</v>
          </cell>
        </row>
        <row r="425">
          <cell r="BA425" t="str">
            <v>.</v>
          </cell>
        </row>
        <row r="426">
          <cell r="BA426" t="str">
            <v>.</v>
          </cell>
        </row>
        <row r="427">
          <cell r="BA427" t="str">
            <v>.</v>
          </cell>
        </row>
        <row r="428">
          <cell r="BA428" t="str">
            <v>.</v>
          </cell>
        </row>
        <row r="429">
          <cell r="BA429" t="str">
            <v>.</v>
          </cell>
        </row>
        <row r="430">
          <cell r="BA430" t="str">
            <v>.</v>
          </cell>
        </row>
        <row r="431">
          <cell r="BA431" t="str">
            <v>.</v>
          </cell>
        </row>
        <row r="432">
          <cell r="BA432" t="str">
            <v>.</v>
          </cell>
        </row>
        <row r="433">
          <cell r="BA433" t="str">
            <v>.</v>
          </cell>
        </row>
        <row r="434">
          <cell r="BA434" t="str">
            <v>.</v>
          </cell>
        </row>
        <row r="435">
          <cell r="BA435" t="str">
            <v>.</v>
          </cell>
        </row>
        <row r="436">
          <cell r="BA436" t="str">
            <v>.</v>
          </cell>
        </row>
        <row r="437">
          <cell r="BA437" t="str">
            <v>.</v>
          </cell>
        </row>
        <row r="438">
          <cell r="BA438" t="str">
            <v>.</v>
          </cell>
        </row>
        <row r="439">
          <cell r="BA439" t="str">
            <v>.</v>
          </cell>
        </row>
        <row r="440">
          <cell r="BA440" t="str">
            <v>.</v>
          </cell>
        </row>
        <row r="441">
          <cell r="BA441" t="str">
            <v>.</v>
          </cell>
        </row>
        <row r="442">
          <cell r="BA442" t="str">
            <v>.</v>
          </cell>
        </row>
        <row r="443">
          <cell r="BA443" t="str">
            <v>.</v>
          </cell>
        </row>
        <row r="444">
          <cell r="BA444" t="str">
            <v>.</v>
          </cell>
        </row>
        <row r="445">
          <cell r="BA445" t="str">
            <v>.</v>
          </cell>
        </row>
        <row r="446">
          <cell r="BA446" t="str">
            <v>.</v>
          </cell>
        </row>
        <row r="447">
          <cell r="BA447" t="str">
            <v>.</v>
          </cell>
        </row>
        <row r="448">
          <cell r="BA448" t="str">
            <v>.</v>
          </cell>
        </row>
        <row r="449">
          <cell r="BA449" t="str">
            <v>.</v>
          </cell>
        </row>
        <row r="450">
          <cell r="BA450" t="str">
            <v>.</v>
          </cell>
        </row>
        <row r="451">
          <cell r="BA451" t="str">
            <v>.</v>
          </cell>
        </row>
        <row r="452">
          <cell r="BA452" t="str">
            <v>.</v>
          </cell>
        </row>
        <row r="453">
          <cell r="BA453" t="str">
            <v>.</v>
          </cell>
        </row>
        <row r="454">
          <cell r="BA454" t="str">
            <v>.</v>
          </cell>
        </row>
        <row r="455">
          <cell r="BA455" t="str">
            <v>.</v>
          </cell>
        </row>
        <row r="456">
          <cell r="BA456" t="str">
            <v>.</v>
          </cell>
        </row>
        <row r="457">
          <cell r="BA457" t="str">
            <v>.</v>
          </cell>
        </row>
        <row r="458">
          <cell r="BA458" t="str">
            <v>.</v>
          </cell>
        </row>
        <row r="459">
          <cell r="BA459" t="str">
            <v>.</v>
          </cell>
        </row>
        <row r="460">
          <cell r="BA460" t="str">
            <v>.</v>
          </cell>
        </row>
        <row r="461">
          <cell r="BA461" t="str">
            <v>.</v>
          </cell>
        </row>
        <row r="462">
          <cell r="BA462" t="str">
            <v>.</v>
          </cell>
        </row>
        <row r="463">
          <cell r="BA463" t="str">
            <v>.</v>
          </cell>
        </row>
        <row r="464">
          <cell r="BA464" t="str">
            <v>.</v>
          </cell>
        </row>
        <row r="465">
          <cell r="BA465" t="str">
            <v>.</v>
          </cell>
        </row>
        <row r="466">
          <cell r="BA466" t="str">
            <v>.</v>
          </cell>
        </row>
        <row r="467">
          <cell r="BA467" t="str">
            <v>.</v>
          </cell>
        </row>
        <row r="468">
          <cell r="BA468" t="str">
            <v>.</v>
          </cell>
        </row>
        <row r="469">
          <cell r="BA469" t="str">
            <v>.</v>
          </cell>
        </row>
        <row r="470">
          <cell r="BA470" t="str">
            <v>.</v>
          </cell>
        </row>
        <row r="471">
          <cell r="BA471" t="str">
            <v>.</v>
          </cell>
        </row>
        <row r="472">
          <cell r="BA472" t="str">
            <v>.</v>
          </cell>
        </row>
        <row r="473">
          <cell r="BA473" t="str">
            <v>.</v>
          </cell>
        </row>
        <row r="474">
          <cell r="BA474" t="str">
            <v>.</v>
          </cell>
        </row>
        <row r="475">
          <cell r="BA475" t="str">
            <v>.</v>
          </cell>
        </row>
        <row r="476">
          <cell r="BA476" t="str">
            <v>.</v>
          </cell>
        </row>
        <row r="477">
          <cell r="BA477" t="str">
            <v>.</v>
          </cell>
        </row>
        <row r="478">
          <cell r="BA478" t="str">
            <v>.</v>
          </cell>
        </row>
        <row r="479">
          <cell r="BA479" t="str">
            <v>.</v>
          </cell>
        </row>
        <row r="480">
          <cell r="BA480" t="str">
            <v>.</v>
          </cell>
        </row>
        <row r="481">
          <cell r="BA481" t="str">
            <v>.</v>
          </cell>
        </row>
        <row r="482">
          <cell r="BA482" t="str">
            <v>.</v>
          </cell>
        </row>
        <row r="483">
          <cell r="BA483" t="str">
            <v>.</v>
          </cell>
        </row>
        <row r="484">
          <cell r="BA484" t="str">
            <v>.</v>
          </cell>
        </row>
        <row r="485">
          <cell r="BA485" t="str">
            <v>.</v>
          </cell>
        </row>
        <row r="486">
          <cell r="BA486" t="str">
            <v>.</v>
          </cell>
        </row>
        <row r="487">
          <cell r="BA487" t="str">
            <v>.</v>
          </cell>
        </row>
        <row r="488">
          <cell r="BA488" t="str">
            <v>.</v>
          </cell>
        </row>
        <row r="489">
          <cell r="BA489" t="str">
            <v>.</v>
          </cell>
        </row>
        <row r="490">
          <cell r="BA490" t="str">
            <v>.</v>
          </cell>
        </row>
        <row r="491">
          <cell r="BA491" t="str">
            <v>.</v>
          </cell>
        </row>
        <row r="492">
          <cell r="BA492" t="str">
            <v>.</v>
          </cell>
        </row>
        <row r="493">
          <cell r="BA493" t="str">
            <v>.</v>
          </cell>
        </row>
        <row r="494">
          <cell r="BA494" t="str">
            <v>.</v>
          </cell>
        </row>
        <row r="495">
          <cell r="BA495" t="str">
            <v>.</v>
          </cell>
        </row>
        <row r="496">
          <cell r="BA496" t="str">
            <v>.</v>
          </cell>
        </row>
        <row r="497">
          <cell r="BA497" t="str">
            <v>.</v>
          </cell>
        </row>
        <row r="498">
          <cell r="BA498" t="str">
            <v>.</v>
          </cell>
        </row>
        <row r="499">
          <cell r="BA499" t="str">
            <v>.</v>
          </cell>
        </row>
        <row r="500">
          <cell r="BA500" t="str">
            <v>.</v>
          </cell>
        </row>
        <row r="501">
          <cell r="BA501" t="str">
            <v>.</v>
          </cell>
        </row>
        <row r="502">
          <cell r="BA502" t="str">
            <v>.</v>
          </cell>
        </row>
        <row r="503">
          <cell r="BA503" t="str">
            <v>.</v>
          </cell>
        </row>
        <row r="504">
          <cell r="BA504" t="str">
            <v>.</v>
          </cell>
        </row>
        <row r="505">
          <cell r="BA505" t="str">
            <v>.</v>
          </cell>
        </row>
        <row r="506">
          <cell r="BA506" t="str">
            <v>.</v>
          </cell>
        </row>
        <row r="507">
          <cell r="BA507" t="str">
            <v>.</v>
          </cell>
        </row>
        <row r="508">
          <cell r="BA508" t="str">
            <v>.</v>
          </cell>
        </row>
        <row r="509">
          <cell r="BA509" t="str">
            <v>.</v>
          </cell>
        </row>
        <row r="510">
          <cell r="BA510" t="str">
            <v>.</v>
          </cell>
        </row>
        <row r="511">
          <cell r="BA511" t="str">
            <v>.</v>
          </cell>
        </row>
        <row r="512">
          <cell r="BA512" t="str">
            <v>.</v>
          </cell>
        </row>
        <row r="513">
          <cell r="BA513" t="str">
            <v>.</v>
          </cell>
        </row>
        <row r="514">
          <cell r="BA514" t="str">
            <v>.</v>
          </cell>
        </row>
        <row r="515">
          <cell r="BA515" t="str">
            <v>.</v>
          </cell>
        </row>
        <row r="516">
          <cell r="BA516" t="str">
            <v>.</v>
          </cell>
        </row>
        <row r="517">
          <cell r="BA517" t="str">
            <v>.</v>
          </cell>
        </row>
        <row r="518">
          <cell r="BA518" t="str">
            <v>.</v>
          </cell>
        </row>
        <row r="519">
          <cell r="BA519" t="str">
            <v>.</v>
          </cell>
        </row>
        <row r="520">
          <cell r="BA520" t="str">
            <v>.</v>
          </cell>
        </row>
        <row r="521">
          <cell r="BA521" t="str">
            <v>.</v>
          </cell>
        </row>
        <row r="522">
          <cell r="BA522" t="str">
            <v>.</v>
          </cell>
        </row>
        <row r="523">
          <cell r="BA523" t="str">
            <v>.</v>
          </cell>
        </row>
        <row r="524">
          <cell r="BA524" t="str">
            <v>.</v>
          </cell>
        </row>
        <row r="525">
          <cell r="BA525" t="str">
            <v>.</v>
          </cell>
        </row>
        <row r="526">
          <cell r="BA526" t="str">
            <v>.</v>
          </cell>
        </row>
        <row r="527">
          <cell r="BA527" t="str">
            <v>.</v>
          </cell>
        </row>
        <row r="528">
          <cell r="BA528" t="str">
            <v>.</v>
          </cell>
        </row>
        <row r="529">
          <cell r="BA529" t="str">
            <v>.</v>
          </cell>
        </row>
        <row r="530">
          <cell r="BA530" t="str">
            <v>.</v>
          </cell>
        </row>
        <row r="531">
          <cell r="BA531" t="str">
            <v>.</v>
          </cell>
        </row>
        <row r="532">
          <cell r="BA532" t="str">
            <v>.</v>
          </cell>
        </row>
        <row r="533">
          <cell r="BA533" t="str">
            <v>.</v>
          </cell>
        </row>
        <row r="534">
          <cell r="BA534" t="str">
            <v>.</v>
          </cell>
        </row>
        <row r="535">
          <cell r="BA535" t="str">
            <v>.</v>
          </cell>
        </row>
        <row r="536">
          <cell r="BA536" t="str">
            <v>.</v>
          </cell>
        </row>
        <row r="537">
          <cell r="BA537" t="str">
            <v>.</v>
          </cell>
        </row>
        <row r="538">
          <cell r="BA538" t="str">
            <v>.</v>
          </cell>
        </row>
        <row r="539">
          <cell r="BA539" t="str">
            <v>.</v>
          </cell>
        </row>
        <row r="540">
          <cell r="BA540" t="str">
            <v>.</v>
          </cell>
        </row>
        <row r="541">
          <cell r="BA541" t="str">
            <v>.</v>
          </cell>
        </row>
        <row r="542">
          <cell r="BA542" t="str">
            <v>.</v>
          </cell>
        </row>
        <row r="543">
          <cell r="BA543" t="str">
            <v>.</v>
          </cell>
        </row>
        <row r="544">
          <cell r="BA544" t="str">
            <v>.</v>
          </cell>
        </row>
        <row r="545">
          <cell r="BA545" t="str">
            <v>.</v>
          </cell>
        </row>
        <row r="546">
          <cell r="BA546" t="str">
            <v>.</v>
          </cell>
        </row>
        <row r="547">
          <cell r="BA547" t="str">
            <v>.</v>
          </cell>
        </row>
        <row r="548">
          <cell r="BA548" t="str">
            <v>.</v>
          </cell>
        </row>
        <row r="549">
          <cell r="BA549" t="str">
            <v>.</v>
          </cell>
        </row>
        <row r="550">
          <cell r="BA550" t="str">
            <v>.</v>
          </cell>
        </row>
        <row r="551">
          <cell r="BA551" t="str">
            <v>.</v>
          </cell>
        </row>
        <row r="552">
          <cell r="BA552" t="str">
            <v>.</v>
          </cell>
        </row>
        <row r="553">
          <cell r="BA553" t="str">
            <v>.</v>
          </cell>
        </row>
        <row r="554">
          <cell r="BA554" t="str">
            <v>.</v>
          </cell>
        </row>
        <row r="555">
          <cell r="BA555" t="str">
            <v>.</v>
          </cell>
        </row>
        <row r="556">
          <cell r="BA556" t="str">
            <v>.</v>
          </cell>
        </row>
        <row r="557">
          <cell r="BA557" t="str">
            <v>.</v>
          </cell>
        </row>
        <row r="558">
          <cell r="BA558" t="str">
            <v>.</v>
          </cell>
        </row>
        <row r="559">
          <cell r="BA559" t="str">
            <v>.</v>
          </cell>
        </row>
        <row r="560">
          <cell r="BA560" t="str">
            <v>.</v>
          </cell>
        </row>
        <row r="561">
          <cell r="BA561" t="str">
            <v>.</v>
          </cell>
        </row>
        <row r="562">
          <cell r="BA562" t="str">
            <v>.</v>
          </cell>
        </row>
        <row r="563">
          <cell r="BA563" t="str">
            <v>.</v>
          </cell>
        </row>
        <row r="564">
          <cell r="BA564" t="str">
            <v>.</v>
          </cell>
        </row>
        <row r="565">
          <cell r="BA565" t="str">
            <v>.</v>
          </cell>
        </row>
        <row r="566">
          <cell r="BA566" t="str">
            <v>.</v>
          </cell>
        </row>
        <row r="567">
          <cell r="BA567" t="str">
            <v>.</v>
          </cell>
        </row>
        <row r="568">
          <cell r="BA568" t="str">
            <v>.</v>
          </cell>
        </row>
        <row r="569">
          <cell r="BA569" t="str">
            <v>.</v>
          </cell>
        </row>
        <row r="570">
          <cell r="BA570" t="str">
            <v>.</v>
          </cell>
        </row>
        <row r="571">
          <cell r="BA571" t="str">
            <v>.</v>
          </cell>
        </row>
        <row r="572">
          <cell r="BA572" t="str">
            <v>.</v>
          </cell>
        </row>
        <row r="573">
          <cell r="BA573" t="str">
            <v>.</v>
          </cell>
        </row>
        <row r="574">
          <cell r="BA574" t="str">
            <v>.</v>
          </cell>
        </row>
        <row r="575">
          <cell r="BA575" t="str">
            <v>.</v>
          </cell>
        </row>
        <row r="576">
          <cell r="BA576" t="str">
            <v>.</v>
          </cell>
        </row>
        <row r="577">
          <cell r="BA577" t="str">
            <v>.</v>
          </cell>
        </row>
        <row r="578">
          <cell r="BA578" t="str">
            <v>.</v>
          </cell>
        </row>
        <row r="579">
          <cell r="BA579" t="str">
            <v>.</v>
          </cell>
        </row>
        <row r="580">
          <cell r="BA580" t="str">
            <v>.</v>
          </cell>
        </row>
        <row r="581">
          <cell r="BA581" t="str">
            <v>.</v>
          </cell>
        </row>
        <row r="582">
          <cell r="BA582" t="str">
            <v>.</v>
          </cell>
        </row>
        <row r="583">
          <cell r="BA583" t="str">
            <v>.</v>
          </cell>
        </row>
        <row r="584">
          <cell r="BA584" t="str">
            <v>.</v>
          </cell>
        </row>
        <row r="585">
          <cell r="BA585" t="str">
            <v>.</v>
          </cell>
        </row>
        <row r="586">
          <cell r="BA586" t="str">
            <v>.</v>
          </cell>
        </row>
        <row r="587">
          <cell r="BA587" t="str">
            <v>.</v>
          </cell>
        </row>
        <row r="588">
          <cell r="BA588" t="str">
            <v>.</v>
          </cell>
        </row>
        <row r="589">
          <cell r="BA589" t="str">
            <v>.</v>
          </cell>
        </row>
        <row r="590">
          <cell r="BA590" t="str">
            <v>.</v>
          </cell>
        </row>
        <row r="591">
          <cell r="BA591" t="str">
            <v>.</v>
          </cell>
        </row>
        <row r="592">
          <cell r="BA592" t="str">
            <v>.</v>
          </cell>
        </row>
        <row r="593">
          <cell r="BA593" t="str">
            <v>.</v>
          </cell>
        </row>
        <row r="594">
          <cell r="BA594" t="str">
            <v>.</v>
          </cell>
        </row>
        <row r="595">
          <cell r="BA595" t="str">
            <v>.</v>
          </cell>
        </row>
        <row r="596">
          <cell r="BA596" t="str">
            <v>.</v>
          </cell>
        </row>
        <row r="597">
          <cell r="BA597" t="str">
            <v>.</v>
          </cell>
        </row>
        <row r="598">
          <cell r="BA598" t="str">
            <v>.</v>
          </cell>
        </row>
        <row r="599">
          <cell r="BA599" t="str">
            <v>.</v>
          </cell>
        </row>
        <row r="600">
          <cell r="BA600" t="str">
            <v>.</v>
          </cell>
        </row>
        <row r="601">
          <cell r="BA601" t="str">
            <v>.</v>
          </cell>
        </row>
        <row r="602">
          <cell r="BA602" t="str">
            <v>.</v>
          </cell>
        </row>
        <row r="603">
          <cell r="BA603" t="str">
            <v>.</v>
          </cell>
        </row>
        <row r="604">
          <cell r="BA604" t="str">
            <v>.</v>
          </cell>
        </row>
        <row r="605">
          <cell r="BA605" t="str">
            <v>.</v>
          </cell>
        </row>
        <row r="606">
          <cell r="BA606" t="str">
            <v>.</v>
          </cell>
        </row>
        <row r="607">
          <cell r="BA607" t="str">
            <v>.</v>
          </cell>
        </row>
        <row r="608">
          <cell r="BA608" t="str">
            <v>.</v>
          </cell>
        </row>
        <row r="609">
          <cell r="BA609" t="str">
            <v>.</v>
          </cell>
        </row>
        <row r="610">
          <cell r="BA610" t="str">
            <v>.</v>
          </cell>
        </row>
        <row r="611">
          <cell r="BA611" t="str">
            <v>.</v>
          </cell>
        </row>
        <row r="612">
          <cell r="BA612" t="str">
            <v>.</v>
          </cell>
        </row>
        <row r="613">
          <cell r="BA613" t="str">
            <v>.</v>
          </cell>
        </row>
        <row r="614">
          <cell r="BA614" t="str">
            <v>.</v>
          </cell>
        </row>
        <row r="615">
          <cell r="BA615" t="str">
            <v>.</v>
          </cell>
        </row>
        <row r="616">
          <cell r="BA616" t="str">
            <v>.</v>
          </cell>
        </row>
        <row r="617">
          <cell r="BA617" t="str">
            <v>.</v>
          </cell>
        </row>
        <row r="618">
          <cell r="BA618" t="str">
            <v>.</v>
          </cell>
        </row>
        <row r="619">
          <cell r="BA619" t="str">
            <v>.</v>
          </cell>
        </row>
        <row r="620">
          <cell r="BA620" t="str">
            <v>.</v>
          </cell>
        </row>
        <row r="621">
          <cell r="BA621" t="str">
            <v>.</v>
          </cell>
        </row>
        <row r="622">
          <cell r="BA622" t="str">
            <v>.</v>
          </cell>
        </row>
        <row r="623">
          <cell r="BA623" t="str">
            <v>.</v>
          </cell>
        </row>
        <row r="624">
          <cell r="BA624" t="str">
            <v>.</v>
          </cell>
        </row>
        <row r="625">
          <cell r="BA625" t="str">
            <v>.</v>
          </cell>
        </row>
        <row r="626">
          <cell r="BA626" t="str">
            <v>.</v>
          </cell>
        </row>
        <row r="627">
          <cell r="BA627" t="str">
            <v>.</v>
          </cell>
        </row>
        <row r="628">
          <cell r="BA628" t="str">
            <v>.</v>
          </cell>
        </row>
        <row r="629">
          <cell r="BA629" t="str">
            <v>.</v>
          </cell>
        </row>
        <row r="630">
          <cell r="BA630" t="str">
            <v>.</v>
          </cell>
        </row>
        <row r="631">
          <cell r="BA631" t="str">
            <v>.</v>
          </cell>
        </row>
        <row r="632">
          <cell r="BA632" t="str">
            <v>.</v>
          </cell>
        </row>
        <row r="633">
          <cell r="BA633" t="str">
            <v>.</v>
          </cell>
        </row>
        <row r="634">
          <cell r="BA634" t="str">
            <v>.</v>
          </cell>
        </row>
        <row r="635">
          <cell r="BA635" t="str">
            <v>.</v>
          </cell>
        </row>
        <row r="636">
          <cell r="BA636" t="str">
            <v>.</v>
          </cell>
        </row>
        <row r="637">
          <cell r="BA637" t="str">
            <v>.</v>
          </cell>
        </row>
        <row r="638">
          <cell r="BA638" t="str">
            <v>.</v>
          </cell>
        </row>
        <row r="639">
          <cell r="BA639" t="str">
            <v>.</v>
          </cell>
        </row>
        <row r="640">
          <cell r="BA640" t="str">
            <v>.</v>
          </cell>
        </row>
        <row r="641">
          <cell r="BA641" t="str">
            <v>.</v>
          </cell>
        </row>
        <row r="642">
          <cell r="BA642" t="str">
            <v>.</v>
          </cell>
        </row>
        <row r="643">
          <cell r="BA643" t="str">
            <v>.</v>
          </cell>
        </row>
        <row r="644">
          <cell r="BA644" t="str">
            <v>.</v>
          </cell>
        </row>
        <row r="645">
          <cell r="BA645" t="str">
            <v>.</v>
          </cell>
        </row>
        <row r="646">
          <cell r="BA646" t="str">
            <v>.</v>
          </cell>
        </row>
        <row r="647">
          <cell r="BA647" t="str">
            <v>.</v>
          </cell>
        </row>
        <row r="648">
          <cell r="BA648" t="str">
            <v>.</v>
          </cell>
        </row>
        <row r="649">
          <cell r="BA649" t="str">
            <v>.</v>
          </cell>
        </row>
        <row r="650">
          <cell r="BA650" t="str">
            <v>.</v>
          </cell>
        </row>
        <row r="651">
          <cell r="BA651" t="str">
            <v>.</v>
          </cell>
        </row>
        <row r="652">
          <cell r="BA652" t="str">
            <v>.</v>
          </cell>
        </row>
        <row r="653">
          <cell r="BA653" t="str">
            <v>.</v>
          </cell>
        </row>
        <row r="654">
          <cell r="BA654" t="str">
            <v>.</v>
          </cell>
        </row>
        <row r="655">
          <cell r="BA655" t="str">
            <v>.</v>
          </cell>
        </row>
        <row r="656">
          <cell r="BA656" t="str">
            <v>.</v>
          </cell>
        </row>
        <row r="657">
          <cell r="BA657" t="str">
            <v>.</v>
          </cell>
        </row>
        <row r="658">
          <cell r="BA658" t="str">
            <v>.</v>
          </cell>
        </row>
        <row r="659">
          <cell r="BA659" t="str">
            <v>.</v>
          </cell>
        </row>
        <row r="660">
          <cell r="BA660" t="str">
            <v>.</v>
          </cell>
        </row>
        <row r="661">
          <cell r="BA661" t="str">
            <v>.</v>
          </cell>
        </row>
        <row r="662">
          <cell r="BA662" t="str">
            <v>.</v>
          </cell>
        </row>
        <row r="663">
          <cell r="BA663" t="str">
            <v>.</v>
          </cell>
        </row>
        <row r="664">
          <cell r="BA664" t="str">
            <v>.</v>
          </cell>
        </row>
        <row r="665">
          <cell r="BA665" t="str">
            <v>.</v>
          </cell>
        </row>
        <row r="666">
          <cell r="BA666" t="str">
            <v>.</v>
          </cell>
        </row>
        <row r="667">
          <cell r="BA667" t="str">
            <v>.</v>
          </cell>
        </row>
        <row r="668">
          <cell r="BA668" t="str">
            <v>.</v>
          </cell>
        </row>
        <row r="669">
          <cell r="BA669" t="str">
            <v>.</v>
          </cell>
        </row>
        <row r="670">
          <cell r="BA670" t="str">
            <v>.</v>
          </cell>
        </row>
        <row r="671">
          <cell r="BA671" t="str">
            <v>.</v>
          </cell>
        </row>
        <row r="672">
          <cell r="BA672" t="str">
            <v>.</v>
          </cell>
        </row>
        <row r="673">
          <cell r="BA673" t="str">
            <v>.</v>
          </cell>
        </row>
        <row r="674">
          <cell r="BA674" t="str">
            <v>.</v>
          </cell>
        </row>
        <row r="675">
          <cell r="BA675" t="str">
            <v>.</v>
          </cell>
        </row>
        <row r="676">
          <cell r="BA676" t="str">
            <v>.</v>
          </cell>
        </row>
        <row r="677">
          <cell r="BA677" t="str">
            <v>.</v>
          </cell>
        </row>
        <row r="678">
          <cell r="BA678" t="str">
            <v>.</v>
          </cell>
        </row>
        <row r="679">
          <cell r="BA679" t="str">
            <v>.</v>
          </cell>
        </row>
        <row r="680">
          <cell r="BA680" t="str">
            <v>.</v>
          </cell>
        </row>
        <row r="681">
          <cell r="BA681" t="str">
            <v>.</v>
          </cell>
        </row>
        <row r="682">
          <cell r="BA682" t="str">
            <v>.</v>
          </cell>
        </row>
        <row r="683">
          <cell r="BA683" t="str">
            <v>.</v>
          </cell>
        </row>
        <row r="684">
          <cell r="BA684" t="str">
            <v>.</v>
          </cell>
        </row>
        <row r="685">
          <cell r="BA685" t="str">
            <v>.</v>
          </cell>
        </row>
        <row r="686">
          <cell r="BA686" t="str">
            <v>.</v>
          </cell>
        </row>
        <row r="687">
          <cell r="BA687" t="str">
            <v>.</v>
          </cell>
        </row>
        <row r="688">
          <cell r="BA688" t="str">
            <v>.</v>
          </cell>
        </row>
        <row r="689">
          <cell r="BA689" t="str">
            <v>.</v>
          </cell>
        </row>
        <row r="690">
          <cell r="BA690" t="str">
            <v>.</v>
          </cell>
        </row>
        <row r="691">
          <cell r="BA691" t="str">
            <v>.</v>
          </cell>
        </row>
        <row r="692">
          <cell r="BA692" t="str">
            <v>.</v>
          </cell>
        </row>
        <row r="693">
          <cell r="BA693" t="str">
            <v>.</v>
          </cell>
        </row>
        <row r="694">
          <cell r="BA694" t="str">
            <v>.</v>
          </cell>
        </row>
        <row r="695">
          <cell r="BA695" t="str">
            <v>.</v>
          </cell>
        </row>
        <row r="696">
          <cell r="BA696" t="str">
            <v>.</v>
          </cell>
        </row>
        <row r="697">
          <cell r="BA697" t="str">
            <v>.</v>
          </cell>
        </row>
        <row r="698">
          <cell r="BA698" t="str">
            <v>.</v>
          </cell>
        </row>
        <row r="699">
          <cell r="BA699" t="str">
            <v>.</v>
          </cell>
        </row>
        <row r="700">
          <cell r="BA700" t="str">
            <v>.</v>
          </cell>
        </row>
        <row r="701">
          <cell r="BA701" t="str">
            <v>.</v>
          </cell>
        </row>
        <row r="702">
          <cell r="BA702" t="str">
            <v>.</v>
          </cell>
        </row>
        <row r="703">
          <cell r="BA703" t="str">
            <v>.</v>
          </cell>
        </row>
        <row r="704">
          <cell r="BA704" t="str">
            <v>.</v>
          </cell>
        </row>
        <row r="705">
          <cell r="BA705" t="str">
            <v>.</v>
          </cell>
        </row>
        <row r="706">
          <cell r="BA706" t="str">
            <v>.</v>
          </cell>
        </row>
        <row r="707">
          <cell r="BA707" t="str">
            <v>.</v>
          </cell>
        </row>
        <row r="708">
          <cell r="BA708" t="str">
            <v>.</v>
          </cell>
        </row>
        <row r="709">
          <cell r="BA709" t="str">
            <v>.</v>
          </cell>
        </row>
        <row r="710">
          <cell r="BA710" t="str">
            <v>.</v>
          </cell>
        </row>
        <row r="711">
          <cell r="BA711" t="str">
            <v>.</v>
          </cell>
        </row>
        <row r="712">
          <cell r="BA712" t="str">
            <v>.</v>
          </cell>
        </row>
        <row r="713">
          <cell r="BA713" t="str">
            <v>.</v>
          </cell>
        </row>
        <row r="714">
          <cell r="BA714" t="str">
            <v>.</v>
          </cell>
        </row>
        <row r="715">
          <cell r="BA715" t="str">
            <v>.</v>
          </cell>
        </row>
        <row r="716">
          <cell r="BA716" t="str">
            <v>.</v>
          </cell>
        </row>
        <row r="717">
          <cell r="BA717" t="str">
            <v>.</v>
          </cell>
        </row>
        <row r="718">
          <cell r="BA718" t="str">
            <v>.</v>
          </cell>
        </row>
        <row r="719">
          <cell r="BA719" t="str">
            <v>.</v>
          </cell>
        </row>
        <row r="720">
          <cell r="BA720" t="str">
            <v>.</v>
          </cell>
        </row>
        <row r="721">
          <cell r="BA721" t="str">
            <v>.</v>
          </cell>
        </row>
        <row r="722">
          <cell r="BA722" t="str">
            <v>.</v>
          </cell>
        </row>
        <row r="723">
          <cell r="BA723" t="str">
            <v>.</v>
          </cell>
        </row>
        <row r="724">
          <cell r="BA724" t="str">
            <v>.</v>
          </cell>
        </row>
        <row r="725">
          <cell r="BA725" t="str">
            <v>.</v>
          </cell>
        </row>
        <row r="726">
          <cell r="BA726" t="str">
            <v>.</v>
          </cell>
        </row>
        <row r="727">
          <cell r="BA727" t="str">
            <v>.</v>
          </cell>
        </row>
        <row r="728">
          <cell r="BA728" t="str">
            <v>.</v>
          </cell>
        </row>
        <row r="729">
          <cell r="BA729" t="str">
            <v>.</v>
          </cell>
        </row>
        <row r="730">
          <cell r="BA730" t="str">
            <v>.</v>
          </cell>
        </row>
        <row r="731">
          <cell r="BA731" t="str">
            <v>.</v>
          </cell>
        </row>
        <row r="732">
          <cell r="BA732" t="str">
            <v>.</v>
          </cell>
        </row>
        <row r="733">
          <cell r="BA733" t="str">
            <v>.</v>
          </cell>
        </row>
        <row r="734">
          <cell r="BA734" t="str">
            <v>.</v>
          </cell>
        </row>
        <row r="735">
          <cell r="BA735" t="str">
            <v>.</v>
          </cell>
        </row>
        <row r="736">
          <cell r="BA736" t="str">
            <v>.</v>
          </cell>
        </row>
        <row r="737">
          <cell r="BA737" t="str">
            <v>.</v>
          </cell>
        </row>
        <row r="738">
          <cell r="BA738" t="str">
            <v>.</v>
          </cell>
        </row>
        <row r="739">
          <cell r="BA739" t="str">
            <v>.</v>
          </cell>
        </row>
        <row r="740">
          <cell r="BA740" t="str">
            <v>.</v>
          </cell>
        </row>
        <row r="741">
          <cell r="BA741" t="str">
            <v>.</v>
          </cell>
        </row>
        <row r="742">
          <cell r="BA742" t="str">
            <v>.</v>
          </cell>
        </row>
        <row r="743">
          <cell r="BA743" t="str">
            <v>.</v>
          </cell>
        </row>
        <row r="744">
          <cell r="BA744" t="str">
            <v>.</v>
          </cell>
        </row>
        <row r="745">
          <cell r="BA745" t="str">
            <v>.</v>
          </cell>
        </row>
        <row r="746">
          <cell r="BA746" t="str">
            <v>.</v>
          </cell>
        </row>
        <row r="747">
          <cell r="BA747" t="str">
            <v>.</v>
          </cell>
        </row>
        <row r="748">
          <cell r="BA748" t="str">
            <v>.</v>
          </cell>
        </row>
        <row r="749">
          <cell r="BA749" t="str">
            <v>.</v>
          </cell>
        </row>
        <row r="750">
          <cell r="BA750" t="str">
            <v>.</v>
          </cell>
        </row>
        <row r="751">
          <cell r="BA751" t="str">
            <v>.</v>
          </cell>
        </row>
        <row r="752">
          <cell r="BA752" t="str">
            <v>.</v>
          </cell>
        </row>
        <row r="753">
          <cell r="BA753" t="str">
            <v>.</v>
          </cell>
        </row>
        <row r="754">
          <cell r="BA754" t="str">
            <v>.</v>
          </cell>
        </row>
        <row r="755">
          <cell r="BA755" t="str">
            <v>.</v>
          </cell>
        </row>
        <row r="756">
          <cell r="BA756" t="str">
            <v>.</v>
          </cell>
        </row>
        <row r="757">
          <cell r="BA757" t="str">
            <v>.</v>
          </cell>
        </row>
        <row r="758">
          <cell r="BA758" t="str">
            <v>.</v>
          </cell>
        </row>
        <row r="759">
          <cell r="BA759" t="str">
            <v>.</v>
          </cell>
        </row>
        <row r="760">
          <cell r="BA760" t="str">
            <v>.</v>
          </cell>
        </row>
        <row r="761">
          <cell r="BA761" t="str">
            <v>.</v>
          </cell>
        </row>
        <row r="762">
          <cell r="BA762" t="str">
            <v>.</v>
          </cell>
        </row>
        <row r="763">
          <cell r="BA763" t="str">
            <v>.</v>
          </cell>
        </row>
        <row r="764">
          <cell r="BA764" t="str">
            <v>.</v>
          </cell>
        </row>
        <row r="765">
          <cell r="BA765" t="str">
            <v>.</v>
          </cell>
        </row>
        <row r="766">
          <cell r="BA766" t="str">
            <v>.</v>
          </cell>
        </row>
        <row r="767">
          <cell r="BA767" t="str">
            <v>.</v>
          </cell>
        </row>
        <row r="768">
          <cell r="BA768" t="str">
            <v>.</v>
          </cell>
        </row>
        <row r="769">
          <cell r="BA769" t="str">
            <v>.</v>
          </cell>
        </row>
        <row r="770">
          <cell r="BA770" t="str">
            <v>.</v>
          </cell>
        </row>
        <row r="771">
          <cell r="BA771" t="str">
            <v>.</v>
          </cell>
        </row>
        <row r="772">
          <cell r="BA772" t="str">
            <v>.</v>
          </cell>
        </row>
        <row r="773">
          <cell r="BA773" t="str">
            <v>.</v>
          </cell>
        </row>
        <row r="774">
          <cell r="BA774" t="str">
            <v>.</v>
          </cell>
        </row>
        <row r="775">
          <cell r="BA775" t="str">
            <v>.</v>
          </cell>
        </row>
        <row r="776">
          <cell r="BA776" t="str">
            <v>.</v>
          </cell>
        </row>
        <row r="777">
          <cell r="BA777" t="str">
            <v>.</v>
          </cell>
        </row>
        <row r="778">
          <cell r="BA778" t="str">
            <v>.</v>
          </cell>
        </row>
        <row r="779">
          <cell r="BA779" t="str">
            <v>.</v>
          </cell>
        </row>
        <row r="780">
          <cell r="BA780" t="str">
            <v>.</v>
          </cell>
        </row>
        <row r="781">
          <cell r="BA781" t="str">
            <v>.</v>
          </cell>
        </row>
        <row r="782">
          <cell r="BA782" t="str">
            <v>.</v>
          </cell>
        </row>
        <row r="783">
          <cell r="BA783" t="str">
            <v>.</v>
          </cell>
        </row>
        <row r="784">
          <cell r="BA784" t="str">
            <v>.</v>
          </cell>
        </row>
        <row r="785">
          <cell r="BA785" t="str">
            <v>.</v>
          </cell>
        </row>
        <row r="786">
          <cell r="BA786" t="str">
            <v>.</v>
          </cell>
        </row>
        <row r="787">
          <cell r="BA787" t="str">
            <v>.</v>
          </cell>
        </row>
        <row r="788">
          <cell r="BA788" t="str">
            <v>.</v>
          </cell>
        </row>
        <row r="789">
          <cell r="BA789" t="str">
            <v>.</v>
          </cell>
        </row>
        <row r="790">
          <cell r="BA790" t="str">
            <v>.</v>
          </cell>
        </row>
        <row r="791">
          <cell r="BA791" t="str">
            <v>.</v>
          </cell>
        </row>
        <row r="792">
          <cell r="BA792" t="str">
            <v>.</v>
          </cell>
        </row>
        <row r="793">
          <cell r="BA793" t="str">
            <v>.</v>
          </cell>
        </row>
        <row r="794">
          <cell r="BA794" t="str">
            <v>.</v>
          </cell>
        </row>
        <row r="795">
          <cell r="BA795" t="str">
            <v>.</v>
          </cell>
        </row>
        <row r="796">
          <cell r="BA796" t="str">
            <v>.</v>
          </cell>
        </row>
        <row r="797">
          <cell r="BA797" t="str">
            <v>.</v>
          </cell>
        </row>
        <row r="798">
          <cell r="BA798" t="str">
            <v>.</v>
          </cell>
        </row>
        <row r="799">
          <cell r="BA799" t="str">
            <v>.</v>
          </cell>
        </row>
        <row r="800">
          <cell r="BA800" t="str">
            <v>.</v>
          </cell>
        </row>
        <row r="801">
          <cell r="BA801" t="str">
            <v>.</v>
          </cell>
        </row>
        <row r="802">
          <cell r="BA802" t="str">
            <v>.</v>
          </cell>
        </row>
        <row r="803">
          <cell r="BA803" t="str">
            <v>.</v>
          </cell>
        </row>
        <row r="804">
          <cell r="BA804" t="str">
            <v>.</v>
          </cell>
        </row>
        <row r="805">
          <cell r="BA805" t="str">
            <v>.</v>
          </cell>
        </row>
        <row r="806">
          <cell r="BA806" t="str">
            <v>.</v>
          </cell>
        </row>
        <row r="807">
          <cell r="BA807" t="str">
            <v>.</v>
          </cell>
        </row>
        <row r="808">
          <cell r="BA808" t="str">
            <v>.</v>
          </cell>
        </row>
        <row r="809">
          <cell r="BA809" t="str">
            <v>.</v>
          </cell>
        </row>
        <row r="810">
          <cell r="BA810" t="str">
            <v>.</v>
          </cell>
        </row>
        <row r="811">
          <cell r="BA811" t="str">
            <v>.</v>
          </cell>
        </row>
        <row r="812">
          <cell r="BA812" t="str">
            <v>.</v>
          </cell>
        </row>
        <row r="813">
          <cell r="BA813" t="str">
            <v>.</v>
          </cell>
        </row>
        <row r="814">
          <cell r="BA814" t="str">
            <v>.</v>
          </cell>
        </row>
        <row r="815">
          <cell r="BA815" t="str">
            <v>.</v>
          </cell>
        </row>
        <row r="816">
          <cell r="BA816" t="str">
            <v>.</v>
          </cell>
        </row>
        <row r="817">
          <cell r="BA817" t="str">
            <v>.</v>
          </cell>
        </row>
        <row r="818">
          <cell r="BA818" t="str">
            <v>.</v>
          </cell>
        </row>
        <row r="819">
          <cell r="BA819" t="str">
            <v>.</v>
          </cell>
        </row>
        <row r="820">
          <cell r="BA820" t="str">
            <v>.</v>
          </cell>
        </row>
        <row r="821">
          <cell r="BA821" t="str">
            <v>.</v>
          </cell>
        </row>
        <row r="822">
          <cell r="BA822" t="str">
            <v>.</v>
          </cell>
        </row>
        <row r="823">
          <cell r="BA823" t="str">
            <v>.</v>
          </cell>
        </row>
        <row r="824">
          <cell r="BA824" t="str">
            <v>.</v>
          </cell>
        </row>
        <row r="825">
          <cell r="BA825" t="str">
            <v>.</v>
          </cell>
        </row>
        <row r="826">
          <cell r="BA826" t="str">
            <v>.</v>
          </cell>
        </row>
        <row r="827">
          <cell r="BA827" t="str">
            <v>.</v>
          </cell>
        </row>
        <row r="828">
          <cell r="BA828" t="str">
            <v>.</v>
          </cell>
        </row>
        <row r="829">
          <cell r="BA829" t="str">
            <v>.</v>
          </cell>
        </row>
        <row r="830">
          <cell r="BA830" t="str">
            <v>.</v>
          </cell>
        </row>
        <row r="831">
          <cell r="BA831" t="str">
            <v>.</v>
          </cell>
        </row>
        <row r="832">
          <cell r="BA832" t="str">
            <v>.</v>
          </cell>
        </row>
        <row r="833">
          <cell r="BA833" t="str">
            <v>.</v>
          </cell>
        </row>
        <row r="834">
          <cell r="BA834" t="str">
            <v>.</v>
          </cell>
        </row>
        <row r="835">
          <cell r="BA835" t="str">
            <v>.</v>
          </cell>
        </row>
        <row r="836">
          <cell r="BA836" t="str">
            <v>.</v>
          </cell>
        </row>
        <row r="837">
          <cell r="BA837" t="str">
            <v>.</v>
          </cell>
        </row>
        <row r="838">
          <cell r="BA838" t="str">
            <v>.</v>
          </cell>
        </row>
        <row r="839">
          <cell r="BA839" t="str">
            <v>.</v>
          </cell>
        </row>
        <row r="840">
          <cell r="BA840" t="str">
            <v>.</v>
          </cell>
        </row>
        <row r="841">
          <cell r="BA841" t="str">
            <v>.</v>
          </cell>
        </row>
        <row r="842">
          <cell r="BA842" t="str">
            <v>.</v>
          </cell>
        </row>
        <row r="843">
          <cell r="BA843" t="str">
            <v>.</v>
          </cell>
        </row>
        <row r="844">
          <cell r="BA844" t="str">
            <v>.</v>
          </cell>
        </row>
        <row r="845">
          <cell r="BA845" t="str">
            <v>.</v>
          </cell>
        </row>
        <row r="846">
          <cell r="BA846" t="str">
            <v>.</v>
          </cell>
        </row>
        <row r="847">
          <cell r="BA847" t="str">
            <v>.</v>
          </cell>
        </row>
        <row r="848">
          <cell r="BA848" t="str">
            <v>.</v>
          </cell>
        </row>
        <row r="849">
          <cell r="BA849" t="str">
            <v>.</v>
          </cell>
        </row>
        <row r="850">
          <cell r="BA850" t="str">
            <v>.</v>
          </cell>
        </row>
        <row r="851">
          <cell r="BA851" t="str">
            <v>.</v>
          </cell>
        </row>
        <row r="852">
          <cell r="BA852" t="str">
            <v>.</v>
          </cell>
        </row>
        <row r="853">
          <cell r="BA853" t="str">
            <v>.</v>
          </cell>
        </row>
        <row r="854">
          <cell r="BA854" t="str">
            <v>.</v>
          </cell>
        </row>
        <row r="855">
          <cell r="BA855" t="str">
            <v>.</v>
          </cell>
        </row>
        <row r="856">
          <cell r="BA856" t="str">
            <v>.</v>
          </cell>
        </row>
        <row r="857">
          <cell r="BA857" t="str">
            <v>.</v>
          </cell>
        </row>
        <row r="858">
          <cell r="BA858" t="str">
            <v>.</v>
          </cell>
        </row>
        <row r="859">
          <cell r="BA859" t="str">
            <v>.</v>
          </cell>
        </row>
        <row r="860">
          <cell r="BA860" t="str">
            <v>.</v>
          </cell>
        </row>
        <row r="861">
          <cell r="BA861" t="str">
            <v>.</v>
          </cell>
        </row>
        <row r="862">
          <cell r="BA862" t="str">
            <v>.</v>
          </cell>
        </row>
        <row r="863">
          <cell r="BA863" t="str">
            <v>.</v>
          </cell>
        </row>
        <row r="864">
          <cell r="BA864" t="str">
            <v>.</v>
          </cell>
        </row>
        <row r="865">
          <cell r="BA865" t="str">
            <v>.</v>
          </cell>
        </row>
        <row r="866">
          <cell r="BA866" t="str">
            <v>.</v>
          </cell>
        </row>
        <row r="867">
          <cell r="BA867" t="str">
            <v>.</v>
          </cell>
        </row>
        <row r="868">
          <cell r="BA868" t="str">
            <v>.</v>
          </cell>
        </row>
        <row r="869">
          <cell r="BA869" t="str">
            <v>.</v>
          </cell>
        </row>
        <row r="870">
          <cell r="BA870" t="str">
            <v>.</v>
          </cell>
        </row>
        <row r="871">
          <cell r="BA871" t="str">
            <v>.</v>
          </cell>
        </row>
        <row r="872">
          <cell r="BA872" t="str">
            <v>.</v>
          </cell>
        </row>
        <row r="873">
          <cell r="BA873" t="str">
            <v>.</v>
          </cell>
        </row>
        <row r="874">
          <cell r="BA874" t="str">
            <v>.</v>
          </cell>
        </row>
        <row r="875">
          <cell r="BA875" t="str">
            <v>.</v>
          </cell>
        </row>
        <row r="876">
          <cell r="BA876" t="str">
            <v>.</v>
          </cell>
        </row>
        <row r="877">
          <cell r="BA877" t="str">
            <v>.</v>
          </cell>
        </row>
        <row r="878">
          <cell r="BA878" t="str">
            <v>.</v>
          </cell>
        </row>
        <row r="879">
          <cell r="BA879" t="str">
            <v>.</v>
          </cell>
        </row>
        <row r="880">
          <cell r="BA880" t="str">
            <v>.</v>
          </cell>
        </row>
        <row r="881">
          <cell r="BA881" t="str">
            <v>.</v>
          </cell>
        </row>
        <row r="882">
          <cell r="BA882" t="str">
            <v>.</v>
          </cell>
        </row>
        <row r="883">
          <cell r="BA883" t="str">
            <v>.</v>
          </cell>
        </row>
        <row r="884">
          <cell r="BA884" t="str">
            <v>.</v>
          </cell>
        </row>
        <row r="885">
          <cell r="BA885" t="str">
            <v>.</v>
          </cell>
        </row>
        <row r="886">
          <cell r="BA886" t="str">
            <v>.</v>
          </cell>
        </row>
        <row r="887">
          <cell r="BA887" t="str">
            <v>.</v>
          </cell>
        </row>
        <row r="888">
          <cell r="BA888" t="str">
            <v>.</v>
          </cell>
        </row>
        <row r="889">
          <cell r="BA889" t="str">
            <v>.</v>
          </cell>
        </row>
        <row r="890">
          <cell r="BA890" t="str">
            <v>.</v>
          </cell>
        </row>
        <row r="891">
          <cell r="BA891" t="str">
            <v>.</v>
          </cell>
        </row>
        <row r="892">
          <cell r="BA892" t="str">
            <v>.</v>
          </cell>
        </row>
        <row r="893">
          <cell r="BA893" t="str">
            <v>.</v>
          </cell>
        </row>
        <row r="894">
          <cell r="BA894" t="str">
            <v>.</v>
          </cell>
        </row>
        <row r="895">
          <cell r="BA895" t="str">
            <v>.</v>
          </cell>
        </row>
        <row r="896">
          <cell r="BA896" t="str">
            <v>.</v>
          </cell>
        </row>
        <row r="897">
          <cell r="BA897" t="str">
            <v>.</v>
          </cell>
        </row>
        <row r="898">
          <cell r="BA898" t="str">
            <v>.</v>
          </cell>
        </row>
        <row r="899">
          <cell r="BA899" t="str">
            <v>.</v>
          </cell>
        </row>
        <row r="900">
          <cell r="BA900" t="str">
            <v>.</v>
          </cell>
        </row>
        <row r="901">
          <cell r="BA901" t="str">
            <v>.</v>
          </cell>
        </row>
        <row r="902">
          <cell r="BA902" t="str">
            <v>.</v>
          </cell>
        </row>
        <row r="903">
          <cell r="BA903" t="str">
            <v>.</v>
          </cell>
        </row>
        <row r="904">
          <cell r="BA904" t="str">
            <v>.</v>
          </cell>
        </row>
        <row r="905">
          <cell r="BA905" t="str">
            <v>.</v>
          </cell>
        </row>
        <row r="906">
          <cell r="BA906" t="str">
            <v>.</v>
          </cell>
        </row>
        <row r="907">
          <cell r="BA907" t="str">
            <v>.</v>
          </cell>
        </row>
        <row r="908">
          <cell r="BA908" t="str">
            <v>.</v>
          </cell>
        </row>
        <row r="909">
          <cell r="BA909" t="str">
            <v>.</v>
          </cell>
        </row>
        <row r="910">
          <cell r="BA910" t="str">
            <v>.</v>
          </cell>
        </row>
        <row r="911">
          <cell r="BA911" t="str">
            <v>.</v>
          </cell>
        </row>
        <row r="912">
          <cell r="BA912" t="str">
            <v>.</v>
          </cell>
        </row>
        <row r="913">
          <cell r="BA913" t="str">
            <v>.</v>
          </cell>
        </row>
        <row r="914">
          <cell r="BA914" t="str">
            <v>.</v>
          </cell>
        </row>
        <row r="915">
          <cell r="BA915" t="str">
            <v>.</v>
          </cell>
        </row>
        <row r="916">
          <cell r="BA916" t="str">
            <v>.</v>
          </cell>
        </row>
        <row r="917">
          <cell r="BA917" t="str">
            <v>.</v>
          </cell>
        </row>
        <row r="918">
          <cell r="BA918" t="str">
            <v>.</v>
          </cell>
        </row>
        <row r="919">
          <cell r="BA919" t="str">
            <v>.</v>
          </cell>
        </row>
        <row r="920">
          <cell r="BA920" t="str">
            <v>.</v>
          </cell>
        </row>
        <row r="921">
          <cell r="BA921" t="str">
            <v>.</v>
          </cell>
        </row>
        <row r="922">
          <cell r="BA922" t="str">
            <v>.</v>
          </cell>
        </row>
        <row r="923">
          <cell r="BA923" t="str">
            <v>.</v>
          </cell>
        </row>
        <row r="924">
          <cell r="BA924" t="str">
            <v>.</v>
          </cell>
        </row>
        <row r="925">
          <cell r="BA925" t="str">
            <v>.</v>
          </cell>
        </row>
        <row r="926">
          <cell r="BA926" t="str">
            <v>.</v>
          </cell>
        </row>
        <row r="927">
          <cell r="BA927" t="str">
            <v>.</v>
          </cell>
        </row>
        <row r="928">
          <cell r="BA928" t="str">
            <v>.</v>
          </cell>
        </row>
        <row r="929">
          <cell r="BA929" t="str">
            <v>.</v>
          </cell>
        </row>
        <row r="930">
          <cell r="BA930" t="str">
            <v>.</v>
          </cell>
        </row>
        <row r="931">
          <cell r="BA931" t="str">
            <v>.</v>
          </cell>
        </row>
        <row r="932">
          <cell r="BA932" t="str">
            <v>.</v>
          </cell>
        </row>
        <row r="933">
          <cell r="BA933" t="str">
            <v>.</v>
          </cell>
        </row>
        <row r="934">
          <cell r="BA934" t="str">
            <v>.</v>
          </cell>
        </row>
        <row r="935">
          <cell r="BA935" t="str">
            <v>.</v>
          </cell>
        </row>
        <row r="936">
          <cell r="BA936" t="str">
            <v>.</v>
          </cell>
        </row>
        <row r="937">
          <cell r="BA937" t="str">
            <v>.</v>
          </cell>
        </row>
        <row r="938">
          <cell r="BA938" t="str">
            <v>.</v>
          </cell>
        </row>
        <row r="939">
          <cell r="BA939" t="str">
            <v>.</v>
          </cell>
        </row>
        <row r="940">
          <cell r="BA940" t="str">
            <v>.</v>
          </cell>
        </row>
        <row r="941">
          <cell r="BA941" t="str">
            <v>.</v>
          </cell>
        </row>
        <row r="942">
          <cell r="BA942" t="str">
            <v>.</v>
          </cell>
        </row>
        <row r="943">
          <cell r="BA943" t="str">
            <v>.</v>
          </cell>
        </row>
        <row r="944">
          <cell r="BA944" t="str">
            <v>.</v>
          </cell>
        </row>
        <row r="945">
          <cell r="BA945" t="str">
            <v>.</v>
          </cell>
        </row>
        <row r="946">
          <cell r="BA946" t="str">
            <v>.</v>
          </cell>
        </row>
        <row r="947">
          <cell r="BA947" t="str">
            <v>.</v>
          </cell>
        </row>
        <row r="948">
          <cell r="BA948" t="str">
            <v>.</v>
          </cell>
        </row>
        <row r="949">
          <cell r="BA949" t="str">
            <v>.</v>
          </cell>
        </row>
        <row r="950">
          <cell r="BA950" t="str">
            <v>.</v>
          </cell>
        </row>
        <row r="951">
          <cell r="BA951" t="str">
            <v>.</v>
          </cell>
        </row>
        <row r="952">
          <cell r="BA952" t="str">
            <v>.</v>
          </cell>
        </row>
        <row r="953">
          <cell r="BA953" t="str">
            <v>.</v>
          </cell>
        </row>
        <row r="954">
          <cell r="BA954" t="str">
            <v>.</v>
          </cell>
        </row>
        <row r="955">
          <cell r="BA955" t="str">
            <v>.</v>
          </cell>
        </row>
        <row r="956">
          <cell r="BA956" t="str">
            <v>.</v>
          </cell>
        </row>
        <row r="957">
          <cell r="BA957" t="str">
            <v>.</v>
          </cell>
        </row>
        <row r="958">
          <cell r="BA958" t="str">
            <v>.</v>
          </cell>
        </row>
        <row r="959">
          <cell r="BA959" t="str">
            <v>.</v>
          </cell>
        </row>
        <row r="960">
          <cell r="BA960" t="str">
            <v>.</v>
          </cell>
        </row>
        <row r="961">
          <cell r="BA961" t="str">
            <v>.</v>
          </cell>
        </row>
        <row r="962">
          <cell r="BA962" t="str">
            <v>.</v>
          </cell>
        </row>
        <row r="963">
          <cell r="BA963" t="str">
            <v>.</v>
          </cell>
        </row>
        <row r="964">
          <cell r="BA964" t="str">
            <v>.</v>
          </cell>
        </row>
        <row r="965">
          <cell r="BA965" t="str">
            <v>.</v>
          </cell>
        </row>
        <row r="966">
          <cell r="BA966" t="str">
            <v>.</v>
          </cell>
        </row>
        <row r="967">
          <cell r="BA967" t="str">
            <v>.</v>
          </cell>
        </row>
        <row r="968">
          <cell r="BA968" t="str">
            <v>.</v>
          </cell>
        </row>
        <row r="969">
          <cell r="BA969" t="str">
            <v>.</v>
          </cell>
        </row>
        <row r="970">
          <cell r="BA970" t="str">
            <v>.</v>
          </cell>
        </row>
        <row r="971">
          <cell r="BA971" t="str">
            <v>.</v>
          </cell>
        </row>
        <row r="972">
          <cell r="BA972" t="str">
            <v>.</v>
          </cell>
        </row>
        <row r="973">
          <cell r="BA973" t="str">
            <v>.</v>
          </cell>
        </row>
        <row r="974">
          <cell r="BA974" t="str">
            <v>.</v>
          </cell>
        </row>
        <row r="975">
          <cell r="BA975" t="str">
            <v>.</v>
          </cell>
        </row>
        <row r="976">
          <cell r="BA976" t="str">
            <v>.</v>
          </cell>
        </row>
        <row r="977">
          <cell r="BA977" t="str">
            <v>.</v>
          </cell>
        </row>
        <row r="978">
          <cell r="BA978" t="str">
            <v>.</v>
          </cell>
        </row>
        <row r="979">
          <cell r="BA979" t="str">
            <v>.</v>
          </cell>
        </row>
        <row r="980">
          <cell r="BA980" t="str">
            <v>.</v>
          </cell>
        </row>
        <row r="981">
          <cell r="BA981" t="str">
            <v>.</v>
          </cell>
        </row>
        <row r="982">
          <cell r="BA982" t="str">
            <v>.</v>
          </cell>
        </row>
        <row r="983">
          <cell r="BA983" t="str">
            <v>.</v>
          </cell>
        </row>
        <row r="984">
          <cell r="BA984" t="str">
            <v>.</v>
          </cell>
        </row>
        <row r="985">
          <cell r="BA985" t="str">
            <v>.</v>
          </cell>
        </row>
        <row r="986">
          <cell r="BA986" t="str">
            <v>.</v>
          </cell>
        </row>
        <row r="987">
          <cell r="BA987" t="str">
            <v>.</v>
          </cell>
        </row>
        <row r="988">
          <cell r="BA988" t="str">
            <v>.</v>
          </cell>
        </row>
        <row r="989">
          <cell r="BA989" t="str">
            <v>.</v>
          </cell>
        </row>
        <row r="990">
          <cell r="BA990" t="str">
            <v>.</v>
          </cell>
        </row>
        <row r="991">
          <cell r="BA991" t="str">
            <v>.</v>
          </cell>
        </row>
        <row r="992">
          <cell r="BA992" t="str">
            <v>.</v>
          </cell>
        </row>
        <row r="993">
          <cell r="BA993" t="str">
            <v>.</v>
          </cell>
        </row>
        <row r="994">
          <cell r="BA994" t="str">
            <v>.</v>
          </cell>
        </row>
        <row r="995">
          <cell r="BA995" t="str">
            <v>.</v>
          </cell>
        </row>
        <row r="996">
          <cell r="BA996" t="str">
            <v>.</v>
          </cell>
        </row>
        <row r="997">
          <cell r="BA997" t="str">
            <v>.</v>
          </cell>
        </row>
        <row r="998">
          <cell r="A998" t="str">
            <v>.</v>
          </cell>
          <cell r="B998" t="str">
            <v>.</v>
          </cell>
          <cell r="C998" t="str">
            <v>.</v>
          </cell>
          <cell r="D998" t="str">
            <v>.</v>
          </cell>
          <cell r="E998" t="str">
            <v>.</v>
          </cell>
          <cell r="G998" t="str">
            <v>.</v>
          </cell>
          <cell r="H998" t="str">
            <v>.</v>
          </cell>
          <cell r="I998" t="str">
            <v>.</v>
          </cell>
          <cell r="S998" t="str">
            <v>.</v>
          </cell>
          <cell r="T998" t="str">
            <v>.</v>
          </cell>
          <cell r="U998" t="str">
            <v>.</v>
          </cell>
          <cell r="V998" t="str">
            <v>.</v>
          </cell>
          <cell r="W998" t="str">
            <v>.</v>
          </cell>
          <cell r="X998" t="str">
            <v>.</v>
          </cell>
          <cell r="Y998" t="str">
            <v>.</v>
          </cell>
          <cell r="Z998" t="str">
            <v>.</v>
          </cell>
          <cell r="AA998" t="str">
            <v>.</v>
          </cell>
          <cell r="AB998" t="str">
            <v>.</v>
          </cell>
          <cell r="AC998" t="str">
            <v>.</v>
          </cell>
          <cell r="AD998" t="str">
            <v>.</v>
          </cell>
          <cell r="AE998" t="str">
            <v>.</v>
          </cell>
          <cell r="AF998" t="str">
            <v>.</v>
          </cell>
          <cell r="AG998" t="str">
            <v>.</v>
          </cell>
          <cell r="AH998" t="str">
            <v>.</v>
          </cell>
          <cell r="AI998" t="str">
            <v>.</v>
          </cell>
          <cell r="AJ998" t="str">
            <v>.</v>
          </cell>
          <cell r="AK998" t="str">
            <v>.</v>
          </cell>
          <cell r="AL998" t="str">
            <v>.</v>
          </cell>
          <cell r="AM998" t="str">
            <v>.</v>
          </cell>
          <cell r="AN998" t="str">
            <v>.</v>
          </cell>
          <cell r="AO998" t="str">
            <v>.</v>
          </cell>
          <cell r="AP998" t="str">
            <v>.</v>
          </cell>
          <cell r="AQ998" t="str">
            <v>.</v>
          </cell>
          <cell r="AR998" t="str">
            <v>.</v>
          </cell>
          <cell r="AS998" t="str">
            <v>.</v>
          </cell>
          <cell r="AT998" t="str">
            <v>.</v>
          </cell>
          <cell r="AU998" t="str">
            <v>.</v>
          </cell>
          <cell r="AV998" t="str">
            <v>.</v>
          </cell>
          <cell r="AW998" t="str">
            <v>.</v>
          </cell>
          <cell r="AX998" t="str">
            <v>.</v>
          </cell>
          <cell r="AY998" t="str">
            <v>.</v>
          </cell>
          <cell r="AZ998" t="str">
            <v>.</v>
          </cell>
          <cell r="BA998" t="str">
            <v>.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tings sheet"/>
      <sheetName val="__FDSCACHE__"/>
      <sheetName val="MainCode"/>
      <sheetName val="mStartup"/>
      <sheetName val="NY UPLOAD shadow"/>
      <sheetName val="FCFF"/>
      <sheetName val="DCF Valuation"/>
      <sheetName val="Stock Options Data"/>
      <sheetName val="Calc"/>
      <sheetName val="Cash Flow"/>
      <sheetName val="Balance Sheet"/>
      <sheetName val="xbrlPreview"/>
      <sheetName val="NY UPLOAD"/>
      <sheetName val="Annual"/>
      <sheetName val="Quarterly"/>
      <sheetName val="US Epo Model"/>
      <sheetName val="Int'l Epo Model"/>
      <sheetName val="US RA Model"/>
      <sheetName val="Euro RA Model"/>
      <sheetName val="RA Total"/>
      <sheetName val="AMGN Milestones"/>
      <sheetName val="Pipeline (2)"/>
      <sheetName val="Pipeline"/>
      <sheetName val="xbrldates"/>
      <sheetName val="xbrlSettings"/>
      <sheetName val="Sheet9"/>
      <sheetName val="ACR data"/>
      <sheetName val="1217"/>
      <sheetName val="Sheet10"/>
      <sheetName val="Sheet11"/>
      <sheetName val="Sheet12"/>
      <sheetName val="Sheet13"/>
      <sheetName val="Sheet14"/>
      <sheetName val="Sheet15"/>
      <sheetName val="Sheet16"/>
      <sheetName val="Module1"/>
      <sheetName val="AMGN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 refreshError="1">
        <row r="7">
          <cell r="K7">
            <v>689.1</v>
          </cell>
          <cell r="L7">
            <v>1851.7</v>
          </cell>
          <cell r="M7">
            <v>1339.7507282108186</v>
          </cell>
          <cell r="N7">
            <v>2039.8520056133134</v>
          </cell>
          <cell r="O7">
            <v>1588.7891864814724</v>
          </cell>
        </row>
        <row r="8">
          <cell r="K8">
            <v>1973.1</v>
          </cell>
          <cell r="L8">
            <v>2812.2</v>
          </cell>
        </row>
      </sheetData>
      <sheetData sheetId="11"/>
      <sheetData sheetId="12"/>
      <sheetData sheetId="13" refreshError="1">
        <row r="40">
          <cell r="X40">
            <v>1289.5</v>
          </cell>
          <cell r="Z40">
            <v>1285</v>
          </cell>
          <cell r="AB40">
            <v>1288.81826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"/>
      <sheetName val="BS"/>
      <sheetName val="CF"/>
      <sheetName val="Exhibit pipe1"/>
      <sheetName val="Exhibit pipe2"/>
      <sheetName val="Exhibit pipe3"/>
      <sheetName val="DCF"/>
      <sheetName val="ESO"/>
      <sheetName val="old pipe, dont use"/>
      <sheetName val="__FDSCACHE__"/>
      <sheetName val="valuation"/>
      <sheetName val="OLD dont use"/>
      <sheetName val="EQRP"/>
      <sheetName val="Valuation Model"/>
      <sheetName val="pipeline_simulation"/>
      <sheetName val="Val_drug"/>
      <sheetName val="Val_royalty"/>
    </sheetNames>
    <sheetDataSet>
      <sheetData sheetId="0" refreshError="1">
        <row r="8">
          <cell r="AE8">
            <v>0</v>
          </cell>
          <cell r="AF8">
            <v>0</v>
          </cell>
          <cell r="AG8">
            <v>0</v>
          </cell>
          <cell r="AH8">
            <v>0</v>
          </cell>
        </row>
        <row r="9">
          <cell r="U9">
            <v>29.562000000000001</v>
          </cell>
          <cell r="AB9">
            <v>24.523999999999997</v>
          </cell>
          <cell r="AI9">
            <v>22.1</v>
          </cell>
          <cell r="AP9">
            <v>12.818</v>
          </cell>
          <cell r="AQ9">
            <v>-0.42000000000000004</v>
          </cell>
          <cell r="AW9">
            <v>3.56</v>
          </cell>
          <cell r="AX9">
            <v>-0.72226556405055398</v>
          </cell>
        </row>
        <row r="10">
          <cell r="Q10">
            <v>0</v>
          </cell>
          <cell r="R10">
            <v>0</v>
          </cell>
          <cell r="T10">
            <v>0</v>
          </cell>
          <cell r="AB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P10">
            <v>2.5680000000000001</v>
          </cell>
          <cell r="AW10">
            <v>2.56</v>
          </cell>
        </row>
        <row r="11">
          <cell r="Q11">
            <v>0</v>
          </cell>
          <cell r="R11">
            <v>0</v>
          </cell>
          <cell r="AB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P11">
            <v>0</v>
          </cell>
          <cell r="AW11">
            <v>1</v>
          </cell>
        </row>
        <row r="12">
          <cell r="AB12">
            <v>0</v>
          </cell>
          <cell r="AE12">
            <v>4.6580000000000004</v>
          </cell>
          <cell r="AF12">
            <v>-7.4</v>
          </cell>
          <cell r="AG12">
            <v>-1.9</v>
          </cell>
          <cell r="AH12">
            <v>4.6580000000000004</v>
          </cell>
          <cell r="AI12">
            <v>1.6000000000000902E-2</v>
          </cell>
          <cell r="AP12">
            <v>8.25</v>
          </cell>
          <cell r="AW12">
            <v>0</v>
          </cell>
        </row>
        <row r="13">
          <cell r="I13">
            <v>36.46</v>
          </cell>
          <cell r="J13">
            <v>6.2919999999999998</v>
          </cell>
          <cell r="K13">
            <v>1.272</v>
          </cell>
          <cell r="L13">
            <v>14.827999999999999</v>
          </cell>
          <cell r="M13">
            <v>6.5389999999999997</v>
          </cell>
          <cell r="N13">
            <v>2.9660000000000002</v>
          </cell>
          <cell r="O13">
            <v>25.604999999999997</v>
          </cell>
          <cell r="P13">
            <v>-0.29772353263850804</v>
          </cell>
          <cell r="Q13">
            <v>1.9910000000000001</v>
          </cell>
          <cell r="R13">
            <v>13.9</v>
          </cell>
          <cell r="S13">
            <v>11.279</v>
          </cell>
          <cell r="T13">
            <v>2.3919999999999999</v>
          </cell>
          <cell r="U13">
            <v>29.562000000000001</v>
          </cell>
          <cell r="V13">
            <v>0.15454012888107815</v>
          </cell>
          <cell r="X13">
            <v>1.4219999999999999</v>
          </cell>
          <cell r="Y13">
            <v>14.798</v>
          </cell>
          <cell r="Z13">
            <v>7.4420000000000002</v>
          </cell>
          <cell r="AA13">
            <v>0.86199999999999999</v>
          </cell>
          <cell r="AB13">
            <v>24.523999999999997</v>
          </cell>
          <cell r="AE13">
            <v>0.64200000000000002</v>
          </cell>
          <cell r="AF13">
            <v>12.7</v>
          </cell>
          <cell r="AG13">
            <v>8.1</v>
          </cell>
          <cell r="AH13">
            <v>0.64200000000000002</v>
          </cell>
          <cell r="AI13">
            <v>22.084</v>
          </cell>
          <cell r="AP13">
            <v>2</v>
          </cell>
        </row>
        <row r="14">
          <cell r="I14">
            <v>36.46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>
            <v>25.604999999999997</v>
          </cell>
          <cell r="P14">
            <v>-0.29772353263850804</v>
          </cell>
          <cell r="Q14">
            <v>1.9910000000000001</v>
          </cell>
          <cell r="R14" t="e">
            <v>#REF!</v>
          </cell>
          <cell r="S14">
            <v>11.279</v>
          </cell>
          <cell r="T14">
            <v>2.3919999999999999</v>
          </cell>
          <cell r="U14">
            <v>29.562000000000001</v>
          </cell>
          <cell r="V14">
            <v>0.15454012888107815</v>
          </cell>
          <cell r="X14">
            <v>1.4219999999999999</v>
          </cell>
          <cell r="Y14">
            <v>14.798</v>
          </cell>
          <cell r="Z14">
            <v>7.4420000000000002</v>
          </cell>
          <cell r="AA14">
            <v>0.86199999999999999</v>
          </cell>
          <cell r="AB14">
            <v>24.523999999999997</v>
          </cell>
          <cell r="AE14">
            <v>5.3000000000000007</v>
          </cell>
          <cell r="AF14">
            <v>5.2999999999999989</v>
          </cell>
          <cell r="AG14">
            <v>6.1999999999999993</v>
          </cell>
          <cell r="AH14">
            <v>5.3000000000000007</v>
          </cell>
          <cell r="AI14">
            <v>22.1</v>
          </cell>
          <cell r="AP14">
            <v>12.818</v>
          </cell>
          <cell r="AQ14">
            <v>-0.42000000000000004</v>
          </cell>
          <cell r="AW14">
            <v>3.56</v>
          </cell>
          <cell r="AX14">
            <v>-0.72226556405055398</v>
          </cell>
        </row>
        <row r="18">
          <cell r="AI18">
            <v>80.355000000000004</v>
          </cell>
          <cell r="AP18">
            <v>118.47600000000001</v>
          </cell>
          <cell r="AQ18">
            <v>0.47440731752846754</v>
          </cell>
          <cell r="AW18">
            <v>164.42409647979142</v>
          </cell>
          <cell r="AX18">
            <v>0.3878261966963048</v>
          </cell>
        </row>
        <row r="19">
          <cell r="AI19">
            <v>11.1</v>
          </cell>
          <cell r="AP19">
            <v>27.8</v>
          </cell>
          <cell r="AQ19">
            <v>1.5045045045045047</v>
          </cell>
          <cell r="AW19">
            <v>31.971903520208599</v>
          </cell>
          <cell r="AX19">
            <v>0.15006847194994966</v>
          </cell>
        </row>
        <row r="20">
          <cell r="I20">
            <v>40.472000000000001</v>
          </cell>
          <cell r="J20">
            <v>0.22720519118226767</v>
          </cell>
          <cell r="K20">
            <v>12.372</v>
          </cell>
          <cell r="L20">
            <v>11.697999999999999</v>
          </cell>
          <cell r="M20">
            <v>10.654</v>
          </cell>
          <cell r="N20">
            <v>11.416</v>
          </cell>
          <cell r="O20">
            <v>46.14</v>
          </cell>
          <cell r="P20">
            <v>0.14004744020557425</v>
          </cell>
          <cell r="Q20">
            <v>10.855</v>
          </cell>
          <cell r="R20">
            <v>11.5</v>
          </cell>
          <cell r="S20">
            <v>12.332000000000001</v>
          </cell>
          <cell r="T20">
            <v>12.317</v>
          </cell>
          <cell r="U20">
            <v>47.003999999999998</v>
          </cell>
          <cell r="V20">
            <v>1.8725617685305451E-2</v>
          </cell>
          <cell r="X20">
            <v>13.374000000000001</v>
          </cell>
          <cell r="Y20">
            <v>14.896000000000001</v>
          </cell>
          <cell r="Z20">
            <v>15.308</v>
          </cell>
          <cell r="AA20">
            <v>17</v>
          </cell>
          <cell r="AB20">
            <v>60.578000000000003</v>
          </cell>
          <cell r="AE20">
            <v>19.513999999999999</v>
          </cell>
          <cell r="AF20">
            <v>21.722999999999999</v>
          </cell>
          <cell r="AG20">
            <v>23.471</v>
          </cell>
          <cell r="AH20">
            <v>26.747</v>
          </cell>
          <cell r="AI20">
            <v>91.454999999999998</v>
          </cell>
          <cell r="AP20">
            <v>146.27600000000001</v>
          </cell>
          <cell r="AQ20">
            <v>0.5994314143567876</v>
          </cell>
          <cell r="AW20">
            <v>196.39600000000002</v>
          </cell>
          <cell r="AX20">
            <v>0.34263994093357764</v>
          </cell>
        </row>
        <row r="21">
          <cell r="AG21">
            <v>134.05000000000001</v>
          </cell>
          <cell r="AI21">
            <v>134.05000000000001</v>
          </cell>
        </row>
        <row r="22">
          <cell r="I22">
            <v>9.6389999999999993</v>
          </cell>
          <cell r="J22">
            <v>0.10222984562607196</v>
          </cell>
          <cell r="K22">
            <v>2.3889999999999998</v>
          </cell>
          <cell r="L22">
            <v>2.8980000000000001</v>
          </cell>
          <cell r="M22">
            <v>2.6309999999999998</v>
          </cell>
          <cell r="N22">
            <v>3.1949999999999998</v>
          </cell>
          <cell r="O22">
            <v>11.113</v>
          </cell>
          <cell r="P22">
            <v>0.15292042743023138</v>
          </cell>
          <cell r="Q22">
            <v>3.6850000000000001</v>
          </cell>
          <cell r="R22">
            <v>3.4</v>
          </cell>
          <cell r="S22">
            <v>3.4809999999999999</v>
          </cell>
          <cell r="T22">
            <v>3.8340000000000001</v>
          </cell>
          <cell r="U22">
            <v>14.399999999999999</v>
          </cell>
          <cell r="V22">
            <v>0.29577971744803366</v>
          </cell>
          <cell r="X22">
            <v>2.786</v>
          </cell>
          <cell r="Y22">
            <v>4.181</v>
          </cell>
          <cell r="Z22">
            <v>3.8690000000000002</v>
          </cell>
          <cell r="AA22">
            <v>4</v>
          </cell>
          <cell r="AB22">
            <v>14.836</v>
          </cell>
          <cell r="AE22">
            <v>6.016</v>
          </cell>
          <cell r="AF22">
            <v>6.5039999999999996</v>
          </cell>
          <cell r="AG22">
            <v>6.274</v>
          </cell>
          <cell r="AH22">
            <v>8.2889999999999997</v>
          </cell>
          <cell r="AI22">
            <v>27.082999999999998</v>
          </cell>
          <cell r="AP22">
            <v>38.713999999999999</v>
          </cell>
          <cell r="AQ22">
            <v>0.42945759332422551</v>
          </cell>
          <cell r="AW22">
            <v>51.202999999999996</v>
          </cell>
          <cell r="AX22">
            <v>0.3225964767267655</v>
          </cell>
        </row>
        <row r="23">
          <cell r="I23">
            <v>50.111000000000004</v>
          </cell>
          <cell r="J23">
            <v>0.20101140830217634</v>
          </cell>
          <cell r="K23">
            <v>14.760999999999999</v>
          </cell>
          <cell r="L23">
            <v>14.595999999999998</v>
          </cell>
          <cell r="M23">
            <v>13.285</v>
          </cell>
          <cell r="N23">
            <v>14.611000000000001</v>
          </cell>
          <cell r="O23">
            <v>57.253</v>
          </cell>
          <cell r="P23">
            <v>0.14252359761329836</v>
          </cell>
          <cell r="Q23">
            <v>14.540000000000001</v>
          </cell>
          <cell r="R23">
            <v>14.9</v>
          </cell>
          <cell r="S23">
            <v>15.813000000000001</v>
          </cell>
          <cell r="T23">
            <v>16.151</v>
          </cell>
          <cell r="U23">
            <v>61.403999999999996</v>
          </cell>
          <cell r="V23">
            <v>7.2502750947548433E-2</v>
          </cell>
          <cell r="X23">
            <v>16.16</v>
          </cell>
          <cell r="Y23">
            <v>19.077000000000002</v>
          </cell>
          <cell r="Z23">
            <v>19.177</v>
          </cell>
          <cell r="AA23">
            <v>21</v>
          </cell>
          <cell r="AB23">
            <v>75.414000000000001</v>
          </cell>
          <cell r="AE23">
            <v>25.53</v>
          </cell>
          <cell r="AF23">
            <v>28.226999999999997</v>
          </cell>
          <cell r="AG23">
            <v>163.79500000000002</v>
          </cell>
          <cell r="AH23">
            <v>35.036000000000001</v>
          </cell>
          <cell r="AI23">
            <v>252.58800000000002</v>
          </cell>
          <cell r="AP23">
            <v>184.99</v>
          </cell>
          <cell r="AQ23">
            <v>-0.26762158138945635</v>
          </cell>
          <cell r="AW23">
            <v>247.59900000000002</v>
          </cell>
          <cell r="AX23">
            <v>0.33844532136872263</v>
          </cell>
        </row>
        <row r="24">
          <cell r="I24">
            <v>-13.651000000000003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-12.549000000000001</v>
          </cell>
          <cell r="R24" t="e">
            <v>#REF!</v>
          </cell>
          <cell r="S24">
            <v>-4.5340000000000007</v>
          </cell>
          <cell r="T24">
            <v>-13.759</v>
          </cell>
          <cell r="U24">
            <v>-31.841999999999995</v>
          </cell>
          <cell r="X24">
            <v>-14.738</v>
          </cell>
          <cell r="Y24">
            <v>-4.2790000000000017</v>
          </cell>
          <cell r="Z24">
            <v>-11.734999999999999</v>
          </cell>
          <cell r="AA24">
            <v>-20.138000000000002</v>
          </cell>
          <cell r="AB24">
            <v>-50.89</v>
          </cell>
          <cell r="AE24">
            <v>-20.23</v>
          </cell>
          <cell r="AF24">
            <v>-22.927</v>
          </cell>
          <cell r="AG24">
            <v>-157.59500000000003</v>
          </cell>
          <cell r="AH24">
            <v>-29.736000000000001</v>
          </cell>
          <cell r="AI24">
            <v>-230.48800000000003</v>
          </cell>
          <cell r="AP24">
            <v>-172.172</v>
          </cell>
          <cell r="AQ24">
            <v>-0.25301100274200838</v>
          </cell>
          <cell r="AW24">
            <v>-244.03900000000002</v>
          </cell>
          <cell r="AX24">
            <v>0.41741398136746977</v>
          </cell>
        </row>
        <row r="25">
          <cell r="I25">
            <v>6.0919999999999996</v>
          </cell>
          <cell r="J25">
            <v>0.52109862671660423</v>
          </cell>
          <cell r="K25">
            <v>1.448</v>
          </cell>
          <cell r="L25">
            <v>2.8860000000000001</v>
          </cell>
          <cell r="M25">
            <v>3.0070000000000001</v>
          </cell>
          <cell r="N25">
            <v>3.1579999999999999</v>
          </cell>
          <cell r="O25">
            <v>10.499999999999998</v>
          </cell>
          <cell r="P25">
            <v>0.72357189757058427</v>
          </cell>
          <cell r="Q25">
            <v>2.8159999999999998</v>
          </cell>
          <cell r="R25">
            <v>2.8</v>
          </cell>
          <cell r="S25">
            <v>2.609</v>
          </cell>
          <cell r="T25">
            <v>2.8380000000000001</v>
          </cell>
          <cell r="U25">
            <v>11.062999999999999</v>
          </cell>
          <cell r="V25">
            <v>5.3619047619047677E-2</v>
          </cell>
          <cell r="X25">
            <v>2.4849999999999999</v>
          </cell>
          <cell r="Y25">
            <v>2.2559999999999998</v>
          </cell>
          <cell r="Z25">
            <v>2.0219999999999998</v>
          </cell>
          <cell r="AA25">
            <v>2.2000000000000002</v>
          </cell>
          <cell r="AB25">
            <v>8.963000000000001</v>
          </cell>
          <cell r="AE25">
            <v>6.8079999999999998</v>
          </cell>
          <cell r="AF25">
            <v>6.8170000000000002</v>
          </cell>
          <cell r="AG25">
            <v>8.6189999999999998</v>
          </cell>
          <cell r="AH25">
            <v>17.899999999999999</v>
          </cell>
          <cell r="AI25">
            <v>40.143999999999998</v>
          </cell>
          <cell r="AP25">
            <v>105.828</v>
          </cell>
          <cell r="AQ25">
            <v>1.636209645277003</v>
          </cell>
          <cell r="AW25">
            <v>82.072508223111043</v>
          </cell>
          <cell r="AX25">
            <v>-0.22447265163178898</v>
          </cell>
        </row>
        <row r="26">
          <cell r="AP26">
            <v>-24.6</v>
          </cell>
          <cell r="AW26">
            <v>-23.763500000000001</v>
          </cell>
        </row>
        <row r="27">
          <cell r="U27">
            <v>-2.226</v>
          </cell>
          <cell r="AB27">
            <v>0</v>
          </cell>
          <cell r="AI27">
            <v>-44.957000000000001</v>
          </cell>
          <cell r="AP27">
            <v>-26.207999999999998</v>
          </cell>
        </row>
        <row r="28">
          <cell r="R28">
            <v>-0.4</v>
          </cell>
          <cell r="S28">
            <v>-0.20200000000000001</v>
          </cell>
          <cell r="T28">
            <v>-1.6240000000000001</v>
          </cell>
          <cell r="U28">
            <v>-2.226</v>
          </cell>
        </row>
        <row r="29">
          <cell r="AP29">
            <v>-22.314</v>
          </cell>
        </row>
        <row r="30">
          <cell r="AH30">
            <v>5.8609999999999998</v>
          </cell>
          <cell r="AI30">
            <v>5.8609999999999998</v>
          </cell>
        </row>
        <row r="31">
          <cell r="AE31">
            <v>-50.817999999999998</v>
          </cell>
          <cell r="AI31">
            <v>-50.817999999999998</v>
          </cell>
          <cell r="AP31">
            <v>-3.8940000000000001</v>
          </cell>
        </row>
        <row r="32">
          <cell r="I32">
            <v>-7.5590000000000037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-9.7330000000000005</v>
          </cell>
          <cell r="R32" t="e">
            <v>#REF!</v>
          </cell>
          <cell r="S32">
            <v>-2.1270000000000007</v>
          </cell>
          <cell r="T32">
            <v>-12.545</v>
          </cell>
          <cell r="U32">
            <v>-23.004999999999995</v>
          </cell>
          <cell r="X32">
            <v>-12.253</v>
          </cell>
          <cell r="Y32">
            <v>-2.0230000000000019</v>
          </cell>
          <cell r="Z32">
            <v>-9.7129999999999992</v>
          </cell>
          <cell r="AA32">
            <v>-17.938000000000002</v>
          </cell>
          <cell r="AB32">
            <v>-41.927</v>
          </cell>
          <cell r="AE32">
            <v>-64.239999999999995</v>
          </cell>
          <cell r="AF32">
            <v>-16.11</v>
          </cell>
          <cell r="AG32">
            <v>-148.97600000000003</v>
          </cell>
          <cell r="AH32">
            <v>-5.9750000000000023</v>
          </cell>
          <cell r="AI32">
            <v>-235.30100000000002</v>
          </cell>
          <cell r="AP32">
            <v>-117.15199999999999</v>
          </cell>
          <cell r="AQ32">
            <v>-0.5021185630320314</v>
          </cell>
          <cell r="AW32">
            <v>-185.72999177688897</v>
          </cell>
          <cell r="AX32">
            <v>0.58537619312422318</v>
          </cell>
        </row>
        <row r="33">
          <cell r="AI33">
            <v>-8.3000000000000007</v>
          </cell>
        </row>
        <row r="34">
          <cell r="I34">
            <v>0.2</v>
          </cell>
          <cell r="J34">
            <v>-1.1211387038158691</v>
          </cell>
          <cell r="K34">
            <v>0</v>
          </cell>
          <cell r="L34">
            <v>0.245</v>
          </cell>
          <cell r="M34">
            <v>0</v>
          </cell>
          <cell r="N34">
            <v>0</v>
          </cell>
          <cell r="O34">
            <v>0.245</v>
          </cell>
          <cell r="P34">
            <v>0.22499999999999987</v>
          </cell>
          <cell r="Q34">
            <v>0</v>
          </cell>
          <cell r="R34">
            <v>0.2</v>
          </cell>
          <cell r="S34">
            <v>0</v>
          </cell>
          <cell r="T34">
            <v>0</v>
          </cell>
          <cell r="U34">
            <v>-0.2</v>
          </cell>
          <cell r="X34">
            <v>0</v>
          </cell>
          <cell r="Y34">
            <v>0.22500000000000001</v>
          </cell>
          <cell r="AB34">
            <v>-0.22500000000000001</v>
          </cell>
          <cell r="AF34">
            <v>0.22500000000000001</v>
          </cell>
          <cell r="AI34">
            <v>-0.22500000000000001</v>
          </cell>
        </row>
        <row r="35">
          <cell r="I35">
            <v>-7.7590000000000039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-9.7330000000000005</v>
          </cell>
          <cell r="R35" t="e">
            <v>#REF!</v>
          </cell>
          <cell r="S35">
            <v>-2.1270000000000007</v>
          </cell>
          <cell r="T35">
            <v>-12.545</v>
          </cell>
          <cell r="U35">
            <v>-23.204999999999995</v>
          </cell>
          <cell r="X35">
            <v>-12.253</v>
          </cell>
          <cell r="Y35">
            <v>-2.248000000000002</v>
          </cell>
          <cell r="Z35">
            <v>-9.7129999999999992</v>
          </cell>
          <cell r="AA35">
            <v>-17.938000000000002</v>
          </cell>
          <cell r="AB35">
            <v>-42.152000000000001</v>
          </cell>
          <cell r="AE35">
            <v>-64.239999999999995</v>
          </cell>
          <cell r="AF35">
            <v>-16.335000000000001</v>
          </cell>
          <cell r="AG35">
            <v>-148.97600000000003</v>
          </cell>
          <cell r="AH35">
            <v>-5.9750000000000023</v>
          </cell>
          <cell r="AI35">
            <v>-243.82600000000002</v>
          </cell>
          <cell r="AP35">
            <v>-117.15199999999999</v>
          </cell>
          <cell r="AQ35">
            <v>-0.5195262195171968</v>
          </cell>
          <cell r="AW35">
            <v>-185.72999177688897</v>
          </cell>
          <cell r="AX35">
            <v>0.58537619312422318</v>
          </cell>
        </row>
        <row r="36">
          <cell r="I36">
            <v>-0.41647879763821816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-0.10889460729469681</v>
          </cell>
          <cell r="R36" t="e">
            <v>#REF!</v>
          </cell>
          <cell r="S36">
            <v>-2.3738839285714294E-2</v>
          </cell>
          <cell r="T36">
            <v>-0.1387721238938053</v>
          </cell>
          <cell r="U36">
            <v>-0.25856593682099271</v>
          </cell>
          <cell r="X36">
            <v>-0.13420003504775257</v>
          </cell>
          <cell r="Y36">
            <v>-2.450937636284346E-2</v>
          </cell>
          <cell r="Z36">
            <v>-0.10534250140991713</v>
          </cell>
          <cell r="AA36">
            <v>-0.19288172043010754</v>
          </cell>
          <cell r="AB36">
            <v>-0.45789022018966508</v>
          </cell>
          <cell r="AE36">
            <v>-0.62354682480425005</v>
          </cell>
          <cell r="AF36">
            <v>-0.14950428278745614</v>
          </cell>
          <cell r="AG36">
            <v>-2.5870749542961615</v>
          </cell>
          <cell r="AH36">
            <v>-4.9502899751449891E-2</v>
          </cell>
          <cell r="AI36">
            <v>-2.2046516797774225</v>
          </cell>
          <cell r="AP36">
            <v>-0.92278720695335659</v>
          </cell>
          <cell r="AQ36">
            <v>-0.58143628065249775</v>
          </cell>
          <cell r="AW36">
            <v>-1.4406334584730145</v>
          </cell>
          <cell r="AX36">
            <v>0.56117623610037004</v>
          </cell>
        </row>
        <row r="38">
          <cell r="I38">
            <v>18.63</v>
          </cell>
          <cell r="J38">
            <v>0.18545385129330905</v>
          </cell>
          <cell r="K38">
            <v>19.466999999999999</v>
          </cell>
          <cell r="L38">
            <v>22.722999999999999</v>
          </cell>
          <cell r="M38">
            <v>22.228000000000002</v>
          </cell>
          <cell r="N38">
            <v>22.308</v>
          </cell>
          <cell r="O38">
            <v>21.525283000000002</v>
          </cell>
          <cell r="P38">
            <v>0.15540971551261418</v>
          </cell>
          <cell r="Q38">
            <v>89.38</v>
          </cell>
          <cell r="R38">
            <v>89.6</v>
          </cell>
          <cell r="S38">
            <v>89.6</v>
          </cell>
          <cell r="T38">
            <v>90.4</v>
          </cell>
          <cell r="U38">
            <v>89.745000000000005</v>
          </cell>
          <cell r="V38">
            <v>3.1692831634315795</v>
          </cell>
          <cell r="X38">
            <v>91.304000000000002</v>
          </cell>
          <cell r="Y38">
            <v>91.72</v>
          </cell>
          <cell r="Z38">
            <v>92.203999999999994</v>
          </cell>
          <cell r="AA38">
            <v>93</v>
          </cell>
          <cell r="AB38">
            <v>92.057000000000002</v>
          </cell>
          <cell r="AE38">
            <v>103.023538</v>
          </cell>
          <cell r="AF38">
            <v>109.261084</v>
          </cell>
          <cell r="AG38">
            <v>109.4</v>
          </cell>
          <cell r="AH38">
            <v>120.7</v>
          </cell>
          <cell r="AI38">
            <v>110.59615549999999</v>
          </cell>
          <cell r="AP38">
            <v>126.95451249999999</v>
          </cell>
          <cell r="AQ38">
            <v>0.14791072009731843</v>
          </cell>
          <cell r="AW38">
            <v>128.92244774999998</v>
          </cell>
          <cell r="AX38">
            <v>1.5501105169459573E-2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単独"/>
      <sheetName val="連結"/>
      <sheetName val="期中"/>
      <sheetName val="valu"/>
      <sheetName val="増減分析"/>
      <sheetName val="新素材"/>
      <sheetName val="子会社"/>
      <sheetName val="環境"/>
      <sheetName val="製錬拠点"/>
      <sheetName val="ﾃｨｻﾊﾟ"/>
      <sheetName val="ﾚｲﾃﾞﾌﾟﾗﾀ"/>
      <sheetName val="小坂"/>
      <sheetName val="中計"/>
      <sheetName val="cash"/>
      <sheetName val="ｾｸﾞﾒﾝﾄ"/>
      <sheetName val="含み益"/>
      <sheetName val="capx"/>
      <sheetName val="dep"/>
      <sheetName val="人"/>
      <sheetName val="exp"/>
      <sheetName val="Valuation Matrix"/>
      <sheetName val="HANDOUT"/>
      <sheetName val="Interm-Euro"/>
      <sheetName val="SCATTER DATA"/>
      <sheetName val="10 Yr DCF"/>
      <sheetName val="Annual-Euro"/>
      <sheetName val="Residual Income Model"/>
      <sheetName val="P"/>
      <sheetName val="EARNMOD"/>
      <sheetName val="WACC"/>
      <sheetName val="Sheet1"/>
      <sheetName val="Fixed Line Mkt"/>
      <sheetName val="Cash Flow"/>
      <sheetName val="upside_downside"/>
      <sheetName val="Income Statement"/>
      <sheetName val="Balance Sheet"/>
      <sheetName val="Valsum"/>
      <sheetName val="Operating Leases tagged"/>
      <sheetName val="DCF"/>
      <sheetName val="OP"/>
      <sheetName val="Inputs"/>
      <sheetName val="MWA RR"/>
      <sheetName val="Summary"/>
      <sheetName val="IS"/>
      <sheetName val="exh 11"/>
      <sheetName val="exh 14"/>
      <sheetName val="exh 12"/>
      <sheetName val="exh 10"/>
      <sheetName val="exh 1 and 5"/>
      <sheetName val="exh 15"/>
      <sheetName val="exh 3"/>
      <sheetName val="exh 9"/>
      <sheetName val="Good 12-00 (2)"/>
      <sheetName val="Good 11-36"/>
      <sheetName val="Good 11-50"/>
      <sheetName val="Sheet3 (5)"/>
      <sheetName val="Total_Production"/>
      <sheetName val="RFS"/>
      <sheetName val="Corn_Uses"/>
      <sheetName val="US_Production"/>
      <sheetName val="Risk-Reward_View_Chart"/>
      <sheetName val="variables"/>
      <sheetName val="IS Quarterly"/>
      <sheetName val="Sheet1 (2)"/>
      <sheetName val="1Q11 Preview"/>
      <sheetName val="2Q11 Preview"/>
      <sheetName val="Model"/>
      <sheetName val="Intrinsic Value"/>
      <sheetName val="Rev by Geo"/>
      <sheetName val="Report template"/>
      <sheetName val="Model (WIP)"/>
      <sheetName val="sales bkd"/>
      <sheetName val="fin"/>
      <sheetName val="Presentation"/>
      <sheetName val="Valuation"/>
      <sheetName val="Exclusion List"/>
    </sheetNames>
    <sheetDataSet>
      <sheetData sheetId="0" refreshError="1">
        <row r="14">
          <cell r="AR14">
            <v>28</v>
          </cell>
        </row>
        <row r="15">
          <cell r="AR15">
            <v>5</v>
          </cell>
        </row>
        <row r="16">
          <cell r="AR16">
            <v>14</v>
          </cell>
        </row>
        <row r="17">
          <cell r="AR17">
            <v>6</v>
          </cell>
        </row>
        <row r="18">
          <cell r="AR18">
            <v>-5</v>
          </cell>
        </row>
        <row r="512">
          <cell r="B512" t="str">
            <v>売上高</v>
          </cell>
          <cell r="D512" t="str">
            <v>M\</v>
          </cell>
          <cell r="Q512">
            <v>210000</v>
          </cell>
          <cell r="R512">
            <v>105000</v>
          </cell>
          <cell r="S512">
            <v>105000</v>
          </cell>
          <cell r="T512">
            <v>210000</v>
          </cell>
          <cell r="U512">
            <v>105000</v>
          </cell>
          <cell r="V512">
            <v>105000</v>
          </cell>
          <cell r="W512">
            <v>210000</v>
          </cell>
          <cell r="X512">
            <v>93000</v>
          </cell>
          <cell r="Y512">
            <v>100000</v>
          </cell>
          <cell r="Z512">
            <v>193000</v>
          </cell>
          <cell r="AA512">
            <v>91000</v>
          </cell>
          <cell r="AB512">
            <v>94000</v>
          </cell>
          <cell r="AC512">
            <v>185000</v>
          </cell>
        </row>
        <row r="513">
          <cell r="B513" t="str">
            <v>営業利益</v>
          </cell>
          <cell r="D513" t="str">
            <v>M\</v>
          </cell>
          <cell r="Q513">
            <v>8000</v>
          </cell>
          <cell r="R513">
            <v>5000</v>
          </cell>
          <cell r="S513">
            <v>5000</v>
          </cell>
          <cell r="T513">
            <v>10000</v>
          </cell>
          <cell r="V513">
            <v>0</v>
          </cell>
          <cell r="X513">
            <v>3000</v>
          </cell>
          <cell r="Y513">
            <v>4500</v>
          </cell>
          <cell r="Z513">
            <v>7500</v>
          </cell>
          <cell r="AA513">
            <v>3300</v>
          </cell>
          <cell r="AB513">
            <v>4400</v>
          </cell>
          <cell r="AC513">
            <v>7700</v>
          </cell>
        </row>
        <row r="514">
          <cell r="B514" t="str">
            <v>経常利益</v>
          </cell>
          <cell r="D514" t="str">
            <v>M\</v>
          </cell>
          <cell r="Q514">
            <v>6000</v>
          </cell>
          <cell r="R514">
            <v>4000</v>
          </cell>
          <cell r="S514">
            <v>4000</v>
          </cell>
          <cell r="T514">
            <v>8000</v>
          </cell>
          <cell r="U514">
            <v>3600</v>
          </cell>
          <cell r="V514">
            <v>3600</v>
          </cell>
          <cell r="W514">
            <v>7200</v>
          </cell>
          <cell r="X514">
            <v>2000</v>
          </cell>
          <cell r="Y514">
            <v>3000</v>
          </cell>
          <cell r="Z514">
            <v>5000</v>
          </cell>
          <cell r="AA514">
            <v>2500</v>
          </cell>
          <cell r="AB514">
            <v>3500</v>
          </cell>
          <cell r="AC514">
            <v>6000</v>
          </cell>
        </row>
        <row r="515">
          <cell r="B515" t="str">
            <v>当期利益</v>
          </cell>
          <cell r="D515" t="str">
            <v>M\</v>
          </cell>
          <cell r="Q515">
            <v>3000</v>
          </cell>
          <cell r="R515">
            <v>2000</v>
          </cell>
          <cell r="S515">
            <v>2000</v>
          </cell>
          <cell r="T515">
            <v>4000</v>
          </cell>
          <cell r="U515">
            <v>2000</v>
          </cell>
          <cell r="V515">
            <v>2000</v>
          </cell>
          <cell r="W515">
            <v>4000</v>
          </cell>
          <cell r="X515">
            <v>1200</v>
          </cell>
          <cell r="Y515">
            <v>1600</v>
          </cell>
          <cell r="Z515">
            <v>2800</v>
          </cell>
          <cell r="AA515">
            <v>1300</v>
          </cell>
          <cell r="AB515">
            <v>1700</v>
          </cell>
          <cell r="AC515">
            <v>3000</v>
          </cell>
        </row>
        <row r="516">
          <cell r="D516" t="str">
            <v xml:space="preserve"> </v>
          </cell>
        </row>
        <row r="517">
          <cell r="A517" t="str">
            <v>中間決算後の会社予想</v>
          </cell>
          <cell r="D517" t="str">
            <v xml:space="preserve"> </v>
          </cell>
          <cell r="Q517" t="str">
            <v>97/3期</v>
          </cell>
          <cell r="R517" t="str">
            <v>97/9上</v>
          </cell>
          <cell r="S517" t="str">
            <v>下</v>
          </cell>
          <cell r="T517" t="str">
            <v>98/3期</v>
          </cell>
          <cell r="U517" t="str">
            <v>98/9上</v>
          </cell>
          <cell r="V517" t="str">
            <v>下</v>
          </cell>
          <cell r="W517" t="str">
            <v>99/3期</v>
          </cell>
          <cell r="Z517" t="str">
            <v>00/3期</v>
          </cell>
          <cell r="AC517" t="str">
            <v>01/3期</v>
          </cell>
        </row>
        <row r="518">
          <cell r="B518" t="str">
            <v>売上高</v>
          </cell>
          <cell r="D518" t="str">
            <v>M\</v>
          </cell>
          <cell r="Q518">
            <v>200000</v>
          </cell>
          <cell r="S518">
            <v>109491</v>
          </cell>
          <cell r="T518">
            <v>222000</v>
          </cell>
          <cell r="U518">
            <v>104114</v>
          </cell>
          <cell r="V518">
            <v>105886</v>
          </cell>
          <cell r="W518">
            <v>210000</v>
          </cell>
          <cell r="X518">
            <v>91000</v>
          </cell>
          <cell r="Y518">
            <v>93000</v>
          </cell>
          <cell r="Z518">
            <v>184000</v>
          </cell>
          <cell r="AA518">
            <v>92800</v>
          </cell>
          <cell r="AB518">
            <v>94200</v>
          </cell>
          <cell r="AC518">
            <v>187000</v>
          </cell>
        </row>
        <row r="519">
          <cell r="B519" t="str">
            <v>営業利益</v>
          </cell>
          <cell r="D519" t="str">
            <v>M\</v>
          </cell>
          <cell r="Q519">
            <v>7500</v>
          </cell>
          <cell r="S519">
            <v>5552</v>
          </cell>
          <cell r="T519">
            <v>11000</v>
          </cell>
          <cell r="U519">
            <v>4811</v>
          </cell>
          <cell r="V519">
            <v>5689</v>
          </cell>
          <cell r="W519">
            <v>10500</v>
          </cell>
          <cell r="X519">
            <v>750</v>
          </cell>
          <cell r="Y519">
            <v>2350</v>
          </cell>
          <cell r="Z519">
            <v>3100</v>
          </cell>
          <cell r="AA519">
            <v>4000</v>
          </cell>
          <cell r="AB519">
            <v>4600</v>
          </cell>
          <cell r="AC519">
            <v>8600</v>
          </cell>
        </row>
        <row r="520">
          <cell r="B520" t="str">
            <v>経常利益</v>
          </cell>
          <cell r="D520" t="str">
            <v>M\</v>
          </cell>
          <cell r="Q520">
            <v>6000</v>
          </cell>
          <cell r="S520">
            <v>4344</v>
          </cell>
          <cell r="T520">
            <v>8500</v>
          </cell>
          <cell r="U520">
            <v>2863</v>
          </cell>
          <cell r="V520">
            <v>4337</v>
          </cell>
          <cell r="W520">
            <v>7200</v>
          </cell>
          <cell r="X520">
            <v>1200</v>
          </cell>
          <cell r="Y520">
            <v>1300</v>
          </cell>
          <cell r="Z520">
            <v>2500</v>
          </cell>
          <cell r="AA520">
            <v>3200</v>
          </cell>
          <cell r="AB520">
            <v>3800</v>
          </cell>
          <cell r="AC520">
            <v>7000</v>
          </cell>
        </row>
        <row r="521">
          <cell r="B521" t="str">
            <v>当期利益</v>
          </cell>
          <cell r="D521" t="str">
            <v>M\</v>
          </cell>
          <cell r="Q521">
            <v>3000</v>
          </cell>
          <cell r="S521">
            <v>1985</v>
          </cell>
          <cell r="T521">
            <v>4500</v>
          </cell>
          <cell r="U521">
            <v>1269</v>
          </cell>
          <cell r="V521">
            <v>2731</v>
          </cell>
          <cell r="W521">
            <v>4000</v>
          </cell>
          <cell r="X521">
            <v>900</v>
          </cell>
          <cell r="Y521">
            <v>700</v>
          </cell>
          <cell r="Z521">
            <v>1600</v>
          </cell>
          <cell r="AA521">
            <v>1700</v>
          </cell>
          <cell r="AB521">
            <v>1800</v>
          </cell>
          <cell r="AC521">
            <v>3500</v>
          </cell>
        </row>
        <row r="522">
          <cell r="D522" t="str">
            <v xml:space="preserve"> </v>
          </cell>
        </row>
        <row r="523">
          <cell r="A523" t="str">
            <v>修正後の会社予想</v>
          </cell>
          <cell r="D523" t="str">
            <v xml:space="preserve"> </v>
          </cell>
          <cell r="Q523" t="str">
            <v>97/3期</v>
          </cell>
          <cell r="R523" t="str">
            <v>97/9上</v>
          </cell>
          <cell r="S523" t="str">
            <v>下</v>
          </cell>
          <cell r="T523" t="str">
            <v>98/3期</v>
          </cell>
          <cell r="U523" t="str">
            <v>98/9上</v>
          </cell>
          <cell r="V523" t="str">
            <v>下</v>
          </cell>
          <cell r="W523" t="str">
            <v>99/3期</v>
          </cell>
          <cell r="Z523" t="str">
            <v>00/3期</v>
          </cell>
          <cell r="AC523" t="str">
            <v>01/3期</v>
          </cell>
        </row>
        <row r="524">
          <cell r="B524" t="str">
            <v>売上高</v>
          </cell>
          <cell r="D524" t="str">
            <v>M\</v>
          </cell>
          <cell r="U524">
            <v>112509</v>
          </cell>
          <cell r="V524">
            <v>82491</v>
          </cell>
          <cell r="W524">
            <v>195000</v>
          </cell>
          <cell r="X524">
            <v>92411</v>
          </cell>
          <cell r="Y524">
            <v>91589</v>
          </cell>
          <cell r="Z524">
            <v>184000</v>
          </cell>
          <cell r="AC524">
            <v>188600</v>
          </cell>
        </row>
        <row r="525">
          <cell r="B525" t="str">
            <v>営業利益</v>
          </cell>
          <cell r="D525" t="str">
            <v>M\</v>
          </cell>
          <cell r="U525">
            <v>5448</v>
          </cell>
          <cell r="V525">
            <v>-5448</v>
          </cell>
          <cell r="W525" t="str">
            <v>-</v>
          </cell>
          <cell r="X525">
            <v>739</v>
          </cell>
          <cell r="Y525">
            <v>2261</v>
          </cell>
          <cell r="Z525">
            <v>3000</v>
          </cell>
          <cell r="AC525">
            <v>8500</v>
          </cell>
        </row>
        <row r="526">
          <cell r="B526" t="str">
            <v>経常利益</v>
          </cell>
          <cell r="D526" t="str">
            <v>M\</v>
          </cell>
          <cell r="U526">
            <v>4156</v>
          </cell>
          <cell r="V526">
            <v>1144</v>
          </cell>
          <cell r="W526">
            <v>5300</v>
          </cell>
          <cell r="X526">
            <v>1209</v>
          </cell>
          <cell r="Y526">
            <v>1291</v>
          </cell>
          <cell r="Z526">
            <v>2500</v>
          </cell>
          <cell r="AC526">
            <v>7000</v>
          </cell>
        </row>
        <row r="527">
          <cell r="B527" t="str">
            <v>当期利益</v>
          </cell>
          <cell r="D527" t="str">
            <v>M\</v>
          </cell>
          <cell r="U527">
            <v>2515</v>
          </cell>
          <cell r="V527">
            <v>-1515</v>
          </cell>
          <cell r="W527">
            <v>1000</v>
          </cell>
          <cell r="X527">
            <v>1015</v>
          </cell>
          <cell r="Y527">
            <v>585</v>
          </cell>
          <cell r="Z527">
            <v>1600</v>
          </cell>
          <cell r="AC527">
            <v>3500</v>
          </cell>
        </row>
        <row r="529">
          <cell r="A529" t="str">
            <v>自分の業績予想の要約</v>
          </cell>
          <cell r="D529" t="str">
            <v xml:space="preserve"> </v>
          </cell>
          <cell r="Q529" t="str">
            <v>97/3期</v>
          </cell>
          <cell r="R529" t="str">
            <v>97/9上</v>
          </cell>
          <cell r="S529" t="str">
            <v>下</v>
          </cell>
          <cell r="T529" t="str">
            <v>98/3期</v>
          </cell>
          <cell r="U529" t="str">
            <v>98/9上</v>
          </cell>
          <cell r="V529" t="str">
            <v>下</v>
          </cell>
          <cell r="W529" t="str">
            <v>99/3期</v>
          </cell>
          <cell r="Z529" t="str">
            <v>00/3期</v>
          </cell>
          <cell r="AC529" t="str">
            <v>01/3期</v>
          </cell>
        </row>
        <row r="530">
          <cell r="B530" t="str">
            <v>売上高</v>
          </cell>
          <cell r="D530" t="str">
            <v>M\</v>
          </cell>
          <cell r="Q530">
            <v>212588</v>
          </cell>
          <cell r="R530">
            <v>112509</v>
          </cell>
          <cell r="S530">
            <v>108769</v>
          </cell>
          <cell r="T530">
            <v>221278</v>
          </cell>
          <cell r="U530">
            <v>104114</v>
          </cell>
          <cell r="V530">
            <v>105886</v>
          </cell>
          <cell r="W530">
            <v>196247</v>
          </cell>
          <cell r="X530">
            <v>92411</v>
          </cell>
          <cell r="Y530">
            <v>94325</v>
          </cell>
          <cell r="Z530">
            <v>186736</v>
          </cell>
          <cell r="AA530">
            <v>93449</v>
          </cell>
          <cell r="AB530">
            <v>95973</v>
          </cell>
          <cell r="AC530">
            <v>189422</v>
          </cell>
        </row>
        <row r="531">
          <cell r="B531" t="str">
            <v>営業利益</v>
          </cell>
          <cell r="D531" t="str">
            <v>M\</v>
          </cell>
          <cell r="Q531">
            <v>8473</v>
          </cell>
          <cell r="R531">
            <v>5448</v>
          </cell>
          <cell r="S531">
            <v>6280</v>
          </cell>
          <cell r="T531">
            <v>11728</v>
          </cell>
          <cell r="U531">
            <v>4811</v>
          </cell>
          <cell r="V531">
            <v>-4811</v>
          </cell>
          <cell r="W531">
            <v>9099</v>
          </cell>
          <cell r="X531">
            <v>739</v>
          </cell>
          <cell r="Y531">
            <v>2937</v>
          </cell>
          <cell r="Z531">
            <v>3676</v>
          </cell>
          <cell r="AA531">
            <v>3823</v>
          </cell>
          <cell r="AB531">
            <v>4774</v>
          </cell>
          <cell r="AC531">
            <v>8597</v>
          </cell>
        </row>
        <row r="532">
          <cell r="B532" t="str">
            <v>経常利益</v>
          </cell>
          <cell r="D532" t="str">
            <v>M\</v>
          </cell>
          <cell r="Q532">
            <v>6780</v>
          </cell>
          <cell r="R532">
            <v>4156</v>
          </cell>
          <cell r="S532">
            <v>4254</v>
          </cell>
          <cell r="T532">
            <v>8410</v>
          </cell>
          <cell r="U532">
            <v>2863</v>
          </cell>
          <cell r="V532">
            <v>4337</v>
          </cell>
          <cell r="W532">
            <v>5436</v>
          </cell>
          <cell r="X532">
            <v>1209</v>
          </cell>
          <cell r="Y532">
            <v>2206</v>
          </cell>
          <cell r="Z532">
            <v>3415</v>
          </cell>
          <cell r="AA532">
            <v>3188</v>
          </cell>
          <cell r="AB532">
            <v>4246</v>
          </cell>
          <cell r="AC532">
            <v>7434</v>
          </cell>
        </row>
        <row r="533">
          <cell r="B533" t="str">
            <v>当期利益</v>
          </cell>
          <cell r="D533" t="str">
            <v>M\</v>
          </cell>
          <cell r="Q533">
            <v>2642</v>
          </cell>
          <cell r="R533">
            <v>2515</v>
          </cell>
          <cell r="S533">
            <v>1930</v>
          </cell>
          <cell r="T533">
            <v>4445</v>
          </cell>
          <cell r="U533">
            <v>1269</v>
          </cell>
          <cell r="V533">
            <v>2731</v>
          </cell>
          <cell r="W533">
            <v>1249</v>
          </cell>
          <cell r="X533">
            <v>1015</v>
          </cell>
          <cell r="Y533">
            <v>-371</v>
          </cell>
          <cell r="Z533">
            <v>644</v>
          </cell>
          <cell r="AA533">
            <v>1886</v>
          </cell>
          <cell r="AB533">
            <v>1735</v>
          </cell>
          <cell r="AC533">
            <v>3621</v>
          </cell>
        </row>
        <row r="534">
          <cell r="B534" t="str">
            <v>ｷｬｯｼｭﾌﾛｰ</v>
          </cell>
          <cell r="D534" t="str">
            <v>M\</v>
          </cell>
          <cell r="Q534">
            <v>6569</v>
          </cell>
          <cell r="T534">
            <v>8397</v>
          </cell>
          <cell r="W534">
            <v>5219</v>
          </cell>
          <cell r="X534">
            <v>0</v>
          </cell>
          <cell r="Y534">
            <v>0</v>
          </cell>
          <cell r="Z534">
            <v>5272</v>
          </cell>
          <cell r="AA534">
            <v>0</v>
          </cell>
          <cell r="AB534">
            <v>0</v>
          </cell>
          <cell r="AC534">
            <v>7744</v>
          </cell>
        </row>
        <row r="535">
          <cell r="B535" t="str">
            <v>ＥＰＳ</v>
          </cell>
          <cell r="D535" t="str">
            <v xml:space="preserve"> </v>
          </cell>
          <cell r="Q535">
            <v>9.3778729053303369</v>
          </cell>
          <cell r="T535">
            <v>15.777685489853653</v>
          </cell>
          <cell r="W535">
            <v>4.4585484502642458</v>
          </cell>
          <cell r="X535">
            <v>0</v>
          </cell>
          <cell r="Y535">
            <v>0</v>
          </cell>
          <cell r="Z535">
            <v>2.3091291751816403</v>
          </cell>
          <cell r="AA535">
            <v>0</v>
          </cell>
          <cell r="AB535">
            <v>0</v>
          </cell>
          <cell r="AC535">
            <v>12.474266786471992</v>
          </cell>
        </row>
        <row r="536">
          <cell r="B536" t="str">
            <v>ＣＦＰＳ</v>
          </cell>
          <cell r="Q536">
            <v>23.316898983767974</v>
          </cell>
          <cell r="T536">
            <v>29.805449956873144</v>
          </cell>
          <cell r="W536">
            <v>18.63023567808575</v>
          </cell>
          <cell r="X536">
            <v>0</v>
          </cell>
          <cell r="Y536">
            <v>0</v>
          </cell>
          <cell r="Z536">
            <v>18.903305918567714</v>
          </cell>
          <cell r="AA536">
            <v>0</v>
          </cell>
          <cell r="AB536">
            <v>0</v>
          </cell>
          <cell r="AC536">
            <v>26.677912729753963</v>
          </cell>
        </row>
        <row r="537">
          <cell r="B537" t="str">
            <v>ＢＰＳ</v>
          </cell>
          <cell r="D537" t="str">
            <v xml:space="preserve"> </v>
          </cell>
          <cell r="Q537">
            <v>274.47138541921788</v>
          </cell>
          <cell r="T537">
            <v>285.04545180263165</v>
          </cell>
          <cell r="W537">
            <v>283.40518700030344</v>
          </cell>
          <cell r="X537">
            <v>0</v>
          </cell>
          <cell r="Y537">
            <v>0</v>
          </cell>
          <cell r="Z537">
            <v>284.88701918588026</v>
          </cell>
          <cell r="AA537">
            <v>0</v>
          </cell>
          <cell r="AB537">
            <v>0</v>
          </cell>
          <cell r="AC537">
            <v>301.13934185933795</v>
          </cell>
        </row>
        <row r="538">
          <cell r="B538" t="str">
            <v>ＲＯＥ</v>
          </cell>
          <cell r="D538" t="str">
            <v xml:space="preserve"> </v>
          </cell>
          <cell r="Q538">
            <v>3.4167033080723171E-2</v>
          </cell>
          <cell r="T538">
            <v>5.5351472511051616E-2</v>
          </cell>
          <cell r="W538">
            <v>1.5732063683998387E-2</v>
          </cell>
          <cell r="X538">
            <v>0</v>
          </cell>
          <cell r="Y538">
            <v>0</v>
          </cell>
          <cell r="Z538">
            <v>8.1054208148213392E-3</v>
          </cell>
          <cell r="AA538">
            <v>0</v>
          </cell>
          <cell r="AB538">
            <v>0</v>
          </cell>
          <cell r="AC538">
            <v>4.1423570595099185E-2</v>
          </cell>
        </row>
        <row r="539">
          <cell r="B539" t="str">
            <v>発行済株式数</v>
          </cell>
          <cell r="D539" t="str">
            <v xml:space="preserve"> </v>
          </cell>
          <cell r="Q539">
            <v>281727</v>
          </cell>
          <cell r="T539">
            <v>281727</v>
          </cell>
          <cell r="W539">
            <v>280136.016</v>
          </cell>
          <cell r="X539">
            <v>0</v>
          </cell>
          <cell r="Y539">
            <v>0</v>
          </cell>
          <cell r="Z539">
            <v>278893.016</v>
          </cell>
          <cell r="AA539">
            <v>0</v>
          </cell>
          <cell r="AB539">
            <v>0</v>
          </cell>
          <cell r="AC539">
            <v>290277.58199999999</v>
          </cell>
        </row>
        <row r="540">
          <cell r="C540" t="str">
            <v>売上前期比</v>
          </cell>
          <cell r="D540" t="str">
            <v xml:space="preserve"> </v>
          </cell>
          <cell r="T540">
            <v>4.0877189681449488E-2</v>
          </cell>
          <cell r="U540">
            <v>-7.461625292198848E-2</v>
          </cell>
          <cell r="V540">
            <v>-2.6505713944230402E-2</v>
          </cell>
          <cell r="W540">
            <v>-0.11312014750675625</v>
          </cell>
          <cell r="X540">
            <v>-0.11240563228768463</v>
          </cell>
          <cell r="Y540">
            <v>-0.10918346145854974</v>
          </cell>
          <cell r="Z540">
            <v>-4.8464435125122884E-2</v>
          </cell>
          <cell r="AA540">
            <v>1.1232429039832903E-2</v>
          </cell>
          <cell r="AB540">
            <v>1.7471508083753085E-2</v>
          </cell>
          <cell r="AC540">
            <v>1.4383943106845987E-2</v>
          </cell>
        </row>
        <row r="541">
          <cell r="C541" t="str">
            <v>営業前期比</v>
          </cell>
          <cell r="D541" t="str">
            <v xml:space="preserve"> </v>
          </cell>
          <cell r="T541">
            <v>0.38416145403044966</v>
          </cell>
          <cell r="U541">
            <v>-0.11692364170337743</v>
          </cell>
          <cell r="V541">
            <v>-1.7660828025477708</v>
          </cell>
          <cell r="W541">
            <v>-0.22416439290586632</v>
          </cell>
          <cell r="X541">
            <v>-0.84639368114737057</v>
          </cell>
          <cell r="Y541">
            <v>-1.6104759925171481</v>
          </cell>
          <cell r="Z541">
            <v>-0.59599956039125179</v>
          </cell>
          <cell r="AA541">
            <v>4.1732070365358593</v>
          </cell>
          <cell r="AB541">
            <v>0.62546816479400746</v>
          </cell>
          <cell r="AC541">
            <v>1.3386833514689882</v>
          </cell>
        </row>
        <row r="542">
          <cell r="C542" t="str">
            <v>経常前期比</v>
          </cell>
          <cell r="D542" t="str">
            <v xml:space="preserve"> </v>
          </cell>
          <cell r="T542">
            <v>0.24041297935103234</v>
          </cell>
          <cell r="U542">
            <v>-0.31111645813282007</v>
          </cell>
          <cell r="V542">
            <v>1.9511048425011834E-2</v>
          </cell>
          <cell r="W542">
            <v>-0.35362663495838287</v>
          </cell>
          <cell r="X542">
            <v>-0.57771568285015718</v>
          </cell>
          <cell r="Y542">
            <v>-0.49135347014065023</v>
          </cell>
          <cell r="Z542">
            <v>-0.37178072111846949</v>
          </cell>
          <cell r="AA542">
            <v>1.6368899917287014</v>
          </cell>
          <cell r="AB542">
            <v>0.92475067996373528</v>
          </cell>
          <cell r="AC542">
            <v>1.1768667642752564</v>
          </cell>
        </row>
        <row r="543">
          <cell r="C543" t="str">
            <v>当期前期比</v>
          </cell>
          <cell r="D543" t="str">
            <v xml:space="preserve"> </v>
          </cell>
          <cell r="I543" t="str">
            <v>-</v>
          </cell>
          <cell r="J543" t="str">
            <v>-</v>
          </cell>
          <cell r="K543" t="str">
            <v>-</v>
          </cell>
          <cell r="T543">
            <v>0.68243754731264183</v>
          </cell>
          <cell r="U543">
            <v>-0.49542743538767398</v>
          </cell>
          <cell r="V543">
            <v>0.41502590673575135</v>
          </cell>
          <cell r="W543">
            <v>-0.71901012373453321</v>
          </cell>
          <cell r="X543">
            <v>-0.20015760441292352</v>
          </cell>
          <cell r="Y543">
            <v>-1.1358476748443793</v>
          </cell>
          <cell r="Z543">
            <v>-0.48438751000800639</v>
          </cell>
          <cell r="AA543">
            <v>0.8581280788177339</v>
          </cell>
          <cell r="AB543">
            <v>-5.6765498652291102</v>
          </cell>
          <cell r="AC543">
            <v>4.6226708074534164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64">
          <cell r="E164">
            <v>1247</v>
          </cell>
          <cell r="F164">
            <v>1807</v>
          </cell>
          <cell r="G164">
            <v>2812</v>
          </cell>
          <cell r="H164">
            <v>2828</v>
          </cell>
          <cell r="I164">
            <v>6670</v>
          </cell>
        </row>
        <row r="165">
          <cell r="E165" t="e">
            <v>#VALUE!</v>
          </cell>
          <cell r="F165" t="e">
            <v>#VALUE!</v>
          </cell>
          <cell r="G165" t="e">
            <v>#VALUE!</v>
          </cell>
          <cell r="H165" t="e">
            <v>#VALUE!</v>
          </cell>
          <cell r="I165" t="e">
            <v>#VALUE!</v>
          </cell>
        </row>
        <row r="167">
          <cell r="E167">
            <v>2721</v>
          </cell>
          <cell r="F167">
            <v>1584</v>
          </cell>
          <cell r="G167">
            <v>1802</v>
          </cell>
          <cell r="H167">
            <v>1616</v>
          </cell>
          <cell r="I167">
            <v>795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NY UPLOAD"/>
      <sheetName val="Quarterly - 2003"/>
      <sheetName val="Quarterly - 2004"/>
      <sheetName val="MS Est vs Rpt"/>
      <sheetName val="Annual"/>
      <sheetName val="Balance Sheet "/>
      <sheetName val="Cashflow"/>
      <sheetName val="Tarceva-US"/>
      <sheetName val="Tarceva-Europe"/>
      <sheetName val="Tarceva-Japan"/>
      <sheetName val="Changes to Model"/>
      <sheetName val="Pipeline Chart"/>
      <sheetName val="Tarceva Trials"/>
      <sheetName val="Milestones"/>
      <sheetName val="Snap"/>
      <sheetName val="NY UPLOAD shadow"/>
      <sheetName val="mStartup"/>
      <sheetName val="MainCode"/>
      <sheetName val="mwareTaxoPres"/>
      <sheetName val="LOG"/>
      <sheetName val="MS Est. Vs Actual"/>
      <sheetName val="Quarterly"/>
      <sheetName val="mwareValPrintout"/>
      <sheetName val="Model_Template"/>
      <sheetName val="DCF Valuation"/>
      <sheetName val="Int'l Epo Model"/>
      <sheetName val="US Epo Model"/>
      <sheetName val="CSFs"/>
      <sheetName val="US RA Model"/>
      <sheetName val="Figures"/>
      <sheetName val="Marketing"/>
      <sheetName val="mwareDates"/>
      <sheetName val="mwareSettings"/>
    </sheetNames>
    <sheetDataSet>
      <sheetData sheetId="0"/>
      <sheetData sheetId="1"/>
      <sheetData sheetId="2"/>
      <sheetData sheetId="3"/>
      <sheetData sheetId="4"/>
      <sheetData sheetId="5" refreshError="1">
        <row r="21">
          <cell r="E21">
            <v>56038</v>
          </cell>
          <cell r="F21">
            <v>102202</v>
          </cell>
          <cell r="G21">
            <v>102642</v>
          </cell>
          <cell r="I21">
            <v>100105</v>
          </cell>
          <cell r="K21">
            <v>112750</v>
          </cell>
          <cell r="M21">
            <v>112750</v>
          </cell>
        </row>
      </sheetData>
      <sheetData sheetId="6"/>
      <sheetData sheetId="7"/>
      <sheetData sheetId="8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NY UPLOAD"/>
      <sheetName val="2003"/>
      <sheetName val="2004"/>
      <sheetName val="Annual"/>
      <sheetName val="Angiomax-US"/>
      <sheetName val="Balance Sheet"/>
      <sheetName val="Cash Flow"/>
      <sheetName val="Changes to Model"/>
      <sheetName val="MS Est vs Rpt"/>
      <sheetName val="Milestones"/>
      <sheetName val="Snap"/>
      <sheetName val="NY UPLOAD shadow"/>
    </sheetNames>
    <sheetDataSet>
      <sheetData sheetId="0"/>
      <sheetData sheetId="1"/>
      <sheetData sheetId="2"/>
      <sheetData sheetId="3"/>
      <sheetData sheetId="4" refreshError="1">
        <row r="16">
          <cell r="O16">
            <v>57000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"/>
      <sheetName val="Valuations"/>
      <sheetName val="5 Year Sales &amp; Earnings"/>
      <sheetName val="Annual Prod Sales"/>
      <sheetName val="Qrt Sales"/>
      <sheetName val="Qtr Income"/>
      <sheetName val="Qtr Margin"/>
      <sheetName val="Q-Preview"/>
      <sheetName val="CF2"/>
      <sheetName val="CF2part2"/>
      <sheetName val="Balance Sheet"/>
      <sheetName val="Lipitor&amp;Ari "/>
      <sheetName val="Lipitor Only"/>
      <sheetName val="P&amp;L"/>
      <sheetName val="Quarterly"/>
      <sheetName val="Ann. Prod Sales (2)"/>
      <sheetName val="Blank"/>
      <sheetName val="Viagra model"/>
      <sheetName val="IS-COMPS"/>
      <sheetName val="BS"/>
      <sheetName val="Cashflow"/>
      <sheetName val="Alliance lose Lipitor"/>
      <sheetName val="Lipitor &amp; Aricept "/>
      <sheetName val="Sales &amp; Op. Earnings"/>
      <sheetName val="Zeldox"/>
      <sheetName val="QRT_LINK"/>
      <sheetName val="Stat Sheet"/>
      <sheetName val="Q-PreviewOLD"/>
      <sheetName val="Disclaimer"/>
      <sheetName val="IndexInformation"/>
      <sheetName val="MainCode"/>
      <sheetName val="NY UPLOAD shad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3" t="str">
            <v>Table 5</v>
          </cell>
          <cell r="AO3" t="str">
            <v>Table 5</v>
          </cell>
          <cell r="AP3" t="str">
            <v>(continued)</v>
          </cell>
          <cell r="BV3" t="str">
            <v>Table 5</v>
          </cell>
          <cell r="BW3" t="str">
            <v>(continued)</v>
          </cell>
          <cell r="DC3" t="str">
            <v>Table 5</v>
          </cell>
          <cell r="DD3" t="str">
            <v>(continued)</v>
          </cell>
        </row>
        <row r="4">
          <cell r="A4" t="str">
            <v>Pfizer</v>
          </cell>
          <cell r="AO4" t="str">
            <v>Pfizer</v>
          </cell>
          <cell r="BV4" t="str">
            <v>Pfizer</v>
          </cell>
          <cell r="DC4" t="str">
            <v>Pfizer</v>
          </cell>
        </row>
        <row r="5">
          <cell r="A5" t="str">
            <v>Quarterly Sales Analysis 1998-2005E</v>
          </cell>
          <cell r="AO5" t="str">
            <v>Quarterly Sales Analysis 1998-2005E</v>
          </cell>
          <cell r="BV5" t="str">
            <v>Quarterly Sales Analysis 1998-2005E</v>
          </cell>
          <cell r="DC5" t="str">
            <v>Quarterly Sales Analysis 1998-2005E</v>
          </cell>
        </row>
        <row r="6">
          <cell r="A6" t="str">
            <v>($ Millions)</v>
          </cell>
          <cell r="AO6" t="str">
            <v>($ Millions)</v>
          </cell>
          <cell r="BV6" t="str">
            <v>($ Millions)</v>
          </cell>
          <cell r="DC6" t="str">
            <v>($ Millions)</v>
          </cell>
        </row>
        <row r="8">
          <cell r="B8" t="str">
            <v>Cardiovascular</v>
          </cell>
          <cell r="Y8" t="str">
            <v>Central Nervous System</v>
          </cell>
          <cell r="AP8" t="str">
            <v>Anti-Infectives</v>
          </cell>
          <cell r="BJ8" t="str">
            <v xml:space="preserve">Anti-Inflammatories    </v>
          </cell>
          <cell r="CA8" t="str">
            <v>Allergy</v>
          </cell>
          <cell r="CM8" t="str">
            <v>Diabetes</v>
          </cell>
        </row>
        <row r="9">
          <cell r="B9" t="str">
            <v>Procardia XL</v>
          </cell>
          <cell r="F9" t="str">
            <v xml:space="preserve">Norvasc   </v>
          </cell>
          <cell r="J9" t="str">
            <v>Cardura</v>
          </cell>
          <cell r="M9" t="str">
            <v>Lipitor</v>
          </cell>
          <cell r="Q9" t="str">
            <v xml:space="preserve">  Other Cardio (a) </v>
          </cell>
          <cell r="U9" t="str">
            <v>Total Cardio</v>
          </cell>
          <cell r="Y9" t="str">
            <v>Zoloft</v>
          </cell>
          <cell r="AC9" t="str">
            <v>Zeldox</v>
          </cell>
          <cell r="AG9" t="str">
            <v>Other CNS (b)</v>
          </cell>
          <cell r="AK9" t="str">
            <v>Total CNS</v>
          </cell>
          <cell r="AP9" t="str">
            <v xml:space="preserve">Diflucan  </v>
          </cell>
          <cell r="AT9" t="str">
            <v>Zithromax</v>
          </cell>
          <cell r="AX9" t="str">
            <v>Trovan</v>
          </cell>
          <cell r="BB9" t="str">
            <v>Other (c)</v>
          </cell>
          <cell r="BF9" t="str">
            <v>Total Anti-Infectives</v>
          </cell>
          <cell r="BJ9" t="str">
            <v>Feldene</v>
          </cell>
          <cell r="BN9" t="str">
            <v xml:space="preserve">Other </v>
          </cell>
          <cell r="BR9" t="str">
            <v>Total</v>
          </cell>
          <cell r="BW9" t="str">
            <v>Viagra</v>
          </cell>
          <cell r="CA9" t="str">
            <v>Zyrtec/Reactine (d)</v>
          </cell>
          <cell r="CE9" t="str">
            <v>Other</v>
          </cell>
          <cell r="CI9" t="str">
            <v>Total</v>
          </cell>
          <cell r="CM9" t="str">
            <v xml:space="preserve">Glucotrol XL </v>
          </cell>
          <cell r="CQ9" t="str">
            <v>Other (e)</v>
          </cell>
          <cell r="CU9" t="str">
            <v>Total</v>
          </cell>
          <cell r="CY9" t="str">
            <v>Other Products</v>
          </cell>
          <cell r="DD9" t="str">
            <v>New Products</v>
          </cell>
          <cell r="DH9" t="str">
            <v>Alliance Revenues (c)</v>
          </cell>
          <cell r="DL9" t="str">
            <v>Total Pharmaceuticals</v>
          </cell>
          <cell r="DP9" t="str">
            <v>Animal Health</v>
          </cell>
          <cell r="DT9" t="str">
            <v>Consumer Health</v>
          </cell>
          <cell r="DX9" t="str">
            <v>Total Corporate Sales</v>
          </cell>
        </row>
        <row r="10">
          <cell r="B10" t="str">
            <v>U.S.</v>
          </cell>
          <cell r="C10" t="str">
            <v>Intl</v>
          </cell>
          <cell r="D10" t="str">
            <v>Total</v>
          </cell>
          <cell r="F10" t="str">
            <v>U.S.</v>
          </cell>
          <cell r="G10" t="str">
            <v>Intl</v>
          </cell>
          <cell r="H10" t="str">
            <v>Total</v>
          </cell>
          <cell r="J10" t="str">
            <v>U.S.</v>
          </cell>
          <cell r="K10" t="str">
            <v>Intl</v>
          </cell>
          <cell r="L10" t="str">
            <v>Total</v>
          </cell>
          <cell r="M10" t="str">
            <v>U.S.</v>
          </cell>
          <cell r="N10" t="str">
            <v>Intl</v>
          </cell>
          <cell r="O10" t="str">
            <v>Total</v>
          </cell>
          <cell r="Q10" t="str">
            <v>U.S.</v>
          </cell>
          <cell r="R10" t="str">
            <v>Intl</v>
          </cell>
          <cell r="S10" t="str">
            <v>Total</v>
          </cell>
          <cell r="U10" t="str">
            <v xml:space="preserve">U.S. </v>
          </cell>
          <cell r="V10" t="str">
            <v xml:space="preserve">Intl </v>
          </cell>
          <cell r="W10" t="str">
            <v xml:space="preserve">Total </v>
          </cell>
          <cell r="Y10" t="str">
            <v>U.S.</v>
          </cell>
          <cell r="Z10" t="str">
            <v xml:space="preserve">Intl </v>
          </cell>
          <cell r="AA10" t="str">
            <v xml:space="preserve">Total </v>
          </cell>
          <cell r="AC10" t="str">
            <v>U.S.</v>
          </cell>
          <cell r="AD10" t="str">
            <v xml:space="preserve">Intl </v>
          </cell>
          <cell r="AE10" t="str">
            <v xml:space="preserve">Total </v>
          </cell>
          <cell r="AG10" t="str">
            <v>U.S.</v>
          </cell>
          <cell r="AH10" t="str">
            <v xml:space="preserve">Intl </v>
          </cell>
          <cell r="AI10" t="str">
            <v xml:space="preserve">Total </v>
          </cell>
          <cell r="AK10" t="str">
            <v>U.S.</v>
          </cell>
          <cell r="AL10" t="str">
            <v xml:space="preserve">Intl </v>
          </cell>
          <cell r="AM10" t="str">
            <v xml:space="preserve">Total </v>
          </cell>
          <cell r="AP10" t="str">
            <v>U.S.</v>
          </cell>
          <cell r="AQ10" t="str">
            <v>Intl</v>
          </cell>
          <cell r="AR10" t="str">
            <v xml:space="preserve">Total </v>
          </cell>
          <cell r="AT10" t="str">
            <v>U.S.</v>
          </cell>
          <cell r="AU10" t="str">
            <v>Intl</v>
          </cell>
          <cell r="AV10" t="str">
            <v xml:space="preserve">Total </v>
          </cell>
          <cell r="AX10" t="str">
            <v>U.S.</v>
          </cell>
          <cell r="AY10" t="str">
            <v>Intl</v>
          </cell>
          <cell r="AZ10" t="str">
            <v xml:space="preserve">Total </v>
          </cell>
          <cell r="BB10" t="str">
            <v>U.S.</v>
          </cell>
          <cell r="BC10" t="str">
            <v>Intl</v>
          </cell>
          <cell r="BD10" t="str">
            <v xml:space="preserve">Total </v>
          </cell>
          <cell r="BF10" t="str">
            <v>U.S.</v>
          </cell>
          <cell r="BG10" t="str">
            <v>Intl</v>
          </cell>
          <cell r="BH10" t="str">
            <v>Total</v>
          </cell>
          <cell r="BJ10" t="str">
            <v>U.S.</v>
          </cell>
          <cell r="BK10" t="str">
            <v>Intl</v>
          </cell>
          <cell r="BL10" t="str">
            <v xml:space="preserve">Total </v>
          </cell>
          <cell r="BN10" t="str">
            <v>U.S.</v>
          </cell>
          <cell r="BO10" t="str">
            <v xml:space="preserve">Intl </v>
          </cell>
          <cell r="BP10" t="str">
            <v xml:space="preserve">Total </v>
          </cell>
          <cell r="BR10" t="str">
            <v>U.S.</v>
          </cell>
          <cell r="BS10" t="str">
            <v xml:space="preserve">Intl </v>
          </cell>
          <cell r="BT10" t="str">
            <v xml:space="preserve">Total </v>
          </cell>
          <cell r="BW10" t="str">
            <v>U.S.</v>
          </cell>
          <cell r="BX10" t="str">
            <v>Intl</v>
          </cell>
          <cell r="BY10" t="str">
            <v xml:space="preserve">Total </v>
          </cell>
          <cell r="CA10" t="str">
            <v>U.S.</v>
          </cell>
          <cell r="CB10" t="str">
            <v>Intl</v>
          </cell>
          <cell r="CC10" t="str">
            <v xml:space="preserve">Total </v>
          </cell>
          <cell r="CE10" t="str">
            <v>U.S.</v>
          </cell>
          <cell r="CF10" t="str">
            <v xml:space="preserve">Intl </v>
          </cell>
          <cell r="CG10" t="str">
            <v xml:space="preserve">Total </v>
          </cell>
          <cell r="CI10" t="str">
            <v>U.S.</v>
          </cell>
          <cell r="CJ10" t="str">
            <v xml:space="preserve">Intl </v>
          </cell>
          <cell r="CK10" t="str">
            <v xml:space="preserve">Total </v>
          </cell>
          <cell r="CM10" t="str">
            <v>U.S.</v>
          </cell>
          <cell r="CN10" t="str">
            <v>Intl</v>
          </cell>
          <cell r="CO10" t="str">
            <v xml:space="preserve">Total </v>
          </cell>
          <cell r="CQ10" t="str">
            <v>U.S.</v>
          </cell>
          <cell r="CR10" t="str">
            <v xml:space="preserve">Intl </v>
          </cell>
          <cell r="CS10" t="str">
            <v xml:space="preserve">Total </v>
          </cell>
          <cell r="CU10" t="str">
            <v>U.S.</v>
          </cell>
          <cell r="CV10" t="str">
            <v xml:space="preserve">Intl </v>
          </cell>
          <cell r="CW10" t="str">
            <v xml:space="preserve">Total </v>
          </cell>
          <cell r="CY10" t="str">
            <v>U.S.</v>
          </cell>
          <cell r="CZ10" t="str">
            <v xml:space="preserve">Intl </v>
          </cell>
          <cell r="DA10" t="str">
            <v xml:space="preserve">Total </v>
          </cell>
          <cell r="DD10" t="str">
            <v>U.S.</v>
          </cell>
          <cell r="DE10" t="str">
            <v>Intl</v>
          </cell>
          <cell r="DF10" t="str">
            <v xml:space="preserve">Total </v>
          </cell>
          <cell r="DH10" t="str">
            <v>U.S.</v>
          </cell>
          <cell r="DI10" t="str">
            <v>Intl</v>
          </cell>
          <cell r="DJ10" t="str">
            <v xml:space="preserve">Total </v>
          </cell>
          <cell r="DL10" t="str">
            <v>U.S.</v>
          </cell>
          <cell r="DM10" t="str">
            <v xml:space="preserve">Intl </v>
          </cell>
          <cell r="DN10" t="str">
            <v xml:space="preserve">Total </v>
          </cell>
          <cell r="DP10" t="str">
            <v>U.S.</v>
          </cell>
          <cell r="DQ10" t="str">
            <v>Intl</v>
          </cell>
          <cell r="DR10" t="str">
            <v xml:space="preserve">Total  </v>
          </cell>
          <cell r="DT10" t="str">
            <v>U.S.</v>
          </cell>
          <cell r="DU10" t="str">
            <v>Intl</v>
          </cell>
          <cell r="DV10" t="str">
            <v xml:space="preserve">Total  </v>
          </cell>
          <cell r="DX10" t="str">
            <v>U.S.</v>
          </cell>
          <cell r="DY10" t="str">
            <v xml:space="preserve">Intl </v>
          </cell>
          <cell r="DZ10" t="str">
            <v xml:space="preserve">Total </v>
          </cell>
        </row>
        <row r="12">
          <cell r="A12" t="str">
            <v>1994</v>
          </cell>
          <cell r="AO12" t="str">
            <v>1994</v>
          </cell>
          <cell r="BV12" t="str">
            <v>1994</v>
          </cell>
          <cell r="DC12" t="str">
            <v>1994</v>
          </cell>
        </row>
        <row r="13">
          <cell r="A13" t="str">
            <v xml:space="preserve"> 1Q</v>
          </cell>
          <cell r="B13">
            <v>336.1</v>
          </cell>
          <cell r="C13">
            <v>0</v>
          </cell>
          <cell r="D13">
            <v>336.1</v>
          </cell>
          <cell r="F13">
            <v>61.9</v>
          </cell>
          <cell r="G13">
            <v>92.2</v>
          </cell>
          <cell r="H13">
            <v>154.1</v>
          </cell>
          <cell r="J13">
            <v>22.6</v>
          </cell>
          <cell r="K13">
            <v>49.5</v>
          </cell>
          <cell r="L13">
            <v>72.099999999999994</v>
          </cell>
          <cell r="Q13">
            <v>11.099999999999966</v>
          </cell>
          <cell r="R13">
            <v>32.400000000000006</v>
          </cell>
          <cell r="S13">
            <v>43.499999999999972</v>
          </cell>
          <cell r="U13">
            <v>431.7</v>
          </cell>
          <cell r="V13">
            <v>174.1</v>
          </cell>
          <cell r="W13">
            <v>605.79999999999995</v>
          </cell>
          <cell r="Y13">
            <v>141.6</v>
          </cell>
          <cell r="Z13">
            <v>15.3</v>
          </cell>
          <cell r="AA13">
            <v>156.9</v>
          </cell>
          <cell r="AC13">
            <v>0</v>
          </cell>
          <cell r="AD13">
            <v>0</v>
          </cell>
          <cell r="AE13">
            <v>0</v>
          </cell>
          <cell r="AG13">
            <v>6.4000000000000057</v>
          </cell>
          <cell r="AH13">
            <v>7.6999999999999993</v>
          </cell>
          <cell r="AI13">
            <v>14.100000000000005</v>
          </cell>
          <cell r="AK13">
            <v>148</v>
          </cell>
          <cell r="AL13">
            <v>23</v>
          </cell>
          <cell r="AM13">
            <v>171</v>
          </cell>
          <cell r="AO13" t="str">
            <v xml:space="preserve"> 1Q</v>
          </cell>
          <cell r="AP13">
            <v>71.599999999999994</v>
          </cell>
          <cell r="AQ13">
            <v>86</v>
          </cell>
          <cell r="AR13">
            <v>157.6</v>
          </cell>
          <cell r="AT13">
            <v>36.1</v>
          </cell>
          <cell r="AU13">
            <v>11.1</v>
          </cell>
          <cell r="AV13">
            <v>47.2</v>
          </cell>
          <cell r="AX13">
            <v>0</v>
          </cell>
          <cell r="AY13">
            <v>0</v>
          </cell>
          <cell r="AZ13">
            <v>0</v>
          </cell>
          <cell r="BB13">
            <v>47.700000000000017</v>
          </cell>
          <cell r="BC13">
            <v>167.00000000000003</v>
          </cell>
          <cell r="BD13">
            <v>214.70000000000005</v>
          </cell>
          <cell r="BF13">
            <v>155.4</v>
          </cell>
          <cell r="BG13">
            <v>264.10000000000002</v>
          </cell>
          <cell r="BH13">
            <v>419.5</v>
          </cell>
          <cell r="BJ13">
            <v>10.6</v>
          </cell>
          <cell r="BK13">
            <v>64.7</v>
          </cell>
          <cell r="BL13">
            <v>75.3</v>
          </cell>
          <cell r="BN13">
            <v>0.40000000000000036</v>
          </cell>
          <cell r="BO13">
            <v>16.299999999999997</v>
          </cell>
          <cell r="BP13">
            <v>16.699999999999996</v>
          </cell>
          <cell r="BR13">
            <v>11</v>
          </cell>
          <cell r="BS13">
            <v>81</v>
          </cell>
          <cell r="BT13">
            <v>92</v>
          </cell>
          <cell r="BV13" t="str">
            <v xml:space="preserve"> 1Q</v>
          </cell>
          <cell r="BW13">
            <v>0</v>
          </cell>
          <cell r="BX13">
            <v>0</v>
          </cell>
          <cell r="BY13">
            <v>0</v>
          </cell>
          <cell r="CA13">
            <v>0</v>
          </cell>
          <cell r="CB13">
            <v>1.3</v>
          </cell>
          <cell r="CC13">
            <v>1.3</v>
          </cell>
          <cell r="CE13">
            <v>0</v>
          </cell>
          <cell r="CF13">
            <v>-0.30000000000000004</v>
          </cell>
          <cell r="CG13">
            <v>-0.30000000000000004</v>
          </cell>
          <cell r="CI13">
            <v>0</v>
          </cell>
          <cell r="CJ13">
            <v>1</v>
          </cell>
          <cell r="CK13">
            <v>1</v>
          </cell>
          <cell r="CL13">
            <v>0</v>
          </cell>
          <cell r="CM13">
            <v>0</v>
          </cell>
          <cell r="CN13">
            <v>0</v>
          </cell>
          <cell r="CO13">
            <v>0</v>
          </cell>
          <cell r="CQ13">
            <v>61</v>
          </cell>
          <cell r="CR13">
            <v>7</v>
          </cell>
          <cell r="CS13">
            <v>68</v>
          </cell>
          <cell r="CU13">
            <v>61</v>
          </cell>
          <cell r="CV13">
            <v>7</v>
          </cell>
          <cell r="CW13">
            <v>68</v>
          </cell>
          <cell r="CY13">
            <v>7.6999999999999602</v>
          </cell>
          <cell r="CZ13">
            <v>45.899999999999977</v>
          </cell>
          <cell r="DA13">
            <v>53.599999999999937</v>
          </cell>
          <cell r="DC13" t="str">
            <v xml:space="preserve"> 1Q</v>
          </cell>
          <cell r="DD13">
            <v>0</v>
          </cell>
          <cell r="DE13">
            <v>0</v>
          </cell>
          <cell r="DF13">
            <v>0</v>
          </cell>
          <cell r="DL13">
            <v>814.8</v>
          </cell>
          <cell r="DM13">
            <v>596.1</v>
          </cell>
          <cell r="DN13">
            <v>1410.9</v>
          </cell>
          <cell r="DP13">
            <v>38.299999999999997</v>
          </cell>
          <cell r="DQ13">
            <v>107</v>
          </cell>
          <cell r="DR13">
            <v>145.30000000000001</v>
          </cell>
          <cell r="DT13">
            <v>75</v>
          </cell>
          <cell r="DU13">
            <v>32</v>
          </cell>
          <cell r="DV13">
            <v>107</v>
          </cell>
          <cell r="DX13">
            <v>928.09999999999991</v>
          </cell>
          <cell r="DY13">
            <v>735.1</v>
          </cell>
          <cell r="DZ13">
            <v>1663.1999999999998</v>
          </cell>
        </row>
        <row r="14">
          <cell r="A14" t="str">
            <v xml:space="preserve"> 2Q</v>
          </cell>
          <cell r="B14">
            <v>249.7</v>
          </cell>
          <cell r="C14">
            <v>0</v>
          </cell>
          <cell r="D14">
            <v>249.7</v>
          </cell>
          <cell r="F14">
            <v>66.900000000000006</v>
          </cell>
          <cell r="G14">
            <v>107.5</v>
          </cell>
          <cell r="H14">
            <v>174.4</v>
          </cell>
          <cell r="J14">
            <v>20.7</v>
          </cell>
          <cell r="K14">
            <v>53.7</v>
          </cell>
          <cell r="L14">
            <v>74.400000000000006</v>
          </cell>
          <cell r="Q14">
            <v>7.0999999999999659</v>
          </cell>
          <cell r="R14">
            <v>31.900000000000006</v>
          </cell>
          <cell r="S14">
            <v>38.999999999999972</v>
          </cell>
          <cell r="U14">
            <v>344.4</v>
          </cell>
          <cell r="V14">
            <v>193.1</v>
          </cell>
          <cell r="W14">
            <v>537.5</v>
          </cell>
          <cell r="Y14">
            <v>140.6</v>
          </cell>
          <cell r="Z14">
            <v>17.399999999999999</v>
          </cell>
          <cell r="AA14">
            <v>158</v>
          </cell>
          <cell r="AC14">
            <v>0</v>
          </cell>
          <cell r="AD14">
            <v>0</v>
          </cell>
          <cell r="AE14">
            <v>0</v>
          </cell>
          <cell r="AG14">
            <v>5.4000000000000057</v>
          </cell>
          <cell r="AH14">
            <v>8.6000000000000014</v>
          </cell>
          <cell r="AI14">
            <v>14.000000000000007</v>
          </cell>
          <cell r="AK14">
            <v>146</v>
          </cell>
          <cell r="AL14">
            <v>26</v>
          </cell>
          <cell r="AM14">
            <v>172</v>
          </cell>
          <cell r="AO14" t="str">
            <v xml:space="preserve"> 2Q</v>
          </cell>
          <cell r="AP14">
            <v>75.7</v>
          </cell>
          <cell r="AQ14">
            <v>92.4</v>
          </cell>
          <cell r="AR14">
            <v>168.10000000000002</v>
          </cell>
          <cell r="AT14">
            <v>22.5</v>
          </cell>
          <cell r="AU14">
            <v>14</v>
          </cell>
          <cell r="AV14">
            <v>36.5</v>
          </cell>
          <cell r="AX14">
            <v>0</v>
          </cell>
          <cell r="AY14">
            <v>0</v>
          </cell>
          <cell r="AZ14">
            <v>0</v>
          </cell>
          <cell r="BB14">
            <v>40.299999999999997</v>
          </cell>
          <cell r="BC14">
            <v>148.5</v>
          </cell>
          <cell r="BD14">
            <v>188.8</v>
          </cell>
          <cell r="BF14">
            <v>138.5</v>
          </cell>
          <cell r="BG14">
            <v>254.9</v>
          </cell>
          <cell r="BH14">
            <v>393.4</v>
          </cell>
          <cell r="BJ14">
            <v>6.9</v>
          </cell>
          <cell r="BK14">
            <v>63.3</v>
          </cell>
          <cell r="BL14">
            <v>70.2</v>
          </cell>
          <cell r="BN14">
            <v>9.9999999999999645E-2</v>
          </cell>
          <cell r="BO14">
            <v>10.700000000000003</v>
          </cell>
          <cell r="BP14">
            <v>10.800000000000002</v>
          </cell>
          <cell r="BR14">
            <v>7</v>
          </cell>
          <cell r="BS14">
            <v>74</v>
          </cell>
          <cell r="BT14">
            <v>81</v>
          </cell>
          <cell r="BV14" t="str">
            <v xml:space="preserve"> 2Q</v>
          </cell>
          <cell r="BW14">
            <v>0</v>
          </cell>
          <cell r="BX14">
            <v>0</v>
          </cell>
          <cell r="BY14">
            <v>0</v>
          </cell>
          <cell r="CA14">
            <v>0</v>
          </cell>
          <cell r="CB14">
            <v>3</v>
          </cell>
          <cell r="CC14">
            <v>3</v>
          </cell>
          <cell r="CE14">
            <v>0</v>
          </cell>
          <cell r="CF14">
            <v>0</v>
          </cell>
          <cell r="CG14">
            <v>0</v>
          </cell>
          <cell r="CI14">
            <v>0</v>
          </cell>
          <cell r="CJ14">
            <v>3</v>
          </cell>
          <cell r="CK14">
            <v>3</v>
          </cell>
          <cell r="CM14">
            <v>7.2</v>
          </cell>
          <cell r="CN14">
            <v>0</v>
          </cell>
          <cell r="CO14">
            <v>7.2</v>
          </cell>
          <cell r="CQ14">
            <v>48.8</v>
          </cell>
          <cell r="CR14">
            <v>8</v>
          </cell>
          <cell r="CS14">
            <v>56.8</v>
          </cell>
          <cell r="CU14">
            <v>56</v>
          </cell>
          <cell r="CV14">
            <v>8</v>
          </cell>
          <cell r="CW14">
            <v>64</v>
          </cell>
          <cell r="CY14">
            <v>5.3999999999999773</v>
          </cell>
          <cell r="CZ14">
            <v>53.200000000000017</v>
          </cell>
          <cell r="DA14">
            <v>58.599999999999994</v>
          </cell>
          <cell r="DC14" t="str">
            <v xml:space="preserve"> 2Q</v>
          </cell>
          <cell r="DD14">
            <v>0</v>
          </cell>
          <cell r="DE14">
            <v>0</v>
          </cell>
          <cell r="DF14">
            <v>0</v>
          </cell>
          <cell r="DL14">
            <v>697.3</v>
          </cell>
          <cell r="DM14">
            <v>612.20000000000005</v>
          </cell>
          <cell r="DN14">
            <v>1309.5</v>
          </cell>
          <cell r="DP14">
            <v>38.799999999999997</v>
          </cell>
          <cell r="DQ14">
            <v>102.6</v>
          </cell>
          <cell r="DR14">
            <v>141.39999999999998</v>
          </cell>
          <cell r="DT14">
            <v>75</v>
          </cell>
          <cell r="DU14">
            <v>32</v>
          </cell>
          <cell r="DV14">
            <v>107</v>
          </cell>
          <cell r="DX14">
            <v>811.09999999999991</v>
          </cell>
          <cell r="DY14">
            <v>746.80000000000007</v>
          </cell>
          <cell r="DZ14">
            <v>1557.9</v>
          </cell>
        </row>
        <row r="15">
          <cell r="A15" t="str">
            <v xml:space="preserve"> 3Q</v>
          </cell>
          <cell r="B15">
            <v>292.60000000000002</v>
          </cell>
          <cell r="C15">
            <v>0</v>
          </cell>
          <cell r="D15">
            <v>292.60000000000002</v>
          </cell>
          <cell r="F15">
            <v>87.6</v>
          </cell>
          <cell r="G15">
            <v>122.2</v>
          </cell>
          <cell r="H15">
            <v>209.8</v>
          </cell>
          <cell r="J15">
            <v>26.2</v>
          </cell>
          <cell r="K15">
            <v>55.2</v>
          </cell>
          <cell r="L15">
            <v>81.400000000000006</v>
          </cell>
          <cell r="Q15">
            <v>8.4999999999999432</v>
          </cell>
          <cell r="R15">
            <v>32.900000000000006</v>
          </cell>
          <cell r="S15">
            <v>41.399999999999949</v>
          </cell>
          <cell r="U15">
            <v>414.9</v>
          </cell>
          <cell r="V15">
            <v>210.3</v>
          </cell>
          <cell r="W15">
            <v>625.20000000000005</v>
          </cell>
          <cell r="Y15">
            <v>176.7</v>
          </cell>
          <cell r="Z15">
            <v>20.399999999999999</v>
          </cell>
          <cell r="AA15">
            <v>197.1</v>
          </cell>
          <cell r="AC15">
            <v>0</v>
          </cell>
          <cell r="AD15">
            <v>0</v>
          </cell>
          <cell r="AE15">
            <v>0</v>
          </cell>
          <cell r="AG15">
            <v>6.3000000000000114</v>
          </cell>
          <cell r="AH15">
            <v>7.6000000000000014</v>
          </cell>
          <cell r="AI15">
            <v>13.900000000000013</v>
          </cell>
          <cell r="AK15">
            <v>183</v>
          </cell>
          <cell r="AL15">
            <v>28</v>
          </cell>
          <cell r="AM15">
            <v>211</v>
          </cell>
          <cell r="AO15" t="str">
            <v xml:space="preserve"> 3Q</v>
          </cell>
          <cell r="AP15">
            <v>94.3</v>
          </cell>
          <cell r="AQ15">
            <v>103.3</v>
          </cell>
          <cell r="AR15">
            <v>197.6</v>
          </cell>
          <cell r="AT15">
            <v>25.7</v>
          </cell>
          <cell r="AU15">
            <v>19</v>
          </cell>
          <cell r="AV15">
            <v>44.7</v>
          </cell>
          <cell r="AX15">
            <v>0</v>
          </cell>
          <cell r="AY15">
            <v>0</v>
          </cell>
          <cell r="AZ15">
            <v>0</v>
          </cell>
          <cell r="BB15">
            <v>40.800000000000011</v>
          </cell>
          <cell r="BC15">
            <v>156.30000000000001</v>
          </cell>
          <cell r="BD15">
            <v>197.10000000000002</v>
          </cell>
          <cell r="BF15">
            <v>160.80000000000001</v>
          </cell>
          <cell r="BG15">
            <v>278.60000000000002</v>
          </cell>
          <cell r="BH15">
            <v>439.40000000000003</v>
          </cell>
          <cell r="BJ15">
            <v>6.8</v>
          </cell>
          <cell r="BK15">
            <v>66.099999999999994</v>
          </cell>
          <cell r="BL15">
            <v>72.899999999999991</v>
          </cell>
          <cell r="BN15">
            <v>0.20000000000000018</v>
          </cell>
          <cell r="BO15">
            <v>15.900000000000006</v>
          </cell>
          <cell r="BP15">
            <v>16.100000000000005</v>
          </cell>
          <cell r="BR15">
            <v>7</v>
          </cell>
          <cell r="BS15">
            <v>82</v>
          </cell>
          <cell r="BT15">
            <v>89</v>
          </cell>
          <cell r="BV15" t="str">
            <v xml:space="preserve"> 3Q</v>
          </cell>
          <cell r="BW15">
            <v>0</v>
          </cell>
          <cell r="BX15">
            <v>0</v>
          </cell>
          <cell r="BY15">
            <v>0</v>
          </cell>
          <cell r="CA15">
            <v>0</v>
          </cell>
          <cell r="CB15">
            <v>4</v>
          </cell>
          <cell r="CC15">
            <v>4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4</v>
          </cell>
          <cell r="CK15">
            <v>4</v>
          </cell>
          <cell r="CM15">
            <v>4.5</v>
          </cell>
          <cell r="CN15">
            <v>0</v>
          </cell>
          <cell r="CO15">
            <v>4.5</v>
          </cell>
          <cell r="CQ15">
            <v>38.5</v>
          </cell>
          <cell r="CR15">
            <v>8</v>
          </cell>
          <cell r="CS15">
            <v>46.5</v>
          </cell>
          <cell r="CU15">
            <v>43</v>
          </cell>
          <cell r="CV15">
            <v>8</v>
          </cell>
          <cell r="CW15">
            <v>51</v>
          </cell>
          <cell r="CY15">
            <v>6.0999999999999659</v>
          </cell>
          <cell r="CZ15">
            <v>55.800000000000011</v>
          </cell>
          <cell r="DA15">
            <v>61.899999999999977</v>
          </cell>
          <cell r="DC15" t="str">
            <v xml:space="preserve"> 3Q</v>
          </cell>
          <cell r="DD15">
            <v>0</v>
          </cell>
          <cell r="DE15">
            <v>0</v>
          </cell>
          <cell r="DF15">
            <v>0</v>
          </cell>
          <cell r="DL15">
            <v>814.8</v>
          </cell>
          <cell r="DM15">
            <v>666.7</v>
          </cell>
          <cell r="DN15">
            <v>1481.5</v>
          </cell>
          <cell r="DP15">
            <v>50</v>
          </cell>
          <cell r="DQ15">
            <v>93</v>
          </cell>
          <cell r="DR15">
            <v>143</v>
          </cell>
          <cell r="DT15">
            <v>75</v>
          </cell>
          <cell r="DU15">
            <v>33</v>
          </cell>
          <cell r="DV15">
            <v>108</v>
          </cell>
          <cell r="DX15">
            <v>939.8</v>
          </cell>
          <cell r="DY15">
            <v>792.7</v>
          </cell>
          <cell r="DZ15">
            <v>1732.5</v>
          </cell>
        </row>
        <row r="16">
          <cell r="A16" t="str">
            <v xml:space="preserve"> 4Q</v>
          </cell>
          <cell r="B16">
            <v>298.8</v>
          </cell>
          <cell r="C16">
            <v>0</v>
          </cell>
          <cell r="D16">
            <v>298.8</v>
          </cell>
          <cell r="F16">
            <v>86.1</v>
          </cell>
          <cell r="G16">
            <v>143.19999999999999</v>
          </cell>
          <cell r="H16">
            <v>229.29999999999998</v>
          </cell>
          <cell r="J16">
            <v>26</v>
          </cell>
          <cell r="K16">
            <v>59.4</v>
          </cell>
          <cell r="L16">
            <v>85.4</v>
          </cell>
          <cell r="Q16">
            <v>9.1000000000000227</v>
          </cell>
          <cell r="R16">
            <v>36.5</v>
          </cell>
          <cell r="S16">
            <v>45.600000000000023</v>
          </cell>
          <cell r="U16">
            <v>420</v>
          </cell>
          <cell r="V16">
            <v>239.1</v>
          </cell>
          <cell r="W16">
            <v>659.1</v>
          </cell>
          <cell r="Y16">
            <v>179.5</v>
          </cell>
          <cell r="Z16">
            <v>26.9</v>
          </cell>
          <cell r="AA16">
            <v>206.4</v>
          </cell>
          <cell r="AC16">
            <v>0</v>
          </cell>
          <cell r="AD16">
            <v>0</v>
          </cell>
          <cell r="AE16">
            <v>0</v>
          </cell>
          <cell r="AG16">
            <v>6.5</v>
          </cell>
          <cell r="AH16">
            <v>8.1000000000000014</v>
          </cell>
          <cell r="AI16">
            <v>14.600000000000001</v>
          </cell>
          <cell r="AK16">
            <v>186</v>
          </cell>
          <cell r="AL16">
            <v>35</v>
          </cell>
          <cell r="AM16">
            <v>221</v>
          </cell>
          <cell r="AO16" t="str">
            <v xml:space="preserve"> 4Q</v>
          </cell>
          <cell r="AP16">
            <v>86.2</v>
          </cell>
          <cell r="AQ16">
            <v>111.3</v>
          </cell>
          <cell r="AR16">
            <v>197.5</v>
          </cell>
          <cell r="AT16">
            <v>39.1</v>
          </cell>
          <cell r="AU16">
            <v>38.700000000000003</v>
          </cell>
          <cell r="AV16">
            <v>77.800000000000011</v>
          </cell>
          <cell r="AX16">
            <v>0</v>
          </cell>
          <cell r="AY16">
            <v>0</v>
          </cell>
          <cell r="AZ16">
            <v>0</v>
          </cell>
          <cell r="BB16">
            <v>45.299999999999983</v>
          </cell>
          <cell r="BC16">
            <v>178.5</v>
          </cell>
          <cell r="BD16">
            <v>223.79999999999998</v>
          </cell>
          <cell r="BF16">
            <v>170.6</v>
          </cell>
          <cell r="BG16">
            <v>328.5</v>
          </cell>
          <cell r="BH16">
            <v>499.1</v>
          </cell>
          <cell r="BJ16">
            <v>11.2</v>
          </cell>
          <cell r="BK16">
            <v>72.2</v>
          </cell>
          <cell r="BL16">
            <v>83.4</v>
          </cell>
          <cell r="BN16">
            <v>-0.19999999999999929</v>
          </cell>
          <cell r="BO16">
            <v>17.799999999999997</v>
          </cell>
          <cell r="BP16">
            <v>17.599999999999998</v>
          </cell>
          <cell r="BR16">
            <v>11</v>
          </cell>
          <cell r="BS16">
            <v>90</v>
          </cell>
          <cell r="BT16">
            <v>101</v>
          </cell>
          <cell r="BV16" t="str">
            <v xml:space="preserve"> 4Q</v>
          </cell>
          <cell r="BW16">
            <v>0</v>
          </cell>
          <cell r="BX16">
            <v>0</v>
          </cell>
          <cell r="BY16">
            <v>0</v>
          </cell>
          <cell r="CA16">
            <v>0</v>
          </cell>
          <cell r="CB16">
            <v>2.9</v>
          </cell>
          <cell r="CC16">
            <v>2.9</v>
          </cell>
          <cell r="CE16">
            <v>0</v>
          </cell>
          <cell r="CF16">
            <v>0.10000000000000009</v>
          </cell>
          <cell r="CG16">
            <v>0.10000000000000009</v>
          </cell>
          <cell r="CI16">
            <v>0</v>
          </cell>
          <cell r="CJ16">
            <v>3</v>
          </cell>
          <cell r="CK16">
            <v>3</v>
          </cell>
          <cell r="CM16">
            <v>11.9</v>
          </cell>
          <cell r="CN16">
            <v>0</v>
          </cell>
          <cell r="CO16">
            <v>11.9</v>
          </cell>
          <cell r="CQ16">
            <v>32.1</v>
          </cell>
          <cell r="CR16">
            <v>9</v>
          </cell>
          <cell r="CS16">
            <v>41.1</v>
          </cell>
          <cell r="CU16">
            <v>44</v>
          </cell>
          <cell r="CV16">
            <v>9</v>
          </cell>
          <cell r="CW16">
            <v>53</v>
          </cell>
          <cell r="CY16">
            <v>7.1999999999999602</v>
          </cell>
          <cell r="CZ16">
            <v>65.899999999999977</v>
          </cell>
          <cell r="DA16">
            <v>73.099999999999937</v>
          </cell>
          <cell r="DC16" t="str">
            <v xml:space="preserve"> 4Q</v>
          </cell>
          <cell r="DD16">
            <v>0</v>
          </cell>
          <cell r="DE16">
            <v>0</v>
          </cell>
          <cell r="DF16">
            <v>0</v>
          </cell>
          <cell r="DL16">
            <v>838.8</v>
          </cell>
          <cell r="DM16">
            <v>770.5</v>
          </cell>
          <cell r="DN16">
            <v>1609.3</v>
          </cell>
          <cell r="DP16">
            <v>48</v>
          </cell>
          <cell r="DQ16">
            <v>127.7</v>
          </cell>
          <cell r="DR16">
            <v>175.7</v>
          </cell>
          <cell r="DT16">
            <v>49</v>
          </cell>
          <cell r="DU16">
            <v>38</v>
          </cell>
          <cell r="DV16">
            <v>87</v>
          </cell>
          <cell r="DX16">
            <v>935.8</v>
          </cell>
          <cell r="DY16">
            <v>936.2</v>
          </cell>
          <cell r="DZ16">
            <v>1872</v>
          </cell>
        </row>
        <row r="18">
          <cell r="A18" t="str">
            <v>1994</v>
          </cell>
          <cell r="B18">
            <v>1177.2</v>
          </cell>
          <cell r="C18">
            <v>0</v>
          </cell>
          <cell r="D18">
            <v>1177.2</v>
          </cell>
          <cell r="F18">
            <v>302.5</v>
          </cell>
          <cell r="G18">
            <v>465.09999999999997</v>
          </cell>
          <cell r="H18">
            <v>767.59999999999991</v>
          </cell>
          <cell r="J18">
            <v>95.5</v>
          </cell>
          <cell r="K18">
            <v>217.8</v>
          </cell>
          <cell r="L18">
            <v>313.3</v>
          </cell>
          <cell r="Q18">
            <v>35.799999999999898</v>
          </cell>
          <cell r="R18">
            <v>133.70000000000002</v>
          </cell>
          <cell r="S18">
            <v>169.49999999999991</v>
          </cell>
          <cell r="U18">
            <v>1611</v>
          </cell>
          <cell r="V18">
            <v>816.6</v>
          </cell>
          <cell r="W18">
            <v>2427.6</v>
          </cell>
          <cell r="Y18">
            <v>638.4</v>
          </cell>
          <cell r="Z18">
            <v>80</v>
          </cell>
          <cell r="AA18">
            <v>718.4</v>
          </cell>
          <cell r="AC18">
            <v>0</v>
          </cell>
          <cell r="AD18">
            <v>0</v>
          </cell>
          <cell r="AE18">
            <v>0</v>
          </cell>
          <cell r="AG18">
            <v>24.600000000000023</v>
          </cell>
          <cell r="AH18">
            <v>32</v>
          </cell>
          <cell r="AI18">
            <v>56.60000000000003</v>
          </cell>
          <cell r="AK18">
            <v>663</v>
          </cell>
          <cell r="AL18">
            <v>112</v>
          </cell>
          <cell r="AM18">
            <v>775</v>
          </cell>
          <cell r="AO18" t="str">
            <v>1994</v>
          </cell>
          <cell r="AP18">
            <v>327.8</v>
          </cell>
          <cell r="AQ18">
            <v>393</v>
          </cell>
          <cell r="AR18">
            <v>720.80000000000007</v>
          </cell>
          <cell r="AT18">
            <v>123.4</v>
          </cell>
          <cell r="AU18">
            <v>82.800000000000011</v>
          </cell>
          <cell r="AV18">
            <v>206.20000000000002</v>
          </cell>
          <cell r="AX18">
            <v>0</v>
          </cell>
          <cell r="AY18">
            <v>0</v>
          </cell>
          <cell r="AZ18">
            <v>0</v>
          </cell>
          <cell r="BB18">
            <v>174.1</v>
          </cell>
          <cell r="BC18">
            <v>650.29999999999995</v>
          </cell>
          <cell r="BD18">
            <v>824.40000000000009</v>
          </cell>
          <cell r="BF18">
            <v>625.29999999999995</v>
          </cell>
          <cell r="BG18">
            <v>1126.0999999999999</v>
          </cell>
          <cell r="BH18">
            <v>1751.4</v>
          </cell>
          <cell r="BJ18">
            <v>35.5</v>
          </cell>
          <cell r="BK18">
            <v>266.3</v>
          </cell>
          <cell r="BL18">
            <v>301.79999999999995</v>
          </cell>
          <cell r="BN18">
            <v>0.50000000000000089</v>
          </cell>
          <cell r="BO18">
            <v>60.7</v>
          </cell>
          <cell r="BP18">
            <v>61.2</v>
          </cell>
          <cell r="BR18">
            <v>36</v>
          </cell>
          <cell r="BS18">
            <v>327</v>
          </cell>
          <cell r="BT18">
            <v>363</v>
          </cell>
          <cell r="BV18" t="str">
            <v>1994</v>
          </cell>
          <cell r="BW18">
            <v>0</v>
          </cell>
          <cell r="BX18">
            <v>0</v>
          </cell>
          <cell r="BY18">
            <v>0</v>
          </cell>
          <cell r="CA18">
            <v>0</v>
          </cell>
          <cell r="CB18">
            <v>11.200000000000001</v>
          </cell>
          <cell r="CC18">
            <v>11.200000000000001</v>
          </cell>
          <cell r="CE18">
            <v>0</v>
          </cell>
          <cell r="CF18">
            <v>-0.19999999999999996</v>
          </cell>
          <cell r="CG18">
            <v>-0.19999999999999996</v>
          </cell>
          <cell r="CI18">
            <v>0</v>
          </cell>
          <cell r="CJ18">
            <v>11</v>
          </cell>
          <cell r="CK18">
            <v>11</v>
          </cell>
          <cell r="CM18">
            <v>23.6</v>
          </cell>
          <cell r="CN18">
            <v>0</v>
          </cell>
          <cell r="CO18">
            <v>23.6</v>
          </cell>
          <cell r="CP18">
            <v>0</v>
          </cell>
          <cell r="CQ18">
            <v>180.4</v>
          </cell>
          <cell r="CR18">
            <v>32</v>
          </cell>
          <cell r="CS18">
            <v>212.4</v>
          </cell>
          <cell r="CU18">
            <v>204</v>
          </cell>
          <cell r="CV18">
            <v>32</v>
          </cell>
          <cell r="CW18">
            <v>236</v>
          </cell>
          <cell r="CY18">
            <v>26.399999999999864</v>
          </cell>
          <cell r="CZ18">
            <v>220.79999999999998</v>
          </cell>
          <cell r="DA18">
            <v>247.19999999999985</v>
          </cell>
          <cell r="DC18" t="str">
            <v>1994</v>
          </cell>
          <cell r="DD18">
            <v>0</v>
          </cell>
          <cell r="DE18">
            <v>0</v>
          </cell>
          <cell r="DF18">
            <v>0</v>
          </cell>
          <cell r="DL18">
            <v>3165.7</v>
          </cell>
          <cell r="DM18">
            <v>2645.5</v>
          </cell>
          <cell r="DN18">
            <v>5811.2</v>
          </cell>
          <cell r="DP18">
            <v>175.1</v>
          </cell>
          <cell r="DQ18">
            <v>430.3</v>
          </cell>
          <cell r="DR18">
            <v>605.4</v>
          </cell>
          <cell r="DT18">
            <v>319</v>
          </cell>
          <cell r="DU18">
            <v>90</v>
          </cell>
          <cell r="DV18">
            <v>409</v>
          </cell>
          <cell r="DX18">
            <v>3614.8</v>
          </cell>
          <cell r="DY18">
            <v>3210.8</v>
          </cell>
          <cell r="DZ18">
            <v>6825.6</v>
          </cell>
        </row>
        <row r="20">
          <cell r="A20" t="str">
            <v xml:space="preserve">1995/94 </v>
          </cell>
          <cell r="AO20" t="str">
            <v xml:space="preserve">1995/94 </v>
          </cell>
          <cell r="BV20" t="str">
            <v xml:space="preserve">1995/94 </v>
          </cell>
          <cell r="DC20" t="str">
            <v xml:space="preserve">1995/94 </v>
          </cell>
        </row>
        <row r="21">
          <cell r="A21" t="str">
            <v xml:space="preserve"> 1Q</v>
          </cell>
          <cell r="B21">
            <v>-2.2314787265694733E-2</v>
          </cell>
          <cell r="C21" t="str">
            <v>NM</v>
          </cell>
          <cell r="D21">
            <v>-2.2314787265694733E-2</v>
          </cell>
          <cell r="F21">
            <v>0.89176090468497571</v>
          </cell>
          <cell r="G21">
            <v>0.61605206073752705</v>
          </cell>
          <cell r="H21">
            <v>0.72680077871512028</v>
          </cell>
          <cell r="J21">
            <v>0.34955752212389374</v>
          </cell>
          <cell r="K21">
            <v>0.15151515151515152</v>
          </cell>
          <cell r="L21">
            <v>0.21359223300970884</v>
          </cell>
          <cell r="Q21">
            <v>-0.30630630630631034</v>
          </cell>
          <cell r="R21">
            <v>-3.0864197530864192E-2</v>
          </cell>
          <cell r="S21">
            <v>-0.10114942528735717</v>
          </cell>
          <cell r="U21">
            <v>0.12091730368311325</v>
          </cell>
          <cell r="V21">
            <v>0.36358414704192998</v>
          </cell>
          <cell r="W21">
            <v>0.19065698250247609</v>
          </cell>
          <cell r="Y21">
            <v>0.47598870056497183</v>
          </cell>
          <cell r="Z21">
            <v>0.84313725490196068</v>
          </cell>
          <cell r="AA21">
            <v>0.51179094964945815</v>
          </cell>
          <cell r="AC21" t="str">
            <v>NM</v>
          </cell>
          <cell r="AD21" t="str">
            <v>NM</v>
          </cell>
          <cell r="AE21" t="str">
            <v>NM</v>
          </cell>
          <cell r="AG21">
            <v>9.3749999999999029E-2</v>
          </cell>
          <cell r="AH21">
            <v>1.2987012987013173E-2</v>
          </cell>
          <cell r="AI21">
            <v>4.9645390070921669E-2</v>
          </cell>
          <cell r="AK21">
            <v>0.45945945945945948</v>
          </cell>
          <cell r="AL21">
            <v>0.56521739130434778</v>
          </cell>
          <cell r="AM21">
            <v>0.47368421052631576</v>
          </cell>
          <cell r="AO21" t="str">
            <v xml:space="preserve"> 1Q</v>
          </cell>
          <cell r="AP21">
            <v>0.33240223463687169</v>
          </cell>
          <cell r="AQ21">
            <v>0.2023255813953489</v>
          </cell>
          <cell r="AR21">
            <v>0.26142131979695443</v>
          </cell>
          <cell r="AT21">
            <v>0.65373961218836563</v>
          </cell>
          <cell r="AU21">
            <v>2.9909909909909906</v>
          </cell>
          <cell r="AV21">
            <v>1.2033898305084745</v>
          </cell>
          <cell r="AX21" t="str">
            <v>NM</v>
          </cell>
          <cell r="AY21" t="str">
            <v>NM</v>
          </cell>
          <cell r="AZ21" t="str">
            <v>NM</v>
          </cell>
          <cell r="BB21">
            <v>-1.4675052410902415E-2</v>
          </cell>
          <cell r="BC21">
            <v>1.7964071856286401E-3</v>
          </cell>
          <cell r="BD21">
            <v>-1.863064741500058E-3</v>
          </cell>
          <cell r="BF21">
            <v>0.30051480051480045</v>
          </cell>
          <cell r="BG21">
            <v>0.19273002650511159</v>
          </cell>
          <cell r="BH21">
            <v>0.23265792610250302</v>
          </cell>
          <cell r="BJ21">
            <v>-0.43396226415094336</v>
          </cell>
          <cell r="BK21">
            <v>-1.0819165378670831E-2</v>
          </cell>
          <cell r="BL21">
            <v>-7.0385126162018558E-2</v>
          </cell>
          <cell r="BN21" t="str">
            <v xml:space="preserve">  NM</v>
          </cell>
          <cell r="BO21">
            <v>-1.8404907975459951E-2</v>
          </cell>
          <cell r="BP21">
            <v>-4.1916167664670413E-2</v>
          </cell>
          <cell r="BR21">
            <v>-0.45454545454545453</v>
          </cell>
          <cell r="BS21">
            <v>-1.2345679012345678E-2</v>
          </cell>
          <cell r="BT21">
            <v>-6.5217391304347824E-2</v>
          </cell>
          <cell r="BV21" t="str">
            <v xml:space="preserve"> 1Q</v>
          </cell>
          <cell r="BW21" t="str">
            <v>NM</v>
          </cell>
          <cell r="BX21" t="str">
            <v>NM</v>
          </cell>
          <cell r="BY21" t="str">
            <v>NM</v>
          </cell>
          <cell r="CA21" t="str">
            <v xml:space="preserve">    NM</v>
          </cell>
          <cell r="CB21">
            <v>0.53846153846153844</v>
          </cell>
          <cell r="CC21" t="str">
            <v xml:space="preserve">    NM</v>
          </cell>
          <cell r="CE21" t="str">
            <v xml:space="preserve">   NM</v>
          </cell>
          <cell r="CF21" t="str">
            <v xml:space="preserve">  NM</v>
          </cell>
          <cell r="CG21" t="str">
            <v xml:space="preserve">   NM</v>
          </cell>
          <cell r="CI21" t="str">
            <v xml:space="preserve">   NM</v>
          </cell>
          <cell r="CJ21">
            <v>1</v>
          </cell>
          <cell r="CK21">
            <v>1</v>
          </cell>
          <cell r="CM21" t="str">
            <v xml:space="preserve">    NM</v>
          </cell>
          <cell r="CN21" t="str">
            <v xml:space="preserve">    NM</v>
          </cell>
          <cell r="CO21" t="str">
            <v xml:space="preserve">    NM</v>
          </cell>
          <cell r="CQ21">
            <v>-0.58360655737704925</v>
          </cell>
          <cell r="CR21">
            <v>0.14285714285714285</v>
          </cell>
          <cell r="CS21">
            <v>-0.50882352941176467</v>
          </cell>
          <cell r="CU21">
            <v>-0.34426229508196721</v>
          </cell>
          <cell r="CV21">
            <v>0.14285714285714285</v>
          </cell>
          <cell r="CW21">
            <v>-0.29411764705882354</v>
          </cell>
          <cell r="CY21">
            <v>-0.49350649350649384</v>
          </cell>
          <cell r="CZ21">
            <v>0.27233115468409846</v>
          </cell>
          <cell r="DA21">
            <v>0.16231343283582353</v>
          </cell>
          <cell r="DC21" t="str">
            <v xml:space="preserve"> 1Q</v>
          </cell>
          <cell r="DD21" t="str">
            <v xml:space="preserve">    NM</v>
          </cell>
          <cell r="DE21" t="str">
            <v xml:space="preserve">    NM</v>
          </cell>
          <cell r="DF21" t="str">
            <v xml:space="preserve">    NM</v>
          </cell>
          <cell r="DL21">
            <v>0.16826215022091315</v>
          </cell>
          <cell r="DM21">
            <v>0.23603422244589842</v>
          </cell>
          <cell r="DN21">
            <v>0.19689559855411434</v>
          </cell>
          <cell r="DP21">
            <v>1.5691906005221936</v>
          </cell>
          <cell r="DQ21">
            <v>0.6327102803738317</v>
          </cell>
          <cell r="DR21">
            <v>0.87955953200275294</v>
          </cell>
          <cell r="DT21">
            <v>-0.10666666666666667</v>
          </cell>
          <cell r="DU21">
            <v>-3.125E-2</v>
          </cell>
          <cell r="DV21">
            <v>-8.4112149532710276E-2</v>
          </cell>
          <cell r="DX21">
            <v>0.20385734295873295</v>
          </cell>
          <cell r="DY21">
            <v>0.2821384845599238</v>
          </cell>
          <cell r="DZ21">
            <v>0.2384559884559887</v>
          </cell>
        </row>
        <row r="22">
          <cell r="A22" t="str">
            <v xml:space="preserve"> 2Q</v>
          </cell>
          <cell r="B22">
            <v>-3.4841810172206604E-2</v>
          </cell>
          <cell r="C22" t="str">
            <v>NM</v>
          </cell>
          <cell r="D22">
            <v>-3.4841810172206604E-2</v>
          </cell>
          <cell r="F22">
            <v>0.75037369207772775</v>
          </cell>
          <cell r="G22">
            <v>0.69860465116279069</v>
          </cell>
          <cell r="H22">
            <v>0.71846330275229342</v>
          </cell>
          <cell r="J22">
            <v>0.47826086956521752</v>
          </cell>
          <cell r="K22">
            <v>0.32588454376163872</v>
          </cell>
          <cell r="L22">
            <v>0.36827956989247318</v>
          </cell>
          <cell r="Q22">
            <v>-8.4507042253524733E-2</v>
          </cell>
          <cell r="R22">
            <v>0.17868338557993602</v>
          </cell>
          <cell r="S22">
            <v>0.13076923076922925</v>
          </cell>
          <cell r="U22">
            <v>0.14750290360046461</v>
          </cell>
          <cell r="V22">
            <v>0.509062661833247</v>
          </cell>
          <cell r="W22">
            <v>0.27739534883720912</v>
          </cell>
          <cell r="Y22">
            <v>0.44096728307254623</v>
          </cell>
          <cell r="Z22">
            <v>1.1264367816091956</v>
          </cell>
          <cell r="AA22">
            <v>0.51645569620253162</v>
          </cell>
          <cell r="AC22" t="str">
            <v>NM</v>
          </cell>
          <cell r="AD22" t="str">
            <v>NM</v>
          </cell>
          <cell r="AE22" t="str">
            <v>NM</v>
          </cell>
          <cell r="AG22">
            <v>-0.18518518518518498</v>
          </cell>
          <cell r="AH22">
            <v>4.651162790697657E-2</v>
          </cell>
          <cell r="AI22">
            <v>-4.2857142857142934E-2</v>
          </cell>
          <cell r="AK22">
            <v>0.4178082191780822</v>
          </cell>
          <cell r="AL22">
            <v>0.76923076923076927</v>
          </cell>
          <cell r="AM22">
            <v>0.47093023255813954</v>
          </cell>
          <cell r="AO22" t="str">
            <v xml:space="preserve"> 2Q</v>
          </cell>
          <cell r="AP22">
            <v>0.21003963011889024</v>
          </cell>
          <cell r="AQ22">
            <v>0.35173160173160173</v>
          </cell>
          <cell r="AR22">
            <v>0.28792385484830441</v>
          </cell>
          <cell r="AT22">
            <v>0.8533333333333335</v>
          </cell>
          <cell r="AU22">
            <v>2.8285714285714287</v>
          </cell>
          <cell r="AV22">
            <v>1.6109589041095893</v>
          </cell>
          <cell r="AX22" t="str">
            <v>NM</v>
          </cell>
          <cell r="AY22" t="str">
            <v>NM</v>
          </cell>
          <cell r="AZ22" t="str">
            <v>NM</v>
          </cell>
          <cell r="BB22">
            <v>-1.4888337468982844E-2</v>
          </cell>
          <cell r="BC22">
            <v>0.19730639730639737</v>
          </cell>
          <cell r="BD22">
            <v>0.15201271186440671</v>
          </cell>
          <cell r="BF22">
            <v>0.24909747292418771</v>
          </cell>
          <cell r="BG22">
            <v>0.39780306002353866</v>
          </cell>
          <cell r="BH22">
            <v>0.34544992374173866</v>
          </cell>
          <cell r="BJ22">
            <v>-0.1304347826086957</v>
          </cell>
          <cell r="BK22">
            <v>0.12164296998420226</v>
          </cell>
          <cell r="BL22">
            <v>9.6866096866096818E-2</v>
          </cell>
          <cell r="BN22" t="str">
            <v xml:space="preserve">  NM</v>
          </cell>
          <cell r="BO22">
            <v>0.30841121495327067</v>
          </cell>
          <cell r="BP22">
            <v>0.38888888888888856</v>
          </cell>
          <cell r="BR22">
            <v>0</v>
          </cell>
          <cell r="BS22">
            <v>0.14864864864864866</v>
          </cell>
          <cell r="BT22">
            <v>0.13580246913580246</v>
          </cell>
          <cell r="BV22" t="str">
            <v xml:space="preserve"> 2Q</v>
          </cell>
          <cell r="BW22" t="str">
            <v>NM</v>
          </cell>
          <cell r="BX22" t="str">
            <v>NM</v>
          </cell>
          <cell r="BY22" t="str">
            <v>NM</v>
          </cell>
          <cell r="CA22" t="str">
            <v xml:space="preserve">    NM</v>
          </cell>
          <cell r="CB22">
            <v>9.9999999999999936E-2</v>
          </cell>
          <cell r="CC22">
            <v>9.9999999999999936E-2</v>
          </cell>
          <cell r="CE22" t="str">
            <v xml:space="preserve">   NM</v>
          </cell>
          <cell r="CF22" t="str">
            <v xml:space="preserve">  NM</v>
          </cell>
          <cell r="CG22" t="str">
            <v xml:space="preserve">   NM</v>
          </cell>
          <cell r="CI22" t="str">
            <v xml:space="preserve">   NM</v>
          </cell>
          <cell r="CJ22">
            <v>0</v>
          </cell>
          <cell r="CK22">
            <v>1</v>
          </cell>
          <cell r="CM22">
            <v>1.7083333333333335</v>
          </cell>
          <cell r="CN22" t="str">
            <v xml:space="preserve">    NM</v>
          </cell>
          <cell r="CO22">
            <v>1.7083333333333335</v>
          </cell>
          <cell r="CQ22">
            <v>-0.57991803278688525</v>
          </cell>
          <cell r="CR22">
            <v>0.125</v>
          </cell>
          <cell r="CS22">
            <v>-0.48063380281690138</v>
          </cell>
          <cell r="CU22">
            <v>-0.2857142857142857</v>
          </cell>
          <cell r="CV22">
            <v>0.125</v>
          </cell>
          <cell r="CW22">
            <v>-0.234375</v>
          </cell>
          <cell r="CY22" t="str">
            <v xml:space="preserve">    NM</v>
          </cell>
          <cell r="CZ22">
            <v>0.25751879699248142</v>
          </cell>
          <cell r="DA22">
            <v>1.1945392491468839E-2</v>
          </cell>
          <cell r="DC22" t="str">
            <v xml:space="preserve"> 2Q</v>
          </cell>
          <cell r="DD22" t="str">
            <v xml:space="preserve">    NM</v>
          </cell>
          <cell r="DE22" t="str">
            <v xml:space="preserve">    NM</v>
          </cell>
          <cell r="DF22" t="str">
            <v xml:space="preserve">    NM</v>
          </cell>
          <cell r="DL22">
            <v>0.17252258712175544</v>
          </cell>
          <cell r="DM22">
            <v>0.40084939562234556</v>
          </cell>
          <cell r="DN22">
            <v>0.27926689576174113</v>
          </cell>
          <cell r="DP22">
            <v>1.2938144329896908</v>
          </cell>
          <cell r="DQ22">
            <v>0.91033138401559466</v>
          </cell>
          <cell r="DR22">
            <v>1.015558698727016</v>
          </cell>
          <cell r="DT22">
            <v>-0.17333333333333334</v>
          </cell>
          <cell r="DU22">
            <v>0.1875</v>
          </cell>
          <cell r="DV22">
            <v>-6.5420560747663545E-2</v>
          </cell>
          <cell r="DX22">
            <v>0.19418074220194814</v>
          </cell>
          <cell r="DY22">
            <v>0.46170326727370087</v>
          </cell>
          <cell r="DZ22">
            <v>0.32242120803645913</v>
          </cell>
        </row>
        <row r="23">
          <cell r="A23" t="str">
            <v xml:space="preserve"> 3Q</v>
          </cell>
          <cell r="B23">
            <v>-2.7341079972659308E-3</v>
          </cell>
          <cell r="C23" t="str">
            <v>NM</v>
          </cell>
          <cell r="D23">
            <v>-2.7341079972659308E-3</v>
          </cell>
          <cell r="F23">
            <v>0.5821917808219178</v>
          </cell>
          <cell r="G23">
            <v>0.59901800327332244</v>
          </cell>
          <cell r="H23">
            <v>0.59199237368922775</v>
          </cell>
          <cell r="J23">
            <v>0.43129770992366417</v>
          </cell>
          <cell r="K23">
            <v>0.29347826086956524</v>
          </cell>
          <cell r="L23">
            <v>0.33783783783783783</v>
          </cell>
          <cell r="Q23">
            <v>-0.35294117647058393</v>
          </cell>
          <cell r="R23">
            <v>0.23100303951367759</v>
          </cell>
          <cell r="S23">
            <v>0.11111111111111248</v>
          </cell>
          <cell r="U23">
            <v>0.14099783080260306</v>
          </cell>
          <cell r="V23">
            <v>0.46124583927722301</v>
          </cell>
          <cell r="W23">
            <v>0.24872040946896992</v>
          </cell>
          <cell r="Y23">
            <v>0.34917940011318632</v>
          </cell>
          <cell r="Z23">
            <v>0.88235294117647067</v>
          </cell>
          <cell r="AA23">
            <v>0.4043632673769661</v>
          </cell>
          <cell r="AC23" t="str">
            <v>NM</v>
          </cell>
          <cell r="AD23" t="str">
            <v>NM</v>
          </cell>
          <cell r="AE23" t="str">
            <v>NM</v>
          </cell>
          <cell r="AG23">
            <v>-0.26984126984127205</v>
          </cell>
          <cell r="AH23">
            <v>0.13157894736842102</v>
          </cell>
          <cell r="AI23">
            <v>-5.0359712230217006E-2</v>
          </cell>
          <cell r="AK23">
            <v>0.32786885245901637</v>
          </cell>
          <cell r="AL23">
            <v>0.6785714285714286</v>
          </cell>
          <cell r="AM23">
            <v>0.37440758293838861</v>
          </cell>
          <cell r="AO23" t="str">
            <v xml:space="preserve"> 3Q</v>
          </cell>
          <cell r="AP23">
            <v>6.4687168610816637E-2</v>
          </cell>
          <cell r="AQ23">
            <v>0.27395934172313646</v>
          </cell>
          <cell r="AR23">
            <v>0.17408906882591096</v>
          </cell>
          <cell r="AT23">
            <v>0.19066147859922189</v>
          </cell>
          <cell r="AU23">
            <v>0.96842105263157885</v>
          </cell>
          <cell r="AV23">
            <v>0.52125279642058153</v>
          </cell>
          <cell r="AX23" t="str">
            <v>NM</v>
          </cell>
          <cell r="AY23" t="str">
            <v>NM</v>
          </cell>
          <cell r="AZ23" t="str">
            <v>NM</v>
          </cell>
          <cell r="BB23">
            <v>7.3529411764705857E-2</v>
          </cell>
          <cell r="BC23">
            <v>0.10556621880998079</v>
          </cell>
          <cell r="BD23">
            <v>9.8934550989345504E-2</v>
          </cell>
          <cell r="BF23">
            <v>8.7064676616915415E-2</v>
          </cell>
          <cell r="BG23">
            <v>0.22684852835606598</v>
          </cell>
          <cell r="BH23">
            <v>0.17569412835685022</v>
          </cell>
          <cell r="BJ23">
            <v>-0.17647058823529416</v>
          </cell>
          <cell r="BK23">
            <v>6.6565809379727781E-2</v>
          </cell>
          <cell r="BL23">
            <v>4.3895747599451349E-2</v>
          </cell>
          <cell r="BN23" t="str">
            <v xml:space="preserve">  NM</v>
          </cell>
          <cell r="BO23">
            <v>0.10062893081760967</v>
          </cell>
          <cell r="BP23">
            <v>4.9689440993788407E-2</v>
          </cell>
          <cell r="BR23">
            <v>-0.2857142857142857</v>
          </cell>
          <cell r="BS23">
            <v>7.3170731707317069E-2</v>
          </cell>
          <cell r="BT23">
            <v>4.49438202247191E-2</v>
          </cell>
          <cell r="BV23" t="str">
            <v xml:space="preserve"> 3Q</v>
          </cell>
          <cell r="BW23" t="str">
            <v>NM</v>
          </cell>
          <cell r="BX23" t="str">
            <v>NM</v>
          </cell>
          <cell r="BY23" t="str">
            <v>NM</v>
          </cell>
          <cell r="CA23" t="str">
            <v xml:space="preserve">    NM</v>
          </cell>
          <cell r="CB23">
            <v>0</v>
          </cell>
          <cell r="CC23">
            <v>0</v>
          </cell>
          <cell r="CE23" t="str">
            <v xml:space="preserve">   NM</v>
          </cell>
          <cell r="CF23" t="str">
            <v xml:space="preserve">  NM</v>
          </cell>
          <cell r="CG23" t="str">
            <v xml:space="preserve">   NM</v>
          </cell>
          <cell r="CI23" t="str">
            <v xml:space="preserve">   NM</v>
          </cell>
          <cell r="CJ23">
            <v>0</v>
          </cell>
          <cell r="CK23">
            <v>0.5</v>
          </cell>
          <cell r="CM23">
            <v>3.9555555555555557</v>
          </cell>
          <cell r="CN23" t="str">
            <v xml:space="preserve">    NM</v>
          </cell>
          <cell r="CO23">
            <v>3.9555555555555557</v>
          </cell>
          <cell r="CQ23">
            <v>-0.59220779220779218</v>
          </cell>
          <cell r="CR23">
            <v>0.125</v>
          </cell>
          <cell r="CS23">
            <v>-0.46881720430107526</v>
          </cell>
          <cell r="CU23">
            <v>-0.11627906976744186</v>
          </cell>
          <cell r="CV23">
            <v>0.125</v>
          </cell>
          <cell r="CW23">
            <v>-7.8431372549019607E-2</v>
          </cell>
          <cell r="CY23">
            <v>0.85245901639345489</v>
          </cell>
          <cell r="CZ23">
            <v>-1.4336917562725234E-2</v>
          </cell>
          <cell r="DA23">
            <v>7.1082390953149902E-2</v>
          </cell>
          <cell r="DC23" t="str">
            <v xml:space="preserve"> 3Q</v>
          </cell>
          <cell r="DD23" t="str">
            <v xml:space="preserve">    NM</v>
          </cell>
          <cell r="DE23" t="str">
            <v xml:space="preserve">    NM</v>
          </cell>
          <cell r="DF23" t="str">
            <v xml:space="preserve">    NM</v>
          </cell>
          <cell r="DL23">
            <v>0.16286205203730983</v>
          </cell>
          <cell r="DM23">
            <v>0.2780860956952152</v>
          </cell>
          <cell r="DN23">
            <v>0.21471481606479914</v>
          </cell>
          <cell r="DP23">
            <v>1.54</v>
          </cell>
          <cell r="DQ23">
            <v>0.89247311827956988</v>
          </cell>
          <cell r="DR23">
            <v>1.118881118881119</v>
          </cell>
          <cell r="DT23">
            <v>-5.3333333333333337E-2</v>
          </cell>
          <cell r="DU23">
            <v>0.12121212121212122</v>
          </cell>
          <cell r="DV23">
            <v>0</v>
          </cell>
          <cell r="DX23">
            <v>0.21887635667163233</v>
          </cell>
          <cell r="DY23">
            <v>0.34363567553929586</v>
          </cell>
          <cell r="DZ23">
            <v>0.2759595959595959</v>
          </cell>
        </row>
        <row r="24">
          <cell r="A24" t="str">
            <v xml:space="preserve"> 4Q</v>
          </cell>
          <cell r="B24">
            <v>-8.7684069611780407E-2</v>
          </cell>
          <cell r="C24" t="str">
            <v>NM</v>
          </cell>
          <cell r="D24">
            <v>-8.7684069611780407E-2</v>
          </cell>
          <cell r="F24">
            <v>0.72822299651567968</v>
          </cell>
          <cell r="G24">
            <v>0.51326815642458101</v>
          </cell>
          <cell r="H24">
            <v>0.59398168338421298</v>
          </cell>
          <cell r="J24">
            <v>0.52692307692307705</v>
          </cell>
          <cell r="K24">
            <v>0.26430976430976422</v>
          </cell>
          <cell r="L24">
            <v>0.3442622950819671</v>
          </cell>
          <cell r="Q24">
            <v>-0.3296703296703351</v>
          </cell>
          <cell r="R24">
            <v>-1.6438356164382627E-2</v>
          </cell>
          <cell r="S24">
            <v>-7.8947368421053085E-2</v>
          </cell>
          <cell r="U24">
            <v>0.11238095238095236</v>
          </cell>
          <cell r="V24">
            <v>0.37055625261396902</v>
          </cell>
          <cell r="W24">
            <v>0.20603853739948408</v>
          </cell>
          <cell r="Y24">
            <v>0.31754874651810583</v>
          </cell>
          <cell r="Z24">
            <v>0.84758364312267676</v>
          </cell>
          <cell r="AA24">
            <v>0.3866279069767441</v>
          </cell>
          <cell r="AC24" t="str">
            <v>NM</v>
          </cell>
          <cell r="AD24" t="str">
            <v>NM</v>
          </cell>
          <cell r="AE24" t="str">
            <v>NM</v>
          </cell>
          <cell r="AG24">
            <v>-0.61538461538461542</v>
          </cell>
          <cell r="AH24">
            <v>2.4691358024690826E-2</v>
          </cell>
          <cell r="AI24">
            <v>-0.26027397260273999</v>
          </cell>
          <cell r="AK24">
            <v>0.28494623655913981</v>
          </cell>
          <cell r="AL24">
            <v>0.65714285714285714</v>
          </cell>
          <cell r="AM24">
            <v>0.34389140271493213</v>
          </cell>
          <cell r="AO24" t="str">
            <v xml:space="preserve"> 4Q</v>
          </cell>
          <cell r="AP24">
            <v>0.17285382830626439</v>
          </cell>
          <cell r="AQ24">
            <v>0.16981132075471692</v>
          </cell>
          <cell r="AR24">
            <v>0.17113924050632903</v>
          </cell>
          <cell r="AT24">
            <v>0.91815856777493599</v>
          </cell>
          <cell r="AU24">
            <v>0.47803617571059426</v>
          </cell>
          <cell r="AV24">
            <v>0.6992287917737785</v>
          </cell>
          <cell r="AX24" t="str">
            <v>NM</v>
          </cell>
          <cell r="AY24" t="str">
            <v>NM</v>
          </cell>
          <cell r="AZ24" t="str">
            <v>NM</v>
          </cell>
          <cell r="BB24">
            <v>-4.8565121412803301E-2</v>
          </cell>
          <cell r="BC24">
            <v>-1.3445378151260377E-2</v>
          </cell>
          <cell r="BD24">
            <v>-2.0554066130473485E-2</v>
          </cell>
          <cell r="BF24">
            <v>0.28487690504103164</v>
          </cell>
          <cell r="BG24">
            <v>0.106544901065449</v>
          </cell>
          <cell r="BH24">
            <v>0.1675015027048688</v>
          </cell>
          <cell r="BJ24">
            <v>-0.38392857142857134</v>
          </cell>
          <cell r="BK24">
            <v>4.2936288088642575E-2</v>
          </cell>
          <cell r="BL24">
            <v>-1.4388489208633127E-2</v>
          </cell>
          <cell r="BN24" t="str">
            <v xml:space="preserve">  NM</v>
          </cell>
          <cell r="BO24">
            <v>-0.11797752808988735</v>
          </cell>
          <cell r="BP24">
            <v>-0.10227272727272703</v>
          </cell>
          <cell r="BR24">
            <v>-0.36363636363636365</v>
          </cell>
          <cell r="BS24">
            <v>1.1111111111111112E-2</v>
          </cell>
          <cell r="BT24">
            <v>-2.9702970297029702E-2</v>
          </cell>
          <cell r="BV24" t="str">
            <v xml:space="preserve"> 4Q</v>
          </cell>
          <cell r="BW24" t="str">
            <v>NM</v>
          </cell>
          <cell r="BX24" t="str">
            <v>NM</v>
          </cell>
          <cell r="BY24" t="str">
            <v>NM</v>
          </cell>
          <cell r="CA24" t="str">
            <v xml:space="preserve">    NM</v>
          </cell>
          <cell r="CB24">
            <v>-0.58620689655172409</v>
          </cell>
          <cell r="CC24">
            <v>-0.58620689655172409</v>
          </cell>
          <cell r="CE24" t="str">
            <v xml:space="preserve">   NM</v>
          </cell>
          <cell r="CF24" t="str">
            <v xml:space="preserve">  NM</v>
          </cell>
          <cell r="CG24" t="str">
            <v xml:space="preserve">   NM</v>
          </cell>
          <cell r="CI24" t="str">
            <v xml:space="preserve">   NM</v>
          </cell>
          <cell r="CJ24">
            <v>-0.66666666666666663</v>
          </cell>
          <cell r="CK24">
            <v>0.33333333333333331</v>
          </cell>
          <cell r="CM24">
            <v>1.1344537815126048</v>
          </cell>
          <cell r="CN24" t="str">
            <v xml:space="preserve">    NM</v>
          </cell>
          <cell r="CO24">
            <v>1.1344537815126048</v>
          </cell>
          <cell r="CQ24">
            <v>-0.32710280373831774</v>
          </cell>
          <cell r="CR24">
            <v>0</v>
          </cell>
          <cell r="CS24">
            <v>-0.25547445255474449</v>
          </cell>
          <cell r="CU24">
            <v>6.8181818181818177E-2</v>
          </cell>
          <cell r="CV24">
            <v>0</v>
          </cell>
          <cell r="CW24">
            <v>5.6603773584905662E-2</v>
          </cell>
          <cell r="CY24">
            <v>-0.36111111111111233</v>
          </cell>
          <cell r="CZ24">
            <v>7.4355083459787238E-2</v>
          </cell>
          <cell r="DA24">
            <v>3.1463748290013471E-2</v>
          </cell>
          <cell r="DC24" t="str">
            <v xml:space="preserve"> 4Q</v>
          </cell>
          <cell r="DD24" t="str">
            <v xml:space="preserve">    NM</v>
          </cell>
          <cell r="DE24" t="str">
            <v xml:space="preserve">    NM</v>
          </cell>
          <cell r="DF24" t="str">
            <v xml:space="preserve">    NM</v>
          </cell>
          <cell r="DL24">
            <v>0.17668097281831194</v>
          </cell>
          <cell r="DM24">
            <v>0.19532770927968851</v>
          </cell>
          <cell r="DN24">
            <v>0.18560864972348229</v>
          </cell>
          <cell r="DP24">
            <v>1.5</v>
          </cell>
          <cell r="DQ24">
            <v>0.86374314800313234</v>
          </cell>
          <cell r="DR24">
            <v>1.0375640295959023</v>
          </cell>
          <cell r="DT24">
            <v>0</v>
          </cell>
          <cell r="DU24">
            <v>0</v>
          </cell>
          <cell r="DV24">
            <v>0</v>
          </cell>
          <cell r="DX24">
            <v>0.23530668946356065</v>
          </cell>
          <cell r="DY24">
            <v>0.27857295449690234</v>
          </cell>
          <cell r="DZ24">
            <v>0.25694444444444442</v>
          </cell>
        </row>
        <row r="26">
          <cell r="A26" t="str">
            <v xml:space="preserve">1995/94 </v>
          </cell>
          <cell r="B26">
            <v>-3.669724770642202E-2</v>
          </cell>
          <cell r="C26" t="str">
            <v>NM</v>
          </cell>
          <cell r="D26">
            <v>-3.669724770642202E-2</v>
          </cell>
          <cell r="F26">
            <v>0.72429752066115682</v>
          </cell>
          <cell r="G26">
            <v>0.59901096538378873</v>
          </cell>
          <cell r="H26">
            <v>0.64838457529963534</v>
          </cell>
          <cell r="J26">
            <v>0.44816753926701591</v>
          </cell>
          <cell r="K26">
            <v>0.26124885215794302</v>
          </cell>
          <cell r="L26">
            <v>0.31822534312160888</v>
          </cell>
          <cell r="Q26">
            <v>-0.27932960893854986</v>
          </cell>
          <cell r="R26">
            <v>8.7509349289453864E-2</v>
          </cell>
          <cell r="S26">
            <v>1.0029498525073288E-2</v>
          </cell>
          <cell r="U26">
            <v>0.12954686530105519</v>
          </cell>
          <cell r="V26">
            <v>0.4251775655155523</v>
          </cell>
          <cell r="W26">
            <v>0.22899159663865554</v>
          </cell>
          <cell r="Y26">
            <v>0.38862781954887216</v>
          </cell>
          <cell r="Z26">
            <v>0.91625000000000023</v>
          </cell>
          <cell r="AA26">
            <v>0.44738307349665929</v>
          </cell>
          <cell r="AC26" t="str">
            <v>NM</v>
          </cell>
          <cell r="AD26" t="str">
            <v>NM</v>
          </cell>
          <cell r="AE26" t="str">
            <v>NM</v>
          </cell>
          <cell r="AG26">
            <v>-0.24796747967479749</v>
          </cell>
          <cell r="AH26">
            <v>5.3125000000000089E-2</v>
          </cell>
          <cell r="AI26">
            <v>-7.7738515901060512E-2</v>
          </cell>
          <cell r="AK26">
            <v>0.36500754147812975</v>
          </cell>
          <cell r="AL26">
            <v>0.66964285714285721</v>
          </cell>
          <cell r="AM26">
            <v>0.40903225806451604</v>
          </cell>
          <cell r="AO26" t="str">
            <v xml:space="preserve">1995/94 </v>
          </cell>
          <cell r="AP26">
            <v>0.18517388651616828</v>
          </cell>
          <cell r="AQ26">
            <v>0.24707379134860052</v>
          </cell>
          <cell r="AR26">
            <v>0.21892341842397323</v>
          </cell>
          <cell r="AT26">
            <v>0.67747163695299828</v>
          </cell>
          <cell r="AU26">
            <v>1.32487922705314</v>
          </cell>
          <cell r="AV26">
            <v>0.93743937924345278</v>
          </cell>
          <cell r="AW26" t="e">
            <v>#DIV/0!</v>
          </cell>
          <cell r="AX26" t="str">
            <v>NM</v>
          </cell>
          <cell r="AY26" t="str">
            <v>NM</v>
          </cell>
          <cell r="AZ26" t="str">
            <v>NM</v>
          </cell>
          <cell r="BB26">
            <v>-2.8719126938542283E-3</v>
          </cell>
          <cell r="BC26">
            <v>6.7199753959711117E-2</v>
          </cell>
          <cell r="BD26">
            <v>5.240174672489073E-2</v>
          </cell>
          <cell r="BF26">
            <v>0.22996961458499943</v>
          </cell>
          <cell r="BG26">
            <v>0.22244916082053101</v>
          </cell>
          <cell r="BH26">
            <v>0.22513417837158833</v>
          </cell>
          <cell r="BJ26">
            <v>-0.3098591549295775</v>
          </cell>
          <cell r="BK26">
            <v>5.4449868569282689E-2</v>
          </cell>
          <cell r="BL26">
            <v>1.159708416169658E-2</v>
          </cell>
          <cell r="BN26" t="str">
            <v xml:space="preserve">  NM</v>
          </cell>
          <cell r="BO26">
            <v>4.1186161449752845E-2</v>
          </cell>
          <cell r="BP26">
            <v>4.0849673202614456E-2</v>
          </cell>
          <cell r="BR26">
            <v>-0.30555555555555558</v>
          </cell>
          <cell r="BS26">
            <v>5.1987767584097844E-2</v>
          </cell>
          <cell r="BT26">
            <v>1.6528925619834656E-2</v>
          </cell>
          <cell r="BV26" t="str">
            <v xml:space="preserve">1995/94 </v>
          </cell>
          <cell r="BW26" t="str">
            <v>NM</v>
          </cell>
          <cell r="BX26" t="str">
            <v>NM</v>
          </cell>
          <cell r="BY26" t="str">
            <v>NM</v>
          </cell>
          <cell r="CA26" t="str">
            <v xml:space="preserve">    NM</v>
          </cell>
          <cell r="CB26">
            <v>-6.2500000000000111E-2</v>
          </cell>
          <cell r="CC26">
            <v>-6.2500000000000111E-2</v>
          </cell>
          <cell r="CE26" t="str">
            <v xml:space="preserve">   NM</v>
          </cell>
          <cell r="CF26" t="str">
            <v xml:space="preserve">  NM</v>
          </cell>
          <cell r="CG26" t="str">
            <v xml:space="preserve">   NM</v>
          </cell>
          <cell r="CI26" t="str">
            <v xml:space="preserve">   NM</v>
          </cell>
          <cell r="CJ26">
            <v>-9.0909090909090939E-2</v>
          </cell>
          <cell r="CK26">
            <v>0.63636363636363646</v>
          </cell>
          <cell r="CM26">
            <v>2.4661016949152543</v>
          </cell>
          <cell r="CN26" t="str">
            <v xml:space="preserve">    NM</v>
          </cell>
          <cell r="CO26">
            <v>2.4661016949152543</v>
          </cell>
          <cell r="CQ26">
            <v>-0.53880266075388028</v>
          </cell>
          <cell r="CR26">
            <v>9.375E-2</v>
          </cell>
          <cell r="CS26">
            <v>-0.44350282485875714</v>
          </cell>
          <cell r="CU26">
            <v>-0.19117647058823528</v>
          </cell>
          <cell r="CV26">
            <v>9.375E-2</v>
          </cell>
          <cell r="CW26">
            <v>-0.15254237288135597</v>
          </cell>
          <cell r="CY26">
            <v>-0.53787878787878585</v>
          </cell>
          <cell r="CZ26">
            <v>0.13722826086956541</v>
          </cell>
          <cell r="DA26">
            <v>6.5129449838188469E-2</v>
          </cell>
          <cell r="DC26" t="str">
            <v xml:space="preserve">1995/94 </v>
          </cell>
          <cell r="DD26" t="str">
            <v xml:space="preserve">    NM</v>
          </cell>
          <cell r="DE26" t="str">
            <v xml:space="preserve">    NM</v>
          </cell>
          <cell r="DF26" t="str">
            <v xml:space="preserve">    NM</v>
          </cell>
          <cell r="DL26">
            <v>0.17004138105316366</v>
          </cell>
          <cell r="DM26">
            <v>0.27291627291627291</v>
          </cell>
          <cell r="DN26">
            <v>0.21687431167400884</v>
          </cell>
          <cell r="DP26">
            <v>1.4808680753854937</v>
          </cell>
          <cell r="DQ26">
            <v>0.82361143388333724</v>
          </cell>
          <cell r="DR26">
            <v>1.0137099438387842</v>
          </cell>
          <cell r="DT26">
            <v>-9.0909090909090912E-2</v>
          </cell>
          <cell r="DU26">
            <v>3.3333333333333333E-2</v>
          </cell>
          <cell r="DV26">
            <v>-3.9119804400977995E-2</v>
          </cell>
          <cell r="DX26">
            <v>0.21373243332964464</v>
          </cell>
          <cell r="DY26">
            <v>0.33804659274947041</v>
          </cell>
          <cell r="DZ26">
            <v>0.2722105016408814</v>
          </cell>
        </row>
        <row r="28">
          <cell r="A28" t="str">
            <v>1995</v>
          </cell>
          <cell r="AO28" t="str">
            <v>1995</v>
          </cell>
          <cell r="BV28" t="str">
            <v>1995</v>
          </cell>
          <cell r="DC28" t="str">
            <v>1995</v>
          </cell>
        </row>
        <row r="29">
          <cell r="A29" t="str">
            <v xml:space="preserve"> 1Q</v>
          </cell>
          <cell r="B29">
            <v>328.6</v>
          </cell>
          <cell r="C29">
            <v>0</v>
          </cell>
          <cell r="D29">
            <v>328.6</v>
          </cell>
          <cell r="F29">
            <v>117.1</v>
          </cell>
          <cell r="G29">
            <v>149</v>
          </cell>
          <cell r="H29">
            <v>266.10000000000002</v>
          </cell>
          <cell r="J29">
            <v>30.5</v>
          </cell>
          <cell r="K29">
            <v>57</v>
          </cell>
          <cell r="L29">
            <v>87.5</v>
          </cell>
          <cell r="Q29">
            <v>7.6999999999999318</v>
          </cell>
          <cell r="R29">
            <v>31.400000000000006</v>
          </cell>
          <cell r="S29">
            <v>39.099999999999937</v>
          </cell>
          <cell r="U29">
            <v>483.9</v>
          </cell>
          <cell r="V29">
            <v>237.4</v>
          </cell>
          <cell r="W29">
            <v>721.3</v>
          </cell>
          <cell r="Y29">
            <v>209</v>
          </cell>
          <cell r="Z29">
            <v>28.2</v>
          </cell>
          <cell r="AA29">
            <v>237.2</v>
          </cell>
          <cell r="AC29">
            <v>0</v>
          </cell>
          <cell r="AD29">
            <v>0</v>
          </cell>
          <cell r="AE29">
            <v>0</v>
          </cell>
          <cell r="AG29">
            <v>7</v>
          </cell>
          <cell r="AH29">
            <v>7.8000000000000007</v>
          </cell>
          <cell r="AI29">
            <v>14.8</v>
          </cell>
          <cell r="AK29">
            <v>216</v>
          </cell>
          <cell r="AL29">
            <v>36</v>
          </cell>
          <cell r="AM29">
            <v>252</v>
          </cell>
          <cell r="AO29" t="str">
            <v xml:space="preserve"> 1Q</v>
          </cell>
          <cell r="AP29">
            <v>95.4</v>
          </cell>
          <cell r="AQ29">
            <v>103.4</v>
          </cell>
          <cell r="AR29">
            <v>198.8</v>
          </cell>
          <cell r="AT29">
            <v>59.7</v>
          </cell>
          <cell r="AU29">
            <v>44.3</v>
          </cell>
          <cell r="AV29">
            <v>104</v>
          </cell>
          <cell r="AX29">
            <v>0</v>
          </cell>
          <cell r="AY29">
            <v>0</v>
          </cell>
          <cell r="AZ29">
            <v>0</v>
          </cell>
          <cell r="BB29">
            <v>46.999999999999972</v>
          </cell>
          <cell r="BC29">
            <v>167.3</v>
          </cell>
          <cell r="BD29">
            <v>214.29999999999998</v>
          </cell>
          <cell r="BF29">
            <v>202.1</v>
          </cell>
          <cell r="BG29">
            <v>315</v>
          </cell>
          <cell r="BH29">
            <v>517.1</v>
          </cell>
          <cell r="BJ29">
            <v>6</v>
          </cell>
          <cell r="BK29">
            <v>64</v>
          </cell>
          <cell r="BL29">
            <v>70</v>
          </cell>
          <cell r="BN29">
            <v>0</v>
          </cell>
          <cell r="BO29">
            <v>16</v>
          </cell>
          <cell r="BP29">
            <v>16</v>
          </cell>
          <cell r="BR29">
            <v>6</v>
          </cell>
          <cell r="BS29">
            <v>80</v>
          </cell>
          <cell r="BT29">
            <v>86</v>
          </cell>
          <cell r="BV29" t="str">
            <v xml:space="preserve"> 1Q</v>
          </cell>
          <cell r="BW29">
            <v>0</v>
          </cell>
          <cell r="BX29">
            <v>0</v>
          </cell>
          <cell r="BY29">
            <v>0</v>
          </cell>
          <cell r="CA29">
            <v>0</v>
          </cell>
          <cell r="CB29">
            <v>2</v>
          </cell>
          <cell r="CC29">
            <v>2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2</v>
          </cell>
          <cell r="CK29">
            <v>2</v>
          </cell>
          <cell r="CM29">
            <v>14.6</v>
          </cell>
          <cell r="CN29">
            <v>0</v>
          </cell>
          <cell r="CO29">
            <v>14.6</v>
          </cell>
          <cell r="CQ29">
            <v>25.4</v>
          </cell>
          <cell r="CR29">
            <v>8</v>
          </cell>
          <cell r="CS29">
            <v>33.4</v>
          </cell>
          <cell r="CU29">
            <v>40</v>
          </cell>
          <cell r="CV29">
            <v>8</v>
          </cell>
          <cell r="CW29">
            <v>48</v>
          </cell>
          <cell r="CY29">
            <v>3.8999999999999773</v>
          </cell>
          <cell r="CZ29">
            <v>58.400000000000091</v>
          </cell>
          <cell r="DA29">
            <v>62.300000000000068</v>
          </cell>
          <cell r="DC29" t="str">
            <v xml:space="preserve"> 1Q</v>
          </cell>
          <cell r="DD29">
            <v>0</v>
          </cell>
          <cell r="DE29">
            <v>0</v>
          </cell>
          <cell r="DF29">
            <v>0</v>
          </cell>
          <cell r="DL29">
            <v>951.9</v>
          </cell>
          <cell r="DM29">
            <v>736.80000000000007</v>
          </cell>
          <cell r="DN29">
            <v>1688.7</v>
          </cell>
          <cell r="DP29">
            <v>98.4</v>
          </cell>
          <cell r="DQ29">
            <v>174.7</v>
          </cell>
          <cell r="DR29">
            <v>273.10000000000002</v>
          </cell>
          <cell r="DT29">
            <v>67</v>
          </cell>
          <cell r="DU29">
            <v>31</v>
          </cell>
          <cell r="DV29">
            <v>98</v>
          </cell>
          <cell r="DX29">
            <v>1117.3</v>
          </cell>
          <cell r="DY29">
            <v>942.5</v>
          </cell>
          <cell r="DZ29">
            <v>2059.8000000000002</v>
          </cell>
        </row>
        <row r="30">
          <cell r="A30" t="str">
            <v xml:space="preserve"> 2Q</v>
          </cell>
          <cell r="B30">
            <v>241</v>
          </cell>
          <cell r="C30">
            <v>0</v>
          </cell>
          <cell r="D30">
            <v>241</v>
          </cell>
          <cell r="F30">
            <v>117.1</v>
          </cell>
          <cell r="G30">
            <v>182.6</v>
          </cell>
          <cell r="H30">
            <v>299.7</v>
          </cell>
          <cell r="J30">
            <v>30.6</v>
          </cell>
          <cell r="K30">
            <v>71.2</v>
          </cell>
          <cell r="L30">
            <v>101.80000000000001</v>
          </cell>
          <cell r="Q30">
            <v>6.4999999999999432</v>
          </cell>
          <cell r="R30">
            <v>37.599999999999966</v>
          </cell>
          <cell r="S30">
            <v>44.099999999999909</v>
          </cell>
          <cell r="U30">
            <v>395.2</v>
          </cell>
          <cell r="V30">
            <v>291.39999999999998</v>
          </cell>
          <cell r="W30">
            <v>686.59999999999991</v>
          </cell>
          <cell r="Y30">
            <v>202.6</v>
          </cell>
          <cell r="Z30">
            <v>37</v>
          </cell>
          <cell r="AA30">
            <v>239.6</v>
          </cell>
          <cell r="AC30">
            <v>0</v>
          </cell>
          <cell r="AD30">
            <v>0</v>
          </cell>
          <cell r="AE30">
            <v>0</v>
          </cell>
          <cell r="AG30">
            <v>4.4000000000000057</v>
          </cell>
          <cell r="AH30">
            <v>9</v>
          </cell>
          <cell r="AI30">
            <v>13.400000000000006</v>
          </cell>
          <cell r="AK30">
            <v>207</v>
          </cell>
          <cell r="AL30">
            <v>46</v>
          </cell>
          <cell r="AM30">
            <v>253</v>
          </cell>
          <cell r="AO30" t="str">
            <v xml:space="preserve"> 2Q</v>
          </cell>
          <cell r="AP30">
            <v>91.6</v>
          </cell>
          <cell r="AQ30">
            <v>124.9</v>
          </cell>
          <cell r="AR30">
            <v>216.5</v>
          </cell>
          <cell r="AT30">
            <v>41.7</v>
          </cell>
          <cell r="AU30">
            <v>53.6</v>
          </cell>
          <cell r="AV30">
            <v>95.300000000000011</v>
          </cell>
          <cell r="AX30">
            <v>0</v>
          </cell>
          <cell r="AY30">
            <v>0</v>
          </cell>
          <cell r="AZ30">
            <v>0</v>
          </cell>
          <cell r="BB30">
            <v>39.699999999999989</v>
          </cell>
          <cell r="BC30">
            <v>177.8</v>
          </cell>
          <cell r="BD30">
            <v>217.5</v>
          </cell>
          <cell r="BF30">
            <v>173</v>
          </cell>
          <cell r="BG30">
            <v>356.3</v>
          </cell>
          <cell r="BH30">
            <v>529.29999999999995</v>
          </cell>
          <cell r="BJ30">
            <v>6</v>
          </cell>
          <cell r="BK30">
            <v>71</v>
          </cell>
          <cell r="BL30">
            <v>77</v>
          </cell>
          <cell r="BN30">
            <v>1</v>
          </cell>
          <cell r="BO30">
            <v>14</v>
          </cell>
          <cell r="BP30">
            <v>15</v>
          </cell>
          <cell r="BR30">
            <v>7</v>
          </cell>
          <cell r="BS30">
            <v>85</v>
          </cell>
          <cell r="BT30">
            <v>92</v>
          </cell>
          <cell r="BV30" t="str">
            <v xml:space="preserve"> 2Q</v>
          </cell>
          <cell r="BW30">
            <v>0</v>
          </cell>
          <cell r="BX30">
            <v>0</v>
          </cell>
          <cell r="BY30">
            <v>0</v>
          </cell>
          <cell r="CA30">
            <v>0</v>
          </cell>
          <cell r="CB30">
            <v>3.3</v>
          </cell>
          <cell r="CC30">
            <v>3.3</v>
          </cell>
          <cell r="CE30">
            <v>3</v>
          </cell>
          <cell r="CF30">
            <v>-0.29999999999999982</v>
          </cell>
          <cell r="CG30">
            <v>2.7</v>
          </cell>
          <cell r="CI30">
            <v>3</v>
          </cell>
          <cell r="CJ30">
            <v>3</v>
          </cell>
          <cell r="CK30">
            <v>6</v>
          </cell>
          <cell r="CM30">
            <v>19.5</v>
          </cell>
          <cell r="CN30">
            <v>0</v>
          </cell>
          <cell r="CO30">
            <v>19.5</v>
          </cell>
          <cell r="CQ30">
            <v>20.5</v>
          </cell>
          <cell r="CR30">
            <v>9</v>
          </cell>
          <cell r="CS30">
            <v>29.5</v>
          </cell>
          <cell r="CU30">
            <v>40</v>
          </cell>
          <cell r="CV30">
            <v>9</v>
          </cell>
          <cell r="CW30">
            <v>49</v>
          </cell>
          <cell r="CY30">
            <v>-7.5999999999999659</v>
          </cell>
          <cell r="CZ30">
            <v>66.900000000000034</v>
          </cell>
          <cell r="DA30">
            <v>59.300000000000068</v>
          </cell>
          <cell r="DC30" t="str">
            <v xml:space="preserve"> 2Q</v>
          </cell>
          <cell r="DD30">
            <v>0</v>
          </cell>
          <cell r="DE30">
            <v>0</v>
          </cell>
          <cell r="DF30">
            <v>0</v>
          </cell>
          <cell r="DL30">
            <v>817.6</v>
          </cell>
          <cell r="DM30">
            <v>857.6</v>
          </cell>
          <cell r="DN30">
            <v>1675.2</v>
          </cell>
          <cell r="DP30">
            <v>89</v>
          </cell>
          <cell r="DQ30">
            <v>196</v>
          </cell>
          <cell r="DR30">
            <v>285</v>
          </cell>
          <cell r="DT30">
            <v>62</v>
          </cell>
          <cell r="DU30">
            <v>38</v>
          </cell>
          <cell r="DV30">
            <v>100</v>
          </cell>
          <cell r="DX30">
            <v>968.6</v>
          </cell>
          <cell r="DY30">
            <v>1091.5999999999999</v>
          </cell>
          <cell r="DZ30">
            <v>2060.1999999999998</v>
          </cell>
        </row>
        <row r="31">
          <cell r="A31" t="str">
            <v xml:space="preserve"> 3Q</v>
          </cell>
          <cell r="B31">
            <v>291.8</v>
          </cell>
          <cell r="C31">
            <v>0</v>
          </cell>
          <cell r="D31">
            <v>291.8</v>
          </cell>
          <cell r="F31">
            <v>138.6</v>
          </cell>
          <cell r="G31">
            <v>195.4</v>
          </cell>
          <cell r="H31">
            <v>334</v>
          </cell>
          <cell r="J31">
            <v>37.5</v>
          </cell>
          <cell r="K31">
            <v>71.400000000000006</v>
          </cell>
          <cell r="L31">
            <v>108.9</v>
          </cell>
          <cell r="Q31">
            <v>5.5</v>
          </cell>
          <cell r="R31">
            <v>40.5</v>
          </cell>
          <cell r="S31">
            <v>46</v>
          </cell>
          <cell r="U31">
            <v>473.4</v>
          </cell>
          <cell r="V31">
            <v>307.3</v>
          </cell>
          <cell r="W31">
            <v>780.7</v>
          </cell>
          <cell r="Y31">
            <v>238.4</v>
          </cell>
          <cell r="Z31">
            <v>38.4</v>
          </cell>
          <cell r="AA31">
            <v>276.8</v>
          </cell>
          <cell r="AC31">
            <v>0</v>
          </cell>
          <cell r="AD31">
            <v>0</v>
          </cell>
          <cell r="AE31">
            <v>0</v>
          </cell>
          <cell r="AG31">
            <v>4.5999999999999943</v>
          </cell>
          <cell r="AH31">
            <v>8.6000000000000014</v>
          </cell>
          <cell r="AI31">
            <v>13.199999999999996</v>
          </cell>
          <cell r="AK31">
            <v>243</v>
          </cell>
          <cell r="AL31">
            <v>47</v>
          </cell>
          <cell r="AM31">
            <v>290</v>
          </cell>
          <cell r="AO31" t="str">
            <v xml:space="preserve"> 3Q</v>
          </cell>
          <cell r="AP31">
            <v>100.4</v>
          </cell>
          <cell r="AQ31">
            <v>131.6</v>
          </cell>
          <cell r="AR31">
            <v>232</v>
          </cell>
          <cell r="AT31">
            <v>30.6</v>
          </cell>
          <cell r="AU31">
            <v>37.4</v>
          </cell>
          <cell r="AV31">
            <v>68</v>
          </cell>
          <cell r="AX31">
            <v>0</v>
          </cell>
          <cell r="AY31">
            <v>0</v>
          </cell>
          <cell r="AZ31">
            <v>0</v>
          </cell>
          <cell r="BB31">
            <v>43.800000000000011</v>
          </cell>
          <cell r="BC31">
            <v>172.8</v>
          </cell>
          <cell r="BD31">
            <v>216.60000000000002</v>
          </cell>
          <cell r="BF31">
            <v>174.8</v>
          </cell>
          <cell r="BG31">
            <v>341.8</v>
          </cell>
          <cell r="BH31">
            <v>516.6</v>
          </cell>
          <cell r="BJ31">
            <v>5.6</v>
          </cell>
          <cell r="BK31">
            <v>70.5</v>
          </cell>
          <cell r="BL31">
            <v>76.099999999999994</v>
          </cell>
          <cell r="BN31">
            <v>-0.59999999999999964</v>
          </cell>
          <cell r="BO31">
            <v>17.5</v>
          </cell>
          <cell r="BP31">
            <v>16.899999999999999</v>
          </cell>
          <cell r="BR31">
            <v>5</v>
          </cell>
          <cell r="BS31">
            <v>88</v>
          </cell>
          <cell r="BT31">
            <v>93</v>
          </cell>
          <cell r="BV31" t="str">
            <v xml:space="preserve"> 3Q</v>
          </cell>
          <cell r="BW31">
            <v>0</v>
          </cell>
          <cell r="BX31">
            <v>0</v>
          </cell>
          <cell r="BY31">
            <v>0</v>
          </cell>
          <cell r="CA31">
            <v>0</v>
          </cell>
          <cell r="CB31">
            <v>4</v>
          </cell>
          <cell r="CC31">
            <v>4</v>
          </cell>
          <cell r="CE31">
            <v>2</v>
          </cell>
          <cell r="CF31">
            <v>0</v>
          </cell>
          <cell r="CG31">
            <v>2</v>
          </cell>
          <cell r="CI31">
            <v>2</v>
          </cell>
          <cell r="CJ31">
            <v>4</v>
          </cell>
          <cell r="CK31">
            <v>6</v>
          </cell>
          <cell r="CM31">
            <v>22.3</v>
          </cell>
          <cell r="CN31">
            <v>0</v>
          </cell>
          <cell r="CO31">
            <v>22.3</v>
          </cell>
          <cell r="CQ31">
            <v>15.7</v>
          </cell>
          <cell r="CR31">
            <v>9</v>
          </cell>
          <cell r="CS31">
            <v>24.7</v>
          </cell>
          <cell r="CU31">
            <v>38</v>
          </cell>
          <cell r="CV31">
            <v>9</v>
          </cell>
          <cell r="CW31">
            <v>47</v>
          </cell>
          <cell r="CY31">
            <v>11.300000000000011</v>
          </cell>
          <cell r="CZ31">
            <v>54.999999999999943</v>
          </cell>
          <cell r="DA31">
            <v>66.299999999999955</v>
          </cell>
          <cell r="DC31" t="str">
            <v xml:space="preserve"> 3Q</v>
          </cell>
          <cell r="DD31">
            <v>0</v>
          </cell>
          <cell r="DE31">
            <v>0</v>
          </cell>
          <cell r="DF31">
            <v>0</v>
          </cell>
          <cell r="DL31">
            <v>947.5</v>
          </cell>
          <cell r="DM31">
            <v>852.1</v>
          </cell>
          <cell r="DN31">
            <v>1799.6</v>
          </cell>
          <cell r="DP31">
            <v>127</v>
          </cell>
          <cell r="DQ31">
            <v>176</v>
          </cell>
          <cell r="DR31">
            <v>303</v>
          </cell>
          <cell r="DT31">
            <v>71</v>
          </cell>
          <cell r="DU31">
            <v>37</v>
          </cell>
          <cell r="DV31">
            <v>108</v>
          </cell>
          <cell r="DX31">
            <v>1145.5</v>
          </cell>
          <cell r="DY31">
            <v>1065.0999999999999</v>
          </cell>
          <cell r="DZ31">
            <v>2210.6</v>
          </cell>
        </row>
        <row r="32">
          <cell r="A32" t="str">
            <v xml:space="preserve"> 4Q</v>
          </cell>
          <cell r="B32">
            <v>272.60000000000002</v>
          </cell>
          <cell r="C32">
            <v>0</v>
          </cell>
          <cell r="D32">
            <v>272.60000000000002</v>
          </cell>
          <cell r="F32">
            <v>148.80000000000001</v>
          </cell>
          <cell r="G32">
            <v>216.7</v>
          </cell>
          <cell r="H32">
            <v>365.5</v>
          </cell>
          <cell r="J32">
            <v>39.700000000000003</v>
          </cell>
          <cell r="K32">
            <v>75.099999999999994</v>
          </cell>
          <cell r="L32">
            <v>114.8</v>
          </cell>
          <cell r="Q32">
            <v>6.0999999999999659</v>
          </cell>
          <cell r="R32">
            <v>35.900000000000034</v>
          </cell>
          <cell r="S32">
            <v>42</v>
          </cell>
          <cell r="U32">
            <v>467.2</v>
          </cell>
          <cell r="V32">
            <v>327.7</v>
          </cell>
          <cell r="W32">
            <v>794.9</v>
          </cell>
          <cell r="Y32">
            <v>236.5</v>
          </cell>
          <cell r="Z32">
            <v>49.7</v>
          </cell>
          <cell r="AA32">
            <v>286.2</v>
          </cell>
          <cell r="AC32">
            <v>0</v>
          </cell>
          <cell r="AD32">
            <v>0</v>
          </cell>
          <cell r="AE32">
            <v>0</v>
          </cell>
          <cell r="AG32">
            <v>2.5</v>
          </cell>
          <cell r="AH32">
            <v>8.2999999999999972</v>
          </cell>
          <cell r="AI32">
            <v>10.799999999999997</v>
          </cell>
          <cell r="AK32">
            <v>239</v>
          </cell>
          <cell r="AL32">
            <v>58</v>
          </cell>
          <cell r="AM32">
            <v>297</v>
          </cell>
          <cell r="AO32" t="str">
            <v xml:space="preserve"> 4Q</v>
          </cell>
          <cell r="AP32">
            <v>101.1</v>
          </cell>
          <cell r="AQ32">
            <v>130.19999999999999</v>
          </cell>
          <cell r="AR32">
            <v>231.29999999999998</v>
          </cell>
          <cell r="AT32">
            <v>75</v>
          </cell>
          <cell r="AU32">
            <v>57.2</v>
          </cell>
          <cell r="AV32">
            <v>132.19999999999999</v>
          </cell>
          <cell r="AX32">
            <v>0</v>
          </cell>
          <cell r="AY32">
            <v>0</v>
          </cell>
          <cell r="AZ32">
            <v>0</v>
          </cell>
          <cell r="BB32">
            <v>43.099999999999994</v>
          </cell>
          <cell r="BC32">
            <v>176.10000000000002</v>
          </cell>
          <cell r="BD32">
            <v>219.20000000000002</v>
          </cell>
          <cell r="BF32">
            <v>219.2</v>
          </cell>
          <cell r="BG32">
            <v>363.5</v>
          </cell>
          <cell r="BH32">
            <v>582.70000000000005</v>
          </cell>
          <cell r="BJ32">
            <v>6.9</v>
          </cell>
          <cell r="BK32">
            <v>75.3</v>
          </cell>
          <cell r="BL32">
            <v>82.2</v>
          </cell>
          <cell r="BN32">
            <v>9.9999999999999645E-2</v>
          </cell>
          <cell r="BO32">
            <v>15.700000000000003</v>
          </cell>
          <cell r="BP32">
            <v>15.800000000000002</v>
          </cell>
          <cell r="BR32">
            <v>7</v>
          </cell>
          <cell r="BS32">
            <v>91</v>
          </cell>
          <cell r="BT32">
            <v>98</v>
          </cell>
          <cell r="BV32" t="str">
            <v xml:space="preserve"> 4Q</v>
          </cell>
          <cell r="BW32">
            <v>0</v>
          </cell>
          <cell r="BX32">
            <v>0</v>
          </cell>
          <cell r="BY32">
            <v>0</v>
          </cell>
          <cell r="CA32">
            <v>0</v>
          </cell>
          <cell r="CB32">
            <v>1.2</v>
          </cell>
          <cell r="CC32">
            <v>1.2</v>
          </cell>
          <cell r="CE32">
            <v>3</v>
          </cell>
          <cell r="CF32">
            <v>-0.19999999999999996</v>
          </cell>
          <cell r="CG32">
            <v>2.8</v>
          </cell>
          <cell r="CI32">
            <v>3</v>
          </cell>
          <cell r="CJ32">
            <v>1</v>
          </cell>
          <cell r="CK32">
            <v>4</v>
          </cell>
          <cell r="CM32">
            <v>25.4</v>
          </cell>
          <cell r="CN32">
            <v>0</v>
          </cell>
          <cell r="CO32">
            <v>25.4</v>
          </cell>
          <cell r="CQ32">
            <v>21.6</v>
          </cell>
          <cell r="CR32">
            <v>9</v>
          </cell>
          <cell r="CS32">
            <v>30.6</v>
          </cell>
          <cell r="CU32">
            <v>47</v>
          </cell>
          <cell r="CV32">
            <v>9</v>
          </cell>
          <cell r="CW32">
            <v>56</v>
          </cell>
          <cell r="CY32">
            <v>4.5999999999999659</v>
          </cell>
          <cell r="CZ32">
            <v>70.799999999999955</v>
          </cell>
          <cell r="DA32">
            <v>75.39999999999992</v>
          </cell>
          <cell r="DC32" t="str">
            <v xml:space="preserve"> 4Q</v>
          </cell>
          <cell r="DD32">
            <v>0</v>
          </cell>
          <cell r="DE32">
            <v>0</v>
          </cell>
          <cell r="DF32">
            <v>0</v>
          </cell>
          <cell r="DL32">
            <v>987</v>
          </cell>
          <cell r="DM32">
            <v>921</v>
          </cell>
          <cell r="DN32">
            <v>1908</v>
          </cell>
          <cell r="DP32">
            <v>120</v>
          </cell>
          <cell r="DQ32">
            <v>238</v>
          </cell>
          <cell r="DR32">
            <v>358</v>
          </cell>
          <cell r="DT32">
            <v>49</v>
          </cell>
          <cell r="DU32">
            <v>38</v>
          </cell>
          <cell r="DV32">
            <v>87</v>
          </cell>
          <cell r="DX32">
            <v>1156</v>
          </cell>
          <cell r="DY32">
            <v>1197</v>
          </cell>
          <cell r="DZ32">
            <v>2353</v>
          </cell>
        </row>
        <row r="34">
          <cell r="A34" t="str">
            <v>1995</v>
          </cell>
          <cell r="B34">
            <v>1134</v>
          </cell>
          <cell r="C34">
            <v>0</v>
          </cell>
          <cell r="D34">
            <v>1134</v>
          </cell>
          <cell r="F34">
            <v>521.59999999999991</v>
          </cell>
          <cell r="G34">
            <v>743.7</v>
          </cell>
          <cell r="H34">
            <v>1265.3</v>
          </cell>
          <cell r="J34">
            <v>138.30000000000001</v>
          </cell>
          <cell r="K34">
            <v>274.7</v>
          </cell>
          <cell r="L34">
            <v>413.00000000000006</v>
          </cell>
          <cell r="Q34">
            <v>25.799999999999841</v>
          </cell>
          <cell r="R34">
            <v>145.4</v>
          </cell>
          <cell r="S34">
            <v>171.19999999999985</v>
          </cell>
          <cell r="U34">
            <v>1819.7</v>
          </cell>
          <cell r="V34">
            <v>1163.8</v>
          </cell>
          <cell r="W34">
            <v>2983.5</v>
          </cell>
          <cell r="Y34">
            <v>886.5</v>
          </cell>
          <cell r="Z34">
            <v>153.30000000000001</v>
          </cell>
          <cell r="AA34">
            <v>1039.8</v>
          </cell>
          <cell r="AC34">
            <v>0</v>
          </cell>
          <cell r="AD34">
            <v>0</v>
          </cell>
          <cell r="AE34">
            <v>0</v>
          </cell>
          <cell r="AG34">
            <v>18.5</v>
          </cell>
          <cell r="AH34">
            <v>33.700000000000003</v>
          </cell>
          <cell r="AI34">
            <v>52.2</v>
          </cell>
          <cell r="AJ34">
            <v>0</v>
          </cell>
          <cell r="AK34">
            <v>905</v>
          </cell>
          <cell r="AL34">
            <v>187</v>
          </cell>
          <cell r="AM34">
            <v>1092</v>
          </cell>
          <cell r="AO34" t="str">
            <v>1995</v>
          </cell>
          <cell r="AP34">
            <v>388.5</v>
          </cell>
          <cell r="AQ34">
            <v>490.09999999999997</v>
          </cell>
          <cell r="AR34">
            <v>878.59999999999991</v>
          </cell>
          <cell r="AT34">
            <v>207</v>
          </cell>
          <cell r="AU34">
            <v>192.5</v>
          </cell>
          <cell r="AV34">
            <v>399.5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B34">
            <v>173.59999999999997</v>
          </cell>
          <cell r="BC34">
            <v>694.00000000000011</v>
          </cell>
          <cell r="BD34">
            <v>867.6</v>
          </cell>
          <cell r="BF34">
            <v>769.10000000000014</v>
          </cell>
          <cell r="BG34">
            <v>1376.6</v>
          </cell>
          <cell r="BH34">
            <v>2145.6999999999998</v>
          </cell>
          <cell r="BJ34">
            <v>24.5</v>
          </cell>
          <cell r="BK34">
            <v>280.8</v>
          </cell>
          <cell r="BL34">
            <v>305.3</v>
          </cell>
          <cell r="BN34">
            <v>0.5</v>
          </cell>
          <cell r="BO34">
            <v>63.2</v>
          </cell>
          <cell r="BP34">
            <v>63.7</v>
          </cell>
          <cell r="BR34">
            <v>25</v>
          </cell>
          <cell r="BS34">
            <v>344</v>
          </cell>
          <cell r="BT34">
            <v>369</v>
          </cell>
          <cell r="BV34" t="str">
            <v>1995</v>
          </cell>
          <cell r="BW34">
            <v>0</v>
          </cell>
          <cell r="BX34">
            <v>0</v>
          </cell>
          <cell r="BY34">
            <v>0</v>
          </cell>
          <cell r="CA34">
            <v>0</v>
          </cell>
          <cell r="CB34">
            <v>10.5</v>
          </cell>
          <cell r="CC34">
            <v>10.5</v>
          </cell>
          <cell r="CE34">
            <v>8</v>
          </cell>
          <cell r="CF34">
            <v>-0.49999999999999978</v>
          </cell>
          <cell r="CG34">
            <v>7.5</v>
          </cell>
          <cell r="CI34">
            <v>8</v>
          </cell>
          <cell r="CJ34">
            <v>10</v>
          </cell>
          <cell r="CK34">
            <v>18</v>
          </cell>
          <cell r="CM34">
            <v>81.800000000000011</v>
          </cell>
          <cell r="CN34">
            <v>0</v>
          </cell>
          <cell r="CO34">
            <v>81.800000000000011</v>
          </cell>
          <cell r="CQ34">
            <v>83.199999999999989</v>
          </cell>
          <cell r="CR34">
            <v>35</v>
          </cell>
          <cell r="CS34">
            <v>118.19999999999999</v>
          </cell>
          <cell r="CU34">
            <v>165</v>
          </cell>
          <cell r="CV34">
            <v>35</v>
          </cell>
          <cell r="CW34">
            <v>200</v>
          </cell>
          <cell r="CY34">
            <v>12.199999999999989</v>
          </cell>
          <cell r="CZ34">
            <v>251.10000000000002</v>
          </cell>
          <cell r="DA34">
            <v>263.3</v>
          </cell>
          <cell r="DC34" t="str">
            <v>1995</v>
          </cell>
          <cell r="DD34">
            <v>0</v>
          </cell>
          <cell r="DE34">
            <v>0</v>
          </cell>
          <cell r="DF34">
            <v>0</v>
          </cell>
          <cell r="DL34">
            <v>3704</v>
          </cell>
          <cell r="DM34">
            <v>3367.5</v>
          </cell>
          <cell r="DN34">
            <v>7071.5</v>
          </cell>
          <cell r="DP34">
            <v>434.4</v>
          </cell>
          <cell r="DQ34">
            <v>784.7</v>
          </cell>
          <cell r="DR34">
            <v>1219.0999999999999</v>
          </cell>
          <cell r="DT34">
            <v>290</v>
          </cell>
          <cell r="DU34">
            <v>93</v>
          </cell>
          <cell r="DV34">
            <v>393</v>
          </cell>
          <cell r="DX34">
            <v>4387.3999999999996</v>
          </cell>
          <cell r="DY34">
            <v>4296.2</v>
          </cell>
          <cell r="DZ34">
            <v>8683.6</v>
          </cell>
        </row>
        <row r="36">
          <cell r="A36" t="str">
            <v xml:space="preserve">1996/95 </v>
          </cell>
          <cell r="AO36" t="str">
            <v xml:space="preserve">1996/95 </v>
          </cell>
          <cell r="BV36" t="str">
            <v xml:space="preserve">1996/95 </v>
          </cell>
          <cell r="DC36" t="str">
            <v xml:space="preserve">1996/95 </v>
          </cell>
        </row>
        <row r="37">
          <cell r="A37" t="str">
            <v xml:space="preserve"> 1Q</v>
          </cell>
          <cell r="B37">
            <v>-7.2124163116250917E-2</v>
          </cell>
          <cell r="C37" t="str">
            <v>NM</v>
          </cell>
          <cell r="D37">
            <v>-7.2124163116250917E-2</v>
          </cell>
          <cell r="F37">
            <v>0.48932536293766016</v>
          </cell>
          <cell r="G37">
            <v>0.43221476510067114</v>
          </cell>
          <cell r="H37">
            <v>0.4573468620819241</v>
          </cell>
          <cell r="J37">
            <v>0.577049180327869</v>
          </cell>
          <cell r="K37">
            <v>0.29649122807017547</v>
          </cell>
          <cell r="L37">
            <v>0.39428571428571435</v>
          </cell>
          <cell r="Q37">
            <v>-0.3766233766233622</v>
          </cell>
          <cell r="R37">
            <v>3.8216560509552799E-2</v>
          </cell>
          <cell r="S37">
            <v>-4.3478260869562857E-2</v>
          </cell>
          <cell r="U37">
            <v>9.981401115933064E-2</v>
          </cell>
          <cell r="V37">
            <v>0.34751474304970498</v>
          </cell>
          <cell r="W37">
            <v>0.18133924857895467</v>
          </cell>
          <cell r="Y37">
            <v>0.31244019138755985</v>
          </cell>
          <cell r="Z37">
            <v>0.5070921985815604</v>
          </cell>
          <cell r="AA37">
            <v>0.33558178752107937</v>
          </cell>
          <cell r="AC37" t="str">
            <v>NM</v>
          </cell>
          <cell r="AD37" t="str">
            <v>NM</v>
          </cell>
          <cell r="AE37" t="str">
            <v>NM</v>
          </cell>
          <cell r="AG37">
            <v>-0.32857142857143018</v>
          </cell>
          <cell r="AH37">
            <v>-3.8461538461538547E-2</v>
          </cell>
          <cell r="AI37">
            <v>-0.17567567567567643</v>
          </cell>
          <cell r="AK37">
            <v>0.29166666666666674</v>
          </cell>
          <cell r="AL37">
            <v>0.38888888888888884</v>
          </cell>
          <cell r="AM37">
            <v>0.30555555555555558</v>
          </cell>
          <cell r="AO37" t="str">
            <v xml:space="preserve"> 1Q</v>
          </cell>
          <cell r="AP37">
            <v>2.515723270440251E-2</v>
          </cell>
          <cell r="AQ37">
            <v>0.13346228239845259</v>
          </cell>
          <cell r="AR37">
            <v>8.1488933601609581E-2</v>
          </cell>
          <cell r="AT37">
            <v>0.45393634840871</v>
          </cell>
          <cell r="AU37">
            <v>0.63882618510158018</v>
          </cell>
          <cell r="AV37">
            <v>0.53269230769230758</v>
          </cell>
          <cell r="AX37" t="str">
            <v>NM</v>
          </cell>
          <cell r="AY37" t="str">
            <v>NM</v>
          </cell>
          <cell r="AZ37" t="str">
            <v>NM</v>
          </cell>
          <cell r="BB37">
            <v>-0.15957446808510589</v>
          </cell>
          <cell r="BC37">
            <v>-4.3036461446503527E-2</v>
          </cell>
          <cell r="BD37">
            <v>-6.8595426971535312E-2</v>
          </cell>
          <cell r="BF37">
            <v>0.10885700148441368</v>
          </cell>
          <cell r="BG37">
            <v>0.11079365079365067</v>
          </cell>
          <cell r="BH37">
            <v>0.11003674337652281</v>
          </cell>
          <cell r="BJ37">
            <v>1.6666666666666607E-2</v>
          </cell>
          <cell r="BK37">
            <v>-6.2499999999999778E-3</v>
          </cell>
          <cell r="BL37">
            <v>-4.2857142857142261E-3</v>
          </cell>
          <cell r="BN37" t="str">
            <v xml:space="preserve">  NM</v>
          </cell>
          <cell r="BO37">
            <v>-0.16250000000000009</v>
          </cell>
          <cell r="BP37">
            <v>-0.16875000000000007</v>
          </cell>
          <cell r="BR37">
            <v>0</v>
          </cell>
          <cell r="BS37">
            <v>-3.7499999999999978E-2</v>
          </cell>
          <cell r="BT37">
            <v>-3.4883720930232509E-2</v>
          </cell>
          <cell r="BV37" t="str">
            <v xml:space="preserve"> 1Q</v>
          </cell>
          <cell r="BW37" t="str">
            <v>NM</v>
          </cell>
          <cell r="BX37" t="str">
            <v>NM</v>
          </cell>
          <cell r="BY37" t="str">
            <v>NM</v>
          </cell>
          <cell r="CA37" t="str">
            <v xml:space="preserve">    NM</v>
          </cell>
          <cell r="CB37">
            <v>-0.30000000000000004</v>
          </cell>
          <cell r="CC37" t="str">
            <v xml:space="preserve">    NM</v>
          </cell>
          <cell r="CE37" t="str">
            <v xml:space="preserve">   NM</v>
          </cell>
          <cell r="CF37" t="str">
            <v xml:space="preserve">  NM</v>
          </cell>
          <cell r="CG37" t="str">
            <v xml:space="preserve">   NM</v>
          </cell>
          <cell r="CI37" t="str">
            <v xml:space="preserve">    NM</v>
          </cell>
          <cell r="CJ37">
            <v>-0.5</v>
          </cell>
          <cell r="CK37" t="str">
            <v xml:space="preserve">    NM</v>
          </cell>
          <cell r="CM37">
            <v>0.83561643835616439</v>
          </cell>
          <cell r="CN37" t="str">
            <v xml:space="preserve">    NM</v>
          </cell>
          <cell r="CO37">
            <v>0.83561643835616439</v>
          </cell>
          <cell r="CQ37">
            <v>-0.36220472440944884</v>
          </cell>
          <cell r="CR37">
            <v>0</v>
          </cell>
          <cell r="CS37">
            <v>-0.27544910179640714</v>
          </cell>
          <cell r="CU37">
            <v>7.4999999999999956E-2</v>
          </cell>
          <cell r="CV37">
            <v>0</v>
          </cell>
          <cell r="CW37">
            <v>6.25E-2</v>
          </cell>
          <cell r="CY37">
            <v>-0.43589743589745011</v>
          </cell>
          <cell r="CZ37">
            <v>8.5616438356164171E-2</v>
          </cell>
          <cell r="DA37">
            <v>5.2969502407703928E-2</v>
          </cell>
          <cell r="DC37" t="str">
            <v xml:space="preserve"> 1Q</v>
          </cell>
          <cell r="DD37" t="str">
            <v xml:space="preserve">    NM</v>
          </cell>
          <cell r="DE37" t="str">
            <v xml:space="preserve">    NM</v>
          </cell>
          <cell r="DF37" t="str">
            <v xml:space="preserve">    NM</v>
          </cell>
          <cell r="DL37">
            <v>0.16976573169450576</v>
          </cell>
          <cell r="DM37">
            <v>0.17969598262757866</v>
          </cell>
          <cell r="DN37">
            <v>0.17409841890211405</v>
          </cell>
          <cell r="DP37">
            <v>-0.17682926829268297</v>
          </cell>
          <cell r="DQ37">
            <v>6.468231253577568E-2</v>
          </cell>
          <cell r="DR37">
            <v>-2.2336140607836039E-2</v>
          </cell>
          <cell r="DT37">
            <v>0.26865671641791045</v>
          </cell>
          <cell r="DU37">
            <v>0</v>
          </cell>
          <cell r="DV37">
            <v>0.18367346938775511</v>
          </cell>
          <cell r="DX37">
            <v>0.14517139532802295</v>
          </cell>
          <cell r="DY37">
            <v>0.1524668435013263</v>
          </cell>
          <cell r="DZ37">
            <v>0.14850956403534304</v>
          </cell>
        </row>
        <row r="38">
          <cell r="A38" t="str">
            <v xml:space="preserve"> 2Q</v>
          </cell>
          <cell r="B38">
            <v>-0.18672199170124482</v>
          </cell>
          <cell r="C38" t="str">
            <v>NM</v>
          </cell>
          <cell r="D38">
            <v>-0.18672199170124482</v>
          </cell>
          <cell r="F38">
            <v>0.4773697694278396</v>
          </cell>
          <cell r="G38">
            <v>0.35268346111719606</v>
          </cell>
          <cell r="H38">
            <v>0.40140140140140135</v>
          </cell>
          <cell r="J38">
            <v>0.50326797385620914</v>
          </cell>
          <cell r="K38">
            <v>0.12359550561797739</v>
          </cell>
          <cell r="L38">
            <v>0.23772102161100173</v>
          </cell>
          <cell r="Q38">
            <v>-0.53846153846153444</v>
          </cell>
          <cell r="R38">
            <v>-6.9148936170211894E-2</v>
          </cell>
          <cell r="S38">
            <v>-0.1383219954648508</v>
          </cell>
          <cell r="U38">
            <v>5.7692307692307709E-2</v>
          </cell>
          <cell r="V38">
            <v>0.24227865477007549</v>
          </cell>
          <cell r="W38">
            <v>0.13603262452665321</v>
          </cell>
          <cell r="Y38">
            <v>0.21915103652517276</v>
          </cell>
          <cell r="Z38">
            <v>0.37837837837837829</v>
          </cell>
          <cell r="AA38">
            <v>0.24373956594323887</v>
          </cell>
          <cell r="AC38" t="str">
            <v>NM</v>
          </cell>
          <cell r="AD38" t="str">
            <v>NM</v>
          </cell>
          <cell r="AE38" t="str">
            <v>NM</v>
          </cell>
          <cell r="AG38">
            <v>-0.31818181818181901</v>
          </cell>
          <cell r="AH38">
            <v>-0.22222222222222221</v>
          </cell>
          <cell r="AI38">
            <v>-0.25373134328358238</v>
          </cell>
          <cell r="AK38">
            <v>0.20772946859903385</v>
          </cell>
          <cell r="AL38">
            <v>0.26086956521739135</v>
          </cell>
          <cell r="AM38">
            <v>0.21739130434782616</v>
          </cell>
          <cell r="AO38" t="str">
            <v xml:space="preserve"> 2Q</v>
          </cell>
          <cell r="AP38">
            <v>0.10262008733624461</v>
          </cell>
          <cell r="AQ38">
            <v>-1.521216973578865E-2</v>
          </cell>
          <cell r="AR38">
            <v>3.4642032332563577E-2</v>
          </cell>
          <cell r="AT38">
            <v>0.82254196642685828</v>
          </cell>
          <cell r="AU38">
            <v>0.13805970149253732</v>
          </cell>
          <cell r="AV38">
            <v>0.43756558237145837</v>
          </cell>
          <cell r="AX38" t="str">
            <v>NM</v>
          </cell>
          <cell r="AY38" t="str">
            <v>NM</v>
          </cell>
          <cell r="AZ38" t="str">
            <v>NM</v>
          </cell>
          <cell r="BB38">
            <v>-9.3198992443324635E-2</v>
          </cell>
          <cell r="BC38">
            <v>-0.11136107986501698</v>
          </cell>
          <cell r="BD38">
            <v>-0.10804597701149421</v>
          </cell>
          <cell r="BF38">
            <v>0.23121387283237005</v>
          </cell>
          <cell r="BG38">
            <v>-4.0134717934324993E-2</v>
          </cell>
          <cell r="BH38">
            <v>4.8554694880030391E-2</v>
          </cell>
          <cell r="BJ38">
            <v>-0.33333333333333337</v>
          </cell>
          <cell r="BK38">
            <v>-4.2253521126760618E-2</v>
          </cell>
          <cell r="BL38">
            <v>-6.4935064935064957E-2</v>
          </cell>
          <cell r="BN38" t="str">
            <v xml:space="preserve">  NM</v>
          </cell>
          <cell r="BO38">
            <v>7.1428571428571397E-2</v>
          </cell>
          <cell r="BP38">
            <v>0</v>
          </cell>
          <cell r="BR38">
            <v>-0.4285714285714286</v>
          </cell>
          <cell r="BS38">
            <v>-2.352941176470591E-2</v>
          </cell>
          <cell r="BT38">
            <v>-5.4347826086956541E-2</v>
          </cell>
          <cell r="BV38" t="str">
            <v xml:space="preserve"> 2Q</v>
          </cell>
          <cell r="BW38" t="str">
            <v>NM</v>
          </cell>
          <cell r="BX38" t="str">
            <v>NM</v>
          </cell>
          <cell r="BY38" t="str">
            <v>NM</v>
          </cell>
          <cell r="CA38" t="str">
            <v xml:space="preserve">    NM</v>
          </cell>
          <cell r="CB38">
            <v>-0.39393939393939392</v>
          </cell>
          <cell r="CC38" t="str">
            <v xml:space="preserve">    NM</v>
          </cell>
          <cell r="CE38" t="str">
            <v xml:space="preserve">   NM</v>
          </cell>
          <cell r="CF38" t="str">
            <v xml:space="preserve">  NM</v>
          </cell>
          <cell r="CG38" t="str">
            <v xml:space="preserve">   NM</v>
          </cell>
          <cell r="CI38" t="str">
            <v xml:space="preserve">    NM</v>
          </cell>
          <cell r="CJ38">
            <v>-0.33333333333333337</v>
          </cell>
          <cell r="CK38" t="str">
            <v xml:space="preserve">    NM</v>
          </cell>
          <cell r="CM38">
            <v>0.53846153846153855</v>
          </cell>
          <cell r="CN38" t="str">
            <v xml:space="preserve">    NM</v>
          </cell>
          <cell r="CO38">
            <v>0.53846153846153855</v>
          </cell>
          <cell r="CQ38">
            <v>-0.51219512195121952</v>
          </cell>
          <cell r="CR38">
            <v>0</v>
          </cell>
          <cell r="CS38">
            <v>-0.35593220338983056</v>
          </cell>
          <cell r="CU38">
            <v>0</v>
          </cell>
          <cell r="CV38">
            <v>0</v>
          </cell>
          <cell r="CW38">
            <v>0</v>
          </cell>
          <cell r="CY38">
            <v>-0.73684210526315663</v>
          </cell>
          <cell r="CZ38">
            <v>3.1390134529147407E-2</v>
          </cell>
          <cell r="DA38">
            <v>0.12984822934232576</v>
          </cell>
          <cell r="DC38" t="str">
            <v xml:space="preserve"> 2Q</v>
          </cell>
          <cell r="DD38" t="str">
            <v xml:space="preserve">    NM</v>
          </cell>
          <cell r="DE38" t="str">
            <v xml:space="preserve">    NM</v>
          </cell>
          <cell r="DF38" t="str">
            <v xml:space="preserve">    NM</v>
          </cell>
          <cell r="DL38">
            <v>0.17294520547945202</v>
          </cell>
          <cell r="DM38">
            <v>7.8591417910447728E-2</v>
          </cell>
          <cell r="DN38">
            <v>0.12464183381088823</v>
          </cell>
          <cell r="DP38">
            <v>-5.6179775280898875E-2</v>
          </cell>
          <cell r="DQ38">
            <v>5.6122448979591837E-2</v>
          </cell>
          <cell r="DR38">
            <v>2.1052631578947368E-2</v>
          </cell>
          <cell r="DT38">
            <v>0.37096774193548387</v>
          </cell>
          <cell r="DU38">
            <v>7.8947368421052627E-2</v>
          </cell>
          <cell r="DV38">
            <v>0.26</v>
          </cell>
          <cell r="DX38">
            <v>0.1645674168903572</v>
          </cell>
          <cell r="DY38">
            <v>7.4569439355075207E-2</v>
          </cell>
          <cell r="DZ38">
            <v>0.11688185613047287</v>
          </cell>
        </row>
        <row r="39">
          <cell r="A39" t="str">
            <v xml:space="preserve"> 3Q</v>
          </cell>
          <cell r="B39">
            <v>-0.14667580534612756</v>
          </cell>
          <cell r="C39" t="str">
            <v>NM</v>
          </cell>
          <cell r="D39">
            <v>-0.14667580534612756</v>
          </cell>
          <cell r="F39">
            <v>0.52236652236652237</v>
          </cell>
          <cell r="G39">
            <v>0.33060388945752295</v>
          </cell>
          <cell r="H39">
            <v>0.41017964071856294</v>
          </cell>
          <cell r="J39">
            <v>0.4933333333333334</v>
          </cell>
          <cell r="K39">
            <v>0.10644257703081217</v>
          </cell>
          <cell r="L39">
            <v>0.23966942148760317</v>
          </cell>
          <cell r="Q39">
            <v>-0.27272727272727271</v>
          </cell>
          <cell r="R39">
            <v>-0.16049382716049387</v>
          </cell>
          <cell r="S39">
            <v>-0.17391304347826086</v>
          </cell>
          <cell r="U39">
            <v>9.8436839881706817E-2</v>
          </cell>
          <cell r="V39">
            <v>0.21379759192971037</v>
          </cell>
          <cell r="W39">
            <v>0.14384526706801593</v>
          </cell>
          <cell r="Y39">
            <v>0.22902684563758391</v>
          </cell>
          <cell r="Z39">
            <v>0.484375</v>
          </cell>
          <cell r="AA39">
            <v>0.26445086705202314</v>
          </cell>
          <cell r="AC39" t="str">
            <v>NM</v>
          </cell>
          <cell r="AD39" t="str">
            <v>NM</v>
          </cell>
          <cell r="AE39" t="str">
            <v>NM</v>
          </cell>
          <cell r="AG39">
            <v>8.6956521739131709E-2</v>
          </cell>
          <cell r="AH39">
            <v>-0.18604651162790709</v>
          </cell>
          <cell r="AI39">
            <v>-9.0909090909090606E-2</v>
          </cell>
          <cell r="AK39">
            <v>0.22633744855967075</v>
          </cell>
          <cell r="AL39">
            <v>0.36170212765957444</v>
          </cell>
          <cell r="AM39">
            <v>0.24827586206896557</v>
          </cell>
          <cell r="AO39" t="str">
            <v xml:space="preserve"> 3Q</v>
          </cell>
          <cell r="AP39">
            <v>2.5896414342629459E-2</v>
          </cell>
          <cell r="AQ39">
            <v>-2.7355623100303927E-2</v>
          </cell>
          <cell r="AR39">
            <v>-4.3103448275861878E-3</v>
          </cell>
          <cell r="AT39">
            <v>1.4509803921568625</v>
          </cell>
          <cell r="AU39">
            <v>0.31016042780748676</v>
          </cell>
          <cell r="AV39">
            <v>0.82352941176470584</v>
          </cell>
          <cell r="AX39" t="str">
            <v>NM</v>
          </cell>
          <cell r="AY39" t="str">
            <v>NM</v>
          </cell>
          <cell r="AZ39" t="str">
            <v>NM</v>
          </cell>
          <cell r="BB39">
            <v>-1.8264840182648623E-2</v>
          </cell>
          <cell r="BC39">
            <v>-0.12615740740740744</v>
          </cell>
          <cell r="BD39">
            <v>-0.1043397968605726</v>
          </cell>
          <cell r="BF39">
            <v>0.26430205949656749</v>
          </cell>
          <cell r="BG39">
            <v>-4.0374488004681131E-2</v>
          </cell>
          <cell r="BH39">
            <v>6.2717770034843134E-2</v>
          </cell>
          <cell r="BJ39">
            <v>-0.4642857142857143</v>
          </cell>
          <cell r="BK39">
            <v>-0.1063829787234043</v>
          </cell>
          <cell r="BL39">
            <v>-0.13272010512483567</v>
          </cell>
          <cell r="BN39" t="str">
            <v xml:space="preserve">  NM</v>
          </cell>
          <cell r="BO39">
            <v>-0.1428571428571429</v>
          </cell>
          <cell r="BP39">
            <v>-0.11242603550295849</v>
          </cell>
          <cell r="BR39">
            <v>-0.4</v>
          </cell>
          <cell r="BS39">
            <v>-0.11363636363636365</v>
          </cell>
          <cell r="BT39">
            <v>-0.12903225806451613</v>
          </cell>
          <cell r="BV39" t="str">
            <v xml:space="preserve"> 3Q</v>
          </cell>
          <cell r="BW39" t="str">
            <v>NM</v>
          </cell>
          <cell r="BX39" t="str">
            <v>NM</v>
          </cell>
          <cell r="BY39" t="str">
            <v>NM</v>
          </cell>
          <cell r="CA39" t="str">
            <v xml:space="preserve">    NM</v>
          </cell>
          <cell r="CB39">
            <v>-0.25</v>
          </cell>
          <cell r="CC39" t="str">
            <v xml:space="preserve">    NM</v>
          </cell>
          <cell r="CE39" t="str">
            <v xml:space="preserve">   NM</v>
          </cell>
          <cell r="CF39" t="str">
            <v xml:space="preserve">  NM</v>
          </cell>
          <cell r="CG39" t="str">
            <v xml:space="preserve">   NM</v>
          </cell>
          <cell r="CI39" t="str">
            <v xml:space="preserve">    NM</v>
          </cell>
          <cell r="CJ39">
            <v>-0.5</v>
          </cell>
          <cell r="CK39" t="str">
            <v xml:space="preserve">    NM</v>
          </cell>
          <cell r="CM39">
            <v>0.56950672645739897</v>
          </cell>
          <cell r="CN39" t="str">
            <v xml:space="preserve">    NM</v>
          </cell>
          <cell r="CO39">
            <v>0.56950672645739897</v>
          </cell>
          <cell r="CQ39">
            <v>-0.2993630573248407</v>
          </cell>
          <cell r="CR39">
            <v>-0.22222222222222221</v>
          </cell>
          <cell r="CS39">
            <v>-0.27125506072874495</v>
          </cell>
          <cell r="CU39">
            <v>0.21052631578947367</v>
          </cell>
          <cell r="CV39">
            <v>-0.22222222222222221</v>
          </cell>
          <cell r="CW39">
            <v>0.12765957446808507</v>
          </cell>
          <cell r="CY39">
            <v>-0.73451327433628344</v>
          </cell>
          <cell r="CZ39">
            <v>9.0909090909091939E-2</v>
          </cell>
          <cell r="DA39">
            <v>-4.9773755656107976E-2</v>
          </cell>
          <cell r="DC39" t="str">
            <v xml:space="preserve"> 3Q</v>
          </cell>
          <cell r="DD39" t="str">
            <v xml:space="preserve">    NM</v>
          </cell>
          <cell r="DE39" t="str">
            <v xml:space="preserve">    NM</v>
          </cell>
          <cell r="DF39" t="str">
            <v xml:space="preserve">    NM</v>
          </cell>
          <cell r="DL39">
            <v>0.18944591029023747</v>
          </cell>
          <cell r="DM39">
            <v>7.0296913507804218E-2</v>
          </cell>
          <cell r="DN39">
            <v>0.13302956212491671</v>
          </cell>
          <cell r="DP39">
            <v>-3.937007874015748E-2</v>
          </cell>
          <cell r="DQ39">
            <v>2.2727272727272728E-2</v>
          </cell>
          <cell r="DR39">
            <v>-3.3003300330033004E-3</v>
          </cell>
          <cell r="DT39">
            <v>0.11267605633802817</v>
          </cell>
          <cell r="DU39">
            <v>2.7027027027027029E-2</v>
          </cell>
          <cell r="DV39">
            <v>8.3333333333333329E-2</v>
          </cell>
          <cell r="DX39">
            <v>0.15931907463989525</v>
          </cell>
          <cell r="DY39">
            <v>6.0933245704628762E-2</v>
          </cell>
          <cell r="DZ39">
            <v>0.11191531710847738</v>
          </cell>
        </row>
        <row r="40">
          <cell r="A40" t="str">
            <v xml:space="preserve"> 4Q</v>
          </cell>
          <cell r="B40">
            <v>-6.4563462949376427E-2</v>
          </cell>
          <cell r="C40" t="str">
            <v>NM</v>
          </cell>
          <cell r="D40">
            <v>-6.4563462949376427E-2</v>
          </cell>
          <cell r="F40">
            <v>0.52553763440860202</v>
          </cell>
          <cell r="G40">
            <v>0.33825565297646532</v>
          </cell>
          <cell r="H40">
            <v>0.414500683994528</v>
          </cell>
          <cell r="J40">
            <v>0.58690176322418131</v>
          </cell>
          <cell r="K40">
            <v>0.15845539280958731</v>
          </cell>
          <cell r="L40">
            <v>0.30662020905923337</v>
          </cell>
          <cell r="Q40">
            <v>-0.3442622950819636</v>
          </cell>
          <cell r="R40">
            <v>-2.506963788300931E-2</v>
          </cell>
          <cell r="S40">
            <v>-7.1428571428571397E-2</v>
          </cell>
          <cell r="U40">
            <v>0.1750856164383563</v>
          </cell>
          <cell r="V40">
            <v>0.25724748245346363</v>
          </cell>
          <cell r="W40">
            <v>0.20895710152220404</v>
          </cell>
          <cell r="Y40">
            <v>0.30655391120507391</v>
          </cell>
          <cell r="Z40">
            <v>0.26760563380281677</v>
          </cell>
          <cell r="AA40">
            <v>0.29979035639412999</v>
          </cell>
          <cell r="AC40" t="str">
            <v>NM</v>
          </cell>
          <cell r="AD40" t="str">
            <v>NM</v>
          </cell>
          <cell r="AE40" t="str">
            <v>NM</v>
          </cell>
          <cell r="AG40">
            <v>0.60000000000000009</v>
          </cell>
          <cell r="AH40">
            <v>-0.15662650602409611</v>
          </cell>
          <cell r="AI40">
            <v>1.8518518518518823E-2</v>
          </cell>
          <cell r="AK40">
            <v>0.30962343096234313</v>
          </cell>
          <cell r="AL40">
            <v>0.2068965517241379</v>
          </cell>
          <cell r="AM40">
            <v>0.28956228956228958</v>
          </cell>
          <cell r="AO40" t="str">
            <v xml:space="preserve"> 4Q</v>
          </cell>
          <cell r="AP40">
            <v>5.8358061325420429E-2</v>
          </cell>
          <cell r="AQ40">
            <v>2.1505376344086002E-2</v>
          </cell>
          <cell r="AR40">
            <v>3.7613488975356768E-2</v>
          </cell>
          <cell r="AT40">
            <v>0.78666666666666663</v>
          </cell>
          <cell r="AU40">
            <v>0.11888111888111874</v>
          </cell>
          <cell r="AV40">
            <v>0.49773071104387312</v>
          </cell>
          <cell r="AX40" t="str">
            <v>NM</v>
          </cell>
          <cell r="AY40" t="str">
            <v>NM</v>
          </cell>
          <cell r="AZ40" t="str">
            <v>NM</v>
          </cell>
          <cell r="BB40">
            <v>9.0487238979118478E-2</v>
          </cell>
          <cell r="BC40">
            <v>-4.0318001135718484E-2</v>
          </cell>
          <cell r="BD40">
            <v>-1.4598540145985495E-2</v>
          </cell>
          <cell r="BF40">
            <v>0.3138686131386863</v>
          </cell>
          <cell r="BG40">
            <v>6.8775790921595803E-3</v>
          </cell>
          <cell r="BH40">
            <v>0.12236142097134017</v>
          </cell>
          <cell r="BJ40">
            <v>-0.13043478260869568</v>
          </cell>
          <cell r="BK40">
            <v>-9.6945551128817975E-2</v>
          </cell>
          <cell r="BL40">
            <v>-9.9756690997566899E-2</v>
          </cell>
          <cell r="BN40" t="str">
            <v xml:space="preserve">  NM</v>
          </cell>
          <cell r="BO40">
            <v>8.2802547770700397E-2</v>
          </cell>
          <cell r="BP40">
            <v>7.5949367088607334E-2</v>
          </cell>
          <cell r="BR40">
            <v>-0.1428571428571429</v>
          </cell>
          <cell r="BS40">
            <v>-6.5934065934065922E-2</v>
          </cell>
          <cell r="BT40">
            <v>-7.1428571428571397E-2</v>
          </cell>
          <cell r="BV40" t="str">
            <v xml:space="preserve"> 4Q</v>
          </cell>
          <cell r="BW40" t="str">
            <v>NM</v>
          </cell>
          <cell r="BX40" t="str">
            <v>NM</v>
          </cell>
          <cell r="BY40" t="str">
            <v>NM</v>
          </cell>
          <cell r="CA40" t="str">
            <v xml:space="preserve">    NM</v>
          </cell>
          <cell r="CB40" t="str">
            <v xml:space="preserve"> NM</v>
          </cell>
          <cell r="CC40" t="str">
            <v xml:space="preserve">    NM</v>
          </cell>
          <cell r="CE40" t="str">
            <v xml:space="preserve">   NM</v>
          </cell>
          <cell r="CF40" t="str">
            <v xml:space="preserve">  NM</v>
          </cell>
          <cell r="CG40" t="str">
            <v xml:space="preserve">   NM</v>
          </cell>
          <cell r="CI40" t="str">
            <v xml:space="preserve">    NM</v>
          </cell>
          <cell r="CJ40">
            <v>0</v>
          </cell>
          <cell r="CK40" t="str">
            <v xml:space="preserve">    NM</v>
          </cell>
          <cell r="CM40">
            <v>0.61417322834645671</v>
          </cell>
          <cell r="CN40" t="str">
            <v xml:space="preserve">    NM</v>
          </cell>
          <cell r="CO40">
            <v>0.61417322834645671</v>
          </cell>
          <cell r="CQ40">
            <v>-0.53703703703703709</v>
          </cell>
          <cell r="CR40">
            <v>-0.11111111111111116</v>
          </cell>
          <cell r="CS40">
            <v>-0.41176470588235292</v>
          </cell>
          <cell r="CU40">
            <v>8.5106382978723305E-2</v>
          </cell>
          <cell r="CV40">
            <v>-0.11111111111111116</v>
          </cell>
          <cell r="CW40">
            <v>5.3571428571428603E-2</v>
          </cell>
          <cell r="CY40">
            <v>0.30434782608696609</v>
          </cell>
          <cell r="CZ40">
            <v>7.3446327683616586E-2</v>
          </cell>
          <cell r="DA40">
            <v>8.7533156498674991E-2</v>
          </cell>
          <cell r="DC40" t="str">
            <v xml:space="preserve"> 4Q</v>
          </cell>
          <cell r="DD40" t="str">
            <v xml:space="preserve">    NM</v>
          </cell>
          <cell r="DE40" t="str">
            <v xml:space="preserve">    NM</v>
          </cell>
          <cell r="DF40" t="str">
            <v xml:space="preserve">    NM</v>
          </cell>
          <cell r="DL40">
            <v>0.28064842958459979</v>
          </cell>
          <cell r="DM40">
            <v>0.10532030401737243</v>
          </cell>
          <cell r="DN40">
            <v>0.1960167714884696</v>
          </cell>
          <cell r="DP40">
            <v>-5.8333333333333334E-2</v>
          </cell>
          <cell r="DQ40">
            <v>4.6218487394957986E-2</v>
          </cell>
          <cell r="DR40">
            <v>1.11731843575419E-2</v>
          </cell>
          <cell r="DT40">
            <v>0.10204081632653061</v>
          </cell>
          <cell r="DU40">
            <v>7.8947368421052627E-2</v>
          </cell>
          <cell r="DV40">
            <v>9.1954022988505746E-2</v>
          </cell>
          <cell r="DX40">
            <v>0.23788927335640139</v>
          </cell>
          <cell r="DY40">
            <v>9.2731829573934832E-2</v>
          </cell>
          <cell r="DZ40">
            <v>0.16404589885252868</v>
          </cell>
        </row>
        <row r="42">
          <cell r="A42" t="str">
            <v xml:space="preserve">1996/95 </v>
          </cell>
          <cell r="B42">
            <v>-0.11384479717813056</v>
          </cell>
          <cell r="C42" t="str">
            <v>NM</v>
          </cell>
          <cell r="D42">
            <v>-0.11384479717813056</v>
          </cell>
          <cell r="F42">
            <v>0.5057515337423315</v>
          </cell>
          <cell r="G42">
            <v>0.35861234368697037</v>
          </cell>
          <cell r="H42">
            <v>0.41926815774915038</v>
          </cell>
          <cell r="I42" t="e">
            <v>#DIV/0!</v>
          </cell>
          <cell r="J42">
            <v>0.54085321764280536</v>
          </cell>
          <cell r="K42">
            <v>0.16454313796869302</v>
          </cell>
          <cell r="L42">
            <v>0.29055690072639218</v>
          </cell>
          <cell r="Q42">
            <v>-0.38759689922479978</v>
          </cell>
          <cell r="R42">
            <v>-6.0522696011004351E-2</v>
          </cell>
          <cell r="S42">
            <v>-0.10981308411214852</v>
          </cell>
          <cell r="U42">
            <v>0.10963345606418651</v>
          </cell>
          <cell r="V42">
            <v>0.26043993813370014</v>
          </cell>
          <cell r="W42">
            <v>0.16845986257750956</v>
          </cell>
          <cell r="Y42">
            <v>0.26711787930062036</v>
          </cell>
          <cell r="Z42">
            <v>0.39269406392694051</v>
          </cell>
          <cell r="AA42">
            <v>0.28563185227928445</v>
          </cell>
          <cell r="AC42" t="str">
            <v>NM</v>
          </cell>
          <cell r="AD42" t="str">
            <v>NM</v>
          </cell>
          <cell r="AE42" t="str">
            <v>NM</v>
          </cell>
          <cell r="AG42">
            <v>-9.7297297297297858E-2</v>
          </cell>
          <cell r="AH42">
            <v>-0.15430267062314551</v>
          </cell>
          <cell r="AI42">
            <v>-0.13409961685823779</v>
          </cell>
          <cell r="AK42">
            <v>0.25966850828729271</v>
          </cell>
          <cell r="AL42">
            <v>0.29411764705882359</v>
          </cell>
          <cell r="AM42">
            <v>0.26556776556776551</v>
          </cell>
          <cell r="AO42" t="str">
            <v xml:space="preserve">1996/95 </v>
          </cell>
          <cell r="AP42">
            <v>5.2252252252252385E-2</v>
          </cell>
          <cell r="AQ42">
            <v>2.2648439094062445E-2</v>
          </cell>
          <cell r="AR42">
            <v>3.5738675165035483E-2</v>
          </cell>
          <cell r="AT42">
            <v>0.79613526570048321</v>
          </cell>
          <cell r="AU42">
            <v>0.28103896103896098</v>
          </cell>
          <cell r="AV42">
            <v>0.54793491864831023</v>
          </cell>
          <cell r="AW42" t="e">
            <v>#DIV/0!</v>
          </cell>
          <cell r="AX42" t="str">
            <v>NM</v>
          </cell>
          <cell r="AY42" t="str">
            <v>NM</v>
          </cell>
          <cell r="AZ42" t="str">
            <v>NM</v>
          </cell>
          <cell r="BB42">
            <v>-4.6658986175114991E-2</v>
          </cell>
          <cell r="BC42">
            <v>-8.0547550432276904E-2</v>
          </cell>
          <cell r="BD42">
            <v>-7.376671277086233E-2</v>
          </cell>
          <cell r="BF42">
            <v>0.23013912365102041</v>
          </cell>
          <cell r="BG42">
            <v>6.7557750980677955E-3</v>
          </cell>
          <cell r="BH42">
            <v>8.6824812415528863E-2</v>
          </cell>
          <cell r="BJ42">
            <v>-0.2204081632653061</v>
          </cell>
          <cell r="BK42">
            <v>-6.481481481481477E-2</v>
          </cell>
          <cell r="BL42">
            <v>-7.7301015394693806E-2</v>
          </cell>
          <cell r="BN42" t="str">
            <v xml:space="preserve">  NM</v>
          </cell>
          <cell r="BO42">
            <v>-4.4303797468354444E-2</v>
          </cell>
          <cell r="BP42">
            <v>-5.3375196232339217E-2</v>
          </cell>
          <cell r="BR42">
            <v>-0.24</v>
          </cell>
          <cell r="BS42">
            <v>-6.1046511627906974E-2</v>
          </cell>
          <cell r="BT42">
            <v>-7.3170731707317027E-2</v>
          </cell>
          <cell r="BV42" t="str">
            <v xml:space="preserve">1996/95 </v>
          </cell>
          <cell r="BW42" t="str">
            <v>NM</v>
          </cell>
          <cell r="BX42" t="str">
            <v>NM</v>
          </cell>
          <cell r="BY42" t="str">
            <v>NM</v>
          </cell>
          <cell r="CA42" t="str">
            <v xml:space="preserve">    NM</v>
          </cell>
          <cell r="CB42">
            <v>-0.39047619047619042</v>
          </cell>
          <cell r="CC42" t="str">
            <v xml:space="preserve">    NM</v>
          </cell>
          <cell r="CE42" t="str">
            <v xml:space="preserve">   NM</v>
          </cell>
          <cell r="CF42" t="str">
            <v xml:space="preserve">  NM</v>
          </cell>
          <cell r="CG42" t="str">
            <v xml:space="preserve">   NM</v>
          </cell>
          <cell r="CI42" t="str">
            <v xml:space="preserve">    NM</v>
          </cell>
          <cell r="CJ42">
            <v>-0.4</v>
          </cell>
          <cell r="CK42" t="str">
            <v xml:space="preserve">    NM</v>
          </cell>
          <cell r="CM42">
            <v>0.62347188264058673</v>
          </cell>
          <cell r="CN42" t="str">
            <v xml:space="preserve">    NM</v>
          </cell>
          <cell r="CO42">
            <v>0.62347188264058673</v>
          </cell>
          <cell r="CQ42">
            <v>-0.4326923076923076</v>
          </cell>
          <cell r="CR42">
            <v>-8.5714285714285743E-2</v>
          </cell>
          <cell r="CS42">
            <v>-0.32994923857868008</v>
          </cell>
          <cell r="CU42">
            <v>9.0909090909090828E-2</v>
          </cell>
          <cell r="CV42">
            <v>-8.5714285714285743E-2</v>
          </cell>
          <cell r="CW42">
            <v>6.0000000000000053E-2</v>
          </cell>
          <cell r="CY42">
            <v>-0.24590163934426723</v>
          </cell>
          <cell r="CZ42">
            <v>6.8896853843090744E-2</v>
          </cell>
          <cell r="DA42">
            <v>5.4310672236992152E-2</v>
          </cell>
          <cell r="DC42" t="str">
            <v xml:space="preserve">1996/95 </v>
          </cell>
          <cell r="DD42" t="str">
            <v xml:space="preserve">    NM</v>
          </cell>
          <cell r="DE42" t="str">
            <v xml:space="preserve">    NM</v>
          </cell>
          <cell r="DF42" t="str">
            <v xml:space="preserve">    NM</v>
          </cell>
          <cell r="DL42">
            <v>0.20504859611231102</v>
          </cell>
          <cell r="DM42">
            <v>0.10592427616926497</v>
          </cell>
          <cell r="DN42">
            <v>0.15784487025383578</v>
          </cell>
          <cell r="DP42">
            <v>-7.9189686924493505E-2</v>
          </cell>
          <cell r="DQ42">
            <v>4.7534089460940426E-2</v>
          </cell>
          <cell r="DR42">
            <v>2.3788040357641629E-3</v>
          </cell>
          <cell r="DS42" t="e">
            <v>#DIV/0!</v>
          </cell>
          <cell r="DT42">
            <v>4.4827586206896551E-2</v>
          </cell>
          <cell r="DU42">
            <v>0.62365591397849462</v>
          </cell>
          <cell r="DV42">
            <v>0.15521628498727735</v>
          </cell>
          <cell r="DW42" t="e">
            <v>#DIV/0!</v>
          </cell>
          <cell r="DX42">
            <v>0.17757669690477285</v>
          </cell>
          <cell r="DY42">
            <v>9.3338298961873289E-2</v>
          </cell>
          <cell r="DZ42">
            <v>0.13589985720208211</v>
          </cell>
        </row>
        <row r="44">
          <cell r="A44" t="str">
            <v>1996</v>
          </cell>
          <cell r="AO44" t="str">
            <v>1996</v>
          </cell>
          <cell r="BV44" t="str">
            <v>1996</v>
          </cell>
          <cell r="DC44" t="str">
            <v>1996</v>
          </cell>
        </row>
        <row r="45">
          <cell r="A45" t="str">
            <v xml:space="preserve"> 1Q</v>
          </cell>
          <cell r="B45">
            <v>304.89999999999998</v>
          </cell>
          <cell r="C45">
            <v>0</v>
          </cell>
          <cell r="D45">
            <v>304.89999999999998</v>
          </cell>
          <cell r="F45">
            <v>174.4</v>
          </cell>
          <cell r="G45">
            <v>213.4</v>
          </cell>
          <cell r="H45">
            <v>387.8</v>
          </cell>
          <cell r="J45">
            <v>48.1</v>
          </cell>
          <cell r="K45">
            <v>73.900000000000006</v>
          </cell>
          <cell r="L45">
            <v>122</v>
          </cell>
          <cell r="Q45">
            <v>4.8000000000000682</v>
          </cell>
          <cell r="R45">
            <v>32.599999999999966</v>
          </cell>
          <cell r="S45">
            <v>37.400000000000034</v>
          </cell>
          <cell r="U45">
            <v>532.20000000000005</v>
          </cell>
          <cell r="V45">
            <v>319.89999999999998</v>
          </cell>
          <cell r="W45">
            <v>852.1</v>
          </cell>
          <cell r="Y45">
            <v>274.3</v>
          </cell>
          <cell r="Z45">
            <v>42.5</v>
          </cell>
          <cell r="AA45">
            <v>316.8</v>
          </cell>
          <cell r="AC45">
            <v>0</v>
          </cell>
          <cell r="AD45">
            <v>0</v>
          </cell>
          <cell r="AE45">
            <v>0</v>
          </cell>
          <cell r="AG45">
            <v>4.6999999999999886</v>
          </cell>
          <cell r="AH45">
            <v>7.5</v>
          </cell>
          <cell r="AI45">
            <v>12.199999999999989</v>
          </cell>
          <cell r="AK45">
            <v>279</v>
          </cell>
          <cell r="AL45">
            <v>50</v>
          </cell>
          <cell r="AM45">
            <v>329</v>
          </cell>
          <cell r="AO45" t="str">
            <v xml:space="preserve"> 1Q</v>
          </cell>
          <cell r="AP45">
            <v>97.8</v>
          </cell>
          <cell r="AQ45">
            <v>117.2</v>
          </cell>
          <cell r="AR45">
            <v>215</v>
          </cell>
          <cell r="AT45">
            <v>86.8</v>
          </cell>
          <cell r="AU45">
            <v>72.599999999999994</v>
          </cell>
          <cell r="AV45">
            <v>159.39999999999998</v>
          </cell>
          <cell r="AX45">
            <v>0</v>
          </cell>
          <cell r="AY45">
            <v>0</v>
          </cell>
          <cell r="AZ45">
            <v>0</v>
          </cell>
          <cell r="BB45">
            <v>39.5</v>
          </cell>
          <cell r="BC45">
            <v>160.09999999999997</v>
          </cell>
          <cell r="BD45">
            <v>199.59999999999997</v>
          </cell>
          <cell r="BF45">
            <v>224.1</v>
          </cell>
          <cell r="BG45">
            <v>349.9</v>
          </cell>
          <cell r="BH45">
            <v>574</v>
          </cell>
          <cell r="BJ45">
            <v>6.1</v>
          </cell>
          <cell r="BK45">
            <v>63.6</v>
          </cell>
          <cell r="BL45">
            <v>69.7</v>
          </cell>
          <cell r="BN45">
            <v>-9.9999999999999645E-2</v>
          </cell>
          <cell r="BO45">
            <v>13.399999999999999</v>
          </cell>
          <cell r="BP45">
            <v>13.299999999999999</v>
          </cell>
          <cell r="BR45">
            <v>6</v>
          </cell>
          <cell r="BS45">
            <v>77</v>
          </cell>
          <cell r="BT45">
            <v>83</v>
          </cell>
          <cell r="BV45" t="str">
            <v xml:space="preserve"> 1Q</v>
          </cell>
          <cell r="BW45">
            <v>0</v>
          </cell>
          <cell r="BX45">
            <v>0</v>
          </cell>
          <cell r="BY45">
            <v>0</v>
          </cell>
          <cell r="CA45">
            <v>24.1</v>
          </cell>
          <cell r="CB45">
            <v>1.4</v>
          </cell>
          <cell r="CC45">
            <v>25.5</v>
          </cell>
          <cell r="CE45">
            <v>2.8999999999999986</v>
          </cell>
          <cell r="CF45">
            <v>-0.39999999999999991</v>
          </cell>
          <cell r="CG45">
            <v>2.4999999999999987</v>
          </cell>
          <cell r="CI45">
            <v>27</v>
          </cell>
          <cell r="CJ45">
            <v>1</v>
          </cell>
          <cell r="CK45">
            <v>28</v>
          </cell>
          <cell r="CM45">
            <v>26.8</v>
          </cell>
          <cell r="CN45">
            <v>0</v>
          </cell>
          <cell r="CO45">
            <v>26.8</v>
          </cell>
          <cell r="CQ45">
            <v>16.2</v>
          </cell>
          <cell r="CR45">
            <v>8</v>
          </cell>
          <cell r="CS45">
            <v>24.2</v>
          </cell>
          <cell r="CU45">
            <v>43</v>
          </cell>
          <cell r="CV45">
            <v>8</v>
          </cell>
          <cell r="CW45">
            <v>51</v>
          </cell>
          <cell r="CY45">
            <v>2.1999999999999318</v>
          </cell>
          <cell r="CZ45">
            <v>63.400000000000091</v>
          </cell>
          <cell r="DA45">
            <v>65.600000000000023</v>
          </cell>
          <cell r="DC45" t="str">
            <v xml:space="preserve"> 1Q</v>
          </cell>
          <cell r="DD45">
            <v>0</v>
          </cell>
          <cell r="DE45">
            <v>0</v>
          </cell>
          <cell r="DF45">
            <v>0</v>
          </cell>
          <cell r="DL45">
            <v>1113.5</v>
          </cell>
          <cell r="DM45">
            <v>869.2</v>
          </cell>
          <cell r="DN45">
            <v>1982.7</v>
          </cell>
          <cell r="DP45">
            <v>81</v>
          </cell>
          <cell r="DQ45">
            <v>186</v>
          </cell>
          <cell r="DR45">
            <v>267</v>
          </cell>
          <cell r="DT45">
            <v>85</v>
          </cell>
          <cell r="DU45">
            <v>31</v>
          </cell>
          <cell r="DV45">
            <v>116</v>
          </cell>
          <cell r="DX45">
            <v>1279.5</v>
          </cell>
          <cell r="DY45">
            <v>1086.2</v>
          </cell>
          <cell r="DZ45">
            <v>2365.6999999999998</v>
          </cell>
        </row>
        <row r="46">
          <cell r="A46" t="str">
            <v xml:space="preserve"> 2Q</v>
          </cell>
          <cell r="B46">
            <v>196</v>
          </cell>
          <cell r="C46">
            <v>0</v>
          </cell>
          <cell r="D46">
            <v>196</v>
          </cell>
          <cell r="F46">
            <v>173</v>
          </cell>
          <cell r="G46">
            <v>247</v>
          </cell>
          <cell r="H46">
            <v>420</v>
          </cell>
          <cell r="J46">
            <v>46</v>
          </cell>
          <cell r="K46">
            <v>80</v>
          </cell>
          <cell r="L46">
            <v>126</v>
          </cell>
          <cell r="Q46">
            <v>3</v>
          </cell>
          <cell r="R46">
            <v>35</v>
          </cell>
          <cell r="S46">
            <v>38</v>
          </cell>
          <cell r="U46">
            <v>418</v>
          </cell>
          <cell r="V46">
            <v>362</v>
          </cell>
          <cell r="W46">
            <v>780</v>
          </cell>
          <cell r="Y46">
            <v>247</v>
          </cell>
          <cell r="Z46">
            <v>51</v>
          </cell>
          <cell r="AA46">
            <v>298</v>
          </cell>
          <cell r="AC46">
            <v>0</v>
          </cell>
          <cell r="AD46">
            <v>0</v>
          </cell>
          <cell r="AE46">
            <v>0</v>
          </cell>
          <cell r="AG46">
            <v>3</v>
          </cell>
          <cell r="AH46">
            <v>7</v>
          </cell>
          <cell r="AI46">
            <v>10</v>
          </cell>
          <cell r="AK46">
            <v>250</v>
          </cell>
          <cell r="AL46">
            <v>58</v>
          </cell>
          <cell r="AM46">
            <v>308</v>
          </cell>
          <cell r="AO46" t="str">
            <v xml:space="preserve"> 2Q</v>
          </cell>
          <cell r="AP46">
            <v>101</v>
          </cell>
          <cell r="AQ46">
            <v>123</v>
          </cell>
          <cell r="AR46">
            <v>224</v>
          </cell>
          <cell r="AT46">
            <v>76</v>
          </cell>
          <cell r="AU46">
            <v>61</v>
          </cell>
          <cell r="AV46">
            <v>137</v>
          </cell>
          <cell r="AX46">
            <v>0</v>
          </cell>
          <cell r="AY46">
            <v>0</v>
          </cell>
          <cell r="AZ46">
            <v>0</v>
          </cell>
          <cell r="BB46">
            <v>36</v>
          </cell>
          <cell r="BC46">
            <v>158</v>
          </cell>
          <cell r="BD46">
            <v>194</v>
          </cell>
          <cell r="BF46">
            <v>213</v>
          </cell>
          <cell r="BG46">
            <v>342</v>
          </cell>
          <cell r="BH46">
            <v>555</v>
          </cell>
          <cell r="BJ46">
            <v>4</v>
          </cell>
          <cell r="BK46">
            <v>68</v>
          </cell>
          <cell r="BL46">
            <v>72</v>
          </cell>
          <cell r="BN46">
            <v>0</v>
          </cell>
          <cell r="BO46">
            <v>15</v>
          </cell>
          <cell r="BP46">
            <v>15</v>
          </cell>
          <cell r="BR46">
            <v>4</v>
          </cell>
          <cell r="BS46">
            <v>83</v>
          </cell>
          <cell r="BT46">
            <v>87</v>
          </cell>
          <cell r="BV46" t="str">
            <v xml:space="preserve"> 2Q</v>
          </cell>
          <cell r="BW46">
            <v>0</v>
          </cell>
          <cell r="BX46">
            <v>0</v>
          </cell>
          <cell r="BY46">
            <v>0</v>
          </cell>
          <cell r="CA46">
            <v>34</v>
          </cell>
          <cell r="CB46">
            <v>2</v>
          </cell>
          <cell r="CC46">
            <v>36</v>
          </cell>
          <cell r="CE46">
            <v>2</v>
          </cell>
          <cell r="CF46">
            <v>0</v>
          </cell>
          <cell r="CG46">
            <v>2</v>
          </cell>
          <cell r="CI46">
            <v>36</v>
          </cell>
          <cell r="CJ46">
            <v>2</v>
          </cell>
          <cell r="CK46">
            <v>38</v>
          </cell>
          <cell r="CM46">
            <v>30</v>
          </cell>
          <cell r="CN46">
            <v>0</v>
          </cell>
          <cell r="CO46">
            <v>30</v>
          </cell>
          <cell r="CQ46">
            <v>10</v>
          </cell>
          <cell r="CR46">
            <v>9</v>
          </cell>
          <cell r="CS46">
            <v>19</v>
          </cell>
          <cell r="CU46">
            <v>40</v>
          </cell>
          <cell r="CV46">
            <v>9</v>
          </cell>
          <cell r="CW46">
            <v>49</v>
          </cell>
          <cell r="CY46">
            <v>-2</v>
          </cell>
          <cell r="CZ46">
            <v>69</v>
          </cell>
          <cell r="DA46">
            <v>67</v>
          </cell>
          <cell r="DC46" t="str">
            <v xml:space="preserve"> 2Q</v>
          </cell>
          <cell r="DD46">
            <v>0</v>
          </cell>
          <cell r="DE46">
            <v>0</v>
          </cell>
          <cell r="DF46">
            <v>0</v>
          </cell>
          <cell r="DL46">
            <v>959</v>
          </cell>
          <cell r="DM46">
            <v>925</v>
          </cell>
          <cell r="DN46">
            <v>1884</v>
          </cell>
          <cell r="DP46">
            <v>84</v>
          </cell>
          <cell r="DQ46">
            <v>207</v>
          </cell>
          <cell r="DR46">
            <v>291</v>
          </cell>
          <cell r="DT46">
            <v>85</v>
          </cell>
          <cell r="DU46">
            <v>41</v>
          </cell>
          <cell r="DV46">
            <v>126</v>
          </cell>
          <cell r="DX46">
            <v>1128</v>
          </cell>
          <cell r="DY46">
            <v>1173</v>
          </cell>
          <cell r="DZ46">
            <v>2301</v>
          </cell>
        </row>
        <row r="47">
          <cell r="A47" t="str">
            <v xml:space="preserve"> 3Q</v>
          </cell>
          <cell r="B47">
            <v>249</v>
          </cell>
          <cell r="C47">
            <v>0</v>
          </cell>
          <cell r="D47">
            <v>249</v>
          </cell>
          <cell r="F47">
            <v>211</v>
          </cell>
          <cell r="G47">
            <v>260</v>
          </cell>
          <cell r="H47">
            <v>471</v>
          </cell>
          <cell r="J47">
            <v>56</v>
          </cell>
          <cell r="K47">
            <v>79</v>
          </cell>
          <cell r="L47">
            <v>135</v>
          </cell>
          <cell r="Q47">
            <v>4</v>
          </cell>
          <cell r="R47">
            <v>34</v>
          </cell>
          <cell r="S47">
            <v>38</v>
          </cell>
          <cell r="U47">
            <v>520</v>
          </cell>
          <cell r="V47">
            <v>373</v>
          </cell>
          <cell r="W47">
            <v>893</v>
          </cell>
          <cell r="Y47">
            <v>293</v>
          </cell>
          <cell r="Z47">
            <v>57</v>
          </cell>
          <cell r="AA47">
            <v>350</v>
          </cell>
          <cell r="AC47">
            <v>0</v>
          </cell>
          <cell r="AD47">
            <v>0</v>
          </cell>
          <cell r="AE47">
            <v>0</v>
          </cell>
          <cell r="AG47">
            <v>5</v>
          </cell>
          <cell r="AH47">
            <v>7</v>
          </cell>
          <cell r="AI47">
            <v>12</v>
          </cell>
          <cell r="AK47">
            <v>298</v>
          </cell>
          <cell r="AL47">
            <v>64</v>
          </cell>
          <cell r="AM47">
            <v>362</v>
          </cell>
          <cell r="AO47" t="str">
            <v xml:space="preserve"> 3Q</v>
          </cell>
          <cell r="AP47">
            <v>103</v>
          </cell>
          <cell r="AQ47">
            <v>128</v>
          </cell>
          <cell r="AR47">
            <v>231</v>
          </cell>
          <cell r="AT47">
            <v>75</v>
          </cell>
          <cell r="AU47">
            <v>49</v>
          </cell>
          <cell r="AV47">
            <v>124</v>
          </cell>
          <cell r="AX47">
            <v>0</v>
          </cell>
          <cell r="AY47">
            <v>0</v>
          </cell>
          <cell r="AZ47">
            <v>0</v>
          </cell>
          <cell r="BB47">
            <v>43</v>
          </cell>
          <cell r="BC47">
            <v>151</v>
          </cell>
          <cell r="BD47">
            <v>194</v>
          </cell>
          <cell r="BF47">
            <v>221</v>
          </cell>
          <cell r="BG47">
            <v>328</v>
          </cell>
          <cell r="BH47">
            <v>549</v>
          </cell>
          <cell r="BJ47">
            <v>3</v>
          </cell>
          <cell r="BK47">
            <v>63</v>
          </cell>
          <cell r="BL47">
            <v>66</v>
          </cell>
          <cell r="BN47">
            <v>0</v>
          </cell>
          <cell r="BO47">
            <v>15</v>
          </cell>
          <cell r="BP47">
            <v>15</v>
          </cell>
          <cell r="BR47">
            <v>3</v>
          </cell>
          <cell r="BS47">
            <v>78</v>
          </cell>
          <cell r="BT47">
            <v>81</v>
          </cell>
          <cell r="BV47" t="str">
            <v xml:space="preserve"> 3Q</v>
          </cell>
          <cell r="BW47">
            <v>0</v>
          </cell>
          <cell r="BX47">
            <v>0</v>
          </cell>
          <cell r="BY47">
            <v>0</v>
          </cell>
          <cell r="CA47">
            <v>33</v>
          </cell>
          <cell r="CB47">
            <v>3</v>
          </cell>
          <cell r="CC47">
            <v>36</v>
          </cell>
          <cell r="CE47">
            <v>3</v>
          </cell>
          <cell r="CF47">
            <v>-1</v>
          </cell>
          <cell r="CG47">
            <v>2</v>
          </cell>
          <cell r="CI47">
            <v>36</v>
          </cell>
          <cell r="CJ47">
            <v>2</v>
          </cell>
          <cell r="CK47">
            <v>38</v>
          </cell>
          <cell r="CM47">
            <v>35</v>
          </cell>
          <cell r="CN47">
            <v>0</v>
          </cell>
          <cell r="CO47">
            <v>35</v>
          </cell>
          <cell r="CQ47">
            <v>11</v>
          </cell>
          <cell r="CR47">
            <v>7</v>
          </cell>
          <cell r="CS47">
            <v>18</v>
          </cell>
          <cell r="CU47">
            <v>46</v>
          </cell>
          <cell r="CV47">
            <v>7</v>
          </cell>
          <cell r="CW47">
            <v>53</v>
          </cell>
          <cell r="CY47">
            <v>3</v>
          </cell>
          <cell r="CZ47">
            <v>60</v>
          </cell>
          <cell r="DA47">
            <v>63</v>
          </cell>
          <cell r="DC47" t="str">
            <v xml:space="preserve"> 3Q</v>
          </cell>
          <cell r="DD47">
            <v>0</v>
          </cell>
          <cell r="DE47">
            <v>0</v>
          </cell>
          <cell r="DF47">
            <v>0</v>
          </cell>
          <cell r="DL47">
            <v>1127</v>
          </cell>
          <cell r="DM47">
            <v>912</v>
          </cell>
          <cell r="DN47">
            <v>2039</v>
          </cell>
          <cell r="DP47">
            <v>122</v>
          </cell>
          <cell r="DQ47">
            <v>180</v>
          </cell>
          <cell r="DR47">
            <v>302</v>
          </cell>
          <cell r="DT47">
            <v>79</v>
          </cell>
          <cell r="DU47">
            <v>38</v>
          </cell>
          <cell r="DV47">
            <v>117</v>
          </cell>
          <cell r="DX47">
            <v>1328</v>
          </cell>
          <cell r="DY47">
            <v>1130</v>
          </cell>
          <cell r="DZ47">
            <v>2458</v>
          </cell>
        </row>
        <row r="48">
          <cell r="A48" t="str">
            <v xml:space="preserve"> 4Q</v>
          </cell>
          <cell r="B48">
            <v>255</v>
          </cell>
          <cell r="C48">
            <v>0</v>
          </cell>
          <cell r="D48">
            <v>255</v>
          </cell>
          <cell r="F48">
            <v>227</v>
          </cell>
          <cell r="G48">
            <v>290</v>
          </cell>
          <cell r="H48">
            <v>517</v>
          </cell>
          <cell r="J48">
            <v>63</v>
          </cell>
          <cell r="K48">
            <v>87</v>
          </cell>
          <cell r="L48">
            <v>150</v>
          </cell>
          <cell r="Q48">
            <v>4</v>
          </cell>
          <cell r="R48">
            <v>35</v>
          </cell>
          <cell r="S48">
            <v>39</v>
          </cell>
          <cell r="U48">
            <v>549</v>
          </cell>
          <cell r="V48">
            <v>412</v>
          </cell>
          <cell r="W48">
            <v>961</v>
          </cell>
          <cell r="Y48">
            <v>309</v>
          </cell>
          <cell r="Z48">
            <v>63</v>
          </cell>
          <cell r="AA48">
            <v>372</v>
          </cell>
          <cell r="AC48">
            <v>0</v>
          </cell>
          <cell r="AD48">
            <v>0</v>
          </cell>
          <cell r="AE48">
            <v>0</v>
          </cell>
          <cell r="AG48">
            <v>4</v>
          </cell>
          <cell r="AH48">
            <v>7</v>
          </cell>
          <cell r="AI48">
            <v>11</v>
          </cell>
          <cell r="AK48">
            <v>313</v>
          </cell>
          <cell r="AL48">
            <v>70</v>
          </cell>
          <cell r="AM48">
            <v>383</v>
          </cell>
          <cell r="AO48" t="str">
            <v xml:space="preserve"> 4Q</v>
          </cell>
          <cell r="AP48">
            <v>107</v>
          </cell>
          <cell r="AQ48">
            <v>133</v>
          </cell>
          <cell r="AR48">
            <v>240</v>
          </cell>
          <cell r="AT48">
            <v>134</v>
          </cell>
          <cell r="AU48">
            <v>64</v>
          </cell>
          <cell r="AV48">
            <v>198</v>
          </cell>
          <cell r="AX48">
            <v>0</v>
          </cell>
          <cell r="AY48">
            <v>0</v>
          </cell>
          <cell r="AZ48">
            <v>0</v>
          </cell>
          <cell r="BB48">
            <v>47</v>
          </cell>
          <cell r="BC48">
            <v>169</v>
          </cell>
          <cell r="BD48">
            <v>216</v>
          </cell>
          <cell r="BF48">
            <v>288</v>
          </cell>
          <cell r="BG48">
            <v>366</v>
          </cell>
          <cell r="BH48">
            <v>654</v>
          </cell>
          <cell r="BJ48">
            <v>6</v>
          </cell>
          <cell r="BK48">
            <v>68</v>
          </cell>
          <cell r="BL48">
            <v>74</v>
          </cell>
          <cell r="BN48">
            <v>0</v>
          </cell>
          <cell r="BO48">
            <v>17</v>
          </cell>
          <cell r="BP48">
            <v>17</v>
          </cell>
          <cell r="BR48">
            <v>6</v>
          </cell>
          <cell r="BS48">
            <v>85</v>
          </cell>
          <cell r="BT48">
            <v>91</v>
          </cell>
          <cell r="BV48" t="str">
            <v xml:space="preserve"> 4Q</v>
          </cell>
          <cell r="BW48">
            <v>0</v>
          </cell>
          <cell r="BX48">
            <v>0</v>
          </cell>
          <cell r="BY48">
            <v>0</v>
          </cell>
          <cell r="CA48">
            <v>49</v>
          </cell>
          <cell r="CB48">
            <v>0</v>
          </cell>
          <cell r="CC48">
            <v>49</v>
          </cell>
          <cell r="CE48">
            <v>2</v>
          </cell>
          <cell r="CF48">
            <v>1</v>
          </cell>
          <cell r="CG48">
            <v>3</v>
          </cell>
          <cell r="CI48">
            <v>51</v>
          </cell>
          <cell r="CJ48">
            <v>1</v>
          </cell>
          <cell r="CK48">
            <v>52</v>
          </cell>
          <cell r="CM48">
            <v>41</v>
          </cell>
          <cell r="CN48">
            <v>0</v>
          </cell>
          <cell r="CO48">
            <v>41</v>
          </cell>
          <cell r="CQ48">
            <v>10</v>
          </cell>
          <cell r="CR48">
            <v>8</v>
          </cell>
          <cell r="CS48">
            <v>18</v>
          </cell>
          <cell r="CU48">
            <v>51</v>
          </cell>
          <cell r="CV48">
            <v>8</v>
          </cell>
          <cell r="CW48">
            <v>59</v>
          </cell>
          <cell r="CY48">
            <v>6</v>
          </cell>
          <cell r="CZ48">
            <v>76</v>
          </cell>
          <cell r="DA48">
            <v>82</v>
          </cell>
          <cell r="DC48" t="str">
            <v xml:space="preserve"> 4Q</v>
          </cell>
          <cell r="DD48">
            <v>0</v>
          </cell>
          <cell r="DE48">
            <v>0</v>
          </cell>
          <cell r="DF48">
            <v>0</v>
          </cell>
          <cell r="DL48">
            <v>1264</v>
          </cell>
          <cell r="DM48">
            <v>1018</v>
          </cell>
          <cell r="DN48">
            <v>2282</v>
          </cell>
          <cell r="DP48">
            <v>113</v>
          </cell>
          <cell r="DQ48">
            <v>249</v>
          </cell>
          <cell r="DR48">
            <v>362</v>
          </cell>
          <cell r="DT48">
            <v>54</v>
          </cell>
          <cell r="DU48">
            <v>41</v>
          </cell>
          <cell r="DV48">
            <v>95</v>
          </cell>
          <cell r="DX48">
            <v>1431</v>
          </cell>
          <cell r="DY48">
            <v>1308</v>
          </cell>
          <cell r="DZ48">
            <v>2739</v>
          </cell>
        </row>
        <row r="49">
          <cell r="CW49">
            <v>0</v>
          </cell>
        </row>
        <row r="50">
          <cell r="A50" t="str">
            <v>1996</v>
          </cell>
          <cell r="B50">
            <v>1004.9</v>
          </cell>
          <cell r="C50">
            <v>0</v>
          </cell>
          <cell r="D50">
            <v>1004.9</v>
          </cell>
          <cell r="F50">
            <v>785.4</v>
          </cell>
          <cell r="G50">
            <v>1010.4</v>
          </cell>
          <cell r="H50">
            <v>1795.8</v>
          </cell>
          <cell r="I50">
            <v>0</v>
          </cell>
          <cell r="J50">
            <v>213.1</v>
          </cell>
          <cell r="K50">
            <v>319.89999999999998</v>
          </cell>
          <cell r="L50">
            <v>533</v>
          </cell>
          <cell r="P50">
            <v>0</v>
          </cell>
          <cell r="Q50">
            <v>15.800000000000068</v>
          </cell>
          <cell r="R50">
            <v>136.59999999999997</v>
          </cell>
          <cell r="S50">
            <v>152.40000000000003</v>
          </cell>
          <cell r="T50">
            <v>0</v>
          </cell>
          <cell r="U50">
            <v>2019.2</v>
          </cell>
          <cell r="V50">
            <v>1466.9</v>
          </cell>
          <cell r="W50">
            <v>3486.1</v>
          </cell>
          <cell r="X50">
            <v>0</v>
          </cell>
          <cell r="Y50">
            <v>1123.3</v>
          </cell>
          <cell r="Z50">
            <v>213.5</v>
          </cell>
          <cell r="AA50">
            <v>1336.8</v>
          </cell>
          <cell r="AC50">
            <v>0</v>
          </cell>
          <cell r="AD50">
            <v>0</v>
          </cell>
          <cell r="AE50">
            <v>0</v>
          </cell>
          <cell r="AG50">
            <v>16.699999999999989</v>
          </cell>
          <cell r="AH50">
            <v>28.5</v>
          </cell>
          <cell r="AI50">
            <v>45.199999999999989</v>
          </cell>
          <cell r="AK50">
            <v>1140</v>
          </cell>
          <cell r="AL50">
            <v>242</v>
          </cell>
          <cell r="AM50">
            <v>1382</v>
          </cell>
          <cell r="AO50" t="str">
            <v>Year</v>
          </cell>
          <cell r="AP50">
            <v>408.8</v>
          </cell>
          <cell r="AQ50">
            <v>501.2</v>
          </cell>
          <cell r="AR50">
            <v>910</v>
          </cell>
          <cell r="AT50">
            <v>371.8</v>
          </cell>
          <cell r="AU50">
            <v>246.6</v>
          </cell>
          <cell r="AV50">
            <v>618.4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B50">
            <v>165.5</v>
          </cell>
          <cell r="BC50">
            <v>638.09999999999991</v>
          </cell>
          <cell r="BD50">
            <v>803.59999999999991</v>
          </cell>
          <cell r="BE50">
            <v>0</v>
          </cell>
          <cell r="BF50">
            <v>946.1</v>
          </cell>
          <cell r="BG50">
            <v>1385.9</v>
          </cell>
          <cell r="BH50">
            <v>2332</v>
          </cell>
          <cell r="BI50">
            <v>0</v>
          </cell>
          <cell r="BJ50">
            <v>19.100000000000001</v>
          </cell>
          <cell r="BK50">
            <v>262.60000000000002</v>
          </cell>
          <cell r="BL50">
            <v>281.7</v>
          </cell>
          <cell r="BM50">
            <v>0</v>
          </cell>
          <cell r="BN50">
            <v>-9.9999999999999645E-2</v>
          </cell>
          <cell r="BO50">
            <v>60.4</v>
          </cell>
          <cell r="BP50">
            <v>60.3</v>
          </cell>
          <cell r="BQ50">
            <v>0</v>
          </cell>
          <cell r="BR50">
            <v>19</v>
          </cell>
          <cell r="BS50">
            <v>323</v>
          </cell>
          <cell r="BT50">
            <v>342</v>
          </cell>
          <cell r="BV50" t="str">
            <v>1996</v>
          </cell>
          <cell r="BW50">
            <v>0</v>
          </cell>
          <cell r="BX50">
            <v>0</v>
          </cell>
          <cell r="BY50">
            <v>0</v>
          </cell>
          <cell r="CA50">
            <v>140.1</v>
          </cell>
          <cell r="CB50">
            <v>6.4</v>
          </cell>
          <cell r="CC50">
            <v>146.5</v>
          </cell>
          <cell r="CE50">
            <v>9.8999999999999986</v>
          </cell>
          <cell r="CF50">
            <v>-0.39999999999999991</v>
          </cell>
          <cell r="CG50">
            <v>9.4999999999999982</v>
          </cell>
          <cell r="CI50">
            <v>150</v>
          </cell>
          <cell r="CJ50">
            <v>6</v>
          </cell>
          <cell r="CK50">
            <v>156</v>
          </cell>
          <cell r="CM50">
            <v>132.80000000000001</v>
          </cell>
          <cell r="CN50">
            <v>0</v>
          </cell>
          <cell r="CO50">
            <v>132.80000000000001</v>
          </cell>
          <cell r="CQ50">
            <v>47.2</v>
          </cell>
          <cell r="CR50">
            <v>32</v>
          </cell>
          <cell r="CS50">
            <v>79.2</v>
          </cell>
          <cell r="CU50">
            <v>180</v>
          </cell>
          <cell r="CV50">
            <v>32</v>
          </cell>
          <cell r="CW50">
            <v>212</v>
          </cell>
          <cell r="CY50">
            <v>9.1999999999999318</v>
          </cell>
          <cell r="CZ50">
            <v>268.40000000000009</v>
          </cell>
          <cell r="DA50">
            <v>277.60000000000002</v>
          </cell>
          <cell r="DC50" t="str">
            <v>1996</v>
          </cell>
          <cell r="DD50">
            <v>0</v>
          </cell>
          <cell r="DE50">
            <v>0</v>
          </cell>
          <cell r="DF50">
            <v>0</v>
          </cell>
          <cell r="DL50">
            <v>4463.5</v>
          </cell>
          <cell r="DM50">
            <v>3724.2</v>
          </cell>
          <cell r="DN50">
            <v>8187.7</v>
          </cell>
          <cell r="DP50">
            <v>400</v>
          </cell>
          <cell r="DQ50">
            <v>822</v>
          </cell>
          <cell r="DR50">
            <v>1222</v>
          </cell>
          <cell r="DT50">
            <v>303</v>
          </cell>
          <cell r="DU50">
            <v>151</v>
          </cell>
          <cell r="DV50">
            <v>454</v>
          </cell>
          <cell r="DX50">
            <v>5166.5</v>
          </cell>
          <cell r="DY50">
            <v>4697.2</v>
          </cell>
          <cell r="DZ50">
            <v>9863.7000000000007</v>
          </cell>
        </row>
        <row r="52">
          <cell r="A52" t="str">
            <v xml:space="preserve">1997/96 </v>
          </cell>
          <cell r="AO52" t="str">
            <v xml:space="preserve">1997/96 </v>
          </cell>
          <cell r="BV52" t="str">
            <v xml:space="preserve">1997/96 </v>
          </cell>
          <cell r="DC52" t="str">
            <v xml:space="preserve">1997/96 </v>
          </cell>
        </row>
        <row r="53">
          <cell r="A53" t="str">
            <v xml:space="preserve"> 1Q</v>
          </cell>
          <cell r="B53">
            <v>-0.21613643817645123</v>
          </cell>
          <cell r="C53" t="str">
            <v>NM</v>
          </cell>
          <cell r="D53">
            <v>-0.21613643817645123</v>
          </cell>
          <cell r="F53">
            <v>0.25573394495412849</v>
          </cell>
          <cell r="G53">
            <v>0.30740393626991569</v>
          </cell>
          <cell r="H53">
            <v>0.28416709644146465</v>
          </cell>
          <cell r="J53">
            <v>0.45530145530145516</v>
          </cell>
          <cell r="K53">
            <v>0.13667117726657629</v>
          </cell>
          <cell r="L53">
            <v>0.26229508196721318</v>
          </cell>
          <cell r="Q53">
            <v>-0.37500000000000888</v>
          </cell>
          <cell r="R53">
            <v>-0.14110429447852668</v>
          </cell>
          <cell r="S53">
            <v>-0.17112299465240721</v>
          </cell>
          <cell r="U53">
            <v>-2.2547914317926354E-3</v>
          </cell>
          <cell r="V53">
            <v>0.22225695529853096</v>
          </cell>
          <cell r="W53">
            <v>8.2032625278723126E-2</v>
          </cell>
          <cell r="Y53">
            <v>0.21764491432737865</v>
          </cell>
          <cell r="Z53">
            <v>0.41176470588235303</v>
          </cell>
          <cell r="AA53">
            <v>0.24368686868686873</v>
          </cell>
          <cell r="AC53" t="str">
            <v>NM</v>
          </cell>
          <cell r="AD53" t="str">
            <v>NM</v>
          </cell>
          <cell r="AE53" t="str">
            <v>NM</v>
          </cell>
          <cell r="AG53">
            <v>-0.14893617021276395</v>
          </cell>
          <cell r="AH53">
            <v>-0.19999999999999996</v>
          </cell>
          <cell r="AI53">
            <v>-0.18032786885245822</v>
          </cell>
          <cell r="AK53">
            <v>0.21146953405017932</v>
          </cell>
          <cell r="AL53">
            <v>0.32000000000000006</v>
          </cell>
          <cell r="AM53">
            <v>0.22796352583586632</v>
          </cell>
          <cell r="AO53" t="str">
            <v xml:space="preserve"> 1Q</v>
          </cell>
          <cell r="AP53">
            <v>2.249488752556239E-2</v>
          </cell>
          <cell r="AQ53">
            <v>6.8259385665527805E-3</v>
          </cell>
          <cell r="AR53">
            <v>1.3953488372093092E-2</v>
          </cell>
          <cell r="AT53">
            <v>1.0852534562211984</v>
          </cell>
          <cell r="AU53">
            <v>0.14325068870523427</v>
          </cell>
          <cell r="AV53">
            <v>0.65621079046424113</v>
          </cell>
          <cell r="AX53" t="str">
            <v>NM</v>
          </cell>
          <cell r="AY53" t="str">
            <v>NM</v>
          </cell>
          <cell r="AZ53" t="str">
            <v>NM</v>
          </cell>
          <cell r="BB53">
            <v>0.11392405063291133</v>
          </cell>
          <cell r="BC53">
            <v>-2.5608994378513272E-2</v>
          </cell>
          <cell r="BD53">
            <v>2.0040080160321772E-3</v>
          </cell>
          <cell r="BF53">
            <v>0.45024542614904073</v>
          </cell>
          <cell r="BG53">
            <v>2.0291511860531575E-2</v>
          </cell>
          <cell r="BH53">
            <v>0.18815331010452963</v>
          </cell>
          <cell r="BJ53">
            <v>-0.50819672131147531</v>
          </cell>
          <cell r="BK53">
            <v>-0.13522012578616349</v>
          </cell>
          <cell r="BL53">
            <v>-0.16786226685796268</v>
          </cell>
          <cell r="BM53" t="e">
            <v>#DIV/0!</v>
          </cell>
          <cell r="BN53" t="str">
            <v xml:space="preserve">  NM</v>
          </cell>
          <cell r="BO53">
            <v>-0.4776119402985074</v>
          </cell>
          <cell r="BP53">
            <v>-0.47368421052631571</v>
          </cell>
          <cell r="BQ53" t="e">
            <v>#DIV/0!</v>
          </cell>
          <cell r="BR53">
            <v>-0.5</v>
          </cell>
          <cell r="BS53">
            <v>-0.19480519480519476</v>
          </cell>
          <cell r="BT53">
            <v>-0.2168674698795181</v>
          </cell>
          <cell r="BV53" t="str">
            <v xml:space="preserve"> 1Q</v>
          </cell>
          <cell r="BW53" t="str">
            <v>NM</v>
          </cell>
          <cell r="BX53" t="str">
            <v>NM</v>
          </cell>
          <cell r="BY53" t="str">
            <v>NM</v>
          </cell>
          <cell r="CA53">
            <v>1.1161825726141079</v>
          </cell>
          <cell r="CB53">
            <v>-0.2857142857142857</v>
          </cell>
          <cell r="CC53">
            <v>1.0392156862745097</v>
          </cell>
          <cell r="CE53" t="str">
            <v xml:space="preserve">  NM</v>
          </cell>
          <cell r="CF53" t="str">
            <v xml:space="preserve">  NM</v>
          </cell>
          <cell r="CG53" t="str">
            <v xml:space="preserve">  NM</v>
          </cell>
          <cell r="CI53">
            <v>0.96296296296296302</v>
          </cell>
          <cell r="CJ53">
            <v>0</v>
          </cell>
          <cell r="CK53">
            <v>0.9285714285714286</v>
          </cell>
          <cell r="CM53">
            <v>0.49253731343283569</v>
          </cell>
          <cell r="CN53" t="str">
            <v xml:space="preserve">  NM</v>
          </cell>
          <cell r="CO53">
            <v>0.49253731343283569</v>
          </cell>
          <cell r="CQ53">
            <v>-0.50617283950617287</v>
          </cell>
          <cell r="CR53">
            <v>0.125</v>
          </cell>
          <cell r="CS53">
            <v>-0.2975206611570248</v>
          </cell>
          <cell r="CU53">
            <v>0.11627906976744184</v>
          </cell>
          <cell r="CV53">
            <v>0.125</v>
          </cell>
          <cell r="CW53">
            <v>0.11764705882352944</v>
          </cell>
          <cell r="CY53">
            <v>0.36363636363640595</v>
          </cell>
          <cell r="CZ53">
            <v>0.11987381703469868</v>
          </cell>
          <cell r="DA53">
            <v>0.12804878048780455</v>
          </cell>
          <cell r="DC53" t="str">
            <v xml:space="preserve"> 1Q</v>
          </cell>
          <cell r="DD53" t="str">
            <v xml:space="preserve">    NM</v>
          </cell>
          <cell r="DE53" t="str">
            <v xml:space="preserve">    NM</v>
          </cell>
          <cell r="DF53" t="str">
            <v xml:space="preserve">    NM</v>
          </cell>
          <cell r="DL53">
            <v>0.16748989672204759</v>
          </cell>
          <cell r="DM53">
            <v>0.10101242521859174</v>
          </cell>
          <cell r="DN53">
            <v>0.13834669894588186</v>
          </cell>
          <cell r="DP53">
            <v>0.22222222222222221</v>
          </cell>
          <cell r="DQ53">
            <v>5.3763440860215055E-2</v>
          </cell>
          <cell r="DR53">
            <v>0.10486891385767791</v>
          </cell>
          <cell r="DT53">
            <v>0.15294117647058825</v>
          </cell>
          <cell r="DU53">
            <v>9.6774193548387094E-2</v>
          </cell>
          <cell r="DV53">
            <v>0.13793103448275862</v>
          </cell>
          <cell r="DX53">
            <v>0.16998827667057445</v>
          </cell>
          <cell r="DY53">
            <v>9.280058921009017E-2</v>
          </cell>
          <cell r="DZ53">
            <v>0.13454791393667845</v>
          </cell>
        </row>
        <row r="54">
          <cell r="A54" t="str">
            <v xml:space="preserve"> 2Q</v>
          </cell>
          <cell r="B54">
            <v>-0.1428571428571429</v>
          </cell>
          <cell r="C54" t="str">
            <v>NM</v>
          </cell>
          <cell r="D54">
            <v>-0.1428571428571429</v>
          </cell>
          <cell r="F54">
            <v>0.24277456647398843</v>
          </cell>
          <cell r="G54">
            <v>0.23886639676113353</v>
          </cell>
          <cell r="H54">
            <v>0.24047619047619051</v>
          </cell>
          <cell r="J54">
            <v>0.34782608695652173</v>
          </cell>
          <cell r="K54">
            <v>7.4999999999999956E-2</v>
          </cell>
          <cell r="L54">
            <v>0.17460317460317465</v>
          </cell>
          <cell r="Q54">
            <v>0</v>
          </cell>
          <cell r="R54">
            <v>-5.7142857142857162E-2</v>
          </cell>
          <cell r="S54">
            <v>-5.2631578947368474E-2</v>
          </cell>
          <cell r="U54">
            <v>7.1770334928229707E-2</v>
          </cell>
          <cell r="V54">
            <v>0.17403314917127077</v>
          </cell>
          <cell r="W54">
            <v>0.11923076923076925</v>
          </cell>
          <cell r="Y54">
            <v>1.6194331983805599E-2</v>
          </cell>
          <cell r="Z54">
            <v>0.41176470588235303</v>
          </cell>
          <cell r="AA54">
            <v>8.3892617449664364E-2</v>
          </cell>
          <cell r="AC54" t="str">
            <v>NM</v>
          </cell>
          <cell r="AD54" t="str">
            <v>NM</v>
          </cell>
          <cell r="AE54" t="str">
            <v>NM</v>
          </cell>
          <cell r="AG54">
            <v>0</v>
          </cell>
          <cell r="AH54">
            <v>0</v>
          </cell>
          <cell r="AI54">
            <v>0</v>
          </cell>
          <cell r="AK54">
            <v>1.6000000000000014E-2</v>
          </cell>
          <cell r="AL54">
            <v>0.36206896551724133</v>
          </cell>
          <cell r="AM54">
            <v>8.1168831168831224E-2</v>
          </cell>
          <cell r="AO54" t="str">
            <v xml:space="preserve"> 2Q</v>
          </cell>
          <cell r="AP54">
            <v>-6.9306930693069257E-2</v>
          </cell>
          <cell r="AQ54">
            <v>-8.1300813008130524E-3</v>
          </cell>
          <cell r="AR54">
            <v>-3.5714285714285698E-2</v>
          </cell>
          <cell r="AT54">
            <v>0.21052631578947367</v>
          </cell>
          <cell r="AU54">
            <v>8.1967213114754189E-2</v>
          </cell>
          <cell r="AV54">
            <v>0.15328467153284664</v>
          </cell>
          <cell r="AX54" t="str">
            <v>NM</v>
          </cell>
          <cell r="AY54" t="str">
            <v>NM</v>
          </cell>
          <cell r="AZ54" t="str">
            <v>NM</v>
          </cell>
          <cell r="BB54">
            <v>2.7777777777777679E-2</v>
          </cell>
          <cell r="BC54">
            <v>-1.2658227848101222E-2</v>
          </cell>
          <cell r="BD54">
            <v>-5.1546391752577136E-3</v>
          </cell>
          <cell r="BF54">
            <v>4.6948356807511749E-2</v>
          </cell>
          <cell r="BG54">
            <v>5.8479532163742132E-3</v>
          </cell>
          <cell r="BH54">
            <v>2.1621621621621623E-2</v>
          </cell>
          <cell r="BJ54">
            <v>-0.25</v>
          </cell>
          <cell r="BK54">
            <v>-0.1470588235294118</v>
          </cell>
          <cell r="BL54">
            <v>-0.15277777777777779</v>
          </cell>
          <cell r="BN54" t="str">
            <v xml:space="preserve">  NM</v>
          </cell>
          <cell r="BO54">
            <v>-0.53333333333333333</v>
          </cell>
          <cell r="BP54">
            <v>-0.53333333333333333</v>
          </cell>
          <cell r="BR54">
            <v>-0.25</v>
          </cell>
          <cell r="BS54">
            <v>-0.2168674698795181</v>
          </cell>
          <cell r="BT54">
            <v>-0.2183908045977011</v>
          </cell>
          <cell r="BV54" t="str">
            <v xml:space="preserve"> 2Q</v>
          </cell>
          <cell r="BW54" t="str">
            <v>NM</v>
          </cell>
          <cell r="BX54" t="str">
            <v>NM</v>
          </cell>
          <cell r="BY54" t="str">
            <v>NM</v>
          </cell>
          <cell r="CA54">
            <v>1</v>
          </cell>
          <cell r="CB54">
            <v>0</v>
          </cell>
          <cell r="CC54">
            <v>0.94444444444444442</v>
          </cell>
          <cell r="CE54" t="str">
            <v xml:space="preserve">  NM</v>
          </cell>
          <cell r="CF54" t="str">
            <v xml:space="preserve">  NM</v>
          </cell>
          <cell r="CG54" t="str">
            <v xml:space="preserve">  NM</v>
          </cell>
          <cell r="CI54">
            <v>0.91666666666666674</v>
          </cell>
          <cell r="CJ54">
            <v>0</v>
          </cell>
          <cell r="CK54">
            <v>0.86842105263157898</v>
          </cell>
          <cell r="CM54">
            <v>0.23333333333333339</v>
          </cell>
          <cell r="CN54" t="str">
            <v xml:space="preserve">  NM</v>
          </cell>
          <cell r="CO54">
            <v>0.39999999999999991</v>
          </cell>
          <cell r="CQ54">
            <v>-0.30000000000000004</v>
          </cell>
          <cell r="CR54">
            <v>-0.44444444444444442</v>
          </cell>
          <cell r="CS54">
            <v>-0.36842105263157898</v>
          </cell>
          <cell r="CU54">
            <v>0.10000000000000009</v>
          </cell>
          <cell r="CV54">
            <v>0.11111111111111116</v>
          </cell>
          <cell r="CW54">
            <v>0.1020408163265305</v>
          </cell>
          <cell r="CY54" t="str">
            <v xml:space="preserve">  NM</v>
          </cell>
          <cell r="CZ54">
            <v>8.6956521739130377E-2</v>
          </cell>
          <cell r="DA54">
            <v>0.14925373134328357</v>
          </cell>
          <cell r="DC54" t="str">
            <v xml:space="preserve"> 2Q</v>
          </cell>
          <cell r="DD54" t="str">
            <v xml:space="preserve">    NM</v>
          </cell>
          <cell r="DE54" t="str">
            <v xml:space="preserve">    NM</v>
          </cell>
          <cell r="DF54" t="str">
            <v xml:space="preserve">    NM</v>
          </cell>
          <cell r="DL54">
            <v>0.14911366006256518</v>
          </cell>
          <cell r="DM54">
            <v>8.2162162162162156E-2</v>
          </cell>
          <cell r="DN54">
            <v>0.11624203821656051</v>
          </cell>
          <cell r="DP54">
            <v>0.30952380952380953</v>
          </cell>
          <cell r="DQ54">
            <v>-1.4492753623188406E-2</v>
          </cell>
          <cell r="DR54">
            <v>7.903780068728522E-2</v>
          </cell>
          <cell r="DT54">
            <v>4.7058823529411764E-2</v>
          </cell>
          <cell r="DU54">
            <v>0.12195121951219512</v>
          </cell>
          <cell r="DV54">
            <v>7.1428571428571425E-2</v>
          </cell>
          <cell r="DX54">
            <v>0.15336879432624115</v>
          </cell>
          <cell r="DY54">
            <v>6.6496163682864456E-2</v>
          </cell>
          <cell r="DZ54">
            <v>0.10908300738809214</v>
          </cell>
        </row>
        <row r="55">
          <cell r="A55" t="str">
            <v xml:space="preserve"> 3Q</v>
          </cell>
          <cell r="B55">
            <v>-0.10441767068273089</v>
          </cell>
          <cell r="C55" t="str">
            <v>NM</v>
          </cell>
          <cell r="D55">
            <v>-0.10441767068273089</v>
          </cell>
          <cell r="F55">
            <v>0.28436018957345977</v>
          </cell>
          <cell r="G55">
            <v>0.16538461538461546</v>
          </cell>
          <cell r="H55">
            <v>0.21868365180467086</v>
          </cell>
          <cell r="J55">
            <v>0.33928571428571419</v>
          </cell>
          <cell r="K55">
            <v>7.5949367088607556E-2</v>
          </cell>
          <cell r="L55">
            <v>0.18518518518518512</v>
          </cell>
          <cell r="Q55">
            <v>-0.5</v>
          </cell>
          <cell r="R55">
            <v>-2.9411764705882359E-2</v>
          </cell>
          <cell r="S55">
            <v>-7.8947368421052655E-2</v>
          </cell>
          <cell r="U55">
            <v>9.8076923076923173E-2</v>
          </cell>
          <cell r="V55">
            <v>0.12868632707774807</v>
          </cell>
          <cell r="W55">
            <v>0.11086226203807392</v>
          </cell>
          <cell r="Y55">
            <v>0.10238907849829348</v>
          </cell>
          <cell r="Z55">
            <v>0.26315789473684204</v>
          </cell>
          <cell r="AA55">
            <v>0.12857142857142856</v>
          </cell>
          <cell r="AC55" t="str">
            <v>NM</v>
          </cell>
          <cell r="AD55" t="str">
            <v>NM</v>
          </cell>
          <cell r="AE55" t="str">
            <v>NM</v>
          </cell>
          <cell r="AG55">
            <v>-0.4</v>
          </cell>
          <cell r="AH55">
            <v>0</v>
          </cell>
          <cell r="AI55">
            <v>-0.16666666666666663</v>
          </cell>
          <cell r="AK55">
            <v>9.3959731543624248E-2</v>
          </cell>
          <cell r="AL55">
            <v>0.234375</v>
          </cell>
          <cell r="AM55">
            <v>0.11878453038674031</v>
          </cell>
          <cell r="AO55" t="str">
            <v xml:space="preserve"> 3Q</v>
          </cell>
          <cell r="AP55">
            <v>-1.9417475728155331E-2</v>
          </cell>
          <cell r="AQ55">
            <v>-7.03125E-2</v>
          </cell>
          <cell r="AR55">
            <v>-4.7619047619047672E-2</v>
          </cell>
          <cell r="AT55">
            <v>0.10666666666666669</v>
          </cell>
          <cell r="AU55">
            <v>0</v>
          </cell>
          <cell r="AV55">
            <v>6.4516129032258007E-2</v>
          </cell>
          <cell r="AX55" t="str">
            <v>NM</v>
          </cell>
          <cell r="AY55" t="str">
            <v>NM</v>
          </cell>
          <cell r="AZ55" t="str">
            <v>NM</v>
          </cell>
          <cell r="BB55">
            <v>-4.6511627906976716E-2</v>
          </cell>
          <cell r="BC55">
            <v>-3.9735099337748325E-2</v>
          </cell>
          <cell r="BD55">
            <v>-4.123711340206182E-2</v>
          </cell>
          <cell r="BF55">
            <v>1.8099547511312153E-2</v>
          </cell>
          <cell r="BG55">
            <v>-4.5731707317073211E-2</v>
          </cell>
          <cell r="BH55">
            <v>-2.0036429872495432E-2</v>
          </cell>
          <cell r="BJ55">
            <v>0.33333333333333326</v>
          </cell>
          <cell r="BK55">
            <v>-0.12698412698412698</v>
          </cell>
          <cell r="BL55">
            <v>-0.10606060606060608</v>
          </cell>
          <cell r="BN55" t="str">
            <v xml:space="preserve">  NM</v>
          </cell>
          <cell r="BO55">
            <v>-0.46666666666666667</v>
          </cell>
          <cell r="BP55">
            <v>-0.46666666666666667</v>
          </cell>
          <cell r="BR55">
            <v>0.33333333333333326</v>
          </cell>
          <cell r="BS55">
            <v>-0.19230769230769229</v>
          </cell>
          <cell r="BT55">
            <v>-0.1728395061728395</v>
          </cell>
          <cell r="BV55" t="str">
            <v xml:space="preserve"> 3Q</v>
          </cell>
          <cell r="BW55" t="str">
            <v>NM</v>
          </cell>
          <cell r="BX55" t="str">
            <v>NM</v>
          </cell>
          <cell r="BY55" t="str">
            <v>NM</v>
          </cell>
          <cell r="CA55">
            <v>1.1515151515151514</v>
          </cell>
          <cell r="CB55">
            <v>-0.33333333333333337</v>
          </cell>
          <cell r="CC55">
            <v>1.0277777777777777</v>
          </cell>
          <cell r="CE55" t="str">
            <v xml:space="preserve">  NM</v>
          </cell>
          <cell r="CF55" t="str">
            <v xml:space="preserve">  NM</v>
          </cell>
          <cell r="CG55" t="str">
            <v xml:space="preserve">  NM</v>
          </cell>
          <cell r="CI55">
            <v>1.0277777777777777</v>
          </cell>
          <cell r="CJ55">
            <v>0</v>
          </cell>
          <cell r="CK55">
            <v>0.97368421052631571</v>
          </cell>
          <cell r="CM55">
            <v>0.25714285714285712</v>
          </cell>
          <cell r="CN55" t="str">
            <v xml:space="preserve">  NM</v>
          </cell>
          <cell r="CO55">
            <v>0.31428571428571428</v>
          </cell>
          <cell r="CQ55">
            <v>-0.36363636363636365</v>
          </cell>
          <cell r="CR55">
            <v>0</v>
          </cell>
          <cell r="CS55">
            <v>-0.22222222222222221</v>
          </cell>
          <cell r="CU55">
            <v>0.10869565217391308</v>
          </cell>
          <cell r="CV55">
            <v>0.28571428571428581</v>
          </cell>
          <cell r="CW55">
            <v>0.13207547169811318</v>
          </cell>
          <cell r="CY55" t="str">
            <v xml:space="preserve">  NM</v>
          </cell>
          <cell r="CZ55">
            <v>0.1166666666666667</v>
          </cell>
          <cell r="DA55">
            <v>7.9365079365079305E-2</v>
          </cell>
          <cell r="DC55" t="str">
            <v xml:space="preserve"> 3Q</v>
          </cell>
          <cell r="DD55" t="str">
            <v xml:space="preserve">    NM</v>
          </cell>
          <cell r="DE55" t="str">
            <v xml:space="preserve">    NM</v>
          </cell>
          <cell r="DF55" t="str">
            <v xml:space="preserve">    NM</v>
          </cell>
          <cell r="DL55">
            <v>0.19254658385093168</v>
          </cell>
          <cell r="DM55">
            <v>4.8245614035087717E-2</v>
          </cell>
          <cell r="DN55">
            <v>0.12800392349190781</v>
          </cell>
          <cell r="DP55">
            <v>0.13934426229508196</v>
          </cell>
          <cell r="DQ55">
            <v>2.7777777777777776E-2</v>
          </cell>
          <cell r="DR55">
            <v>7.2847682119205295E-2</v>
          </cell>
          <cell r="DT55">
            <v>3.7974683544303799E-2</v>
          </cell>
          <cell r="DU55">
            <v>7.8947368421052627E-2</v>
          </cell>
          <cell r="DV55">
            <v>5.128205128205128E-2</v>
          </cell>
          <cell r="DX55">
            <v>0.17846385542168675</v>
          </cell>
          <cell r="DY55">
            <v>4.6017699115044247E-2</v>
          </cell>
          <cell r="DZ55">
            <v>0.11757526444263629</v>
          </cell>
        </row>
        <row r="56">
          <cell r="A56" t="str">
            <v xml:space="preserve"> 4Q</v>
          </cell>
          <cell r="B56">
            <v>-0.24705882352941178</v>
          </cell>
          <cell r="C56" t="str">
            <v>NM</v>
          </cell>
          <cell r="D56">
            <v>-0.24705882352941178</v>
          </cell>
          <cell r="F56">
            <v>0.26431718061674014</v>
          </cell>
          <cell r="G56">
            <v>0.16206896551724137</v>
          </cell>
          <cell r="H56">
            <v>0.20696324951644107</v>
          </cell>
          <cell r="J56">
            <v>0.12698412698412698</v>
          </cell>
          <cell r="K56">
            <v>5.7471264367816133E-2</v>
          </cell>
          <cell r="L56">
            <v>8.666666666666667E-2</v>
          </cell>
          <cell r="Q56">
            <v>-0.5</v>
          </cell>
          <cell r="R56">
            <v>8.5714285714285632E-2</v>
          </cell>
          <cell r="S56">
            <v>2.564102564102555E-2</v>
          </cell>
          <cell r="U56">
            <v>5.464480874316946E-3</v>
          </cell>
          <cell r="V56">
            <v>0.13349514563106801</v>
          </cell>
          <cell r="W56">
            <v>6.0353798126951075E-2</v>
          </cell>
          <cell r="Y56">
            <v>6.4724919093850364E-3</v>
          </cell>
          <cell r="Z56">
            <v>0.33333333333333326</v>
          </cell>
          <cell r="AA56">
            <v>6.1827956989247257E-2</v>
          </cell>
          <cell r="AC56" t="str">
            <v>NM</v>
          </cell>
          <cell r="AD56" t="str">
            <v>NM</v>
          </cell>
          <cell r="AE56" t="str">
            <v>NM</v>
          </cell>
          <cell r="AG56">
            <v>0</v>
          </cell>
          <cell r="AH56">
            <v>0.71428571428571419</v>
          </cell>
          <cell r="AI56">
            <v>0.45454545454545459</v>
          </cell>
          <cell r="AK56">
            <v>6.389776357827559E-3</v>
          </cell>
          <cell r="AL56">
            <v>0.37142857142857144</v>
          </cell>
          <cell r="AM56">
            <v>7.3107049608355013E-2</v>
          </cell>
          <cell r="AO56" t="str">
            <v xml:space="preserve"> 4Q</v>
          </cell>
          <cell r="AP56">
            <v>-6.5420560747663559E-2</v>
          </cell>
          <cell r="AQ56">
            <v>-5.2631578947368474E-2</v>
          </cell>
          <cell r="AR56">
            <v>-5.8333333333333348E-2</v>
          </cell>
          <cell r="AT56">
            <v>0.4701492537313432</v>
          </cell>
          <cell r="AU56">
            <v>9.375E-2</v>
          </cell>
          <cell r="AV56">
            <v>0.3484848484848484</v>
          </cell>
          <cell r="AX56" t="str">
            <v>NM</v>
          </cell>
          <cell r="AY56" t="str">
            <v>NM</v>
          </cell>
          <cell r="AZ56" t="str">
            <v>NM</v>
          </cell>
          <cell r="BB56">
            <v>-4.2553191489361653E-2</v>
          </cell>
          <cell r="BC56">
            <v>-6.5088757396449703E-2</v>
          </cell>
          <cell r="BD56">
            <v>-6.018518518518523E-2</v>
          </cell>
          <cell r="BF56">
            <v>0.1875</v>
          </cell>
          <cell r="BG56">
            <v>-3.2786885245901676E-2</v>
          </cell>
          <cell r="BH56">
            <v>6.4220183486238591E-2</v>
          </cell>
          <cell r="BJ56">
            <v>-0.33333333333333337</v>
          </cell>
          <cell r="BK56">
            <v>-0.1470588235294118</v>
          </cell>
          <cell r="BL56">
            <v>-0.16216216216216217</v>
          </cell>
          <cell r="BN56" t="str">
            <v xml:space="preserve">  NM</v>
          </cell>
          <cell r="BO56">
            <v>-0.58823529411764708</v>
          </cell>
          <cell r="BP56">
            <v>-0.58823529411764708</v>
          </cell>
          <cell r="BR56">
            <v>-0.33333333333333337</v>
          </cell>
          <cell r="BS56">
            <v>-0.23529411764705888</v>
          </cell>
          <cell r="BT56">
            <v>-0.24175824175824179</v>
          </cell>
          <cell r="BV56" t="str">
            <v xml:space="preserve"> 4Q</v>
          </cell>
          <cell r="BW56" t="str">
            <v>NM</v>
          </cell>
          <cell r="BX56" t="str">
            <v>NM</v>
          </cell>
          <cell r="BY56" t="str">
            <v>NM</v>
          </cell>
          <cell r="CA56">
            <v>0.4285714285714286</v>
          </cell>
          <cell r="CB56" t="str">
            <v xml:space="preserve"> NM</v>
          </cell>
          <cell r="CC56">
            <v>0.44897959183673475</v>
          </cell>
          <cell r="CE56" t="str">
            <v xml:space="preserve">  NM</v>
          </cell>
          <cell r="CF56" t="str">
            <v xml:space="preserve">  NM</v>
          </cell>
          <cell r="CG56" t="str">
            <v xml:space="preserve">  NM</v>
          </cell>
          <cell r="CI56">
            <v>0.41176470588235303</v>
          </cell>
          <cell r="CJ56" t="str">
            <v xml:space="preserve">    NM</v>
          </cell>
          <cell r="CK56">
            <v>0.40384615384615374</v>
          </cell>
          <cell r="CM56">
            <v>7.3170731707317138E-2</v>
          </cell>
          <cell r="CN56" t="str">
            <v xml:space="preserve">  NM</v>
          </cell>
          <cell r="CO56">
            <v>0.14634146341463405</v>
          </cell>
          <cell r="CQ56">
            <v>-0.19999999999999996</v>
          </cell>
          <cell r="CR56">
            <v>-0.125</v>
          </cell>
          <cell r="CS56">
            <v>-0.16666666666666663</v>
          </cell>
          <cell r="CU56">
            <v>1.9607843137254832E-2</v>
          </cell>
          <cell r="CV56">
            <v>0.25</v>
          </cell>
          <cell r="CW56">
            <v>5.0847457627118731E-2</v>
          </cell>
          <cell r="CY56">
            <v>0</v>
          </cell>
          <cell r="CZ56">
            <v>0.05</v>
          </cell>
          <cell r="DA56">
            <v>4.8780487804878092E-2</v>
          </cell>
          <cell r="DC56" t="str">
            <v xml:space="preserve"> 4Q</v>
          </cell>
          <cell r="DD56" t="str">
            <v xml:space="preserve">    NM</v>
          </cell>
          <cell r="DE56" t="str">
            <v xml:space="preserve">    NM</v>
          </cell>
          <cell r="DF56" t="str">
            <v xml:space="preserve">    NM</v>
          </cell>
          <cell r="DL56">
            <v>0.18196202531645569</v>
          </cell>
          <cell r="DM56">
            <v>6.5815324165029471E-2</v>
          </cell>
          <cell r="DN56">
            <v>0.13014899211218228</v>
          </cell>
          <cell r="DP56">
            <v>0.38053097345132741</v>
          </cell>
          <cell r="DQ56">
            <v>-3.2128514056224897E-2</v>
          </cell>
          <cell r="DR56">
            <v>9.668508287292818E-2</v>
          </cell>
          <cell r="DT56">
            <v>-3.7037037037037035E-2</v>
          </cell>
          <cell r="DU56">
            <v>7.3170731707317069E-2</v>
          </cell>
          <cell r="DV56">
            <v>1.0526315789473684E-2</v>
          </cell>
          <cell r="DX56">
            <v>0.18937805730258561</v>
          </cell>
          <cell r="DY56">
            <v>4.7400611620795105E-2</v>
          </cell>
          <cell r="DZ56">
            <v>0.12157721796276014</v>
          </cell>
        </row>
        <row r="58">
          <cell r="A58" t="str">
            <v>Year</v>
          </cell>
          <cell r="B58">
            <v>-0.18200816001592202</v>
          </cell>
          <cell r="C58" t="str">
            <v>NM</v>
          </cell>
          <cell r="D58">
            <v>-0.18200816001592202</v>
          </cell>
          <cell r="F58">
            <v>0.26305067481538069</v>
          </cell>
          <cell r="G58">
            <v>0.2123911322248615</v>
          </cell>
          <cell r="H58">
            <v>0.23454727697961908</v>
          </cell>
          <cell r="I58" t="e">
            <v>#DIV/0!</v>
          </cell>
          <cell r="J58">
            <v>0.30455185358986392</v>
          </cell>
          <cell r="K58">
            <v>8.4713973116599117E-2</v>
          </cell>
          <cell r="L58">
            <v>0.17260787992495308</v>
          </cell>
          <cell r="Q58">
            <v>-0.36708860759493944</v>
          </cell>
          <cell r="R58">
            <v>-3.3674963396778668E-2</v>
          </cell>
          <cell r="S58">
            <v>-6.8241469816273215E-2</v>
          </cell>
          <cell r="U58">
            <v>4.1006339144215476E-2</v>
          </cell>
          <cell r="V58">
            <v>0.16163337650828269</v>
          </cell>
          <cell r="W58">
            <v>9.1764435902584651E-2</v>
          </cell>
          <cell r="Y58">
            <v>8.5195406391881168E-2</v>
          </cell>
          <cell r="Z58">
            <v>0.34894613583138168</v>
          </cell>
          <cell r="AA58">
            <v>0.12731897067624187</v>
          </cell>
          <cell r="AC58" t="str">
            <v>NM</v>
          </cell>
          <cell r="AD58" t="str">
            <v>NM</v>
          </cell>
          <cell r="AE58" t="str">
            <v>NM</v>
          </cell>
          <cell r="AG58">
            <v>-0.16167664670658621</v>
          </cell>
          <cell r="AH58">
            <v>0.12280701754385959</v>
          </cell>
          <cell r="AI58">
            <v>1.7699115044248037E-2</v>
          </cell>
          <cell r="AK58">
            <v>8.1578947368420973E-2</v>
          </cell>
          <cell r="AL58">
            <v>0.3223140495867769</v>
          </cell>
          <cell r="AM58">
            <v>0.12373371924746746</v>
          </cell>
          <cell r="AO58" t="str">
            <v>Year</v>
          </cell>
          <cell r="AP58">
            <v>-3.375733855185914E-2</v>
          </cell>
          <cell r="AQ58">
            <v>-3.2322426177174735E-2</v>
          </cell>
          <cell r="AR58">
            <v>-3.2967032967032961E-2</v>
          </cell>
          <cell r="AT58">
            <v>0.48735879505110269</v>
          </cell>
          <cell r="AU58">
            <v>8.6780210867802188E-2</v>
          </cell>
          <cell r="AV58">
            <v>0.32761966364812434</v>
          </cell>
          <cell r="AW58" t="e">
            <v>#DIV/0!</v>
          </cell>
          <cell r="AX58" t="str">
            <v>NM</v>
          </cell>
          <cell r="AY58" t="str">
            <v>NM</v>
          </cell>
          <cell r="AZ58" t="str">
            <v>NM</v>
          </cell>
          <cell r="BB58">
            <v>9.0634441087613649E-3</v>
          </cell>
          <cell r="BC58">
            <v>-3.6201222378937303E-2</v>
          </cell>
          <cell r="BD58">
            <v>-2.6879044300647026E-2</v>
          </cell>
          <cell r="BF58">
            <v>0.1785223549307684</v>
          </cell>
          <cell r="BG58">
            <v>-1.2915794790388957E-2</v>
          </cell>
          <cell r="BH58">
            <v>6.4751286449399759E-2</v>
          </cell>
          <cell r="BJ58">
            <v>-0.26701570680628273</v>
          </cell>
          <cell r="BK58">
            <v>-0.13937547600913947</v>
          </cell>
          <cell r="BL58">
            <v>-0.14802981895633649</v>
          </cell>
          <cell r="BN58" t="str">
            <v xml:space="preserve">  NM</v>
          </cell>
          <cell r="BO58">
            <v>-0.51986754966887416</v>
          </cell>
          <cell r="BP58">
            <v>-0.5190713101160862</v>
          </cell>
          <cell r="BR58">
            <v>-0.26315789473684215</v>
          </cell>
          <cell r="BS58">
            <v>-0.21052631578947367</v>
          </cell>
          <cell r="BT58">
            <v>-0.21345029239766078</v>
          </cell>
          <cell r="BV58" t="str">
            <v>Year</v>
          </cell>
          <cell r="BW58" t="str">
            <v>NM</v>
          </cell>
          <cell r="BX58" t="str">
            <v>NM</v>
          </cell>
          <cell r="BY58" t="str">
            <v>NM</v>
          </cell>
          <cell r="CA58">
            <v>0.85581727337615998</v>
          </cell>
          <cell r="CB58">
            <v>-6.25E-2</v>
          </cell>
          <cell r="CC58">
            <v>0.8156996587030716</v>
          </cell>
          <cell r="CE58" t="str">
            <v xml:space="preserve">  NM</v>
          </cell>
          <cell r="CF58" t="str">
            <v xml:space="preserve">  NM</v>
          </cell>
          <cell r="CG58" t="str">
            <v xml:space="preserve">  NM</v>
          </cell>
          <cell r="CI58">
            <v>0.78</v>
          </cell>
          <cell r="CJ58">
            <v>0</v>
          </cell>
          <cell r="CK58">
            <v>0.75</v>
          </cell>
          <cell r="CM58">
            <v>0.2424698795180722</v>
          </cell>
          <cell r="CN58" t="str">
            <v xml:space="preserve">  NM</v>
          </cell>
          <cell r="CO58">
            <v>0.31777108433734935</v>
          </cell>
          <cell r="CQ58">
            <v>-0.36440677966101698</v>
          </cell>
          <cell r="CR58">
            <v>-0.125</v>
          </cell>
          <cell r="CS58">
            <v>-0.26767676767676774</v>
          </cell>
          <cell r="CU58">
            <v>8.3333333333333259E-2</v>
          </cell>
          <cell r="CV58">
            <v>0.1875</v>
          </cell>
          <cell r="CW58">
            <v>9.9056603773584939E-2</v>
          </cell>
          <cell r="CY58">
            <v>-0.13043478260868924</v>
          </cell>
          <cell r="CZ58">
            <v>0.10655737704917989</v>
          </cell>
          <cell r="DA58">
            <v>9.8703170028818343E-2</v>
          </cell>
          <cell r="DC58" t="str">
            <v>Year</v>
          </cell>
          <cell r="DD58" t="str">
            <v xml:space="preserve">    NM</v>
          </cell>
          <cell r="DE58" t="str">
            <v xml:space="preserve">    NM</v>
          </cell>
          <cell r="DF58" t="str">
            <v xml:space="preserve">    NM</v>
          </cell>
          <cell r="DL58">
            <v>0.17396661812478997</v>
          </cell>
          <cell r="DM58">
            <v>7.3787659094570704E-2</v>
          </cell>
          <cell r="DN58">
            <v>0.12839991694859365</v>
          </cell>
          <cell r="DP58">
            <v>0.26</v>
          </cell>
          <cell r="DQ58">
            <v>4.8661800486618006E-3</v>
          </cell>
          <cell r="DR58">
            <v>8.8379705400982E-2</v>
          </cell>
          <cell r="DT58">
            <v>5.9405940594059403E-2</v>
          </cell>
          <cell r="DU58">
            <v>9.2715231788079472E-2</v>
          </cell>
          <cell r="DV58">
            <v>7.0484581497797363E-2</v>
          </cell>
          <cell r="DX58">
            <v>0.17390883576889576</v>
          </cell>
          <cell r="DY58">
            <v>6.2335008089925953E-2</v>
          </cell>
          <cell r="DZ58">
            <v>0.1207761793241886</v>
          </cell>
        </row>
        <row r="60">
          <cell r="A60" t="str">
            <v>1997</v>
          </cell>
          <cell r="AO60" t="str">
            <v>1997</v>
          </cell>
          <cell r="BV60" t="str">
            <v>1997</v>
          </cell>
          <cell r="DC60" t="str">
            <v>1997</v>
          </cell>
        </row>
        <row r="61">
          <cell r="A61" t="str">
            <v xml:space="preserve"> 1Q</v>
          </cell>
          <cell r="B61">
            <v>239</v>
          </cell>
          <cell r="C61">
            <v>0</v>
          </cell>
          <cell r="D61">
            <v>239</v>
          </cell>
          <cell r="E61">
            <v>0</v>
          </cell>
          <cell r="F61">
            <v>219</v>
          </cell>
          <cell r="G61">
            <v>279</v>
          </cell>
          <cell r="H61">
            <v>498</v>
          </cell>
          <cell r="I61">
            <v>0</v>
          </cell>
          <cell r="J61">
            <v>70</v>
          </cell>
          <cell r="K61">
            <v>84</v>
          </cell>
          <cell r="L61">
            <v>154</v>
          </cell>
          <cell r="Q61">
            <v>3</v>
          </cell>
          <cell r="R61">
            <v>28</v>
          </cell>
          <cell r="S61">
            <v>31</v>
          </cell>
          <cell r="U61">
            <v>531</v>
          </cell>
          <cell r="V61">
            <v>391</v>
          </cell>
          <cell r="W61">
            <v>922</v>
          </cell>
          <cell r="Y61">
            <v>334</v>
          </cell>
          <cell r="Z61">
            <v>60</v>
          </cell>
          <cell r="AA61">
            <v>394</v>
          </cell>
          <cell r="AC61">
            <v>0</v>
          </cell>
          <cell r="AD61">
            <v>0</v>
          </cell>
          <cell r="AE61">
            <v>0</v>
          </cell>
          <cell r="AG61">
            <v>4</v>
          </cell>
          <cell r="AH61">
            <v>6</v>
          </cell>
          <cell r="AI61">
            <v>10</v>
          </cell>
          <cell r="AK61">
            <v>338</v>
          </cell>
          <cell r="AL61">
            <v>66</v>
          </cell>
          <cell r="AM61">
            <v>404</v>
          </cell>
          <cell r="AO61" t="str">
            <v xml:space="preserve"> 1Q</v>
          </cell>
          <cell r="AP61">
            <v>100</v>
          </cell>
          <cell r="AQ61">
            <v>118</v>
          </cell>
          <cell r="AR61">
            <v>218</v>
          </cell>
          <cell r="AT61">
            <v>181</v>
          </cell>
          <cell r="AU61">
            <v>83</v>
          </cell>
          <cell r="AV61">
            <v>264</v>
          </cell>
          <cell r="AX61">
            <v>0</v>
          </cell>
          <cell r="AY61">
            <v>0</v>
          </cell>
          <cell r="AZ61">
            <v>0</v>
          </cell>
          <cell r="BB61">
            <v>44</v>
          </cell>
          <cell r="BC61">
            <v>156</v>
          </cell>
          <cell r="BD61">
            <v>200</v>
          </cell>
          <cell r="BF61">
            <v>325</v>
          </cell>
          <cell r="BG61">
            <v>357</v>
          </cell>
          <cell r="BH61">
            <v>682</v>
          </cell>
          <cell r="BJ61">
            <v>3</v>
          </cell>
          <cell r="BK61">
            <v>55</v>
          </cell>
          <cell r="BL61">
            <v>58</v>
          </cell>
          <cell r="BN61">
            <v>0</v>
          </cell>
          <cell r="BO61">
            <v>7</v>
          </cell>
          <cell r="BP61">
            <v>7</v>
          </cell>
          <cell r="BR61">
            <v>3</v>
          </cell>
          <cell r="BS61">
            <v>62</v>
          </cell>
          <cell r="BT61">
            <v>65</v>
          </cell>
          <cell r="BV61" t="str">
            <v xml:space="preserve"> 1Q</v>
          </cell>
          <cell r="BW61">
            <v>0</v>
          </cell>
          <cell r="BX61">
            <v>0</v>
          </cell>
          <cell r="BY61">
            <v>0</v>
          </cell>
          <cell r="CA61">
            <v>51</v>
          </cell>
          <cell r="CB61">
            <v>1</v>
          </cell>
          <cell r="CC61">
            <v>52</v>
          </cell>
          <cell r="CE61">
            <v>2</v>
          </cell>
          <cell r="CF61">
            <v>0</v>
          </cell>
          <cell r="CG61">
            <v>2</v>
          </cell>
          <cell r="CI61">
            <v>53</v>
          </cell>
          <cell r="CJ61">
            <v>1</v>
          </cell>
          <cell r="CK61">
            <v>54</v>
          </cell>
          <cell r="CM61">
            <v>40</v>
          </cell>
          <cell r="CN61">
            <v>0</v>
          </cell>
          <cell r="CO61">
            <v>40</v>
          </cell>
          <cell r="CQ61">
            <v>8</v>
          </cell>
          <cell r="CR61">
            <v>9</v>
          </cell>
          <cell r="CS61">
            <v>17</v>
          </cell>
          <cell r="CU61">
            <v>48</v>
          </cell>
          <cell r="CV61">
            <v>9</v>
          </cell>
          <cell r="CW61">
            <v>57</v>
          </cell>
          <cell r="CY61">
            <v>3</v>
          </cell>
          <cell r="CZ61">
            <v>71</v>
          </cell>
          <cell r="DA61">
            <v>74</v>
          </cell>
          <cell r="DC61" t="str">
            <v xml:space="preserve"> 1Q</v>
          </cell>
          <cell r="DD61">
            <v>0</v>
          </cell>
          <cell r="DE61">
            <v>0</v>
          </cell>
          <cell r="DF61">
            <v>0</v>
          </cell>
          <cell r="DH61">
            <v>-1</v>
          </cell>
          <cell r="DI61">
            <v>0</v>
          </cell>
          <cell r="DJ61">
            <v>-1</v>
          </cell>
          <cell r="DL61">
            <v>1300</v>
          </cell>
          <cell r="DM61">
            <v>957</v>
          </cell>
          <cell r="DN61">
            <v>2257</v>
          </cell>
          <cell r="DP61">
            <v>99</v>
          </cell>
          <cell r="DQ61">
            <v>196</v>
          </cell>
          <cell r="DR61">
            <v>295</v>
          </cell>
          <cell r="DT61">
            <v>98</v>
          </cell>
          <cell r="DU61">
            <v>34</v>
          </cell>
          <cell r="DV61">
            <v>132</v>
          </cell>
          <cell r="DX61">
            <v>1497</v>
          </cell>
          <cell r="DY61">
            <v>1187</v>
          </cell>
          <cell r="DZ61">
            <v>2684</v>
          </cell>
        </row>
        <row r="62">
          <cell r="A62" t="str">
            <v xml:space="preserve"> 2Q</v>
          </cell>
          <cell r="B62">
            <v>168</v>
          </cell>
          <cell r="C62">
            <v>0</v>
          </cell>
          <cell r="D62">
            <v>168</v>
          </cell>
          <cell r="E62">
            <v>0</v>
          </cell>
          <cell r="F62">
            <v>215</v>
          </cell>
          <cell r="G62">
            <v>306</v>
          </cell>
          <cell r="H62">
            <v>521</v>
          </cell>
          <cell r="I62">
            <v>0</v>
          </cell>
          <cell r="J62">
            <v>62</v>
          </cell>
          <cell r="K62">
            <v>86</v>
          </cell>
          <cell r="L62">
            <v>148</v>
          </cell>
          <cell r="Q62">
            <v>3</v>
          </cell>
          <cell r="R62">
            <v>33</v>
          </cell>
          <cell r="S62">
            <v>36</v>
          </cell>
          <cell r="U62">
            <v>448</v>
          </cell>
          <cell r="V62">
            <v>425</v>
          </cell>
          <cell r="W62">
            <v>873</v>
          </cell>
          <cell r="Y62">
            <v>251</v>
          </cell>
          <cell r="Z62">
            <v>72</v>
          </cell>
          <cell r="AA62">
            <v>323</v>
          </cell>
          <cell r="AC62">
            <v>0</v>
          </cell>
          <cell r="AD62">
            <v>0</v>
          </cell>
          <cell r="AE62">
            <v>0</v>
          </cell>
          <cell r="AG62">
            <v>3</v>
          </cell>
          <cell r="AH62">
            <v>7</v>
          </cell>
          <cell r="AI62">
            <v>10</v>
          </cell>
          <cell r="AK62">
            <v>254</v>
          </cell>
          <cell r="AL62">
            <v>79</v>
          </cell>
          <cell r="AM62">
            <v>333</v>
          </cell>
          <cell r="AO62" t="str">
            <v xml:space="preserve"> 2Q</v>
          </cell>
          <cell r="AP62">
            <v>94</v>
          </cell>
          <cell r="AQ62">
            <v>122</v>
          </cell>
          <cell r="AR62">
            <v>216</v>
          </cell>
          <cell r="AT62">
            <v>92</v>
          </cell>
          <cell r="AU62">
            <v>66</v>
          </cell>
          <cell r="AV62">
            <v>158</v>
          </cell>
          <cell r="AX62">
            <v>0</v>
          </cell>
          <cell r="AY62">
            <v>0</v>
          </cell>
          <cell r="AZ62">
            <v>0</v>
          </cell>
          <cell r="BB62">
            <v>37</v>
          </cell>
          <cell r="BC62">
            <v>156</v>
          </cell>
          <cell r="BD62">
            <v>193</v>
          </cell>
          <cell r="BF62">
            <v>223</v>
          </cell>
          <cell r="BG62">
            <v>344</v>
          </cell>
          <cell r="BH62">
            <v>567</v>
          </cell>
          <cell r="BJ62">
            <v>3</v>
          </cell>
          <cell r="BK62">
            <v>58</v>
          </cell>
          <cell r="BL62">
            <v>61</v>
          </cell>
          <cell r="BN62">
            <v>0</v>
          </cell>
          <cell r="BO62">
            <v>7</v>
          </cell>
          <cell r="BP62">
            <v>7</v>
          </cell>
          <cell r="BR62">
            <v>3</v>
          </cell>
          <cell r="BS62">
            <v>65</v>
          </cell>
          <cell r="BT62">
            <v>68</v>
          </cell>
          <cell r="BV62" t="str">
            <v xml:space="preserve"> 2Q</v>
          </cell>
          <cell r="BW62">
            <v>0</v>
          </cell>
          <cell r="BX62">
            <v>0</v>
          </cell>
          <cell r="BY62">
            <v>0</v>
          </cell>
          <cell r="CA62">
            <v>68</v>
          </cell>
          <cell r="CB62">
            <v>2</v>
          </cell>
          <cell r="CC62">
            <v>70</v>
          </cell>
          <cell r="CE62">
            <v>1</v>
          </cell>
          <cell r="CF62">
            <v>0</v>
          </cell>
          <cell r="CG62">
            <v>1</v>
          </cell>
          <cell r="CI62">
            <v>69</v>
          </cell>
          <cell r="CJ62">
            <v>2</v>
          </cell>
          <cell r="CK62">
            <v>71</v>
          </cell>
          <cell r="CM62">
            <v>37</v>
          </cell>
          <cell r="CN62">
            <v>5</v>
          </cell>
          <cell r="CO62">
            <v>42</v>
          </cell>
          <cell r="CQ62">
            <v>7</v>
          </cell>
          <cell r="CR62">
            <v>5</v>
          </cell>
          <cell r="CS62">
            <v>12</v>
          </cell>
          <cell r="CU62">
            <v>44</v>
          </cell>
          <cell r="CV62">
            <v>10</v>
          </cell>
          <cell r="CW62">
            <v>54</v>
          </cell>
          <cell r="CY62">
            <v>2</v>
          </cell>
          <cell r="CZ62">
            <v>75</v>
          </cell>
          <cell r="DA62">
            <v>77</v>
          </cell>
          <cell r="DC62" t="str">
            <v xml:space="preserve"> 2Q</v>
          </cell>
          <cell r="DD62">
            <v>0</v>
          </cell>
          <cell r="DE62">
            <v>0</v>
          </cell>
          <cell r="DF62">
            <v>0</v>
          </cell>
          <cell r="DH62">
            <v>58</v>
          </cell>
          <cell r="DI62">
            <v>1</v>
          </cell>
          <cell r="DJ62">
            <v>59</v>
          </cell>
          <cell r="DL62">
            <v>1102</v>
          </cell>
          <cell r="DM62">
            <v>1001</v>
          </cell>
          <cell r="DN62">
            <v>2103</v>
          </cell>
          <cell r="DP62">
            <v>110</v>
          </cell>
          <cell r="DQ62">
            <v>204</v>
          </cell>
          <cell r="DR62">
            <v>314</v>
          </cell>
          <cell r="DT62">
            <v>89</v>
          </cell>
          <cell r="DU62">
            <v>46</v>
          </cell>
          <cell r="DV62">
            <v>135</v>
          </cell>
          <cell r="DX62">
            <v>1301</v>
          </cell>
          <cell r="DY62">
            <v>1251</v>
          </cell>
          <cell r="DZ62">
            <v>2552</v>
          </cell>
        </row>
        <row r="63">
          <cell r="A63" t="str">
            <v xml:space="preserve"> 3Q</v>
          </cell>
          <cell r="B63">
            <v>223</v>
          </cell>
          <cell r="C63">
            <v>0</v>
          </cell>
          <cell r="D63">
            <v>223</v>
          </cell>
          <cell r="E63">
            <v>0</v>
          </cell>
          <cell r="F63">
            <v>271</v>
          </cell>
          <cell r="G63">
            <v>303</v>
          </cell>
          <cell r="H63">
            <v>574</v>
          </cell>
          <cell r="I63">
            <v>0</v>
          </cell>
          <cell r="J63">
            <v>75</v>
          </cell>
          <cell r="K63">
            <v>85</v>
          </cell>
          <cell r="L63">
            <v>160</v>
          </cell>
          <cell r="Q63">
            <v>2</v>
          </cell>
          <cell r="R63">
            <v>33</v>
          </cell>
          <cell r="S63">
            <v>35</v>
          </cell>
          <cell r="U63">
            <v>571</v>
          </cell>
          <cell r="V63">
            <v>421</v>
          </cell>
          <cell r="W63">
            <v>992</v>
          </cell>
          <cell r="Y63">
            <v>323</v>
          </cell>
          <cell r="Z63">
            <v>72</v>
          </cell>
          <cell r="AA63">
            <v>395</v>
          </cell>
          <cell r="AC63">
            <v>0</v>
          </cell>
          <cell r="AD63">
            <v>0</v>
          </cell>
          <cell r="AE63">
            <v>0</v>
          </cell>
          <cell r="AG63">
            <v>3</v>
          </cell>
          <cell r="AH63">
            <v>7</v>
          </cell>
          <cell r="AI63">
            <v>10</v>
          </cell>
          <cell r="AK63">
            <v>326</v>
          </cell>
          <cell r="AL63">
            <v>79</v>
          </cell>
          <cell r="AM63">
            <v>405</v>
          </cell>
          <cell r="AO63" t="str">
            <v xml:space="preserve"> 3Q</v>
          </cell>
          <cell r="AP63">
            <v>101</v>
          </cell>
          <cell r="AQ63">
            <v>119</v>
          </cell>
          <cell r="AR63">
            <v>220</v>
          </cell>
          <cell r="AT63">
            <v>83</v>
          </cell>
          <cell r="AU63">
            <v>49</v>
          </cell>
          <cell r="AV63">
            <v>132</v>
          </cell>
          <cell r="AX63">
            <v>0</v>
          </cell>
          <cell r="AY63">
            <v>0</v>
          </cell>
          <cell r="AZ63">
            <v>0</v>
          </cell>
          <cell r="BB63">
            <v>41</v>
          </cell>
          <cell r="BC63">
            <v>145</v>
          </cell>
          <cell r="BD63">
            <v>186</v>
          </cell>
          <cell r="BF63">
            <v>225</v>
          </cell>
          <cell r="BG63">
            <v>313</v>
          </cell>
          <cell r="BH63">
            <v>538</v>
          </cell>
          <cell r="BJ63">
            <v>4</v>
          </cell>
          <cell r="BK63">
            <v>55</v>
          </cell>
          <cell r="BL63">
            <v>59</v>
          </cell>
          <cell r="BN63">
            <v>0</v>
          </cell>
          <cell r="BO63">
            <v>8</v>
          </cell>
          <cell r="BP63">
            <v>8</v>
          </cell>
          <cell r="BR63">
            <v>4</v>
          </cell>
          <cell r="BS63">
            <v>63</v>
          </cell>
          <cell r="BT63">
            <v>67</v>
          </cell>
          <cell r="BV63" t="str">
            <v xml:space="preserve"> 3Q</v>
          </cell>
          <cell r="BW63">
            <v>0</v>
          </cell>
          <cell r="BX63">
            <v>0</v>
          </cell>
          <cell r="BY63">
            <v>0</v>
          </cell>
          <cell r="CA63">
            <v>71</v>
          </cell>
          <cell r="CB63">
            <v>2</v>
          </cell>
          <cell r="CC63">
            <v>73</v>
          </cell>
          <cell r="CE63">
            <v>2</v>
          </cell>
          <cell r="CF63">
            <v>0</v>
          </cell>
          <cell r="CG63">
            <v>2</v>
          </cell>
          <cell r="CI63">
            <v>73</v>
          </cell>
          <cell r="CJ63">
            <v>2</v>
          </cell>
          <cell r="CK63">
            <v>75</v>
          </cell>
          <cell r="CM63">
            <v>44</v>
          </cell>
          <cell r="CN63">
            <v>2</v>
          </cell>
          <cell r="CO63">
            <v>46</v>
          </cell>
          <cell r="CQ63">
            <v>7</v>
          </cell>
          <cell r="CR63">
            <v>7</v>
          </cell>
          <cell r="CS63">
            <v>14</v>
          </cell>
          <cell r="CU63">
            <v>51</v>
          </cell>
          <cell r="CV63">
            <v>9</v>
          </cell>
          <cell r="CW63">
            <v>60</v>
          </cell>
          <cell r="CY63">
            <v>1</v>
          </cell>
          <cell r="CZ63">
            <v>67</v>
          </cell>
          <cell r="DA63">
            <v>68</v>
          </cell>
          <cell r="DC63" t="str">
            <v xml:space="preserve"> 3Q</v>
          </cell>
          <cell r="DD63">
            <v>0</v>
          </cell>
          <cell r="DE63">
            <v>0</v>
          </cell>
          <cell r="DF63">
            <v>0</v>
          </cell>
          <cell r="DH63">
            <v>93</v>
          </cell>
          <cell r="DI63">
            <v>2</v>
          </cell>
          <cell r="DJ63">
            <v>95</v>
          </cell>
          <cell r="DL63">
            <v>1344</v>
          </cell>
          <cell r="DM63">
            <v>956</v>
          </cell>
          <cell r="DN63">
            <v>2300</v>
          </cell>
          <cell r="DP63">
            <v>139</v>
          </cell>
          <cell r="DQ63">
            <v>185</v>
          </cell>
          <cell r="DR63">
            <v>324</v>
          </cell>
          <cell r="DT63">
            <v>82</v>
          </cell>
          <cell r="DU63">
            <v>41</v>
          </cell>
          <cell r="DV63">
            <v>123</v>
          </cell>
          <cell r="DX63">
            <v>1565</v>
          </cell>
          <cell r="DY63">
            <v>1182</v>
          </cell>
          <cell r="DZ63">
            <v>2747</v>
          </cell>
        </row>
        <row r="64">
          <cell r="A64" t="str">
            <v xml:space="preserve"> 4Q</v>
          </cell>
          <cell r="B64">
            <v>192</v>
          </cell>
          <cell r="C64">
            <v>0</v>
          </cell>
          <cell r="D64">
            <v>192</v>
          </cell>
          <cell r="E64">
            <v>0</v>
          </cell>
          <cell r="F64">
            <v>287</v>
          </cell>
          <cell r="G64">
            <v>337</v>
          </cell>
          <cell r="H64">
            <v>624</v>
          </cell>
          <cell r="I64">
            <v>0</v>
          </cell>
          <cell r="J64">
            <v>71</v>
          </cell>
          <cell r="K64">
            <v>92</v>
          </cell>
          <cell r="L64">
            <v>163</v>
          </cell>
          <cell r="Q64">
            <v>2</v>
          </cell>
          <cell r="R64">
            <v>38</v>
          </cell>
          <cell r="S64">
            <v>40</v>
          </cell>
          <cell r="U64">
            <v>552</v>
          </cell>
          <cell r="V64">
            <v>467</v>
          </cell>
          <cell r="W64">
            <v>1019</v>
          </cell>
          <cell r="Y64">
            <v>311</v>
          </cell>
          <cell r="Z64">
            <v>84</v>
          </cell>
          <cell r="AA64">
            <v>395</v>
          </cell>
          <cell r="AC64">
            <v>0</v>
          </cell>
          <cell r="AD64">
            <v>0</v>
          </cell>
          <cell r="AE64">
            <v>0</v>
          </cell>
          <cell r="AG64">
            <v>4</v>
          </cell>
          <cell r="AH64">
            <v>12</v>
          </cell>
          <cell r="AI64">
            <v>16</v>
          </cell>
          <cell r="AK64">
            <v>315</v>
          </cell>
          <cell r="AL64">
            <v>96</v>
          </cell>
          <cell r="AM64">
            <v>411</v>
          </cell>
          <cell r="AO64" t="str">
            <v xml:space="preserve"> 4Q</v>
          </cell>
          <cell r="AP64">
            <v>100</v>
          </cell>
          <cell r="AQ64">
            <v>126</v>
          </cell>
          <cell r="AR64">
            <v>226</v>
          </cell>
          <cell r="AT64">
            <v>197</v>
          </cell>
          <cell r="AU64">
            <v>70</v>
          </cell>
          <cell r="AV64">
            <v>267</v>
          </cell>
          <cell r="AX64">
            <v>0</v>
          </cell>
          <cell r="AY64">
            <v>0</v>
          </cell>
          <cell r="AZ64">
            <v>0</v>
          </cell>
          <cell r="BB64">
            <v>45</v>
          </cell>
          <cell r="BC64">
            <v>158</v>
          </cell>
          <cell r="BD64">
            <v>203</v>
          </cell>
          <cell r="BF64">
            <v>342</v>
          </cell>
          <cell r="BG64">
            <v>354</v>
          </cell>
          <cell r="BH64">
            <v>696</v>
          </cell>
          <cell r="BJ64">
            <v>4</v>
          </cell>
          <cell r="BK64">
            <v>58</v>
          </cell>
          <cell r="BL64">
            <v>62</v>
          </cell>
          <cell r="BN64">
            <v>0</v>
          </cell>
          <cell r="BO64">
            <v>7</v>
          </cell>
          <cell r="BP64">
            <v>7</v>
          </cell>
          <cell r="BR64">
            <v>4</v>
          </cell>
          <cell r="BS64">
            <v>65</v>
          </cell>
          <cell r="BT64">
            <v>69</v>
          </cell>
          <cell r="BV64" t="str">
            <v xml:space="preserve"> 4Q</v>
          </cell>
          <cell r="BW64">
            <v>0</v>
          </cell>
          <cell r="BX64">
            <v>0</v>
          </cell>
          <cell r="BY64">
            <v>0</v>
          </cell>
          <cell r="CA64">
            <v>70</v>
          </cell>
          <cell r="CB64">
            <v>1</v>
          </cell>
          <cell r="CC64">
            <v>71</v>
          </cell>
          <cell r="CE64">
            <v>2</v>
          </cell>
          <cell r="CF64">
            <v>0</v>
          </cell>
          <cell r="CG64">
            <v>2</v>
          </cell>
          <cell r="CI64">
            <v>72</v>
          </cell>
          <cell r="CJ64">
            <v>1</v>
          </cell>
          <cell r="CK64">
            <v>73</v>
          </cell>
          <cell r="CM64">
            <v>44</v>
          </cell>
          <cell r="CN64">
            <v>3</v>
          </cell>
          <cell r="CO64">
            <v>47</v>
          </cell>
          <cell r="CQ64">
            <v>8</v>
          </cell>
          <cell r="CR64">
            <v>7</v>
          </cell>
          <cell r="CS64">
            <v>15</v>
          </cell>
          <cell r="CU64">
            <v>52</v>
          </cell>
          <cell r="CV64">
            <v>10</v>
          </cell>
          <cell r="CW64">
            <v>62</v>
          </cell>
          <cell r="CY64">
            <v>2</v>
          </cell>
          <cell r="CZ64">
            <v>84</v>
          </cell>
          <cell r="DA64">
            <v>86</v>
          </cell>
          <cell r="DC64" t="str">
            <v xml:space="preserve"> 4Q</v>
          </cell>
          <cell r="DD64">
            <v>0</v>
          </cell>
          <cell r="DE64">
            <v>0</v>
          </cell>
          <cell r="DF64">
            <v>0</v>
          </cell>
          <cell r="DH64">
            <v>155</v>
          </cell>
          <cell r="DI64">
            <v>8</v>
          </cell>
          <cell r="DJ64">
            <v>163</v>
          </cell>
          <cell r="DL64">
            <v>1494</v>
          </cell>
          <cell r="DM64">
            <v>1085</v>
          </cell>
          <cell r="DN64">
            <v>2579</v>
          </cell>
          <cell r="DP64">
            <v>156</v>
          </cell>
          <cell r="DQ64">
            <v>241</v>
          </cell>
          <cell r="DR64">
            <v>397</v>
          </cell>
          <cell r="DT64">
            <v>52</v>
          </cell>
          <cell r="DU64">
            <v>44</v>
          </cell>
          <cell r="DV64">
            <v>96</v>
          </cell>
          <cell r="DX64">
            <v>1702</v>
          </cell>
          <cell r="DY64">
            <v>1370</v>
          </cell>
          <cell r="DZ64">
            <v>3072</v>
          </cell>
        </row>
        <row r="66">
          <cell r="A66" t="str">
            <v>Year</v>
          </cell>
          <cell r="B66">
            <v>822</v>
          </cell>
          <cell r="C66">
            <v>0</v>
          </cell>
          <cell r="D66">
            <v>822</v>
          </cell>
          <cell r="F66">
            <v>992</v>
          </cell>
          <cell r="G66">
            <v>1225</v>
          </cell>
          <cell r="H66">
            <v>2217</v>
          </cell>
          <cell r="J66">
            <v>278</v>
          </cell>
          <cell r="K66">
            <v>347</v>
          </cell>
          <cell r="L66">
            <v>625</v>
          </cell>
          <cell r="Q66">
            <v>10</v>
          </cell>
          <cell r="R66">
            <v>132</v>
          </cell>
          <cell r="S66">
            <v>142</v>
          </cell>
          <cell r="U66">
            <v>2102</v>
          </cell>
          <cell r="V66">
            <v>1704</v>
          </cell>
          <cell r="W66">
            <v>3806</v>
          </cell>
          <cell r="Y66">
            <v>1219</v>
          </cell>
          <cell r="Z66">
            <v>288</v>
          </cell>
          <cell r="AA66">
            <v>1507</v>
          </cell>
          <cell r="AC66">
            <v>0</v>
          </cell>
          <cell r="AD66">
            <v>0</v>
          </cell>
          <cell r="AE66">
            <v>0</v>
          </cell>
          <cell r="AG66">
            <v>14</v>
          </cell>
          <cell r="AH66">
            <v>32</v>
          </cell>
          <cell r="AI66">
            <v>46</v>
          </cell>
          <cell r="AK66">
            <v>1233</v>
          </cell>
          <cell r="AL66">
            <v>320</v>
          </cell>
          <cell r="AM66">
            <v>1553</v>
          </cell>
          <cell r="AO66" t="str">
            <v>Year</v>
          </cell>
          <cell r="AP66">
            <v>395</v>
          </cell>
          <cell r="AQ66">
            <v>485</v>
          </cell>
          <cell r="AR66">
            <v>880</v>
          </cell>
          <cell r="AT66">
            <v>553</v>
          </cell>
          <cell r="AU66">
            <v>268</v>
          </cell>
          <cell r="AV66">
            <v>821</v>
          </cell>
          <cell r="AX66">
            <v>0</v>
          </cell>
          <cell r="AY66">
            <v>0</v>
          </cell>
          <cell r="AZ66">
            <v>0</v>
          </cell>
          <cell r="BB66">
            <v>167</v>
          </cell>
          <cell r="BC66">
            <v>615</v>
          </cell>
          <cell r="BD66">
            <v>782</v>
          </cell>
          <cell r="BF66">
            <v>1115</v>
          </cell>
          <cell r="BG66">
            <v>1368</v>
          </cell>
          <cell r="BH66">
            <v>2483</v>
          </cell>
          <cell r="BJ66">
            <v>14</v>
          </cell>
          <cell r="BK66">
            <v>226</v>
          </cell>
          <cell r="BL66">
            <v>240</v>
          </cell>
          <cell r="BM66">
            <v>0</v>
          </cell>
          <cell r="BN66">
            <v>0</v>
          </cell>
          <cell r="BO66">
            <v>29</v>
          </cell>
          <cell r="BP66">
            <v>29</v>
          </cell>
          <cell r="BQ66">
            <v>0</v>
          </cell>
          <cell r="BR66">
            <v>14</v>
          </cell>
          <cell r="BS66">
            <v>255</v>
          </cell>
          <cell r="BT66">
            <v>269</v>
          </cell>
          <cell r="BV66" t="str">
            <v>Year</v>
          </cell>
          <cell r="BW66">
            <v>0</v>
          </cell>
          <cell r="BX66">
            <v>0</v>
          </cell>
          <cell r="BY66">
            <v>0</v>
          </cell>
          <cell r="CA66">
            <v>260</v>
          </cell>
          <cell r="CB66">
            <v>6</v>
          </cell>
          <cell r="CC66">
            <v>266</v>
          </cell>
          <cell r="CE66">
            <v>7</v>
          </cell>
          <cell r="CF66">
            <v>0</v>
          </cell>
          <cell r="CG66">
            <v>7</v>
          </cell>
          <cell r="CI66">
            <v>267</v>
          </cell>
          <cell r="CJ66">
            <v>6</v>
          </cell>
          <cell r="CK66">
            <v>273</v>
          </cell>
          <cell r="CM66">
            <v>165</v>
          </cell>
          <cell r="CN66">
            <v>10</v>
          </cell>
          <cell r="CO66">
            <v>175</v>
          </cell>
          <cell r="CQ66">
            <v>30</v>
          </cell>
          <cell r="CR66">
            <v>28</v>
          </cell>
          <cell r="CS66">
            <v>58</v>
          </cell>
          <cell r="CU66">
            <v>195</v>
          </cell>
          <cell r="CV66">
            <v>38</v>
          </cell>
          <cell r="CW66">
            <v>233</v>
          </cell>
          <cell r="CY66">
            <v>8</v>
          </cell>
          <cell r="CZ66">
            <v>297</v>
          </cell>
          <cell r="DA66">
            <v>305</v>
          </cell>
          <cell r="DC66" t="str">
            <v>Year</v>
          </cell>
          <cell r="DD66">
            <v>0</v>
          </cell>
          <cell r="DE66">
            <v>0</v>
          </cell>
          <cell r="DF66">
            <v>0</v>
          </cell>
          <cell r="DH66">
            <v>303</v>
          </cell>
          <cell r="DI66">
            <v>13</v>
          </cell>
          <cell r="DJ66">
            <v>316</v>
          </cell>
          <cell r="DL66">
            <v>5240</v>
          </cell>
          <cell r="DM66">
            <v>3999</v>
          </cell>
          <cell r="DN66">
            <v>9239</v>
          </cell>
          <cell r="DP66">
            <v>504</v>
          </cell>
          <cell r="DQ66">
            <v>826</v>
          </cell>
          <cell r="DR66">
            <v>1330</v>
          </cell>
          <cell r="DT66">
            <v>321</v>
          </cell>
          <cell r="DU66">
            <v>165</v>
          </cell>
          <cell r="DV66">
            <v>486</v>
          </cell>
          <cell r="DX66">
            <v>6065</v>
          </cell>
          <cell r="DY66">
            <v>4990</v>
          </cell>
          <cell r="DZ66">
            <v>11055</v>
          </cell>
        </row>
        <row r="68">
          <cell r="A68" t="str">
            <v xml:space="preserve">1998/97 </v>
          </cell>
          <cell r="AO68" t="str">
            <v xml:space="preserve">1998/97 </v>
          </cell>
          <cell r="BV68" t="str">
            <v xml:space="preserve">1998/97 </v>
          </cell>
          <cell r="DC68" t="str">
            <v xml:space="preserve">1998/97 </v>
          </cell>
        </row>
        <row r="69">
          <cell r="A69" t="str">
            <v xml:space="preserve"> 1Q</v>
          </cell>
          <cell r="B69">
            <v>-0.19246861924686187</v>
          </cell>
          <cell r="C69" t="str">
            <v>NM</v>
          </cell>
          <cell r="D69">
            <v>-0.19246861924686187</v>
          </cell>
          <cell r="F69">
            <v>0.18264840182648401</v>
          </cell>
          <cell r="G69">
            <v>0.10394265232974909</v>
          </cell>
          <cell r="H69">
            <v>0.13855421686746983</v>
          </cell>
          <cell r="J69">
            <v>0.19999999999999996</v>
          </cell>
          <cell r="K69">
            <v>1.1904761904761862E-2</v>
          </cell>
          <cell r="L69">
            <v>9.740259740259738E-2</v>
          </cell>
          <cell r="Q69">
            <v>-0.33333333333333337</v>
          </cell>
          <cell r="R69">
            <v>-0.1071428571428571</v>
          </cell>
          <cell r="S69">
            <v>-0.12903225806451613</v>
          </cell>
          <cell r="U69">
            <v>1.3182674199623268E-2</v>
          </cell>
          <cell r="V69">
            <v>0.10230179028132991</v>
          </cell>
          <cell r="W69">
            <v>5.0976138828633388E-2</v>
          </cell>
          <cell r="Y69">
            <v>0.14071856287425155</v>
          </cell>
          <cell r="Z69">
            <v>0.31666666666666665</v>
          </cell>
          <cell r="AA69">
            <v>0.1675126903553299</v>
          </cell>
          <cell r="AC69" t="str">
            <v>NM</v>
          </cell>
          <cell r="AD69" t="str">
            <v>NM</v>
          </cell>
          <cell r="AE69" t="str">
            <v>NM</v>
          </cell>
          <cell r="AG69">
            <v>0</v>
          </cell>
          <cell r="AH69" t="str">
            <v xml:space="preserve">  NM</v>
          </cell>
          <cell r="AI69">
            <v>0.60000000000000009</v>
          </cell>
          <cell r="AK69">
            <v>0.13905325443786976</v>
          </cell>
          <cell r="AL69">
            <v>0.3787878787878789</v>
          </cell>
          <cell r="AM69">
            <v>0.17821782178217815</v>
          </cell>
          <cell r="AO69" t="str">
            <v xml:space="preserve"> 1Q</v>
          </cell>
          <cell r="AP69">
            <v>0.17999999999999994</v>
          </cell>
          <cell r="AQ69">
            <v>-5.9322033898305038E-2</v>
          </cell>
          <cell r="AR69">
            <v>5.0458715596330306E-2</v>
          </cell>
          <cell r="AT69">
            <v>0.28176795580110503</v>
          </cell>
          <cell r="AU69">
            <v>-0.10843373493975905</v>
          </cell>
          <cell r="AV69">
            <v>0.15909090909090917</v>
          </cell>
          <cell r="AW69" t="e">
            <v>#DIV/0!</v>
          </cell>
          <cell r="AX69" t="str">
            <v>NM</v>
          </cell>
          <cell r="AY69" t="str">
            <v>NM</v>
          </cell>
          <cell r="AZ69" t="str">
            <v>NM</v>
          </cell>
          <cell r="BB69">
            <v>-4.5454545454545414E-2</v>
          </cell>
          <cell r="BC69">
            <v>-0.10897435897435892</v>
          </cell>
          <cell r="BD69">
            <v>-9.4999999999999973E-2</v>
          </cell>
          <cell r="BF69">
            <v>0.33230769230769241</v>
          </cell>
          <cell r="BG69">
            <v>-9.2436974789915971E-2</v>
          </cell>
          <cell r="BH69">
            <v>0.10997067448680342</v>
          </cell>
          <cell r="BJ69">
            <v>0</v>
          </cell>
          <cell r="BK69">
            <v>-0.18181818181818177</v>
          </cell>
          <cell r="BL69">
            <v>-0.17241379310344829</v>
          </cell>
          <cell r="BN69" t="str">
            <v xml:space="preserve">  NM</v>
          </cell>
          <cell r="BO69">
            <v>-0.4285714285714286</v>
          </cell>
          <cell r="BP69">
            <v>-0.4285714285714286</v>
          </cell>
          <cell r="BR69">
            <v>0</v>
          </cell>
          <cell r="BS69">
            <v>-0.20967741935483875</v>
          </cell>
          <cell r="BT69">
            <v>-0.19999999999999996</v>
          </cell>
          <cell r="BV69" t="str">
            <v xml:space="preserve"> 1Q</v>
          </cell>
          <cell r="BW69" t="str">
            <v>NM</v>
          </cell>
          <cell r="BX69" t="str">
            <v>NM</v>
          </cell>
          <cell r="BY69" t="str">
            <v>NM</v>
          </cell>
          <cell r="CA69">
            <v>0.58823529411764697</v>
          </cell>
          <cell r="CB69">
            <v>0</v>
          </cell>
          <cell r="CC69">
            <v>0.57692307692307687</v>
          </cell>
          <cell r="CE69" t="str">
            <v xml:space="preserve">  NM</v>
          </cell>
          <cell r="CF69" t="str">
            <v xml:space="preserve">  NM</v>
          </cell>
          <cell r="CG69" t="str">
            <v xml:space="preserve">  NM</v>
          </cell>
          <cell r="CI69">
            <v>0.5660377358490567</v>
          </cell>
          <cell r="CJ69">
            <v>0</v>
          </cell>
          <cell r="CK69">
            <v>0.55555555555555558</v>
          </cell>
          <cell r="CM69">
            <v>0.39999999999999991</v>
          </cell>
          <cell r="CN69" t="str">
            <v xml:space="preserve">  NM</v>
          </cell>
          <cell r="CO69">
            <v>0.44999999999999996</v>
          </cell>
          <cell r="CQ69">
            <v>-0.25</v>
          </cell>
          <cell r="CR69">
            <v>-0.22222222222222221</v>
          </cell>
          <cell r="CS69">
            <v>-0.23529411764705888</v>
          </cell>
          <cell r="CU69">
            <v>0.29166666666666674</v>
          </cell>
          <cell r="CV69">
            <v>0</v>
          </cell>
          <cell r="CW69">
            <v>0.2456140350877194</v>
          </cell>
          <cell r="CY69" t="str">
            <v xml:space="preserve">  NM</v>
          </cell>
          <cell r="CZ69">
            <v>-5.633802816901412E-2</v>
          </cell>
          <cell r="DA69">
            <v>-8.108108108108103E-2</v>
          </cell>
          <cell r="DC69" t="str">
            <v xml:space="preserve"> 1Q</v>
          </cell>
          <cell r="DD69" t="str">
            <v xml:space="preserve">    NM</v>
          </cell>
          <cell r="DE69" t="str">
            <v xml:space="preserve">    NM</v>
          </cell>
          <cell r="DF69" t="str">
            <v xml:space="preserve">    NM</v>
          </cell>
          <cell r="DH69" t="str">
            <v xml:space="preserve">    NM</v>
          </cell>
          <cell r="DI69" t="str">
            <v xml:space="preserve">    NM</v>
          </cell>
          <cell r="DJ69" t="str">
            <v xml:space="preserve">    NM</v>
          </cell>
          <cell r="DL69">
            <v>0.2646153846153847</v>
          </cell>
          <cell r="DM69">
            <v>2.7168234064785857E-2</v>
          </cell>
          <cell r="DN69">
            <v>0.16393442622950816</v>
          </cell>
          <cell r="DP69">
            <v>0.15151515151515152</v>
          </cell>
          <cell r="DQ69">
            <v>-0.10204081632653061</v>
          </cell>
          <cell r="DR69">
            <v>-1.6949152542372881E-2</v>
          </cell>
          <cell r="DT69">
            <v>-0.11224489795918369</v>
          </cell>
          <cell r="DU69">
            <v>-5.8823529411764719E-2</v>
          </cell>
          <cell r="DV69">
            <v>-9.8484848484848508E-2</v>
          </cell>
          <cell r="DX69">
            <v>0.23246492985971945</v>
          </cell>
          <cell r="DY69">
            <v>3.3698399326032025E-3</v>
          </cell>
          <cell r="DZ69">
            <v>0.13114754098360648</v>
          </cell>
        </row>
        <row r="70">
          <cell r="A70" t="str">
            <v xml:space="preserve"> 2Q</v>
          </cell>
          <cell r="B70">
            <v>-6.5476190476190466E-2</v>
          </cell>
          <cell r="C70" t="str">
            <v>NM</v>
          </cell>
          <cell r="D70">
            <v>-6.5476190476190466E-2</v>
          </cell>
          <cell r="F70">
            <v>0.30232558139534893</v>
          </cell>
          <cell r="G70">
            <v>0.10457516339869288</v>
          </cell>
          <cell r="H70">
            <v>0.1861804222648753</v>
          </cell>
          <cell r="J70">
            <v>0.11290322580645151</v>
          </cell>
          <cell r="K70">
            <v>4.6511627906976827E-2</v>
          </cell>
          <cell r="L70">
            <v>7.4324324324324342E-2</v>
          </cell>
          <cell r="Q70">
            <v>-0.33333333333333337</v>
          </cell>
          <cell r="R70">
            <v>-0.24242424242424243</v>
          </cell>
          <cell r="S70">
            <v>-0.25</v>
          </cell>
          <cell r="U70">
            <v>0.1339285714285714</v>
          </cell>
          <cell r="V70">
            <v>0.11764705882352944</v>
          </cell>
          <cell r="W70">
            <v>0.12600229095074456</v>
          </cell>
          <cell r="Y70">
            <v>0.24302788844621515</v>
          </cell>
          <cell r="Z70">
            <v>0.19444444444444442</v>
          </cell>
          <cell r="AA70">
            <v>0.2321981424148607</v>
          </cell>
          <cell r="AC70" t="str">
            <v>NM</v>
          </cell>
          <cell r="AD70" t="str">
            <v>NM</v>
          </cell>
          <cell r="AE70" t="str">
            <v>NM</v>
          </cell>
          <cell r="AG70">
            <v>0</v>
          </cell>
          <cell r="AH70" t="str">
            <v xml:space="preserve">  NM</v>
          </cell>
          <cell r="AI70">
            <v>0.89999999999999991</v>
          </cell>
          <cell r="AK70">
            <v>0.24015748031496065</v>
          </cell>
          <cell r="AL70">
            <v>0.29113924050632911</v>
          </cell>
          <cell r="AM70">
            <v>0.25225225225225234</v>
          </cell>
          <cell r="AO70" t="str">
            <v xml:space="preserve"> 2Q</v>
          </cell>
          <cell r="AP70">
            <v>-3.1914893617021267E-2</v>
          </cell>
          <cell r="AQ70">
            <v>-1.6393442622950838E-2</v>
          </cell>
          <cell r="AR70">
            <v>-2.314814814814814E-2</v>
          </cell>
          <cell r="AT70">
            <v>5.4347826086956541E-2</v>
          </cell>
          <cell r="AU70">
            <v>0</v>
          </cell>
          <cell r="AV70">
            <v>3.1645569620253111E-2</v>
          </cell>
          <cell r="AW70" t="e">
            <v>#DIV/0!</v>
          </cell>
          <cell r="AX70" t="str">
            <v>NM</v>
          </cell>
          <cell r="AY70" t="str">
            <v>NM</v>
          </cell>
          <cell r="AZ70" t="str">
            <v>NM</v>
          </cell>
          <cell r="BB70">
            <v>-0.18918918918918914</v>
          </cell>
          <cell r="BC70">
            <v>-9.6153846153846145E-2</v>
          </cell>
          <cell r="BD70">
            <v>-0.11398963730569944</v>
          </cell>
          <cell r="BF70">
            <v>7.623318385650224E-2</v>
          </cell>
          <cell r="BG70">
            <v>-4.9418604651162767E-2</v>
          </cell>
          <cell r="BH70">
            <v>0</v>
          </cell>
          <cell r="BJ70">
            <v>-0.33333333333333337</v>
          </cell>
          <cell r="BK70">
            <v>-0.17241379310344829</v>
          </cell>
          <cell r="BL70">
            <v>-0.18032786885245899</v>
          </cell>
          <cell r="BN70" t="str">
            <v xml:space="preserve">  NM</v>
          </cell>
          <cell r="BO70">
            <v>0.14285714285714279</v>
          </cell>
          <cell r="BP70">
            <v>0.14285714285714279</v>
          </cell>
          <cell r="BR70">
            <v>-0.33333333333333337</v>
          </cell>
          <cell r="BS70">
            <v>-0.13846153846153841</v>
          </cell>
          <cell r="BT70">
            <v>-0.1470588235294118</v>
          </cell>
          <cell r="BV70" t="str">
            <v xml:space="preserve"> 2Q</v>
          </cell>
          <cell r="BW70" t="str">
            <v>NM</v>
          </cell>
          <cell r="BX70" t="str">
            <v>NM</v>
          </cell>
          <cell r="BY70" t="str">
            <v>NM</v>
          </cell>
          <cell r="CA70">
            <v>0.52941176470588225</v>
          </cell>
          <cell r="CB70">
            <v>-0.5</v>
          </cell>
          <cell r="CC70">
            <v>0.5</v>
          </cell>
          <cell r="CE70" t="str">
            <v xml:space="preserve">  NM</v>
          </cell>
          <cell r="CF70" t="str">
            <v xml:space="preserve">  NM</v>
          </cell>
          <cell r="CG70" t="str">
            <v xml:space="preserve">  NM</v>
          </cell>
          <cell r="CI70">
            <v>0.52173913043478271</v>
          </cell>
          <cell r="CJ70">
            <v>-0.5</v>
          </cell>
          <cell r="CK70">
            <v>0.49295774647887325</v>
          </cell>
          <cell r="CM70">
            <v>0.29729729729729737</v>
          </cell>
          <cell r="CN70" t="str">
            <v xml:space="preserve">  NM</v>
          </cell>
          <cell r="CO70">
            <v>0.19047619047619047</v>
          </cell>
          <cell r="CQ70">
            <v>-0.2857142857142857</v>
          </cell>
          <cell r="CR70">
            <v>0.19999999999999996</v>
          </cell>
          <cell r="CS70">
            <v>-8.333333333333337E-2</v>
          </cell>
          <cell r="CU70">
            <v>0.20454545454545459</v>
          </cell>
          <cell r="CV70">
            <v>-0.19999999999999996</v>
          </cell>
          <cell r="CW70">
            <v>0.12962962962962954</v>
          </cell>
          <cell r="CY70" t="str">
            <v xml:space="preserve">  NM</v>
          </cell>
          <cell r="CZ70">
            <v>-0.36</v>
          </cell>
          <cell r="DA70">
            <v>-0.36363636363636365</v>
          </cell>
          <cell r="DC70" t="str">
            <v xml:space="preserve"> 2Q</v>
          </cell>
          <cell r="DD70" t="str">
            <v xml:space="preserve">    NM</v>
          </cell>
          <cell r="DE70" t="str">
            <v xml:space="preserve">    NM</v>
          </cell>
          <cell r="DF70" t="str">
            <v xml:space="preserve">    NM</v>
          </cell>
          <cell r="DH70">
            <v>2.103448275862069</v>
          </cell>
          <cell r="DI70">
            <v>17</v>
          </cell>
          <cell r="DJ70">
            <v>2.3559322033898304</v>
          </cell>
          <cell r="DL70">
            <v>0.64519056261343022</v>
          </cell>
          <cell r="DM70">
            <v>3.5964035964035856E-2</v>
          </cell>
          <cell r="DN70">
            <v>0.3552068473609129</v>
          </cell>
          <cell r="DP70">
            <v>0.20909090909090908</v>
          </cell>
          <cell r="DQ70">
            <v>-8.3333333333333329E-2</v>
          </cell>
          <cell r="DR70">
            <v>1.9108280254777069E-2</v>
          </cell>
          <cell r="DT70">
            <v>-0.15730337078651691</v>
          </cell>
          <cell r="DU70">
            <v>0.45652173913043481</v>
          </cell>
          <cell r="DV70">
            <v>5.1851851851851816E-2</v>
          </cell>
          <cell r="DX70">
            <v>0.55342044581091465</v>
          </cell>
          <cell r="DY70">
            <v>3.1974420463629194E-2</v>
          </cell>
          <cell r="DZ70">
            <v>0.29780564263322895</v>
          </cell>
        </row>
        <row r="71">
          <cell r="A71" t="str">
            <v xml:space="preserve"> 3Q</v>
          </cell>
          <cell r="B71">
            <v>-0.1434977578475336</v>
          </cell>
          <cell r="C71" t="str">
            <v>NM</v>
          </cell>
          <cell r="D71">
            <v>-0.1434977578475336</v>
          </cell>
          <cell r="F71">
            <v>0.26199261992619927</v>
          </cell>
          <cell r="G71">
            <v>8.5808580858085737E-2</v>
          </cell>
          <cell r="H71">
            <v>0.16898954703832758</v>
          </cell>
          <cell r="J71">
            <v>0.15999999999999992</v>
          </cell>
          <cell r="K71">
            <v>2.3529411764705799E-2</v>
          </cell>
          <cell r="L71">
            <v>8.7499999999999911E-2</v>
          </cell>
          <cell r="Q71">
            <v>0</v>
          </cell>
          <cell r="R71">
            <v>-0.24242424242424243</v>
          </cell>
          <cell r="S71">
            <v>-0.22857142857142854</v>
          </cell>
          <cell r="U71">
            <v>8.9316987740805542E-2</v>
          </cell>
          <cell r="V71">
            <v>0.1116389548693586</v>
          </cell>
          <cell r="W71">
            <v>9.879032258064524E-2</v>
          </cell>
          <cell r="Y71">
            <v>0.24767801857585137</v>
          </cell>
          <cell r="Z71">
            <v>0.19444444444444442</v>
          </cell>
          <cell r="AA71">
            <v>0.23797468354430373</v>
          </cell>
          <cell r="AC71" t="str">
            <v>NM</v>
          </cell>
          <cell r="AD71" t="str">
            <v>NM</v>
          </cell>
          <cell r="AE71" t="str">
            <v>NM</v>
          </cell>
          <cell r="AG71">
            <v>0</v>
          </cell>
          <cell r="AH71" t="str">
            <v xml:space="preserve">  NM</v>
          </cell>
          <cell r="AI71" t="str">
            <v xml:space="preserve">  NM</v>
          </cell>
          <cell r="AK71">
            <v>0.24539877300613488</v>
          </cell>
          <cell r="AL71">
            <v>0.34177215189873422</v>
          </cell>
          <cell r="AM71">
            <v>0.26419753086419751</v>
          </cell>
          <cell r="AO71" t="str">
            <v xml:space="preserve"> 3Q</v>
          </cell>
          <cell r="AP71">
            <v>0.11881188118811892</v>
          </cell>
          <cell r="AQ71">
            <v>-3.3613445378151252E-2</v>
          </cell>
          <cell r="AR71">
            <v>3.6363636363636376E-2</v>
          </cell>
          <cell r="AT71">
            <v>0.6987951807228916</v>
          </cell>
          <cell r="AU71">
            <v>6.1224489795918435E-2</v>
          </cell>
          <cell r="AV71">
            <v>0.46212121212121215</v>
          </cell>
          <cell r="AW71" t="e">
            <v>#DIV/0!</v>
          </cell>
          <cell r="AX71" t="str">
            <v>NM</v>
          </cell>
          <cell r="AY71" t="str">
            <v>NM</v>
          </cell>
          <cell r="AZ71" t="str">
            <v>NM</v>
          </cell>
          <cell r="BB71">
            <v>-9.7560975609756073E-2</v>
          </cell>
          <cell r="BC71">
            <v>-0.12413793103448278</v>
          </cell>
          <cell r="BD71">
            <v>-0.11827956989247312</v>
          </cell>
          <cell r="BF71">
            <v>0.47555555555555551</v>
          </cell>
          <cell r="BG71">
            <v>-6.0702875399361034E-2</v>
          </cell>
          <cell r="BH71">
            <v>0.16356877323420083</v>
          </cell>
          <cell r="BJ71">
            <v>-0.25</v>
          </cell>
          <cell r="BK71">
            <v>-0.18181818181818177</v>
          </cell>
          <cell r="BL71">
            <v>-0.18644067796610164</v>
          </cell>
          <cell r="BN71" t="str">
            <v xml:space="preserve">  NM</v>
          </cell>
          <cell r="BO71">
            <v>0</v>
          </cell>
          <cell r="BP71">
            <v>0</v>
          </cell>
          <cell r="BR71">
            <v>-0.25</v>
          </cell>
          <cell r="BS71">
            <v>-0.15873015873015872</v>
          </cell>
          <cell r="BT71">
            <v>-0.16417910447761197</v>
          </cell>
          <cell r="BV71" t="str">
            <v xml:space="preserve"> 3Q</v>
          </cell>
          <cell r="BW71" t="str">
            <v>NM</v>
          </cell>
          <cell r="BX71" t="str">
            <v>NM</v>
          </cell>
          <cell r="BY71" t="str">
            <v>NM</v>
          </cell>
          <cell r="CA71">
            <v>0.6619718309859155</v>
          </cell>
          <cell r="CB71">
            <v>-0.17500000000000004</v>
          </cell>
          <cell r="CC71">
            <v>0.63904109589041114</v>
          </cell>
          <cell r="CE71" t="str">
            <v xml:space="preserve">  NM</v>
          </cell>
          <cell r="CF71" t="str">
            <v xml:space="preserve">  NM</v>
          </cell>
          <cell r="CG71" t="str">
            <v xml:space="preserve">  NM</v>
          </cell>
          <cell r="CI71">
            <v>0.63013698630136994</v>
          </cell>
          <cell r="CJ71">
            <v>0</v>
          </cell>
          <cell r="CK71">
            <v>0.61333333333333329</v>
          </cell>
          <cell r="CM71">
            <v>0.27272727272727271</v>
          </cell>
          <cell r="CN71">
            <v>0</v>
          </cell>
          <cell r="CO71">
            <v>0.26086956521739135</v>
          </cell>
          <cell r="CQ71">
            <v>-0.1428571428571429</v>
          </cell>
          <cell r="CR71">
            <v>-0.1428571428571429</v>
          </cell>
          <cell r="CS71">
            <v>-0.1428571428571429</v>
          </cell>
          <cell r="CU71">
            <v>0.21568627450980382</v>
          </cell>
          <cell r="CV71">
            <v>-0.11111111111111116</v>
          </cell>
          <cell r="CW71">
            <v>0.16666666666666674</v>
          </cell>
          <cell r="CY71" t="str">
            <v xml:space="preserve">  NM</v>
          </cell>
          <cell r="CZ71">
            <v>-0.31343283582089554</v>
          </cell>
          <cell r="DA71">
            <v>-0.26470588235294112</v>
          </cell>
          <cell r="DC71" t="str">
            <v xml:space="preserve"> 3Q</v>
          </cell>
          <cell r="DD71" t="str">
            <v xml:space="preserve">    NM</v>
          </cell>
          <cell r="DE71" t="str">
            <v xml:space="preserve">    NM</v>
          </cell>
          <cell r="DF71" t="str">
            <v xml:space="preserve">    NM</v>
          </cell>
          <cell r="DH71">
            <v>1.118279569892473</v>
          </cell>
          <cell r="DI71">
            <v>10.5</v>
          </cell>
          <cell r="DJ71">
            <v>1.3157894736842106</v>
          </cell>
          <cell r="DL71">
            <v>0.3839285714285714</v>
          </cell>
          <cell r="DM71">
            <v>7.322175732217584E-2</v>
          </cell>
          <cell r="DN71">
            <v>0.25478260869565217</v>
          </cell>
          <cell r="DP71">
            <v>0.11510791366906475</v>
          </cell>
          <cell r="DQ71">
            <v>-0.11351351351351352</v>
          </cell>
          <cell r="DR71">
            <v>-1.5432098765432098E-2</v>
          </cell>
          <cell r="DT71">
            <v>-0.18292682926829273</v>
          </cell>
          <cell r="DU71">
            <v>0.41463414634146334</v>
          </cell>
          <cell r="DV71">
            <v>1.6260162601626105E-2</v>
          </cell>
          <cell r="DX71">
            <v>0.33035143769968056</v>
          </cell>
          <cell r="DY71">
            <v>5.5837563451776706E-2</v>
          </cell>
          <cell r="DZ71">
            <v>0.21223152530032774</v>
          </cell>
        </row>
        <row r="72">
          <cell r="A72" t="str">
            <v xml:space="preserve"> 4Q</v>
          </cell>
          <cell r="B72">
            <v>-0.10416666666666663</v>
          </cell>
          <cell r="C72" t="str">
            <v>NM</v>
          </cell>
          <cell r="D72">
            <v>-0.10416666666666663</v>
          </cell>
          <cell r="F72">
            <v>0.12891986062717775</v>
          </cell>
          <cell r="G72">
            <v>0.17210682492581597</v>
          </cell>
          <cell r="H72">
            <v>0.15224358974358965</v>
          </cell>
          <cell r="J72">
            <v>0.15492957746478875</v>
          </cell>
          <cell r="K72">
            <v>0.11956521739130443</v>
          </cell>
          <cell r="L72">
            <v>0.13496932515337434</v>
          </cell>
          <cell r="Q72">
            <v>0.5</v>
          </cell>
          <cell r="R72">
            <v>-0.28947368421052633</v>
          </cell>
          <cell r="S72">
            <v>-0.25</v>
          </cell>
          <cell r="U72">
            <v>5.2536231884057871E-2</v>
          </cell>
          <cell r="V72">
            <v>0.20556745182012848</v>
          </cell>
          <cell r="W72">
            <v>0.12266928361138363</v>
          </cell>
          <cell r="Y72">
            <v>0.24437299035369775</v>
          </cell>
          <cell r="Z72">
            <v>0.21428571428571419</v>
          </cell>
          <cell r="AA72">
            <v>0.23797468354430373</v>
          </cell>
          <cell r="AC72" t="str">
            <v>NM</v>
          </cell>
          <cell r="AD72" t="str">
            <v>NM</v>
          </cell>
          <cell r="AE72" t="str">
            <v>NM</v>
          </cell>
          <cell r="AG72">
            <v>0</v>
          </cell>
          <cell r="AH72" t="str">
            <v xml:space="preserve">  NM</v>
          </cell>
          <cell r="AI72">
            <v>0.875</v>
          </cell>
          <cell r="AK72">
            <v>0.2412698412698413</v>
          </cell>
          <cell r="AL72">
            <v>0.33333333333333326</v>
          </cell>
          <cell r="AM72">
            <v>0.26277372262773713</v>
          </cell>
          <cell r="AO72" t="str">
            <v xml:space="preserve"> 4Q</v>
          </cell>
          <cell r="AP72">
            <v>0.18999999999999995</v>
          </cell>
          <cell r="AQ72">
            <v>2.3809523809523725E-2</v>
          </cell>
          <cell r="AR72">
            <v>9.7345132743362761E-2</v>
          </cell>
          <cell r="AT72">
            <v>0.54314720812182737</v>
          </cell>
          <cell r="AU72">
            <v>7.1428571428571397E-2</v>
          </cell>
          <cell r="AV72">
            <v>0.41947565543071152</v>
          </cell>
          <cell r="AW72" t="e">
            <v>#DIV/0!</v>
          </cell>
          <cell r="AX72" t="str">
            <v>NM</v>
          </cell>
          <cell r="AY72" t="str">
            <v>NM</v>
          </cell>
          <cell r="AZ72" t="str">
            <v>NM</v>
          </cell>
          <cell r="BB72">
            <v>-4.4444444444444398E-2</v>
          </cell>
          <cell r="BC72">
            <v>-6.9620253164557E-2</v>
          </cell>
          <cell r="BD72">
            <v>-6.4039408866995107E-2</v>
          </cell>
          <cell r="BF72">
            <v>0.50877192982456143</v>
          </cell>
          <cell r="BG72">
            <v>5.6497175141243527E-3</v>
          </cell>
          <cell r="BH72">
            <v>0.25287356321839072</v>
          </cell>
          <cell r="BJ72">
            <v>0</v>
          </cell>
          <cell r="BK72">
            <v>-0.10344827586206895</v>
          </cell>
          <cell r="BL72">
            <v>-9.6774193548387122E-2</v>
          </cell>
          <cell r="BN72" t="str">
            <v xml:space="preserve">  NM</v>
          </cell>
          <cell r="BO72">
            <v>0.28571428571428581</v>
          </cell>
          <cell r="BP72">
            <v>0.28571428571428581</v>
          </cell>
          <cell r="BR72">
            <v>0</v>
          </cell>
          <cell r="BS72">
            <v>-6.1538461538461542E-2</v>
          </cell>
          <cell r="BT72">
            <v>-5.7971014492753659E-2</v>
          </cell>
          <cell r="BV72" t="str">
            <v xml:space="preserve"> 4Q</v>
          </cell>
          <cell r="BW72" t="str">
            <v>NM</v>
          </cell>
          <cell r="BX72" t="str">
            <v>NM</v>
          </cell>
          <cell r="BY72" t="str">
            <v>NM</v>
          </cell>
          <cell r="CA72">
            <v>0.54285714285714293</v>
          </cell>
          <cell r="CB72">
            <v>0</v>
          </cell>
          <cell r="CC72">
            <v>0.53521126760563376</v>
          </cell>
          <cell r="CE72" t="str">
            <v xml:space="preserve">  NM</v>
          </cell>
          <cell r="CF72" t="str">
            <v xml:space="preserve">  NM</v>
          </cell>
          <cell r="CG72" t="str">
            <v xml:space="preserve">  NM</v>
          </cell>
          <cell r="CI72">
            <v>0.51388888888888884</v>
          </cell>
          <cell r="CJ72">
            <v>0</v>
          </cell>
          <cell r="CK72">
            <v>0.50684931506849318</v>
          </cell>
          <cell r="CM72">
            <v>0.29545454545454541</v>
          </cell>
          <cell r="CN72">
            <v>-0.33333333333333337</v>
          </cell>
          <cell r="CO72">
            <v>0.25531914893617014</v>
          </cell>
          <cell r="CQ72">
            <v>-0.25</v>
          </cell>
          <cell r="CR72">
            <v>0</v>
          </cell>
          <cell r="CS72">
            <v>-0.1333333333333333</v>
          </cell>
          <cell r="CU72">
            <v>0.21153846153846145</v>
          </cell>
          <cell r="CV72">
            <v>-9.9999999999999978E-2</v>
          </cell>
          <cell r="CW72">
            <v>0.16129032258064524</v>
          </cell>
          <cell r="CY72">
            <v>0</v>
          </cell>
          <cell r="CZ72">
            <v>-0.3928571428571429</v>
          </cell>
          <cell r="DA72">
            <v>-0.51162790697674421</v>
          </cell>
          <cell r="DC72" t="str">
            <v xml:space="preserve"> 4Q</v>
          </cell>
          <cell r="DD72" t="str">
            <v xml:space="preserve">    NM</v>
          </cell>
          <cell r="DE72" t="str">
            <v xml:space="preserve">    NM</v>
          </cell>
          <cell r="DF72" t="str">
            <v xml:space="preserve">    NM</v>
          </cell>
          <cell r="DH72">
            <v>0.70322580645161281</v>
          </cell>
          <cell r="DI72">
            <v>3.375</v>
          </cell>
          <cell r="DJ72">
            <v>0.83435582822085896</v>
          </cell>
          <cell r="DL72">
            <v>0.37215528781793838</v>
          </cell>
          <cell r="DM72">
            <v>0.20645161290322589</v>
          </cell>
          <cell r="DN72">
            <v>0.30244280728964723</v>
          </cell>
          <cell r="DP72">
            <v>0</v>
          </cell>
          <cell r="DQ72">
            <v>-4.9792531120331947E-2</v>
          </cell>
          <cell r="DR72">
            <v>-3.0226700251889168E-2</v>
          </cell>
          <cell r="DT72">
            <v>-3.8461538461538436E-2</v>
          </cell>
          <cell r="DU72">
            <v>0.63636363636363646</v>
          </cell>
          <cell r="DV72">
            <v>0.27083333333333326</v>
          </cell>
          <cell r="DX72">
            <v>0.32549941245593428</v>
          </cell>
          <cell r="DY72">
            <v>0.17518248175182483</v>
          </cell>
          <cell r="DZ72">
            <v>0.25846354166666674</v>
          </cell>
        </row>
        <row r="74">
          <cell r="A74" t="str">
            <v>Year</v>
          </cell>
          <cell r="B74">
            <v>-0.13260340632603407</v>
          </cell>
          <cell r="C74" t="str">
            <v>NM</v>
          </cell>
          <cell r="D74">
            <v>-0.13260340632603407</v>
          </cell>
          <cell r="F74">
            <v>0.21471774193548376</v>
          </cell>
          <cell r="G74">
            <v>0.1183673469387756</v>
          </cell>
          <cell r="H74">
            <v>0.16147947677041041</v>
          </cell>
          <cell r="I74" t="e">
            <v>#DIV/0!</v>
          </cell>
          <cell r="J74">
            <v>0.15827338129496393</v>
          </cell>
          <cell r="K74">
            <v>5.187319884726227E-2</v>
          </cell>
          <cell r="L74">
            <v>9.9199999999999955E-2</v>
          </cell>
          <cell r="Q74">
            <v>-9.9999999999999978E-2</v>
          </cell>
          <cell r="R74">
            <v>-0.22727272727272729</v>
          </cell>
          <cell r="S74">
            <v>-0.21830985915492962</v>
          </cell>
          <cell r="U74">
            <v>6.9933396764985778E-2</v>
          </cell>
          <cell r="V74">
            <v>0.13673708920187799</v>
          </cell>
          <cell r="W74">
            <v>9.9842354177614334E-2</v>
          </cell>
          <cell r="Y74">
            <v>0.21657095980311736</v>
          </cell>
          <cell r="Z74">
            <v>0.22569444444444442</v>
          </cell>
          <cell r="AA74">
            <v>0.21831453218314523</v>
          </cell>
          <cell r="AC74" t="str">
            <v>NM</v>
          </cell>
          <cell r="AD74" t="str">
            <v>NM</v>
          </cell>
          <cell r="AE74" t="str">
            <v>NM</v>
          </cell>
          <cell r="AG74">
            <v>0</v>
          </cell>
          <cell r="AH74" t="str">
            <v xml:space="preserve">  NM</v>
          </cell>
          <cell r="AI74">
            <v>0.91304347826086962</v>
          </cell>
          <cell r="AK74">
            <v>0.21411192214111918</v>
          </cell>
          <cell r="AL74">
            <v>0.33437500000000009</v>
          </cell>
          <cell r="AM74">
            <v>0.23889246619446225</v>
          </cell>
          <cell r="AO74" t="str">
            <v>Year</v>
          </cell>
          <cell r="AP74">
            <v>0.1164556962025316</v>
          </cell>
          <cell r="AQ74">
            <v>-2.0618556701030966E-2</v>
          </cell>
          <cell r="AR74">
            <v>4.0909090909091006E-2</v>
          </cell>
          <cell r="AT74">
            <v>0.39963833634719714</v>
          </cell>
          <cell r="AU74">
            <v>-3.7313432835820448E-3</v>
          </cell>
          <cell r="AV74">
            <v>0.2679658952496955</v>
          </cell>
          <cell r="AW74" t="e">
            <v>#DIV/0!</v>
          </cell>
          <cell r="AX74" t="str">
            <v>NM</v>
          </cell>
          <cell r="AY74" t="str">
            <v>NM</v>
          </cell>
          <cell r="AZ74" t="str">
            <v>NM</v>
          </cell>
          <cell r="BB74">
            <v>-8.9820359281437168E-2</v>
          </cell>
          <cell r="BC74">
            <v>-9.918699186991875E-2</v>
          </cell>
          <cell r="BD74">
            <v>-9.7186700767263434E-2</v>
          </cell>
          <cell r="BF74">
            <v>0.36412556053811662</v>
          </cell>
          <cell r="BG74">
            <v>-4.8976608187134452E-2</v>
          </cell>
          <cell r="BH74">
            <v>0.13652839307289577</v>
          </cell>
          <cell r="BJ74">
            <v>-0.1428571428571429</v>
          </cell>
          <cell r="BK74">
            <v>-0.15929203539823011</v>
          </cell>
          <cell r="BL74">
            <v>-0.15833333333333333</v>
          </cell>
          <cell r="BN74" t="str">
            <v xml:space="preserve">  NM</v>
          </cell>
          <cell r="BO74">
            <v>0</v>
          </cell>
          <cell r="BP74">
            <v>0</v>
          </cell>
          <cell r="BR74">
            <v>-0.1428571428571429</v>
          </cell>
          <cell r="BS74">
            <v>-0.14117647058823535</v>
          </cell>
          <cell r="BT74">
            <v>-0.14126394052044611</v>
          </cell>
          <cell r="BV74" t="str">
            <v>Year</v>
          </cell>
          <cell r="BW74" t="str">
            <v>NM</v>
          </cell>
          <cell r="BX74" t="str">
            <v>NM</v>
          </cell>
          <cell r="BY74" t="str">
            <v>NM</v>
          </cell>
          <cell r="CA74">
            <v>0.5807692307692307</v>
          </cell>
          <cell r="CB74">
            <v>-0.22499999999999998</v>
          </cell>
          <cell r="CC74">
            <v>0.56259398496240598</v>
          </cell>
          <cell r="CE74" t="str">
            <v xml:space="preserve">  NM</v>
          </cell>
          <cell r="CF74" t="str">
            <v xml:space="preserve">  NM</v>
          </cell>
          <cell r="CG74" t="str">
            <v xml:space="preserve">  NM</v>
          </cell>
          <cell r="CI74">
            <v>0.55805243445692887</v>
          </cell>
          <cell r="CJ74">
            <v>-0.16666666666666663</v>
          </cell>
          <cell r="CK74">
            <v>0.5421245421245422</v>
          </cell>
          <cell r="CM74">
            <v>0.31515151515151518</v>
          </cell>
          <cell r="CN74" t="str">
            <v xml:space="preserve">  NM</v>
          </cell>
          <cell r="CO74">
            <v>0.28571428571428581</v>
          </cell>
          <cell r="CQ74">
            <v>-0.23333333333333328</v>
          </cell>
          <cell r="CR74">
            <v>-7.1428571428571397E-2</v>
          </cell>
          <cell r="CS74">
            <v>-0.15517241379310343</v>
          </cell>
          <cell r="CU74">
            <v>0.23076923076923084</v>
          </cell>
          <cell r="CV74">
            <v>-0.10526315789473684</v>
          </cell>
          <cell r="CW74">
            <v>0.17596566523605151</v>
          </cell>
          <cell r="CY74" t="str">
            <v xml:space="preserve">  NM</v>
          </cell>
          <cell r="CZ74">
            <v>-0.28619528619528622</v>
          </cell>
          <cell r="DA74">
            <v>-0.31475409836065571</v>
          </cell>
          <cell r="DC74" t="str">
            <v>Year</v>
          </cell>
          <cell r="DD74" t="str">
            <v xml:space="preserve">    NM</v>
          </cell>
          <cell r="DE74" t="str">
            <v xml:space="preserve">    NM</v>
          </cell>
          <cell r="DF74" t="str">
            <v xml:space="preserve">    NM</v>
          </cell>
          <cell r="DH74">
            <v>1.5742574257425743</v>
          </cell>
          <cell r="DI74">
            <v>5.6923076923076925</v>
          </cell>
          <cell r="DJ74">
            <v>1.7436708860759493</v>
          </cell>
          <cell r="DL74">
            <v>0.40591603053435121</v>
          </cell>
          <cell r="DM74">
            <v>8.9022255563890873E-2</v>
          </cell>
          <cell r="DN74">
            <v>0.26875202944041554</v>
          </cell>
          <cell r="DP74">
            <v>0.10714285714285721</v>
          </cell>
          <cell r="DQ74">
            <v>-8.4745762711864403E-2</v>
          </cell>
          <cell r="DR74">
            <v>-1.2030075187969946E-2</v>
          </cell>
          <cell r="DS74" t="e">
            <v>#DIV/0!</v>
          </cell>
          <cell r="DT74">
            <v>-0.13084112149532712</v>
          </cell>
          <cell r="DU74">
            <v>0.38787878787878793</v>
          </cell>
          <cell r="DV74">
            <v>4.5267489711934061E-2</v>
          </cell>
          <cell r="DW74" t="e">
            <v>#DIV/0!</v>
          </cell>
          <cell r="DX74">
            <v>0.35267930750206111</v>
          </cell>
          <cell r="DY74">
            <v>7.0140280561122204E-2</v>
          </cell>
          <cell r="DZ74">
            <v>0.22514699231117152</v>
          </cell>
        </row>
        <row r="76">
          <cell r="A76" t="str">
            <v xml:space="preserve">1998 </v>
          </cell>
          <cell r="AO76" t="str">
            <v xml:space="preserve">1998 </v>
          </cell>
          <cell r="BQ76">
            <v>0</v>
          </cell>
          <cell r="BV76" t="str">
            <v xml:space="preserve">1998 </v>
          </cell>
          <cell r="CH76">
            <v>0</v>
          </cell>
          <cell r="DC76" t="str">
            <v xml:space="preserve">1998 </v>
          </cell>
        </row>
        <row r="77">
          <cell r="A77" t="str">
            <v xml:space="preserve"> 1Q</v>
          </cell>
          <cell r="B77">
            <v>193</v>
          </cell>
          <cell r="C77">
            <v>0</v>
          </cell>
          <cell r="D77">
            <v>193</v>
          </cell>
          <cell r="E77">
            <v>0</v>
          </cell>
          <cell r="F77">
            <v>259</v>
          </cell>
          <cell r="G77">
            <v>308</v>
          </cell>
          <cell r="H77">
            <v>567</v>
          </cell>
          <cell r="I77">
            <v>0</v>
          </cell>
          <cell r="J77">
            <v>84</v>
          </cell>
          <cell r="K77">
            <v>85</v>
          </cell>
          <cell r="L77">
            <v>169</v>
          </cell>
          <cell r="M77">
            <v>0</v>
          </cell>
          <cell r="N77">
            <v>13</v>
          </cell>
          <cell r="O77">
            <v>13</v>
          </cell>
          <cell r="Q77">
            <v>2</v>
          </cell>
          <cell r="R77">
            <v>25</v>
          </cell>
          <cell r="S77">
            <v>27</v>
          </cell>
          <cell r="U77">
            <v>538</v>
          </cell>
          <cell r="V77">
            <v>431</v>
          </cell>
          <cell r="W77">
            <v>969</v>
          </cell>
          <cell r="Y77">
            <v>381</v>
          </cell>
          <cell r="Z77">
            <v>79</v>
          </cell>
          <cell r="AA77">
            <v>460</v>
          </cell>
          <cell r="AC77">
            <v>0</v>
          </cell>
          <cell r="AD77">
            <v>0</v>
          </cell>
          <cell r="AE77">
            <v>0</v>
          </cell>
          <cell r="AG77">
            <v>4</v>
          </cell>
          <cell r="AH77">
            <v>12</v>
          </cell>
          <cell r="AI77">
            <v>16</v>
          </cell>
          <cell r="AK77">
            <v>385</v>
          </cell>
          <cell r="AL77">
            <v>91</v>
          </cell>
          <cell r="AM77">
            <v>476</v>
          </cell>
          <cell r="AO77" t="str">
            <v xml:space="preserve"> 1Q</v>
          </cell>
          <cell r="AP77">
            <v>118</v>
          </cell>
          <cell r="AQ77">
            <v>111</v>
          </cell>
          <cell r="AR77">
            <v>229</v>
          </cell>
          <cell r="AT77">
            <v>232</v>
          </cell>
          <cell r="AU77">
            <v>74</v>
          </cell>
          <cell r="AV77">
            <v>306</v>
          </cell>
          <cell r="AX77">
            <v>41</v>
          </cell>
          <cell r="AY77">
            <v>0</v>
          </cell>
          <cell r="AZ77">
            <v>41</v>
          </cell>
          <cell r="BB77">
            <v>42</v>
          </cell>
          <cell r="BC77">
            <v>139</v>
          </cell>
          <cell r="BD77">
            <v>181</v>
          </cell>
          <cell r="BF77">
            <v>433</v>
          </cell>
          <cell r="BG77">
            <v>324</v>
          </cell>
          <cell r="BH77">
            <v>757</v>
          </cell>
          <cell r="BJ77">
            <v>3</v>
          </cell>
          <cell r="BK77">
            <v>45</v>
          </cell>
          <cell r="BL77">
            <v>48</v>
          </cell>
          <cell r="BN77">
            <v>0</v>
          </cell>
          <cell r="BO77">
            <v>4</v>
          </cell>
          <cell r="BP77">
            <v>4</v>
          </cell>
          <cell r="BR77">
            <v>3</v>
          </cell>
          <cell r="BS77">
            <v>49</v>
          </cell>
          <cell r="BT77">
            <v>52</v>
          </cell>
          <cell r="BV77" t="str">
            <v xml:space="preserve"> 1Q</v>
          </cell>
          <cell r="BW77">
            <v>0</v>
          </cell>
          <cell r="BX77">
            <v>0</v>
          </cell>
          <cell r="BY77">
            <v>0</v>
          </cell>
          <cell r="CA77">
            <v>81</v>
          </cell>
          <cell r="CB77">
            <v>1</v>
          </cell>
          <cell r="CC77">
            <v>82</v>
          </cell>
          <cell r="CE77">
            <v>2</v>
          </cell>
          <cell r="CF77">
            <v>0</v>
          </cell>
          <cell r="CG77">
            <v>2</v>
          </cell>
          <cell r="CI77">
            <v>83</v>
          </cell>
          <cell r="CJ77">
            <v>1</v>
          </cell>
          <cell r="CK77">
            <v>84</v>
          </cell>
          <cell r="CM77">
            <v>56</v>
          </cell>
          <cell r="CN77">
            <v>2</v>
          </cell>
          <cell r="CO77">
            <v>58</v>
          </cell>
          <cell r="CQ77">
            <v>6</v>
          </cell>
          <cell r="CR77">
            <v>7</v>
          </cell>
          <cell r="CS77">
            <v>13</v>
          </cell>
          <cell r="CU77">
            <v>62</v>
          </cell>
          <cell r="CV77">
            <v>9</v>
          </cell>
          <cell r="CW77">
            <v>71</v>
          </cell>
          <cell r="CY77">
            <v>1</v>
          </cell>
          <cell r="CZ77">
            <v>67</v>
          </cell>
          <cell r="DA77">
            <v>68</v>
          </cell>
          <cell r="DC77" t="str">
            <v xml:space="preserve"> 1Q</v>
          </cell>
          <cell r="DD77">
            <v>0</v>
          </cell>
          <cell r="DE77">
            <v>0</v>
          </cell>
          <cell r="DF77">
            <v>0</v>
          </cell>
          <cell r="DH77">
            <v>139</v>
          </cell>
          <cell r="DI77">
            <v>11</v>
          </cell>
          <cell r="DJ77">
            <v>150</v>
          </cell>
          <cell r="DL77">
            <v>1644</v>
          </cell>
          <cell r="DM77">
            <v>983</v>
          </cell>
          <cell r="DN77">
            <v>2627</v>
          </cell>
          <cell r="DP77">
            <v>114</v>
          </cell>
          <cell r="DQ77">
            <v>176</v>
          </cell>
          <cell r="DR77">
            <v>290</v>
          </cell>
          <cell r="DT77">
            <v>87</v>
          </cell>
          <cell r="DU77">
            <v>32</v>
          </cell>
          <cell r="DV77">
            <v>119</v>
          </cell>
          <cell r="DX77">
            <v>1845</v>
          </cell>
          <cell r="DY77">
            <v>1191</v>
          </cell>
          <cell r="DZ77">
            <v>3036</v>
          </cell>
        </row>
        <row r="78">
          <cell r="A78" t="str">
            <v xml:space="preserve"> 2Q</v>
          </cell>
          <cell r="B78">
            <v>157</v>
          </cell>
          <cell r="C78">
            <v>0</v>
          </cell>
          <cell r="D78">
            <v>157</v>
          </cell>
          <cell r="E78">
            <v>0</v>
          </cell>
          <cell r="F78">
            <v>280</v>
          </cell>
          <cell r="G78">
            <v>338</v>
          </cell>
          <cell r="H78">
            <v>618</v>
          </cell>
          <cell r="I78">
            <v>0</v>
          </cell>
          <cell r="J78">
            <v>69</v>
          </cell>
          <cell r="K78">
            <v>90</v>
          </cell>
          <cell r="L78">
            <v>159</v>
          </cell>
          <cell r="M78">
            <v>0</v>
          </cell>
          <cell r="N78">
            <v>22</v>
          </cell>
          <cell r="O78">
            <v>22</v>
          </cell>
          <cell r="Q78">
            <v>2</v>
          </cell>
          <cell r="R78">
            <v>25</v>
          </cell>
          <cell r="S78">
            <v>27</v>
          </cell>
          <cell r="U78">
            <v>508</v>
          </cell>
          <cell r="V78">
            <v>475</v>
          </cell>
          <cell r="W78">
            <v>983</v>
          </cell>
          <cell r="Y78">
            <v>312</v>
          </cell>
          <cell r="Z78">
            <v>86</v>
          </cell>
          <cell r="AA78">
            <v>398</v>
          </cell>
          <cell r="AC78">
            <v>0</v>
          </cell>
          <cell r="AD78">
            <v>0</v>
          </cell>
          <cell r="AE78">
            <v>0</v>
          </cell>
          <cell r="AG78">
            <v>3</v>
          </cell>
          <cell r="AH78">
            <v>16</v>
          </cell>
          <cell r="AI78">
            <v>19</v>
          </cell>
          <cell r="AK78">
            <v>315</v>
          </cell>
          <cell r="AL78">
            <v>102</v>
          </cell>
          <cell r="AM78">
            <v>417</v>
          </cell>
          <cell r="AO78" t="str">
            <v xml:space="preserve"> 2Q</v>
          </cell>
          <cell r="AP78">
            <v>91</v>
          </cell>
          <cell r="AQ78">
            <v>120</v>
          </cell>
          <cell r="AR78">
            <v>211</v>
          </cell>
          <cell r="AT78">
            <v>97</v>
          </cell>
          <cell r="AU78">
            <v>66</v>
          </cell>
          <cell r="AV78">
            <v>163</v>
          </cell>
          <cell r="AX78">
            <v>22</v>
          </cell>
          <cell r="AY78">
            <v>0</v>
          </cell>
          <cell r="AZ78">
            <v>22</v>
          </cell>
          <cell r="BB78">
            <v>30</v>
          </cell>
          <cell r="BC78">
            <v>141</v>
          </cell>
          <cell r="BD78">
            <v>171</v>
          </cell>
          <cell r="BF78">
            <v>240</v>
          </cell>
          <cell r="BG78">
            <v>327</v>
          </cell>
          <cell r="BH78">
            <v>567</v>
          </cell>
          <cell r="BJ78">
            <v>2</v>
          </cell>
          <cell r="BK78">
            <v>48</v>
          </cell>
          <cell r="BL78">
            <v>50</v>
          </cell>
          <cell r="BN78">
            <v>0</v>
          </cell>
          <cell r="BO78">
            <v>8</v>
          </cell>
          <cell r="BP78">
            <v>8</v>
          </cell>
          <cell r="BR78">
            <v>2</v>
          </cell>
          <cell r="BS78">
            <v>56</v>
          </cell>
          <cell r="BT78">
            <v>58</v>
          </cell>
          <cell r="BV78" t="str">
            <v xml:space="preserve"> 2Q</v>
          </cell>
          <cell r="BW78">
            <v>409</v>
          </cell>
          <cell r="BX78">
            <v>2</v>
          </cell>
          <cell r="BY78">
            <v>411</v>
          </cell>
          <cell r="CA78">
            <v>104</v>
          </cell>
          <cell r="CB78">
            <v>1</v>
          </cell>
          <cell r="CC78">
            <v>105</v>
          </cell>
          <cell r="CE78">
            <v>1</v>
          </cell>
          <cell r="CF78">
            <v>0</v>
          </cell>
          <cell r="CG78">
            <v>1</v>
          </cell>
          <cell r="CI78">
            <v>105</v>
          </cell>
          <cell r="CJ78">
            <v>1</v>
          </cell>
          <cell r="CK78">
            <v>106</v>
          </cell>
          <cell r="CM78">
            <v>48</v>
          </cell>
          <cell r="CN78">
            <v>2</v>
          </cell>
          <cell r="CO78">
            <v>50</v>
          </cell>
          <cell r="CQ78">
            <v>5</v>
          </cell>
          <cell r="CR78">
            <v>6</v>
          </cell>
          <cell r="CS78">
            <v>11</v>
          </cell>
          <cell r="CU78">
            <v>53</v>
          </cell>
          <cell r="CV78">
            <v>8</v>
          </cell>
          <cell r="CW78">
            <v>61</v>
          </cell>
          <cell r="CY78">
            <v>1</v>
          </cell>
          <cell r="CZ78">
            <v>48</v>
          </cell>
          <cell r="DA78">
            <v>49</v>
          </cell>
          <cell r="DC78" t="str">
            <v xml:space="preserve"> 2Q</v>
          </cell>
          <cell r="DD78">
            <v>0</v>
          </cell>
          <cell r="DE78">
            <v>0</v>
          </cell>
          <cell r="DF78">
            <v>0</v>
          </cell>
          <cell r="DH78">
            <v>180</v>
          </cell>
          <cell r="DI78">
            <v>18</v>
          </cell>
          <cell r="DJ78">
            <v>198</v>
          </cell>
          <cell r="DL78">
            <v>1813</v>
          </cell>
          <cell r="DM78">
            <v>1037</v>
          </cell>
          <cell r="DN78">
            <v>2850</v>
          </cell>
          <cell r="DP78">
            <v>133</v>
          </cell>
          <cell r="DQ78">
            <v>187</v>
          </cell>
          <cell r="DR78">
            <v>320</v>
          </cell>
          <cell r="DT78">
            <v>75</v>
          </cell>
          <cell r="DU78">
            <v>67</v>
          </cell>
          <cell r="DV78">
            <v>142</v>
          </cell>
          <cell r="DX78">
            <v>2021</v>
          </cell>
          <cell r="DY78">
            <v>1291</v>
          </cell>
          <cell r="DZ78">
            <v>3312</v>
          </cell>
        </row>
        <row r="79">
          <cell r="A79" t="str">
            <v xml:space="preserve"> 3Q</v>
          </cell>
          <cell r="B79">
            <v>191</v>
          </cell>
          <cell r="C79">
            <v>0</v>
          </cell>
          <cell r="D79">
            <v>191</v>
          </cell>
          <cell r="E79">
            <v>0</v>
          </cell>
          <cell r="F79">
            <v>342</v>
          </cell>
          <cell r="G79">
            <v>329</v>
          </cell>
          <cell r="H79">
            <v>671</v>
          </cell>
          <cell r="I79">
            <v>0</v>
          </cell>
          <cell r="J79">
            <v>87</v>
          </cell>
          <cell r="K79">
            <v>87</v>
          </cell>
          <cell r="L79">
            <v>174</v>
          </cell>
          <cell r="M79">
            <v>0</v>
          </cell>
          <cell r="N79">
            <v>27</v>
          </cell>
          <cell r="O79">
            <v>27</v>
          </cell>
          <cell r="Q79">
            <v>2</v>
          </cell>
          <cell r="R79">
            <v>25</v>
          </cell>
          <cell r="S79">
            <v>27</v>
          </cell>
          <cell r="U79">
            <v>622</v>
          </cell>
          <cell r="V79">
            <v>468</v>
          </cell>
          <cell r="W79">
            <v>1090</v>
          </cell>
          <cell r="Y79">
            <v>403</v>
          </cell>
          <cell r="Z79">
            <v>86</v>
          </cell>
          <cell r="AA79">
            <v>489</v>
          </cell>
          <cell r="AC79">
            <v>0</v>
          </cell>
          <cell r="AD79">
            <v>0</v>
          </cell>
          <cell r="AE79">
            <v>0</v>
          </cell>
          <cell r="AG79">
            <v>3</v>
          </cell>
          <cell r="AH79">
            <v>20</v>
          </cell>
          <cell r="AI79">
            <v>23</v>
          </cell>
          <cell r="AK79">
            <v>406</v>
          </cell>
          <cell r="AL79">
            <v>106</v>
          </cell>
          <cell r="AM79">
            <v>512</v>
          </cell>
          <cell r="AO79" t="str">
            <v xml:space="preserve"> 3Q</v>
          </cell>
          <cell r="AP79">
            <v>113</v>
          </cell>
          <cell r="AQ79">
            <v>115</v>
          </cell>
          <cell r="AR79">
            <v>228</v>
          </cell>
          <cell r="AT79">
            <v>141</v>
          </cell>
          <cell r="AU79">
            <v>52</v>
          </cell>
          <cell r="AV79">
            <v>193</v>
          </cell>
          <cell r="AX79">
            <v>41</v>
          </cell>
          <cell r="AY79">
            <v>0</v>
          </cell>
          <cell r="AZ79">
            <v>41</v>
          </cell>
          <cell r="BB79">
            <v>37</v>
          </cell>
          <cell r="BC79">
            <v>127</v>
          </cell>
          <cell r="BD79">
            <v>164</v>
          </cell>
          <cell r="BF79">
            <v>332</v>
          </cell>
          <cell r="BG79">
            <v>294</v>
          </cell>
          <cell r="BH79">
            <v>626</v>
          </cell>
          <cell r="BJ79">
            <v>3</v>
          </cell>
          <cell r="BK79">
            <v>45</v>
          </cell>
          <cell r="BL79">
            <v>48</v>
          </cell>
          <cell r="BN79">
            <v>0</v>
          </cell>
          <cell r="BO79">
            <v>8</v>
          </cell>
          <cell r="BP79">
            <v>8</v>
          </cell>
          <cell r="BR79">
            <v>3</v>
          </cell>
          <cell r="BS79">
            <v>53</v>
          </cell>
          <cell r="BT79">
            <v>56</v>
          </cell>
          <cell r="BV79" t="str">
            <v xml:space="preserve"> 3Q</v>
          </cell>
          <cell r="BW79">
            <v>115</v>
          </cell>
          <cell r="BX79">
            <v>26</v>
          </cell>
          <cell r="BY79">
            <v>141</v>
          </cell>
          <cell r="CA79">
            <v>118</v>
          </cell>
          <cell r="CB79">
            <v>1.65</v>
          </cell>
          <cell r="CC79">
            <v>119.65</v>
          </cell>
          <cell r="CE79">
            <v>1</v>
          </cell>
          <cell r="CF79">
            <v>0.35000000000000009</v>
          </cell>
          <cell r="CG79">
            <v>1.35</v>
          </cell>
          <cell r="CI79">
            <v>119</v>
          </cell>
          <cell r="CJ79">
            <v>2</v>
          </cell>
          <cell r="CK79">
            <v>121</v>
          </cell>
          <cell r="CM79">
            <v>56</v>
          </cell>
          <cell r="CN79">
            <v>2</v>
          </cell>
          <cell r="CO79">
            <v>58</v>
          </cell>
          <cell r="CQ79">
            <v>6</v>
          </cell>
          <cell r="CR79">
            <v>6</v>
          </cell>
          <cell r="CS79">
            <v>12</v>
          </cell>
          <cell r="CU79">
            <v>62</v>
          </cell>
          <cell r="CV79">
            <v>8</v>
          </cell>
          <cell r="CW79">
            <v>70</v>
          </cell>
          <cell r="CY79">
            <v>4</v>
          </cell>
          <cell r="CZ79">
            <v>46</v>
          </cell>
          <cell r="DA79">
            <v>50</v>
          </cell>
          <cell r="DC79" t="str">
            <v xml:space="preserve"> 3Q</v>
          </cell>
          <cell r="DD79">
            <v>0</v>
          </cell>
          <cell r="DE79">
            <v>0</v>
          </cell>
          <cell r="DF79">
            <v>0</v>
          </cell>
          <cell r="DH79">
            <v>197</v>
          </cell>
          <cell r="DI79">
            <v>23</v>
          </cell>
          <cell r="DJ79">
            <v>220</v>
          </cell>
          <cell r="DL79">
            <v>1860</v>
          </cell>
          <cell r="DM79">
            <v>1026</v>
          </cell>
          <cell r="DN79">
            <v>2886</v>
          </cell>
          <cell r="DP79">
            <v>155</v>
          </cell>
          <cell r="DQ79">
            <v>164</v>
          </cell>
          <cell r="DR79">
            <v>319</v>
          </cell>
          <cell r="DT79">
            <v>67</v>
          </cell>
          <cell r="DU79">
            <v>58</v>
          </cell>
          <cell r="DV79">
            <v>125</v>
          </cell>
          <cell r="DX79">
            <v>2082</v>
          </cell>
          <cell r="DY79">
            <v>1248</v>
          </cell>
          <cell r="DZ79">
            <v>3330</v>
          </cell>
        </row>
        <row r="80">
          <cell r="A80" t="str">
            <v xml:space="preserve"> 4Q</v>
          </cell>
          <cell r="B80">
            <v>172</v>
          </cell>
          <cell r="C80">
            <v>0</v>
          </cell>
          <cell r="D80">
            <v>172</v>
          </cell>
          <cell r="E80">
            <v>0</v>
          </cell>
          <cell r="F80">
            <v>324</v>
          </cell>
          <cell r="G80">
            <v>395</v>
          </cell>
          <cell r="H80">
            <v>719</v>
          </cell>
          <cell r="I80">
            <v>0</v>
          </cell>
          <cell r="J80">
            <v>82</v>
          </cell>
          <cell r="K80">
            <v>103</v>
          </cell>
          <cell r="L80">
            <v>185</v>
          </cell>
          <cell r="M80">
            <v>0</v>
          </cell>
          <cell r="N80">
            <v>38</v>
          </cell>
          <cell r="O80">
            <v>38</v>
          </cell>
          <cell r="Q80">
            <v>3</v>
          </cell>
          <cell r="R80">
            <v>27</v>
          </cell>
          <cell r="S80">
            <v>30</v>
          </cell>
          <cell r="U80">
            <v>581</v>
          </cell>
          <cell r="V80">
            <v>563</v>
          </cell>
          <cell r="W80">
            <v>1144</v>
          </cell>
          <cell r="Y80">
            <v>387</v>
          </cell>
          <cell r="Z80">
            <v>102</v>
          </cell>
          <cell r="AA80">
            <v>489</v>
          </cell>
          <cell r="AC80">
            <v>0</v>
          </cell>
          <cell r="AD80">
            <v>0</v>
          </cell>
          <cell r="AE80">
            <v>0</v>
          </cell>
          <cell r="AG80">
            <v>4</v>
          </cell>
          <cell r="AH80">
            <v>26</v>
          </cell>
          <cell r="AI80">
            <v>30</v>
          </cell>
          <cell r="AK80">
            <v>391</v>
          </cell>
          <cell r="AL80">
            <v>128</v>
          </cell>
          <cell r="AM80">
            <v>519</v>
          </cell>
          <cell r="AO80" t="str">
            <v xml:space="preserve"> 4Q</v>
          </cell>
          <cell r="AP80">
            <v>119</v>
          </cell>
          <cell r="AQ80">
            <v>129</v>
          </cell>
          <cell r="AR80">
            <v>248</v>
          </cell>
          <cell r="AT80">
            <v>304</v>
          </cell>
          <cell r="AU80">
            <v>75</v>
          </cell>
          <cell r="AV80">
            <v>379</v>
          </cell>
          <cell r="AX80">
            <v>50</v>
          </cell>
          <cell r="AY80">
            <v>5</v>
          </cell>
          <cell r="AZ80">
            <v>55</v>
          </cell>
          <cell r="BB80">
            <v>43</v>
          </cell>
          <cell r="BC80">
            <v>147</v>
          </cell>
          <cell r="BD80">
            <v>190</v>
          </cell>
          <cell r="BF80">
            <v>516</v>
          </cell>
          <cell r="BG80">
            <v>356</v>
          </cell>
          <cell r="BH80">
            <v>872</v>
          </cell>
          <cell r="BJ80">
            <v>4</v>
          </cell>
          <cell r="BK80">
            <v>52</v>
          </cell>
          <cell r="BL80">
            <v>56</v>
          </cell>
          <cell r="BN80">
            <v>0</v>
          </cell>
          <cell r="BO80">
            <v>9</v>
          </cell>
          <cell r="BP80">
            <v>9</v>
          </cell>
          <cell r="BR80">
            <v>4</v>
          </cell>
          <cell r="BS80">
            <v>61</v>
          </cell>
          <cell r="BT80">
            <v>65</v>
          </cell>
          <cell r="BV80" t="str">
            <v xml:space="preserve"> 4Q</v>
          </cell>
          <cell r="BW80">
            <v>131</v>
          </cell>
          <cell r="BX80">
            <v>105</v>
          </cell>
          <cell r="BY80">
            <v>236</v>
          </cell>
          <cell r="CA80">
            <v>108</v>
          </cell>
          <cell r="CB80">
            <v>1</v>
          </cell>
          <cell r="CC80">
            <v>109</v>
          </cell>
          <cell r="CE80">
            <v>1</v>
          </cell>
          <cell r="CF80">
            <v>0</v>
          </cell>
          <cell r="CG80">
            <v>1</v>
          </cell>
          <cell r="CI80">
            <v>109</v>
          </cell>
          <cell r="CJ80">
            <v>1</v>
          </cell>
          <cell r="CK80">
            <v>110</v>
          </cell>
          <cell r="CM80">
            <v>57</v>
          </cell>
          <cell r="CN80">
            <v>2</v>
          </cell>
          <cell r="CO80">
            <v>59</v>
          </cell>
          <cell r="CQ80">
            <v>6</v>
          </cell>
          <cell r="CR80">
            <v>7</v>
          </cell>
          <cell r="CS80">
            <v>13</v>
          </cell>
          <cell r="CU80">
            <v>63</v>
          </cell>
          <cell r="CV80">
            <v>9</v>
          </cell>
          <cell r="CW80">
            <v>72</v>
          </cell>
          <cell r="CY80">
            <v>-9</v>
          </cell>
          <cell r="CZ80">
            <v>51</v>
          </cell>
          <cell r="DA80">
            <v>42</v>
          </cell>
          <cell r="DC80" t="str">
            <v xml:space="preserve"> 4Q</v>
          </cell>
          <cell r="DD80">
            <v>0</v>
          </cell>
          <cell r="DE80">
            <v>0</v>
          </cell>
          <cell r="DF80">
            <v>0</v>
          </cell>
          <cell r="DH80">
            <v>264</v>
          </cell>
          <cell r="DI80">
            <v>35</v>
          </cell>
          <cell r="DJ80">
            <v>299</v>
          </cell>
          <cell r="DL80">
            <v>2050</v>
          </cell>
          <cell r="DM80">
            <v>1309</v>
          </cell>
          <cell r="DN80">
            <v>3359</v>
          </cell>
          <cell r="DP80">
            <v>156</v>
          </cell>
          <cell r="DQ80">
            <v>229</v>
          </cell>
          <cell r="DR80">
            <v>385</v>
          </cell>
          <cell r="DT80">
            <v>50</v>
          </cell>
          <cell r="DU80">
            <v>72</v>
          </cell>
          <cell r="DV80">
            <v>122</v>
          </cell>
          <cell r="DX80">
            <v>2256</v>
          </cell>
          <cell r="DY80">
            <v>1610</v>
          </cell>
          <cell r="DZ80">
            <v>3866</v>
          </cell>
        </row>
        <row r="82">
          <cell r="A82" t="str">
            <v>Year</v>
          </cell>
          <cell r="B82">
            <v>713</v>
          </cell>
          <cell r="C82">
            <v>0</v>
          </cell>
          <cell r="D82">
            <v>713</v>
          </cell>
          <cell r="F82">
            <v>1205</v>
          </cell>
          <cell r="G82">
            <v>1370</v>
          </cell>
          <cell r="H82">
            <v>2575</v>
          </cell>
          <cell r="J82">
            <v>322</v>
          </cell>
          <cell r="K82">
            <v>365</v>
          </cell>
          <cell r="L82">
            <v>687</v>
          </cell>
          <cell r="M82">
            <v>0</v>
          </cell>
          <cell r="N82">
            <v>100</v>
          </cell>
          <cell r="O82">
            <v>100</v>
          </cell>
          <cell r="Q82">
            <v>9</v>
          </cell>
          <cell r="R82">
            <v>102</v>
          </cell>
          <cell r="S82">
            <v>111</v>
          </cell>
          <cell r="U82">
            <v>2249</v>
          </cell>
          <cell r="V82">
            <v>1937</v>
          </cell>
          <cell r="W82">
            <v>4186</v>
          </cell>
          <cell r="Y82">
            <v>1483</v>
          </cell>
          <cell r="Z82">
            <v>353</v>
          </cell>
          <cell r="AA82">
            <v>1836</v>
          </cell>
          <cell r="AC82">
            <v>0</v>
          </cell>
          <cell r="AD82">
            <v>0</v>
          </cell>
          <cell r="AE82">
            <v>0</v>
          </cell>
          <cell r="AG82">
            <v>14</v>
          </cell>
          <cell r="AH82">
            <v>74</v>
          </cell>
          <cell r="AI82">
            <v>88</v>
          </cell>
          <cell r="AK82">
            <v>1497</v>
          </cell>
          <cell r="AL82">
            <v>427</v>
          </cell>
          <cell r="AM82">
            <v>1924</v>
          </cell>
          <cell r="AO82" t="str">
            <v>Year</v>
          </cell>
          <cell r="AP82">
            <v>441</v>
          </cell>
          <cell r="AQ82">
            <v>475</v>
          </cell>
          <cell r="AR82">
            <v>916</v>
          </cell>
          <cell r="AT82">
            <v>774</v>
          </cell>
          <cell r="AU82">
            <v>267</v>
          </cell>
          <cell r="AV82">
            <v>1041</v>
          </cell>
          <cell r="AX82">
            <v>154</v>
          </cell>
          <cell r="AY82">
            <v>5</v>
          </cell>
          <cell r="AZ82">
            <v>159</v>
          </cell>
          <cell r="BB82">
            <v>152</v>
          </cell>
          <cell r="BC82">
            <v>554</v>
          </cell>
          <cell r="BD82">
            <v>706</v>
          </cell>
          <cell r="BF82">
            <v>1521</v>
          </cell>
          <cell r="BG82">
            <v>1301</v>
          </cell>
          <cell r="BH82">
            <v>2822</v>
          </cell>
          <cell r="BJ82">
            <v>12</v>
          </cell>
          <cell r="BK82">
            <v>190</v>
          </cell>
          <cell r="BL82">
            <v>202</v>
          </cell>
          <cell r="BM82">
            <v>0</v>
          </cell>
          <cell r="BN82">
            <v>0</v>
          </cell>
          <cell r="BO82">
            <v>29</v>
          </cell>
          <cell r="BP82">
            <v>29</v>
          </cell>
          <cell r="BQ82">
            <v>0</v>
          </cell>
          <cell r="BR82">
            <v>12</v>
          </cell>
          <cell r="BS82">
            <v>219</v>
          </cell>
          <cell r="BT82">
            <v>231</v>
          </cell>
          <cell r="BV82" t="str">
            <v>Year</v>
          </cell>
          <cell r="BW82">
            <v>655</v>
          </cell>
          <cell r="BX82">
            <v>133</v>
          </cell>
          <cell r="BY82">
            <v>788</v>
          </cell>
          <cell r="CA82">
            <v>411</v>
          </cell>
          <cell r="CB82">
            <v>4.6500000000000004</v>
          </cell>
          <cell r="CC82">
            <v>415.65</v>
          </cell>
          <cell r="CE82">
            <v>5</v>
          </cell>
          <cell r="CF82">
            <v>0.35000000000000009</v>
          </cell>
          <cell r="CG82">
            <v>5.35</v>
          </cell>
          <cell r="CI82">
            <v>416</v>
          </cell>
          <cell r="CJ82">
            <v>5</v>
          </cell>
          <cell r="CK82">
            <v>421</v>
          </cell>
          <cell r="CM82">
            <v>217</v>
          </cell>
          <cell r="CN82">
            <v>8</v>
          </cell>
          <cell r="CO82">
            <v>225</v>
          </cell>
          <cell r="CQ82">
            <v>23</v>
          </cell>
          <cell r="CR82">
            <v>26</v>
          </cell>
          <cell r="CS82">
            <v>49</v>
          </cell>
          <cell r="CU82">
            <v>240</v>
          </cell>
          <cell r="CV82">
            <v>34</v>
          </cell>
          <cell r="CW82">
            <v>274</v>
          </cell>
          <cell r="CY82">
            <v>-3</v>
          </cell>
          <cell r="CZ82">
            <v>212</v>
          </cell>
          <cell r="DA82">
            <v>209</v>
          </cell>
          <cell r="DC82" t="str">
            <v>Year</v>
          </cell>
          <cell r="DD82">
            <v>0</v>
          </cell>
          <cell r="DE82">
            <v>0</v>
          </cell>
          <cell r="DF82">
            <v>0</v>
          </cell>
          <cell r="DH82">
            <v>780</v>
          </cell>
          <cell r="DI82">
            <v>87</v>
          </cell>
          <cell r="DJ82">
            <v>867</v>
          </cell>
          <cell r="DL82">
            <v>7367</v>
          </cell>
          <cell r="DM82">
            <v>4355</v>
          </cell>
          <cell r="DN82">
            <v>11722</v>
          </cell>
          <cell r="DP82">
            <v>558</v>
          </cell>
          <cell r="DQ82">
            <v>756</v>
          </cell>
          <cell r="DR82">
            <v>1314</v>
          </cell>
          <cell r="DT82">
            <v>279</v>
          </cell>
          <cell r="DU82">
            <v>229</v>
          </cell>
          <cell r="DV82">
            <v>508</v>
          </cell>
          <cell r="DX82">
            <v>8204</v>
          </cell>
          <cell r="DY82">
            <v>5340</v>
          </cell>
          <cell r="DZ82">
            <v>13544</v>
          </cell>
        </row>
        <row r="84">
          <cell r="A84" t="str">
            <v xml:space="preserve">1999/98 </v>
          </cell>
          <cell r="AO84" t="str">
            <v xml:space="preserve">1999/98 </v>
          </cell>
          <cell r="BV84" t="str">
            <v xml:space="preserve">1999/98 </v>
          </cell>
          <cell r="DC84" t="str">
            <v xml:space="preserve">1999/98 </v>
          </cell>
        </row>
        <row r="85">
          <cell r="A85" t="str">
            <v xml:space="preserve"> 1QA</v>
          </cell>
          <cell r="B85">
            <v>-0.26943005181347146</v>
          </cell>
          <cell r="C85" t="str">
            <v>NM</v>
          </cell>
          <cell r="D85">
            <v>-0.26943005181347146</v>
          </cell>
          <cell r="F85">
            <v>0.21235521235521237</v>
          </cell>
          <cell r="G85">
            <v>0.26298701298701288</v>
          </cell>
          <cell r="H85">
            <v>0.23985890652557318</v>
          </cell>
          <cell r="J85">
            <v>0.13095238095238093</v>
          </cell>
          <cell r="K85">
            <v>0.16470588235294126</v>
          </cell>
          <cell r="L85">
            <v>0.14792899408284033</v>
          </cell>
          <cell r="N85">
            <v>1.9230769230769229</v>
          </cell>
          <cell r="O85">
            <v>1.9230769230769229</v>
          </cell>
          <cell r="Q85">
            <v>-0.5</v>
          </cell>
          <cell r="R85">
            <v>-7.999999999999996E-2</v>
          </cell>
          <cell r="S85">
            <v>-0.11111111111111116</v>
          </cell>
          <cell r="U85">
            <v>2.4163568773234223E-2</v>
          </cell>
          <cell r="V85">
            <v>0.27378190255220414</v>
          </cell>
          <cell r="W85">
            <v>0.1351909184726523</v>
          </cell>
          <cell r="Y85">
            <v>0.13910761154855633</v>
          </cell>
          <cell r="Z85">
            <v>0.17721518987341778</v>
          </cell>
          <cell r="AA85">
            <v>0.14565217391304341</v>
          </cell>
          <cell r="AC85" t="str">
            <v xml:space="preserve">  NM</v>
          </cell>
          <cell r="AD85" t="str">
            <v xml:space="preserve">  NM</v>
          </cell>
          <cell r="AE85" t="str">
            <v xml:space="preserve">  NM</v>
          </cell>
          <cell r="AG85">
            <v>-0.25</v>
          </cell>
          <cell r="AH85" t="str">
            <v>NM</v>
          </cell>
          <cell r="AI85">
            <v>0.625</v>
          </cell>
          <cell r="AK85">
            <v>0.13506493506493511</v>
          </cell>
          <cell r="AL85">
            <v>0.27472527472527464</v>
          </cell>
          <cell r="AM85">
            <v>0.16176470588235303</v>
          </cell>
          <cell r="AO85" t="str">
            <v xml:space="preserve"> 1QA</v>
          </cell>
          <cell r="AP85">
            <v>5.0847457627118731E-2</v>
          </cell>
          <cell r="AQ85">
            <v>9.0090090090090058E-2</v>
          </cell>
          <cell r="AR85">
            <v>6.9868995633187714E-2</v>
          </cell>
          <cell r="AT85">
            <v>0.48275862068965525</v>
          </cell>
          <cell r="AU85">
            <v>0.31081081081081074</v>
          </cell>
          <cell r="AV85">
            <v>0.44117647058823528</v>
          </cell>
          <cell r="AX85">
            <v>0.31707317073170738</v>
          </cell>
          <cell r="AY85" t="str">
            <v>NM</v>
          </cell>
          <cell r="AZ85">
            <v>0.51219512195121952</v>
          </cell>
          <cell r="BB85">
            <v>-7.1428571428571397E-2</v>
          </cell>
          <cell r="BC85">
            <v>8.6330935251798468E-2</v>
          </cell>
          <cell r="BD85">
            <v>4.9723756906077332E-2</v>
          </cell>
          <cell r="BF85">
            <v>0.29561200923787534</v>
          </cell>
          <cell r="BG85">
            <v>0.16358024691358031</v>
          </cell>
          <cell r="BH85">
            <v>0.23910171730515195</v>
          </cell>
          <cell r="BJ85">
            <v>-0.33333333333333337</v>
          </cell>
          <cell r="BK85">
            <v>-4.4444444444444398E-2</v>
          </cell>
          <cell r="BL85">
            <v>-6.25E-2</v>
          </cell>
          <cell r="BN85" t="str">
            <v xml:space="preserve">  NM</v>
          </cell>
          <cell r="BO85">
            <v>0.25</v>
          </cell>
          <cell r="BP85">
            <v>0.25</v>
          </cell>
          <cell r="BR85">
            <v>-0.33333333333333337</v>
          </cell>
          <cell r="BS85">
            <v>-2.0408163265306145E-2</v>
          </cell>
          <cell r="BT85">
            <v>-3.8461538461538436E-2</v>
          </cell>
          <cell r="BV85" t="str">
            <v xml:space="preserve"> 1QA</v>
          </cell>
          <cell r="BW85" t="str">
            <v xml:space="preserve">  NM</v>
          </cell>
          <cell r="BX85" t="str">
            <v xml:space="preserve">  NM</v>
          </cell>
          <cell r="BY85" t="str">
            <v xml:space="preserve">  NM</v>
          </cell>
          <cell r="CA85">
            <v>0.54320987654320985</v>
          </cell>
          <cell r="CB85">
            <v>0</v>
          </cell>
          <cell r="CC85">
            <v>0.53658536585365857</v>
          </cell>
          <cell r="CE85">
            <v>0</v>
          </cell>
          <cell r="CF85" t="str">
            <v xml:space="preserve">  NM</v>
          </cell>
          <cell r="CG85">
            <v>0</v>
          </cell>
          <cell r="CI85">
            <v>0.53012048192771077</v>
          </cell>
          <cell r="CJ85">
            <v>0</v>
          </cell>
          <cell r="CK85">
            <v>0.52380952380952372</v>
          </cell>
          <cell r="CM85">
            <v>0.14285714285714279</v>
          </cell>
          <cell r="CN85">
            <v>0.5</v>
          </cell>
          <cell r="CO85">
            <v>0.15517241379310343</v>
          </cell>
          <cell r="CQ85">
            <v>-0.33333333333333337</v>
          </cell>
          <cell r="CR85">
            <v>-0.2857142857142857</v>
          </cell>
          <cell r="CS85">
            <v>-0.30769230769230771</v>
          </cell>
          <cell r="CU85">
            <v>9.6774193548387011E-2</v>
          </cell>
          <cell r="CV85">
            <v>-0.11111111111111116</v>
          </cell>
          <cell r="CW85">
            <v>7.0422535211267512E-2</v>
          </cell>
          <cell r="CY85" t="str">
            <v xml:space="preserve">  NM</v>
          </cell>
          <cell r="CZ85">
            <v>-0.20895522388059706</v>
          </cell>
          <cell r="DA85">
            <v>-0.22058823529411764</v>
          </cell>
          <cell r="DC85" t="str">
            <v xml:space="preserve"> 1QA</v>
          </cell>
          <cell r="DD85" t="str">
            <v xml:space="preserve">    NM</v>
          </cell>
          <cell r="DE85" t="str">
            <v xml:space="preserve">    NM</v>
          </cell>
          <cell r="DF85" t="str">
            <v xml:space="preserve">    NM</v>
          </cell>
          <cell r="DH85">
            <v>1.5899280575539567</v>
          </cell>
          <cell r="DI85">
            <v>2.9090909090909092</v>
          </cell>
          <cell r="DJ85">
            <v>1.6866666666666665</v>
          </cell>
          <cell r="DL85">
            <v>0.37165450121654509</v>
          </cell>
          <cell r="DM85">
            <v>0.26042726347914558</v>
          </cell>
          <cell r="DN85">
            <v>0.3300342596117245</v>
          </cell>
          <cell r="DP85">
            <v>2.6315789473684292E-2</v>
          </cell>
          <cell r="DQ85">
            <v>-3.9772727272727293E-2</v>
          </cell>
          <cell r="DR85">
            <v>-1.379310344827589E-2</v>
          </cell>
          <cell r="DT85">
            <v>4.5977011494252817E-2</v>
          </cell>
          <cell r="DU85">
            <v>0.75</v>
          </cell>
          <cell r="DV85">
            <v>0.23529411764705888</v>
          </cell>
          <cell r="DX85">
            <v>0.33495934959349594</v>
          </cell>
          <cell r="DY85">
            <v>0.22921914357682627</v>
          </cell>
          <cell r="DZ85">
            <v>0.29347826086956519</v>
          </cell>
        </row>
        <row r="86">
          <cell r="A86" t="str">
            <v xml:space="preserve"> 2QA</v>
          </cell>
          <cell r="B86">
            <v>-0.27388535031847139</v>
          </cell>
          <cell r="C86" t="str">
            <v>NM</v>
          </cell>
          <cell r="D86">
            <v>-0.27388535031847139</v>
          </cell>
          <cell r="F86">
            <v>0.11785714285714288</v>
          </cell>
          <cell r="G86">
            <v>0.21005917159763321</v>
          </cell>
          <cell r="H86">
            <v>0.16828478964401294</v>
          </cell>
          <cell r="J86">
            <v>0.14492753623188404</v>
          </cell>
          <cell r="K86">
            <v>0.21111111111111103</v>
          </cell>
          <cell r="L86">
            <v>0.1823899371069182</v>
          </cell>
          <cell r="N86">
            <v>0.95454545454545459</v>
          </cell>
          <cell r="O86">
            <v>0.95454545454545459</v>
          </cell>
          <cell r="Q86">
            <v>-1</v>
          </cell>
          <cell r="R86">
            <v>0</v>
          </cell>
          <cell r="S86">
            <v>-7.407407407407407E-2</v>
          </cell>
          <cell r="U86">
            <v>-3.937007874015741E-3</v>
          </cell>
          <cell r="V86">
            <v>0.23368421052631572</v>
          </cell>
          <cell r="W86">
            <v>0.11088504577823</v>
          </cell>
          <cell r="Y86">
            <v>0.15705128205128216</v>
          </cell>
          <cell r="Z86">
            <v>0.16279069767441867</v>
          </cell>
          <cell r="AA86">
            <v>0.15829145728643224</v>
          </cell>
          <cell r="AC86" t="str">
            <v xml:space="preserve">  NM</v>
          </cell>
          <cell r="AD86" t="str">
            <v xml:space="preserve">  NM</v>
          </cell>
          <cell r="AE86" t="str">
            <v xml:space="preserve">  NM</v>
          </cell>
          <cell r="AG86">
            <v>-0.33333333333333337</v>
          </cell>
          <cell r="AH86">
            <v>0.75</v>
          </cell>
          <cell r="AI86">
            <v>0.57894736842105265</v>
          </cell>
          <cell r="AK86">
            <v>0.15238095238095228</v>
          </cell>
          <cell r="AL86">
            <v>0.25490196078431371</v>
          </cell>
          <cell r="AM86">
            <v>0.17745803357314149</v>
          </cell>
          <cell r="AO86" t="str">
            <v xml:space="preserve"> 2QA</v>
          </cell>
          <cell r="AP86">
            <v>0.10989010989010994</v>
          </cell>
          <cell r="AQ86">
            <v>5.8333333333333348E-2</v>
          </cell>
          <cell r="AR86">
            <v>8.0568720379146974E-2</v>
          </cell>
          <cell r="AT86">
            <v>0.47422680412371143</v>
          </cell>
          <cell r="AU86">
            <v>-3.0303030303030276E-2</v>
          </cell>
          <cell r="AV86">
            <v>0.26993865030674846</v>
          </cell>
          <cell r="AX86">
            <v>9.0909090909090828E-2</v>
          </cell>
          <cell r="AY86" t="str">
            <v>NM</v>
          </cell>
          <cell r="AZ86">
            <v>0.59090909090909083</v>
          </cell>
          <cell r="BB86">
            <v>3.3333333333333437E-2</v>
          </cell>
          <cell r="BC86">
            <v>-3.546099290780147E-2</v>
          </cell>
          <cell r="BD86">
            <v>-2.3391812865497075E-2</v>
          </cell>
          <cell r="BF86">
            <v>0.24583333333333335</v>
          </cell>
          <cell r="BG86">
            <v>3.3639143730886945E-2</v>
          </cell>
          <cell r="BH86">
            <v>0.12345679012345689</v>
          </cell>
          <cell r="BJ86">
            <v>-0.5</v>
          </cell>
          <cell r="BK86">
            <v>-8.333333333333337E-2</v>
          </cell>
          <cell r="BL86">
            <v>-9.9999999999999978E-2</v>
          </cell>
          <cell r="BN86" t="str">
            <v xml:space="preserve">  NM</v>
          </cell>
          <cell r="BO86">
            <v>0.25</v>
          </cell>
          <cell r="BP86">
            <v>0.25</v>
          </cell>
          <cell r="BR86">
            <v>-0.5</v>
          </cell>
          <cell r="BS86">
            <v>-3.5714285714285698E-2</v>
          </cell>
          <cell r="BT86">
            <v>-5.1724137931034475E-2</v>
          </cell>
          <cell r="BV86" t="str">
            <v xml:space="preserve"> 2QA</v>
          </cell>
          <cell r="BW86">
            <v>-0.5158924205378973</v>
          </cell>
          <cell r="BX86" t="str">
            <v xml:space="preserve">  NM</v>
          </cell>
          <cell r="BY86">
            <v>-0.24574209245742096</v>
          </cell>
          <cell r="CA86">
            <v>0.375</v>
          </cell>
          <cell r="CB86">
            <v>0</v>
          </cell>
          <cell r="CC86">
            <v>0.37142857142857144</v>
          </cell>
          <cell r="CE86">
            <v>1</v>
          </cell>
          <cell r="CF86" t="str">
            <v xml:space="preserve">  NM</v>
          </cell>
          <cell r="CG86">
            <v>1</v>
          </cell>
          <cell r="CI86">
            <v>0.38095238095238093</v>
          </cell>
          <cell r="CJ86">
            <v>0</v>
          </cell>
          <cell r="CK86">
            <v>0.37735849056603765</v>
          </cell>
          <cell r="CM86">
            <v>0.14583333333333326</v>
          </cell>
          <cell r="CN86">
            <v>0</v>
          </cell>
          <cell r="CO86">
            <v>0.1399999999999999</v>
          </cell>
          <cell r="CQ86">
            <v>-0.4</v>
          </cell>
          <cell r="CR86">
            <v>0</v>
          </cell>
          <cell r="CS86">
            <v>-0.18181818181818177</v>
          </cell>
          <cell r="CU86">
            <v>9.4339622641509413E-2</v>
          </cell>
          <cell r="CV86">
            <v>0</v>
          </cell>
          <cell r="CW86">
            <v>8.1967213114754189E-2</v>
          </cell>
          <cell r="CY86" t="str">
            <v xml:space="preserve">  NM</v>
          </cell>
          <cell r="CZ86">
            <v>-0.16666666666666663</v>
          </cell>
          <cell r="DA86">
            <v>-0.1428571428571429</v>
          </cell>
          <cell r="DC86" t="str">
            <v xml:space="preserve"> 2QA</v>
          </cell>
          <cell r="DD86" t="str">
            <v xml:space="preserve">    NM</v>
          </cell>
          <cell r="DE86" t="str">
            <v xml:space="preserve">    NM</v>
          </cell>
          <cell r="DF86" t="str">
            <v xml:space="preserve">    NM</v>
          </cell>
          <cell r="DH86">
            <v>1.3222222222222224</v>
          </cell>
          <cell r="DI86">
            <v>2.5</v>
          </cell>
          <cell r="DJ86">
            <v>1.4292929292929295</v>
          </cell>
          <cell r="DL86">
            <v>9.7628240485383433E-2</v>
          </cell>
          <cell r="DM86">
            <v>0.28254580520732886</v>
          </cell>
          <cell r="DN86">
            <v>0.16491228070175445</v>
          </cell>
          <cell r="DP86">
            <v>2.2556390977443552E-2</v>
          </cell>
          <cell r="DQ86">
            <v>-9.6256684491978661E-2</v>
          </cell>
          <cell r="DR86">
            <v>-4.6875E-2</v>
          </cell>
          <cell r="DT86">
            <v>6.6666666666666652E-2</v>
          </cell>
          <cell r="DU86">
            <v>0.10447761194029859</v>
          </cell>
          <cell r="DV86">
            <v>8.4507042253521236E-2</v>
          </cell>
          <cell r="DX86">
            <v>9.1538842157347755E-2</v>
          </cell>
          <cell r="DY86">
            <v>0.21843532145623556</v>
          </cell>
          <cell r="DZ86">
            <v>0.1410024154589371</v>
          </cell>
        </row>
        <row r="87">
          <cell r="A87" t="str">
            <v xml:space="preserve"> 3QA</v>
          </cell>
          <cell r="B87">
            <v>-0.34554973821989532</v>
          </cell>
          <cell r="C87" t="str">
            <v>NM</v>
          </cell>
          <cell r="D87">
            <v>-0.34554973821989532</v>
          </cell>
          <cell r="F87">
            <v>7.0175438596491224E-2</v>
          </cell>
          <cell r="G87">
            <v>0.28571428571428581</v>
          </cell>
          <cell r="H87">
            <v>0.17585692995529056</v>
          </cell>
          <cell r="J87">
            <v>5.7471264367816133E-2</v>
          </cell>
          <cell r="K87">
            <v>0.21839080459770122</v>
          </cell>
          <cell r="L87">
            <v>0.13793103448275867</v>
          </cell>
          <cell r="N87">
            <v>0.7407407407407407</v>
          </cell>
          <cell r="O87">
            <v>0.7407407407407407</v>
          </cell>
          <cell r="Q87">
            <v>-0.5</v>
          </cell>
          <cell r="R87">
            <v>-4.0000000000000036E-2</v>
          </cell>
          <cell r="S87">
            <v>-7.407407407407407E-2</v>
          </cell>
          <cell r="U87">
            <v>-6.1093247588424382E-2</v>
          </cell>
          <cell r="V87">
            <v>0.28205128205128216</v>
          </cell>
          <cell r="W87">
            <v>8.6238532110091803E-2</v>
          </cell>
          <cell r="Y87">
            <v>5.7071960297766733E-2</v>
          </cell>
          <cell r="Z87">
            <v>0.20930232558139528</v>
          </cell>
          <cell r="AA87">
            <v>8.3844580777096223E-2</v>
          </cell>
          <cell r="AC87" t="str">
            <v xml:space="preserve">  NM</v>
          </cell>
          <cell r="AD87" t="str">
            <v xml:space="preserve">  NM</v>
          </cell>
          <cell r="AE87" t="str">
            <v xml:space="preserve">  NM</v>
          </cell>
          <cell r="AG87">
            <v>-0.33333333333333337</v>
          </cell>
          <cell r="AH87">
            <v>0.39999999999999991</v>
          </cell>
          <cell r="AI87">
            <v>0.30434782608695654</v>
          </cell>
          <cell r="AK87">
            <v>5.4187192118226646E-2</v>
          </cell>
          <cell r="AL87">
            <v>0.24528301886792447</v>
          </cell>
          <cell r="AM87">
            <v>9.375E-2</v>
          </cell>
          <cell r="AO87" t="str">
            <v xml:space="preserve"> 3QA</v>
          </cell>
          <cell r="AP87">
            <v>4.4247787610619538E-2</v>
          </cell>
          <cell r="AQ87">
            <v>0.13913043478260878</v>
          </cell>
          <cell r="AR87">
            <v>9.210526315789469E-2</v>
          </cell>
          <cell r="AT87">
            <v>0.23404255319148937</v>
          </cell>
          <cell r="AU87">
            <v>3.8461538461538547E-2</v>
          </cell>
          <cell r="AV87">
            <v>0.18134715025906734</v>
          </cell>
          <cell r="AX87" t="str">
            <v>NM</v>
          </cell>
          <cell r="AY87" t="str">
            <v>NM</v>
          </cell>
          <cell r="AZ87" t="str">
            <v>NM</v>
          </cell>
          <cell r="BB87">
            <v>0.18918918918918926</v>
          </cell>
          <cell r="BC87">
            <v>6.2992125984252079E-2</v>
          </cell>
          <cell r="BD87">
            <v>9.1463414634146423E-2</v>
          </cell>
          <cell r="BF87">
            <v>-9.0361445783132543E-3</v>
          </cell>
          <cell r="BG87">
            <v>8.503401360544216E-2</v>
          </cell>
          <cell r="BH87">
            <v>3.514376996805102E-2</v>
          </cell>
          <cell r="BJ87">
            <v>-0.33333333333333337</v>
          </cell>
          <cell r="BK87">
            <v>-6.6666666666666652E-2</v>
          </cell>
          <cell r="BL87">
            <v>-8.333333333333337E-2</v>
          </cell>
          <cell r="BN87" t="str">
            <v xml:space="preserve">  NM</v>
          </cell>
          <cell r="BO87">
            <v>0.375</v>
          </cell>
          <cell r="BP87">
            <v>0.375</v>
          </cell>
          <cell r="BR87">
            <v>-0.33333333333333337</v>
          </cell>
          <cell r="BS87">
            <v>0</v>
          </cell>
          <cell r="BT87">
            <v>-1.7857142857142905E-2</v>
          </cell>
          <cell r="BV87" t="str">
            <v xml:space="preserve"> 3QA</v>
          </cell>
          <cell r="BW87">
            <v>0.39999999999999991</v>
          </cell>
          <cell r="BX87">
            <v>2.3846153846153846</v>
          </cell>
          <cell r="BY87">
            <v>0.76595744680851063</v>
          </cell>
          <cell r="CA87">
            <v>0.22881355932203395</v>
          </cell>
          <cell r="CB87">
            <v>-0.15151515151515149</v>
          </cell>
          <cell r="CC87">
            <v>0.22356874216464684</v>
          </cell>
          <cell r="CE87">
            <v>0</v>
          </cell>
          <cell r="CF87" t="str">
            <v xml:space="preserve">  NM</v>
          </cell>
          <cell r="CG87">
            <v>-0.2592592592592593</v>
          </cell>
          <cell r="CI87">
            <v>0.22689075630252109</v>
          </cell>
          <cell r="CJ87">
            <v>-0.30000000000000004</v>
          </cell>
          <cell r="CK87">
            <v>0.21818181818181825</v>
          </cell>
          <cell r="CM87">
            <v>0.1785714285714286</v>
          </cell>
          <cell r="CN87">
            <v>0.5</v>
          </cell>
          <cell r="CO87">
            <v>0.18965517241379315</v>
          </cell>
          <cell r="CQ87">
            <v>-0.33333333333333337</v>
          </cell>
          <cell r="CR87">
            <v>-0.16666666666666663</v>
          </cell>
          <cell r="CS87">
            <v>-0.25</v>
          </cell>
          <cell r="CU87">
            <v>0.12903225806451624</v>
          </cell>
          <cell r="CV87">
            <v>0</v>
          </cell>
          <cell r="CW87">
            <v>0.11428571428571432</v>
          </cell>
          <cell r="CY87">
            <v>-2</v>
          </cell>
          <cell r="CZ87">
            <v>-0.16086956521739137</v>
          </cell>
          <cell r="DA87">
            <v>-0.30800000000000016</v>
          </cell>
          <cell r="DC87" t="str">
            <v xml:space="preserve"> 3QA</v>
          </cell>
          <cell r="DD87" t="str">
            <v xml:space="preserve">    NM</v>
          </cell>
          <cell r="DE87" t="str">
            <v xml:space="preserve">    NM</v>
          </cell>
          <cell r="DF87" t="str">
            <v xml:space="preserve">    NM</v>
          </cell>
          <cell r="DH87">
            <v>1.5583756345177666</v>
          </cell>
          <cell r="DI87">
            <v>1.8260869565217392</v>
          </cell>
          <cell r="DJ87">
            <v>1.5863636363636364</v>
          </cell>
          <cell r="DL87">
            <v>0.19354838709677424</v>
          </cell>
          <cell r="DM87">
            <v>0.27192982456140347</v>
          </cell>
          <cell r="DN87">
            <v>0.22141372141372151</v>
          </cell>
          <cell r="DP87">
            <v>0.16129032258064524</v>
          </cell>
          <cell r="DQ87">
            <v>-4.8780487804878092E-2</v>
          </cell>
          <cell r="DR87">
            <v>5.3291536050156685E-2</v>
          </cell>
          <cell r="DT87">
            <v>0.10447761194029859</v>
          </cell>
          <cell r="DU87">
            <v>-1.7241379310344862E-2</v>
          </cell>
          <cell r="DV87">
            <v>4.8000000000000043E-2</v>
          </cell>
          <cell r="DX87">
            <v>0.1882804995196925</v>
          </cell>
          <cell r="DY87">
            <v>0.21634615384615374</v>
          </cell>
          <cell r="DZ87">
            <v>0.19879879879879869</v>
          </cell>
        </row>
        <row r="88">
          <cell r="A88" t="str">
            <v xml:space="preserve"> 4Q</v>
          </cell>
          <cell r="B88">
            <v>-0.17441860465116277</v>
          </cell>
          <cell r="C88" t="str">
            <v>NM</v>
          </cell>
          <cell r="D88">
            <v>-0.17441860465116277</v>
          </cell>
          <cell r="F88">
            <v>0.14814814814814814</v>
          </cell>
          <cell r="G88">
            <v>0.12658227848101267</v>
          </cell>
          <cell r="H88">
            <v>0.18</v>
          </cell>
          <cell r="J88">
            <v>0.14634146341463405</v>
          </cell>
          <cell r="K88">
            <v>0.17475728155339798</v>
          </cell>
          <cell r="L88">
            <v>0.16216216216216206</v>
          </cell>
          <cell r="N88">
            <v>0.60526315789473695</v>
          </cell>
          <cell r="O88">
            <v>0.60526315789473695</v>
          </cell>
          <cell r="Q88">
            <v>-0.66666666666666674</v>
          </cell>
          <cell r="R88">
            <v>-0.14814814814814814</v>
          </cell>
          <cell r="S88">
            <v>-0.19999999999999996</v>
          </cell>
          <cell r="U88">
            <v>4.8192771084337283E-2</v>
          </cell>
          <cell r="V88">
            <v>0.15452930728241565</v>
          </cell>
          <cell r="W88">
            <v>0.10052447552447563</v>
          </cell>
          <cell r="Y88">
            <v>6.9767441860465018E-2</v>
          </cell>
          <cell r="Z88">
            <v>9.8039215686274161E-3</v>
          </cell>
          <cell r="AA88">
            <v>5.7259713701431458E-2</v>
          </cell>
          <cell r="AC88" t="str">
            <v xml:space="preserve">  NM</v>
          </cell>
          <cell r="AD88" t="str">
            <v xml:space="preserve">  NM</v>
          </cell>
          <cell r="AE88" t="str">
            <v xml:space="preserve">  NM</v>
          </cell>
          <cell r="AG88">
            <v>-0.25</v>
          </cell>
          <cell r="AH88">
            <v>0.23076923076923084</v>
          </cell>
          <cell r="AI88">
            <v>0.16666666666666674</v>
          </cell>
          <cell r="AK88">
            <v>6.6496163682864484E-2</v>
          </cell>
          <cell r="AL88">
            <v>5.46875E-2</v>
          </cell>
          <cell r="AM88">
            <v>6.3583815028901647E-2</v>
          </cell>
          <cell r="AO88" t="str">
            <v xml:space="preserve"> 4Q</v>
          </cell>
          <cell r="AP88">
            <v>0.15126050420168058</v>
          </cell>
          <cell r="AQ88">
            <v>0.10077519379844957</v>
          </cell>
          <cell r="AR88">
            <v>0.125</v>
          </cell>
          <cell r="AT88">
            <v>0.26644736842105265</v>
          </cell>
          <cell r="AU88">
            <v>-2.6666666666666616E-2</v>
          </cell>
          <cell r="AV88">
            <v>0.20844327176780997</v>
          </cell>
          <cell r="AX88">
            <v>-0.9</v>
          </cell>
          <cell r="AY88" t="str">
            <v>NM</v>
          </cell>
          <cell r="AZ88">
            <v>-0.88181818181818183</v>
          </cell>
          <cell r="BB88">
            <v>-0.20930232558139539</v>
          </cell>
          <cell r="BC88">
            <v>-1.7006802721088454E-2</v>
          </cell>
          <cell r="BD88">
            <v>-6.052631578947365E-2</v>
          </cell>
          <cell r="BF88">
            <v>8.7209302325581328E-2</v>
          </cell>
          <cell r="BG88">
            <v>1.4044943820224809E-2</v>
          </cell>
          <cell r="BH88">
            <v>5.7339449541284448E-2</v>
          </cell>
          <cell r="BJ88">
            <v>-0.5</v>
          </cell>
          <cell r="BK88">
            <v>-0.17307692307692313</v>
          </cell>
          <cell r="BL88">
            <v>-0.1964285714285714</v>
          </cell>
          <cell r="BN88" t="str">
            <v xml:space="preserve">  NM</v>
          </cell>
          <cell r="BO88">
            <v>0.44444444444444442</v>
          </cell>
          <cell r="BP88">
            <v>0.44444444444444442</v>
          </cell>
          <cell r="BR88">
            <v>-0.5</v>
          </cell>
          <cell r="BS88">
            <v>-8.1967213114754078E-2</v>
          </cell>
          <cell r="BT88">
            <v>-0.10769230769230764</v>
          </cell>
          <cell r="BV88" t="str">
            <v xml:space="preserve"> 4Q</v>
          </cell>
          <cell r="BW88">
            <v>0.25190839694656497</v>
          </cell>
          <cell r="BX88">
            <v>0.11428571428571432</v>
          </cell>
          <cell r="BY88">
            <v>0.19067796610169485</v>
          </cell>
          <cell r="CA88">
            <v>0.25</v>
          </cell>
          <cell r="CB88">
            <v>0</v>
          </cell>
          <cell r="CC88">
            <v>0.24770642201834869</v>
          </cell>
          <cell r="CE88">
            <v>0</v>
          </cell>
          <cell r="CF88" t="str">
            <v xml:space="preserve">  NM</v>
          </cell>
          <cell r="CG88">
            <v>0</v>
          </cell>
          <cell r="CI88">
            <v>0.24770642201834869</v>
          </cell>
          <cell r="CJ88">
            <v>0</v>
          </cell>
          <cell r="CK88">
            <v>0.24545454545454537</v>
          </cell>
          <cell r="CM88">
            <v>0.12280701754385959</v>
          </cell>
          <cell r="CN88">
            <v>1</v>
          </cell>
          <cell r="CO88">
            <v>0.15254237288135597</v>
          </cell>
          <cell r="CQ88">
            <v>-0.16666666666666663</v>
          </cell>
          <cell r="CR88">
            <v>-0.4285714285714286</v>
          </cell>
          <cell r="CS88">
            <v>-0.30769230769230771</v>
          </cell>
          <cell r="CU88">
            <v>9.5238095238095344E-2</v>
          </cell>
          <cell r="CV88">
            <v>-0.11111111111111116</v>
          </cell>
          <cell r="CW88">
            <v>6.944444444444442E-2</v>
          </cell>
          <cell r="CY88">
            <v>-1.4444444444444444</v>
          </cell>
          <cell r="CZ88">
            <v>1.9607843137254832E-2</v>
          </cell>
          <cell r="DA88">
            <v>0.33333333333333326</v>
          </cell>
          <cell r="DC88" t="str">
            <v xml:space="preserve"> 4Q</v>
          </cell>
          <cell r="DD88" t="str">
            <v xml:space="preserve">    NM</v>
          </cell>
          <cell r="DE88" t="str">
            <v xml:space="preserve">    NM</v>
          </cell>
          <cell r="DF88" t="str">
            <v xml:space="preserve">    NM</v>
          </cell>
          <cell r="DH88">
            <v>1.0265151515151514</v>
          </cell>
          <cell r="DI88">
            <v>1.4</v>
          </cell>
          <cell r="DJ88">
            <v>1.0702341137123748</v>
          </cell>
          <cell r="DL88">
            <v>0.21804878048780485</v>
          </cell>
          <cell r="DM88">
            <v>0.11841100076394184</v>
          </cell>
          <cell r="DN88">
            <v>0.17922000595415311</v>
          </cell>
          <cell r="DP88">
            <v>0.3141025641025641</v>
          </cell>
          <cell r="DQ88">
            <v>-7.423580786026196E-2</v>
          </cell>
          <cell r="DR88">
            <v>8.3116883116883145E-2</v>
          </cell>
          <cell r="DT88">
            <v>2.0000000000000018E-2</v>
          </cell>
          <cell r="DU88">
            <v>6.944444444444442E-2</v>
          </cell>
          <cell r="DV88">
            <v>4.9180327868852514E-2</v>
          </cell>
          <cell r="DX88">
            <v>0.22030141843971629</v>
          </cell>
          <cell r="DY88">
            <v>8.8819875776397605E-2</v>
          </cell>
          <cell r="DZ88">
            <v>0.16554578375582008</v>
          </cell>
        </row>
        <row r="90">
          <cell r="A90" t="str">
            <v>Year</v>
          </cell>
          <cell r="B90">
            <v>-0.26788218793828888</v>
          </cell>
          <cell r="C90" t="str">
            <v>NM</v>
          </cell>
          <cell r="D90">
            <v>-0.26788218793828888</v>
          </cell>
          <cell r="F90">
            <v>0.13278008298755184</v>
          </cell>
          <cell r="G90">
            <v>0.21605839416058403</v>
          </cell>
          <cell r="H90">
            <v>0.17708737864077673</v>
          </cell>
          <cell r="I90" t="e">
            <v>#DIV/0!</v>
          </cell>
          <cell r="J90">
            <v>0.11801242236024834</v>
          </cell>
          <cell r="K90">
            <v>0.19178082191780832</v>
          </cell>
          <cell r="L90">
            <v>0.15720524017467241</v>
          </cell>
          <cell r="N90">
            <v>0.8899999999999999</v>
          </cell>
          <cell r="O90">
            <v>0.8899999999999999</v>
          </cell>
          <cell r="Q90">
            <v>-0.66666666666666674</v>
          </cell>
          <cell r="R90">
            <v>-6.8627450980392135E-2</v>
          </cell>
          <cell r="S90">
            <v>-0.11711711711711714</v>
          </cell>
          <cell r="U90">
            <v>4.4464206313921117E-4</v>
          </cell>
          <cell r="V90">
            <v>0.23128549303045953</v>
          </cell>
          <cell r="W90">
            <v>0.1072623029144768</v>
          </cell>
          <cell r="Y90">
            <v>0.10249494268374915</v>
          </cell>
          <cell r="Z90">
            <v>0.13314447592067991</v>
          </cell>
          <cell r="AA90">
            <v>0.10838779956427014</v>
          </cell>
          <cell r="AC90" t="str">
            <v>NM</v>
          </cell>
          <cell r="AD90" t="str">
            <v>NM</v>
          </cell>
          <cell r="AE90" t="str">
            <v>NM</v>
          </cell>
          <cell r="AG90">
            <v>-0.2857142857142857</v>
          </cell>
          <cell r="AH90">
            <v>0.5</v>
          </cell>
          <cell r="AI90">
            <v>0.375</v>
          </cell>
          <cell r="AK90">
            <v>9.8864395457581855E-2</v>
          </cell>
          <cell r="AL90">
            <v>0.19672131147540983</v>
          </cell>
          <cell r="AM90">
            <v>0.12058212058212048</v>
          </cell>
          <cell r="AO90" t="str">
            <v>Year</v>
          </cell>
          <cell r="AP90">
            <v>8.8435374149659962E-2</v>
          </cell>
          <cell r="AQ90">
            <v>9.6842105263157841E-2</v>
          </cell>
          <cell r="AR90">
            <v>9.2794759825327588E-2</v>
          </cell>
          <cell r="AT90">
            <v>0.35142118863049099</v>
          </cell>
          <cell r="AU90">
            <v>7.8651685393258397E-2</v>
          </cell>
          <cell r="AV90">
            <v>0.28146013448607099</v>
          </cell>
          <cell r="AW90" t="e">
            <v>#DIV/0!</v>
          </cell>
          <cell r="AX90">
            <v>-0.50649350649350655</v>
          </cell>
          <cell r="AY90" t="str">
            <v>NM</v>
          </cell>
          <cell r="AZ90">
            <v>-0.39937106918238996</v>
          </cell>
          <cell r="BB90">
            <v>-2.6315789473684181E-2</v>
          </cell>
          <cell r="BC90">
            <v>2.2563176895306958E-2</v>
          </cell>
          <cell r="BD90">
            <v>1.2039660056657242E-2</v>
          </cell>
          <cell r="BF90">
            <v>0.1505588428665352</v>
          </cell>
          <cell r="BG90">
            <v>7.2252113758647152E-2</v>
          </cell>
          <cell r="BH90">
            <v>0.1144578313253013</v>
          </cell>
          <cell r="BJ90">
            <v>-0.41666666666666663</v>
          </cell>
          <cell r="BK90">
            <v>-9.4736842105263119E-2</v>
          </cell>
          <cell r="BL90">
            <v>-0.11386138613861385</v>
          </cell>
          <cell r="BN90" t="str">
            <v xml:space="preserve">  NM</v>
          </cell>
          <cell r="BO90">
            <v>0.34482758620689657</v>
          </cell>
          <cell r="BP90">
            <v>0.34482758620689657</v>
          </cell>
          <cell r="BR90">
            <v>-0.41666666666666663</v>
          </cell>
          <cell r="BS90">
            <v>-3.6529680365296802E-2</v>
          </cell>
          <cell r="BT90">
            <v>-5.6277056277056259E-2</v>
          </cell>
          <cell r="BV90" t="str">
            <v>Year</v>
          </cell>
          <cell r="BW90">
            <v>2.5954198473282508E-2</v>
          </cell>
          <cell r="BX90">
            <v>1.7142857142857144</v>
          </cell>
          <cell r="BY90">
            <v>0.31091370558375631</v>
          </cell>
          <cell r="CA90">
            <v>0.33333333333333326</v>
          </cell>
          <cell r="CB90">
            <v>-5.3763440860215006E-2</v>
          </cell>
          <cell r="CC90">
            <v>0.32900276675087214</v>
          </cell>
          <cell r="CE90">
            <v>0.19999999999999996</v>
          </cell>
          <cell r="CF90" t="str">
            <v xml:space="preserve">  NM</v>
          </cell>
          <cell r="CG90">
            <v>0.12149532710280386</v>
          </cell>
          <cell r="CI90">
            <v>0.33173076923076916</v>
          </cell>
          <cell r="CJ90">
            <v>-0.11999999999999988</v>
          </cell>
          <cell r="CK90">
            <v>0.32636579572446545</v>
          </cell>
          <cell r="CM90">
            <v>0.14746543778801846</v>
          </cell>
          <cell r="CN90" t="str">
            <v xml:space="preserve">  NM</v>
          </cell>
          <cell r="CO90">
            <v>0.15999999999999992</v>
          </cell>
          <cell r="CQ90">
            <v>-0.30434782608695654</v>
          </cell>
          <cell r="CR90">
            <v>-0.23076923076923073</v>
          </cell>
          <cell r="CS90">
            <v>-0.26530612244897955</v>
          </cell>
          <cell r="CU90">
            <v>0.10416666666666674</v>
          </cell>
          <cell r="CV90">
            <v>-5.8823529411764719E-2</v>
          </cell>
          <cell r="CW90">
            <v>8.3941605839416011E-2</v>
          </cell>
          <cell r="CY90">
            <v>-1.6666666666666665</v>
          </cell>
          <cell r="CZ90">
            <v>-0.13396226415094348</v>
          </cell>
          <cell r="DA90">
            <v>-0.11196172248803826</v>
          </cell>
          <cell r="DC90" t="str">
            <v>Year</v>
          </cell>
          <cell r="DD90" t="str">
            <v xml:space="preserve">    NM</v>
          </cell>
          <cell r="DE90" t="str">
            <v xml:space="preserve">    NM</v>
          </cell>
          <cell r="DF90" t="str">
            <v xml:space="preserve">    NM</v>
          </cell>
          <cell r="DH90">
            <v>1.3294871794871796</v>
          </cell>
          <cell r="DI90">
            <v>1.9310344827586206</v>
          </cell>
          <cell r="DJ90">
            <v>1.3898500576701269</v>
          </cell>
          <cell r="DL90">
            <v>0.21650604045065824</v>
          </cell>
          <cell r="DM90">
            <v>0.22571756601607351</v>
          </cell>
          <cell r="DN90">
            <v>0.21992833987374172</v>
          </cell>
          <cell r="DP90">
            <v>0.14336917562724016</v>
          </cell>
          <cell r="DQ90">
            <v>-6.6137566137566162E-2</v>
          </cell>
          <cell r="DR90">
            <v>2.2831050228310446E-2</v>
          </cell>
          <cell r="DS90" t="e">
            <v>#DIV/0!</v>
          </cell>
          <cell r="DT90">
            <v>6.0931899641577081E-2</v>
          </cell>
          <cell r="DU90">
            <v>0.15283842794759828</v>
          </cell>
          <cell r="DV90">
            <v>0.10236220472440949</v>
          </cell>
          <cell r="DW90" t="e">
            <v>#DIV/0!</v>
          </cell>
          <cell r="DX90">
            <v>0.20624085811799131</v>
          </cell>
          <cell r="DY90">
            <v>0.18127340823970028</v>
          </cell>
          <cell r="DZ90">
            <v>0.19639692852923796</v>
          </cell>
        </row>
        <row r="92">
          <cell r="A92" t="str">
            <v>1999</v>
          </cell>
          <cell r="X92">
            <v>0</v>
          </cell>
          <cell r="AO92" t="str">
            <v>1999</v>
          </cell>
          <cell r="BE92">
            <v>0</v>
          </cell>
          <cell r="BI92">
            <v>0</v>
          </cell>
          <cell r="BV92" t="str">
            <v>1999</v>
          </cell>
          <cell r="CL92">
            <v>0</v>
          </cell>
          <cell r="CX92">
            <v>0</v>
          </cell>
          <cell r="DC92" t="str">
            <v>1999</v>
          </cell>
          <cell r="DK92">
            <v>0</v>
          </cell>
        </row>
        <row r="93">
          <cell r="A93" t="str">
            <v xml:space="preserve"> 1QA</v>
          </cell>
          <cell r="B93">
            <v>141</v>
          </cell>
          <cell r="C93">
            <v>0</v>
          </cell>
          <cell r="D93">
            <v>141</v>
          </cell>
          <cell r="E93">
            <v>0</v>
          </cell>
          <cell r="F93">
            <v>314</v>
          </cell>
          <cell r="G93">
            <v>389</v>
          </cell>
          <cell r="H93">
            <v>703</v>
          </cell>
          <cell r="I93">
            <v>0</v>
          </cell>
          <cell r="J93">
            <v>95</v>
          </cell>
          <cell r="K93">
            <v>99</v>
          </cell>
          <cell r="L93">
            <v>194</v>
          </cell>
          <cell r="M93">
            <v>0</v>
          </cell>
          <cell r="N93">
            <v>38</v>
          </cell>
          <cell r="O93">
            <v>38</v>
          </cell>
          <cell r="Q93">
            <v>1</v>
          </cell>
          <cell r="R93">
            <v>23</v>
          </cell>
          <cell r="S93">
            <v>24</v>
          </cell>
          <cell r="U93">
            <v>551</v>
          </cell>
          <cell r="V93">
            <v>549</v>
          </cell>
          <cell r="W93">
            <v>1100</v>
          </cell>
          <cell r="Y93">
            <v>434</v>
          </cell>
          <cell r="Z93">
            <v>93</v>
          </cell>
          <cell r="AA93">
            <v>527</v>
          </cell>
          <cell r="AC93">
            <v>0</v>
          </cell>
          <cell r="AD93">
            <v>0</v>
          </cell>
          <cell r="AE93">
            <v>0</v>
          </cell>
          <cell r="AG93">
            <v>3</v>
          </cell>
          <cell r="AH93">
            <v>23</v>
          </cell>
          <cell r="AI93">
            <v>26</v>
          </cell>
          <cell r="AK93">
            <v>437</v>
          </cell>
          <cell r="AL93">
            <v>116</v>
          </cell>
          <cell r="AM93">
            <v>553</v>
          </cell>
          <cell r="AO93" t="str">
            <v xml:space="preserve"> 1QA</v>
          </cell>
          <cell r="AP93">
            <v>124</v>
          </cell>
          <cell r="AQ93">
            <v>121</v>
          </cell>
          <cell r="AR93">
            <v>245</v>
          </cell>
          <cell r="AT93">
            <v>344</v>
          </cell>
          <cell r="AU93">
            <v>97</v>
          </cell>
          <cell r="AV93">
            <v>441</v>
          </cell>
          <cell r="AX93">
            <v>54</v>
          </cell>
          <cell r="AY93">
            <v>8</v>
          </cell>
          <cell r="AZ93">
            <v>62</v>
          </cell>
          <cell r="BB93">
            <v>39</v>
          </cell>
          <cell r="BC93">
            <v>151</v>
          </cell>
          <cell r="BD93">
            <v>190</v>
          </cell>
          <cell r="BF93">
            <v>561</v>
          </cell>
          <cell r="BG93">
            <v>377</v>
          </cell>
          <cell r="BH93">
            <v>938</v>
          </cell>
          <cell r="BJ93">
            <v>2</v>
          </cell>
          <cell r="BK93">
            <v>43</v>
          </cell>
          <cell r="BL93">
            <v>45</v>
          </cell>
          <cell r="BN93">
            <v>0</v>
          </cell>
          <cell r="BO93">
            <v>5</v>
          </cell>
          <cell r="BP93">
            <v>5</v>
          </cell>
          <cell r="BR93">
            <v>2</v>
          </cell>
          <cell r="BS93">
            <v>48</v>
          </cell>
          <cell r="BT93">
            <v>50</v>
          </cell>
          <cell r="BV93" t="str">
            <v xml:space="preserve"> 1QA</v>
          </cell>
          <cell r="BW93">
            <v>149</v>
          </cell>
          <cell r="BX93">
            <v>44</v>
          </cell>
          <cell r="BY93">
            <v>193</v>
          </cell>
          <cell r="CA93">
            <v>125</v>
          </cell>
          <cell r="CB93">
            <v>1</v>
          </cell>
          <cell r="CC93">
            <v>126</v>
          </cell>
          <cell r="CE93">
            <v>2</v>
          </cell>
          <cell r="CF93">
            <v>0</v>
          </cell>
          <cell r="CG93">
            <v>2</v>
          </cell>
          <cell r="CI93">
            <v>127</v>
          </cell>
          <cell r="CJ93">
            <v>1</v>
          </cell>
          <cell r="CK93">
            <v>128</v>
          </cell>
          <cell r="CM93">
            <v>64</v>
          </cell>
          <cell r="CN93">
            <v>3</v>
          </cell>
          <cell r="CO93">
            <v>67</v>
          </cell>
          <cell r="CQ93">
            <v>4</v>
          </cell>
          <cell r="CR93">
            <v>5</v>
          </cell>
          <cell r="CS93">
            <v>9</v>
          </cell>
          <cell r="CU93">
            <v>68</v>
          </cell>
          <cell r="CV93">
            <v>8</v>
          </cell>
          <cell r="CW93">
            <v>76</v>
          </cell>
          <cell r="CY93">
            <v>0</v>
          </cell>
          <cell r="CZ93">
            <v>53</v>
          </cell>
          <cell r="DA93">
            <v>53</v>
          </cell>
          <cell r="DC93" t="str">
            <v xml:space="preserve"> 1QA</v>
          </cell>
          <cell r="DD93">
            <v>0</v>
          </cell>
          <cell r="DE93">
            <v>0</v>
          </cell>
          <cell r="DF93">
            <v>0</v>
          </cell>
          <cell r="DH93">
            <v>360</v>
          </cell>
          <cell r="DI93">
            <v>43</v>
          </cell>
          <cell r="DJ93">
            <v>403</v>
          </cell>
          <cell r="DL93">
            <v>2255</v>
          </cell>
          <cell r="DM93">
            <v>1239</v>
          </cell>
          <cell r="DN93">
            <v>3494</v>
          </cell>
          <cell r="DP93">
            <v>117</v>
          </cell>
          <cell r="DQ93">
            <v>169</v>
          </cell>
          <cell r="DR93">
            <v>286</v>
          </cell>
          <cell r="DT93">
            <v>91</v>
          </cell>
          <cell r="DU93">
            <v>56</v>
          </cell>
          <cell r="DV93">
            <v>147</v>
          </cell>
          <cell r="DX93">
            <v>2463</v>
          </cell>
          <cell r="DY93">
            <v>1464</v>
          </cell>
          <cell r="DZ93">
            <v>3927</v>
          </cell>
        </row>
        <row r="94">
          <cell r="A94" t="str">
            <v xml:space="preserve"> 2QA</v>
          </cell>
          <cell r="B94">
            <v>114</v>
          </cell>
          <cell r="C94">
            <v>0</v>
          </cell>
          <cell r="D94">
            <v>114</v>
          </cell>
          <cell r="E94">
            <v>0</v>
          </cell>
          <cell r="F94">
            <v>313</v>
          </cell>
          <cell r="G94">
            <v>409</v>
          </cell>
          <cell r="H94">
            <v>722</v>
          </cell>
          <cell r="J94">
            <v>79</v>
          </cell>
          <cell r="K94">
            <v>109</v>
          </cell>
          <cell r="L94">
            <v>188</v>
          </cell>
          <cell r="M94">
            <v>0</v>
          </cell>
          <cell r="N94">
            <v>43</v>
          </cell>
          <cell r="O94">
            <v>43</v>
          </cell>
          <cell r="Q94">
            <v>0</v>
          </cell>
          <cell r="R94">
            <v>25</v>
          </cell>
          <cell r="S94">
            <v>25</v>
          </cell>
          <cell r="U94">
            <v>506</v>
          </cell>
          <cell r="V94">
            <v>586</v>
          </cell>
          <cell r="W94">
            <v>1092</v>
          </cell>
          <cell r="Y94">
            <v>361</v>
          </cell>
          <cell r="Z94">
            <v>100</v>
          </cell>
          <cell r="AA94">
            <v>461</v>
          </cell>
          <cell r="AC94">
            <v>0</v>
          </cell>
          <cell r="AD94">
            <v>0</v>
          </cell>
          <cell r="AE94">
            <v>0</v>
          </cell>
          <cell r="AG94">
            <v>2</v>
          </cell>
          <cell r="AH94">
            <v>28</v>
          </cell>
          <cell r="AI94">
            <v>30</v>
          </cell>
          <cell r="AK94">
            <v>363</v>
          </cell>
          <cell r="AL94">
            <v>128</v>
          </cell>
          <cell r="AM94">
            <v>491</v>
          </cell>
          <cell r="AO94" t="str">
            <v xml:space="preserve"> 2QA</v>
          </cell>
          <cell r="AP94">
            <v>101</v>
          </cell>
          <cell r="AQ94">
            <v>127</v>
          </cell>
          <cell r="AR94">
            <v>228</v>
          </cell>
          <cell r="AT94">
            <v>143</v>
          </cell>
          <cell r="AU94">
            <v>64</v>
          </cell>
          <cell r="AV94">
            <v>207</v>
          </cell>
          <cell r="AX94">
            <v>24</v>
          </cell>
          <cell r="AY94">
            <v>11</v>
          </cell>
          <cell r="AZ94">
            <v>35</v>
          </cell>
          <cell r="BB94">
            <v>31</v>
          </cell>
          <cell r="BC94">
            <v>136</v>
          </cell>
          <cell r="BD94">
            <v>167</v>
          </cell>
          <cell r="BF94">
            <v>299</v>
          </cell>
          <cell r="BG94">
            <v>338</v>
          </cell>
          <cell r="BH94">
            <v>637</v>
          </cell>
          <cell r="BJ94">
            <v>1</v>
          </cell>
          <cell r="BK94">
            <v>44</v>
          </cell>
          <cell r="BL94">
            <v>45</v>
          </cell>
          <cell r="BN94">
            <v>0</v>
          </cell>
          <cell r="BO94">
            <v>10</v>
          </cell>
          <cell r="BP94">
            <v>10</v>
          </cell>
          <cell r="BR94">
            <v>1</v>
          </cell>
          <cell r="BS94">
            <v>54</v>
          </cell>
          <cell r="BT94">
            <v>55</v>
          </cell>
          <cell r="BV94" t="str">
            <v xml:space="preserve"> 2QA</v>
          </cell>
          <cell r="BW94">
            <v>198</v>
          </cell>
          <cell r="BX94">
            <v>112</v>
          </cell>
          <cell r="BY94">
            <v>310</v>
          </cell>
          <cell r="CA94">
            <v>143</v>
          </cell>
          <cell r="CB94">
            <v>1</v>
          </cell>
          <cell r="CC94">
            <v>144</v>
          </cell>
          <cell r="CE94">
            <v>2</v>
          </cell>
          <cell r="CF94">
            <v>0</v>
          </cell>
          <cell r="CG94">
            <v>2</v>
          </cell>
          <cell r="CI94">
            <v>145</v>
          </cell>
          <cell r="CJ94">
            <v>1</v>
          </cell>
          <cell r="CK94">
            <v>146</v>
          </cell>
          <cell r="CM94">
            <v>55</v>
          </cell>
          <cell r="CN94">
            <v>2</v>
          </cell>
          <cell r="CO94">
            <v>57</v>
          </cell>
          <cell r="CQ94">
            <v>3</v>
          </cell>
          <cell r="CR94">
            <v>6</v>
          </cell>
          <cell r="CS94">
            <v>9</v>
          </cell>
          <cell r="CU94">
            <v>58</v>
          </cell>
          <cell r="CV94">
            <v>8</v>
          </cell>
          <cell r="CW94">
            <v>66</v>
          </cell>
          <cell r="CY94">
            <v>2</v>
          </cell>
          <cell r="CZ94">
            <v>40</v>
          </cell>
          <cell r="DA94">
            <v>42</v>
          </cell>
          <cell r="DC94" t="str">
            <v xml:space="preserve"> 2QA</v>
          </cell>
          <cell r="DD94">
            <v>0</v>
          </cell>
          <cell r="DE94">
            <v>0</v>
          </cell>
          <cell r="DF94">
            <v>0</v>
          </cell>
          <cell r="DH94">
            <v>418</v>
          </cell>
          <cell r="DI94">
            <v>63</v>
          </cell>
          <cell r="DJ94">
            <v>481</v>
          </cell>
          <cell r="DL94">
            <v>1990</v>
          </cell>
          <cell r="DM94">
            <v>1330</v>
          </cell>
          <cell r="DN94">
            <v>3320</v>
          </cell>
          <cell r="DP94">
            <v>136</v>
          </cell>
          <cell r="DQ94">
            <v>169</v>
          </cell>
          <cell r="DR94">
            <v>305</v>
          </cell>
          <cell r="DT94">
            <v>80</v>
          </cell>
          <cell r="DU94">
            <v>74</v>
          </cell>
          <cell r="DV94">
            <v>154</v>
          </cell>
          <cell r="DX94">
            <v>2206</v>
          </cell>
          <cell r="DY94">
            <v>1573</v>
          </cell>
          <cell r="DZ94">
            <v>3779</v>
          </cell>
        </row>
        <row r="95">
          <cell r="A95" t="str">
            <v xml:space="preserve"> 3QA</v>
          </cell>
          <cell r="B95">
            <v>125</v>
          </cell>
          <cell r="C95">
            <v>0</v>
          </cell>
          <cell r="D95">
            <v>125</v>
          </cell>
          <cell r="E95">
            <v>0</v>
          </cell>
          <cell r="F95">
            <v>366</v>
          </cell>
          <cell r="G95">
            <v>423</v>
          </cell>
          <cell r="H95">
            <v>789</v>
          </cell>
          <cell r="I95">
            <v>0</v>
          </cell>
          <cell r="J95">
            <v>92</v>
          </cell>
          <cell r="K95">
            <v>106</v>
          </cell>
          <cell r="L95">
            <v>198</v>
          </cell>
          <cell r="M95">
            <v>0</v>
          </cell>
          <cell r="N95">
            <v>47</v>
          </cell>
          <cell r="O95">
            <v>47</v>
          </cell>
          <cell r="Q95">
            <v>1</v>
          </cell>
          <cell r="R95">
            <v>24</v>
          </cell>
          <cell r="S95">
            <v>25</v>
          </cell>
          <cell r="U95">
            <v>584</v>
          </cell>
          <cell r="V95">
            <v>600</v>
          </cell>
          <cell r="W95">
            <v>1184</v>
          </cell>
          <cell r="Y95">
            <v>426</v>
          </cell>
          <cell r="Z95">
            <v>104</v>
          </cell>
          <cell r="AA95">
            <v>530</v>
          </cell>
          <cell r="AC95">
            <v>0</v>
          </cell>
          <cell r="AD95">
            <v>0</v>
          </cell>
          <cell r="AE95">
            <v>0</v>
          </cell>
          <cell r="AG95">
            <v>2</v>
          </cell>
          <cell r="AH95">
            <v>28</v>
          </cell>
          <cell r="AI95">
            <v>30</v>
          </cell>
          <cell r="AK95">
            <v>428</v>
          </cell>
          <cell r="AL95">
            <v>132</v>
          </cell>
          <cell r="AM95">
            <v>560</v>
          </cell>
          <cell r="AO95" t="str">
            <v xml:space="preserve"> 3QA</v>
          </cell>
          <cell r="AP95">
            <v>118</v>
          </cell>
          <cell r="AQ95">
            <v>131</v>
          </cell>
          <cell r="AR95">
            <v>249</v>
          </cell>
          <cell r="AT95">
            <v>174</v>
          </cell>
          <cell r="AU95">
            <v>54</v>
          </cell>
          <cell r="AV95">
            <v>228</v>
          </cell>
          <cell r="AX95">
            <v>-7</v>
          </cell>
          <cell r="AY95">
            <v>-1</v>
          </cell>
          <cell r="AZ95">
            <v>-8</v>
          </cell>
          <cell r="BB95">
            <v>44</v>
          </cell>
          <cell r="BC95">
            <v>135</v>
          </cell>
          <cell r="BD95">
            <v>179</v>
          </cell>
          <cell r="BF95">
            <v>329</v>
          </cell>
          <cell r="BG95">
            <v>319</v>
          </cell>
          <cell r="BH95">
            <v>648</v>
          </cell>
          <cell r="BJ95">
            <v>2</v>
          </cell>
          <cell r="BK95">
            <v>42</v>
          </cell>
          <cell r="BL95">
            <v>44</v>
          </cell>
          <cell r="BN95">
            <v>0</v>
          </cell>
          <cell r="BO95">
            <v>11</v>
          </cell>
          <cell r="BP95">
            <v>11</v>
          </cell>
          <cell r="BR95">
            <v>2</v>
          </cell>
          <cell r="BS95">
            <v>53</v>
          </cell>
          <cell r="BT95">
            <v>55</v>
          </cell>
          <cell r="BV95" t="str">
            <v xml:space="preserve"> 3QA</v>
          </cell>
          <cell r="BW95">
            <v>161</v>
          </cell>
          <cell r="BX95">
            <v>88</v>
          </cell>
          <cell r="BY95">
            <v>249</v>
          </cell>
          <cell r="CA95">
            <v>145</v>
          </cell>
          <cell r="CB95">
            <v>1.4</v>
          </cell>
          <cell r="CC95">
            <v>146.4</v>
          </cell>
          <cell r="CE95">
            <v>1</v>
          </cell>
          <cell r="CF95">
            <v>0</v>
          </cell>
          <cell r="CG95">
            <v>1</v>
          </cell>
          <cell r="CI95">
            <v>146</v>
          </cell>
          <cell r="CJ95">
            <v>1.4</v>
          </cell>
          <cell r="CK95">
            <v>147.4</v>
          </cell>
          <cell r="CM95">
            <v>66</v>
          </cell>
          <cell r="CN95">
            <v>3</v>
          </cell>
          <cell r="CO95">
            <v>69</v>
          </cell>
          <cell r="CQ95">
            <v>4</v>
          </cell>
          <cell r="CR95">
            <v>5</v>
          </cell>
          <cell r="CS95">
            <v>9</v>
          </cell>
          <cell r="CU95">
            <v>70</v>
          </cell>
          <cell r="CV95">
            <v>8</v>
          </cell>
          <cell r="CW95">
            <v>78</v>
          </cell>
          <cell r="CY95">
            <v>-4</v>
          </cell>
          <cell r="CZ95">
            <v>38.599999999999994</v>
          </cell>
          <cell r="DA95">
            <v>34.599999999999994</v>
          </cell>
          <cell r="DC95" t="str">
            <v xml:space="preserve"> 3QA</v>
          </cell>
          <cell r="DD95">
            <v>0</v>
          </cell>
          <cell r="DE95">
            <v>0</v>
          </cell>
          <cell r="DF95">
            <v>0</v>
          </cell>
          <cell r="DH95">
            <v>504</v>
          </cell>
          <cell r="DI95">
            <v>65</v>
          </cell>
          <cell r="DJ95">
            <v>569</v>
          </cell>
          <cell r="DL95">
            <v>2220</v>
          </cell>
          <cell r="DM95">
            <v>1305</v>
          </cell>
          <cell r="DN95">
            <v>3525</v>
          </cell>
          <cell r="DP95">
            <v>180</v>
          </cell>
          <cell r="DQ95">
            <v>156</v>
          </cell>
          <cell r="DR95">
            <v>336</v>
          </cell>
          <cell r="DT95">
            <v>74</v>
          </cell>
          <cell r="DU95">
            <v>57</v>
          </cell>
          <cell r="DV95">
            <v>131</v>
          </cell>
          <cell r="DX95">
            <v>2474</v>
          </cell>
          <cell r="DY95">
            <v>1518</v>
          </cell>
          <cell r="DZ95">
            <v>3992</v>
          </cell>
        </row>
        <row r="96">
          <cell r="A96" t="str">
            <v xml:space="preserve"> 4Q</v>
          </cell>
          <cell r="B96">
            <v>142</v>
          </cell>
          <cell r="C96">
            <v>0</v>
          </cell>
          <cell r="D96">
            <v>142</v>
          </cell>
          <cell r="E96">
            <v>0</v>
          </cell>
          <cell r="F96">
            <v>372</v>
          </cell>
          <cell r="G96">
            <v>445</v>
          </cell>
          <cell r="H96">
            <v>817</v>
          </cell>
          <cell r="I96">
            <v>0</v>
          </cell>
          <cell r="J96">
            <v>94</v>
          </cell>
          <cell r="K96">
            <v>121</v>
          </cell>
          <cell r="L96">
            <v>215</v>
          </cell>
          <cell r="M96">
            <v>0</v>
          </cell>
          <cell r="N96">
            <v>61</v>
          </cell>
          <cell r="O96">
            <v>61</v>
          </cell>
          <cell r="Q96">
            <v>1</v>
          </cell>
          <cell r="R96">
            <v>23</v>
          </cell>
          <cell r="S96">
            <v>24</v>
          </cell>
          <cell r="U96">
            <v>609</v>
          </cell>
          <cell r="V96">
            <v>650</v>
          </cell>
          <cell r="W96">
            <v>1259</v>
          </cell>
          <cell r="Y96">
            <v>414</v>
          </cell>
          <cell r="Z96">
            <v>103</v>
          </cell>
          <cell r="AA96">
            <v>517</v>
          </cell>
          <cell r="AC96">
            <v>0</v>
          </cell>
          <cell r="AD96">
            <v>0</v>
          </cell>
          <cell r="AE96">
            <v>0</v>
          </cell>
          <cell r="AG96">
            <v>3</v>
          </cell>
          <cell r="AH96">
            <v>32</v>
          </cell>
          <cell r="AI96">
            <v>35</v>
          </cell>
          <cell r="AK96">
            <v>417</v>
          </cell>
          <cell r="AL96">
            <v>135</v>
          </cell>
          <cell r="AM96">
            <v>552</v>
          </cell>
          <cell r="AO96" t="str">
            <v xml:space="preserve"> 4Q</v>
          </cell>
          <cell r="AP96">
            <v>137</v>
          </cell>
          <cell r="AQ96">
            <v>142</v>
          </cell>
          <cell r="AR96">
            <v>279</v>
          </cell>
          <cell r="AT96">
            <v>385</v>
          </cell>
          <cell r="AU96">
            <v>73</v>
          </cell>
          <cell r="AV96">
            <v>458</v>
          </cell>
          <cell r="AX96">
            <v>4.9999999999999991</v>
          </cell>
          <cell r="AY96">
            <v>1.5</v>
          </cell>
          <cell r="AZ96">
            <v>6.4999999999999991</v>
          </cell>
          <cell r="BB96">
            <v>34</v>
          </cell>
          <cell r="BC96">
            <v>144.5</v>
          </cell>
          <cell r="BD96">
            <v>178.5</v>
          </cell>
          <cell r="BF96">
            <v>561</v>
          </cell>
          <cell r="BG96">
            <v>361</v>
          </cell>
          <cell r="BH96">
            <v>922</v>
          </cell>
          <cell r="BJ96">
            <v>2</v>
          </cell>
          <cell r="BK96">
            <v>43</v>
          </cell>
          <cell r="BL96">
            <v>45</v>
          </cell>
          <cell r="BN96">
            <v>0</v>
          </cell>
          <cell r="BO96">
            <v>13</v>
          </cell>
          <cell r="BP96">
            <v>13</v>
          </cell>
          <cell r="BR96">
            <v>2</v>
          </cell>
          <cell r="BS96">
            <v>56</v>
          </cell>
          <cell r="BT96">
            <v>58</v>
          </cell>
          <cell r="BV96" t="str">
            <v xml:space="preserve"> 4Q</v>
          </cell>
          <cell r="BW96">
            <v>164</v>
          </cell>
          <cell r="BX96">
            <v>117</v>
          </cell>
          <cell r="BY96">
            <v>281</v>
          </cell>
          <cell r="CA96">
            <v>135</v>
          </cell>
          <cell r="CB96">
            <v>1</v>
          </cell>
          <cell r="CC96">
            <v>136</v>
          </cell>
          <cell r="CE96">
            <v>1</v>
          </cell>
          <cell r="CF96">
            <v>0</v>
          </cell>
          <cell r="CG96">
            <v>1</v>
          </cell>
          <cell r="CI96">
            <v>136</v>
          </cell>
          <cell r="CJ96">
            <v>1</v>
          </cell>
          <cell r="CK96">
            <v>137</v>
          </cell>
          <cell r="CM96">
            <v>64</v>
          </cell>
          <cell r="CN96">
            <v>4</v>
          </cell>
          <cell r="CO96">
            <v>68</v>
          </cell>
          <cell r="CQ96">
            <v>5</v>
          </cell>
          <cell r="CR96">
            <v>4</v>
          </cell>
          <cell r="CS96">
            <v>9</v>
          </cell>
          <cell r="CU96">
            <v>69</v>
          </cell>
          <cell r="CV96">
            <v>8</v>
          </cell>
          <cell r="CW96">
            <v>77</v>
          </cell>
          <cell r="CY96">
            <v>4</v>
          </cell>
          <cell r="CZ96">
            <v>52</v>
          </cell>
          <cell r="DA96">
            <v>56</v>
          </cell>
          <cell r="DC96" t="str">
            <v xml:space="preserve"> 4Q</v>
          </cell>
          <cell r="DD96">
            <v>0</v>
          </cell>
          <cell r="DE96">
            <v>0</v>
          </cell>
          <cell r="DF96">
            <v>0</v>
          </cell>
          <cell r="DH96">
            <v>535</v>
          </cell>
          <cell r="DI96">
            <v>84</v>
          </cell>
          <cell r="DJ96">
            <v>619</v>
          </cell>
          <cell r="DL96">
            <v>2497</v>
          </cell>
          <cell r="DM96">
            <v>1464</v>
          </cell>
          <cell r="DN96">
            <v>3961</v>
          </cell>
          <cell r="DP96">
            <v>205</v>
          </cell>
          <cell r="DQ96">
            <v>212</v>
          </cell>
          <cell r="DR96">
            <v>417</v>
          </cell>
          <cell r="DT96">
            <v>51</v>
          </cell>
          <cell r="DU96">
            <v>77</v>
          </cell>
          <cell r="DV96">
            <v>128</v>
          </cell>
          <cell r="DX96">
            <v>2753</v>
          </cell>
          <cell r="DY96">
            <v>1753</v>
          </cell>
          <cell r="DZ96">
            <v>4506</v>
          </cell>
        </row>
        <row r="98">
          <cell r="A98" t="str">
            <v>Year</v>
          </cell>
          <cell r="B98">
            <v>522</v>
          </cell>
          <cell r="C98">
            <v>0</v>
          </cell>
          <cell r="D98">
            <v>522</v>
          </cell>
          <cell r="F98">
            <v>1365</v>
          </cell>
          <cell r="G98">
            <v>1666</v>
          </cell>
          <cell r="H98">
            <v>3031</v>
          </cell>
          <cell r="J98">
            <v>360</v>
          </cell>
          <cell r="K98">
            <v>435</v>
          </cell>
          <cell r="L98">
            <v>795</v>
          </cell>
          <cell r="M98">
            <v>0</v>
          </cell>
          <cell r="N98">
            <v>189</v>
          </cell>
          <cell r="O98">
            <v>189</v>
          </cell>
          <cell r="Q98">
            <v>3</v>
          </cell>
          <cell r="R98">
            <v>95</v>
          </cell>
          <cell r="S98">
            <v>98</v>
          </cell>
          <cell r="U98">
            <v>2250</v>
          </cell>
          <cell r="V98">
            <v>2385</v>
          </cell>
          <cell r="W98">
            <v>4635</v>
          </cell>
          <cell r="Y98">
            <v>1635</v>
          </cell>
          <cell r="Z98">
            <v>400</v>
          </cell>
          <cell r="AA98">
            <v>2035</v>
          </cell>
          <cell r="AC98">
            <v>0</v>
          </cell>
          <cell r="AD98">
            <v>0</v>
          </cell>
          <cell r="AE98">
            <v>0</v>
          </cell>
          <cell r="AG98">
            <v>10</v>
          </cell>
          <cell r="AH98">
            <v>111</v>
          </cell>
          <cell r="AI98">
            <v>121</v>
          </cell>
          <cell r="AK98">
            <v>1645</v>
          </cell>
          <cell r="AL98">
            <v>511</v>
          </cell>
          <cell r="AM98">
            <v>2156</v>
          </cell>
          <cell r="AO98" t="str">
            <v>Year</v>
          </cell>
          <cell r="AP98">
            <v>480</v>
          </cell>
          <cell r="AQ98">
            <v>521</v>
          </cell>
          <cell r="AR98">
            <v>1001</v>
          </cell>
          <cell r="AT98">
            <v>1046</v>
          </cell>
          <cell r="AU98">
            <v>288</v>
          </cell>
          <cell r="AV98">
            <v>1334</v>
          </cell>
          <cell r="AX98">
            <v>76</v>
          </cell>
          <cell r="AY98">
            <v>19.5</v>
          </cell>
          <cell r="AZ98">
            <v>95.5</v>
          </cell>
          <cell r="BB98">
            <v>148</v>
          </cell>
          <cell r="BC98">
            <v>566.5</v>
          </cell>
          <cell r="BD98">
            <v>714.5</v>
          </cell>
          <cell r="BF98">
            <v>1750</v>
          </cell>
          <cell r="BG98">
            <v>1395</v>
          </cell>
          <cell r="BH98">
            <v>3145</v>
          </cell>
          <cell r="BJ98">
            <v>7</v>
          </cell>
          <cell r="BK98">
            <v>172</v>
          </cell>
          <cell r="BL98">
            <v>179</v>
          </cell>
          <cell r="BM98">
            <v>0</v>
          </cell>
          <cell r="BN98">
            <v>0</v>
          </cell>
          <cell r="BO98">
            <v>39</v>
          </cell>
          <cell r="BP98">
            <v>39</v>
          </cell>
          <cell r="BQ98">
            <v>0</v>
          </cell>
          <cell r="BR98">
            <v>7</v>
          </cell>
          <cell r="BS98">
            <v>211</v>
          </cell>
          <cell r="BT98">
            <v>218</v>
          </cell>
          <cell r="BV98" t="str">
            <v>Year</v>
          </cell>
          <cell r="BW98">
            <v>672</v>
          </cell>
          <cell r="BX98">
            <v>361</v>
          </cell>
          <cell r="BY98">
            <v>1033</v>
          </cell>
          <cell r="CA98">
            <v>548</v>
          </cell>
          <cell r="CB98">
            <v>4.4000000000000004</v>
          </cell>
          <cell r="CC98">
            <v>552.4</v>
          </cell>
          <cell r="CE98">
            <v>6</v>
          </cell>
          <cell r="CF98">
            <v>0</v>
          </cell>
          <cell r="CG98">
            <v>6</v>
          </cell>
          <cell r="CI98">
            <v>554</v>
          </cell>
          <cell r="CJ98">
            <v>4.4000000000000004</v>
          </cell>
          <cell r="CK98">
            <v>558.4</v>
          </cell>
          <cell r="CM98">
            <v>249</v>
          </cell>
          <cell r="CN98">
            <v>12</v>
          </cell>
          <cell r="CO98">
            <v>261</v>
          </cell>
          <cell r="CQ98">
            <v>16</v>
          </cell>
          <cell r="CR98">
            <v>20</v>
          </cell>
          <cell r="CS98">
            <v>36</v>
          </cell>
          <cell r="CU98">
            <v>265</v>
          </cell>
          <cell r="CV98">
            <v>32</v>
          </cell>
          <cell r="CW98">
            <v>297</v>
          </cell>
          <cell r="CY98">
            <v>2</v>
          </cell>
          <cell r="CZ98">
            <v>183.6</v>
          </cell>
          <cell r="DA98">
            <v>185.6</v>
          </cell>
          <cell r="DC98" t="str">
            <v>Year</v>
          </cell>
          <cell r="DD98">
            <v>0</v>
          </cell>
          <cell r="DE98">
            <v>0</v>
          </cell>
          <cell r="DF98">
            <v>0</v>
          </cell>
          <cell r="DH98">
            <v>1817</v>
          </cell>
          <cell r="DI98">
            <v>255</v>
          </cell>
          <cell r="DJ98">
            <v>2072</v>
          </cell>
          <cell r="DL98">
            <v>8962</v>
          </cell>
          <cell r="DM98">
            <v>5338</v>
          </cell>
          <cell r="DN98">
            <v>14300</v>
          </cell>
          <cell r="DP98">
            <v>638</v>
          </cell>
          <cell r="DQ98">
            <v>706</v>
          </cell>
          <cell r="DR98">
            <v>1344</v>
          </cell>
          <cell r="DT98">
            <v>296</v>
          </cell>
          <cell r="DU98">
            <v>264</v>
          </cell>
          <cell r="DV98">
            <v>560</v>
          </cell>
          <cell r="DX98">
            <v>9896</v>
          </cell>
          <cell r="DY98">
            <v>6308</v>
          </cell>
          <cell r="DZ98">
            <v>16204</v>
          </cell>
        </row>
        <row r="100">
          <cell r="A100" t="str">
            <v>2000E</v>
          </cell>
          <cell r="AO100" t="str">
            <v>2000E</v>
          </cell>
          <cell r="BV100" t="str">
            <v>2000E</v>
          </cell>
          <cell r="DC100" t="str">
            <v>2000E</v>
          </cell>
        </row>
        <row r="101">
          <cell r="A101" t="str">
            <v xml:space="preserve"> 1QA</v>
          </cell>
          <cell r="B101">
            <v>-0.21985815602836878</v>
          </cell>
          <cell r="C101">
            <v>0</v>
          </cell>
          <cell r="D101">
            <v>-0.21985815602836878</v>
          </cell>
          <cell r="F101">
            <v>0.12738853503184711</v>
          </cell>
          <cell r="G101">
            <v>0.12596401028277637</v>
          </cell>
          <cell r="H101">
            <v>0.12660028449502136</v>
          </cell>
          <cell r="J101">
            <v>-5.2631578947368474E-2</v>
          </cell>
          <cell r="K101">
            <v>0.1515151515151516</v>
          </cell>
          <cell r="L101">
            <v>5.1546391752577359E-2</v>
          </cell>
          <cell r="M101">
            <v>0</v>
          </cell>
          <cell r="N101">
            <v>0.42105263157894735</v>
          </cell>
          <cell r="O101">
            <v>0.42105263157894735</v>
          </cell>
          <cell r="Q101">
            <v>0</v>
          </cell>
          <cell r="R101">
            <v>-8.6956521739130488E-2</v>
          </cell>
          <cell r="S101">
            <v>-8.333333333333337E-2</v>
          </cell>
          <cell r="U101">
            <v>7.2595281306715442E-3</v>
          </cell>
          <cell r="V101">
            <v>0.14207650273224037</v>
          </cell>
          <cell r="W101">
            <v>7.454545454545447E-2</v>
          </cell>
          <cell r="Y101">
            <v>-1.3824884792626779E-2</v>
          </cell>
          <cell r="Z101">
            <v>2.1505376344086002E-2</v>
          </cell>
          <cell r="AA101">
            <v>-7.5901328273244584E-3</v>
          </cell>
          <cell r="AG101">
            <v>0</v>
          </cell>
          <cell r="AH101">
            <v>0.30434782608695654</v>
          </cell>
          <cell r="AI101">
            <v>0.26923076923076916</v>
          </cell>
          <cell r="AK101">
            <v>-1.3729977116704761E-2</v>
          </cell>
          <cell r="AL101">
            <v>7.7586206896551824E-2</v>
          </cell>
          <cell r="AM101">
            <v>5.4249547920433017E-3</v>
          </cell>
          <cell r="AO101" t="str">
            <v xml:space="preserve"> 1QA</v>
          </cell>
          <cell r="AP101">
            <v>-1.6129032258064502E-2</v>
          </cell>
          <cell r="AQ101">
            <v>3.3057851239669311E-2</v>
          </cell>
          <cell r="AR101">
            <v>8.1632653061225469E-3</v>
          </cell>
          <cell r="AT101">
            <v>-4.9418604651162767E-2</v>
          </cell>
          <cell r="AU101">
            <v>-5.1546391752577359E-2</v>
          </cell>
          <cell r="AV101">
            <v>-4.9886621315192725E-2</v>
          </cell>
          <cell r="AX101">
            <v>-1.0185185185185186</v>
          </cell>
          <cell r="AY101">
            <v>-1.125</v>
          </cell>
          <cell r="AZ101">
            <v>-1.032258064516129</v>
          </cell>
          <cell r="BB101">
            <v>-7.6923076923076872E-2</v>
          </cell>
          <cell r="BC101">
            <v>-6.6225165562914245E-3</v>
          </cell>
          <cell r="BD101">
            <v>-2.1052631578947323E-2</v>
          </cell>
          <cell r="BF101">
            <v>-0.13725490196078427</v>
          </cell>
          <cell r="BG101">
            <v>-2.917771883289122E-2</v>
          </cell>
          <cell r="BH101">
            <v>-9.3816631130063999E-2</v>
          </cell>
          <cell r="BJ101">
            <v>0</v>
          </cell>
          <cell r="BK101">
            <v>-0.20930232558139539</v>
          </cell>
          <cell r="BL101">
            <v>-0.19999999999999996</v>
          </cell>
          <cell r="BN101">
            <v>0</v>
          </cell>
          <cell r="BO101">
            <v>2.4</v>
          </cell>
          <cell r="BP101">
            <v>2.4</v>
          </cell>
          <cell r="BR101">
            <v>0</v>
          </cell>
          <cell r="BS101">
            <v>6.25E-2</v>
          </cell>
          <cell r="BT101">
            <v>6.0000000000000053E-2</v>
          </cell>
          <cell r="BV101" t="str">
            <v xml:space="preserve"> 1QA</v>
          </cell>
          <cell r="BW101">
            <v>0.52348993288590595</v>
          </cell>
          <cell r="BX101">
            <v>1.4090909090909092</v>
          </cell>
          <cell r="BY101">
            <v>0.72538860103626934</v>
          </cell>
          <cell r="CA101">
            <v>0.20799999999999996</v>
          </cell>
          <cell r="CB101" t="str">
            <v>NA</v>
          </cell>
          <cell r="CC101">
            <v>0.19841269841269837</v>
          </cell>
          <cell r="CE101">
            <v>-0.5</v>
          </cell>
          <cell r="CF101">
            <v>0</v>
          </cell>
          <cell r="CG101">
            <v>-0.5</v>
          </cell>
          <cell r="CI101">
            <v>0.1968503937007875</v>
          </cell>
          <cell r="CJ101">
            <v>-1</v>
          </cell>
          <cell r="CK101">
            <v>0.1875</v>
          </cell>
          <cell r="CM101">
            <v>-1.5625E-2</v>
          </cell>
          <cell r="CN101">
            <v>0.33333333333333326</v>
          </cell>
          <cell r="CO101">
            <v>0</v>
          </cell>
          <cell r="CQ101">
            <v>0</v>
          </cell>
          <cell r="CR101">
            <v>-0.19999999999999996</v>
          </cell>
          <cell r="CS101">
            <v>-0.11111111111111116</v>
          </cell>
          <cell r="CU101">
            <v>-1.4705882352941124E-2</v>
          </cell>
          <cell r="CV101">
            <v>0</v>
          </cell>
          <cell r="CW101">
            <v>-1.3157894736842146E-2</v>
          </cell>
          <cell r="CY101" t="str">
            <v>NA</v>
          </cell>
          <cell r="CZ101">
            <v>-0.15094339622641506</v>
          </cell>
          <cell r="DA101">
            <v>-0.22641509433962259</v>
          </cell>
          <cell r="DC101" t="str">
            <v xml:space="preserve"> 1QA</v>
          </cell>
          <cell r="DH101">
            <v>0.62777777777777777</v>
          </cell>
          <cell r="DI101">
            <v>0.83720930232558133</v>
          </cell>
          <cell r="DJ101">
            <v>0.65012406947890811</v>
          </cell>
          <cell r="DL101">
            <v>0.10864745011086474</v>
          </cell>
          <cell r="DM101">
            <v>0.13559322033898313</v>
          </cell>
          <cell r="DN101">
            <v>0.118202633085289</v>
          </cell>
          <cell r="DP101">
            <v>0</v>
          </cell>
          <cell r="DQ101">
            <v>-0.10650887573964496</v>
          </cell>
          <cell r="DR101">
            <v>-6.2937062937062915E-2</v>
          </cell>
          <cell r="DT101">
            <v>-6.5934065934065922E-2</v>
          </cell>
          <cell r="DU101">
            <v>-1.7857142857142905E-2</v>
          </cell>
          <cell r="DV101">
            <v>-4.7619047619047672E-2</v>
          </cell>
          <cell r="DX101">
            <v>9.7036134794965534E-2</v>
          </cell>
          <cell r="DY101">
            <v>0.10177595628415292</v>
          </cell>
          <cell r="DZ101">
            <v>9.880315762668701E-2</v>
          </cell>
        </row>
        <row r="102">
          <cell r="A102" t="str">
            <v xml:space="preserve"> 2QE</v>
          </cell>
          <cell r="B102">
            <v>-0.19</v>
          </cell>
          <cell r="C102">
            <v>0</v>
          </cell>
          <cell r="D102">
            <v>-0.18999999999999995</v>
          </cell>
          <cell r="F102">
            <v>0.12</v>
          </cell>
          <cell r="G102">
            <v>0.1</v>
          </cell>
          <cell r="H102">
            <v>0.10867036011080344</v>
          </cell>
          <cell r="J102">
            <v>7.0000000000000007E-2</v>
          </cell>
          <cell r="K102">
            <v>0.03</v>
          </cell>
          <cell r="L102">
            <v>4.6808510638297829E-2</v>
          </cell>
          <cell r="M102">
            <v>0</v>
          </cell>
          <cell r="N102">
            <v>0.65</v>
          </cell>
          <cell r="O102">
            <v>0.65000000000000013</v>
          </cell>
          <cell r="Q102">
            <v>0</v>
          </cell>
          <cell r="R102">
            <v>-0.6</v>
          </cell>
          <cell r="S102">
            <v>-0.6</v>
          </cell>
          <cell r="U102">
            <v>4.2351778656126715E-2</v>
          </cell>
          <cell r="V102">
            <v>9.7474402730375553E-2</v>
          </cell>
          <cell r="W102">
            <v>7.1932234432234621E-2</v>
          </cell>
          <cell r="Y102">
            <v>0.15</v>
          </cell>
          <cell r="Z102">
            <v>0.16</v>
          </cell>
          <cell r="AA102">
            <v>0.152169197396963</v>
          </cell>
          <cell r="AG102">
            <v>2</v>
          </cell>
          <cell r="AH102">
            <v>0.17</v>
          </cell>
          <cell r="AI102">
            <v>0.29200000000000004</v>
          </cell>
          <cell r="AK102">
            <v>0.16019283746556479</v>
          </cell>
          <cell r="AL102">
            <v>0.16218749999999993</v>
          </cell>
          <cell r="AM102">
            <v>0.1607128309572301</v>
          </cell>
          <cell r="AO102" t="str">
            <v xml:space="preserve"> 2QE</v>
          </cell>
          <cell r="AP102">
            <v>0.05</v>
          </cell>
          <cell r="AQ102">
            <v>0.03</v>
          </cell>
          <cell r="AR102">
            <v>3.8859649122807038E-2</v>
          </cell>
          <cell r="AT102">
            <v>0.16</v>
          </cell>
          <cell r="AU102">
            <v>0.15</v>
          </cell>
          <cell r="AV102">
            <v>0.15690821256038645</v>
          </cell>
          <cell r="AX102">
            <v>-0.85</v>
          </cell>
          <cell r="AY102">
            <v>-0.8</v>
          </cell>
          <cell r="AZ102">
            <v>-0.8342857142857143</v>
          </cell>
          <cell r="BB102">
            <v>-0.05</v>
          </cell>
          <cell r="BC102">
            <v>-0.05</v>
          </cell>
          <cell r="BD102">
            <v>-5.0000000000000155E-2</v>
          </cell>
          <cell r="BF102">
            <v>2.0000000000000018E-2</v>
          </cell>
          <cell r="BG102">
            <v>-6.4792899408285809E-3</v>
          </cell>
          <cell r="BH102">
            <v>5.9497645211930017E-3</v>
          </cell>
          <cell r="BJ102">
            <v>-0.06</v>
          </cell>
          <cell r="BK102">
            <v>-0.11</v>
          </cell>
          <cell r="BL102">
            <v>-0.10888888888888881</v>
          </cell>
          <cell r="BN102">
            <v>0</v>
          </cell>
          <cell r="BO102">
            <v>-0.74</v>
          </cell>
          <cell r="BP102">
            <v>-0.74</v>
          </cell>
          <cell r="BR102">
            <v>-6.0000000000000053E-2</v>
          </cell>
          <cell r="BS102">
            <v>-0.22666666666666657</v>
          </cell>
          <cell r="BT102">
            <v>-0.22363636363636363</v>
          </cell>
          <cell r="BV102" t="str">
            <v xml:space="preserve"> 2QE</v>
          </cell>
          <cell r="BW102">
            <v>0.1</v>
          </cell>
          <cell r="BX102">
            <v>0.12</v>
          </cell>
          <cell r="BY102">
            <v>0.10722580645161295</v>
          </cell>
          <cell r="CA102">
            <v>0.2</v>
          </cell>
          <cell r="CB102">
            <v>0.18</v>
          </cell>
          <cell r="CC102">
            <v>0.19986111111111104</v>
          </cell>
          <cell r="CE102">
            <v>0</v>
          </cell>
          <cell r="CF102">
            <v>0</v>
          </cell>
          <cell r="CG102">
            <v>0</v>
          </cell>
          <cell r="CI102">
            <v>0.19724137931034469</v>
          </cell>
          <cell r="CJ102">
            <v>0.17999999999999994</v>
          </cell>
          <cell r="CK102">
            <v>0.19712328767123299</v>
          </cell>
          <cell r="CM102">
            <v>0.1</v>
          </cell>
          <cell r="CN102">
            <v>0.03</v>
          </cell>
          <cell r="CO102">
            <v>9.7543859649122933E-2</v>
          </cell>
          <cell r="CQ102">
            <v>0</v>
          </cell>
          <cell r="CR102">
            <v>0</v>
          </cell>
          <cell r="CS102">
            <v>0</v>
          </cell>
          <cell r="CU102">
            <v>9.4827586206896575E-2</v>
          </cell>
          <cell r="CV102">
            <v>7.5000000000000622E-3</v>
          </cell>
          <cell r="CW102">
            <v>8.424242424242423E-2</v>
          </cell>
          <cell r="CY102">
            <v>5</v>
          </cell>
          <cell r="CZ102">
            <v>0.05</v>
          </cell>
          <cell r="DA102">
            <v>0.28571428571428581</v>
          </cell>
          <cell r="DC102" t="str">
            <v xml:space="preserve"> 2QE</v>
          </cell>
          <cell r="DH102">
            <v>0.5</v>
          </cell>
          <cell r="DI102">
            <v>0.9</v>
          </cell>
          <cell r="DJ102">
            <v>0.55171077962577986</v>
          </cell>
          <cell r="DL102">
            <v>0.18010050251256282</v>
          </cell>
          <cell r="DM102">
            <v>0.1021278195488724</v>
          </cell>
          <cell r="DN102">
            <v>0.1488644578313254</v>
          </cell>
          <cell r="DP102">
            <v>0.14000000000000001</v>
          </cell>
          <cell r="DQ102">
            <v>0.04</v>
          </cell>
          <cell r="DR102">
            <v>8.4590163934426421E-2</v>
          </cell>
          <cell r="DT102">
            <v>0.04</v>
          </cell>
          <cell r="DU102">
            <v>0.04</v>
          </cell>
          <cell r="DV102">
            <v>4.0000000000000258E-2</v>
          </cell>
          <cell r="DX102">
            <v>0.17254759746146875</v>
          </cell>
          <cell r="DY102">
            <v>9.2530197075651799E-2</v>
          </cell>
          <cell r="DZ102">
            <v>0.13924053982535067</v>
          </cell>
        </row>
        <row r="103">
          <cell r="A103" t="str">
            <v xml:space="preserve"> 3QE</v>
          </cell>
          <cell r="B103">
            <v>-0.21</v>
          </cell>
          <cell r="C103">
            <v>0</v>
          </cell>
          <cell r="D103">
            <v>-0.20999999999999996</v>
          </cell>
          <cell r="F103">
            <v>0.11</v>
          </cell>
          <cell r="G103">
            <v>0.13</v>
          </cell>
          <cell r="H103">
            <v>0.12072243346007605</v>
          </cell>
          <cell r="J103">
            <v>0.04</v>
          </cell>
          <cell r="K103">
            <v>0.02</v>
          </cell>
          <cell r="L103">
            <v>2.9292929292929371E-2</v>
          </cell>
          <cell r="M103">
            <v>0</v>
          </cell>
          <cell r="N103">
            <v>0.35</v>
          </cell>
          <cell r="O103">
            <v>0.35000000000000009</v>
          </cell>
          <cell r="Q103">
            <v>0</v>
          </cell>
          <cell r="R103">
            <v>0</v>
          </cell>
          <cell r="S103">
            <v>0</v>
          </cell>
          <cell r="U103">
            <v>3.0291095890411013E-2</v>
          </cell>
          <cell r="V103">
            <v>0.12259999999999982</v>
          </cell>
          <cell r="W103">
            <v>7.7069256756756799E-2</v>
          </cell>
          <cell r="Y103">
            <v>0.06</v>
          </cell>
          <cell r="Z103">
            <v>0.18</v>
          </cell>
          <cell r="AA103">
            <v>8.3547169811320598E-2</v>
          </cell>
          <cell r="AG103">
            <v>2</v>
          </cell>
          <cell r="AH103">
            <v>0.17</v>
          </cell>
          <cell r="AI103">
            <v>0.29200000000000004</v>
          </cell>
          <cell r="AK103">
            <v>6.9065420560747715E-2</v>
          </cell>
          <cell r="AL103">
            <v>0.17787878787878775</v>
          </cell>
          <cell r="AM103">
            <v>9.4714285714285751E-2</v>
          </cell>
          <cell r="AO103" t="str">
            <v xml:space="preserve"> 3QE</v>
          </cell>
          <cell r="AP103">
            <v>0.05</v>
          </cell>
          <cell r="AQ103">
            <v>0.05</v>
          </cell>
          <cell r="AR103">
            <v>5.0000000000000266E-2</v>
          </cell>
          <cell r="AT103">
            <v>0.19</v>
          </cell>
          <cell r="AU103">
            <v>0.18</v>
          </cell>
          <cell r="AV103">
            <v>0.18763157894736837</v>
          </cell>
          <cell r="AX103" t="str">
            <v>NM</v>
          </cell>
          <cell r="AY103" t="str">
            <v>NM</v>
          </cell>
          <cell r="AZ103">
            <v>-1.625</v>
          </cell>
          <cell r="BB103">
            <v>-0.05</v>
          </cell>
          <cell r="BC103">
            <v>-0.05</v>
          </cell>
          <cell r="BD103">
            <v>-4.9999999999999933E-2</v>
          </cell>
          <cell r="BF103">
            <v>0.14516717325227968</v>
          </cell>
          <cell r="BG103">
            <v>3.6112852664576645E-2</v>
          </cell>
          <cell r="BH103">
            <v>9.1481481481481497E-2</v>
          </cell>
          <cell r="BJ103">
            <v>-0.05</v>
          </cell>
          <cell r="BK103">
            <v>-0.1</v>
          </cell>
          <cell r="BL103">
            <v>-9.7727272727272663E-2</v>
          </cell>
          <cell r="BN103">
            <v>0</v>
          </cell>
          <cell r="BO103">
            <v>-0.74</v>
          </cell>
          <cell r="BP103">
            <v>-0.74</v>
          </cell>
          <cell r="BR103">
            <v>-5.0000000000000044E-2</v>
          </cell>
          <cell r="BS103">
            <v>-0.23283018867924521</v>
          </cell>
          <cell r="BT103">
            <v>-0.22618181818181815</v>
          </cell>
          <cell r="BV103" t="str">
            <v xml:space="preserve"> 3QE</v>
          </cell>
          <cell r="BW103">
            <v>0.15</v>
          </cell>
          <cell r="BX103">
            <v>0.55000000000000004</v>
          </cell>
          <cell r="BY103">
            <v>0.29136546184738932</v>
          </cell>
          <cell r="CA103">
            <v>0.21</v>
          </cell>
          <cell r="CB103">
            <v>0.18</v>
          </cell>
          <cell r="CC103">
            <v>0.20971311475409804</v>
          </cell>
          <cell r="CE103">
            <v>0</v>
          </cell>
          <cell r="CF103">
            <v>0</v>
          </cell>
          <cell r="CG103">
            <v>0</v>
          </cell>
          <cell r="CI103">
            <v>0.20856164383561637</v>
          </cell>
          <cell r="CJ103">
            <v>0.17999999999999994</v>
          </cell>
          <cell r="CK103">
            <v>0.2082903663500677</v>
          </cell>
          <cell r="CM103">
            <v>0.09</v>
          </cell>
          <cell r="CN103">
            <v>0.03</v>
          </cell>
          <cell r="CO103">
            <v>8.7391304347826271E-2</v>
          </cell>
          <cell r="CQ103">
            <v>0</v>
          </cell>
          <cell r="CR103">
            <v>0</v>
          </cell>
          <cell r="CS103">
            <v>0</v>
          </cell>
          <cell r="CU103">
            <v>8.4857142857142964E-2</v>
          </cell>
          <cell r="CV103">
            <v>1.1249999999999982E-2</v>
          </cell>
          <cell r="CW103">
            <v>7.7307692307692522E-2</v>
          </cell>
          <cell r="CY103">
            <v>5</v>
          </cell>
          <cell r="CZ103">
            <v>0.05</v>
          </cell>
          <cell r="DA103">
            <v>-0.52225433526011567</v>
          </cell>
          <cell r="DC103" t="str">
            <v xml:space="preserve"> 3QE</v>
          </cell>
          <cell r="DF103" t="str">
            <v>NA</v>
          </cell>
          <cell r="DH103">
            <v>0.25</v>
          </cell>
          <cell r="DI103">
            <v>1.3</v>
          </cell>
          <cell r="DJ103">
            <v>0.41389905975395425</v>
          </cell>
          <cell r="DL103">
            <v>0.13353603603603625</v>
          </cell>
          <cell r="DM103">
            <v>0.18880613026819937</v>
          </cell>
          <cell r="DN103">
            <v>0.15399773049645415</v>
          </cell>
          <cell r="DP103">
            <v>0.14000000000000001</v>
          </cell>
          <cell r="DQ103">
            <v>0.04</v>
          </cell>
          <cell r="DR103">
            <v>9.3571428571428639E-2</v>
          </cell>
          <cell r="DT103">
            <v>0.04</v>
          </cell>
          <cell r="DU103">
            <v>0.1</v>
          </cell>
          <cell r="DV103">
            <v>6.6106870229007741E-2</v>
          </cell>
          <cell r="DX103">
            <v>0.13120856911883605</v>
          </cell>
          <cell r="DY103">
            <v>0.1701791831357049</v>
          </cell>
          <cell r="DZ103">
            <v>0.14602755511022036</v>
          </cell>
        </row>
        <row r="104">
          <cell r="A104" t="str">
            <v xml:space="preserve"> 4QE</v>
          </cell>
          <cell r="B104">
            <v>-0.32654929577464775</v>
          </cell>
          <cell r="C104">
            <v>0</v>
          </cell>
          <cell r="D104">
            <v>-0.32654929577464775</v>
          </cell>
          <cell r="F104">
            <v>8.6908602150537639E-2</v>
          </cell>
          <cell r="G104">
            <v>0.14238202247191012</v>
          </cell>
          <cell r="H104">
            <v>0.11712362301101575</v>
          </cell>
          <cell r="J104">
            <v>-0.46606382978723437</v>
          </cell>
          <cell r="K104">
            <v>-6.0661157024793133E-2</v>
          </cell>
          <cell r="L104">
            <v>-0.23790697674418604</v>
          </cell>
          <cell r="M104">
            <v>0</v>
          </cell>
          <cell r="N104">
            <v>0.86885245901639419</v>
          </cell>
          <cell r="O104">
            <v>0.86885245901639419</v>
          </cell>
          <cell r="Q104">
            <v>0</v>
          </cell>
          <cell r="R104">
            <v>-1.119565217391304</v>
          </cell>
          <cell r="S104">
            <v>-1.0729166666666663</v>
          </cell>
          <cell r="U104">
            <v>-9.499178981937606E-2</v>
          </cell>
          <cell r="V104">
            <v>0.12810769230769226</v>
          </cell>
          <cell r="W104">
            <v>2.0190627482128631E-2</v>
          </cell>
          <cell r="Y104">
            <v>0.13789855072463819</v>
          </cell>
          <cell r="Z104">
            <v>7.0679611650485974E-2</v>
          </cell>
          <cell r="AA104">
            <v>0.12450676982591924</v>
          </cell>
          <cell r="AG104">
            <v>4</v>
          </cell>
          <cell r="AH104">
            <v>7.7500000000000346E-2</v>
          </cell>
          <cell r="AI104">
            <v>0.41371428571428592</v>
          </cell>
          <cell r="AK104">
            <v>0.16568345323741052</v>
          </cell>
          <cell r="AL104">
            <v>7.2296296296296969E-2</v>
          </cell>
          <cell r="AM104">
            <v>0.14284420289855126</v>
          </cell>
          <cell r="AO104" t="str">
            <v xml:space="preserve"> 4QE</v>
          </cell>
          <cell r="AP104">
            <v>0.10985401459854005</v>
          </cell>
          <cell r="AQ104">
            <v>8.2323943661972265E-2</v>
          </cell>
          <cell r="AR104">
            <v>9.5842293906809983E-2</v>
          </cell>
          <cell r="AT104">
            <v>0.11620779220779243</v>
          </cell>
          <cell r="AU104">
            <v>0.15890410958904133</v>
          </cell>
          <cell r="AV104">
            <v>0.12301310043668146</v>
          </cell>
          <cell r="AX104">
            <v>2.2400000000000011</v>
          </cell>
          <cell r="AY104">
            <v>3.3833333333333329</v>
          </cell>
          <cell r="AZ104">
            <v>2.5038461538461547</v>
          </cell>
          <cell r="BB104">
            <v>-1.9117647058823684E-2</v>
          </cell>
          <cell r="BC104">
            <v>-9.5328719723183575E-2</v>
          </cell>
          <cell r="BD104">
            <v>-8.0812324929972257E-2</v>
          </cell>
          <cell r="BF104">
            <v>0.12538324420677394</v>
          </cell>
          <cell r="BG104">
            <v>4.0415512465374004E-2</v>
          </cell>
          <cell r="BH104">
            <v>9.2114967462039177E-2</v>
          </cell>
          <cell r="BJ104">
            <v>-9.5000000000000195E-2</v>
          </cell>
          <cell r="BK104">
            <v>1.9534883720930374E-2</v>
          </cell>
          <cell r="BL104">
            <v>1.4444444444444704E-2</v>
          </cell>
          <cell r="BN104">
            <v>0</v>
          </cell>
          <cell r="BO104">
            <v>-1.9584615384615385</v>
          </cell>
          <cell r="BP104">
            <v>-1.9584615384615385</v>
          </cell>
          <cell r="BR104">
            <v>-9.5000000000000195E-2</v>
          </cell>
          <cell r="BS104">
            <v>-0.439642857142857</v>
          </cell>
          <cell r="BT104">
            <v>-0.42775862068965498</v>
          </cell>
          <cell r="BV104" t="str">
            <v xml:space="preserve"> 4QE</v>
          </cell>
          <cell r="BW104">
            <v>0.23981707317073164</v>
          </cell>
          <cell r="BX104">
            <v>0.42871794871794866</v>
          </cell>
          <cell r="BY104">
            <v>0.31846975088967966</v>
          </cell>
          <cell r="CA104">
            <v>0.26303703703703651</v>
          </cell>
          <cell r="CB104">
            <v>1.3600000000000003</v>
          </cell>
          <cell r="CC104">
            <v>0.27110294117647027</v>
          </cell>
          <cell r="CE104">
            <v>1</v>
          </cell>
          <cell r="CF104">
            <v>0</v>
          </cell>
          <cell r="CG104">
            <v>1</v>
          </cell>
          <cell r="CI104">
            <v>0.2684558823529406</v>
          </cell>
          <cell r="CJ104">
            <v>1.3600000000000003</v>
          </cell>
          <cell r="CK104">
            <v>0.2764233576642332</v>
          </cell>
          <cell r="CM104">
            <v>0.22593750000000035</v>
          </cell>
          <cell r="CN104">
            <v>-0.19750000000000023</v>
          </cell>
          <cell r="CO104">
            <v>0.20102941176470601</v>
          </cell>
          <cell r="CQ104">
            <v>0</v>
          </cell>
          <cell r="CR104">
            <v>0</v>
          </cell>
          <cell r="CS104">
            <v>1.1111111111111112</v>
          </cell>
          <cell r="CU104">
            <v>0.2675362318840584</v>
          </cell>
          <cell r="CV104">
            <v>0.65124999999999988</v>
          </cell>
          <cell r="CW104">
            <v>0.30740259740259757</v>
          </cell>
          <cell r="CY104">
            <v>6</v>
          </cell>
          <cell r="CZ104">
            <v>0.25480769230769229</v>
          </cell>
          <cell r="DA104">
            <v>0.6651785714285714</v>
          </cell>
          <cell r="DC104" t="str">
            <v xml:space="preserve"> 4QE</v>
          </cell>
          <cell r="DD104" t="str">
            <v>NA</v>
          </cell>
          <cell r="DE104" t="str">
            <v>NA</v>
          </cell>
          <cell r="DF104" t="str">
            <v>NA</v>
          </cell>
          <cell r="DH104">
            <v>0.30584832074766344</v>
          </cell>
          <cell r="DI104">
            <v>1.4966491476190478</v>
          </cell>
          <cell r="DJ104">
            <v>0.35583005654281097</v>
          </cell>
          <cell r="DL104">
            <v>0.14750454609531438</v>
          </cell>
          <cell r="DM104">
            <v>0.21085965054644817</v>
          </cell>
          <cell r="DN104">
            <v>0.17092082302448874</v>
          </cell>
          <cell r="DP104">
            <v>0.12653658536585377</v>
          </cell>
          <cell r="DQ104">
            <v>9.0188679245283065E-2</v>
          </cell>
          <cell r="DR104">
            <v>0.1080575539568347</v>
          </cell>
          <cell r="DT104">
            <v>0.17098039215686267</v>
          </cell>
          <cell r="DU104">
            <v>3.3766233766234777E-3</v>
          </cell>
          <cell r="DV104">
            <v>7.0156250000000142E-2</v>
          </cell>
          <cell r="DX104">
            <v>0.14637807904104605</v>
          </cell>
          <cell r="DY104">
            <v>0.18715261175128362</v>
          </cell>
          <cell r="DZ104">
            <v>0.16224087438970258</v>
          </cell>
        </row>
        <row r="106">
          <cell r="A106" t="str">
            <v>Year</v>
          </cell>
          <cell r="B106">
            <v>-0.24</v>
          </cell>
          <cell r="C106" t="str">
            <v>NM</v>
          </cell>
          <cell r="D106">
            <v>-0.24</v>
          </cell>
          <cell r="F106">
            <v>0.11</v>
          </cell>
          <cell r="G106">
            <v>0.125</v>
          </cell>
          <cell r="H106">
            <v>0.11824480369515022</v>
          </cell>
          <cell r="J106">
            <v>-0.11</v>
          </cell>
          <cell r="K106">
            <v>0.03</v>
          </cell>
          <cell r="L106">
            <v>-3.3396226415094321E-2</v>
          </cell>
          <cell r="M106">
            <v>0</v>
          </cell>
          <cell r="N106">
            <v>0.6</v>
          </cell>
          <cell r="O106">
            <v>0.60000000000000009</v>
          </cell>
          <cell r="Q106">
            <v>0</v>
          </cell>
          <cell r="R106">
            <v>-0.45</v>
          </cell>
          <cell r="S106">
            <v>-0.43622448979591832</v>
          </cell>
          <cell r="U106">
            <v>-6.5466666666667006E-3</v>
          </cell>
          <cell r="V106">
            <v>0.12241090146750544</v>
          </cell>
          <cell r="W106">
            <v>5.9810140237324783E-2</v>
          </cell>
          <cell r="Y106">
            <v>0.08</v>
          </cell>
          <cell r="Z106">
            <v>0.11</v>
          </cell>
          <cell r="AA106">
            <v>8.5896805896805928E-2</v>
          </cell>
          <cell r="AC106" t="str">
            <v xml:space="preserve">  NM</v>
          </cell>
          <cell r="AD106" t="str">
            <v xml:space="preserve">  NM</v>
          </cell>
          <cell r="AE106" t="str">
            <v xml:space="preserve">  NM</v>
          </cell>
          <cell r="AG106">
            <v>2</v>
          </cell>
          <cell r="AH106">
            <v>0.1711711711711712</v>
          </cell>
          <cell r="AI106">
            <v>0.3223140495867769</v>
          </cell>
          <cell r="AK106">
            <v>9.1671732522796479E-2</v>
          </cell>
          <cell r="AL106">
            <v>0.12328767123287676</v>
          </cell>
          <cell r="AM106">
            <v>9.9165120593692091E-2</v>
          </cell>
          <cell r="AO106" t="str">
            <v>Year</v>
          </cell>
          <cell r="AP106">
            <v>0.05</v>
          </cell>
          <cell r="AQ106">
            <v>0.05</v>
          </cell>
          <cell r="AR106">
            <v>5.0000000000000266E-2</v>
          </cell>
          <cell r="AT106">
            <v>0.08</v>
          </cell>
          <cell r="AU106">
            <v>0.09</v>
          </cell>
          <cell r="AV106">
            <v>8.2158920539730174E-2</v>
          </cell>
          <cell r="AX106">
            <v>-0.7</v>
          </cell>
          <cell r="AY106">
            <v>-0.55000000000000004</v>
          </cell>
          <cell r="AZ106">
            <v>-0.66937172774869103</v>
          </cell>
          <cell r="BB106">
            <v>-0.05</v>
          </cell>
          <cell r="BC106">
            <v>-0.05</v>
          </cell>
          <cell r="BD106">
            <v>-5.0000000000000044E-2</v>
          </cell>
          <cell r="BF106">
            <v>2.6902857142857117E-2</v>
          </cell>
          <cell r="BG106">
            <v>9.2616487455197127E-3</v>
          </cell>
          <cell r="BH106">
            <v>1.9077901430842648E-2</v>
          </cell>
          <cell r="BJ106">
            <v>-0.05</v>
          </cell>
          <cell r="BK106">
            <v>-0.1</v>
          </cell>
          <cell r="BL106">
            <v>-9.8044692737430106E-2</v>
          </cell>
          <cell r="BN106" t="str">
            <v xml:space="preserve">  NM</v>
          </cell>
          <cell r="BO106">
            <v>-0.74358974358974361</v>
          </cell>
          <cell r="BP106">
            <v>-0.74358974358974361</v>
          </cell>
          <cell r="BR106">
            <v>-5.0000000000000044E-2</v>
          </cell>
          <cell r="BS106">
            <v>-0.21895734597156391</v>
          </cell>
          <cell r="BT106">
            <v>-0.213532110091743</v>
          </cell>
          <cell r="BV106" t="str">
            <v>Year</v>
          </cell>
          <cell r="BW106">
            <v>0.24</v>
          </cell>
          <cell r="BX106">
            <v>0.48199445983379507</v>
          </cell>
          <cell r="BY106">
            <v>0.32456921587608911</v>
          </cell>
          <cell r="CA106">
            <v>0.22</v>
          </cell>
          <cell r="CB106">
            <v>0.18</v>
          </cell>
          <cell r="CC106">
            <v>0.21968139029688638</v>
          </cell>
          <cell r="CE106">
            <v>0</v>
          </cell>
          <cell r="CF106" t="str">
            <v xml:space="preserve">  NM</v>
          </cell>
          <cell r="CG106">
            <v>0</v>
          </cell>
          <cell r="CI106">
            <v>0.21761732851985549</v>
          </cell>
          <cell r="CJ106">
            <v>0.17999999999999994</v>
          </cell>
          <cell r="CK106">
            <v>0.21732091690544419</v>
          </cell>
          <cell r="CM106">
            <v>0.1</v>
          </cell>
          <cell r="CN106">
            <v>0.03</v>
          </cell>
          <cell r="CO106">
            <v>9.6781609195402574E-2</v>
          </cell>
          <cell r="CQ106">
            <v>0.25</v>
          </cell>
          <cell r="CR106">
            <v>0.25</v>
          </cell>
          <cell r="CS106">
            <v>0.25</v>
          </cell>
          <cell r="CU106">
            <v>0.10905660377358495</v>
          </cell>
          <cell r="CV106">
            <v>0.16749999999999998</v>
          </cell>
          <cell r="CW106">
            <v>0.11535353535353554</v>
          </cell>
          <cell r="CY106">
            <v>5</v>
          </cell>
          <cell r="CZ106">
            <v>0.05</v>
          </cell>
          <cell r="DA106">
            <v>0.10334051724137927</v>
          </cell>
          <cell r="DC106" t="str">
            <v>Year</v>
          </cell>
          <cell r="DD106" t="str">
            <v xml:space="preserve">    NM</v>
          </cell>
          <cell r="DE106" t="str">
            <v xml:space="preserve">    NM</v>
          </cell>
          <cell r="DF106" t="str">
            <v xml:space="preserve">    NM</v>
          </cell>
          <cell r="DH106">
            <v>0.39880509168959821</v>
          </cell>
          <cell r="DI106">
            <v>1.1879157976470589</v>
          </cell>
          <cell r="DJ106">
            <v>0.49592055019305015</v>
          </cell>
          <cell r="DL106">
            <v>0.14150511622405704</v>
          </cell>
          <cell r="DM106">
            <v>0.16090680562008242</v>
          </cell>
          <cell r="DN106">
            <v>0.14874750909090895</v>
          </cell>
          <cell r="DP106">
            <v>0.11</v>
          </cell>
          <cell r="DQ106">
            <v>0.02</v>
          </cell>
          <cell r="DR106">
            <v>6.2723214285714368E-2</v>
          </cell>
          <cell r="DT106">
            <v>0.03</v>
          </cell>
          <cell r="DU106">
            <v>0.03</v>
          </cell>
          <cell r="DV106">
            <v>3.0000000000000027E-2</v>
          </cell>
          <cell r="DX106">
            <v>0.13613872793047688</v>
          </cell>
          <cell r="DY106">
            <v>0.13965766144578318</v>
          </cell>
          <cell r="DZ106">
            <v>0.13750860157985678</v>
          </cell>
        </row>
        <row r="108">
          <cell r="A108" t="str">
            <v>2000E</v>
          </cell>
          <cell r="AO108" t="str">
            <v>2000E</v>
          </cell>
          <cell r="BV108" t="str">
            <v>2000E</v>
          </cell>
          <cell r="DC108" t="str">
            <v>2000E</v>
          </cell>
        </row>
        <row r="109">
          <cell r="A109" t="str">
            <v xml:space="preserve"> 1QA</v>
          </cell>
          <cell r="B109">
            <v>110</v>
          </cell>
          <cell r="C109">
            <v>0</v>
          </cell>
          <cell r="D109">
            <v>110</v>
          </cell>
          <cell r="F109">
            <v>354</v>
          </cell>
          <cell r="G109">
            <v>438</v>
          </cell>
          <cell r="H109">
            <v>792</v>
          </cell>
          <cell r="J109">
            <v>90</v>
          </cell>
          <cell r="K109">
            <v>114</v>
          </cell>
          <cell r="L109">
            <v>204</v>
          </cell>
          <cell r="M109">
            <v>0</v>
          </cell>
          <cell r="N109">
            <v>54</v>
          </cell>
          <cell r="O109">
            <v>54</v>
          </cell>
          <cell r="Q109">
            <v>1</v>
          </cell>
          <cell r="R109">
            <v>21</v>
          </cell>
          <cell r="S109">
            <v>22</v>
          </cell>
          <cell r="U109">
            <v>555</v>
          </cell>
          <cell r="V109">
            <v>627</v>
          </cell>
          <cell r="W109">
            <v>1182</v>
          </cell>
          <cell r="Y109">
            <v>428</v>
          </cell>
          <cell r="Z109">
            <v>95</v>
          </cell>
          <cell r="AA109">
            <v>523</v>
          </cell>
          <cell r="AG109">
            <v>3</v>
          </cell>
          <cell r="AH109">
            <v>30</v>
          </cell>
          <cell r="AI109">
            <v>33</v>
          </cell>
          <cell r="AK109">
            <v>431</v>
          </cell>
          <cell r="AL109">
            <v>125</v>
          </cell>
          <cell r="AM109">
            <v>556</v>
          </cell>
          <cell r="AO109" t="str">
            <v xml:space="preserve"> 1QA</v>
          </cell>
          <cell r="AP109">
            <v>122</v>
          </cell>
          <cell r="AQ109">
            <v>125</v>
          </cell>
          <cell r="AR109">
            <v>247</v>
          </cell>
          <cell r="AT109">
            <v>327</v>
          </cell>
          <cell r="AU109">
            <v>92</v>
          </cell>
          <cell r="AV109">
            <v>419</v>
          </cell>
          <cell r="AX109">
            <v>-1</v>
          </cell>
          <cell r="AY109">
            <v>-1</v>
          </cell>
          <cell r="AZ109">
            <v>-2</v>
          </cell>
          <cell r="BB109">
            <v>36</v>
          </cell>
          <cell r="BC109">
            <v>150</v>
          </cell>
          <cell r="BD109">
            <v>186</v>
          </cell>
          <cell r="BF109">
            <v>484</v>
          </cell>
          <cell r="BG109">
            <v>366</v>
          </cell>
          <cell r="BH109">
            <v>850</v>
          </cell>
          <cell r="BJ109">
            <v>2</v>
          </cell>
          <cell r="BK109">
            <v>34</v>
          </cell>
          <cell r="BL109">
            <v>36</v>
          </cell>
          <cell r="BN109">
            <v>0</v>
          </cell>
          <cell r="BO109">
            <v>17</v>
          </cell>
          <cell r="BP109">
            <v>17</v>
          </cell>
          <cell r="BR109">
            <v>2</v>
          </cell>
          <cell r="BS109">
            <v>51</v>
          </cell>
          <cell r="BT109">
            <v>53</v>
          </cell>
          <cell r="BV109" t="str">
            <v xml:space="preserve"> 1QA</v>
          </cell>
          <cell r="BW109">
            <v>227</v>
          </cell>
          <cell r="BX109">
            <v>106</v>
          </cell>
          <cell r="BY109">
            <v>333</v>
          </cell>
          <cell r="CA109">
            <v>151</v>
          </cell>
          <cell r="CB109">
            <v>0</v>
          </cell>
          <cell r="CC109">
            <v>151</v>
          </cell>
          <cell r="CE109">
            <v>1</v>
          </cell>
          <cell r="CF109">
            <v>0</v>
          </cell>
          <cell r="CG109">
            <v>1</v>
          </cell>
          <cell r="CI109">
            <v>152</v>
          </cell>
          <cell r="CJ109">
            <v>0</v>
          </cell>
          <cell r="CK109">
            <v>152</v>
          </cell>
          <cell r="CM109">
            <v>63</v>
          </cell>
          <cell r="CN109">
            <v>4</v>
          </cell>
          <cell r="CO109">
            <v>67</v>
          </cell>
          <cell r="CQ109">
            <v>4</v>
          </cell>
          <cell r="CR109">
            <v>4</v>
          </cell>
          <cell r="CS109">
            <v>8</v>
          </cell>
          <cell r="CU109">
            <v>67</v>
          </cell>
          <cell r="CV109">
            <v>8</v>
          </cell>
          <cell r="CW109">
            <v>75</v>
          </cell>
          <cell r="CY109">
            <v>-4</v>
          </cell>
          <cell r="CZ109">
            <v>45</v>
          </cell>
          <cell r="DA109">
            <v>41</v>
          </cell>
          <cell r="DC109" t="str">
            <v xml:space="preserve"> 1QA</v>
          </cell>
          <cell r="DD109">
            <v>0</v>
          </cell>
          <cell r="DE109">
            <v>0</v>
          </cell>
          <cell r="DF109">
            <v>0</v>
          </cell>
          <cell r="DH109">
            <v>586</v>
          </cell>
          <cell r="DI109">
            <v>79</v>
          </cell>
          <cell r="DJ109">
            <v>665</v>
          </cell>
          <cell r="DL109">
            <v>2500</v>
          </cell>
          <cell r="DM109">
            <v>1407</v>
          </cell>
          <cell r="DN109">
            <v>3907</v>
          </cell>
          <cell r="DP109">
            <v>117</v>
          </cell>
          <cell r="DQ109">
            <v>151</v>
          </cell>
          <cell r="DR109">
            <v>268</v>
          </cell>
          <cell r="DT109">
            <v>85</v>
          </cell>
          <cell r="DU109">
            <v>55</v>
          </cell>
          <cell r="DV109">
            <v>140</v>
          </cell>
          <cell r="DX109">
            <v>2702</v>
          </cell>
          <cell r="DY109">
            <v>1613</v>
          </cell>
          <cell r="DZ109">
            <v>4315</v>
          </cell>
        </row>
        <row r="110">
          <cell r="A110" t="str">
            <v xml:space="preserve"> 2QE</v>
          </cell>
          <cell r="B110">
            <v>92.34</v>
          </cell>
          <cell r="C110">
            <v>0</v>
          </cell>
          <cell r="D110">
            <v>92.34</v>
          </cell>
          <cell r="F110">
            <v>350.56000000000006</v>
          </cell>
          <cell r="G110">
            <v>449.90000000000003</v>
          </cell>
          <cell r="H110">
            <v>800.46</v>
          </cell>
          <cell r="J110">
            <v>84.53</v>
          </cell>
          <cell r="K110">
            <v>112.27</v>
          </cell>
          <cell r="L110">
            <v>196.8</v>
          </cell>
          <cell r="M110">
            <v>0</v>
          </cell>
          <cell r="N110">
            <v>70.95</v>
          </cell>
          <cell r="O110">
            <v>70.95</v>
          </cell>
          <cell r="Q110">
            <v>0</v>
          </cell>
          <cell r="R110">
            <v>10</v>
          </cell>
          <cell r="S110">
            <v>10</v>
          </cell>
          <cell r="U110">
            <v>527.43000000000006</v>
          </cell>
          <cell r="V110">
            <v>643.12000000000012</v>
          </cell>
          <cell r="W110">
            <v>1170.5500000000002</v>
          </cell>
          <cell r="Y110">
            <v>415.15</v>
          </cell>
          <cell r="Z110">
            <v>115.99999999999999</v>
          </cell>
          <cell r="AA110">
            <v>531.15</v>
          </cell>
          <cell r="AG110">
            <v>6</v>
          </cell>
          <cell r="AH110">
            <v>32.76</v>
          </cell>
          <cell r="AI110">
            <v>38.76</v>
          </cell>
          <cell r="AK110">
            <v>421.15</v>
          </cell>
          <cell r="AL110">
            <v>148.76</v>
          </cell>
          <cell r="AM110">
            <v>569.91</v>
          </cell>
          <cell r="AO110" t="str">
            <v xml:space="preserve"> 2QE</v>
          </cell>
          <cell r="AP110">
            <v>106.05000000000001</v>
          </cell>
          <cell r="AQ110">
            <v>130.81</v>
          </cell>
          <cell r="AR110">
            <v>236.86</v>
          </cell>
          <cell r="AT110">
            <v>165.88</v>
          </cell>
          <cell r="AU110">
            <v>73.599999999999994</v>
          </cell>
          <cell r="AV110">
            <v>239.48</v>
          </cell>
          <cell r="AX110">
            <v>3.6000000000000005</v>
          </cell>
          <cell r="AY110">
            <v>2.1999999999999993</v>
          </cell>
          <cell r="AZ110">
            <v>5.8</v>
          </cell>
          <cell r="BB110">
            <v>29.45</v>
          </cell>
          <cell r="BC110">
            <v>129.19999999999999</v>
          </cell>
          <cell r="BD110">
            <v>158.64999999999998</v>
          </cell>
          <cell r="BF110">
            <v>304.98</v>
          </cell>
          <cell r="BG110">
            <v>335.80999999999995</v>
          </cell>
          <cell r="BH110">
            <v>640.79</v>
          </cell>
          <cell r="BJ110">
            <v>0.94</v>
          </cell>
          <cell r="BK110">
            <v>39.160000000000004</v>
          </cell>
          <cell r="BL110">
            <v>40.1</v>
          </cell>
          <cell r="BN110">
            <v>0</v>
          </cell>
          <cell r="BO110">
            <v>2.6</v>
          </cell>
          <cell r="BP110">
            <v>2.6</v>
          </cell>
          <cell r="BR110">
            <v>0.94</v>
          </cell>
          <cell r="BS110">
            <v>41.760000000000005</v>
          </cell>
          <cell r="BT110">
            <v>42.7</v>
          </cell>
          <cell r="BV110" t="str">
            <v xml:space="preserve"> 2QE</v>
          </cell>
          <cell r="BW110">
            <v>217.8</v>
          </cell>
          <cell r="BX110">
            <v>125.44000000000001</v>
          </cell>
          <cell r="BY110">
            <v>343.24</v>
          </cell>
          <cell r="CA110">
            <v>171.6</v>
          </cell>
          <cell r="CB110">
            <v>1.18</v>
          </cell>
          <cell r="CC110">
            <v>172.78</v>
          </cell>
          <cell r="CE110">
            <v>2</v>
          </cell>
          <cell r="CF110">
            <v>0</v>
          </cell>
          <cell r="CG110">
            <v>2</v>
          </cell>
          <cell r="CI110">
            <v>173.6</v>
          </cell>
          <cell r="CJ110">
            <v>1.18</v>
          </cell>
          <cell r="CK110">
            <v>174.78</v>
          </cell>
          <cell r="CM110">
            <v>60.500000000000007</v>
          </cell>
          <cell r="CN110">
            <v>2.06</v>
          </cell>
          <cell r="CO110">
            <v>62.560000000000009</v>
          </cell>
          <cell r="CQ110">
            <v>3</v>
          </cell>
          <cell r="CR110">
            <v>6</v>
          </cell>
          <cell r="CS110">
            <v>9</v>
          </cell>
          <cell r="CU110">
            <v>63.500000000000007</v>
          </cell>
          <cell r="CV110">
            <v>8.06</v>
          </cell>
          <cell r="CW110">
            <v>71.56</v>
          </cell>
          <cell r="CY110">
            <v>12</v>
          </cell>
          <cell r="CZ110">
            <v>42</v>
          </cell>
          <cell r="DA110">
            <v>54</v>
          </cell>
          <cell r="DC110" t="str">
            <v xml:space="preserve"> 2QE</v>
          </cell>
          <cell r="DD110">
            <v>0</v>
          </cell>
          <cell r="DE110">
            <v>0</v>
          </cell>
          <cell r="DF110">
            <v>0</v>
          </cell>
          <cell r="DH110">
            <v>627</v>
          </cell>
          <cell r="DI110">
            <v>119.69999999999999</v>
          </cell>
          <cell r="DJ110">
            <v>746.37288500000011</v>
          </cell>
          <cell r="DL110">
            <v>2348.4</v>
          </cell>
          <cell r="DM110">
            <v>1465.8300000000002</v>
          </cell>
          <cell r="DN110">
            <v>3814.2300000000005</v>
          </cell>
          <cell r="DP110">
            <v>155.04000000000002</v>
          </cell>
          <cell r="DQ110">
            <v>175.76000000000002</v>
          </cell>
          <cell r="DR110">
            <v>330.80000000000007</v>
          </cell>
          <cell r="DT110">
            <v>83.2</v>
          </cell>
          <cell r="DU110">
            <v>76.960000000000008</v>
          </cell>
          <cell r="DV110">
            <v>160.16000000000003</v>
          </cell>
          <cell r="DX110">
            <v>2586.64</v>
          </cell>
          <cell r="DY110">
            <v>1718.5500000000002</v>
          </cell>
          <cell r="DZ110">
            <v>4305.1900000000005</v>
          </cell>
        </row>
        <row r="111">
          <cell r="A111" t="str">
            <v xml:space="preserve"> 3QE</v>
          </cell>
          <cell r="B111">
            <v>98.75</v>
          </cell>
          <cell r="C111">
            <v>0</v>
          </cell>
          <cell r="D111">
            <v>98.75</v>
          </cell>
          <cell r="F111">
            <v>406.26000000000005</v>
          </cell>
          <cell r="G111">
            <v>477.98999999999995</v>
          </cell>
          <cell r="H111">
            <v>884.25</v>
          </cell>
          <cell r="J111">
            <v>95.68</v>
          </cell>
          <cell r="K111">
            <v>108.12</v>
          </cell>
          <cell r="L111">
            <v>203.8</v>
          </cell>
          <cell r="M111">
            <v>0</v>
          </cell>
          <cell r="N111">
            <v>63.45</v>
          </cell>
          <cell r="O111">
            <v>63.45</v>
          </cell>
          <cell r="Q111">
            <v>1</v>
          </cell>
          <cell r="R111">
            <v>24</v>
          </cell>
          <cell r="S111">
            <v>25</v>
          </cell>
          <cell r="U111">
            <v>601.69000000000005</v>
          </cell>
          <cell r="V111">
            <v>673.56</v>
          </cell>
          <cell r="W111">
            <v>1275.25</v>
          </cell>
          <cell r="Y111">
            <v>451.56</v>
          </cell>
          <cell r="Z111">
            <v>122.72</v>
          </cell>
          <cell r="AA111">
            <v>574.28</v>
          </cell>
          <cell r="AG111">
            <v>6</v>
          </cell>
          <cell r="AH111">
            <v>32.76</v>
          </cell>
          <cell r="AI111">
            <v>38.76</v>
          </cell>
          <cell r="AK111">
            <v>457.56</v>
          </cell>
          <cell r="AL111">
            <v>155.47999999999999</v>
          </cell>
          <cell r="AM111">
            <v>613.04</v>
          </cell>
          <cell r="AO111" t="str">
            <v xml:space="preserve"> 3QE</v>
          </cell>
          <cell r="AP111">
            <v>123.9</v>
          </cell>
          <cell r="AQ111">
            <v>137.55000000000001</v>
          </cell>
          <cell r="AR111">
            <v>261.45000000000005</v>
          </cell>
          <cell r="AT111">
            <v>207.06</v>
          </cell>
          <cell r="AU111">
            <v>63.72</v>
          </cell>
          <cell r="AV111">
            <v>270.77999999999997</v>
          </cell>
          <cell r="AX111">
            <v>4</v>
          </cell>
          <cell r="AY111">
            <v>1</v>
          </cell>
          <cell r="AZ111">
            <v>5</v>
          </cell>
          <cell r="BB111">
            <v>41.8</v>
          </cell>
          <cell r="BC111">
            <v>128.25</v>
          </cell>
          <cell r="BD111">
            <v>170.05</v>
          </cell>
          <cell r="BF111">
            <v>376.76000000000005</v>
          </cell>
          <cell r="BG111">
            <v>330.52</v>
          </cell>
          <cell r="BH111">
            <v>707.28</v>
          </cell>
          <cell r="BJ111">
            <v>1.9</v>
          </cell>
          <cell r="BK111">
            <v>37.800000000000004</v>
          </cell>
          <cell r="BL111">
            <v>39.700000000000003</v>
          </cell>
          <cell r="BN111">
            <v>0</v>
          </cell>
          <cell r="BO111">
            <v>2.8600000000000003</v>
          </cell>
          <cell r="BP111">
            <v>2.8600000000000003</v>
          </cell>
          <cell r="BR111">
            <v>1.9</v>
          </cell>
          <cell r="BS111">
            <v>40.660000000000004</v>
          </cell>
          <cell r="BT111">
            <v>42.56</v>
          </cell>
          <cell r="BV111" t="str">
            <v xml:space="preserve"> 3QE</v>
          </cell>
          <cell r="BW111">
            <v>185.14999999999998</v>
          </cell>
          <cell r="BX111">
            <v>136.4</v>
          </cell>
          <cell r="BY111">
            <v>321.54999999999995</v>
          </cell>
          <cell r="CA111">
            <v>175.45</v>
          </cell>
          <cell r="CB111">
            <v>1.6519999999999999</v>
          </cell>
          <cell r="CC111">
            <v>177.10199999999998</v>
          </cell>
          <cell r="CE111">
            <v>1</v>
          </cell>
          <cell r="CF111">
            <v>0</v>
          </cell>
          <cell r="CG111">
            <v>1</v>
          </cell>
          <cell r="CI111">
            <v>176.45</v>
          </cell>
          <cell r="CJ111">
            <v>1.6519999999999999</v>
          </cell>
          <cell r="CK111">
            <v>178.10199999999998</v>
          </cell>
          <cell r="CM111">
            <v>71.940000000000012</v>
          </cell>
          <cell r="CN111">
            <v>3.09</v>
          </cell>
          <cell r="CO111">
            <v>75.030000000000015</v>
          </cell>
          <cell r="CQ111">
            <v>4</v>
          </cell>
          <cell r="CR111">
            <v>5</v>
          </cell>
          <cell r="CS111">
            <v>9</v>
          </cell>
          <cell r="CU111">
            <v>75.940000000000012</v>
          </cell>
          <cell r="CV111">
            <v>8.09</v>
          </cell>
          <cell r="CW111">
            <v>84.030000000000015</v>
          </cell>
          <cell r="CY111">
            <v>-24</v>
          </cell>
          <cell r="CZ111">
            <v>40.529999999999994</v>
          </cell>
          <cell r="DA111">
            <v>16.529999999999994</v>
          </cell>
          <cell r="DC111" t="str">
            <v xml:space="preserve"> 3QE</v>
          </cell>
          <cell r="DD111">
            <v>35</v>
          </cell>
          <cell r="DE111">
            <v>15</v>
          </cell>
          <cell r="DF111">
            <v>50</v>
          </cell>
          <cell r="DH111">
            <v>630</v>
          </cell>
          <cell r="DI111">
            <v>149.5</v>
          </cell>
          <cell r="DJ111">
            <v>804.50856499999998</v>
          </cell>
          <cell r="DL111">
            <v>2516.4500000000003</v>
          </cell>
          <cell r="DM111">
            <v>1551.3920000000001</v>
          </cell>
          <cell r="DN111">
            <v>4067.8420000000006</v>
          </cell>
          <cell r="DP111">
            <v>205.20000000000002</v>
          </cell>
          <cell r="DQ111">
            <v>162.24</v>
          </cell>
          <cell r="DR111">
            <v>367.44000000000005</v>
          </cell>
          <cell r="DT111">
            <v>76.960000000000008</v>
          </cell>
          <cell r="DU111">
            <v>62.7</v>
          </cell>
          <cell r="DV111">
            <v>139.66000000000003</v>
          </cell>
          <cell r="DX111">
            <v>2798.61</v>
          </cell>
          <cell r="DY111">
            <v>1776.3320000000001</v>
          </cell>
          <cell r="DZ111">
            <v>4574.942</v>
          </cell>
        </row>
        <row r="112">
          <cell r="A112" t="str">
            <v xml:space="preserve"> 4QE</v>
          </cell>
          <cell r="B112">
            <v>95.630000000000024</v>
          </cell>
          <cell r="C112">
            <v>0</v>
          </cell>
          <cell r="D112">
            <v>95.630000000000024</v>
          </cell>
          <cell r="F112">
            <v>404.33</v>
          </cell>
          <cell r="G112">
            <v>508.35999999999996</v>
          </cell>
          <cell r="H112">
            <v>912.68999999999994</v>
          </cell>
          <cell r="J112">
            <v>50.189999999999969</v>
          </cell>
          <cell r="K112">
            <v>113.66000000000003</v>
          </cell>
          <cell r="L112">
            <v>163.85</v>
          </cell>
          <cell r="M112">
            <v>0</v>
          </cell>
          <cell r="N112">
            <v>114.00000000000004</v>
          </cell>
          <cell r="O112">
            <v>114.00000000000004</v>
          </cell>
          <cell r="Q112">
            <v>1</v>
          </cell>
          <cell r="R112">
            <v>-2.7499999999999929</v>
          </cell>
          <cell r="S112">
            <v>-1.7499999999999929</v>
          </cell>
          <cell r="U112">
            <v>551.15</v>
          </cell>
          <cell r="V112">
            <v>733.27</v>
          </cell>
          <cell r="W112">
            <v>1284.42</v>
          </cell>
          <cell r="Y112">
            <v>471.0900000000002</v>
          </cell>
          <cell r="Z112">
            <v>110.28000000000006</v>
          </cell>
          <cell r="AA112">
            <v>581.37000000000023</v>
          </cell>
          <cell r="AG112">
            <v>15</v>
          </cell>
          <cell r="AH112">
            <v>34.480000000000011</v>
          </cell>
          <cell r="AI112">
            <v>49.480000000000011</v>
          </cell>
          <cell r="AK112">
            <v>486.0900000000002</v>
          </cell>
          <cell r="AL112">
            <v>144.76000000000008</v>
          </cell>
          <cell r="AM112">
            <v>630.85000000000025</v>
          </cell>
          <cell r="AO112" t="str">
            <v xml:space="preserve"> 4QE</v>
          </cell>
          <cell r="AP112">
            <v>152.04999999999998</v>
          </cell>
          <cell r="AQ112">
            <v>153.69000000000005</v>
          </cell>
          <cell r="AR112">
            <v>305.74</v>
          </cell>
          <cell r="AT112">
            <v>429.74000000000007</v>
          </cell>
          <cell r="AU112">
            <v>84.600000000000023</v>
          </cell>
          <cell r="AV112">
            <v>514.34000000000015</v>
          </cell>
          <cell r="AX112">
            <v>16.200000000000003</v>
          </cell>
          <cell r="AY112">
            <v>6.5749999999999993</v>
          </cell>
          <cell r="AZ112">
            <v>22.775000000000002</v>
          </cell>
          <cell r="BB112">
            <v>33.349999999999994</v>
          </cell>
          <cell r="BC112">
            <v>130.72499999999997</v>
          </cell>
          <cell r="BD112">
            <v>164.07499999999996</v>
          </cell>
          <cell r="BF112">
            <v>631.34000000000015</v>
          </cell>
          <cell r="BG112">
            <v>375.59000000000003</v>
          </cell>
          <cell r="BH112">
            <v>974.93000000000018</v>
          </cell>
          <cell r="BJ112">
            <v>1.8099999999999996</v>
          </cell>
          <cell r="BK112">
            <v>43.840000000000011</v>
          </cell>
          <cell r="BL112">
            <v>45.650000000000013</v>
          </cell>
          <cell r="BN112">
            <v>0</v>
          </cell>
          <cell r="BO112">
            <v>-12.46</v>
          </cell>
          <cell r="BP112">
            <v>-12.46</v>
          </cell>
          <cell r="BR112">
            <v>1.8099999999999996</v>
          </cell>
          <cell r="BS112">
            <v>31.38000000000001</v>
          </cell>
          <cell r="BT112">
            <v>33.190000000000012</v>
          </cell>
          <cell r="BV112" t="str">
            <v xml:space="preserve"> 4QE</v>
          </cell>
          <cell r="BW112">
            <v>203.32999999999998</v>
          </cell>
          <cell r="BX112">
            <v>167.16</v>
          </cell>
          <cell r="BY112">
            <v>370.49</v>
          </cell>
          <cell r="CA112">
            <v>170.50999999999993</v>
          </cell>
          <cell r="CB112">
            <v>2.3600000000000003</v>
          </cell>
          <cell r="CC112">
            <v>172.86999999999995</v>
          </cell>
          <cell r="CE112">
            <v>2</v>
          </cell>
          <cell r="CF112">
            <v>0</v>
          </cell>
          <cell r="CG112">
            <v>2</v>
          </cell>
          <cell r="CI112">
            <v>172.50999999999993</v>
          </cell>
          <cell r="CJ112">
            <v>2.3600000000000003</v>
          </cell>
          <cell r="CK112">
            <v>174.86999999999995</v>
          </cell>
          <cell r="CM112">
            <v>78.460000000000022</v>
          </cell>
          <cell r="CN112">
            <v>3.2099999999999991</v>
          </cell>
          <cell r="CO112">
            <v>81.670000000000016</v>
          </cell>
          <cell r="CQ112">
            <v>9</v>
          </cell>
          <cell r="CR112">
            <v>10</v>
          </cell>
          <cell r="CS112">
            <v>19</v>
          </cell>
          <cell r="CU112">
            <v>87.460000000000022</v>
          </cell>
          <cell r="CV112">
            <v>13.209999999999999</v>
          </cell>
          <cell r="CW112">
            <v>100.67000000000002</v>
          </cell>
          <cell r="CY112">
            <v>28</v>
          </cell>
          <cell r="CZ112">
            <v>65.25</v>
          </cell>
          <cell r="DA112">
            <v>93.25</v>
          </cell>
          <cell r="DC112" t="str">
            <v xml:space="preserve"> 4QE</v>
          </cell>
          <cell r="DD112">
            <v>5</v>
          </cell>
          <cell r="DE112">
            <v>30</v>
          </cell>
          <cell r="DF112">
            <v>35</v>
          </cell>
          <cell r="DH112">
            <v>698.62885159999996</v>
          </cell>
          <cell r="DI112">
            <v>209.71852840000003</v>
          </cell>
          <cell r="DJ112">
            <v>839.25880500000005</v>
          </cell>
          <cell r="DL112">
            <v>2865.3188516</v>
          </cell>
          <cell r="DM112">
            <v>1772.6985284000002</v>
          </cell>
          <cell r="DN112">
            <v>4638.0173800000002</v>
          </cell>
          <cell r="DP112">
            <v>230.94000000000003</v>
          </cell>
          <cell r="DQ112">
            <v>231.12</v>
          </cell>
          <cell r="DR112">
            <v>462.06000000000006</v>
          </cell>
          <cell r="DT112">
            <v>59.72</v>
          </cell>
          <cell r="DU112">
            <v>77.260000000000005</v>
          </cell>
          <cell r="DV112">
            <v>136.98000000000002</v>
          </cell>
          <cell r="DX112">
            <v>3155.9788515999999</v>
          </cell>
          <cell r="DY112">
            <v>2081.0785284000003</v>
          </cell>
          <cell r="DZ112">
            <v>5237.0573800000002</v>
          </cell>
        </row>
        <row r="114">
          <cell r="A114" t="str">
            <v>Year</v>
          </cell>
          <cell r="B114">
            <v>396.72</v>
          </cell>
          <cell r="C114">
            <v>0</v>
          </cell>
          <cell r="D114">
            <v>396.72</v>
          </cell>
          <cell r="F114">
            <v>1515.15</v>
          </cell>
          <cell r="G114">
            <v>1874.25</v>
          </cell>
          <cell r="H114">
            <v>3389.4</v>
          </cell>
          <cell r="J114">
            <v>320.39999999999998</v>
          </cell>
          <cell r="K114">
            <v>448.05</v>
          </cell>
          <cell r="L114">
            <v>768.45</v>
          </cell>
          <cell r="M114">
            <v>0</v>
          </cell>
          <cell r="N114">
            <v>302.40000000000003</v>
          </cell>
          <cell r="O114">
            <v>302.40000000000003</v>
          </cell>
          <cell r="Q114">
            <v>3</v>
          </cell>
          <cell r="R114">
            <v>52.250000000000007</v>
          </cell>
          <cell r="S114">
            <v>55.250000000000007</v>
          </cell>
          <cell r="U114">
            <v>2235.27</v>
          </cell>
          <cell r="V114">
            <v>2676.9500000000003</v>
          </cell>
          <cell r="W114">
            <v>4912.22</v>
          </cell>
          <cell r="Y114">
            <v>1765.8000000000002</v>
          </cell>
          <cell r="Z114">
            <v>444.00000000000006</v>
          </cell>
          <cell r="AA114">
            <v>2209.8000000000002</v>
          </cell>
          <cell r="AC114">
            <v>0</v>
          </cell>
          <cell r="AD114">
            <v>0</v>
          </cell>
          <cell r="AE114">
            <v>0</v>
          </cell>
          <cell r="AG114">
            <v>30</v>
          </cell>
          <cell r="AH114">
            <v>130</v>
          </cell>
          <cell r="AI114">
            <v>160</v>
          </cell>
          <cell r="AK114">
            <v>1795.8000000000002</v>
          </cell>
          <cell r="AL114">
            <v>574</v>
          </cell>
          <cell r="AM114">
            <v>2369.8000000000002</v>
          </cell>
          <cell r="AO114" t="str">
            <v>Year</v>
          </cell>
          <cell r="AP114">
            <v>504</v>
          </cell>
          <cell r="AQ114">
            <v>547.05000000000007</v>
          </cell>
          <cell r="AR114">
            <v>1051.0500000000002</v>
          </cell>
          <cell r="AT114">
            <v>1129.68</v>
          </cell>
          <cell r="AU114">
            <v>313.92</v>
          </cell>
          <cell r="AV114">
            <v>1443.6000000000001</v>
          </cell>
          <cell r="AX114">
            <v>22.800000000000004</v>
          </cell>
          <cell r="AY114">
            <v>8.7749999999999986</v>
          </cell>
          <cell r="AZ114">
            <v>31.575000000000003</v>
          </cell>
          <cell r="BB114">
            <v>140.6</v>
          </cell>
          <cell r="BC114">
            <v>538.17499999999995</v>
          </cell>
          <cell r="BD114">
            <v>678.77499999999998</v>
          </cell>
          <cell r="BF114">
            <v>1797.08</v>
          </cell>
          <cell r="BG114">
            <v>1407.92</v>
          </cell>
          <cell r="BH114">
            <v>3205</v>
          </cell>
          <cell r="BJ114">
            <v>6.6499999999999995</v>
          </cell>
          <cell r="BK114">
            <v>154.80000000000001</v>
          </cell>
          <cell r="BL114">
            <v>161.45000000000002</v>
          </cell>
          <cell r="BN114">
            <v>0</v>
          </cell>
          <cell r="BO114">
            <v>10</v>
          </cell>
          <cell r="BP114">
            <v>10</v>
          </cell>
          <cell r="BR114">
            <v>6.6499999999999995</v>
          </cell>
          <cell r="BS114">
            <v>164.8</v>
          </cell>
          <cell r="BT114">
            <v>171.45000000000002</v>
          </cell>
          <cell r="BV114" t="str">
            <v>Year</v>
          </cell>
          <cell r="BW114">
            <v>833.28</v>
          </cell>
          <cell r="BX114">
            <v>535</v>
          </cell>
          <cell r="BY114">
            <v>1368.28</v>
          </cell>
          <cell r="CA114">
            <v>668.56</v>
          </cell>
          <cell r="CB114">
            <v>5.1920000000000002</v>
          </cell>
          <cell r="CC114">
            <v>673.75199999999995</v>
          </cell>
          <cell r="CE114">
            <v>6</v>
          </cell>
          <cell r="CF114">
            <v>0</v>
          </cell>
          <cell r="CG114">
            <v>6</v>
          </cell>
          <cell r="CI114">
            <v>674.56</v>
          </cell>
          <cell r="CJ114">
            <v>5.1920000000000002</v>
          </cell>
          <cell r="CK114">
            <v>679.75199999999995</v>
          </cell>
          <cell r="CM114">
            <v>273.90000000000003</v>
          </cell>
          <cell r="CN114">
            <v>12.36</v>
          </cell>
          <cell r="CO114">
            <v>286.26000000000005</v>
          </cell>
          <cell r="CQ114">
            <v>20</v>
          </cell>
          <cell r="CR114">
            <v>25</v>
          </cell>
          <cell r="CS114">
            <v>45</v>
          </cell>
          <cell r="CU114">
            <v>293.90000000000003</v>
          </cell>
          <cell r="CV114">
            <v>37.36</v>
          </cell>
          <cell r="CW114">
            <v>331.26000000000005</v>
          </cell>
          <cell r="CY114">
            <v>12</v>
          </cell>
          <cell r="CZ114">
            <v>192.78</v>
          </cell>
          <cell r="DA114">
            <v>204.78</v>
          </cell>
          <cell r="DC114" t="str">
            <v>Year</v>
          </cell>
          <cell r="DD114">
            <v>40</v>
          </cell>
          <cell r="DE114">
            <v>45</v>
          </cell>
          <cell r="DF114">
            <v>85</v>
          </cell>
          <cell r="DH114">
            <v>2541.6288516</v>
          </cell>
          <cell r="DI114">
            <v>557.91852840000001</v>
          </cell>
          <cell r="DJ114">
            <v>3099.54738</v>
          </cell>
          <cell r="DL114">
            <v>10230.168851599999</v>
          </cell>
          <cell r="DM114">
            <v>6196.9205284</v>
          </cell>
          <cell r="DN114">
            <v>16427.089379999998</v>
          </cell>
          <cell r="DP114">
            <v>708.18000000000006</v>
          </cell>
          <cell r="DQ114">
            <v>720.12</v>
          </cell>
          <cell r="DR114">
            <v>1428.3000000000002</v>
          </cell>
          <cell r="DT114">
            <v>304.88</v>
          </cell>
          <cell r="DU114">
            <v>271.92</v>
          </cell>
          <cell r="DV114">
            <v>576.79999999999995</v>
          </cell>
          <cell r="DX114">
            <v>11243.228851599999</v>
          </cell>
          <cell r="DY114">
            <v>7188.9605283999999</v>
          </cell>
          <cell r="DZ114">
            <v>18432.18938</v>
          </cell>
        </row>
        <row r="117">
          <cell r="A117" t="str">
            <v>2001E/00E</v>
          </cell>
          <cell r="B117">
            <v>-0.2</v>
          </cell>
          <cell r="C117" t="str">
            <v>NM</v>
          </cell>
          <cell r="D117">
            <v>-0.19999999999999996</v>
          </cell>
          <cell r="F117">
            <v>0.09</v>
          </cell>
          <cell r="G117">
            <v>0.11</v>
          </cell>
          <cell r="H117">
            <v>0.10105947955390326</v>
          </cell>
          <cell r="J117">
            <v>-0.5</v>
          </cell>
          <cell r="K117">
            <v>0.03</v>
          </cell>
          <cell r="L117">
            <v>-0.1909798945930119</v>
          </cell>
          <cell r="M117">
            <v>0</v>
          </cell>
          <cell r="N117">
            <v>0.2</v>
          </cell>
          <cell r="O117">
            <v>0.19999999999999996</v>
          </cell>
          <cell r="Q117">
            <v>0</v>
          </cell>
          <cell r="R117">
            <v>0</v>
          </cell>
          <cell r="S117">
            <v>0</v>
          </cell>
          <cell r="U117">
            <v>-4.6160195412634719E-2</v>
          </cell>
          <cell r="V117">
            <v>0.10462989596368999</v>
          </cell>
          <cell r="W117">
            <v>3.6013961101090786E-2</v>
          </cell>
          <cell r="Y117">
            <v>0.08</v>
          </cell>
          <cell r="Z117">
            <v>0.08</v>
          </cell>
          <cell r="AA117">
            <v>8.0000000000000071E-2</v>
          </cell>
          <cell r="AC117" t="str">
            <v xml:space="preserve">  NM</v>
          </cell>
          <cell r="AD117" t="str">
            <v xml:space="preserve">  NM</v>
          </cell>
          <cell r="AE117" t="str">
            <v xml:space="preserve">  NM</v>
          </cell>
          <cell r="AG117">
            <v>0</v>
          </cell>
          <cell r="AH117">
            <v>0.69230769230769229</v>
          </cell>
          <cell r="AI117">
            <v>0.5625</v>
          </cell>
          <cell r="AK117">
            <v>7.866354827931854E-2</v>
          </cell>
          <cell r="AL117">
            <v>0.21867595818815322</v>
          </cell>
          <cell r="AM117">
            <v>0.11257658874166609</v>
          </cell>
          <cell r="AO117" t="str">
            <v>2001E/00E</v>
          </cell>
          <cell r="AP117">
            <v>0.03</v>
          </cell>
          <cell r="AQ117">
            <v>0.02</v>
          </cell>
          <cell r="AR117">
            <v>2.4795204795204695E-2</v>
          </cell>
          <cell r="AT117">
            <v>0.18</v>
          </cell>
          <cell r="AU117">
            <v>0.12</v>
          </cell>
          <cell r="AV117">
            <v>0.16695261845386522</v>
          </cell>
          <cell r="AX117">
            <v>0.02</v>
          </cell>
          <cell r="AY117">
            <v>0</v>
          </cell>
          <cell r="AZ117">
            <v>1.4441805225653193E-2</v>
          </cell>
          <cell r="BB117">
            <v>-0.05</v>
          </cell>
          <cell r="BC117">
            <v>-0.05</v>
          </cell>
          <cell r="BD117">
            <v>-5.0000000000000044E-2</v>
          </cell>
          <cell r="BF117">
            <v>0.11790704921316819</v>
          </cell>
          <cell r="BG117">
            <v>1.5414689755099742E-2</v>
          </cell>
          <cell r="BH117">
            <v>7.2883322932917327E-2</v>
          </cell>
          <cell r="BJ117">
            <v>-0.05</v>
          </cell>
          <cell r="BK117">
            <v>-0.1</v>
          </cell>
          <cell r="BL117">
            <v>-9.7940538866522098E-2</v>
          </cell>
          <cell r="BN117" t="str">
            <v xml:space="preserve">  NM</v>
          </cell>
          <cell r="BO117">
            <v>0</v>
          </cell>
          <cell r="BP117">
            <v>0</v>
          </cell>
          <cell r="BR117">
            <v>-5.0000000000000044E-2</v>
          </cell>
          <cell r="BS117">
            <v>-9.3932038834951381E-2</v>
          </cell>
          <cell r="BT117">
            <v>-9.2228054826479999E-2</v>
          </cell>
          <cell r="BV117" t="str">
            <v>2001E/00E</v>
          </cell>
          <cell r="BW117">
            <v>0.14000000000000001</v>
          </cell>
          <cell r="BX117">
            <v>0.24</v>
          </cell>
          <cell r="BY117">
            <v>0.17910018417283013</v>
          </cell>
          <cell r="CA117">
            <v>0.14000000000000001</v>
          </cell>
          <cell r="CB117">
            <v>0.15</v>
          </cell>
          <cell r="CC117">
            <v>0.14007706099573736</v>
          </cell>
          <cell r="CE117">
            <v>0</v>
          </cell>
          <cell r="CF117" t="str">
            <v xml:space="preserve">  NM</v>
          </cell>
          <cell r="CG117">
            <v>0</v>
          </cell>
          <cell r="CI117">
            <v>0.138754743833017</v>
          </cell>
          <cell r="CJ117">
            <v>0.15000000000000013</v>
          </cell>
          <cell r="CK117">
            <v>0.13884063599665764</v>
          </cell>
          <cell r="CM117">
            <v>0.06</v>
          </cell>
          <cell r="CN117">
            <v>0.03</v>
          </cell>
          <cell r="CO117">
            <v>5.8704674072521446E-2</v>
          </cell>
          <cell r="CQ117">
            <v>0</v>
          </cell>
          <cell r="CR117">
            <v>0</v>
          </cell>
          <cell r="CS117">
            <v>0</v>
          </cell>
          <cell r="CU117">
            <v>5.5916978564137576E-2</v>
          </cell>
          <cell r="CV117">
            <v>9.9250535331907308E-3</v>
          </cell>
          <cell r="CW117">
            <v>5.0729940228219528E-2</v>
          </cell>
          <cell r="CY117">
            <v>0</v>
          </cell>
          <cell r="CZ117">
            <v>0.05</v>
          </cell>
          <cell r="DA117">
            <v>4.7070026369762763E-2</v>
          </cell>
          <cell r="DC117" t="str">
            <v>2001E/00E</v>
          </cell>
          <cell r="DD117">
            <v>9.625</v>
          </cell>
          <cell r="DE117">
            <v>2.8888888888888888</v>
          </cell>
          <cell r="DF117">
            <v>6.0588235294117645</v>
          </cell>
          <cell r="DH117">
            <v>0.29554338661489865</v>
          </cell>
          <cell r="DI117">
            <v>0.47547996808919013</v>
          </cell>
          <cell r="DJ117">
            <v>0.32793197128027129</v>
          </cell>
          <cell r="DL117">
            <v>0.157621308280538</v>
          </cell>
          <cell r="DM117">
            <v>0.15270477162700158</v>
          </cell>
          <cell r="DN117">
            <v>0.15576660436969036</v>
          </cell>
          <cell r="DP117">
            <v>0.12</v>
          </cell>
          <cell r="DQ117">
            <v>0.03</v>
          </cell>
          <cell r="DR117">
            <v>7.4623818525519831E-2</v>
          </cell>
          <cell r="DT117">
            <v>0.03</v>
          </cell>
          <cell r="DU117">
            <v>0.03</v>
          </cell>
          <cell r="DV117">
            <v>3.0000000000000155E-2</v>
          </cell>
          <cell r="DX117">
            <v>0.15179096866618846</v>
          </cell>
          <cell r="DY117">
            <v>0.13577213704597102</v>
          </cell>
          <cell r="DZ117">
            <v>0.1455432709101212</v>
          </cell>
        </row>
        <row r="118">
          <cell r="A118" t="str">
            <v>2002E/01E</v>
          </cell>
          <cell r="B118">
            <v>-0.2</v>
          </cell>
          <cell r="C118" t="str">
            <v>NM</v>
          </cell>
          <cell r="D118">
            <v>-0.19999999999999996</v>
          </cell>
          <cell r="F118">
            <v>0.08</v>
          </cell>
          <cell r="G118">
            <v>0.12</v>
          </cell>
          <cell r="H118">
            <v>0.10229856339787635</v>
          </cell>
          <cell r="J118">
            <v>-0.3</v>
          </cell>
          <cell r="K118">
            <v>0.03</v>
          </cell>
          <cell r="L118">
            <v>-5.5035745220901267E-2</v>
          </cell>
          <cell r="M118">
            <v>0</v>
          </cell>
          <cell r="N118">
            <v>0.15</v>
          </cell>
          <cell r="O118">
            <v>0.15000000000000013</v>
          </cell>
          <cell r="Q118">
            <v>0</v>
          </cell>
          <cell r="R118">
            <v>0</v>
          </cell>
          <cell r="S118">
            <v>0</v>
          </cell>
          <cell r="U118">
            <v>9.6552607195898865E-3</v>
          </cell>
          <cell r="V118">
            <v>0.10751526949762913</v>
          </cell>
          <cell r="W118">
            <v>6.651683583937773E-2</v>
          </cell>
          <cell r="Y118">
            <v>0.06</v>
          </cell>
          <cell r="Z118">
            <v>0.08</v>
          </cell>
          <cell r="AA118">
            <v>6.4018463209340348E-2</v>
          </cell>
          <cell r="AC118" t="str">
            <v xml:space="preserve">  NM</v>
          </cell>
          <cell r="AD118" t="str">
            <v xml:space="preserve">  NM</v>
          </cell>
          <cell r="AE118" t="str">
            <v xml:space="preserve">  NM</v>
          </cell>
          <cell r="AG118">
            <v>0</v>
          </cell>
          <cell r="AH118">
            <v>0</v>
          </cell>
          <cell r="AI118">
            <v>0</v>
          </cell>
          <cell r="AK118">
            <v>5.9070758632652209E-2</v>
          </cell>
          <cell r="AL118">
            <v>5.483989021043012E-2</v>
          </cell>
          <cell r="AM118">
            <v>5.7948254256265042E-2</v>
          </cell>
          <cell r="AO118" t="str">
            <v>2002E/01E</v>
          </cell>
          <cell r="AP118">
            <v>0.02</v>
          </cell>
          <cell r="AQ118">
            <v>0.02</v>
          </cell>
          <cell r="AR118">
            <v>2.0000000000000018E-2</v>
          </cell>
          <cell r="AT118">
            <v>0.14000000000000001</v>
          </cell>
          <cell r="AU118">
            <v>0.1</v>
          </cell>
          <cell r="AV118">
            <v>0.13165172198620345</v>
          </cell>
          <cell r="AX118">
            <v>0.03</v>
          </cell>
          <cell r="AY118">
            <v>0</v>
          </cell>
          <cell r="AZ118">
            <v>2.1781399269457546E-2</v>
          </cell>
          <cell r="BB118">
            <v>-0.05</v>
          </cell>
          <cell r="BC118">
            <v>-0.05</v>
          </cell>
          <cell r="BD118">
            <v>-5.0000000000000044E-2</v>
          </cell>
          <cell r="BF118">
            <v>9.5085973477731178E-2</v>
          </cell>
          <cell r="BG118">
            <v>1.4518199959968614E-2</v>
          </cell>
          <cell r="BH118">
            <v>6.1589255721467673E-2</v>
          </cell>
          <cell r="BJ118">
            <v>-0.05</v>
          </cell>
          <cell r="BK118">
            <v>-0.1</v>
          </cell>
          <cell r="BL118">
            <v>-9.7831087460303778E-2</v>
          </cell>
          <cell r="BN118" t="str">
            <v xml:space="preserve">  NM</v>
          </cell>
          <cell r="BO118">
            <v>0</v>
          </cell>
          <cell r="BP118">
            <v>0</v>
          </cell>
          <cell r="BR118">
            <v>-5.0000000000000044E-2</v>
          </cell>
          <cell r="BS118">
            <v>-9.3302973479774898E-2</v>
          </cell>
          <cell r="BT118">
            <v>-9.1545257409043401E-2</v>
          </cell>
          <cell r="BV118" t="str">
            <v>2002E/01E</v>
          </cell>
          <cell r="BW118">
            <v>0.12</v>
          </cell>
          <cell r="BX118">
            <v>0.15</v>
          </cell>
          <cell r="BY118">
            <v>0.13233590555538477</v>
          </cell>
          <cell r="CA118">
            <v>0.1</v>
          </cell>
          <cell r="CB118">
            <v>0.1</v>
          </cell>
          <cell r="CC118">
            <v>9.9999999999999867E-2</v>
          </cell>
          <cell r="CE118">
            <v>0</v>
          </cell>
          <cell r="CF118" t="str">
            <v xml:space="preserve">  NM</v>
          </cell>
          <cell r="CG118">
            <v>0</v>
          </cell>
          <cell r="CI118">
            <v>9.9218911099585583E-2</v>
          </cell>
          <cell r="CJ118">
            <v>0.10000000000000009</v>
          </cell>
          <cell r="CK118">
            <v>9.9224935579228735E-2</v>
          </cell>
          <cell r="CM118">
            <v>0.03</v>
          </cell>
          <cell r="CN118">
            <v>0.02</v>
          </cell>
          <cell r="CO118">
            <v>2.9579931420607108E-2</v>
          </cell>
          <cell r="CQ118">
            <v>0</v>
          </cell>
          <cell r="CR118">
            <v>0</v>
          </cell>
          <cell r="CS118">
            <v>0</v>
          </cell>
          <cell r="CU118">
            <v>2.8066599212461352E-2</v>
          </cell>
          <cell r="CV118">
            <v>6.7482269127607797E-3</v>
          </cell>
          <cell r="CW118">
            <v>2.575565239576072E-2</v>
          </cell>
          <cell r="CY118">
            <v>0</v>
          </cell>
          <cell r="CZ118">
            <v>0.05</v>
          </cell>
          <cell r="DA118">
            <v>4.7201740517398116E-2</v>
          </cell>
          <cell r="DC118" t="str">
            <v>2002E/01E</v>
          </cell>
          <cell r="DD118">
            <v>2.2117647058823531</v>
          </cell>
          <cell r="DE118">
            <v>0.88571428571428568</v>
          </cell>
          <cell r="DF118">
            <v>1.825</v>
          </cell>
          <cell r="DH118">
            <v>0.17891196463058034</v>
          </cell>
          <cell r="DI118">
            <v>0.17891196463058034</v>
          </cell>
          <cell r="DJ118">
            <v>0.17891196463058034</v>
          </cell>
          <cell r="DL118">
            <v>0.17342020137930003</v>
          </cell>
          <cell r="DM118">
            <v>0.10861692003956191</v>
          </cell>
          <cell r="DN118">
            <v>0.14903871079673925</v>
          </cell>
          <cell r="DP118">
            <v>0.1</v>
          </cell>
          <cell r="DQ118">
            <v>0.03</v>
          </cell>
          <cell r="DR118">
            <v>6.6172941142438435E-2</v>
          </cell>
          <cell r="DT118">
            <v>0.03</v>
          </cell>
          <cell r="DU118">
            <v>0.03</v>
          </cell>
          <cell r="DV118">
            <v>3.0000000000000027E-2</v>
          </cell>
          <cell r="DX118">
            <v>0.16544545122300525</v>
          </cell>
          <cell r="DY118">
            <v>9.8778505340809231E-2</v>
          </cell>
          <cell r="DZ118">
            <v>0.13966565697895916</v>
          </cell>
        </row>
        <row r="119">
          <cell r="A119" t="str">
            <v>2003E/02E</v>
          </cell>
          <cell r="B119">
            <v>-0.3</v>
          </cell>
          <cell r="C119" t="str">
            <v>NM</v>
          </cell>
          <cell r="D119">
            <v>-0.29999999999999993</v>
          </cell>
          <cell r="F119">
            <v>0.08</v>
          </cell>
          <cell r="G119">
            <v>0.1</v>
          </cell>
          <cell r="H119">
            <v>9.1328324210383061E-2</v>
          </cell>
          <cell r="J119">
            <v>-0.2</v>
          </cell>
          <cell r="K119">
            <v>0.03</v>
          </cell>
          <cell r="L119">
            <v>-1.3903392212905707E-2</v>
          </cell>
          <cell r="M119">
            <v>0</v>
          </cell>
          <cell r="N119">
            <v>0.15</v>
          </cell>
          <cell r="O119">
            <v>0.15000000000000013</v>
          </cell>
          <cell r="Q119">
            <v>0</v>
          </cell>
          <cell r="R119">
            <v>0</v>
          </cell>
          <cell r="S119">
            <v>0</v>
          </cell>
          <cell r="U119">
            <v>2.0482663949080715E-2</v>
          </cell>
          <cell r="V119">
            <v>9.4615840901998816E-2</v>
          </cell>
          <cell r="W119">
            <v>6.5213627628823323E-2</v>
          </cell>
          <cell r="Y119">
            <v>0.06</v>
          </cell>
          <cell r="Z119">
            <v>7.0000000000000007E-2</v>
          </cell>
          <cell r="AA119">
            <v>6.203941022461068E-2</v>
          </cell>
          <cell r="AC119" t="str">
            <v xml:space="preserve">  NM</v>
          </cell>
          <cell r="AD119" t="str">
            <v xml:space="preserve">  NM</v>
          </cell>
          <cell r="AE119" t="str">
            <v xml:space="preserve">  NM</v>
          </cell>
          <cell r="AG119">
            <v>0</v>
          </cell>
          <cell r="AH119">
            <v>0</v>
          </cell>
          <cell r="AI119">
            <v>0</v>
          </cell>
          <cell r="AK119">
            <v>5.9122588023724276E-2</v>
          </cell>
          <cell r="AL119">
            <v>4.9129442989227501E-2</v>
          </cell>
          <cell r="AM119">
            <v>5.6479066609405493E-2</v>
          </cell>
          <cell r="AO119" t="str">
            <v>2003E/02E</v>
          </cell>
          <cell r="AP119">
            <v>0.02</v>
          </cell>
          <cell r="AQ119">
            <v>0.02</v>
          </cell>
          <cell r="AR119">
            <v>1.9999999999999796E-2</v>
          </cell>
          <cell r="AT119">
            <v>0.12</v>
          </cell>
          <cell r="AU119">
            <v>0.06</v>
          </cell>
          <cell r="AV119">
            <v>0.10782782860208306</v>
          </cell>
          <cell r="AX119">
            <v>0.03</v>
          </cell>
          <cell r="AY119">
            <v>0</v>
          </cell>
          <cell r="AZ119">
            <v>2.1956595866377659E-2</v>
          </cell>
          <cell r="BB119">
            <v>-0.05</v>
          </cell>
          <cell r="BC119">
            <v>-0.05</v>
          </cell>
          <cell r="BD119">
            <v>-4.9999999999999933E-2</v>
          </cell>
          <cell r="BF119">
            <v>8.5146424485448069E-2</v>
          </cell>
          <cell r="BG119">
            <v>7.103551296316013E-3</v>
          </cell>
          <cell r="BH119">
            <v>5.4138159291942323E-2</v>
          </cell>
          <cell r="BJ119">
            <v>-0.05</v>
          </cell>
          <cell r="BK119">
            <v>-0.1</v>
          </cell>
          <cell r="BL119">
            <v>-9.7716096305168643E-2</v>
          </cell>
          <cell r="BN119" t="str">
            <v xml:space="preserve">  NM</v>
          </cell>
          <cell r="BO119">
            <v>0</v>
          </cell>
          <cell r="BP119">
            <v>0</v>
          </cell>
          <cell r="BR119">
            <v>-4.9999999999999933E-2</v>
          </cell>
          <cell r="BS119">
            <v>-9.2613821018110998E-2</v>
          </cell>
          <cell r="BT119">
            <v>-9.080497419807132E-2</v>
          </cell>
          <cell r="BV119" t="str">
            <v>2003E/02E</v>
          </cell>
          <cell r="BW119">
            <v>0.1</v>
          </cell>
          <cell r="BX119">
            <v>0.1</v>
          </cell>
          <cell r="BY119">
            <v>0.10000000000000009</v>
          </cell>
          <cell r="CA119">
            <v>0.1</v>
          </cell>
          <cell r="CB119">
            <v>0.1</v>
          </cell>
          <cell r="CC119">
            <v>0.10000000000000009</v>
          </cell>
          <cell r="CE119">
            <v>0</v>
          </cell>
          <cell r="CF119" t="str">
            <v xml:space="preserve">  NM</v>
          </cell>
          <cell r="CG119">
            <v>0</v>
          </cell>
          <cell r="CI119">
            <v>9.928941460838514E-2</v>
          </cell>
          <cell r="CJ119">
            <v>0.10000000000000009</v>
          </cell>
          <cell r="CK119">
            <v>9.9294899164234618E-2</v>
          </cell>
          <cell r="CM119">
            <v>0.03</v>
          </cell>
          <cell r="CN119">
            <v>0.01</v>
          </cell>
          <cell r="CO119">
            <v>2.9167680064646317E-2</v>
          </cell>
          <cell r="CQ119">
            <v>0</v>
          </cell>
          <cell r="CR119">
            <v>0</v>
          </cell>
          <cell r="CS119">
            <v>0</v>
          </cell>
          <cell r="CU119">
            <v>2.8119381770578267E-2</v>
          </cell>
          <cell r="CV119">
            <v>3.4185267314170709E-3</v>
          </cell>
          <cell r="CW119">
            <v>2.5491384861611399E-2</v>
          </cell>
          <cell r="CY119">
            <v>0</v>
          </cell>
          <cell r="CZ119">
            <v>0.05</v>
          </cell>
          <cell r="DA119">
            <v>4.7327869717615823E-2</v>
          </cell>
          <cell r="DC119" t="str">
            <v>2003E/02E</v>
          </cell>
          <cell r="DD119">
            <v>0.87820512820512819</v>
          </cell>
          <cell r="DE119">
            <v>0.51515151515151514</v>
          </cell>
          <cell r="DF119">
            <v>0.80752212389380529</v>
          </cell>
          <cell r="DH119">
            <v>0.17661022906047585</v>
          </cell>
          <cell r="DI119">
            <v>0.17661022906047563</v>
          </cell>
          <cell r="DJ119">
            <v>0.17661022906047585</v>
          </cell>
          <cell r="DL119">
            <v>0.1752926682780811</v>
          </cell>
          <cell r="DM119">
            <v>9.760968259004299E-2</v>
          </cell>
          <cell r="DN119">
            <v>0.14709351894622347</v>
          </cell>
          <cell r="DP119">
            <v>0.08</v>
          </cell>
          <cell r="DQ119">
            <v>0.03</v>
          </cell>
          <cell r="DR119">
            <v>5.6657585758518099E-2</v>
          </cell>
          <cell r="DT119">
            <v>0.03</v>
          </cell>
          <cell r="DU119">
            <v>0.03</v>
          </cell>
          <cell r="DV119">
            <v>2.9999999999999787E-2</v>
          </cell>
          <cell r="DX119">
            <v>0.16667006818420305</v>
          </cell>
          <cell r="DY119">
            <v>8.9678370017685083E-2</v>
          </cell>
          <cell r="DZ119">
            <v>0.13796586606812045</v>
          </cell>
        </row>
        <row r="120">
          <cell r="A120" t="str">
            <v>2004E/03E</v>
          </cell>
          <cell r="B120">
            <v>-0.3</v>
          </cell>
          <cell r="C120" t="str">
            <v>NM</v>
          </cell>
          <cell r="D120">
            <v>-0.29999999999999993</v>
          </cell>
          <cell r="F120">
            <v>7.0000000000000007E-2</v>
          </cell>
          <cell r="G120">
            <v>0.08</v>
          </cell>
          <cell r="H120">
            <v>7.5709169438279433E-2</v>
          </cell>
          <cell r="J120">
            <v>-0.1</v>
          </cell>
          <cell r="K120">
            <v>0.03</v>
          </cell>
          <cell r="L120">
            <v>9.8681300635017344E-3</v>
          </cell>
          <cell r="M120">
            <v>0</v>
          </cell>
          <cell r="N120">
            <v>0.1</v>
          </cell>
          <cell r="O120">
            <v>0.10000000000000009</v>
          </cell>
          <cell r="Q120">
            <v>0</v>
          </cell>
          <cell r="R120">
            <v>0</v>
          </cell>
          <cell r="S120">
            <v>0</v>
          </cell>
          <cell r="U120">
            <v>3.302688738151538E-2</v>
          </cell>
          <cell r="V120">
            <v>7.4682692535815942E-2</v>
          </cell>
          <cell r="W120">
            <v>5.8855209304623735E-2</v>
          </cell>
          <cell r="Y120">
            <v>0.05</v>
          </cell>
          <cell r="Z120">
            <v>0.06</v>
          </cell>
          <cell r="AA120">
            <v>5.205469676485186E-2</v>
          </cell>
          <cell r="AC120" t="str">
            <v xml:space="preserve">  NM</v>
          </cell>
          <cell r="AD120" t="str">
            <v xml:space="preserve">  NM</v>
          </cell>
          <cell r="AE120" t="str">
            <v xml:space="preserve">  NM</v>
          </cell>
          <cell r="AG120">
            <v>0</v>
          </cell>
          <cell r="AH120">
            <v>0</v>
          </cell>
          <cell r="AI120">
            <v>0</v>
          </cell>
          <cell r="AK120">
            <v>4.9309639266347238E-2</v>
          </cell>
          <cell r="AL120">
            <v>4.2948673315843733E-2</v>
          </cell>
          <cell r="AM120">
            <v>4.7638656802356349E-2</v>
          </cell>
          <cell r="AO120" t="str">
            <v>2004E/03E</v>
          </cell>
          <cell r="AP120">
            <v>-0.3</v>
          </cell>
          <cell r="AQ120">
            <v>0</v>
          </cell>
          <cell r="AR120">
            <v>-0.14458676960870331</v>
          </cell>
          <cell r="AT120">
            <v>0.12</v>
          </cell>
          <cell r="AU120">
            <v>0.04</v>
          </cell>
          <cell r="AV120">
            <v>0.10447111082465677</v>
          </cell>
          <cell r="AX120">
            <v>0.02</v>
          </cell>
          <cell r="AY120">
            <v>0</v>
          </cell>
          <cell r="AZ120">
            <v>1.4752938193163923E-2</v>
          </cell>
          <cell r="BB120">
            <v>-0.05</v>
          </cell>
          <cell r="BC120">
            <v>-0.05</v>
          </cell>
          <cell r="BD120">
            <v>-4.9999999999999933E-2</v>
          </cell>
          <cell r="BF120">
            <v>1.536400950985084E-2</v>
          </cell>
          <cell r="BG120">
            <v>-4.5682206604708009E-3</v>
          </cell>
          <cell r="BH120">
            <v>7.79782886540481E-3</v>
          </cell>
          <cell r="BJ120">
            <v>-0.05</v>
          </cell>
          <cell r="BK120">
            <v>-0.1</v>
          </cell>
          <cell r="BL120">
            <v>-9.7595315065241772E-2</v>
          </cell>
          <cell r="BN120" t="str">
            <v xml:space="preserve">  NM</v>
          </cell>
          <cell r="BO120">
            <v>0</v>
          </cell>
          <cell r="BP120">
            <v>0</v>
          </cell>
          <cell r="BR120">
            <v>-4.9999999999999933E-2</v>
          </cell>
          <cell r="BS120">
            <v>-9.1859938851860612E-2</v>
          </cell>
          <cell r="BT120">
            <v>-9.0003346927349126E-2</v>
          </cell>
          <cell r="BV120" t="str">
            <v>2004E/03E</v>
          </cell>
          <cell r="BW120">
            <v>0.1</v>
          </cell>
          <cell r="BX120">
            <v>0.08</v>
          </cell>
          <cell r="BY120">
            <v>9.1647772055922783E-2</v>
          </cell>
          <cell r="CA120">
            <v>0.1</v>
          </cell>
          <cell r="CB120">
            <v>0.1</v>
          </cell>
          <cell r="CC120">
            <v>0.10000000000000009</v>
          </cell>
          <cell r="CE120">
            <v>0</v>
          </cell>
          <cell r="CF120" t="str">
            <v xml:space="preserve">  NM</v>
          </cell>
          <cell r="CG120">
            <v>0</v>
          </cell>
          <cell r="CI120">
            <v>9.9353595711764386E-2</v>
          </cell>
          <cell r="CJ120">
            <v>0.10000000000000009</v>
          </cell>
          <cell r="CK120">
            <v>9.9358588094694555E-2</v>
          </cell>
          <cell r="CM120">
            <v>0</v>
          </cell>
          <cell r="CN120">
            <v>0</v>
          </cell>
          <cell r="CO120">
            <v>0</v>
          </cell>
          <cell r="CQ120">
            <v>0</v>
          </cell>
          <cell r="CR120">
            <v>0</v>
          </cell>
          <cell r="CS120">
            <v>0</v>
          </cell>
          <cell r="CU120">
            <v>0</v>
          </cell>
          <cell r="CV120">
            <v>0</v>
          </cell>
          <cell r="CW120">
            <v>0</v>
          </cell>
          <cell r="CY120">
            <v>0</v>
          </cell>
          <cell r="CZ120">
            <v>0.05</v>
          </cell>
          <cell r="DA120">
            <v>4.7448621048244988E-2</v>
          </cell>
          <cell r="DC120" t="str">
            <v>2004E/03E</v>
          </cell>
          <cell r="DD120">
            <v>0.53488542174549003</v>
          </cell>
          <cell r="DE120">
            <v>0.6</v>
          </cell>
          <cell r="DF120">
            <v>0.54551203590371278</v>
          </cell>
          <cell r="DH120">
            <v>-2.6458629046233084E-2</v>
          </cell>
          <cell r="DI120">
            <v>-2.6458629046232862E-2</v>
          </cell>
          <cell r="DJ120">
            <v>-2.6458629046232973E-2</v>
          </cell>
          <cell r="DL120">
            <v>0.1026062119048472</v>
          </cell>
          <cell r="DM120">
            <v>7.2689154902678688E-2</v>
          </cell>
          <cell r="DN120">
            <v>9.221471599966824E-2</v>
          </cell>
          <cell r="DP120">
            <v>7.0000000000000007E-2</v>
          </cell>
          <cell r="DQ120">
            <v>0.03</v>
          </cell>
          <cell r="DR120">
            <v>5.1797178580633492E-2</v>
          </cell>
          <cell r="DT120">
            <v>0.03</v>
          </cell>
          <cell r="DU120">
            <v>0.03</v>
          </cell>
          <cell r="DV120">
            <v>3.0000000000000044E-2</v>
          </cell>
          <cell r="DX120">
            <v>9.9487542864871159E-2</v>
          </cell>
          <cell r="DY120">
            <v>6.7955543303482635E-2</v>
          </cell>
          <cell r="DZ120">
            <v>8.8230555271552991E-2</v>
          </cell>
        </row>
        <row r="121">
          <cell r="A121" t="str">
            <v>2005E/04E</v>
          </cell>
          <cell r="B121">
            <v>-0.3</v>
          </cell>
          <cell r="C121" t="str">
            <v>NM</v>
          </cell>
          <cell r="D121">
            <v>-0.30000000000000004</v>
          </cell>
          <cell r="F121">
            <v>0.06</v>
          </cell>
          <cell r="G121">
            <v>0.06</v>
          </cell>
          <cell r="H121">
            <v>6.0000000000000053E-2</v>
          </cell>
          <cell r="J121">
            <v>-0.1</v>
          </cell>
          <cell r="K121">
            <v>0.03</v>
          </cell>
          <cell r="L121">
            <v>1.2058367420992422E-2</v>
          </cell>
          <cell r="M121">
            <v>0</v>
          </cell>
          <cell r="N121">
            <v>0.08</v>
          </cell>
          <cell r="O121">
            <v>8.0000000000000071E-2</v>
          </cell>
          <cell r="Q121">
            <v>0</v>
          </cell>
          <cell r="R121">
            <v>0</v>
          </cell>
          <cell r="S121">
            <v>0</v>
          </cell>
          <cell r="U121">
            <v>3.449164456979914E-2</v>
          </cell>
          <cell r="V121">
            <v>5.7999889775107283E-2</v>
          </cell>
          <cell r="W121">
            <v>4.9285608201385056E-2</v>
          </cell>
          <cell r="Y121">
            <v>0.05</v>
          </cell>
          <cell r="Z121">
            <v>0.05</v>
          </cell>
          <cell r="AA121">
            <v>4.9999999999999822E-2</v>
          </cell>
          <cell r="AC121" t="str">
            <v xml:space="preserve">  NM</v>
          </cell>
          <cell r="AD121" t="str">
            <v xml:space="preserve">  NM</v>
          </cell>
          <cell r="AE121" t="str">
            <v xml:space="preserve">  NM</v>
          </cell>
          <cell r="AG121">
            <v>0</v>
          </cell>
          <cell r="AH121">
            <v>0</v>
          </cell>
          <cell r="AI121">
            <v>0</v>
          </cell>
          <cell r="AK121">
            <v>4.9342081014203121E-2</v>
          </cell>
          <cell r="AL121">
            <v>3.6375706430223698E-2</v>
          </cell>
          <cell r="AM121">
            <v>4.5951151159111969E-2</v>
          </cell>
          <cell r="AO121" t="str">
            <v>2005E/04E</v>
          </cell>
          <cell r="AP121">
            <v>-0.25</v>
          </cell>
          <cell r="AQ121">
            <v>0</v>
          </cell>
          <cell r="AR121">
            <v>-9.8598290598290617E-2</v>
          </cell>
          <cell r="AT121">
            <v>0.1</v>
          </cell>
          <cell r="AU121">
            <v>0.04</v>
          </cell>
          <cell r="AV121">
            <v>8.9033182092265184E-2</v>
          </cell>
          <cell r="AX121">
            <v>0.02</v>
          </cell>
          <cell r="AY121">
            <v>0</v>
          </cell>
          <cell r="AZ121">
            <v>1.4829222356153915E-2</v>
          </cell>
          <cell r="BB121">
            <v>-0.05</v>
          </cell>
          <cell r="BC121">
            <v>-0.05</v>
          </cell>
          <cell r="BD121">
            <v>-4.9999999999999933E-2</v>
          </cell>
          <cell r="BF121">
            <v>3.7494117697708829E-2</v>
          </cell>
          <cell r="BG121">
            <v>-3.3447138376391239E-3</v>
          </cell>
          <cell r="BH121">
            <v>2.2182107726498979E-2</v>
          </cell>
          <cell r="BJ121">
            <v>-0.05</v>
          </cell>
          <cell r="BK121">
            <v>-0.1</v>
          </cell>
          <cell r="BL121">
            <v>-9.7468485341268618E-2</v>
          </cell>
          <cell r="BN121" t="str">
            <v xml:space="preserve">  NM</v>
          </cell>
          <cell r="BO121">
            <v>0</v>
          </cell>
          <cell r="BP121">
            <v>0</v>
          </cell>
          <cell r="BR121">
            <v>-5.0000000000000044E-2</v>
          </cell>
          <cell r="BS121">
            <v>-9.1036557579182165E-2</v>
          </cell>
          <cell r="BT121">
            <v>-8.9136474458674897E-2</v>
          </cell>
          <cell r="BV121" t="str">
            <v>2005E/04E</v>
          </cell>
          <cell r="BW121">
            <v>0.08</v>
          </cell>
          <cell r="BX121">
            <v>7.0000000000000007E-2</v>
          </cell>
          <cell r="BY121">
            <v>7.5868444744491725E-2</v>
          </cell>
          <cell r="CA121">
            <v>0.08</v>
          </cell>
          <cell r="CB121">
            <v>0.08</v>
          </cell>
          <cell r="CC121">
            <v>8.0000000000000071E-2</v>
          </cell>
          <cell r="CE121">
            <v>0</v>
          </cell>
          <cell r="CF121" t="str">
            <v xml:space="preserve">  NM</v>
          </cell>
          <cell r="CG121">
            <v>0</v>
          </cell>
          <cell r="CI121">
            <v>7.9529611371077058E-2</v>
          </cell>
          <cell r="CJ121">
            <v>8.0000000000000071E-2</v>
          </cell>
          <cell r="CK121">
            <v>7.9533246449519757E-2</v>
          </cell>
          <cell r="CM121">
            <v>0</v>
          </cell>
          <cell r="CN121">
            <v>0</v>
          </cell>
          <cell r="CO121">
            <v>0</v>
          </cell>
          <cell r="CQ121">
            <v>0</v>
          </cell>
          <cell r="CR121">
            <v>0</v>
          </cell>
          <cell r="CS121">
            <v>0</v>
          </cell>
          <cell r="CU121">
            <v>0</v>
          </cell>
          <cell r="CV121">
            <v>0</v>
          </cell>
          <cell r="CW121">
            <v>0</v>
          </cell>
          <cell r="CY121">
            <v>0</v>
          </cell>
          <cell r="CZ121">
            <v>0.05</v>
          </cell>
          <cell r="DA121">
            <v>4.7564196562498884E-2</v>
          </cell>
          <cell r="DC121" t="str">
            <v>2005E/04E</v>
          </cell>
          <cell r="DD121">
            <v>0.36048267975413362</v>
          </cell>
          <cell r="DE121">
            <v>0.25</v>
          </cell>
          <cell r="DF121">
            <v>0.34181636990008057</v>
          </cell>
          <cell r="DH121">
            <v>0.10570604507868819</v>
          </cell>
          <cell r="DI121">
            <v>0.10570604507868797</v>
          </cell>
          <cell r="DJ121">
            <v>0.10570604507868797</v>
          </cell>
          <cell r="DL121">
            <v>0.13072326607649076</v>
          </cell>
          <cell r="DM121">
            <v>6.7686532523902887E-2</v>
          </cell>
          <cell r="DN121">
            <v>0.10921928997423525</v>
          </cell>
          <cell r="DP121">
            <v>0.06</v>
          </cell>
          <cell r="DQ121">
            <v>0.03</v>
          </cell>
          <cell r="DR121">
            <v>4.6630806934245393E-2</v>
          </cell>
          <cell r="DT121">
            <v>0.03</v>
          </cell>
          <cell r="DU121">
            <v>0.03</v>
          </cell>
          <cell r="DV121">
            <v>3.000000000000011E-2</v>
          </cell>
          <cell r="DX121">
            <v>0.1252547275801561</v>
          </cell>
          <cell r="DY121">
            <v>6.3656159029472859E-2</v>
          </cell>
          <cell r="DZ121">
            <v>0.10367362872603003</v>
          </cell>
        </row>
        <row r="123">
          <cell r="A123" t="str">
            <v>2001E</v>
          </cell>
          <cell r="B123">
            <v>317.37600000000003</v>
          </cell>
          <cell r="C123">
            <v>0</v>
          </cell>
          <cell r="D123">
            <v>317.37600000000003</v>
          </cell>
          <cell r="F123">
            <v>1651.5135</v>
          </cell>
          <cell r="G123">
            <v>2080.4175</v>
          </cell>
          <cell r="H123">
            <v>3731.931</v>
          </cell>
          <cell r="J123">
            <v>160.19999999999999</v>
          </cell>
          <cell r="K123">
            <v>461.49150000000003</v>
          </cell>
          <cell r="L123">
            <v>621.69150000000002</v>
          </cell>
          <cell r="M123">
            <v>0</v>
          </cell>
          <cell r="N123">
            <v>362.88000000000005</v>
          </cell>
          <cell r="O123">
            <v>362.88000000000005</v>
          </cell>
          <cell r="Q123">
            <v>3</v>
          </cell>
          <cell r="R123">
            <v>52.250000000000007</v>
          </cell>
          <cell r="S123">
            <v>55.250000000000007</v>
          </cell>
          <cell r="U123">
            <v>2132.0895</v>
          </cell>
          <cell r="V123">
            <v>2957.0390000000002</v>
          </cell>
          <cell r="W123">
            <v>5089.1285000000007</v>
          </cell>
          <cell r="Y123">
            <v>1907.0640000000003</v>
          </cell>
          <cell r="Z123">
            <v>479.52000000000004</v>
          </cell>
          <cell r="AA123">
            <v>2386.5840000000003</v>
          </cell>
          <cell r="AC123">
            <v>0</v>
          </cell>
          <cell r="AD123">
            <v>0</v>
          </cell>
          <cell r="AE123">
            <v>0</v>
          </cell>
          <cell r="AG123">
            <v>30</v>
          </cell>
          <cell r="AH123">
            <v>220</v>
          </cell>
          <cell r="AI123">
            <v>250</v>
          </cell>
          <cell r="AK123">
            <v>1937.0640000000003</v>
          </cell>
          <cell r="AL123">
            <v>699.52</v>
          </cell>
          <cell r="AM123">
            <v>2636.5840000000003</v>
          </cell>
          <cell r="AO123" t="str">
            <v>2001E</v>
          </cell>
          <cell r="AP123">
            <v>519.12</v>
          </cell>
          <cell r="AQ123">
            <v>557.9910000000001</v>
          </cell>
          <cell r="AR123">
            <v>1077.1110000000001</v>
          </cell>
          <cell r="AT123">
            <v>1333.0224000000001</v>
          </cell>
          <cell r="AU123">
            <v>351.59040000000005</v>
          </cell>
          <cell r="AV123">
            <v>1684.6128000000001</v>
          </cell>
          <cell r="AX123">
            <v>23.256000000000004</v>
          </cell>
          <cell r="AY123">
            <v>8.7749999999999986</v>
          </cell>
          <cell r="AZ123">
            <v>32.031000000000006</v>
          </cell>
          <cell r="BB123">
            <v>133.57</v>
          </cell>
          <cell r="BC123">
            <v>511.26624999999996</v>
          </cell>
          <cell r="BD123">
            <v>644.83624999999995</v>
          </cell>
          <cell r="BF123">
            <v>2008.9684000000002</v>
          </cell>
          <cell r="BG123">
            <v>1429.62265</v>
          </cell>
          <cell r="BH123">
            <v>3438.59105</v>
          </cell>
          <cell r="BJ123">
            <v>6.317499999999999</v>
          </cell>
          <cell r="BK123">
            <v>139.32000000000002</v>
          </cell>
          <cell r="BL123">
            <v>145.63750000000002</v>
          </cell>
          <cell r="BN123">
            <v>0</v>
          </cell>
          <cell r="BO123">
            <v>10</v>
          </cell>
          <cell r="BP123">
            <v>10</v>
          </cell>
          <cell r="BR123">
            <v>6.317499999999999</v>
          </cell>
          <cell r="BS123">
            <v>149.32000000000002</v>
          </cell>
          <cell r="BT123">
            <v>155.63750000000002</v>
          </cell>
          <cell r="BV123" t="str">
            <v>2001E</v>
          </cell>
          <cell r="BW123">
            <v>949.93920000000003</v>
          </cell>
          <cell r="BX123">
            <v>663.4</v>
          </cell>
          <cell r="BY123">
            <v>1613.3391999999999</v>
          </cell>
          <cell r="CA123">
            <v>762.15839999999992</v>
          </cell>
          <cell r="CB123">
            <v>5.9708000000000006</v>
          </cell>
          <cell r="CC123">
            <v>768.12919999999997</v>
          </cell>
          <cell r="CE123">
            <v>6</v>
          </cell>
          <cell r="CF123">
            <v>0</v>
          </cell>
          <cell r="CG123">
            <v>6</v>
          </cell>
          <cell r="CI123">
            <v>768.15839999999992</v>
          </cell>
          <cell r="CJ123">
            <v>5.9708000000000006</v>
          </cell>
          <cell r="CK123">
            <v>774.12919999999997</v>
          </cell>
          <cell r="CM123">
            <v>290.33400000000006</v>
          </cell>
          <cell r="CN123">
            <v>12.730799999999999</v>
          </cell>
          <cell r="CO123">
            <v>303.06480000000005</v>
          </cell>
          <cell r="CQ123">
            <v>20</v>
          </cell>
          <cell r="CR123">
            <v>25</v>
          </cell>
          <cell r="CS123">
            <v>45</v>
          </cell>
          <cell r="CU123">
            <v>310.33400000000006</v>
          </cell>
          <cell r="CV123">
            <v>37.730800000000002</v>
          </cell>
          <cell r="CW123">
            <v>348.06480000000005</v>
          </cell>
          <cell r="CY123">
            <v>12</v>
          </cell>
          <cell r="CZ123">
            <v>202.41900000000001</v>
          </cell>
          <cell r="DA123">
            <v>214.41900000000001</v>
          </cell>
          <cell r="DC123" t="str">
            <v>2001E</v>
          </cell>
          <cell r="DD123">
            <v>425</v>
          </cell>
          <cell r="DE123">
            <v>175</v>
          </cell>
          <cell r="DF123">
            <v>600</v>
          </cell>
          <cell r="DH123">
            <v>3292.7904499199999</v>
          </cell>
          <cell r="DI123">
            <v>823.19761247999998</v>
          </cell>
          <cell r="DJ123">
            <v>4115.9880623999998</v>
          </cell>
          <cell r="DL123">
            <v>11842.66144992</v>
          </cell>
          <cell r="DM123">
            <v>7143.2198624800003</v>
          </cell>
          <cell r="DN123">
            <v>18985.881312400001</v>
          </cell>
          <cell r="DP123">
            <v>793.16160000000002</v>
          </cell>
          <cell r="DQ123">
            <v>741.72360000000003</v>
          </cell>
          <cell r="DR123">
            <v>1534.8852000000002</v>
          </cell>
          <cell r="DT123">
            <v>314.02639999999997</v>
          </cell>
          <cell r="DU123">
            <v>280.07760000000002</v>
          </cell>
          <cell r="DV123">
            <v>594.10400000000004</v>
          </cell>
          <cell r="DX123">
            <v>12949.849449920001</v>
          </cell>
          <cell r="DY123">
            <v>8165.0210624800002</v>
          </cell>
          <cell r="DZ123">
            <v>21114.870512400001</v>
          </cell>
        </row>
        <row r="124">
          <cell r="A124" t="str">
            <v>2002E</v>
          </cell>
          <cell r="B124">
            <v>253.90080000000003</v>
          </cell>
          <cell r="C124">
            <v>0</v>
          </cell>
          <cell r="D124">
            <v>253.90080000000003</v>
          </cell>
          <cell r="F124">
            <v>1783.6345799999999</v>
          </cell>
          <cell r="G124">
            <v>2330.0675999999999</v>
          </cell>
          <cell r="H124">
            <v>4113.7021800000002</v>
          </cell>
          <cell r="J124">
            <v>112.13999999999999</v>
          </cell>
          <cell r="K124">
            <v>475.33624500000002</v>
          </cell>
          <cell r="L124">
            <v>587.47624500000006</v>
          </cell>
          <cell r="M124">
            <v>0</v>
          </cell>
          <cell r="N124">
            <v>417.31200000000007</v>
          </cell>
          <cell r="O124">
            <v>417.31200000000007</v>
          </cell>
          <cell r="Q124">
            <v>3</v>
          </cell>
          <cell r="R124">
            <v>52.250000000000007</v>
          </cell>
          <cell r="S124">
            <v>55.250000000000007</v>
          </cell>
          <cell r="U124">
            <v>2152.6753800000001</v>
          </cell>
          <cell r="V124">
            <v>3274.9658449999997</v>
          </cell>
          <cell r="W124">
            <v>5427.6412249999994</v>
          </cell>
          <cell r="Y124">
            <v>2021.4878400000002</v>
          </cell>
          <cell r="Z124">
            <v>517.88160000000005</v>
          </cell>
          <cell r="AA124">
            <v>2539.3694400000004</v>
          </cell>
          <cell r="AC124">
            <v>0</v>
          </cell>
          <cell r="AD124">
            <v>0</v>
          </cell>
          <cell r="AE124">
            <v>0</v>
          </cell>
          <cell r="AG124">
            <v>30</v>
          </cell>
          <cell r="AH124">
            <v>220</v>
          </cell>
          <cell r="AI124">
            <v>250</v>
          </cell>
          <cell r="AK124">
            <v>2051.4878400000002</v>
          </cell>
          <cell r="AL124">
            <v>737.88160000000005</v>
          </cell>
          <cell r="AM124">
            <v>2789.3694400000004</v>
          </cell>
          <cell r="AO124" t="str">
            <v>2002E</v>
          </cell>
          <cell r="AP124">
            <v>529.50239999999997</v>
          </cell>
          <cell r="AQ124">
            <v>569.15082000000007</v>
          </cell>
          <cell r="AR124">
            <v>1098.6532200000001</v>
          </cell>
          <cell r="AT124">
            <v>1519.645536</v>
          </cell>
          <cell r="AU124">
            <v>386.74944000000005</v>
          </cell>
          <cell r="AV124">
            <v>1906.394976</v>
          </cell>
          <cell r="AX124">
            <v>23.953680000000006</v>
          </cell>
          <cell r="AY124">
            <v>8.7749999999999986</v>
          </cell>
          <cell r="AZ124">
            <v>32.728680000000004</v>
          </cell>
          <cell r="BB124">
            <v>126.89149999999999</v>
          </cell>
          <cell r="BC124">
            <v>485.70293749999996</v>
          </cell>
          <cell r="BD124">
            <v>612.59443749999991</v>
          </cell>
          <cell r="BF124">
            <v>2199.9931160000001</v>
          </cell>
          <cell r="BG124">
            <v>1450.3781975000002</v>
          </cell>
          <cell r="BH124">
            <v>3650.3713135000003</v>
          </cell>
          <cell r="BJ124">
            <v>6.0016249999999989</v>
          </cell>
          <cell r="BK124">
            <v>125.38800000000002</v>
          </cell>
          <cell r="BL124">
            <v>131.38962500000002</v>
          </cell>
          <cell r="BN124">
            <v>0</v>
          </cell>
          <cell r="BO124">
            <v>10</v>
          </cell>
          <cell r="BP124">
            <v>10</v>
          </cell>
          <cell r="BR124">
            <v>6.0016249999999989</v>
          </cell>
          <cell r="BS124">
            <v>135.38800000000003</v>
          </cell>
          <cell r="BT124">
            <v>141.38962500000002</v>
          </cell>
          <cell r="BV124" t="str">
            <v>2002E</v>
          </cell>
          <cell r="BW124">
            <v>1063.931904</v>
          </cell>
          <cell r="BX124">
            <v>762.91</v>
          </cell>
          <cell r="BY124">
            <v>1826.8419039999999</v>
          </cell>
          <cell r="CA124">
            <v>838.37423999999987</v>
          </cell>
          <cell r="CB124">
            <v>6.5678800000000006</v>
          </cell>
          <cell r="CC124">
            <v>844.94211999999982</v>
          </cell>
          <cell r="CE124">
            <v>6</v>
          </cell>
          <cell r="CF124">
            <v>0</v>
          </cell>
          <cell r="CG124">
            <v>6</v>
          </cell>
          <cell r="CI124">
            <v>844.37423999999987</v>
          </cell>
          <cell r="CJ124">
            <v>6.5678800000000006</v>
          </cell>
          <cell r="CK124">
            <v>850.94211999999982</v>
          </cell>
          <cell r="CM124">
            <v>299.04402000000005</v>
          </cell>
          <cell r="CN124">
            <v>12.985415999999999</v>
          </cell>
          <cell r="CO124">
            <v>312.02943600000003</v>
          </cell>
          <cell r="CQ124">
            <v>20</v>
          </cell>
          <cell r="CR124">
            <v>25</v>
          </cell>
          <cell r="CS124">
            <v>45</v>
          </cell>
          <cell r="CU124">
            <v>319.04402000000005</v>
          </cell>
          <cell r="CV124">
            <v>37.985416000000001</v>
          </cell>
          <cell r="CW124">
            <v>357.02943600000003</v>
          </cell>
          <cell r="CY124">
            <v>12</v>
          </cell>
          <cell r="CZ124">
            <v>212.53995</v>
          </cell>
          <cell r="DA124">
            <v>224.53995</v>
          </cell>
          <cell r="DC124" t="str">
            <v>2002E</v>
          </cell>
          <cell r="DD124">
            <v>1365</v>
          </cell>
          <cell r="DE124">
            <v>330</v>
          </cell>
          <cell r="DF124">
            <v>1695</v>
          </cell>
          <cell r="DH124">
            <v>3881.9100584319995</v>
          </cell>
          <cell r="DI124">
            <v>970.47751460799998</v>
          </cell>
          <cell r="DJ124">
            <v>4852.3875730399996</v>
          </cell>
          <cell r="DL124">
            <v>13896.418183432001</v>
          </cell>
          <cell r="DM124">
            <v>7919.0944031080007</v>
          </cell>
          <cell r="DN124">
            <v>21815.51258654</v>
          </cell>
          <cell r="DP124">
            <v>872.47775999999999</v>
          </cell>
          <cell r="DQ124">
            <v>763.97530800000004</v>
          </cell>
          <cell r="DR124">
            <v>1636.453068</v>
          </cell>
          <cell r="DT124">
            <v>323.44719199999997</v>
          </cell>
          <cell r="DU124">
            <v>288.47992800000003</v>
          </cell>
          <cell r="DV124">
            <v>611.92712000000006</v>
          </cell>
          <cell r="DX124">
            <v>15092.343135432</v>
          </cell>
          <cell r="DY124">
            <v>8971.5496391080014</v>
          </cell>
          <cell r="DZ124">
            <v>24063.89277454</v>
          </cell>
        </row>
        <row r="125">
          <cell r="A125" t="str">
            <v>2003E</v>
          </cell>
          <cell r="B125">
            <v>177.73056000000003</v>
          </cell>
          <cell r="C125">
            <v>0</v>
          </cell>
          <cell r="D125">
            <v>177.73056000000003</v>
          </cell>
          <cell r="F125">
            <v>1926.3253463999999</v>
          </cell>
          <cell r="G125">
            <v>2563.0743599999996</v>
          </cell>
          <cell r="H125">
            <v>4489.3997063999996</v>
          </cell>
          <cell r="J125">
            <v>89.711999999999989</v>
          </cell>
          <cell r="K125">
            <v>489.59633235000001</v>
          </cell>
          <cell r="L125">
            <v>579.30833235</v>
          </cell>
          <cell r="M125">
            <v>0</v>
          </cell>
          <cell r="N125">
            <v>479.9088000000001</v>
          </cell>
          <cell r="O125">
            <v>479.9088000000001</v>
          </cell>
          <cell r="Q125">
            <v>3</v>
          </cell>
          <cell r="R125">
            <v>52.250000000000007</v>
          </cell>
          <cell r="S125">
            <v>55.250000000000007</v>
          </cell>
          <cell r="U125">
            <v>2196.7679063999999</v>
          </cell>
          <cell r="V125">
            <v>3584.8294923499998</v>
          </cell>
          <cell r="W125">
            <v>5781.5973987500001</v>
          </cell>
          <cell r="Y125">
            <v>2142.7771104000003</v>
          </cell>
          <cell r="Z125">
            <v>554.13331200000005</v>
          </cell>
          <cell r="AA125">
            <v>2696.9104224000002</v>
          </cell>
          <cell r="AC125">
            <v>0</v>
          </cell>
          <cell r="AD125">
            <v>0</v>
          </cell>
          <cell r="AE125">
            <v>0</v>
          </cell>
          <cell r="AG125">
            <v>30</v>
          </cell>
          <cell r="AH125">
            <v>220</v>
          </cell>
          <cell r="AI125">
            <v>250</v>
          </cell>
          <cell r="AK125">
            <v>2172.7771104000003</v>
          </cell>
          <cell r="AL125">
            <v>774.13331200000005</v>
          </cell>
          <cell r="AM125">
            <v>2946.9104224000002</v>
          </cell>
          <cell r="AO125" t="str">
            <v>2003E</v>
          </cell>
          <cell r="AP125">
            <v>540.09244799999999</v>
          </cell>
          <cell r="AQ125">
            <v>580.53383640000004</v>
          </cell>
          <cell r="AR125">
            <v>1120.6262844</v>
          </cell>
          <cell r="AT125">
            <v>1702.00300032</v>
          </cell>
          <cell r="AU125">
            <v>409.95440640000004</v>
          </cell>
          <cell r="AV125">
            <v>2111.9574067200001</v>
          </cell>
          <cell r="AX125">
            <v>24.672290400000005</v>
          </cell>
          <cell r="AY125">
            <v>8.7749999999999986</v>
          </cell>
          <cell r="AZ125">
            <v>33.4472904</v>
          </cell>
          <cell r="BB125">
            <v>120.54692499999999</v>
          </cell>
          <cell r="BC125">
            <v>461.41779062499995</v>
          </cell>
          <cell r="BD125">
            <v>581.96471562499994</v>
          </cell>
          <cell r="BF125">
            <v>2387.3146637199998</v>
          </cell>
          <cell r="BG125">
            <v>1460.6810334249999</v>
          </cell>
          <cell r="BH125">
            <v>3847.9956971449997</v>
          </cell>
          <cell r="BJ125">
            <v>5.701543749999999</v>
          </cell>
          <cell r="BK125">
            <v>112.84920000000002</v>
          </cell>
          <cell r="BL125">
            <v>118.55074375000002</v>
          </cell>
          <cell r="BN125">
            <v>0</v>
          </cell>
          <cell r="BO125">
            <v>10</v>
          </cell>
          <cell r="BP125">
            <v>10</v>
          </cell>
          <cell r="BR125">
            <v>5.701543749999999</v>
          </cell>
          <cell r="BS125">
            <v>122.84920000000002</v>
          </cell>
          <cell r="BT125">
            <v>128.55074375000004</v>
          </cell>
          <cell r="BV125" t="str">
            <v>2003E</v>
          </cell>
          <cell r="BW125">
            <v>1170.3250944000001</v>
          </cell>
          <cell r="BX125">
            <v>839.20100000000002</v>
          </cell>
          <cell r="BY125">
            <v>2009.5260944000001</v>
          </cell>
          <cell r="CA125">
            <v>922.21166399999993</v>
          </cell>
          <cell r="CB125">
            <v>7.2246680000000012</v>
          </cell>
          <cell r="CC125">
            <v>929.43633199999988</v>
          </cell>
          <cell r="CE125">
            <v>6</v>
          </cell>
          <cell r="CF125">
            <v>0</v>
          </cell>
          <cell r="CG125">
            <v>6</v>
          </cell>
          <cell r="CI125">
            <v>928.21166399999993</v>
          </cell>
          <cell r="CJ125">
            <v>7.2246680000000012</v>
          </cell>
          <cell r="CK125">
            <v>935.43633199999988</v>
          </cell>
          <cell r="CM125">
            <v>308.01534060000006</v>
          </cell>
          <cell r="CN125">
            <v>13.11527016</v>
          </cell>
          <cell r="CO125">
            <v>321.13061076000008</v>
          </cell>
          <cell r="CQ125">
            <v>20</v>
          </cell>
          <cell r="CR125">
            <v>25</v>
          </cell>
          <cell r="CS125">
            <v>45</v>
          </cell>
          <cell r="CU125">
            <v>328.01534060000006</v>
          </cell>
          <cell r="CV125">
            <v>38.115270160000001</v>
          </cell>
          <cell r="CW125">
            <v>366.13061076000008</v>
          </cell>
          <cell r="CY125">
            <v>12</v>
          </cell>
          <cell r="CZ125">
            <v>223.16694749999999</v>
          </cell>
          <cell r="DA125">
            <v>235.16694749999999</v>
          </cell>
          <cell r="DC125" t="str">
            <v>2003E</v>
          </cell>
          <cell r="DD125">
            <v>2563.75</v>
          </cell>
          <cell r="DE125">
            <v>500</v>
          </cell>
          <cell r="DF125">
            <v>3063.75</v>
          </cell>
          <cell r="DH125">
            <v>4567.4950830438402</v>
          </cell>
          <cell r="DI125">
            <v>1141.87377076096</v>
          </cell>
          <cell r="DJ125">
            <v>5709.3688538048</v>
          </cell>
          <cell r="DL125">
            <v>16332.358406313841</v>
          </cell>
          <cell r="DM125">
            <v>8692.0746941959587</v>
          </cell>
          <cell r="DN125">
            <v>25024.433100509799</v>
          </cell>
          <cell r="DP125">
            <v>942.27598079999996</v>
          </cell>
          <cell r="DQ125">
            <v>786.89456724000001</v>
          </cell>
          <cell r="DR125">
            <v>1729.1705480400001</v>
          </cell>
          <cell r="DT125">
            <v>333.15060775999996</v>
          </cell>
          <cell r="DU125">
            <v>297.13432584000003</v>
          </cell>
          <cell r="DV125">
            <v>630.28493359999993</v>
          </cell>
          <cell r="DX125">
            <v>17607.78499487384</v>
          </cell>
          <cell r="DY125">
            <v>9776.1035872759585</v>
          </cell>
          <cell r="DZ125">
            <v>27383.888582149797</v>
          </cell>
        </row>
        <row r="126">
          <cell r="A126" t="str">
            <v>2004E</v>
          </cell>
          <cell r="B126">
            <v>124.41139200000002</v>
          </cell>
          <cell r="C126">
            <v>0</v>
          </cell>
          <cell r="D126">
            <v>124.41139200000002</v>
          </cell>
          <cell r="F126">
            <v>2061.1681206479998</v>
          </cell>
          <cell r="G126">
            <v>2768.1203087999997</v>
          </cell>
          <cell r="H126">
            <v>4829.2884294479991</v>
          </cell>
          <cell r="J126">
            <v>80.740799999999993</v>
          </cell>
          <cell r="K126">
            <v>504.28422232050002</v>
          </cell>
          <cell r="L126">
            <v>585.02502232050006</v>
          </cell>
          <cell r="M126">
            <v>0</v>
          </cell>
          <cell r="N126">
            <v>527.8996800000001</v>
          </cell>
          <cell r="O126">
            <v>527.8996800000001</v>
          </cell>
          <cell r="Q126">
            <v>3</v>
          </cell>
          <cell r="R126">
            <v>52.250000000000007</v>
          </cell>
          <cell r="S126">
            <v>55.250000000000007</v>
          </cell>
          <cell r="U126">
            <v>2269.3203126479998</v>
          </cell>
          <cell r="V126">
            <v>3852.5542111205</v>
          </cell>
          <cell r="W126">
            <v>6121.8745237684998</v>
          </cell>
          <cell r="Y126">
            <v>2249.9159659200004</v>
          </cell>
          <cell r="Z126">
            <v>587.3813107200001</v>
          </cell>
          <cell r="AA126">
            <v>2837.2972766400007</v>
          </cell>
          <cell r="AC126">
            <v>0</v>
          </cell>
          <cell r="AD126">
            <v>0</v>
          </cell>
          <cell r="AE126">
            <v>0</v>
          </cell>
          <cell r="AG126">
            <v>30</v>
          </cell>
          <cell r="AH126">
            <v>220</v>
          </cell>
          <cell r="AI126">
            <v>250</v>
          </cell>
          <cell r="AK126">
            <v>2279.9159659200004</v>
          </cell>
          <cell r="AL126">
            <v>807.3813107200001</v>
          </cell>
          <cell r="AM126">
            <v>3087.2972766400007</v>
          </cell>
          <cell r="AO126" t="str">
            <v>2004E</v>
          </cell>
          <cell r="AP126">
            <v>378.0647136</v>
          </cell>
          <cell r="AQ126">
            <v>580.53383640000004</v>
          </cell>
          <cell r="AR126">
            <v>958.59855000000005</v>
          </cell>
          <cell r="AT126">
            <v>1906.2433603584</v>
          </cell>
          <cell r="AU126">
            <v>426.35258265600004</v>
          </cell>
          <cell r="AV126">
            <v>2332.5959430143998</v>
          </cell>
          <cell r="AX126">
            <v>25.165736208000006</v>
          </cell>
          <cell r="AY126">
            <v>8.7749999999999986</v>
          </cell>
          <cell r="AZ126">
            <v>33.940736208000004</v>
          </cell>
          <cell r="BB126">
            <v>114.51957874999999</v>
          </cell>
          <cell r="BC126">
            <v>438.34690109374998</v>
          </cell>
          <cell r="BD126">
            <v>552.86647984374997</v>
          </cell>
          <cell r="BF126">
            <v>2423.9933889164004</v>
          </cell>
          <cell r="BG126">
            <v>1454.00832014975</v>
          </cell>
          <cell r="BH126">
            <v>3878.0017090661504</v>
          </cell>
          <cell r="BJ126">
            <v>5.4164665624999992</v>
          </cell>
          <cell r="BK126">
            <v>101.56428000000002</v>
          </cell>
          <cell r="BL126">
            <v>106.98074656250003</v>
          </cell>
          <cell r="BN126">
            <v>0</v>
          </cell>
          <cell r="BO126">
            <v>10</v>
          </cell>
          <cell r="BP126">
            <v>10</v>
          </cell>
          <cell r="BR126">
            <v>5.4164665624999992</v>
          </cell>
          <cell r="BS126">
            <v>111.56428000000002</v>
          </cell>
          <cell r="BT126">
            <v>116.98074656250003</v>
          </cell>
          <cell r="BV126" t="str">
            <v>2004E</v>
          </cell>
          <cell r="BW126">
            <v>1287.3576038400001</v>
          </cell>
          <cell r="BX126">
            <v>906.33708000000001</v>
          </cell>
          <cell r="BY126">
            <v>2193.6946838399999</v>
          </cell>
          <cell r="CA126">
            <v>1014.4328303999999</v>
          </cell>
          <cell r="CB126">
            <v>7.9471348000000015</v>
          </cell>
          <cell r="CC126">
            <v>1022.3799651999999</v>
          </cell>
          <cell r="CE126">
            <v>6</v>
          </cell>
          <cell r="CF126">
            <v>0</v>
          </cell>
          <cell r="CG126">
            <v>6</v>
          </cell>
          <cell r="CI126">
            <v>1020.4328303999999</v>
          </cell>
          <cell r="CJ126">
            <v>7.9471348000000015</v>
          </cell>
          <cell r="CK126">
            <v>1028.3799651999998</v>
          </cell>
          <cell r="CM126">
            <v>308.01534060000006</v>
          </cell>
          <cell r="CN126">
            <v>13.11527016</v>
          </cell>
          <cell r="CO126">
            <v>321.13061076000008</v>
          </cell>
          <cell r="CQ126">
            <v>20</v>
          </cell>
          <cell r="CR126">
            <v>25</v>
          </cell>
          <cell r="CS126">
            <v>45</v>
          </cell>
          <cell r="CU126">
            <v>328.01534060000006</v>
          </cell>
          <cell r="CV126">
            <v>38.115270160000001</v>
          </cell>
          <cell r="CW126">
            <v>366.13061076000008</v>
          </cell>
          <cell r="CY126">
            <v>12</v>
          </cell>
          <cell r="CZ126">
            <v>234.325294875</v>
          </cell>
          <cell r="DA126">
            <v>246.325294875</v>
          </cell>
          <cell r="DC126" t="str">
            <v>2004E</v>
          </cell>
          <cell r="DD126">
            <v>3935.0625</v>
          </cell>
          <cell r="DE126">
            <v>800</v>
          </cell>
          <cell r="DF126">
            <v>4735.0625</v>
          </cell>
          <cell r="DH126">
            <v>4446.6454249710896</v>
          </cell>
          <cell r="DI126">
            <v>1111.6613562427726</v>
          </cell>
          <cell r="DJ126">
            <v>5558.3067812138625</v>
          </cell>
          <cell r="DL126">
            <v>18008.15983385799</v>
          </cell>
          <cell r="DM126">
            <v>9323.8942580680214</v>
          </cell>
          <cell r="DN126">
            <v>27332.054091926009</v>
          </cell>
          <cell r="DP126">
            <v>1008.235299456</v>
          </cell>
          <cell r="DQ126">
            <v>810.50140425719997</v>
          </cell>
          <cell r="DR126">
            <v>1818.7367037131999</v>
          </cell>
          <cell r="DT126">
            <v>343.14512599279993</v>
          </cell>
          <cell r="DU126">
            <v>306.04835561520002</v>
          </cell>
          <cell r="DV126">
            <v>649.19348160799996</v>
          </cell>
          <cell r="DX126">
            <v>19359.540259306788</v>
          </cell>
          <cell r="DY126">
            <v>10440.444017940421</v>
          </cell>
          <cell r="DZ126">
            <v>29799.984277247211</v>
          </cell>
        </row>
        <row r="127">
          <cell r="A127" t="str">
            <v>2005E</v>
          </cell>
          <cell r="B127">
            <v>87.087974400000007</v>
          </cell>
          <cell r="C127">
            <v>0</v>
          </cell>
          <cell r="D127">
            <v>87.087974400000007</v>
          </cell>
          <cell r="F127">
            <v>2184.8382078868799</v>
          </cell>
          <cell r="G127">
            <v>2934.2075273279997</v>
          </cell>
          <cell r="H127">
            <v>5119.0457352148796</v>
          </cell>
          <cell r="J127">
            <v>72.666719999999998</v>
          </cell>
          <cell r="K127">
            <v>519.41274899011501</v>
          </cell>
          <cell r="L127">
            <v>592.07946899011495</v>
          </cell>
          <cell r="M127">
            <v>0</v>
          </cell>
          <cell r="N127">
            <v>570.13165440000012</v>
          </cell>
          <cell r="O127">
            <v>570.13165440000012</v>
          </cell>
          <cell r="Q127">
            <v>3</v>
          </cell>
          <cell r="R127">
            <v>52.250000000000007</v>
          </cell>
          <cell r="S127">
            <v>55.250000000000007</v>
          </cell>
          <cell r="U127">
            <v>2347.59290228688</v>
          </cell>
          <cell r="V127">
            <v>4076.0019307181146</v>
          </cell>
          <cell r="W127">
            <v>6423.5948330049941</v>
          </cell>
          <cell r="Y127">
            <v>2362.4117642160004</v>
          </cell>
          <cell r="Z127">
            <v>616.7503762560001</v>
          </cell>
          <cell r="AA127">
            <v>2979.1621404720004</v>
          </cell>
          <cell r="AC127">
            <v>0</v>
          </cell>
          <cell r="AD127">
            <v>0</v>
          </cell>
          <cell r="AE127">
            <v>0</v>
          </cell>
          <cell r="AG127">
            <v>30</v>
          </cell>
          <cell r="AH127">
            <v>220</v>
          </cell>
          <cell r="AI127">
            <v>250</v>
          </cell>
          <cell r="AK127">
            <v>2392.4117642160004</v>
          </cell>
          <cell r="AL127">
            <v>836.7503762560001</v>
          </cell>
          <cell r="AM127">
            <v>3229.1621404720004</v>
          </cell>
          <cell r="AO127" t="str">
            <v>2005E</v>
          </cell>
          <cell r="AP127">
            <v>283.5485352</v>
          </cell>
          <cell r="AQ127">
            <v>580.53383640000004</v>
          </cell>
          <cell r="AR127">
            <v>864.08237159999999</v>
          </cell>
          <cell r="AT127">
            <v>2096.8676963942398</v>
          </cell>
          <cell r="AU127">
            <v>443.40668596224003</v>
          </cell>
          <cell r="AV127">
            <v>2540.2743823564797</v>
          </cell>
          <cell r="AX127">
            <v>25.669050932160005</v>
          </cell>
          <cell r="AY127">
            <v>8.7749999999999986</v>
          </cell>
          <cell r="AZ127">
            <v>34.444050932160003</v>
          </cell>
          <cell r="BB127">
            <v>108.79359981249999</v>
          </cell>
          <cell r="BC127">
            <v>416.4295560390625</v>
          </cell>
          <cell r="BD127">
            <v>525.22315585156252</v>
          </cell>
          <cell r="BF127">
            <v>2514.8788823389</v>
          </cell>
          <cell r="BG127">
            <v>1449.1450784013027</v>
          </cell>
          <cell r="BH127">
            <v>3964.0239607402027</v>
          </cell>
          <cell r="BJ127">
            <v>5.1456432343749992</v>
          </cell>
          <cell r="BK127">
            <v>91.40785200000002</v>
          </cell>
          <cell r="BL127">
            <v>96.553495234375021</v>
          </cell>
          <cell r="BN127">
            <v>0</v>
          </cell>
          <cell r="BO127">
            <v>10</v>
          </cell>
          <cell r="BP127">
            <v>10</v>
          </cell>
          <cell r="BR127">
            <v>5.1456432343749992</v>
          </cell>
          <cell r="BS127">
            <v>101.40785200000002</v>
          </cell>
          <cell r="BT127">
            <v>106.55349523437502</v>
          </cell>
          <cell r="BV127" t="str">
            <v>2005E</v>
          </cell>
          <cell r="BW127">
            <v>1390.3462121472</v>
          </cell>
          <cell r="BX127">
            <v>969.7806756</v>
          </cell>
          <cell r="BY127">
            <v>2360.1268877472003</v>
          </cell>
          <cell r="CA127">
            <v>1095.587456832</v>
          </cell>
          <cell r="CB127">
            <v>8.5829055840000024</v>
          </cell>
          <cell r="CC127">
            <v>1104.170362416</v>
          </cell>
          <cell r="CE127">
            <v>6</v>
          </cell>
          <cell r="CF127">
            <v>0</v>
          </cell>
          <cell r="CG127">
            <v>6</v>
          </cell>
          <cell r="CI127">
            <v>1101.587456832</v>
          </cell>
          <cell r="CJ127">
            <v>8.5829055840000024</v>
          </cell>
          <cell r="CK127">
            <v>1110.170362416</v>
          </cell>
          <cell r="CM127">
            <v>308.01534060000006</v>
          </cell>
          <cell r="CN127">
            <v>13.11527016</v>
          </cell>
          <cell r="CO127">
            <v>321.13061076000008</v>
          </cell>
          <cell r="CQ127">
            <v>20</v>
          </cell>
          <cell r="CR127">
            <v>25</v>
          </cell>
          <cell r="CS127">
            <v>45</v>
          </cell>
          <cell r="CU127">
            <v>328.01534060000006</v>
          </cell>
          <cell r="CV127">
            <v>38.115270160000001</v>
          </cell>
          <cell r="CW127">
            <v>366.13061076000008</v>
          </cell>
          <cell r="CY127">
            <v>12</v>
          </cell>
          <cell r="CZ127">
            <v>246.04155961875</v>
          </cell>
          <cell r="DA127">
            <v>258.04155961875</v>
          </cell>
          <cell r="DC127" t="str">
            <v>2005E</v>
          </cell>
          <cell r="DD127">
            <v>5353.5843750000004</v>
          </cell>
          <cell r="DE127">
            <v>1000</v>
          </cell>
          <cell r="DF127">
            <v>6353.5843750000004</v>
          </cell>
          <cell r="DH127">
            <v>4916.6827267120261</v>
          </cell>
          <cell r="DI127">
            <v>1229.1706816780065</v>
          </cell>
          <cell r="DJ127">
            <v>6145.8534083900322</v>
          </cell>
          <cell r="DL127">
            <v>20362.245303367381</v>
          </cell>
          <cell r="DM127">
            <v>9954.9963300161744</v>
          </cell>
          <cell r="DN127">
            <v>30317.241633383557</v>
          </cell>
          <cell r="DP127">
            <v>1068.72941742336</v>
          </cell>
          <cell r="DQ127">
            <v>834.81644638491593</v>
          </cell>
          <cell r="DR127">
            <v>1903.545863808276</v>
          </cell>
          <cell r="DT127">
            <v>353.43947977258392</v>
          </cell>
          <cell r="DU127">
            <v>315.22980628365605</v>
          </cell>
          <cell r="DV127">
            <v>668.66928605624003</v>
          </cell>
          <cell r="DX127">
            <v>21784.414200563326</v>
          </cell>
          <cell r="DY127">
            <v>11105.042582684746</v>
          </cell>
          <cell r="DZ127">
            <v>32889.456783248068</v>
          </cell>
        </row>
        <row r="129">
          <cell r="A129" t="str">
            <v>Notes:</v>
          </cell>
          <cell r="AO129" t="str">
            <v>Notes:</v>
          </cell>
          <cell r="BV129" t="str">
            <v>Notes:</v>
          </cell>
        </row>
        <row r="130">
          <cell r="A130" t="str">
            <v>(a) Other Cardio includes Minipress/-zide/XL.</v>
          </cell>
          <cell r="AO130" t="str">
            <v>(c) Other Anti-Infectives include Unasyn and Sulperazon.</v>
          </cell>
          <cell r="BV130" t="str">
            <v xml:space="preserve">(d) International sales are in Canada only.  OTC version in Canada included in Consumer Health segment. </v>
          </cell>
        </row>
        <row r="131">
          <cell r="A131" t="str">
            <v>(b) Other CNS include Navane, Sinequan, and Atarax/Vistaril.</v>
          </cell>
          <cell r="BV131" t="str">
            <v>(e) Other Diabetes includes Diabinese.</v>
          </cell>
        </row>
        <row r="132">
          <cell r="A132" t="str">
            <v>(c) Includes revenues from Lipitor, Aricept and Celebrex</v>
          </cell>
        </row>
        <row r="133">
          <cell r="A133" t="str">
            <v xml:space="preserve">E = Morgan Stanley Dean Witter Research Estimates       A = Actual </v>
          </cell>
          <cell r="AO133" t="str">
            <v xml:space="preserve">E = Morgan Stanley Dean Witter Research Estimates       A = Actual </v>
          </cell>
          <cell r="BV133" t="str">
            <v xml:space="preserve">E = Morgan Stanley Dean Witter Research Estimates       A = Actual </v>
          </cell>
          <cell r="DC133" t="str">
            <v xml:space="preserve">E = Morgan Stanley Dean Witter Research Estimates       A = Actual </v>
          </cell>
        </row>
      </sheetData>
      <sheetData sheetId="5" refreshError="1">
        <row r="1">
          <cell r="A1" t="str">
            <v>Table 3</v>
          </cell>
        </row>
        <row r="2">
          <cell r="A2" t="str">
            <v>Pfizer</v>
          </cell>
        </row>
        <row r="3">
          <cell r="A3" t="str">
            <v>Quarterly Income Statement Analysis 1998-2005E</v>
          </cell>
        </row>
        <row r="4">
          <cell r="A4" t="str">
            <v>($ Millions Except EPS)</v>
          </cell>
        </row>
        <row r="5">
          <cell r="C5" t="str">
            <v>Alliance</v>
          </cell>
          <cell r="F5" t="str">
            <v xml:space="preserve">  Gross</v>
          </cell>
          <cell r="I5" t="str">
            <v>Oper.</v>
          </cell>
          <cell r="J5" t="str">
            <v>Non-Operating Items</v>
          </cell>
          <cell r="U5" t="str">
            <v xml:space="preserve">   Avg.</v>
          </cell>
        </row>
        <row r="6">
          <cell r="C6" t="str">
            <v xml:space="preserve">   Rev.</v>
          </cell>
          <cell r="D6" t="str">
            <v xml:space="preserve">   Total</v>
          </cell>
          <cell r="E6" t="str">
            <v xml:space="preserve"> Cost of</v>
          </cell>
          <cell r="F6" t="str">
            <v xml:space="preserve">  Profit</v>
          </cell>
          <cell r="I6" t="str">
            <v>Income</v>
          </cell>
          <cell r="J6" t="str">
            <v>Interest</v>
          </cell>
          <cell r="P6" t="str">
            <v xml:space="preserve">  Pretax</v>
          </cell>
          <cell r="Q6" t="str">
            <v xml:space="preserve">    Tax</v>
          </cell>
          <cell r="S6" t="str">
            <v>Min.</v>
          </cell>
          <cell r="T6" t="str">
            <v xml:space="preserve">   Net  </v>
          </cell>
          <cell r="U6" t="str">
            <v xml:space="preserve">     Shs</v>
          </cell>
          <cell r="V6" t="str">
            <v>Oper</v>
          </cell>
        </row>
        <row r="7">
          <cell r="B7" t="str">
            <v>Sales</v>
          </cell>
          <cell r="C7" t="str">
            <v xml:space="preserve"> (b)</v>
          </cell>
          <cell r="D7" t="str">
            <v xml:space="preserve">   Sales</v>
          </cell>
          <cell r="E7" t="str">
            <v xml:space="preserve">   Goods</v>
          </cell>
          <cell r="F7" t="str">
            <v xml:space="preserve"> (c)  </v>
          </cell>
          <cell r="G7" t="str">
            <v xml:space="preserve">   SG&amp;A</v>
          </cell>
          <cell r="H7" t="str">
            <v xml:space="preserve">    R&amp;D</v>
          </cell>
          <cell r="I7" t="str">
            <v xml:space="preserve">(d)  </v>
          </cell>
          <cell r="J7" t="str">
            <v>Income</v>
          </cell>
          <cell r="K7" t="str">
            <v>Exp.</v>
          </cell>
          <cell r="L7" t="str">
            <v>Amort</v>
          </cell>
          <cell r="M7" t="str">
            <v>FX</v>
          </cell>
          <cell r="N7" t="str">
            <v xml:space="preserve">  Other</v>
          </cell>
          <cell r="O7" t="str">
            <v xml:space="preserve">  Total</v>
          </cell>
          <cell r="P7" t="str">
            <v>Income</v>
          </cell>
          <cell r="Q7" t="str">
            <v xml:space="preserve">   Rate</v>
          </cell>
          <cell r="R7" t="str">
            <v xml:space="preserve">   Taxes</v>
          </cell>
          <cell r="S7" t="str">
            <v>Int.</v>
          </cell>
          <cell r="T7" t="str">
            <v xml:space="preserve"> Income</v>
          </cell>
          <cell r="U7" t="str">
            <v xml:space="preserve"> (Mil.)</v>
          </cell>
          <cell r="V7" t="str">
            <v xml:space="preserve">   EPS</v>
          </cell>
        </row>
        <row r="9">
          <cell r="A9" t="str">
            <v>1989</v>
          </cell>
          <cell r="E9">
            <v>2062.3000000000002</v>
          </cell>
          <cell r="F9">
            <v>3609</v>
          </cell>
          <cell r="G9">
            <v>2109.8000000000002</v>
          </cell>
          <cell r="H9">
            <v>531.20000000000005</v>
          </cell>
          <cell r="I9">
            <v>986.2</v>
          </cell>
          <cell r="J9">
            <v>78.8</v>
          </cell>
          <cell r="K9">
            <v>-130.5</v>
          </cell>
          <cell r="L9">
            <v>-51.7</v>
          </cell>
          <cell r="M9">
            <v>916.5</v>
          </cell>
          <cell r="N9">
            <v>0.25237315875613747</v>
          </cell>
          <cell r="O9">
            <v>231.3</v>
          </cell>
          <cell r="P9">
            <v>4.0999999999999996</v>
          </cell>
          <cell r="Q9">
            <v>681.1</v>
          </cell>
          <cell r="R9">
            <v>678.8</v>
          </cell>
          <cell r="S9">
            <v>1.01</v>
          </cell>
        </row>
        <row r="10">
          <cell r="A10" t="str">
            <v>1990</v>
          </cell>
          <cell r="E10">
            <v>2259.4</v>
          </cell>
          <cell r="F10">
            <v>4146.6000000000004</v>
          </cell>
          <cell r="G10">
            <v>2452.6999999999998</v>
          </cell>
          <cell r="H10">
            <v>640.1</v>
          </cell>
          <cell r="I10">
            <v>1053.8</v>
          </cell>
          <cell r="J10">
            <v>61.2</v>
          </cell>
          <cell r="K10">
            <v>-11.7</v>
          </cell>
          <cell r="L10">
            <v>49.5</v>
          </cell>
          <cell r="M10">
            <v>1103.3</v>
          </cell>
          <cell r="N10">
            <v>0.27000815734614336</v>
          </cell>
          <cell r="O10">
            <v>297.89999999999998</v>
          </cell>
          <cell r="P10">
            <v>4.2</v>
          </cell>
          <cell r="Q10">
            <v>801.2</v>
          </cell>
          <cell r="R10">
            <v>674.8</v>
          </cell>
          <cell r="S10">
            <v>1.19</v>
          </cell>
        </row>
        <row r="11">
          <cell r="A11" t="str">
            <v>1991</v>
          </cell>
          <cell r="E11">
            <v>2200.6</v>
          </cell>
          <cell r="F11">
            <v>4749.7</v>
          </cell>
          <cell r="G11">
            <v>2739.1</v>
          </cell>
          <cell r="H11">
            <v>756.8</v>
          </cell>
          <cell r="I11">
            <v>1253.8</v>
          </cell>
          <cell r="J11">
            <v>63.7</v>
          </cell>
          <cell r="K11">
            <v>-73.5</v>
          </cell>
          <cell r="L11">
            <v>-9.7999999999999936</v>
          </cell>
          <cell r="M11">
            <v>1244</v>
          </cell>
          <cell r="N11">
            <v>0.25998392282958199</v>
          </cell>
          <cell r="O11">
            <v>323.42</v>
          </cell>
          <cell r="P11">
            <v>3.15</v>
          </cell>
          <cell r="Q11">
            <v>917.43</v>
          </cell>
          <cell r="R11">
            <v>676.4</v>
          </cell>
          <cell r="S11">
            <v>1.36</v>
          </cell>
        </row>
        <row r="13">
          <cell r="A13" t="str">
            <v xml:space="preserve">1990/89 </v>
          </cell>
          <cell r="E13">
            <v>9.5572904039179507E-2</v>
          </cell>
          <cell r="F13">
            <v>0.14896093100581889</v>
          </cell>
          <cell r="G13">
            <v>0.16252725376812949</v>
          </cell>
          <cell r="H13">
            <v>0.20500753012048187</v>
          </cell>
          <cell r="I13">
            <v>6.8545933887649471E-2</v>
          </cell>
          <cell r="J13">
            <v>-0.22335025380710655</v>
          </cell>
          <cell r="K13">
            <v>-0.91034482758620683</v>
          </cell>
          <cell r="L13">
            <v>-1.9574468085106382</v>
          </cell>
          <cell r="M13">
            <v>0.20381887615930164</v>
          </cell>
          <cell r="N13" t="str">
            <v xml:space="preserve">--  </v>
          </cell>
          <cell r="O13" t="str">
            <v xml:space="preserve">--  </v>
          </cell>
          <cell r="P13" t="str">
            <v xml:space="preserve">--  </v>
          </cell>
          <cell r="Q13">
            <v>0.17633240346498313</v>
          </cell>
          <cell r="R13">
            <v>-5.8927519151443725E-3</v>
          </cell>
          <cell r="S13">
            <v>0.17821782178217815</v>
          </cell>
        </row>
        <row r="14">
          <cell r="A14" t="str">
            <v>1991/90</v>
          </cell>
          <cell r="E14">
            <v>-2.6024608303089395E-2</v>
          </cell>
          <cell r="F14">
            <v>0.14544446052187321</v>
          </cell>
          <cell r="G14">
            <v>0.11676927467688675</v>
          </cell>
          <cell r="H14">
            <v>0.18231526324011862</v>
          </cell>
          <cell r="I14">
            <v>0.18978933383943825</v>
          </cell>
          <cell r="J14">
            <v>4.084967320261438E-2</v>
          </cell>
          <cell r="K14">
            <v>5.2820512820512819</v>
          </cell>
          <cell r="L14" t="str">
            <v xml:space="preserve">--  </v>
          </cell>
          <cell r="M14">
            <v>0.12752651137496607</v>
          </cell>
          <cell r="N14" t="str">
            <v xml:space="preserve">--  </v>
          </cell>
          <cell r="O14" t="str">
            <v xml:space="preserve">--  </v>
          </cell>
          <cell r="P14" t="str">
            <v xml:space="preserve">--  </v>
          </cell>
          <cell r="Q14">
            <v>0.14506989515726398</v>
          </cell>
          <cell r="R14">
            <v>2.3710729104920313E-3</v>
          </cell>
          <cell r="S14">
            <v>0.14285714285714299</v>
          </cell>
        </row>
        <row r="15">
          <cell r="A15" t="str">
            <v>1992/91</v>
          </cell>
          <cell r="E15">
            <v>-8.0114514223393607E-2</v>
          </cell>
          <cell r="F15">
            <v>0.15289386698107246</v>
          </cell>
          <cell r="G15">
            <v>5.8486364134204764E-2</v>
          </cell>
          <cell r="H15">
            <v>0.14059196617336164</v>
          </cell>
          <cell r="I15">
            <v>0.36656564045302292</v>
          </cell>
          <cell r="J15">
            <v>0.27472527472527469</v>
          </cell>
          <cell r="K15">
            <v>0.364625850340136</v>
          </cell>
          <cell r="L15" t="str">
            <v xml:space="preserve">--  </v>
          </cell>
          <cell r="M15">
            <v>0.36197749196141493</v>
          </cell>
          <cell r="N15" t="str">
            <v xml:space="preserve">--  </v>
          </cell>
          <cell r="O15" t="str">
            <v xml:space="preserve">--  </v>
          </cell>
          <cell r="P15" t="str">
            <v xml:space="preserve">--  </v>
          </cell>
          <cell r="Q15">
            <v>0.36368115278549856</v>
          </cell>
          <cell r="R15">
            <v>-4.4352454169130692E-3</v>
          </cell>
          <cell r="S15">
            <v>0.36836181478241348</v>
          </cell>
        </row>
        <row r="17">
          <cell r="A17" t="str">
            <v>1992 (a)</v>
          </cell>
        </row>
        <row r="18">
          <cell r="A18" t="str">
            <v xml:space="preserve"> 1Q</v>
          </cell>
          <cell r="E18">
            <v>491.2</v>
          </cell>
          <cell r="F18">
            <v>1319.1</v>
          </cell>
          <cell r="G18">
            <v>685.9</v>
          </cell>
          <cell r="H18">
            <v>189.3</v>
          </cell>
          <cell r="I18">
            <v>443.9</v>
          </cell>
          <cell r="J18">
            <v>16</v>
          </cell>
          <cell r="K18">
            <v>-25.7</v>
          </cell>
          <cell r="L18">
            <v>-9.6999999999999993</v>
          </cell>
          <cell r="M18">
            <v>434.2</v>
          </cell>
          <cell r="N18">
            <v>0.26</v>
          </cell>
          <cell r="O18">
            <v>112.89200000000002</v>
          </cell>
          <cell r="P18">
            <v>0.2</v>
          </cell>
          <cell r="Q18">
            <v>321.10800000000012</v>
          </cell>
          <cell r="R18">
            <v>676.8</v>
          </cell>
          <cell r="S18">
            <v>0.47474586288416093</v>
          </cell>
        </row>
        <row r="19">
          <cell r="A19" t="str">
            <v xml:space="preserve"> 2Q </v>
          </cell>
          <cell r="E19">
            <v>494.4</v>
          </cell>
          <cell r="F19">
            <v>1199.8</v>
          </cell>
          <cell r="G19">
            <v>711.4</v>
          </cell>
          <cell r="H19">
            <v>214</v>
          </cell>
          <cell r="I19">
            <v>274.39999999999998</v>
          </cell>
          <cell r="J19">
            <v>20.6</v>
          </cell>
          <cell r="K19">
            <v>-23.3</v>
          </cell>
          <cell r="L19">
            <v>-2.7</v>
          </cell>
          <cell r="M19">
            <v>271.7</v>
          </cell>
          <cell r="N19">
            <v>0.26</v>
          </cell>
          <cell r="O19">
            <v>70.642000000000024</v>
          </cell>
          <cell r="P19">
            <v>0.3</v>
          </cell>
          <cell r="Q19">
            <v>200.75800000000007</v>
          </cell>
          <cell r="R19">
            <v>674</v>
          </cell>
          <cell r="S19">
            <v>0.29815727002967368</v>
          </cell>
        </row>
        <row r="20">
          <cell r="A20" t="str">
            <v xml:space="preserve"> 3Q </v>
          </cell>
          <cell r="E20">
            <v>521.5</v>
          </cell>
          <cell r="F20">
            <v>1306.0999999999999</v>
          </cell>
          <cell r="G20">
            <v>690.3</v>
          </cell>
          <cell r="H20">
            <v>212.8</v>
          </cell>
          <cell r="I20">
            <v>403</v>
          </cell>
          <cell r="J20">
            <v>22.7</v>
          </cell>
          <cell r="K20">
            <v>-23.3</v>
          </cell>
          <cell r="L20">
            <v>-0.60000000000000142</v>
          </cell>
          <cell r="M20">
            <v>402.4</v>
          </cell>
          <cell r="N20">
            <v>0.26</v>
          </cell>
          <cell r="O20">
            <v>104.624</v>
          </cell>
          <cell r="P20">
            <v>0.3</v>
          </cell>
          <cell r="Q20">
            <v>297.47599999999994</v>
          </cell>
          <cell r="R20">
            <v>675.2</v>
          </cell>
          <cell r="S20">
            <v>0.44087085308056861</v>
          </cell>
        </row>
        <row r="21">
          <cell r="A21" t="str">
            <v xml:space="preserve"> 4Q</v>
          </cell>
          <cell r="E21">
            <v>517.20000000000005</v>
          </cell>
          <cell r="F21">
            <v>1650.9</v>
          </cell>
          <cell r="G21">
            <v>811.7</v>
          </cell>
          <cell r="H21">
            <v>247.1</v>
          </cell>
          <cell r="I21">
            <v>592.1</v>
          </cell>
          <cell r="J21">
            <v>21.9</v>
          </cell>
          <cell r="K21">
            <v>-28</v>
          </cell>
          <cell r="L21">
            <v>-6.1</v>
          </cell>
          <cell r="M21">
            <v>586</v>
          </cell>
          <cell r="N21">
            <v>0.26</v>
          </cell>
          <cell r="O21">
            <v>152.36000000000001</v>
          </cell>
          <cell r="P21">
            <v>1.9</v>
          </cell>
          <cell r="Q21">
            <v>431.74</v>
          </cell>
          <cell r="R21">
            <v>667.4</v>
          </cell>
          <cell r="S21">
            <v>0.64719808210967922</v>
          </cell>
        </row>
        <row r="23">
          <cell r="A23" t="str">
            <v>1993</v>
          </cell>
        </row>
        <row r="24">
          <cell r="A24" t="str">
            <v xml:space="preserve"> 1Q (b)</v>
          </cell>
          <cell r="E24">
            <v>423.4</v>
          </cell>
          <cell r="F24">
            <v>1443.9</v>
          </cell>
          <cell r="G24">
            <v>740.7</v>
          </cell>
          <cell r="H24">
            <v>215.4</v>
          </cell>
          <cell r="I24">
            <v>487.8</v>
          </cell>
          <cell r="J24">
            <v>15.1</v>
          </cell>
          <cell r="K24">
            <v>-29.8</v>
          </cell>
          <cell r="L24">
            <v>-14.7</v>
          </cell>
          <cell r="M24">
            <v>473.1</v>
          </cell>
          <cell r="N24">
            <v>0.25998731769181987</v>
          </cell>
          <cell r="O24">
            <v>123</v>
          </cell>
          <cell r="P24">
            <v>0.2</v>
          </cell>
          <cell r="Q24">
            <v>349.9</v>
          </cell>
          <cell r="R24">
            <v>652.79999999999995</v>
          </cell>
          <cell r="S24">
            <v>0.53599877450980404</v>
          </cell>
        </row>
        <row r="25">
          <cell r="A25" t="str">
            <v xml:space="preserve"> 2Q</v>
          </cell>
          <cell r="E25">
            <v>437.1</v>
          </cell>
          <cell r="F25">
            <v>1311.6</v>
          </cell>
          <cell r="G25">
            <v>757.9</v>
          </cell>
          <cell r="H25">
            <v>230.8</v>
          </cell>
          <cell r="I25">
            <v>322.89999999999998</v>
          </cell>
          <cell r="J25">
            <v>15.2</v>
          </cell>
          <cell r="K25">
            <v>-21</v>
          </cell>
          <cell r="L25">
            <v>-5.8</v>
          </cell>
          <cell r="M25">
            <v>317.10000000000002</v>
          </cell>
          <cell r="N25">
            <v>0.26</v>
          </cell>
          <cell r="O25">
            <v>82.445999999999984</v>
          </cell>
          <cell r="P25">
            <v>0.5</v>
          </cell>
          <cell r="Q25">
            <v>234.15399999999994</v>
          </cell>
          <cell r="R25">
            <v>642.79999999999995</v>
          </cell>
          <cell r="S25">
            <v>0.36427193528313623</v>
          </cell>
        </row>
        <row r="26">
          <cell r="A26" t="str">
            <v xml:space="preserve"> 3Q</v>
          </cell>
          <cell r="E26">
            <v>436.4</v>
          </cell>
          <cell r="F26">
            <v>1436.1</v>
          </cell>
          <cell r="G26">
            <v>745.3</v>
          </cell>
          <cell r="H26">
            <v>242.6</v>
          </cell>
          <cell r="I26">
            <v>448.2</v>
          </cell>
          <cell r="J26">
            <v>9.5</v>
          </cell>
          <cell r="K26">
            <v>-36</v>
          </cell>
          <cell r="L26">
            <v>-26.5</v>
          </cell>
          <cell r="M26">
            <v>421.7</v>
          </cell>
          <cell r="N26">
            <v>0.2596632677258715</v>
          </cell>
          <cell r="O26">
            <v>109.5</v>
          </cell>
          <cell r="P26">
            <v>1.4</v>
          </cell>
          <cell r="Q26">
            <v>310.8</v>
          </cell>
          <cell r="R26">
            <v>635</v>
          </cell>
          <cell r="S26">
            <v>0.48944881889763775</v>
          </cell>
        </row>
        <row r="27">
          <cell r="A27" t="str">
            <v xml:space="preserve"> 4Q</v>
          </cell>
          <cell r="E27">
            <v>472.6</v>
          </cell>
          <cell r="F27">
            <v>1514.1</v>
          </cell>
          <cell r="G27">
            <v>822.1</v>
          </cell>
          <cell r="H27">
            <v>285.60000000000002</v>
          </cell>
          <cell r="I27">
            <v>406.4</v>
          </cell>
          <cell r="J27">
            <v>17.2</v>
          </cell>
          <cell r="K27">
            <v>-32.1</v>
          </cell>
          <cell r="L27">
            <v>-14.9</v>
          </cell>
          <cell r="M27">
            <v>391.5</v>
          </cell>
          <cell r="N27">
            <v>0.25977011494252883</v>
          </cell>
          <cell r="O27">
            <v>101.7</v>
          </cell>
          <cell r="P27">
            <v>1</v>
          </cell>
          <cell r="Q27">
            <v>288.8</v>
          </cell>
          <cell r="R27">
            <v>632.4</v>
          </cell>
          <cell r="S27">
            <v>0.46</v>
          </cell>
        </row>
        <row r="29">
          <cell r="A29" t="str">
            <v>1992 (a)</v>
          </cell>
          <cell r="E29">
            <v>2024.3</v>
          </cell>
          <cell r="F29">
            <v>5475.9</v>
          </cell>
          <cell r="G29">
            <v>2899.3</v>
          </cell>
          <cell r="H29">
            <v>863.2</v>
          </cell>
          <cell r="I29">
            <v>1713.4</v>
          </cell>
          <cell r="J29">
            <v>81.2</v>
          </cell>
          <cell r="K29">
            <v>-100.3</v>
          </cell>
          <cell r="L29">
            <v>-19.100000000000001</v>
          </cell>
          <cell r="M29">
            <v>1694.3</v>
          </cell>
          <cell r="N29">
            <v>0.26</v>
          </cell>
          <cell r="O29">
            <v>440.51800000000003</v>
          </cell>
          <cell r="P29">
            <v>2.7</v>
          </cell>
          <cell r="Q29">
            <v>1251.0819999999999</v>
          </cell>
          <cell r="R29">
            <v>673.4</v>
          </cell>
          <cell r="S29">
            <v>1.8609720681040824</v>
          </cell>
        </row>
        <row r="30">
          <cell r="A30" t="str">
            <v>1993</v>
          </cell>
          <cell r="E30">
            <v>1769.5</v>
          </cell>
          <cell r="F30">
            <v>5705.7</v>
          </cell>
          <cell r="G30">
            <v>3066</v>
          </cell>
          <cell r="H30">
            <v>974.4</v>
          </cell>
          <cell r="I30">
            <v>1665.3</v>
          </cell>
          <cell r="J30">
            <v>57</v>
          </cell>
          <cell r="K30">
            <v>-118.9</v>
          </cell>
          <cell r="L30">
            <v>-61.9</v>
          </cell>
          <cell r="M30">
            <v>1603.4</v>
          </cell>
          <cell r="N30">
            <v>0.25985156542347509</v>
          </cell>
          <cell r="O30">
            <v>416.64599999999996</v>
          </cell>
          <cell r="P30">
            <v>3.1</v>
          </cell>
          <cell r="Q30">
            <v>1183.654</v>
          </cell>
          <cell r="R30">
            <v>640.75</v>
          </cell>
          <cell r="S30">
            <v>1.8497195286905781</v>
          </cell>
        </row>
        <row r="31">
          <cell r="A31" t="str">
            <v>1994 (a)</v>
          </cell>
        </row>
        <row r="32">
          <cell r="A32" t="str">
            <v xml:space="preserve"> 1Q</v>
          </cell>
          <cell r="B32">
            <v>1911.1</v>
          </cell>
          <cell r="C32">
            <v>0</v>
          </cell>
          <cell r="D32">
            <v>1911.1</v>
          </cell>
          <cell r="E32">
            <v>383.5</v>
          </cell>
          <cell r="F32">
            <v>1527.6</v>
          </cell>
          <cell r="G32">
            <v>715.8</v>
          </cell>
          <cell r="H32">
            <v>251.5</v>
          </cell>
          <cell r="I32">
            <v>560.29999999999995</v>
          </cell>
          <cell r="J32">
            <v>23</v>
          </cell>
          <cell r="K32">
            <v>-34</v>
          </cell>
          <cell r="L32">
            <v>-3</v>
          </cell>
          <cell r="M32">
            <v>-2</v>
          </cell>
          <cell r="N32">
            <v>-20.100000000000001</v>
          </cell>
          <cell r="O32">
            <v>-36.1</v>
          </cell>
          <cell r="P32">
            <v>524.19999999999993</v>
          </cell>
          <cell r="Q32">
            <v>0.30026707363601685</v>
          </cell>
          <cell r="R32">
            <v>157.4</v>
          </cell>
          <cell r="S32">
            <v>0.3</v>
          </cell>
          <cell r="T32">
            <v>366.49999999999994</v>
          </cell>
          <cell r="U32">
            <v>3762</v>
          </cell>
          <cell r="V32">
            <v>9.7421584263689506E-2</v>
          </cell>
        </row>
        <row r="33">
          <cell r="A33" t="str">
            <v xml:space="preserve"> 2Q</v>
          </cell>
          <cell r="B33">
            <v>1846.2</v>
          </cell>
          <cell r="C33">
            <v>0</v>
          </cell>
          <cell r="D33">
            <v>1846.2</v>
          </cell>
          <cell r="E33">
            <v>415</v>
          </cell>
          <cell r="F33">
            <v>1431.2</v>
          </cell>
          <cell r="G33">
            <v>783.4</v>
          </cell>
          <cell r="H33">
            <v>258.8</v>
          </cell>
          <cell r="I33">
            <v>389.00000000000006</v>
          </cell>
          <cell r="J33">
            <v>28</v>
          </cell>
          <cell r="K33">
            <v>-30</v>
          </cell>
          <cell r="L33">
            <v>-3</v>
          </cell>
          <cell r="M33">
            <v>-4</v>
          </cell>
          <cell r="N33">
            <v>-21.3</v>
          </cell>
          <cell r="O33">
            <v>-30.3</v>
          </cell>
          <cell r="P33">
            <v>358.70000000000005</v>
          </cell>
          <cell r="Q33">
            <v>0.30052969054920542</v>
          </cell>
          <cell r="R33">
            <v>107.8</v>
          </cell>
          <cell r="S33">
            <v>1.7</v>
          </cell>
          <cell r="T33">
            <v>249.20000000000005</v>
          </cell>
          <cell r="U33">
            <v>3691.2000000000003</v>
          </cell>
          <cell r="V33">
            <v>6.7511920242739498E-2</v>
          </cell>
        </row>
        <row r="34">
          <cell r="A34" t="str">
            <v xml:space="preserve"> 3Q</v>
          </cell>
          <cell r="B34">
            <v>2006.7</v>
          </cell>
          <cell r="C34">
            <v>0</v>
          </cell>
          <cell r="D34">
            <v>2006.7</v>
          </cell>
          <cell r="E34">
            <v>430.5</v>
          </cell>
          <cell r="F34">
            <v>1576.2</v>
          </cell>
          <cell r="G34">
            <v>780.2</v>
          </cell>
          <cell r="H34">
            <v>292.7</v>
          </cell>
          <cell r="I34">
            <v>503.3</v>
          </cell>
          <cell r="J34">
            <v>34</v>
          </cell>
          <cell r="K34">
            <v>-32</v>
          </cell>
          <cell r="L34">
            <v>-4</v>
          </cell>
          <cell r="M34">
            <v>1</v>
          </cell>
          <cell r="N34">
            <v>-22.2</v>
          </cell>
          <cell r="O34">
            <v>-23.2</v>
          </cell>
          <cell r="P34">
            <v>480.1</v>
          </cell>
          <cell r="Q34">
            <v>0.29931264319933343</v>
          </cell>
          <cell r="R34">
            <v>143.69999999999999</v>
          </cell>
          <cell r="S34">
            <v>1.4</v>
          </cell>
          <cell r="T34">
            <v>335.00000000000006</v>
          </cell>
          <cell r="U34">
            <v>3719.3999999999996</v>
          </cell>
          <cell r="V34">
            <v>9.00682905845029E-2</v>
          </cell>
        </row>
        <row r="35">
          <cell r="A35" t="str">
            <v xml:space="preserve"> 4Q </v>
          </cell>
          <cell r="B35">
            <v>2213.3000000000002</v>
          </cell>
          <cell r="C35">
            <v>0</v>
          </cell>
          <cell r="D35">
            <v>2213.3000000000002</v>
          </cell>
          <cell r="E35">
            <v>493.2</v>
          </cell>
          <cell r="F35">
            <v>1720.1000000000001</v>
          </cell>
          <cell r="G35">
            <v>904.7</v>
          </cell>
          <cell r="H35">
            <v>323.10000000000002</v>
          </cell>
          <cell r="I35">
            <v>492.30000000000007</v>
          </cell>
          <cell r="J35">
            <v>38</v>
          </cell>
          <cell r="K35">
            <v>-31</v>
          </cell>
          <cell r="L35">
            <v>-4</v>
          </cell>
          <cell r="M35">
            <v>0</v>
          </cell>
          <cell r="N35">
            <v>-27.8</v>
          </cell>
          <cell r="O35">
            <v>-24.8</v>
          </cell>
          <cell r="P35">
            <v>467.50000000000006</v>
          </cell>
          <cell r="Q35">
            <v>0.30010695187165776</v>
          </cell>
          <cell r="R35">
            <v>140.30000000000001</v>
          </cell>
          <cell r="S35">
            <v>1.2</v>
          </cell>
          <cell r="T35">
            <v>326.00000000000006</v>
          </cell>
          <cell r="U35">
            <v>3726</v>
          </cell>
          <cell r="V35">
            <v>8.749329039184113E-2</v>
          </cell>
        </row>
        <row r="37">
          <cell r="A37" t="str">
            <v>1994 (a)</v>
          </cell>
          <cell r="B37">
            <v>7977.3</v>
          </cell>
          <cell r="C37">
            <v>0</v>
          </cell>
          <cell r="D37">
            <v>7977.3</v>
          </cell>
          <cell r="E37">
            <v>1722.2</v>
          </cell>
          <cell r="F37">
            <v>6255.1</v>
          </cell>
          <cell r="G37">
            <v>3184.0999999999995</v>
          </cell>
          <cell r="H37">
            <v>1126.0999999999999</v>
          </cell>
          <cell r="I37">
            <v>1944.9</v>
          </cell>
          <cell r="J37">
            <v>123</v>
          </cell>
          <cell r="K37">
            <v>-127</v>
          </cell>
          <cell r="L37">
            <v>-14</v>
          </cell>
          <cell r="M37">
            <v>-5</v>
          </cell>
          <cell r="N37">
            <v>-91.4</v>
          </cell>
          <cell r="O37">
            <v>-114.4</v>
          </cell>
          <cell r="P37">
            <v>1830.5</v>
          </cell>
          <cell r="Q37">
            <v>0.30002731494127288</v>
          </cell>
          <cell r="R37">
            <v>549.20000000000005</v>
          </cell>
          <cell r="S37">
            <v>4.5999999999999996</v>
          </cell>
          <cell r="T37">
            <v>1276.7</v>
          </cell>
          <cell r="U37">
            <v>3729</v>
          </cell>
          <cell r="V37">
            <v>0.34237060874229019</v>
          </cell>
        </row>
        <row r="39">
          <cell r="A39" t="str">
            <v xml:space="preserve">1995/94 </v>
          </cell>
        </row>
        <row r="40">
          <cell r="A40" t="str">
            <v xml:space="preserve"> 1Q</v>
          </cell>
          <cell r="B40">
            <v>0.22337920569305642</v>
          </cell>
          <cell r="C40" t="str">
            <v>NM</v>
          </cell>
          <cell r="D40">
            <v>0.22337920569305642</v>
          </cell>
          <cell r="E40">
            <v>0.32724902216427643</v>
          </cell>
          <cell r="F40">
            <v>0.19730295888976179</v>
          </cell>
          <cell r="G40">
            <v>0.18608549874266561</v>
          </cell>
          <cell r="H40">
            <v>0.24453280318091453</v>
          </cell>
          <cell r="I40">
            <v>0.19043369623416037</v>
          </cell>
          <cell r="J40">
            <v>1.0869565217391304</v>
          </cell>
          <cell r="K40">
            <v>0.47058823529411764</v>
          </cell>
          <cell r="L40" t="str">
            <v>NM</v>
          </cell>
          <cell r="M40" t="str">
            <v>NM</v>
          </cell>
          <cell r="N40">
            <v>0.49253731343283569</v>
          </cell>
          <cell r="O40">
            <v>8.0332409972299124E-2</v>
          </cell>
          <cell r="P40">
            <v>0.19801602441816116</v>
          </cell>
          <cell r="Q40">
            <v>9.7748848728137702E-2</v>
          </cell>
          <cell r="R40">
            <v>0.315120711562897</v>
          </cell>
          <cell r="S40" t="str">
            <v xml:space="preserve">NM </v>
          </cell>
          <cell r="T40">
            <v>0.14324693042291969</v>
          </cell>
          <cell r="U40">
            <v>-7.0175438596490258E-3</v>
          </cell>
          <cell r="V40">
            <v>0.15132641403014871</v>
          </cell>
        </row>
        <row r="41">
          <cell r="A41" t="str">
            <v xml:space="preserve"> 2Q</v>
          </cell>
          <cell r="B41">
            <v>0.30050915393781819</v>
          </cell>
          <cell r="C41" t="str">
            <v>NM</v>
          </cell>
          <cell r="D41">
            <v>0.30050915393781819</v>
          </cell>
          <cell r="E41">
            <v>0.33012048192771082</v>
          </cell>
          <cell r="F41">
            <v>0.29192286193404132</v>
          </cell>
          <cell r="G41">
            <v>0.23436303293336741</v>
          </cell>
          <cell r="H41">
            <v>0.36785162287480672</v>
          </cell>
          <cell r="I41">
            <v>0.35732647814910007</v>
          </cell>
          <cell r="J41">
            <v>0.35714285714285715</v>
          </cell>
          <cell r="K41">
            <v>0.8666666666666667</v>
          </cell>
          <cell r="L41" t="str">
            <v>NM</v>
          </cell>
          <cell r="M41" t="str">
            <v>NM</v>
          </cell>
          <cell r="N41">
            <v>0.54929577464788726</v>
          </cell>
          <cell r="O41">
            <v>0.98019801980198018</v>
          </cell>
          <cell r="P41">
            <v>0.30471145804293265</v>
          </cell>
          <cell r="Q41">
            <v>0.10204279847137003</v>
          </cell>
          <cell r="R41">
            <v>0.43784786641929502</v>
          </cell>
          <cell r="S41" t="str">
            <v xml:space="preserve">NM </v>
          </cell>
          <cell r="T41">
            <v>0.24799357945425338</v>
          </cell>
          <cell r="U41">
            <v>1.2028608582574795E-2</v>
          </cell>
          <cell r="V41">
            <v>0.23316037597214362</v>
          </cell>
        </row>
        <row r="42">
          <cell r="A42" t="str">
            <v xml:space="preserve"> 3Q</v>
          </cell>
          <cell r="B42">
            <v>0.26476304380325905</v>
          </cell>
          <cell r="C42" t="str">
            <v>NM</v>
          </cell>
          <cell r="D42">
            <v>0.26476304380325905</v>
          </cell>
          <cell r="E42">
            <v>0.24506387921022069</v>
          </cell>
          <cell r="F42">
            <v>0.27014338281943912</v>
          </cell>
          <cell r="G42">
            <v>0.23045372981286844</v>
          </cell>
          <cell r="H42">
            <v>0.19918004783054327</v>
          </cell>
          <cell r="I42">
            <v>0.3729386052056427</v>
          </cell>
          <cell r="J42">
            <v>5.8823529411764705E-2</v>
          </cell>
          <cell r="K42">
            <v>0.4375</v>
          </cell>
          <cell r="L42" t="str">
            <v>NM</v>
          </cell>
          <cell r="M42" t="str">
            <v>NM</v>
          </cell>
          <cell r="N42">
            <v>0.35135135135135137</v>
          </cell>
          <cell r="O42">
            <v>1.8017241379310345</v>
          </cell>
          <cell r="P42">
            <v>0.30389502187044359</v>
          </cell>
          <cell r="Q42">
            <v>9.9430611786625211E-2</v>
          </cell>
          <cell r="R42">
            <v>0.43354210160055684</v>
          </cell>
          <cell r="S42" t="str">
            <v xml:space="preserve">NM </v>
          </cell>
          <cell r="T42">
            <v>0.25074626865671623</v>
          </cell>
          <cell r="U42">
            <v>2.2745604129698439E-2</v>
          </cell>
          <cell r="V42">
            <v>0.22292998728753671</v>
          </cell>
        </row>
        <row r="43">
          <cell r="A43" t="str">
            <v xml:space="preserve"> 4Q</v>
          </cell>
          <cell r="B43">
            <v>0.23977770749559471</v>
          </cell>
          <cell r="C43" t="str">
            <v>NM</v>
          </cell>
          <cell r="D43">
            <v>0.23977770749559471</v>
          </cell>
          <cell r="E43">
            <v>0.1496350364963504</v>
          </cell>
          <cell r="F43">
            <v>0.26562409162257999</v>
          </cell>
          <cell r="G43">
            <v>0.19266055045871552</v>
          </cell>
          <cell r="H43">
            <v>0.31228721757969657</v>
          </cell>
          <cell r="I43">
            <v>0.36908389193581131</v>
          </cell>
          <cell r="J43">
            <v>-5.2631578947368418E-2</v>
          </cell>
          <cell r="K43">
            <v>0.32258064516129031</v>
          </cell>
          <cell r="L43" t="str">
            <v>NM</v>
          </cell>
          <cell r="M43" t="str">
            <v>NM</v>
          </cell>
          <cell r="N43">
            <v>2.0215827338129495</v>
          </cell>
          <cell r="O43">
            <v>2.911290322580645</v>
          </cell>
          <cell r="P43">
            <v>0.23422459893048114</v>
          </cell>
          <cell r="Q43">
            <v>-1.8258720172544318E-2</v>
          </cell>
          <cell r="R43">
            <v>0.21168923734853876</v>
          </cell>
          <cell r="S43" t="str">
            <v xml:space="preserve">NM </v>
          </cell>
          <cell r="T43">
            <v>0.24233128834355808</v>
          </cell>
          <cell r="U43">
            <v>2.6570048309178744E-2</v>
          </cell>
          <cell r="V43">
            <v>0.21017683146878363</v>
          </cell>
        </row>
        <row r="45">
          <cell r="A45" t="str">
            <v xml:space="preserve">1995/94 </v>
          </cell>
          <cell r="B45">
            <v>0.25618943752898848</v>
          </cell>
          <cell r="C45" t="str">
            <v>NM</v>
          </cell>
          <cell r="D45">
            <v>0.25618943752898848</v>
          </cell>
          <cell r="E45">
            <v>0.25653234235280453</v>
          </cell>
          <cell r="F45">
            <v>0.25609502645840987</v>
          </cell>
          <cell r="G45">
            <v>0.21070318143274416</v>
          </cell>
          <cell r="H45">
            <v>0.28052570819643025</v>
          </cell>
          <cell r="I45">
            <v>0.3162630469432875</v>
          </cell>
          <cell r="J45">
            <v>0.28455284552845528</v>
          </cell>
          <cell r="K45">
            <v>0.51968503937007871</v>
          </cell>
          <cell r="L45" t="str">
            <v>NM</v>
          </cell>
          <cell r="M45" t="str">
            <v>NM</v>
          </cell>
          <cell r="N45">
            <v>0.93654266958424492</v>
          </cell>
          <cell r="O45">
            <v>1.2814685314685315</v>
          </cell>
          <cell r="P45">
            <v>0.25594099972685058</v>
          </cell>
          <cell r="Q45">
            <v>6.9933030827868753E-2</v>
          </cell>
          <cell r="R45">
            <v>0.34377276037873261</v>
          </cell>
          <cell r="S45" t="str">
            <v>NM</v>
          </cell>
          <cell r="T45">
            <v>0.21720059528471838</v>
          </cell>
          <cell r="U45">
            <v>1.2872083668543845E-2</v>
          </cell>
          <cell r="V45">
            <v>0.20173180296974166</v>
          </cell>
        </row>
        <row r="47">
          <cell r="A47" t="str">
            <v>1995 (a)</v>
          </cell>
        </row>
        <row r="48">
          <cell r="A48" t="str">
            <v xml:space="preserve"> 1Q</v>
          </cell>
          <cell r="B48">
            <v>2338</v>
          </cell>
          <cell r="C48">
            <v>0</v>
          </cell>
          <cell r="D48">
            <v>2338</v>
          </cell>
          <cell r="E48">
            <v>509</v>
          </cell>
          <cell r="F48">
            <v>1829</v>
          </cell>
          <cell r="G48">
            <v>849</v>
          </cell>
          <cell r="H48">
            <v>313</v>
          </cell>
          <cell r="I48">
            <v>667</v>
          </cell>
          <cell r="J48">
            <v>48</v>
          </cell>
          <cell r="K48">
            <v>-50</v>
          </cell>
          <cell r="L48">
            <v>-9</v>
          </cell>
          <cell r="M48">
            <v>2</v>
          </cell>
          <cell r="N48">
            <v>-30</v>
          </cell>
          <cell r="O48">
            <v>-39</v>
          </cell>
          <cell r="P48">
            <v>628</v>
          </cell>
          <cell r="Q48">
            <v>0.32961783439490444</v>
          </cell>
          <cell r="R48">
            <v>207</v>
          </cell>
          <cell r="S48">
            <v>2</v>
          </cell>
          <cell r="T48">
            <v>419</v>
          </cell>
          <cell r="U48">
            <v>3735.6000000000004</v>
          </cell>
          <cell r="V48">
            <v>0.11216404325944961</v>
          </cell>
        </row>
        <row r="49">
          <cell r="A49" t="str">
            <v xml:space="preserve"> 2Q</v>
          </cell>
          <cell r="B49">
            <v>2401</v>
          </cell>
          <cell r="C49">
            <v>0</v>
          </cell>
          <cell r="D49">
            <v>2401</v>
          </cell>
          <cell r="E49">
            <v>552</v>
          </cell>
          <cell r="F49">
            <v>1849</v>
          </cell>
          <cell r="G49">
            <v>967</v>
          </cell>
          <cell r="H49">
            <v>354</v>
          </cell>
          <cell r="I49">
            <v>528</v>
          </cell>
          <cell r="J49">
            <v>38</v>
          </cell>
          <cell r="K49">
            <v>-56</v>
          </cell>
          <cell r="L49">
            <v>-13</v>
          </cell>
          <cell r="M49">
            <v>4</v>
          </cell>
          <cell r="N49">
            <v>-33</v>
          </cell>
          <cell r="O49">
            <v>-60</v>
          </cell>
          <cell r="P49">
            <v>468</v>
          </cell>
          <cell r="Q49">
            <v>0.33119658119658119</v>
          </cell>
          <cell r="R49">
            <v>155</v>
          </cell>
          <cell r="S49">
            <v>2</v>
          </cell>
          <cell r="T49">
            <v>311</v>
          </cell>
          <cell r="U49">
            <v>3735.6000000000004</v>
          </cell>
          <cell r="V49">
            <v>8.3253024949138013E-2</v>
          </cell>
        </row>
        <row r="50">
          <cell r="A50" t="str">
            <v xml:space="preserve"> 3Q</v>
          </cell>
          <cell r="B50">
            <v>2538</v>
          </cell>
          <cell r="C50">
            <v>0</v>
          </cell>
          <cell r="D50">
            <v>2538</v>
          </cell>
          <cell r="E50">
            <v>536</v>
          </cell>
          <cell r="F50">
            <v>2002</v>
          </cell>
          <cell r="G50">
            <v>960</v>
          </cell>
          <cell r="H50">
            <v>351</v>
          </cell>
          <cell r="I50">
            <v>691</v>
          </cell>
          <cell r="J50">
            <v>36</v>
          </cell>
          <cell r="K50">
            <v>-46</v>
          </cell>
          <cell r="L50">
            <v>-16</v>
          </cell>
          <cell r="M50">
            <v>-9</v>
          </cell>
          <cell r="N50">
            <v>-30</v>
          </cell>
          <cell r="O50">
            <v>-65</v>
          </cell>
          <cell r="P50">
            <v>626</v>
          </cell>
          <cell r="Q50">
            <v>0.32907348242811502</v>
          </cell>
          <cell r="R50">
            <v>206</v>
          </cell>
          <cell r="S50">
            <v>1</v>
          </cell>
          <cell r="T50">
            <v>419</v>
          </cell>
          <cell r="U50">
            <v>3804</v>
          </cell>
          <cell r="V50">
            <v>0.11014721345951629</v>
          </cell>
        </row>
        <row r="51">
          <cell r="A51" t="str">
            <v xml:space="preserve"> 4Q </v>
          </cell>
          <cell r="B51">
            <v>2744</v>
          </cell>
          <cell r="C51">
            <v>0</v>
          </cell>
          <cell r="D51">
            <v>2744</v>
          </cell>
          <cell r="E51">
            <v>567</v>
          </cell>
          <cell r="F51">
            <v>2177</v>
          </cell>
          <cell r="G51">
            <v>1079</v>
          </cell>
          <cell r="H51">
            <v>424</v>
          </cell>
          <cell r="I51">
            <v>674</v>
          </cell>
          <cell r="J51">
            <v>36</v>
          </cell>
          <cell r="K51">
            <v>-41</v>
          </cell>
          <cell r="L51">
            <v>-8</v>
          </cell>
          <cell r="M51">
            <v>0</v>
          </cell>
          <cell r="N51">
            <v>-84</v>
          </cell>
          <cell r="O51">
            <v>-97</v>
          </cell>
          <cell r="P51">
            <v>577</v>
          </cell>
          <cell r="Q51">
            <v>0.29462738301559793</v>
          </cell>
          <cell r="R51">
            <v>170</v>
          </cell>
          <cell r="S51">
            <v>2</v>
          </cell>
          <cell r="T51">
            <v>405</v>
          </cell>
          <cell r="U51">
            <v>3825</v>
          </cell>
          <cell r="V51">
            <v>0.10588235294117647</v>
          </cell>
        </row>
        <row r="53">
          <cell r="A53" t="str">
            <v>1995 (a)</v>
          </cell>
          <cell r="B53">
            <v>10021</v>
          </cell>
          <cell r="C53">
            <v>0</v>
          </cell>
          <cell r="D53">
            <v>10021</v>
          </cell>
          <cell r="E53">
            <v>2164</v>
          </cell>
          <cell r="F53">
            <v>7857</v>
          </cell>
          <cell r="G53">
            <v>3855</v>
          </cell>
          <cell r="H53">
            <v>1442</v>
          </cell>
          <cell r="I53">
            <v>2560</v>
          </cell>
          <cell r="J53">
            <v>158</v>
          </cell>
          <cell r="K53">
            <v>-193</v>
          </cell>
          <cell r="L53">
            <v>-46</v>
          </cell>
          <cell r="M53">
            <v>-3</v>
          </cell>
          <cell r="N53">
            <v>-177</v>
          </cell>
          <cell r="O53">
            <v>-261</v>
          </cell>
          <cell r="P53">
            <v>2299</v>
          </cell>
          <cell r="Q53">
            <v>0.32100913440626361</v>
          </cell>
          <cell r="R53">
            <v>738</v>
          </cell>
          <cell r="S53">
            <v>7</v>
          </cell>
          <cell r="T53">
            <v>1554</v>
          </cell>
          <cell r="U53">
            <v>3777</v>
          </cell>
          <cell r="V53">
            <v>0.41143764892772039</v>
          </cell>
        </row>
        <row r="55">
          <cell r="A55" t="str">
            <v xml:space="preserve">1996/95 </v>
          </cell>
        </row>
        <row r="56">
          <cell r="A56" t="str">
            <v xml:space="preserve"> 1Q</v>
          </cell>
          <cell r="B56">
            <v>0.14713430282292558</v>
          </cell>
          <cell r="C56" t="str">
            <v>NM</v>
          </cell>
          <cell r="D56">
            <v>0.14713430282292558</v>
          </cell>
          <cell r="E56">
            <v>7.8585461689587421E-3</v>
          </cell>
          <cell r="F56">
            <v>0.1858939311098961</v>
          </cell>
          <cell r="G56">
            <v>0.17078916372202591</v>
          </cell>
          <cell r="H56">
            <v>0.16932907348242812</v>
          </cell>
          <cell r="I56">
            <v>0.21289355322338829</v>
          </cell>
          <cell r="J56">
            <v>-0.39583333333333331</v>
          </cell>
          <cell r="K56">
            <v>-0.24</v>
          </cell>
          <cell r="L56">
            <v>0.55555555555555558</v>
          </cell>
          <cell r="M56" t="str">
            <v>NM</v>
          </cell>
          <cell r="N56">
            <v>0</v>
          </cell>
          <cell r="O56">
            <v>0.46153846153846156</v>
          </cell>
          <cell r="P56">
            <v>0.19745222929936307</v>
          </cell>
          <cell r="Q56">
            <v>-6.0001027854866898E-2</v>
          </cell>
          <cell r="R56">
            <v>0.12560386473429952</v>
          </cell>
          <cell r="S56" t="str">
            <v xml:space="preserve">     NM </v>
          </cell>
          <cell r="T56">
            <v>0.23389021479713604</v>
          </cell>
          <cell r="U56">
            <v>2.9071635078702189E-2</v>
          </cell>
          <cell r="V56">
            <v>0.19903238291352721</v>
          </cell>
        </row>
        <row r="57">
          <cell r="A57" t="str">
            <v xml:space="preserve"> 2Q</v>
          </cell>
          <cell r="B57">
            <v>0.10828821324448147</v>
          </cell>
          <cell r="C57" t="str">
            <v>NM</v>
          </cell>
          <cell r="D57">
            <v>0.10828821324448147</v>
          </cell>
          <cell r="E57">
            <v>-5.6159420289855072E-2</v>
          </cell>
          <cell r="F57">
            <v>0.15738236884802595</v>
          </cell>
          <cell r="G57">
            <v>0.11995863495346432</v>
          </cell>
          <cell r="H57">
            <v>0.19209039548022599</v>
          </cell>
          <cell r="I57">
            <v>0.20265151515151514</v>
          </cell>
          <cell r="J57">
            <v>-0.18421052631578946</v>
          </cell>
          <cell r="K57">
            <v>-0.25</v>
          </cell>
          <cell r="L57">
            <v>7.6923076923076927E-2</v>
          </cell>
          <cell r="M57" t="str">
            <v>NM</v>
          </cell>
          <cell r="N57">
            <v>-3.0303030303030304E-2</v>
          </cell>
          <cell r="O57">
            <v>1.6666666666666666E-2</v>
          </cell>
          <cell r="P57">
            <v>0.2264957264957265</v>
          </cell>
          <cell r="Q57">
            <v>-6.3684387995953648E-2</v>
          </cell>
          <cell r="R57">
            <v>0.14838709677419354</v>
          </cell>
          <cell r="S57" t="str">
            <v xml:space="preserve">     NM </v>
          </cell>
          <cell r="T57">
            <v>0.26688102893890675</v>
          </cell>
          <cell r="U57">
            <v>3.2605203983295659E-2</v>
          </cell>
          <cell r="V57">
            <v>0.22687840817757585</v>
          </cell>
        </row>
        <row r="58">
          <cell r="A58" t="str">
            <v xml:space="preserve"> 3Q</v>
          </cell>
          <cell r="B58">
            <v>0.10441292356185973</v>
          </cell>
          <cell r="C58" t="str">
            <v>NM</v>
          </cell>
          <cell r="D58">
            <v>0.10441292356185973</v>
          </cell>
          <cell r="E58">
            <v>-2.6119402985074626E-2</v>
          </cell>
          <cell r="F58">
            <v>0.13936063936063936</v>
          </cell>
          <cell r="G58">
            <v>8.3333333333333329E-2</v>
          </cell>
          <cell r="H58">
            <v>0.15669515669515668</v>
          </cell>
          <cell r="I58">
            <v>0.20839363241678727</v>
          </cell>
          <cell r="J58">
            <v>-8.3333333333333329E-2</v>
          </cell>
          <cell r="K58">
            <v>-0.15217391304347827</v>
          </cell>
          <cell r="L58">
            <v>0.25</v>
          </cell>
          <cell r="M58" t="str">
            <v>NM</v>
          </cell>
          <cell r="N58">
            <v>0.83333333333333337</v>
          </cell>
          <cell r="O58">
            <v>0.32307692307692309</v>
          </cell>
          <cell r="P58">
            <v>0.19648562300319489</v>
          </cell>
          <cell r="Q58">
            <v>-5.8732031057591366E-2</v>
          </cell>
          <cell r="R58">
            <v>0.12621359223300971</v>
          </cell>
          <cell r="S58" t="str">
            <v xml:space="preserve">     NM </v>
          </cell>
          <cell r="T58">
            <v>0.22673031026252982</v>
          </cell>
          <cell r="U58">
            <v>1.7350157728706624E-2</v>
          </cell>
          <cell r="V58">
            <v>0.20580932822704481</v>
          </cell>
        </row>
        <row r="59">
          <cell r="A59" t="str">
            <v xml:space="preserve"> 4Q</v>
          </cell>
          <cell r="B59">
            <v>0.15160349854227406</v>
          </cell>
          <cell r="C59" t="str">
            <v>NM</v>
          </cell>
          <cell r="D59">
            <v>0.15160349854227406</v>
          </cell>
          <cell r="E59">
            <v>9.3474426807760136E-2</v>
          </cell>
          <cell r="F59">
            <v>0.16674322462103813</v>
          </cell>
          <cell r="G59">
            <v>0.15755329008341057</v>
          </cell>
          <cell r="H59">
            <v>0.15566037735849056</v>
          </cell>
          <cell r="I59">
            <v>0.18842729970326411</v>
          </cell>
          <cell r="J59">
            <v>0.16666666666666666</v>
          </cell>
          <cell r="K59">
            <v>0.12195121951219512</v>
          </cell>
          <cell r="L59">
            <v>1.25</v>
          </cell>
          <cell r="M59" t="str">
            <v>NM</v>
          </cell>
          <cell r="N59">
            <v>-0.42857142857142855</v>
          </cell>
          <cell r="O59">
            <v>-0.25773195876288657</v>
          </cell>
          <cell r="P59">
            <v>0.2634315424610052</v>
          </cell>
          <cell r="Q59">
            <v>5.2223029129347155E-2</v>
          </cell>
          <cell r="R59">
            <v>0.32941176470588235</v>
          </cell>
          <cell r="S59" t="str">
            <v xml:space="preserve">     NM </v>
          </cell>
          <cell r="T59">
            <v>0.24444444444444444</v>
          </cell>
          <cell r="U59">
            <v>1.7254901960784313E-2</v>
          </cell>
          <cell r="V59">
            <v>0.22333590336674369</v>
          </cell>
        </row>
        <row r="61">
          <cell r="A61" t="str">
            <v xml:space="preserve">1996/95 </v>
          </cell>
          <cell r="B61">
            <v>0.12823071549745535</v>
          </cell>
          <cell r="C61" t="str">
            <v>NM</v>
          </cell>
          <cell r="D61">
            <v>0.12823071549745535</v>
          </cell>
          <cell r="E61">
            <v>5.5452865064695009E-3</v>
          </cell>
          <cell r="F61">
            <v>0.16202112765686649</v>
          </cell>
          <cell r="G61">
            <v>0.13255512321660182</v>
          </cell>
          <cell r="H61">
            <v>0.16782246879334259</v>
          </cell>
          <cell r="I61">
            <v>0.203125</v>
          </cell>
          <cell r="J61">
            <v>-0.14556962025316456</v>
          </cell>
          <cell r="K61">
            <v>-0.14507772020725387</v>
          </cell>
          <cell r="L61">
            <v>0.43478260869565216</v>
          </cell>
          <cell r="M61" t="str">
            <v>NM</v>
          </cell>
          <cell r="N61">
            <v>-6.7796610169491525E-2</v>
          </cell>
          <cell r="O61">
            <v>5.7471264367816091E-2</v>
          </cell>
          <cell r="P61">
            <v>0.21966072205306655</v>
          </cell>
          <cell r="Q61">
            <v>-3.4562027146662434E-2</v>
          </cell>
          <cell r="R61">
            <v>0.17750677506775067</v>
          </cell>
          <cell r="S61" t="str">
            <v>NM</v>
          </cell>
          <cell r="T61">
            <v>0.2413127413127413</v>
          </cell>
          <cell r="U61">
            <v>2.3034154090548053E-2</v>
          </cell>
          <cell r="V61">
            <v>0.21276183996814779</v>
          </cell>
        </row>
        <row r="63">
          <cell r="A63" t="str">
            <v>1996</v>
          </cell>
        </row>
        <row r="64">
          <cell r="A64" t="str">
            <v xml:space="preserve"> 1Q</v>
          </cell>
          <cell r="B64">
            <v>2682</v>
          </cell>
          <cell r="C64">
            <v>0</v>
          </cell>
          <cell r="D64">
            <v>2682</v>
          </cell>
          <cell r="E64">
            <v>513</v>
          </cell>
          <cell r="F64">
            <v>2169</v>
          </cell>
          <cell r="G64">
            <v>994</v>
          </cell>
          <cell r="H64">
            <v>366</v>
          </cell>
          <cell r="I64">
            <v>809</v>
          </cell>
          <cell r="J64">
            <v>29</v>
          </cell>
          <cell r="K64">
            <v>-38</v>
          </cell>
          <cell r="L64">
            <v>-14</v>
          </cell>
          <cell r="M64">
            <v>-4</v>
          </cell>
          <cell r="N64">
            <v>-30</v>
          </cell>
          <cell r="O64">
            <v>-57</v>
          </cell>
          <cell r="P64">
            <v>752</v>
          </cell>
          <cell r="Q64">
            <v>0.30984042553191488</v>
          </cell>
          <cell r="R64">
            <v>233</v>
          </cell>
          <cell r="S64">
            <v>2</v>
          </cell>
          <cell r="T64">
            <v>517</v>
          </cell>
          <cell r="U64">
            <v>3844.2000000000003</v>
          </cell>
          <cell r="V64">
            <v>0.13448832006659381</v>
          </cell>
        </row>
        <row r="65">
          <cell r="A65" t="str">
            <v xml:space="preserve"> 2Q</v>
          </cell>
          <cell r="B65">
            <v>2661</v>
          </cell>
          <cell r="C65">
            <v>0</v>
          </cell>
          <cell r="D65">
            <v>2661</v>
          </cell>
          <cell r="E65">
            <v>521</v>
          </cell>
          <cell r="F65">
            <v>2140</v>
          </cell>
          <cell r="G65">
            <v>1083</v>
          </cell>
          <cell r="H65">
            <v>422</v>
          </cell>
          <cell r="I65">
            <v>635</v>
          </cell>
          <cell r="J65">
            <v>31</v>
          </cell>
          <cell r="K65">
            <v>-42</v>
          </cell>
          <cell r="L65">
            <v>-14</v>
          </cell>
          <cell r="M65">
            <v>-4</v>
          </cell>
          <cell r="N65">
            <v>-32</v>
          </cell>
          <cell r="O65">
            <v>-61</v>
          </cell>
          <cell r="P65">
            <v>574</v>
          </cell>
          <cell r="Q65">
            <v>0.31010452961672474</v>
          </cell>
          <cell r="R65">
            <v>178</v>
          </cell>
          <cell r="S65">
            <v>2</v>
          </cell>
          <cell r="T65">
            <v>394</v>
          </cell>
          <cell r="U65">
            <v>3857.3999999999996</v>
          </cell>
          <cell r="V65">
            <v>0.10214133872556645</v>
          </cell>
        </row>
        <row r="66">
          <cell r="A66" t="str">
            <v xml:space="preserve"> 3Q</v>
          </cell>
          <cell r="B66">
            <v>2803</v>
          </cell>
          <cell r="C66">
            <v>0</v>
          </cell>
          <cell r="D66">
            <v>2803</v>
          </cell>
          <cell r="E66">
            <v>522</v>
          </cell>
          <cell r="F66">
            <v>2281</v>
          </cell>
          <cell r="G66">
            <v>1040</v>
          </cell>
          <cell r="H66">
            <v>406</v>
          </cell>
          <cell r="I66">
            <v>835</v>
          </cell>
          <cell r="J66">
            <v>33</v>
          </cell>
          <cell r="K66">
            <v>-39</v>
          </cell>
          <cell r="L66">
            <v>-20</v>
          </cell>
          <cell r="M66">
            <v>-5</v>
          </cell>
          <cell r="N66">
            <v>-55</v>
          </cell>
          <cell r="O66">
            <v>-86</v>
          </cell>
          <cell r="P66">
            <v>749</v>
          </cell>
          <cell r="Q66">
            <v>0.30974632843791722</v>
          </cell>
          <cell r="R66">
            <v>232</v>
          </cell>
          <cell r="S66">
            <v>3</v>
          </cell>
          <cell r="T66">
            <v>514</v>
          </cell>
          <cell r="U66">
            <v>3870</v>
          </cell>
          <cell r="V66">
            <v>0.13281653746770025</v>
          </cell>
        </row>
        <row r="67">
          <cell r="A67" t="str">
            <v xml:space="preserve"> 4Q</v>
          </cell>
          <cell r="B67">
            <v>3160</v>
          </cell>
          <cell r="C67">
            <v>0</v>
          </cell>
          <cell r="D67">
            <v>3160</v>
          </cell>
          <cell r="E67">
            <v>620</v>
          </cell>
          <cell r="F67">
            <v>2540</v>
          </cell>
          <cell r="G67">
            <v>1249</v>
          </cell>
          <cell r="H67">
            <v>490</v>
          </cell>
          <cell r="I67">
            <v>801</v>
          </cell>
          <cell r="J67">
            <v>42</v>
          </cell>
          <cell r="K67">
            <v>-46</v>
          </cell>
          <cell r="L67">
            <v>-18</v>
          </cell>
          <cell r="M67">
            <v>-2</v>
          </cell>
          <cell r="N67">
            <v>-48</v>
          </cell>
          <cell r="O67">
            <v>-72</v>
          </cell>
          <cell r="P67">
            <v>729</v>
          </cell>
          <cell r="Q67">
            <v>0.31001371742112482</v>
          </cell>
          <cell r="R67">
            <v>226</v>
          </cell>
          <cell r="S67">
            <v>-1</v>
          </cell>
          <cell r="T67">
            <v>504</v>
          </cell>
          <cell r="U67">
            <v>3891</v>
          </cell>
          <cell r="V67">
            <v>0.12952968388589051</v>
          </cell>
        </row>
        <row r="69">
          <cell r="A69" t="str">
            <v>1996 (a)</v>
          </cell>
          <cell r="B69">
            <v>11306</v>
          </cell>
          <cell r="C69">
            <v>0</v>
          </cell>
          <cell r="D69">
            <v>11306</v>
          </cell>
          <cell r="E69">
            <v>2176</v>
          </cell>
          <cell r="F69">
            <v>9130</v>
          </cell>
          <cell r="G69">
            <v>4366</v>
          </cell>
          <cell r="H69">
            <v>1684</v>
          </cell>
          <cell r="I69">
            <v>3080</v>
          </cell>
          <cell r="J69">
            <v>135</v>
          </cell>
          <cell r="K69">
            <v>-165</v>
          </cell>
          <cell r="L69">
            <v>-66</v>
          </cell>
          <cell r="M69">
            <v>-15</v>
          </cell>
          <cell r="N69">
            <v>-165</v>
          </cell>
          <cell r="O69">
            <v>-276</v>
          </cell>
          <cell r="P69">
            <v>2804</v>
          </cell>
          <cell r="Q69">
            <v>0.30991440798858771</v>
          </cell>
          <cell r="R69">
            <v>869</v>
          </cell>
          <cell r="S69">
            <v>6</v>
          </cell>
          <cell r="T69">
            <v>1929</v>
          </cell>
          <cell r="U69">
            <v>3864</v>
          </cell>
          <cell r="V69">
            <v>0.49897588014575101</v>
          </cell>
        </row>
        <row r="71">
          <cell r="A71" t="str">
            <v xml:space="preserve">1997/96 </v>
          </cell>
        </row>
        <row r="72">
          <cell r="A72" t="str">
            <v xml:space="preserve"> 1Q</v>
          </cell>
          <cell r="B72">
            <v>1.4914243102162564E-3</v>
          </cell>
          <cell r="C72" t="str">
            <v>NM</v>
          </cell>
          <cell r="D72">
            <v>1.1185682326621924E-3</v>
          </cell>
          <cell r="E72">
            <v>-0.15594541910331383</v>
          </cell>
          <cell r="F72">
            <v>3.8727524204702629E-2</v>
          </cell>
          <cell r="G72">
            <v>-9.0543259557344068E-3</v>
          </cell>
          <cell r="H72">
            <v>6.0109289617486336E-2</v>
          </cell>
          <cell r="I72">
            <v>8.6526576019777507E-2</v>
          </cell>
          <cell r="J72">
            <v>0.17241379310344829</v>
          </cell>
          <cell r="K72">
            <v>-2.6315789473684209E-2</v>
          </cell>
          <cell r="L72">
            <v>0.2857142857142857</v>
          </cell>
          <cell r="M72" t="str">
            <v xml:space="preserve">   NM </v>
          </cell>
          <cell r="N72">
            <v>0.16666666666666666</v>
          </cell>
          <cell r="O72">
            <v>8.771929824561403E-2</v>
          </cell>
          <cell r="P72">
            <v>8.6436170212765964E-2</v>
          </cell>
          <cell r="Q72">
            <v>-4.4005862545374225E-2</v>
          </cell>
          <cell r="R72">
            <v>3.8626609442060089E-2</v>
          </cell>
          <cell r="S72" t="str">
            <v xml:space="preserve">   NM </v>
          </cell>
          <cell r="T72">
            <v>0.1102514506769826</v>
          </cell>
          <cell r="U72">
            <v>1.404713594506009E-2</v>
          </cell>
          <cell r="V72">
            <v>9.4871639908792965E-2</v>
          </cell>
        </row>
        <row r="73">
          <cell r="A73" t="str">
            <v xml:space="preserve"> 2Q</v>
          </cell>
          <cell r="B73">
            <v>-6.3509958662157084E-2</v>
          </cell>
          <cell r="C73" t="str">
            <v>NM</v>
          </cell>
          <cell r="D73">
            <v>-4.1337842916196917E-2</v>
          </cell>
          <cell r="E73">
            <v>-0.25335892514395392</v>
          </cell>
          <cell r="F73">
            <v>-1.7289719626168223E-2</v>
          </cell>
          <cell r="G73">
            <v>1.7543859649122806E-2</v>
          </cell>
          <cell r="H73">
            <v>1.8957345971563982E-2</v>
          </cell>
          <cell r="I73">
            <v>-7.874015748031496E-3</v>
          </cell>
          <cell r="J73">
            <v>0.22580645161290322</v>
          </cell>
          <cell r="K73">
            <v>-0.11904761904761904</v>
          </cell>
          <cell r="L73">
            <v>0.14285714285714285</v>
          </cell>
          <cell r="M73" t="str">
            <v xml:space="preserve">   NM </v>
          </cell>
          <cell r="N73">
            <v>6.25E-2</v>
          </cell>
          <cell r="O73">
            <v>-0.14754098360655737</v>
          </cell>
          <cell r="P73">
            <v>6.9686411149825784E-3</v>
          </cell>
          <cell r="Q73">
            <v>-0.15197698378756666</v>
          </cell>
          <cell r="R73">
            <v>-0.14606741573033707</v>
          </cell>
          <cell r="S73" t="str">
            <v xml:space="preserve">   NM </v>
          </cell>
          <cell r="T73">
            <v>7.1065989847715741E-2</v>
          </cell>
          <cell r="U73">
            <v>1.1821434126613876E-2</v>
          </cell>
          <cell r="V73">
            <v>5.8552382587388777E-2</v>
          </cell>
        </row>
        <row r="74">
          <cell r="A74" t="str">
            <v xml:space="preserve"> 3Q</v>
          </cell>
          <cell r="B74">
            <v>-5.3870852657866571E-2</v>
          </cell>
          <cell r="C74" t="str">
            <v>NM</v>
          </cell>
          <cell r="D74">
            <v>-1.9978594363182306E-2</v>
          </cell>
          <cell r="E74">
            <v>-0.18965517241379309</v>
          </cell>
          <cell r="F74">
            <v>-2.2797018851380975E-2</v>
          </cell>
          <cell r="G74">
            <v>1.0576923076923078E-2</v>
          </cell>
          <cell r="H74">
            <v>0.10098522167487685</v>
          </cell>
          <cell r="I74">
            <v>-1.0778443113772455E-2</v>
          </cell>
          <cell r="J74">
            <v>0.18181818181818182</v>
          </cell>
          <cell r="K74">
            <v>0</v>
          </cell>
          <cell r="L74">
            <v>-0.1</v>
          </cell>
          <cell r="M74" t="str">
            <v xml:space="preserve">   NM </v>
          </cell>
          <cell r="N74">
            <v>-0.6</v>
          </cell>
          <cell r="O74">
            <v>-0.39534883720930231</v>
          </cell>
          <cell r="P74">
            <v>3.3377837116154871E-2</v>
          </cell>
          <cell r="Q74">
            <v>-0.19914461373964182</v>
          </cell>
          <cell r="R74">
            <v>-0.17241379310344829</v>
          </cell>
          <cell r="S74" t="str">
            <v xml:space="preserve">   NM </v>
          </cell>
          <cell r="T74">
            <v>0.12645914396887159</v>
          </cell>
          <cell r="U74">
            <v>8.5271317829457363E-3</v>
          </cell>
          <cell r="V74">
            <v>0.11693489294376982</v>
          </cell>
        </row>
        <row r="75">
          <cell r="A75" t="str">
            <v xml:space="preserve"> 4Q</v>
          </cell>
          <cell r="B75">
            <v>-7.9430379746835436E-2</v>
          </cell>
          <cell r="C75" t="str">
            <v>NM</v>
          </cell>
          <cell r="D75">
            <v>-2.7848101265822784E-2</v>
          </cell>
          <cell r="E75">
            <v>-0.1435483870967742</v>
          </cell>
          <cell r="F75">
            <v>-6.3779527559055124E-2</v>
          </cell>
          <cell r="G75">
            <v>1.120896717373899E-2</v>
          </cell>
          <cell r="H75">
            <v>0.10204081632653061</v>
          </cell>
          <cell r="I75">
            <v>-7.8651685393258425E-2</v>
          </cell>
          <cell r="J75">
            <v>7.1428571428571425E-2</v>
          </cell>
          <cell r="K75">
            <v>-0.2608695652173913</v>
          </cell>
          <cell r="L75">
            <v>-0.1111111111111111</v>
          </cell>
          <cell r="M75" t="str">
            <v xml:space="preserve">   NM </v>
          </cell>
          <cell r="N75">
            <v>-0.20833333333333334</v>
          </cell>
          <cell r="O75">
            <v>-0.30555555555555558</v>
          </cell>
          <cell r="P75">
            <v>-5.6241426611796985E-2</v>
          </cell>
          <cell r="Q75">
            <v>-0.12794556493105583</v>
          </cell>
          <cell r="R75">
            <v>-0.17699115044247787</v>
          </cell>
          <cell r="S75" t="str">
            <v xml:space="preserve">   NM </v>
          </cell>
          <cell r="T75">
            <v>-7.9365079365079361E-3</v>
          </cell>
          <cell r="U75">
            <v>4.6260601387818042E-3</v>
          </cell>
          <cell r="V75">
            <v>-1.2504720486301475E-2</v>
          </cell>
        </row>
        <row r="77">
          <cell r="A77" t="str">
            <v>Year</v>
          </cell>
          <cell r="B77">
            <v>-5.0150362639306563E-2</v>
          </cell>
          <cell r="C77" t="str">
            <v>NM</v>
          </cell>
          <cell r="D77">
            <v>-2.2200601450557227E-2</v>
          </cell>
          <cell r="E77">
            <v>-0.18382352941176472</v>
          </cell>
          <cell r="F77">
            <v>-1.8291347207009857E-2</v>
          </cell>
          <cell r="G77">
            <v>8.0164910673385242E-3</v>
          </cell>
          <cell r="H77">
            <v>7.1852731591448935E-2</v>
          </cell>
          <cell r="I77">
            <v>-2.2727272727272726E-3</v>
          </cell>
          <cell r="J77">
            <v>0.15555555555555556</v>
          </cell>
          <cell r="K77">
            <v>-0.10909090909090909</v>
          </cell>
          <cell r="L77">
            <v>3.0303030303030304E-2</v>
          </cell>
          <cell r="M77" t="str">
            <v xml:space="preserve">   NM </v>
          </cell>
          <cell r="N77">
            <v>-0.21818181818181817</v>
          </cell>
          <cell r="O77">
            <v>-0.21739130434782608</v>
          </cell>
          <cell r="P77">
            <v>1.8901569186875893E-2</v>
          </cell>
          <cell r="Q77">
            <v>-0.12810278028285757</v>
          </cell>
          <cell r="R77">
            <v>-0.11162255466052934</v>
          </cell>
          <cell r="S77" t="str">
            <v xml:space="preserve">   NM </v>
          </cell>
          <cell r="T77">
            <v>7.5686884396060139E-2</v>
          </cell>
          <cell r="U77">
            <v>1.1645962732919254E-2</v>
          </cell>
          <cell r="V77">
            <v>6.543583089643977E-2</v>
          </cell>
        </row>
        <row r="79">
          <cell r="A79">
            <v>1997</v>
          </cell>
        </row>
        <row r="80">
          <cell r="A80" t="str">
            <v xml:space="preserve"> 1Q</v>
          </cell>
          <cell r="B80">
            <v>2686</v>
          </cell>
          <cell r="C80">
            <v>-1</v>
          </cell>
          <cell r="D80">
            <v>2685</v>
          </cell>
          <cell r="E80">
            <v>433</v>
          </cell>
          <cell r="F80">
            <v>2253</v>
          </cell>
          <cell r="G80">
            <v>985</v>
          </cell>
          <cell r="H80">
            <v>388</v>
          </cell>
          <cell r="I80">
            <v>879</v>
          </cell>
          <cell r="J80">
            <v>34</v>
          </cell>
          <cell r="K80">
            <v>-37</v>
          </cell>
          <cell r="L80">
            <v>-18</v>
          </cell>
          <cell r="M80">
            <v>-6</v>
          </cell>
          <cell r="N80">
            <v>-35</v>
          </cell>
          <cell r="O80">
            <v>-62</v>
          </cell>
          <cell r="P80">
            <v>817</v>
          </cell>
          <cell r="Q80">
            <v>0.29620563035495717</v>
          </cell>
          <cell r="R80">
            <v>242</v>
          </cell>
          <cell r="S80">
            <v>1</v>
          </cell>
          <cell r="T80">
            <v>574</v>
          </cell>
          <cell r="U80">
            <v>3898.2000000000003</v>
          </cell>
          <cell r="V80">
            <v>0.14724744753989019</v>
          </cell>
        </row>
        <row r="81">
          <cell r="A81" t="str">
            <v xml:space="preserve"> 2Q</v>
          </cell>
          <cell r="B81">
            <v>2492</v>
          </cell>
          <cell r="C81">
            <v>59</v>
          </cell>
          <cell r="D81">
            <v>2551</v>
          </cell>
          <cell r="E81">
            <v>389</v>
          </cell>
          <cell r="F81">
            <v>2103</v>
          </cell>
          <cell r="G81">
            <v>1102</v>
          </cell>
          <cell r="H81">
            <v>430</v>
          </cell>
          <cell r="I81">
            <v>630</v>
          </cell>
          <cell r="J81">
            <v>38</v>
          </cell>
          <cell r="K81">
            <v>-37</v>
          </cell>
          <cell r="L81">
            <v>-16</v>
          </cell>
          <cell r="M81">
            <v>-3</v>
          </cell>
          <cell r="N81">
            <v>-34</v>
          </cell>
          <cell r="O81">
            <v>-52</v>
          </cell>
          <cell r="P81">
            <v>578</v>
          </cell>
          <cell r="Q81">
            <v>0.26297577854671278</v>
          </cell>
          <cell r="R81">
            <v>152</v>
          </cell>
          <cell r="S81">
            <v>4</v>
          </cell>
          <cell r="T81">
            <v>422</v>
          </cell>
          <cell r="U81">
            <v>3903</v>
          </cell>
          <cell r="V81">
            <v>0.10812195746861389</v>
          </cell>
        </row>
        <row r="82">
          <cell r="A82" t="str">
            <v xml:space="preserve"> 3Q</v>
          </cell>
          <cell r="B82">
            <v>2652</v>
          </cell>
          <cell r="C82">
            <v>95</v>
          </cell>
          <cell r="D82">
            <v>2747</v>
          </cell>
          <cell r="E82">
            <v>423</v>
          </cell>
          <cell r="F82">
            <v>2229</v>
          </cell>
          <cell r="G82">
            <v>1051</v>
          </cell>
          <cell r="H82">
            <v>447</v>
          </cell>
          <cell r="I82">
            <v>826</v>
          </cell>
          <cell r="J82">
            <v>39</v>
          </cell>
          <cell r="K82">
            <v>-39</v>
          </cell>
          <cell r="L82">
            <v>-18</v>
          </cell>
          <cell r="M82">
            <v>-12</v>
          </cell>
          <cell r="N82">
            <v>-22</v>
          </cell>
          <cell r="O82">
            <v>-52</v>
          </cell>
          <cell r="P82">
            <v>774</v>
          </cell>
          <cell r="Q82">
            <v>0.24806201550387597</v>
          </cell>
          <cell r="R82">
            <v>192</v>
          </cell>
          <cell r="S82">
            <v>3</v>
          </cell>
          <cell r="T82">
            <v>579</v>
          </cell>
          <cell r="U82">
            <v>3903</v>
          </cell>
          <cell r="V82">
            <v>0.14834742505764797</v>
          </cell>
        </row>
        <row r="83">
          <cell r="A83" t="str">
            <v xml:space="preserve"> 4Q</v>
          </cell>
          <cell r="B83">
            <v>2909</v>
          </cell>
          <cell r="C83">
            <v>163</v>
          </cell>
          <cell r="D83">
            <v>3072</v>
          </cell>
          <cell r="E83">
            <v>531</v>
          </cell>
          <cell r="F83">
            <v>2378</v>
          </cell>
          <cell r="G83">
            <v>1263</v>
          </cell>
          <cell r="H83">
            <v>540</v>
          </cell>
          <cell r="I83">
            <v>738</v>
          </cell>
          <cell r="J83">
            <v>45</v>
          </cell>
          <cell r="K83">
            <v>-34</v>
          </cell>
          <cell r="L83">
            <v>-16</v>
          </cell>
          <cell r="M83">
            <v>-7</v>
          </cell>
          <cell r="N83">
            <v>-38</v>
          </cell>
          <cell r="O83">
            <v>-50</v>
          </cell>
          <cell r="P83">
            <v>688</v>
          </cell>
          <cell r="Q83">
            <v>0.27034883720930231</v>
          </cell>
          <cell r="R83">
            <v>186</v>
          </cell>
          <cell r="S83">
            <v>2</v>
          </cell>
          <cell r="T83">
            <v>500</v>
          </cell>
          <cell r="U83">
            <v>3909</v>
          </cell>
          <cell r="V83">
            <v>0.12790995139421846</v>
          </cell>
        </row>
        <row r="85">
          <cell r="A85" t="str">
            <v>Year</v>
          </cell>
          <cell r="B85">
            <v>10739</v>
          </cell>
          <cell r="C85">
            <v>316</v>
          </cell>
          <cell r="D85">
            <v>11055</v>
          </cell>
          <cell r="E85">
            <v>1776</v>
          </cell>
          <cell r="F85">
            <v>8963</v>
          </cell>
          <cell r="G85">
            <v>4401</v>
          </cell>
          <cell r="H85">
            <v>1805</v>
          </cell>
          <cell r="I85">
            <v>3073</v>
          </cell>
          <cell r="J85">
            <v>156</v>
          </cell>
          <cell r="K85">
            <v>-147</v>
          </cell>
          <cell r="L85">
            <v>-68</v>
          </cell>
          <cell r="M85">
            <v>-28</v>
          </cell>
          <cell r="N85">
            <v>-129</v>
          </cell>
          <cell r="O85">
            <v>-216</v>
          </cell>
          <cell r="P85">
            <v>2857</v>
          </cell>
          <cell r="Q85">
            <v>0.27021351067553379</v>
          </cell>
          <cell r="R85">
            <v>772</v>
          </cell>
          <cell r="S85">
            <v>10</v>
          </cell>
          <cell r="T85">
            <v>2075</v>
          </cell>
          <cell r="U85">
            <v>3909</v>
          </cell>
          <cell r="V85">
            <v>0.53162678146037057</v>
          </cell>
        </row>
        <row r="87">
          <cell r="A87" t="str">
            <v xml:space="preserve">1998/97 </v>
          </cell>
        </row>
        <row r="88">
          <cell r="A88" t="str">
            <v xml:space="preserve"> 1Q</v>
          </cell>
          <cell r="B88">
            <v>7.4460163812360383E-2</v>
          </cell>
          <cell r="C88" t="str">
            <v>NM</v>
          </cell>
          <cell r="D88">
            <v>0.13072625698324022</v>
          </cell>
          <cell r="E88">
            <v>-1.1547344110854504E-2</v>
          </cell>
          <cell r="F88">
            <v>9.0989791389258765E-2</v>
          </cell>
          <cell r="G88">
            <v>0.21725888324873097</v>
          </cell>
          <cell r="H88">
            <v>0.23969072164948454</v>
          </cell>
          <cell r="I88">
            <v>5.5745164960182024E-2</v>
          </cell>
          <cell r="J88">
            <v>5.8823529411764705E-2</v>
          </cell>
          <cell r="K88">
            <v>-0.27027027027027029</v>
          </cell>
          <cell r="L88">
            <v>-0.33333333333333331</v>
          </cell>
          <cell r="M88" t="str">
            <v xml:space="preserve">   NM </v>
          </cell>
          <cell r="N88" t="str">
            <v xml:space="preserve">   NM </v>
          </cell>
          <cell r="O88" t="str">
            <v xml:space="preserve">   NM </v>
          </cell>
          <cell r="P88">
            <v>9.7919216646266835E-2</v>
          </cell>
          <cell r="Q88">
            <v>-4.0258160811520609E-2</v>
          </cell>
          <cell r="R88">
            <v>5.3719008264462811E-2</v>
          </cell>
          <cell r="S88" t="str">
            <v xml:space="preserve">   NM </v>
          </cell>
          <cell r="T88">
            <v>0.11672473867595819</v>
          </cell>
          <cell r="U88">
            <v>1.1928582422656609E-2</v>
          </cell>
          <cell r="V88">
            <v>0.10356082244698472</v>
          </cell>
        </row>
        <row r="89">
          <cell r="A89" t="str">
            <v xml:space="preserve"> 2Q</v>
          </cell>
          <cell r="B89">
            <v>0.24959871589085073</v>
          </cell>
          <cell r="C89" t="str">
            <v>NM</v>
          </cell>
          <cell r="D89">
            <v>0.29831438651509212</v>
          </cell>
          <cell r="E89">
            <v>0.21593830334190231</v>
          </cell>
          <cell r="F89">
            <v>0.25582501188777934</v>
          </cell>
          <cell r="G89">
            <v>0.24047186932849365</v>
          </cell>
          <cell r="H89">
            <v>0.27906976744186046</v>
          </cell>
          <cell r="I89">
            <v>0.46349206349206351</v>
          </cell>
          <cell r="J89">
            <v>5.2631578947368418E-2</v>
          </cell>
          <cell r="K89">
            <v>-8.1081081081081086E-2</v>
          </cell>
          <cell r="L89">
            <v>-0.25</v>
          </cell>
          <cell r="M89" t="str">
            <v xml:space="preserve">   NM </v>
          </cell>
          <cell r="N89" t="str">
            <v xml:space="preserve">   NM </v>
          </cell>
          <cell r="O89" t="str">
            <v xml:space="preserve">   NM </v>
          </cell>
          <cell r="P89">
            <v>0.5017301038062284</v>
          </cell>
          <cell r="Q89">
            <v>0.13465619694397299</v>
          </cell>
          <cell r="R89">
            <v>0.70394736842105265</v>
          </cell>
          <cell r="S89" t="str">
            <v xml:space="preserve">   NM </v>
          </cell>
          <cell r="T89">
            <v>0.44075829383886256</v>
          </cell>
          <cell r="U89">
            <v>1.2605687932359793E-2</v>
          </cell>
          <cell r="V89">
            <v>0.42282263571000461</v>
          </cell>
        </row>
        <row r="90">
          <cell r="A90" t="str">
            <v xml:space="preserve"> 3Q</v>
          </cell>
          <cell r="B90">
            <v>0.1726998491704374</v>
          </cell>
          <cell r="C90" t="str">
            <v>NM</v>
          </cell>
          <cell r="D90">
            <v>0.21223152530032763</v>
          </cell>
          <cell r="E90">
            <v>0.12056737588652482</v>
          </cell>
          <cell r="F90">
            <v>0.18259309107222971</v>
          </cell>
          <cell r="G90">
            <v>0.25880114176974311</v>
          </cell>
          <cell r="H90">
            <v>0.23042505592841164</v>
          </cell>
          <cell r="I90">
            <v>0.19007263922518161</v>
          </cell>
          <cell r="J90">
            <v>7.6923076923076927E-2</v>
          </cell>
          <cell r="K90">
            <v>-0.10256410256410256</v>
          </cell>
          <cell r="L90">
            <v>-0.33333333333333331</v>
          </cell>
          <cell r="M90" t="str">
            <v xml:space="preserve">   NM </v>
          </cell>
          <cell r="N90" t="str">
            <v xml:space="preserve">   NM </v>
          </cell>
          <cell r="O90" t="str">
            <v xml:space="preserve">   NM </v>
          </cell>
          <cell r="P90">
            <v>0.18604651162790697</v>
          </cell>
          <cell r="Q90">
            <v>0.18566176470588241</v>
          </cell>
          <cell r="R90">
            <v>0.40625</v>
          </cell>
          <cell r="S90" t="str">
            <v xml:space="preserve">   NM </v>
          </cell>
          <cell r="T90">
            <v>0.11744386873920552</v>
          </cell>
          <cell r="U90">
            <v>1.1324622085575269E-2</v>
          </cell>
          <cell r="V90">
            <v>0.10493094337482727</v>
          </cell>
        </row>
        <row r="91">
          <cell r="A91" t="str">
            <v xml:space="preserve"> 4Q</v>
          </cell>
          <cell r="B91">
            <v>0.22619456858026812</v>
          </cell>
          <cell r="C91" t="str">
            <v>NM</v>
          </cell>
          <cell r="D91">
            <v>0.25846354166666669</v>
          </cell>
          <cell r="E91">
            <v>0.14500941619585686</v>
          </cell>
          <cell r="F91">
            <v>0.24432296047098401</v>
          </cell>
          <cell r="G91">
            <v>0.30562153602533648</v>
          </cell>
          <cell r="H91">
            <v>0.27962962962962962</v>
          </cell>
          <cell r="I91">
            <v>0.24390243902439024</v>
          </cell>
          <cell r="J91">
            <v>0.22222222222222221</v>
          </cell>
          <cell r="K91">
            <v>2.9411764705882353E-2</v>
          </cell>
          <cell r="L91">
            <v>-0.25</v>
          </cell>
          <cell r="M91" t="str">
            <v xml:space="preserve">   NM </v>
          </cell>
          <cell r="N91" t="str">
            <v xml:space="preserve">   NM </v>
          </cell>
          <cell r="O91" t="str">
            <v xml:space="preserve">   NM </v>
          </cell>
          <cell r="P91">
            <v>0.37645348837209303</v>
          </cell>
          <cell r="Q91">
            <v>-7.4292332322785051E-2</v>
          </cell>
          <cell r="R91">
            <v>0.27419354838709675</v>
          </cell>
          <cell r="S91" t="str">
            <v xml:space="preserve">   NM </v>
          </cell>
          <cell r="T91">
            <v>0.42199999999999999</v>
          </cell>
          <cell r="U91">
            <v>9.2862624712201913E-3</v>
          </cell>
          <cell r="V91">
            <v>0.40891643221047852</v>
          </cell>
        </row>
        <row r="93">
          <cell r="A93" t="str">
            <v>Year</v>
          </cell>
          <cell r="B93">
            <v>0.18046373032870844</v>
          </cell>
          <cell r="C93" t="str">
            <v>NM</v>
          </cell>
          <cell r="D93">
            <v>0.22514699231117141</v>
          </cell>
          <cell r="E93">
            <v>0.11655405405405406</v>
          </cell>
          <cell r="F93">
            <v>0.19312730112685486</v>
          </cell>
          <cell r="G93">
            <v>0.25835037491479207</v>
          </cell>
          <cell r="H93">
            <v>0.25872576177285317</v>
          </cell>
          <cell r="I93">
            <v>0.22063130491376506</v>
          </cell>
          <cell r="J93">
            <v>0.10897435897435898</v>
          </cell>
          <cell r="K93">
            <v>-0.10884353741496598</v>
          </cell>
          <cell r="L93">
            <v>-0.29411764705882354</v>
          </cell>
          <cell r="M93" t="str">
            <v xml:space="preserve">   NM </v>
          </cell>
          <cell r="N93" t="str">
            <v xml:space="preserve">   NM </v>
          </cell>
          <cell r="O93" t="str">
            <v xml:space="preserve">   NM </v>
          </cell>
          <cell r="P93">
            <v>0.27056352817640883</v>
          </cell>
          <cell r="Q93">
            <v>4.0907306698639678E-2</v>
          </cell>
          <cell r="R93">
            <v>0.32253886010362692</v>
          </cell>
          <cell r="S93" t="str">
            <v xml:space="preserve">   NM </v>
          </cell>
          <cell r="T93">
            <v>0.25638554216867471</v>
          </cell>
          <cell r="U93">
            <v>9.8106932719365329E-3</v>
          </cell>
          <cell r="V93">
            <v>0.24234331024183653</v>
          </cell>
        </row>
        <row r="95">
          <cell r="A95">
            <v>1998</v>
          </cell>
        </row>
        <row r="96">
          <cell r="A96" t="str">
            <v xml:space="preserve"> 1Q</v>
          </cell>
          <cell r="B96">
            <v>2886</v>
          </cell>
          <cell r="C96">
            <v>150</v>
          </cell>
          <cell r="D96">
            <v>3036</v>
          </cell>
          <cell r="E96">
            <v>428</v>
          </cell>
          <cell r="F96">
            <v>2458</v>
          </cell>
          <cell r="G96">
            <v>1199</v>
          </cell>
          <cell r="H96">
            <v>481</v>
          </cell>
          <cell r="I96">
            <v>928</v>
          </cell>
          <cell r="J96">
            <v>36</v>
          </cell>
          <cell r="K96">
            <v>-27</v>
          </cell>
          <cell r="L96">
            <v>-12</v>
          </cell>
          <cell r="M96">
            <v>5</v>
          </cell>
          <cell r="N96">
            <v>-33</v>
          </cell>
          <cell r="O96">
            <v>-31</v>
          </cell>
          <cell r="P96">
            <v>897</v>
          </cell>
          <cell r="Q96">
            <v>0.28428093645484948</v>
          </cell>
          <cell r="R96">
            <v>255</v>
          </cell>
          <cell r="S96">
            <v>1</v>
          </cell>
          <cell r="T96">
            <v>641</v>
          </cell>
          <cell r="U96">
            <v>3944.7000000000003</v>
          </cell>
          <cell r="V96">
            <v>0.16249651431034046</v>
          </cell>
        </row>
        <row r="97">
          <cell r="A97" t="str">
            <v xml:space="preserve"> 2Q</v>
          </cell>
          <cell r="B97">
            <v>3114</v>
          </cell>
          <cell r="C97">
            <v>198</v>
          </cell>
          <cell r="D97">
            <v>3312</v>
          </cell>
          <cell r="E97">
            <v>473</v>
          </cell>
          <cell r="F97">
            <v>2641</v>
          </cell>
          <cell r="G97">
            <v>1367</v>
          </cell>
          <cell r="H97">
            <v>550</v>
          </cell>
          <cell r="I97">
            <v>922</v>
          </cell>
          <cell r="J97">
            <v>40</v>
          </cell>
          <cell r="K97">
            <v>-34</v>
          </cell>
          <cell r="L97">
            <v>-12</v>
          </cell>
          <cell r="M97">
            <v>-4</v>
          </cell>
          <cell r="N97">
            <v>-44</v>
          </cell>
          <cell r="O97">
            <v>-54</v>
          </cell>
          <cell r="P97">
            <v>868</v>
          </cell>
          <cell r="Q97">
            <v>0.29838709677419356</v>
          </cell>
          <cell r="R97">
            <v>259</v>
          </cell>
          <cell r="S97">
            <v>1</v>
          </cell>
          <cell r="T97">
            <v>608</v>
          </cell>
          <cell r="U97">
            <v>3952.2000000000003</v>
          </cell>
          <cell r="V97">
            <v>0.15383836850361823</v>
          </cell>
        </row>
        <row r="98">
          <cell r="A98" t="str">
            <v xml:space="preserve"> 3Q</v>
          </cell>
          <cell r="B98">
            <v>3110</v>
          </cell>
          <cell r="C98">
            <v>220</v>
          </cell>
          <cell r="D98">
            <v>3330</v>
          </cell>
          <cell r="E98">
            <v>474</v>
          </cell>
          <cell r="F98">
            <v>2636</v>
          </cell>
          <cell r="G98">
            <v>1323</v>
          </cell>
          <cell r="H98">
            <v>550</v>
          </cell>
          <cell r="I98">
            <v>983</v>
          </cell>
          <cell r="J98">
            <v>42</v>
          </cell>
          <cell r="K98">
            <v>-35</v>
          </cell>
          <cell r="L98">
            <v>-12</v>
          </cell>
          <cell r="M98">
            <v>-10</v>
          </cell>
          <cell r="N98">
            <v>-50</v>
          </cell>
          <cell r="O98">
            <v>-65</v>
          </cell>
          <cell r="P98">
            <v>918</v>
          </cell>
          <cell r="Q98">
            <v>0.29411764705882354</v>
          </cell>
          <cell r="R98">
            <v>270</v>
          </cell>
          <cell r="S98">
            <v>1</v>
          </cell>
          <cell r="T98">
            <v>647</v>
          </cell>
          <cell r="U98">
            <v>3947.2000000000003</v>
          </cell>
          <cell r="V98">
            <v>0.16391366031617347</v>
          </cell>
        </row>
        <row r="99">
          <cell r="A99" t="str">
            <v xml:space="preserve"> 4Q</v>
          </cell>
          <cell r="B99">
            <v>3567</v>
          </cell>
          <cell r="C99">
            <v>299</v>
          </cell>
          <cell r="D99">
            <v>3866</v>
          </cell>
          <cell r="E99">
            <v>608</v>
          </cell>
          <cell r="F99">
            <v>2959</v>
          </cell>
          <cell r="G99">
            <v>1649</v>
          </cell>
          <cell r="H99">
            <v>691</v>
          </cell>
          <cell r="I99">
            <v>918</v>
          </cell>
          <cell r="J99">
            <v>55</v>
          </cell>
          <cell r="K99">
            <v>-35</v>
          </cell>
          <cell r="L99">
            <v>-12</v>
          </cell>
          <cell r="M99">
            <v>10</v>
          </cell>
          <cell r="N99">
            <v>11</v>
          </cell>
          <cell r="O99">
            <v>29</v>
          </cell>
          <cell r="P99">
            <v>947</v>
          </cell>
          <cell r="Q99">
            <v>0.2502639915522703</v>
          </cell>
          <cell r="R99">
            <v>237</v>
          </cell>
          <cell r="S99">
            <v>-1</v>
          </cell>
          <cell r="T99">
            <v>711</v>
          </cell>
          <cell r="U99">
            <v>3945.2999999999997</v>
          </cell>
          <cell r="V99">
            <v>0.18021443236255799</v>
          </cell>
        </row>
        <row r="101">
          <cell r="A101" t="str">
            <v>Year</v>
          </cell>
          <cell r="B101">
            <v>12677</v>
          </cell>
          <cell r="C101">
            <v>867</v>
          </cell>
          <cell r="D101">
            <v>13544</v>
          </cell>
          <cell r="E101">
            <v>1983</v>
          </cell>
          <cell r="F101">
            <v>10694</v>
          </cell>
          <cell r="G101">
            <v>5538</v>
          </cell>
          <cell r="H101">
            <v>2272</v>
          </cell>
          <cell r="I101">
            <v>3751</v>
          </cell>
          <cell r="J101">
            <v>173</v>
          </cell>
          <cell r="K101">
            <v>-131</v>
          </cell>
          <cell r="L101">
            <v>-48</v>
          </cell>
          <cell r="M101">
            <v>1</v>
          </cell>
          <cell r="N101">
            <v>-116</v>
          </cell>
          <cell r="O101">
            <v>-121</v>
          </cell>
          <cell r="P101">
            <v>3630</v>
          </cell>
          <cell r="Q101">
            <v>0.28126721763085399</v>
          </cell>
          <cell r="R101">
            <v>1021</v>
          </cell>
          <cell r="S101">
            <v>2</v>
          </cell>
          <cell r="T101">
            <v>2607</v>
          </cell>
          <cell r="U101">
            <v>3947.35</v>
          </cell>
          <cell r="V101">
            <v>0.66046297549269017</v>
          </cell>
        </row>
        <row r="103">
          <cell r="A103" t="str">
            <v xml:space="preserve">1999/98 </v>
          </cell>
        </row>
        <row r="104">
          <cell r="A104" t="str">
            <v xml:space="preserve"> 1Q</v>
          </cell>
          <cell r="B104">
            <v>0.22106722106722107</v>
          </cell>
          <cell r="C104">
            <v>1.6866666666666668</v>
          </cell>
          <cell r="D104">
            <v>0.29347826086956524</v>
          </cell>
          <cell r="E104">
            <v>0.27570093457943923</v>
          </cell>
          <cell r="F104">
            <v>0.21155410903173311</v>
          </cell>
          <cell r="G104">
            <v>0.30942452043369473</v>
          </cell>
          <cell r="H104">
            <v>0.36174636174636177</v>
          </cell>
          <cell r="I104">
            <v>0.24568965517241378</v>
          </cell>
          <cell r="J104">
            <v>0.83333333333333337</v>
          </cell>
          <cell r="K104">
            <v>0.51851851851851849</v>
          </cell>
          <cell r="L104">
            <v>-8.3333333333333329E-2</v>
          </cell>
          <cell r="M104" t="str">
            <v xml:space="preserve">   NM </v>
          </cell>
          <cell r="N104" t="str">
            <v xml:space="preserve">   NM </v>
          </cell>
          <cell r="O104" t="str">
            <v xml:space="preserve">   NM </v>
          </cell>
          <cell r="P104">
            <v>0.28316610925306579</v>
          </cell>
          <cell r="Q104">
            <v>1.770327592374929E-2</v>
          </cell>
          <cell r="R104">
            <v>0.30588235294117649</v>
          </cell>
          <cell r="S104" t="str">
            <v xml:space="preserve">   NM </v>
          </cell>
          <cell r="T104">
            <v>0.27457098283931358</v>
          </cell>
          <cell r="U104">
            <v>-3.1181078409006097E-3</v>
          </cell>
          <cell r="V104">
            <v>0.27855766351496303</v>
          </cell>
        </row>
        <row r="105">
          <cell r="A105" t="str">
            <v xml:space="preserve"> 2Q</v>
          </cell>
          <cell r="B105">
            <v>5.9087989723827873E-2</v>
          </cell>
          <cell r="C105">
            <v>1.4292929292929293</v>
          </cell>
          <cell r="D105">
            <v>0.14100241545893719</v>
          </cell>
          <cell r="E105">
            <v>6.3424947145877377E-3</v>
          </cell>
          <cell r="F105">
            <v>6.853464596743658E-2</v>
          </cell>
          <cell r="G105">
            <v>0.14484272128749084</v>
          </cell>
          <cell r="H105">
            <v>0.21272727272727274</v>
          </cell>
          <cell r="I105">
            <v>0.1616052060737527</v>
          </cell>
          <cell r="J105">
            <v>0.8</v>
          </cell>
          <cell r="K105">
            <v>0.55882352941176472</v>
          </cell>
          <cell r="L105">
            <v>-0.16666666666666666</v>
          </cell>
          <cell r="M105" t="str">
            <v xml:space="preserve">   NM </v>
          </cell>
          <cell r="N105" t="str">
            <v xml:space="preserve">   NM </v>
          </cell>
          <cell r="O105" t="str">
            <v xml:space="preserve">   NM </v>
          </cell>
          <cell r="P105">
            <v>0.18433179723502305</v>
          </cell>
          <cell r="Q105">
            <v>-2.8499316437059587E-2</v>
          </cell>
          <cell r="R105">
            <v>0.15057915057915058</v>
          </cell>
          <cell r="S105" t="str">
            <v xml:space="preserve">   NM </v>
          </cell>
          <cell r="T105">
            <v>0.19901315789473684</v>
          </cell>
          <cell r="U105">
            <v>-1.0171550022772195E-2</v>
          </cell>
          <cell r="V105">
            <v>0.21133430537617057</v>
          </cell>
        </row>
        <row r="106">
          <cell r="A106" t="str">
            <v xml:space="preserve"> 3Q</v>
          </cell>
          <cell r="B106">
            <v>0.10064308681672025</v>
          </cell>
          <cell r="C106">
            <v>1.5863636363636364</v>
          </cell>
          <cell r="D106">
            <v>0.1987987987987988</v>
          </cell>
          <cell r="E106">
            <v>5.2742616033755275E-2</v>
          </cell>
          <cell r="F106">
            <v>0.10925644916540213</v>
          </cell>
          <cell r="G106">
            <v>0.1126228269085412</v>
          </cell>
          <cell r="H106">
            <v>0.26181818181818184</v>
          </cell>
          <cell r="I106">
            <v>0.34994913530010174</v>
          </cell>
          <cell r="J106">
            <v>0.80952380952380953</v>
          </cell>
          <cell r="K106">
            <v>0.74285714285714288</v>
          </cell>
          <cell r="L106">
            <v>-8.3333333333333329E-2</v>
          </cell>
          <cell r="M106" t="str">
            <v xml:space="preserve">   NM </v>
          </cell>
          <cell r="N106" t="str">
            <v xml:space="preserve">   NM </v>
          </cell>
          <cell r="O106" t="str">
            <v xml:space="preserve">   NM </v>
          </cell>
          <cell r="P106">
            <v>0.39106753812636164</v>
          </cell>
          <cell r="Q106">
            <v>-1.4878621769773004E-2</v>
          </cell>
          <cell r="R106">
            <v>0.37037037037037035</v>
          </cell>
          <cell r="S106" t="str">
            <v xml:space="preserve">   NM </v>
          </cell>
          <cell r="T106">
            <v>0.40030911901081917</v>
          </cell>
          <cell r="U106">
            <v>-1.3731252533441495E-2</v>
          </cell>
          <cell r="V106">
            <v>0.41980481750822152</v>
          </cell>
        </row>
        <row r="107">
          <cell r="A107" t="str">
            <v xml:space="preserve"> 4Q</v>
          </cell>
          <cell r="B107">
            <v>8.9711241940005612E-2</v>
          </cell>
          <cell r="C107">
            <v>1.0702341137123745</v>
          </cell>
          <cell r="D107">
            <v>0.16554578375581996</v>
          </cell>
          <cell r="E107">
            <v>0.14473684210526316</v>
          </cell>
          <cell r="F107">
            <v>7.8404866508955728E-2</v>
          </cell>
          <cell r="G107">
            <v>5.8217101273499092E-2</v>
          </cell>
          <cell r="H107">
            <v>9.9855282199710571E-2</v>
          </cell>
          <cell r="I107">
            <v>0.42156862745098039</v>
          </cell>
          <cell r="J107">
            <v>-1</v>
          </cell>
          <cell r="K107">
            <v>-1</v>
          </cell>
          <cell r="L107">
            <v>-1</v>
          </cell>
          <cell r="M107" t="str">
            <v xml:space="preserve">   NM </v>
          </cell>
          <cell r="N107" t="str">
            <v xml:space="preserve">   NM </v>
          </cell>
          <cell r="O107" t="str">
            <v xml:space="preserve">   NM </v>
          </cell>
          <cell r="P107">
            <v>0.37697993664202745</v>
          </cell>
          <cell r="Q107">
            <v>6.6358623903083169E-2</v>
          </cell>
          <cell r="R107">
            <v>0.46835443037974683</v>
          </cell>
          <cell r="S107" t="str">
            <v xml:space="preserve">   NM </v>
          </cell>
          <cell r="T107">
            <v>0.34177215189873417</v>
          </cell>
          <cell r="U107">
            <v>-1.7058271867791987E-2</v>
          </cell>
          <cell r="V107">
            <v>0.36505767686592977</v>
          </cell>
        </row>
        <row r="109">
          <cell r="A109" t="str">
            <v>Year</v>
          </cell>
          <cell r="B109">
            <v>0.11477478898793089</v>
          </cell>
          <cell r="C109">
            <v>1.3898500576701269</v>
          </cell>
          <cell r="D109">
            <v>0.19639692852923804</v>
          </cell>
          <cell r="E109">
            <v>0.11800302571860817</v>
          </cell>
          <cell r="F109">
            <v>0.11417617355526463</v>
          </cell>
          <cell r="G109">
            <v>0.14698447092813291</v>
          </cell>
          <cell r="H109">
            <v>0.22183098591549297</v>
          </cell>
          <cell r="I109">
            <v>0.29538789656091707</v>
          </cell>
          <cell r="J109">
            <v>0.23699421965317918</v>
          </cell>
          <cell r="K109">
            <v>0.18320610687022901</v>
          </cell>
          <cell r="L109">
            <v>-0.33333333333333331</v>
          </cell>
          <cell r="M109" t="str">
            <v xml:space="preserve">   NM </v>
          </cell>
          <cell r="N109" t="str">
            <v xml:space="preserve">   NM </v>
          </cell>
          <cell r="O109" t="str">
            <v xml:space="preserve">   NM </v>
          </cell>
          <cell r="P109">
            <v>0.31129476584022037</v>
          </cell>
          <cell r="Q109">
            <v>7.5947127136848612E-3</v>
          </cell>
          <cell r="R109">
            <v>0.32125367286973555</v>
          </cell>
          <cell r="S109" t="str">
            <v xml:space="preserve">   NM </v>
          </cell>
          <cell r="T109">
            <v>0.30648254698887611</v>
          </cell>
          <cell r="U109">
            <v>-1.1020051426906659E-2</v>
          </cell>
          <cell r="V109">
            <v>0.32155682946076608</v>
          </cell>
        </row>
        <row r="111">
          <cell r="A111">
            <v>1999</v>
          </cell>
        </row>
        <row r="112">
          <cell r="A112" t="str">
            <v xml:space="preserve"> 1Q</v>
          </cell>
          <cell r="B112">
            <v>3524</v>
          </cell>
          <cell r="C112">
            <v>403</v>
          </cell>
          <cell r="D112">
            <v>3927</v>
          </cell>
          <cell r="E112">
            <v>546</v>
          </cell>
          <cell r="F112">
            <v>2978</v>
          </cell>
          <cell r="G112">
            <v>1570</v>
          </cell>
          <cell r="H112">
            <v>655</v>
          </cell>
          <cell r="I112">
            <v>1156</v>
          </cell>
          <cell r="J112">
            <v>66</v>
          </cell>
          <cell r="K112">
            <v>-41</v>
          </cell>
          <cell r="L112">
            <v>-11</v>
          </cell>
          <cell r="M112">
            <v>7</v>
          </cell>
          <cell r="N112">
            <v>-26</v>
          </cell>
          <cell r="O112">
            <v>-5</v>
          </cell>
          <cell r="P112">
            <v>1151</v>
          </cell>
          <cell r="Q112">
            <v>0.28931364031277151</v>
          </cell>
          <cell r="R112">
            <v>333</v>
          </cell>
          <cell r="S112">
            <v>1</v>
          </cell>
          <cell r="T112">
            <v>817</v>
          </cell>
          <cell r="U112">
            <v>3932.3999999999996</v>
          </cell>
          <cell r="V112">
            <v>0.20776116366595465</v>
          </cell>
        </row>
        <row r="113">
          <cell r="A113" t="str">
            <v xml:space="preserve"> 2Q (e)</v>
          </cell>
          <cell r="B113">
            <v>3298</v>
          </cell>
          <cell r="C113">
            <v>481</v>
          </cell>
          <cell r="D113">
            <v>3779</v>
          </cell>
          <cell r="E113">
            <v>476</v>
          </cell>
          <cell r="F113">
            <v>2822</v>
          </cell>
          <cell r="G113">
            <v>1565</v>
          </cell>
          <cell r="H113">
            <v>667</v>
          </cell>
          <cell r="I113">
            <v>1071</v>
          </cell>
          <cell r="J113">
            <v>72</v>
          </cell>
          <cell r="K113">
            <v>-53</v>
          </cell>
          <cell r="L113">
            <v>-10</v>
          </cell>
          <cell r="M113">
            <v>4</v>
          </cell>
          <cell r="N113">
            <v>-56</v>
          </cell>
          <cell r="O113">
            <v>-43</v>
          </cell>
          <cell r="P113">
            <v>1028</v>
          </cell>
          <cell r="Q113">
            <v>0.2898832684824903</v>
          </cell>
          <cell r="R113">
            <v>298</v>
          </cell>
          <cell r="S113">
            <v>1</v>
          </cell>
          <cell r="T113">
            <v>729</v>
          </cell>
          <cell r="U113">
            <v>3912</v>
          </cell>
          <cell r="V113">
            <v>0.18634969325153375</v>
          </cell>
        </row>
        <row r="114">
          <cell r="A114" t="str">
            <v xml:space="preserve"> 3Q</v>
          </cell>
          <cell r="B114">
            <v>3423</v>
          </cell>
          <cell r="C114">
            <v>569</v>
          </cell>
          <cell r="D114">
            <v>3992</v>
          </cell>
          <cell r="E114">
            <v>499</v>
          </cell>
          <cell r="F114">
            <v>2924</v>
          </cell>
          <cell r="G114">
            <v>1472</v>
          </cell>
          <cell r="H114">
            <v>694</v>
          </cell>
          <cell r="I114">
            <v>1327</v>
          </cell>
          <cell r="J114">
            <v>76</v>
          </cell>
          <cell r="K114">
            <v>-61</v>
          </cell>
          <cell r="L114">
            <v>-11</v>
          </cell>
          <cell r="M114">
            <v>-14</v>
          </cell>
          <cell r="N114">
            <v>-40</v>
          </cell>
          <cell r="O114">
            <v>-50</v>
          </cell>
          <cell r="P114">
            <v>1277</v>
          </cell>
          <cell r="Q114">
            <v>0.28974158183241971</v>
          </cell>
          <cell r="R114">
            <v>370</v>
          </cell>
          <cell r="S114">
            <v>1</v>
          </cell>
          <cell r="T114">
            <v>906</v>
          </cell>
          <cell r="U114">
            <v>3893</v>
          </cell>
          <cell r="V114">
            <v>0.23272540457230928</v>
          </cell>
        </row>
        <row r="115">
          <cell r="A115" t="str">
            <v xml:space="preserve"> 4Q</v>
          </cell>
          <cell r="B115">
            <v>3887</v>
          </cell>
          <cell r="C115">
            <v>619</v>
          </cell>
          <cell r="D115">
            <v>4506</v>
          </cell>
          <cell r="E115">
            <v>696</v>
          </cell>
          <cell r="F115">
            <v>3191</v>
          </cell>
          <cell r="G115">
            <v>1745</v>
          </cell>
          <cell r="H115">
            <v>760</v>
          </cell>
          <cell r="I115">
            <v>1305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-1</v>
          </cell>
          <cell r="O115">
            <v>-1</v>
          </cell>
          <cell r="P115">
            <v>1304</v>
          </cell>
          <cell r="Q115">
            <v>0.26687116564417179</v>
          </cell>
          <cell r="R115">
            <v>348</v>
          </cell>
          <cell r="S115">
            <v>2</v>
          </cell>
          <cell r="T115">
            <v>954</v>
          </cell>
          <cell r="U115">
            <v>3878</v>
          </cell>
          <cell r="V115">
            <v>0.24600309437854564</v>
          </cell>
        </row>
        <row r="117">
          <cell r="A117" t="str">
            <v>Year</v>
          </cell>
          <cell r="B117">
            <v>14132</v>
          </cell>
          <cell r="C117">
            <v>2072</v>
          </cell>
          <cell r="D117">
            <v>16204</v>
          </cell>
          <cell r="E117">
            <v>2217</v>
          </cell>
          <cell r="F117">
            <v>11915</v>
          </cell>
          <cell r="G117">
            <v>6352</v>
          </cell>
          <cell r="H117">
            <v>2776</v>
          </cell>
          <cell r="I117">
            <v>4859</v>
          </cell>
          <cell r="J117">
            <v>214</v>
          </cell>
          <cell r="K117">
            <v>-155</v>
          </cell>
          <cell r="L117">
            <v>-32</v>
          </cell>
          <cell r="M117">
            <v>-3</v>
          </cell>
          <cell r="N117">
            <v>-123</v>
          </cell>
          <cell r="O117">
            <v>-99</v>
          </cell>
          <cell r="P117">
            <v>4760</v>
          </cell>
          <cell r="Q117">
            <v>0.28340336134453781</v>
          </cell>
          <cell r="R117">
            <v>1349</v>
          </cell>
          <cell r="S117">
            <v>5</v>
          </cell>
          <cell r="T117">
            <v>3406</v>
          </cell>
          <cell r="U117">
            <v>3903.85</v>
          </cell>
          <cell r="V117">
            <v>0.87283935586834327</v>
          </cell>
        </row>
        <row r="120">
          <cell r="A120" t="str">
            <v>2000E/99</v>
          </cell>
        </row>
        <row r="121">
          <cell r="A121" t="str">
            <v xml:space="preserve"> 1QA</v>
          </cell>
          <cell r="B121">
            <v>3.5754824063564117E-2</v>
          </cell>
          <cell r="C121">
            <v>0.65012406947890811</v>
          </cell>
          <cell r="D121">
            <v>9.880315762668701E-2</v>
          </cell>
          <cell r="E121">
            <v>-0.10256410256410253</v>
          </cell>
          <cell r="F121">
            <v>6.1114842175957085E-2</v>
          </cell>
          <cell r="G121">
            <v>5.9235668789809015E-2</v>
          </cell>
          <cell r="H121">
            <v>8.7022900763358724E-2</v>
          </cell>
          <cell r="I121">
            <v>0.25432525951557095</v>
          </cell>
          <cell r="J121" t="str">
            <v xml:space="preserve">   NM </v>
          </cell>
          <cell r="K121" t="str">
            <v xml:space="preserve">   NM </v>
          </cell>
          <cell r="L121" t="str">
            <v xml:space="preserve">   NM </v>
          </cell>
          <cell r="M121" t="str">
            <v xml:space="preserve">   NM </v>
          </cell>
          <cell r="N121" t="str">
            <v xml:space="preserve">   NM </v>
          </cell>
          <cell r="O121" t="str">
            <v xml:space="preserve">   NM </v>
          </cell>
          <cell r="P121">
            <v>0.28410078192875754</v>
          </cell>
          <cell r="Q121">
            <v>-0.10665333804711341</v>
          </cell>
          <cell r="R121">
            <v>0.14714714714714705</v>
          </cell>
          <cell r="S121">
            <v>0</v>
          </cell>
          <cell r="T121">
            <v>0.34026927784577721</v>
          </cell>
          <cell r="U121">
            <v>-1.8512867460075189E-2</v>
          </cell>
          <cell r="V121">
            <v>0.3655495150276542</v>
          </cell>
        </row>
        <row r="122">
          <cell r="A122" t="str">
            <v xml:space="preserve"> 2QE</v>
          </cell>
          <cell r="B122">
            <v>7.9083418738629563E-2</v>
          </cell>
          <cell r="C122">
            <v>0.55171077962577986</v>
          </cell>
          <cell r="D122">
            <v>0.13924053982535067</v>
          </cell>
          <cell r="E122">
            <v>7.6616942352941031E-2</v>
          </cell>
          <cell r="F122">
            <v>7.9499450900070823E-2</v>
          </cell>
          <cell r="G122">
            <v>0.13337909265175729</v>
          </cell>
          <cell r="H122">
            <v>0.15536583208395816</v>
          </cell>
          <cell r="I122">
            <v>0.16559574737628435</v>
          </cell>
          <cell r="J122" t="str">
            <v xml:space="preserve">   NM </v>
          </cell>
          <cell r="K122" t="str">
            <v xml:space="preserve">   NM </v>
          </cell>
          <cell r="L122" t="str">
            <v xml:space="preserve">   NM </v>
          </cell>
          <cell r="M122" t="str">
            <v xml:space="preserve">   NM </v>
          </cell>
          <cell r="N122" t="str">
            <v xml:space="preserve">   NM </v>
          </cell>
          <cell r="O122" t="str">
            <v xml:space="preserve">   NM </v>
          </cell>
          <cell r="P122">
            <v>0.17544070568093439</v>
          </cell>
          <cell r="Q122">
            <v>-7.5489932885906108E-2</v>
          </cell>
          <cell r="R122">
            <v>8.6706765697718735E-2</v>
          </cell>
          <cell r="S122">
            <v>1</v>
          </cell>
          <cell r="T122">
            <v>0.21058220749256584</v>
          </cell>
          <cell r="U122">
            <v>-1.5000000000000013E-2</v>
          </cell>
          <cell r="V122">
            <v>0.22901746953559976</v>
          </cell>
        </row>
        <row r="123">
          <cell r="A123" t="str">
            <v xml:space="preserve"> 3QE</v>
          </cell>
          <cell r="B123">
            <v>0.10149968886941285</v>
          </cell>
          <cell r="C123">
            <v>0.41389905975395425</v>
          </cell>
          <cell r="D123">
            <v>0.14602755511022036</v>
          </cell>
          <cell r="E123">
            <v>0.10317290883767538</v>
          </cell>
          <cell r="F123">
            <v>0.10121414278043783</v>
          </cell>
          <cell r="G123">
            <v>0.18103122282608686</v>
          </cell>
          <cell r="H123">
            <v>0.14043943227665689</v>
          </cell>
          <cell r="I123">
            <v>0.12623646758854568</v>
          </cell>
          <cell r="J123" t="str">
            <v xml:space="preserve">   NM </v>
          </cell>
          <cell r="K123" t="str">
            <v xml:space="preserve">   NM </v>
          </cell>
          <cell r="L123" t="str">
            <v xml:space="preserve">   NM </v>
          </cell>
          <cell r="M123" t="str">
            <v xml:space="preserve">   NM </v>
          </cell>
          <cell r="N123" t="str">
            <v xml:space="preserve">   NM </v>
          </cell>
          <cell r="O123" t="str">
            <v xml:space="preserve">   NM </v>
          </cell>
          <cell r="P123">
            <v>0.1390100176115896</v>
          </cell>
          <cell r="Q123">
            <v>-7.5037837837837684E-2</v>
          </cell>
          <cell r="R123">
            <v>5.354116861437852E-2</v>
          </cell>
          <cell r="S123">
            <v>0</v>
          </cell>
          <cell r="T123">
            <v>0.17406794713320095</v>
          </cell>
          <cell r="U123">
            <v>-1.361417929617259E-2</v>
          </cell>
          <cell r="V123">
            <v>0.1902725307785289</v>
          </cell>
        </row>
        <row r="124">
          <cell r="A124" t="str">
            <v xml:space="preserve"> 4QE</v>
          </cell>
          <cell r="B124">
            <v>0.11998750964754312</v>
          </cell>
          <cell r="C124">
            <v>0.42757016155088823</v>
          </cell>
          <cell r="D124">
            <v>0.16224087438970236</v>
          </cell>
          <cell r="E124">
            <v>7.1054998994251051E-3</v>
          </cell>
          <cell r="F124">
            <v>0.1446085935662802</v>
          </cell>
          <cell r="G124">
            <v>0.15800028306704883</v>
          </cell>
          <cell r="H124">
            <v>0.22777233699999977</v>
          </cell>
          <cell r="I124">
            <v>0.2124861931019153</v>
          </cell>
          <cell r="J124" t="str">
            <v xml:space="preserve">   NM </v>
          </cell>
          <cell r="K124" t="str">
            <v xml:space="preserve">   NM </v>
          </cell>
          <cell r="L124" t="str">
            <v xml:space="preserve">   NM </v>
          </cell>
          <cell r="M124" t="str">
            <v xml:space="preserve">   NM </v>
          </cell>
          <cell r="N124" t="str">
            <v xml:space="preserve">   NM </v>
          </cell>
          <cell r="O124" t="str">
            <v xml:space="preserve">   NM </v>
          </cell>
          <cell r="P124">
            <v>0.18274116717637989</v>
          </cell>
          <cell r="Q124">
            <v>-3.264367816091962E-3</v>
          </cell>
          <cell r="R124">
            <v>0.17888026497548237</v>
          </cell>
          <cell r="S124">
            <v>-0.5</v>
          </cell>
          <cell r="T124">
            <v>0.18558086979720279</v>
          </cell>
          <cell r="U124">
            <v>-1.1088189788550751E-2</v>
          </cell>
          <cell r="V124">
            <v>0.1988742146215261</v>
          </cell>
        </row>
        <row r="126">
          <cell r="A126" t="str">
            <v>Year</v>
          </cell>
          <cell r="B126">
            <v>8.4959099915086322E-2</v>
          </cell>
          <cell r="C126">
            <v>0.4959205501930502</v>
          </cell>
          <cell r="D126">
            <v>0.13750860157985681</v>
          </cell>
          <cell r="E126">
            <v>1.6643380243572339E-2</v>
          </cell>
          <cell r="F126">
            <v>9.7670467981535836E-2</v>
          </cell>
          <cell r="G126">
            <v>0.13286000219647359</v>
          </cell>
          <cell r="H126">
            <v>0.15533175508645525</v>
          </cell>
          <cell r="I126">
            <v>0.18854976742704233</v>
          </cell>
          <cell r="J126" t="str">
            <v xml:space="preserve">   NM </v>
          </cell>
          <cell r="K126" t="str">
            <v xml:space="preserve">   NM </v>
          </cell>
          <cell r="L126" t="str">
            <v xml:space="preserve">   NM </v>
          </cell>
          <cell r="M126" t="str">
            <v xml:space="preserve">   NM </v>
          </cell>
          <cell r="N126" t="str">
            <v xml:space="preserve">     NM </v>
          </cell>
          <cell r="O126" t="str">
            <v xml:space="preserve">     NM </v>
          </cell>
          <cell r="P126">
            <v>0.19394187393445347</v>
          </cell>
          <cell r="Q126">
            <v>-6.5023353595336938E-2</v>
          </cell>
          <cell r="R126">
            <v>0.11630776929333425</v>
          </cell>
          <cell r="S126">
            <v>0</v>
          </cell>
          <cell r="T126">
            <v>0.22497479129515288</v>
          </cell>
          <cell r="U126">
            <v>-1.4567670376679387E-2</v>
          </cell>
          <cell r="V126">
            <v>0.24256050820838912</v>
          </cell>
        </row>
        <row r="128">
          <cell r="A128" t="str">
            <v>2000E</v>
          </cell>
        </row>
        <row r="129">
          <cell r="A129" t="str">
            <v xml:space="preserve"> 1QA</v>
          </cell>
          <cell r="B129">
            <v>3650</v>
          </cell>
          <cell r="C129">
            <v>665</v>
          </cell>
          <cell r="D129">
            <v>4315</v>
          </cell>
          <cell r="E129">
            <v>490</v>
          </cell>
          <cell r="F129">
            <v>3160</v>
          </cell>
          <cell r="G129">
            <v>1663</v>
          </cell>
          <cell r="H129">
            <v>712</v>
          </cell>
          <cell r="I129">
            <v>1450</v>
          </cell>
          <cell r="J129">
            <v>75</v>
          </cell>
          <cell r="N129">
            <v>-47</v>
          </cell>
          <cell r="O129">
            <v>28</v>
          </cell>
          <cell r="P129">
            <v>1478</v>
          </cell>
          <cell r="Q129">
            <v>0.25845737483085252</v>
          </cell>
          <cell r="R129">
            <v>382</v>
          </cell>
          <cell r="S129">
            <v>1</v>
          </cell>
          <cell r="T129">
            <v>1095</v>
          </cell>
          <cell r="U129">
            <v>3859.6</v>
          </cell>
          <cell r="V129">
            <v>0.28370815628562546</v>
          </cell>
        </row>
        <row r="130">
          <cell r="A130" t="str">
            <v xml:space="preserve"> 2QE</v>
          </cell>
          <cell r="B130">
            <v>3558.8171150000003</v>
          </cell>
          <cell r="C130">
            <v>746.37288500000011</v>
          </cell>
          <cell r="D130">
            <v>4305.1900000000005</v>
          </cell>
          <cell r="E130">
            <v>512.46966455999996</v>
          </cell>
          <cell r="F130">
            <v>3046.3474504400001</v>
          </cell>
          <cell r="G130">
            <v>1773.73828</v>
          </cell>
          <cell r="H130">
            <v>770.62901000000011</v>
          </cell>
          <cell r="I130">
            <v>1248.3530454400006</v>
          </cell>
          <cell r="J130">
            <v>45</v>
          </cell>
          <cell r="K130">
            <v>0</v>
          </cell>
          <cell r="L130">
            <v>0</v>
          </cell>
          <cell r="M130">
            <v>0</v>
          </cell>
          <cell r="N130">
            <v>-85</v>
          </cell>
          <cell r="O130">
            <v>-40</v>
          </cell>
          <cell r="P130">
            <v>1208.3530454400006</v>
          </cell>
          <cell r="Q130">
            <v>0.26800000000000002</v>
          </cell>
          <cell r="R130">
            <v>323.83861617792019</v>
          </cell>
          <cell r="S130">
            <v>2</v>
          </cell>
          <cell r="T130">
            <v>882.51442926208051</v>
          </cell>
          <cell r="U130">
            <v>3853.32</v>
          </cell>
          <cell r="V130">
            <v>0.22902702844873524</v>
          </cell>
        </row>
        <row r="131">
          <cell r="A131" t="str">
            <v xml:space="preserve"> 3QE</v>
          </cell>
          <cell r="B131">
            <v>3770.4334349999999</v>
          </cell>
          <cell r="C131">
            <v>804.50856499999998</v>
          </cell>
          <cell r="D131">
            <v>4574.942</v>
          </cell>
          <cell r="E131">
            <v>550.48328150999998</v>
          </cell>
          <cell r="F131">
            <v>3219.95015349</v>
          </cell>
          <cell r="G131">
            <v>1738.4779599999999</v>
          </cell>
          <cell r="H131">
            <v>791.46496599999989</v>
          </cell>
          <cell r="I131">
            <v>1494.51579249</v>
          </cell>
          <cell r="J131">
            <v>40</v>
          </cell>
          <cell r="K131">
            <v>0</v>
          </cell>
          <cell r="L131">
            <v>0</v>
          </cell>
          <cell r="M131">
            <v>0</v>
          </cell>
          <cell r="N131">
            <v>-80</v>
          </cell>
          <cell r="O131">
            <v>-40</v>
          </cell>
          <cell r="P131">
            <v>1454.51579249</v>
          </cell>
          <cell r="Q131">
            <v>0.26800000000000002</v>
          </cell>
          <cell r="R131">
            <v>389.81023238732001</v>
          </cell>
          <cell r="S131">
            <v>1</v>
          </cell>
          <cell r="T131">
            <v>1063.70556010268</v>
          </cell>
          <cell r="U131">
            <v>3840</v>
          </cell>
          <cell r="V131">
            <v>0.27700665627673959</v>
          </cell>
        </row>
        <row r="132">
          <cell r="A132" t="str">
            <v xml:space="preserve"> 4QE</v>
          </cell>
          <cell r="B132">
            <v>4353.3914500000001</v>
          </cell>
          <cell r="C132">
            <v>883.66592999999978</v>
          </cell>
          <cell r="D132">
            <v>5237.0573799999993</v>
          </cell>
          <cell r="E132">
            <v>700.94542792999994</v>
          </cell>
          <cell r="F132">
            <v>3652.4460220700003</v>
          </cell>
          <cell r="G132">
            <v>2020.7104939520002</v>
          </cell>
          <cell r="H132">
            <v>933.10697611999979</v>
          </cell>
          <cell r="I132">
            <v>1582.2944819979994</v>
          </cell>
          <cell r="J132">
            <v>45</v>
          </cell>
          <cell r="K132">
            <v>0</v>
          </cell>
          <cell r="L132">
            <v>0</v>
          </cell>
          <cell r="M132">
            <v>0</v>
          </cell>
          <cell r="N132">
            <v>-85</v>
          </cell>
          <cell r="O132">
            <v>-40</v>
          </cell>
          <cell r="P132">
            <v>1542.2944819979994</v>
          </cell>
          <cell r="Q132">
            <v>0.26600000000000001</v>
          </cell>
          <cell r="R132">
            <v>410.25033221146788</v>
          </cell>
          <cell r="S132">
            <v>1</v>
          </cell>
          <cell r="T132">
            <v>1131.0441497865315</v>
          </cell>
          <cell r="U132">
            <v>3835</v>
          </cell>
          <cell r="V132">
            <v>0.29492676656754407</v>
          </cell>
        </row>
        <row r="134">
          <cell r="A134" t="str">
            <v>Year</v>
          </cell>
          <cell r="B134">
            <v>15332.642</v>
          </cell>
          <cell r="C134">
            <v>3099.54738</v>
          </cell>
          <cell r="D134">
            <v>18432.18938</v>
          </cell>
          <cell r="E134">
            <v>2253.8983739999999</v>
          </cell>
          <cell r="F134">
            <v>13078.743625999999</v>
          </cell>
          <cell r="G134">
            <v>7195.9267339520002</v>
          </cell>
          <cell r="H134">
            <v>3207.2009521199998</v>
          </cell>
          <cell r="I134">
            <v>5775.1633199279986</v>
          </cell>
          <cell r="J134">
            <v>205</v>
          </cell>
          <cell r="K134">
            <v>0</v>
          </cell>
          <cell r="L134">
            <v>0</v>
          </cell>
          <cell r="M134">
            <v>0</v>
          </cell>
          <cell r="N134">
            <v>-297</v>
          </cell>
          <cell r="O134">
            <v>-92</v>
          </cell>
          <cell r="P134">
            <v>5683.1633199279986</v>
          </cell>
          <cell r="Q134">
            <v>0.26497552436972488</v>
          </cell>
          <cell r="R134">
            <v>1505.8991807767079</v>
          </cell>
          <cell r="S134">
            <v>5</v>
          </cell>
          <cell r="T134">
            <v>4172.2641391512907</v>
          </cell>
          <cell r="U134">
            <v>3846.98</v>
          </cell>
          <cell r="V134">
            <v>1.0845557136120516</v>
          </cell>
        </row>
        <row r="137">
          <cell r="A137" t="str">
            <v>2001E/00E</v>
          </cell>
          <cell r="B137">
            <v>0.10867275515856961</v>
          </cell>
          <cell r="C137">
            <v>0.32793197128027118</v>
          </cell>
          <cell r="D137">
            <v>0.14554327091012131</v>
          </cell>
          <cell r="E137">
            <v>0.10414756023955513</v>
          </cell>
          <cell r="F137">
            <v>0.1094525953146015</v>
          </cell>
          <cell r="G137">
            <v>0.13967470907144239</v>
          </cell>
          <cell r="H137">
            <v>0.13895968889339649</v>
          </cell>
          <cell r="I137">
            <v>0.17266741058035989</v>
          </cell>
          <cell r="J137" t="str">
            <v xml:space="preserve">   NM </v>
          </cell>
          <cell r="K137" t="str">
            <v xml:space="preserve">   NM </v>
          </cell>
          <cell r="L137" t="str">
            <v xml:space="preserve">   NM </v>
          </cell>
          <cell r="M137" t="str">
            <v xml:space="preserve">   NM </v>
          </cell>
          <cell r="N137" t="str">
            <v xml:space="preserve">     NM </v>
          </cell>
          <cell r="O137" t="str">
            <v xml:space="preserve">     NM </v>
          </cell>
          <cell r="P137">
            <v>0.19165074709562299</v>
          </cell>
          <cell r="Q137">
            <v>0</v>
          </cell>
          <cell r="R137">
            <v>0.19165074709562296</v>
          </cell>
          <cell r="S137">
            <v>0</v>
          </cell>
          <cell r="T137">
            <v>0.19188041945181109</v>
          </cell>
          <cell r="U137">
            <v>-9.8778782317558191E-3</v>
          </cell>
          <cell r="V137">
            <v>0.20377112403392217</v>
          </cell>
        </row>
        <row r="138">
          <cell r="A138" t="str">
            <v>2002E/01E</v>
          </cell>
          <cell r="B138">
            <v>0.13016283617515098</v>
          </cell>
          <cell r="C138">
            <v>0.17891196463058037</v>
          </cell>
          <cell r="D138">
            <v>0.13966565697895919</v>
          </cell>
          <cell r="E138">
            <v>0.11935526806965083</v>
          </cell>
          <cell r="F138">
            <v>0.13201643033007737</v>
          </cell>
          <cell r="G138">
            <v>0.1267549234807423</v>
          </cell>
          <cell r="H138">
            <v>0.11331500595054401</v>
          </cell>
          <cell r="I138">
            <v>0.17697649123310238</v>
          </cell>
          <cell r="J138" t="str">
            <v xml:space="preserve">   NM </v>
          </cell>
          <cell r="K138" t="str">
            <v xml:space="preserve">   NM </v>
          </cell>
          <cell r="L138" t="str">
            <v xml:space="preserve">   NM </v>
          </cell>
          <cell r="M138" t="str">
            <v xml:space="preserve">   NM </v>
          </cell>
          <cell r="N138" t="str">
            <v xml:space="preserve">     NM </v>
          </cell>
          <cell r="O138" t="str">
            <v xml:space="preserve">     NM </v>
          </cell>
          <cell r="P138">
            <v>0.17697649123310238</v>
          </cell>
          <cell r="Q138">
            <v>0</v>
          </cell>
          <cell r="R138">
            <v>0.17697649123310233</v>
          </cell>
          <cell r="S138">
            <v>0</v>
          </cell>
          <cell r="T138">
            <v>0.17715443431356026</v>
          </cell>
          <cell r="U138">
            <v>-2.6253747722487387E-3</v>
          </cell>
          <cell r="V138">
            <v>0.18025304087193528</v>
          </cell>
        </row>
        <row r="139">
          <cell r="A139" t="str">
            <v>2003E/02E</v>
          </cell>
          <cell r="B139">
            <v>0.12820518231193506</v>
          </cell>
          <cell r="C139">
            <v>0.17661022906047577</v>
          </cell>
          <cell r="D139">
            <v>0.13796586606812047</v>
          </cell>
          <cell r="E139">
            <v>0.11264373152142552</v>
          </cell>
          <cell r="F139">
            <v>0.13084425876178751</v>
          </cell>
          <cell r="G139">
            <v>0.12611205496324418</v>
          </cell>
          <cell r="H139">
            <v>0.11103176272923007</v>
          </cell>
          <cell r="I139">
            <v>0.17429933811594653</v>
          </cell>
          <cell r="J139" t="str">
            <v xml:space="preserve">   NM </v>
          </cell>
          <cell r="K139" t="str">
            <v xml:space="preserve">   NM </v>
          </cell>
          <cell r="L139" t="str">
            <v xml:space="preserve">   NM </v>
          </cell>
          <cell r="M139" t="str">
            <v xml:space="preserve">   NM </v>
          </cell>
          <cell r="N139" t="str">
            <v xml:space="preserve">     NM </v>
          </cell>
          <cell r="O139" t="str">
            <v xml:space="preserve">     NM </v>
          </cell>
          <cell r="P139">
            <v>0.17429933811594653</v>
          </cell>
          <cell r="Q139">
            <v>0</v>
          </cell>
          <cell r="R139">
            <v>0.17429933811594664</v>
          </cell>
          <cell r="S139">
            <v>0</v>
          </cell>
          <cell r="T139">
            <v>0.17444821518804049</v>
          </cell>
          <cell r="U139">
            <v>-2.6322855082153629E-3</v>
          </cell>
          <cell r="V139">
            <v>0.17754785734816803</v>
          </cell>
        </row>
        <row r="140">
          <cell r="A140" t="str">
            <v>2004E/03E</v>
          </cell>
          <cell r="B140">
            <v>0.11844127574052477</v>
          </cell>
          <cell r="C140">
            <v>-2.6458629046232973E-2</v>
          </cell>
          <cell r="D140">
            <v>8.8230555271552907E-2</v>
          </cell>
          <cell r="E140">
            <v>0.11062000807800365</v>
          </cell>
          <cell r="F140">
            <v>0.11974634140649977</v>
          </cell>
          <cell r="G140">
            <v>7.9639261414146012E-2</v>
          </cell>
          <cell r="H140">
            <v>7.1742213525014115E-2</v>
          </cell>
          <cell r="I140">
            <v>9.8326990327150865E-2</v>
          </cell>
          <cell r="J140" t="str">
            <v xml:space="preserve">   NM </v>
          </cell>
          <cell r="K140" t="str">
            <v xml:space="preserve">   NM </v>
          </cell>
          <cell r="L140" t="str">
            <v xml:space="preserve">   NM </v>
          </cell>
          <cell r="M140" t="str">
            <v xml:space="preserve">   NM </v>
          </cell>
          <cell r="N140" t="str">
            <v xml:space="preserve">     NM </v>
          </cell>
          <cell r="O140" t="str">
            <v xml:space="preserve">     NM </v>
          </cell>
          <cell r="P140">
            <v>9.8326990327150865E-2</v>
          </cell>
          <cell r="Q140">
            <v>0</v>
          </cell>
          <cell r="R140">
            <v>9.832699032715092E-2</v>
          </cell>
          <cell r="S140">
            <v>0</v>
          </cell>
          <cell r="T140">
            <v>9.8398501014935288E-2</v>
          </cell>
          <cell r="U140">
            <v>-2.6392327222629838E-3</v>
          </cell>
          <cell r="V140">
            <v>0.10130510147594585</v>
          </cell>
        </row>
        <row r="141">
          <cell r="A141" t="str">
            <v>2005E/04E</v>
          </cell>
          <cell r="B141">
            <v>0.10320762163567586</v>
          </cell>
          <cell r="C141">
            <v>0.105706045078688</v>
          </cell>
          <cell r="D141">
            <v>0.10367362872602993</v>
          </cell>
          <cell r="E141">
            <v>0.10320762163567578</v>
          </cell>
          <cell r="F141">
            <v>0.10320762163567582</v>
          </cell>
          <cell r="G141">
            <v>9.781859621289446E-2</v>
          </cell>
          <cell r="H141">
            <v>8.6694034437937217E-2</v>
          </cell>
          <cell r="I141">
            <v>0.11822599634044012</v>
          </cell>
          <cell r="J141" t="str">
            <v xml:space="preserve">   NM </v>
          </cell>
          <cell r="K141" t="str">
            <v xml:space="preserve">   NM </v>
          </cell>
          <cell r="L141" t="str">
            <v xml:space="preserve">   NM </v>
          </cell>
          <cell r="M141" t="str">
            <v xml:space="preserve">   NM </v>
          </cell>
          <cell r="N141" t="str">
            <v xml:space="preserve">     NM </v>
          </cell>
          <cell r="O141" t="str">
            <v xml:space="preserve">     NM </v>
          </cell>
          <cell r="P141">
            <v>0.11822599634044012</v>
          </cell>
          <cell r="Q141">
            <v>0</v>
          </cell>
          <cell r="R141">
            <v>0.11822599634044002</v>
          </cell>
          <cell r="S141">
            <v>0</v>
          </cell>
          <cell r="T141">
            <v>0.11830427642030758</v>
          </cell>
          <cell r="U141">
            <v>-2.6462167039783221E-3</v>
          </cell>
          <cell r="V141">
            <v>0.1212714035380431</v>
          </cell>
        </row>
        <row r="143">
          <cell r="A143" t="str">
            <v>2001E</v>
          </cell>
          <cell r="B143">
            <v>16998.882450000001</v>
          </cell>
          <cell r="C143">
            <v>4115.9880623999998</v>
          </cell>
          <cell r="D143">
            <v>21114.870512400001</v>
          </cell>
          <cell r="E143">
            <v>2488.6363906800002</v>
          </cell>
          <cell r="F143">
            <v>14510.246059320001</v>
          </cell>
          <cell r="G143">
            <v>8201.0157070161604</v>
          </cell>
          <cell r="H143">
            <v>3652.8725986452</v>
          </cell>
          <cell r="I143">
            <v>6772.3458160586406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6772.3458160586406</v>
          </cell>
          <cell r="Q143">
            <v>0.26497552436972488</v>
          </cell>
          <cell r="R143">
            <v>1794.5058838232505</v>
          </cell>
          <cell r="S143">
            <v>5</v>
          </cell>
          <cell r="T143">
            <v>4972.8399322353898</v>
          </cell>
          <cell r="U143">
            <v>3808.98</v>
          </cell>
          <cell r="V143">
            <v>1.3055568504521919</v>
          </cell>
        </row>
        <row r="144">
          <cell r="A144" t="str">
            <v>2002E</v>
          </cell>
          <cell r="B144">
            <v>19211.5052015</v>
          </cell>
          <cell r="C144">
            <v>4852.3875730399996</v>
          </cell>
          <cell r="D144">
            <v>24063.89277454</v>
          </cell>
          <cell r="E144">
            <v>2785.6682542174999</v>
          </cell>
          <cell r="F144">
            <v>16425.8369472825</v>
          </cell>
          <cell r="G144">
            <v>9240.5348254233595</v>
          </cell>
          <cell r="H144">
            <v>4066.79787889726</v>
          </cell>
          <cell r="I144">
            <v>7970.8918160018802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7970.8918160018802</v>
          </cell>
          <cell r="Q144">
            <v>0.26497552436972488</v>
          </cell>
          <cell r="R144">
            <v>2112.0912386394466</v>
          </cell>
          <cell r="S144">
            <v>5</v>
          </cell>
          <cell r="T144">
            <v>5853.8005773624336</v>
          </cell>
          <cell r="U144">
            <v>3798.98</v>
          </cell>
          <cell r="V144">
            <v>1.540887442777386</v>
          </cell>
        </row>
        <row r="145">
          <cell r="A145" t="str">
            <v>2003E</v>
          </cell>
          <cell r="B145">
            <v>21674.519728344996</v>
          </cell>
          <cell r="C145">
            <v>5709.3688538048</v>
          </cell>
          <cell r="D145">
            <v>27383.888582149797</v>
          </cell>
          <cell r="E145">
            <v>3099.4563211533341</v>
          </cell>
          <cell r="F145">
            <v>18575.063407191661</v>
          </cell>
          <cell r="G145">
            <v>10405.877661216922</v>
          </cell>
          <cell r="H145">
            <v>4518.3416160547167</v>
          </cell>
          <cell r="I145">
            <v>9360.2129837248231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9360.2129837248231</v>
          </cell>
          <cell r="Q145">
            <v>0.26497552436972488</v>
          </cell>
          <cell r="R145">
            <v>2480.227343574792</v>
          </cell>
          <cell r="S145">
            <v>5</v>
          </cell>
          <cell r="T145">
            <v>6874.985640150031</v>
          </cell>
          <cell r="U145">
            <v>3788.98</v>
          </cell>
          <cell r="V145">
            <v>1.8144687066572087</v>
          </cell>
        </row>
        <row r="146">
          <cell r="A146" t="str">
            <v>2004E</v>
          </cell>
          <cell r="B146">
            <v>24241.67749603335</v>
          </cell>
          <cell r="C146">
            <v>5558.3067812138625</v>
          </cell>
          <cell r="D146">
            <v>29799.984277247211</v>
          </cell>
          <cell r="E146">
            <v>3442.3182044367354</v>
          </cell>
          <cell r="F146">
            <v>20799.359291596615</v>
          </cell>
          <cell r="G146">
            <v>11234.594072522199</v>
          </cell>
          <cell r="H146">
            <v>4842.4974450526715</v>
          </cell>
          <cell r="I146">
            <v>10280.574555235606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10280.574555235606</v>
          </cell>
          <cell r="Q146">
            <v>0.26497552436972488</v>
          </cell>
          <cell r="R146">
            <v>2724.1006335956058</v>
          </cell>
          <cell r="S146">
            <v>5</v>
          </cell>
          <cell r="T146">
            <v>7551.4739216399994</v>
          </cell>
          <cell r="U146">
            <v>3778.98</v>
          </cell>
          <cell r="V146">
            <v>1.9982836431100455</v>
          </cell>
        </row>
        <row r="147">
          <cell r="A147" t="str">
            <v>2005E</v>
          </cell>
          <cell r="B147">
            <v>26743.603374858038</v>
          </cell>
          <cell r="C147">
            <v>6145.8534083900322</v>
          </cell>
          <cell r="D147">
            <v>32889.456783248068</v>
          </cell>
          <cell r="E147">
            <v>3797.5916792298408</v>
          </cell>
          <cell r="F147">
            <v>22946.011695628196</v>
          </cell>
          <cell r="G147">
            <v>12333.546293718025</v>
          </cell>
          <cell r="H147">
            <v>5262.3130853196908</v>
          </cell>
          <cell r="I147">
            <v>11496.005724980512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11496.005724980512</v>
          </cell>
          <cell r="Q147">
            <v>0.26497552436972488</v>
          </cell>
          <cell r="R147">
            <v>3046.1601451340703</v>
          </cell>
          <cell r="S147">
            <v>5</v>
          </cell>
          <cell r="T147">
            <v>8444.845579846442</v>
          </cell>
          <cell r="U147">
            <v>3768.98</v>
          </cell>
          <cell r="V147">
            <v>2.2406183051771147</v>
          </cell>
        </row>
        <row r="149">
          <cell r="A149" t="str">
            <v>Notes:</v>
          </cell>
        </row>
        <row r="150">
          <cell r="A150" t="str">
            <v>(a)  1994 and 1995 quarters have been restated for the divestiture of the Food Science Group, but not for the Medical Technology group.</v>
          </cell>
        </row>
        <row r="151">
          <cell r="A151" t="str">
            <v>(b) Alliance revenues include Lipitor, Aricept, and Celebrex profits.</v>
          </cell>
        </row>
        <row r="152">
          <cell r="A152" t="str">
            <v>(c)  Gross Profit excludes Alliance Revenues.</v>
          </cell>
        </row>
        <row r="153">
          <cell r="A153" t="str">
            <v>(d) Operating Income includes Alliance Revenues.</v>
          </cell>
        </row>
        <row r="154">
          <cell r="A154" t="str">
            <v>(e) In 2Q99, fine of $20 million aftertax paid to settle antitrust charges related to former Food Science Group.  It is reflected in discontinued operations.</v>
          </cell>
        </row>
        <row r="156">
          <cell r="A156" t="str">
            <v>E = Morgan Stanley Dean Witter Research Estimates       A = Actual       NM = Not Meaningful</v>
          </cell>
        </row>
      </sheetData>
      <sheetData sheetId="6" refreshError="1">
        <row r="1">
          <cell r="A1" t="str">
            <v>Table 4</v>
          </cell>
        </row>
        <row r="2">
          <cell r="A2" t="str">
            <v>Pfizer</v>
          </cell>
        </row>
        <row r="3">
          <cell r="A3" t="str">
            <v>Quarterly Margin Analysis 1998-2005E</v>
          </cell>
        </row>
        <row r="5">
          <cell r="D5" t="str">
            <v xml:space="preserve">  Gross</v>
          </cell>
          <cell r="G5" t="str">
            <v xml:space="preserve">Oper. </v>
          </cell>
          <cell r="H5" t="str">
            <v>Non-Operating Items</v>
          </cell>
        </row>
        <row r="6">
          <cell r="B6" t="str">
            <v xml:space="preserve">Total </v>
          </cell>
          <cell r="C6" t="str">
            <v xml:space="preserve"> Cost of</v>
          </cell>
          <cell r="D6" t="str">
            <v xml:space="preserve">  Profit</v>
          </cell>
          <cell r="G6" t="str">
            <v>Income</v>
          </cell>
          <cell r="H6" t="str">
            <v>Interest</v>
          </cell>
          <cell r="I6" t="str">
            <v>Interest</v>
          </cell>
          <cell r="L6" t="str">
            <v xml:space="preserve">  Other</v>
          </cell>
          <cell r="N6" t="str">
            <v>Pretax</v>
          </cell>
          <cell r="O6" t="str">
            <v xml:space="preserve">   Net</v>
          </cell>
        </row>
        <row r="7">
          <cell r="B7" t="str">
            <v>Sales</v>
          </cell>
          <cell r="C7" t="str">
            <v xml:space="preserve">   Goods</v>
          </cell>
          <cell r="D7" t="str">
            <v xml:space="preserve"> (c)</v>
          </cell>
          <cell r="E7" t="str">
            <v xml:space="preserve">   SG&amp;A</v>
          </cell>
          <cell r="F7" t="str">
            <v xml:space="preserve">    R&amp;D</v>
          </cell>
          <cell r="G7" t="str">
            <v xml:space="preserve">(d)    </v>
          </cell>
          <cell r="H7" t="str">
            <v>Income</v>
          </cell>
          <cell r="I7" t="str">
            <v>Expense</v>
          </cell>
          <cell r="J7" t="str">
            <v>Amort</v>
          </cell>
          <cell r="K7" t="str">
            <v>FX</v>
          </cell>
          <cell r="L7" t="str">
            <v xml:space="preserve">  (d)</v>
          </cell>
          <cell r="M7" t="str">
            <v xml:space="preserve">  Total</v>
          </cell>
          <cell r="N7" t="str">
            <v xml:space="preserve"> Income</v>
          </cell>
          <cell r="O7" t="str">
            <v xml:space="preserve"> Income</v>
          </cell>
        </row>
        <row r="9">
          <cell r="A9" t="str">
            <v>1994 (a)</v>
          </cell>
        </row>
        <row r="10">
          <cell r="A10" t="str">
            <v xml:space="preserve"> 1Q</v>
          </cell>
          <cell r="B10">
            <v>1</v>
          </cell>
          <cell r="C10">
            <v>0.20066977133587988</v>
          </cell>
          <cell r="D10">
            <v>0.79933022866412018</v>
          </cell>
          <cell r="E10">
            <v>0.37454868923656531</v>
          </cell>
          <cell r="F10">
            <v>0.13159960232326934</v>
          </cell>
          <cell r="H10">
            <v>1.2034953691591231E-2</v>
          </cell>
          <cell r="I10">
            <v>-1.7790801109308776E-2</v>
          </cell>
          <cell r="J10">
            <v>-1.5697765684684214E-3</v>
          </cell>
          <cell r="K10">
            <v>-1.0465177123122808E-3</v>
          </cell>
          <cell r="L10">
            <v>-1.0517503008738424E-2</v>
          </cell>
          <cell r="M10">
            <v>-1.8889644707236673E-2</v>
          </cell>
          <cell r="N10">
            <v>0.27429229239704878</v>
          </cell>
          <cell r="O10">
            <v>0.19177437078122545</v>
          </cell>
        </row>
        <row r="11">
          <cell r="A11" t="str">
            <v xml:space="preserve"> 2Q</v>
          </cell>
          <cell r="B11">
            <v>1</v>
          </cell>
          <cell r="C11">
            <v>0.22478604701549126</v>
          </cell>
          <cell r="D11">
            <v>0.77521395298450879</v>
          </cell>
          <cell r="E11">
            <v>0.42433105839020691</v>
          </cell>
          <cell r="F11">
            <v>0.1401798288376124</v>
          </cell>
          <cell r="H11">
            <v>1.516628750947893E-2</v>
          </cell>
          <cell r="I11">
            <v>-1.6249593760155997E-2</v>
          </cell>
          <cell r="J11">
            <v>-1.6249593760155996E-3</v>
          </cell>
          <cell r="K11">
            <v>-2.1666125013541327E-3</v>
          </cell>
          <cell r="L11">
            <v>-1.1537211569710758E-2</v>
          </cell>
          <cell r="M11">
            <v>-1.6412089697757554E-2</v>
          </cell>
          <cell r="N11">
            <v>0.19429097605893189</v>
          </cell>
          <cell r="O11">
            <v>0.13497995883436251</v>
          </cell>
        </row>
        <row r="12">
          <cell r="A12" t="str">
            <v xml:space="preserve"> 3Q</v>
          </cell>
          <cell r="B12">
            <v>1</v>
          </cell>
          <cell r="C12">
            <v>0.21453132007773956</v>
          </cell>
          <cell r="D12">
            <v>0.78546867992226044</v>
          </cell>
          <cell r="E12">
            <v>0.38879752828026115</v>
          </cell>
          <cell r="F12">
            <v>0.14586136442916231</v>
          </cell>
          <cell r="H12">
            <v>1.6943240145512534E-2</v>
          </cell>
          <cell r="I12">
            <v>-1.5946578960482384E-2</v>
          </cell>
          <cell r="J12">
            <v>-1.993322370060298E-3</v>
          </cell>
          <cell r="K12">
            <v>4.983305925150745E-4</v>
          </cell>
          <cell r="L12">
            <v>-1.1062939153834654E-2</v>
          </cell>
          <cell r="M12">
            <v>-1.1561269746349728E-2</v>
          </cell>
          <cell r="N12">
            <v>0.23924851746648729</v>
          </cell>
          <cell r="O12">
            <v>0.16694074849254997</v>
          </cell>
        </row>
        <row r="13">
          <cell r="A13" t="str">
            <v xml:space="preserve"> 4Q</v>
          </cell>
          <cell r="B13">
            <v>1</v>
          </cell>
          <cell r="C13">
            <v>0.22283468124519945</v>
          </cell>
          <cell r="D13">
            <v>0.77716531875480055</v>
          </cell>
          <cell r="E13">
            <v>0.40875615596620429</v>
          </cell>
          <cell r="F13">
            <v>0.14598111417340623</v>
          </cell>
          <cell r="H13">
            <v>1.7168933267067275E-2</v>
          </cell>
          <cell r="I13">
            <v>-1.4006235033660145E-2</v>
          </cell>
          <cell r="J13">
            <v>-1.8072561333755024E-3</v>
          </cell>
          <cell r="K13">
            <v>0</v>
          </cell>
          <cell r="L13">
            <v>-1.2560430126959742E-2</v>
          </cell>
          <cell r="M13">
            <v>-1.1204988026928115E-2</v>
          </cell>
          <cell r="N13">
            <v>0.21122306058826187</v>
          </cell>
          <cell r="O13">
            <v>0.14729137487010349</v>
          </cell>
        </row>
        <row r="15">
          <cell r="A15" t="str">
            <v>1994 (a)</v>
          </cell>
          <cell r="B15">
            <v>1</v>
          </cell>
          <cell r="C15">
            <v>0.21588758101111905</v>
          </cell>
          <cell r="D15">
            <v>0.78411241898888095</v>
          </cell>
          <cell r="E15">
            <v>0.39914507414789457</v>
          </cell>
          <cell r="F15">
            <v>0.14116305015481428</v>
          </cell>
          <cell r="G15">
            <v>0.24380429468617201</v>
          </cell>
          <cell r="H15">
            <v>1.5418750705125795E-2</v>
          </cell>
          <cell r="I15">
            <v>-1.5920173492284355E-2</v>
          </cell>
          <cell r="J15">
            <v>-1.7549797550549685E-3</v>
          </cell>
          <cell r="K15">
            <v>-6.2677848394820305E-4</v>
          </cell>
          <cell r="L15">
            <v>-1.1457510686573151E-2</v>
          </cell>
          <cell r="M15">
            <v>-1.4340691712734886E-2</v>
          </cell>
          <cell r="N15">
            <v>0.22946360297343713</v>
          </cell>
          <cell r="O15">
            <v>0.16004161809133416</v>
          </cell>
        </row>
        <row r="17">
          <cell r="A17" t="str">
            <v>1995 (a)</v>
          </cell>
        </row>
        <row r="18">
          <cell r="A18" t="str">
            <v xml:space="preserve"> 1Q</v>
          </cell>
          <cell r="B18">
            <v>1</v>
          </cell>
          <cell r="C18">
            <v>0.21770744225834046</v>
          </cell>
          <cell r="D18">
            <v>0.78229255774165951</v>
          </cell>
          <cell r="E18">
            <v>0.36313088109495295</v>
          </cell>
          <cell r="F18">
            <v>0.13387510692899915</v>
          </cell>
          <cell r="G18">
            <v>0.28528656971770738</v>
          </cell>
          <cell r="H18">
            <v>2.0530367835757058E-2</v>
          </cell>
          <cell r="I18">
            <v>-2.1385799828913601E-2</v>
          </cell>
          <cell r="J18">
            <v>-3.8494439692044482E-3</v>
          </cell>
          <cell r="K18">
            <v>8.5543199315654401E-4</v>
          </cell>
          <cell r="L18">
            <v>-1.2831479897348161E-2</v>
          </cell>
          <cell r="M18">
            <v>-1.6680923866552608E-2</v>
          </cell>
          <cell r="N18">
            <v>0.26860564585115482</v>
          </cell>
          <cell r="O18">
            <v>0.17921300256629599</v>
          </cell>
        </row>
        <row r="19">
          <cell r="A19" t="str">
            <v xml:space="preserve"> 2Q</v>
          </cell>
          <cell r="B19">
            <v>1</v>
          </cell>
          <cell r="C19">
            <v>0.22990420658059141</v>
          </cell>
          <cell r="D19">
            <v>0.77009579341940859</v>
          </cell>
          <cell r="E19">
            <v>0.40274885464389837</v>
          </cell>
          <cell r="F19">
            <v>0.14743856726364016</v>
          </cell>
          <cell r="G19">
            <v>0.21990837151187007</v>
          </cell>
          <cell r="H19">
            <v>1.582673885880883E-2</v>
          </cell>
          <cell r="I19">
            <v>-2.3323615160349854E-2</v>
          </cell>
          <cell r="J19">
            <v>-5.414410662224073E-3</v>
          </cell>
          <cell r="K19">
            <v>1.6659725114535611E-3</v>
          </cell>
          <cell r="L19">
            <v>-1.3744273219491879E-2</v>
          </cell>
          <cell r="M19">
            <v>-2.4989587671803416E-2</v>
          </cell>
          <cell r="N19">
            <v>0.19491878384006664</v>
          </cell>
          <cell r="O19">
            <v>0.12952936276551436</v>
          </cell>
        </row>
        <row r="20">
          <cell r="A20" t="str">
            <v xml:space="preserve"> 3Q</v>
          </cell>
          <cell r="B20">
            <v>1</v>
          </cell>
          <cell r="C20">
            <v>0.21118991331757289</v>
          </cell>
          <cell r="D20">
            <v>0.78881008668242714</v>
          </cell>
          <cell r="E20">
            <v>0.37825059101654845</v>
          </cell>
          <cell r="F20">
            <v>0.13829787234042554</v>
          </cell>
          <cell r="G20">
            <v>0.27226162332545312</v>
          </cell>
          <cell r="H20">
            <v>1.4184397163120567E-2</v>
          </cell>
          <cell r="I20">
            <v>-1.8124507486209612E-2</v>
          </cell>
          <cell r="J20">
            <v>-6.3041765169424748E-3</v>
          </cell>
          <cell r="K20">
            <v>-3.5460992907801418E-3</v>
          </cell>
          <cell r="L20">
            <v>-1.1820330969267139E-2</v>
          </cell>
          <cell r="M20">
            <v>-2.5610717100078801E-2</v>
          </cell>
          <cell r="N20">
            <v>0.24665090622537431</v>
          </cell>
          <cell r="O20">
            <v>0.16509062253743104</v>
          </cell>
        </row>
        <row r="21">
          <cell r="A21" t="str">
            <v xml:space="preserve"> 4Q</v>
          </cell>
          <cell r="B21">
            <v>1</v>
          </cell>
          <cell r="C21">
            <v>0.2066326530612245</v>
          </cell>
          <cell r="D21">
            <v>0.79336734693877553</v>
          </cell>
          <cell r="E21">
            <v>0.39322157434402333</v>
          </cell>
          <cell r="F21">
            <v>0.15451895043731778</v>
          </cell>
          <cell r="G21">
            <v>0.24562682215743442</v>
          </cell>
          <cell r="H21">
            <v>1.3119533527696793E-2</v>
          </cell>
          <cell r="I21">
            <v>-1.4941690962099125E-2</v>
          </cell>
          <cell r="J21">
            <v>-2.9154518950437317E-3</v>
          </cell>
          <cell r="K21">
            <v>0</v>
          </cell>
          <cell r="L21">
            <v>-3.0612244897959183E-2</v>
          </cell>
          <cell r="M21">
            <v>-3.5349854227405247E-2</v>
          </cell>
          <cell r="N21">
            <v>0.21027696793002915</v>
          </cell>
          <cell r="O21">
            <v>0.14759475218658893</v>
          </cell>
        </row>
        <row r="23">
          <cell r="A23" t="str">
            <v>1995 (a)</v>
          </cell>
          <cell r="B23">
            <v>1</v>
          </cell>
          <cell r="C23">
            <v>0.21594651232411935</v>
          </cell>
          <cell r="D23">
            <v>0.78405348767588068</v>
          </cell>
          <cell r="E23">
            <v>0.38469214649236605</v>
          </cell>
          <cell r="F23">
            <v>0.14389781458936235</v>
          </cell>
          <cell r="G23">
            <v>0.25546352659415228</v>
          </cell>
          <cell r="H23">
            <v>1.5766889531982835E-2</v>
          </cell>
          <cell r="I23">
            <v>-1.9259554934637262E-2</v>
          </cell>
          <cell r="J23">
            <v>-4.5903602434886736E-3</v>
          </cell>
          <cell r="K23">
            <v>-2.9937132022752222E-4</v>
          </cell>
          <cell r="L23">
            <v>-1.7662907893423809E-2</v>
          </cell>
          <cell r="M23">
            <v>-2.6045304859794432E-2</v>
          </cell>
          <cell r="N23">
            <v>0.22941822173435786</v>
          </cell>
          <cell r="O23">
            <v>0.15507434387785651</v>
          </cell>
        </row>
        <row r="25">
          <cell r="A25" t="str">
            <v>1996 (a)</v>
          </cell>
        </row>
        <row r="26">
          <cell r="A26" t="str">
            <v xml:space="preserve"> 1Q</v>
          </cell>
          <cell r="B26">
            <v>1</v>
          </cell>
          <cell r="C26">
            <v>0.1912751677852349</v>
          </cell>
          <cell r="D26">
            <v>0.8087248322147651</v>
          </cell>
          <cell r="E26">
            <v>0.37061894108873977</v>
          </cell>
          <cell r="F26">
            <v>0.13646532438478748</v>
          </cell>
          <cell r="G26">
            <v>0.3016405667412379</v>
          </cell>
          <cell r="H26">
            <v>1.0812826249067859E-2</v>
          </cell>
          <cell r="I26">
            <v>-1.4168530947054437E-2</v>
          </cell>
          <cell r="J26">
            <v>-5.219985085756898E-3</v>
          </cell>
          <cell r="K26">
            <v>-1.4914243102162564E-3</v>
          </cell>
          <cell r="L26">
            <v>-1.1185682326621925E-2</v>
          </cell>
          <cell r="M26">
            <v>-2.1252796420581657E-2</v>
          </cell>
          <cell r="N26">
            <v>0.2803877703206562</v>
          </cell>
          <cell r="O26">
            <v>0.19276659209545116</v>
          </cell>
        </row>
        <row r="27">
          <cell r="A27" t="str">
            <v xml:space="preserve"> 2Q</v>
          </cell>
          <cell r="B27">
            <v>1</v>
          </cell>
          <cell r="C27">
            <v>0.19579105599398722</v>
          </cell>
          <cell r="D27">
            <v>0.80420894400601273</v>
          </cell>
          <cell r="E27">
            <v>0.40698985343855693</v>
          </cell>
          <cell r="F27">
            <v>0.15858699736941001</v>
          </cell>
          <cell r="G27">
            <v>0.23863209319804585</v>
          </cell>
          <cell r="H27">
            <v>1.1649755730928222E-2</v>
          </cell>
          <cell r="I27">
            <v>-1.5783540022547914E-2</v>
          </cell>
          <cell r="J27">
            <v>-5.2611800075159712E-3</v>
          </cell>
          <cell r="K27">
            <v>-1.5031942878617061E-3</v>
          </cell>
          <cell r="L27">
            <v>-1.2025554302893648E-2</v>
          </cell>
          <cell r="M27">
            <v>-2.2923712889891017E-2</v>
          </cell>
          <cell r="N27">
            <v>0.21570838030815484</v>
          </cell>
          <cell r="O27">
            <v>0.14806463735437805</v>
          </cell>
        </row>
        <row r="28">
          <cell r="A28" t="str">
            <v xml:space="preserve"> 3Q</v>
          </cell>
          <cell r="B28">
            <v>1</v>
          </cell>
          <cell r="C28">
            <v>0.18622904031394935</v>
          </cell>
          <cell r="D28">
            <v>0.81377095968605062</v>
          </cell>
          <cell r="E28">
            <v>0.37103103817338567</v>
          </cell>
          <cell r="F28">
            <v>0.14484480913307171</v>
          </cell>
          <cell r="G28">
            <v>0.29789511237959332</v>
          </cell>
          <cell r="H28">
            <v>1.1773100249732429E-2</v>
          </cell>
          <cell r="I28">
            <v>-1.3913663931501962E-2</v>
          </cell>
          <cell r="J28">
            <v>-7.1352122725651087E-3</v>
          </cell>
          <cell r="K28">
            <v>-1.7838030681412772E-3</v>
          </cell>
          <cell r="L28">
            <v>-1.9621833749554049E-2</v>
          </cell>
          <cell r="M28">
            <v>-3.0681412772029969E-2</v>
          </cell>
          <cell r="N28">
            <v>0.2672136996075633</v>
          </cell>
          <cell r="O28">
            <v>0.1833749554049233</v>
          </cell>
        </row>
        <row r="29">
          <cell r="A29" t="str">
            <v xml:space="preserve"> 4Q</v>
          </cell>
          <cell r="B29">
            <v>1</v>
          </cell>
          <cell r="C29">
            <v>0.19620253164556961</v>
          </cell>
          <cell r="D29">
            <v>0.80379746835443044</v>
          </cell>
          <cell r="E29">
            <v>0.39525316455696202</v>
          </cell>
          <cell r="F29">
            <v>0.1550632911392405</v>
          </cell>
          <cell r="G29">
            <v>0.25348101265822787</v>
          </cell>
          <cell r="H29">
            <v>1.3291139240506329E-2</v>
          </cell>
          <cell r="I29">
            <v>-1.4556962025316455E-2</v>
          </cell>
          <cell r="J29">
            <v>-5.6962025316455696E-3</v>
          </cell>
          <cell r="K29">
            <v>-6.329113924050633E-4</v>
          </cell>
          <cell r="L29">
            <v>-1.5189873417721518E-2</v>
          </cell>
          <cell r="M29">
            <v>-2.2784810126582278E-2</v>
          </cell>
          <cell r="N29">
            <v>0.23069620253164558</v>
          </cell>
          <cell r="O29">
            <v>0.15949367088607594</v>
          </cell>
        </row>
        <row r="31">
          <cell r="A31" t="str">
            <v>Year</v>
          </cell>
          <cell r="B31">
            <v>1</v>
          </cell>
          <cell r="C31">
            <v>0.19246417831240051</v>
          </cell>
          <cell r="D31">
            <v>0.80753582168759952</v>
          </cell>
          <cell r="E31">
            <v>0.38616663718379624</v>
          </cell>
          <cell r="F31">
            <v>0.14894746152485405</v>
          </cell>
          <cell r="G31">
            <v>0.27242172297894923</v>
          </cell>
          <cell r="H31">
            <v>1.194056253316823E-2</v>
          </cell>
          <cell r="I31">
            <v>-1.4594020873872281E-2</v>
          </cell>
          <cell r="J31">
            <v>-5.8376083495489117E-3</v>
          </cell>
          <cell r="K31">
            <v>-1.3267291703520255E-3</v>
          </cell>
          <cell r="L31">
            <v>-1.4594020873872281E-2</v>
          </cell>
          <cell r="M31">
            <v>-2.441181673447727E-2</v>
          </cell>
          <cell r="N31">
            <v>0.24800990624447197</v>
          </cell>
          <cell r="O31">
            <v>0.17061737130727048</v>
          </cell>
        </row>
        <row r="33">
          <cell r="A33" t="str">
            <v>1997</v>
          </cell>
        </row>
        <row r="34">
          <cell r="A34" t="str">
            <v xml:space="preserve"> 1Q</v>
          </cell>
          <cell r="B34">
            <v>1</v>
          </cell>
          <cell r="C34">
            <v>0.16120625465376023</v>
          </cell>
          <cell r="D34">
            <v>0.83879374534623974</v>
          </cell>
          <cell r="E34">
            <v>0.36685288640595903</v>
          </cell>
          <cell r="F34">
            <v>0.14450651769087522</v>
          </cell>
          <cell r="G34">
            <v>0.32737430167597764</v>
          </cell>
          <cell r="H34">
            <v>1.266294227188082E-2</v>
          </cell>
          <cell r="I34">
            <v>-1.3780260707635009E-2</v>
          </cell>
          <cell r="J34">
            <v>-6.7039106145251395E-3</v>
          </cell>
          <cell r="K34">
            <v>-2.2346368715083797E-3</v>
          </cell>
          <cell r="L34">
            <v>-1.3035381750465549E-2</v>
          </cell>
          <cell r="M34">
            <v>-2.3091247672253259E-2</v>
          </cell>
          <cell r="N34">
            <v>0.30428305400372441</v>
          </cell>
          <cell r="O34">
            <v>0.21378026070763501</v>
          </cell>
        </row>
        <row r="35">
          <cell r="A35" t="str">
            <v xml:space="preserve"> 2Q</v>
          </cell>
          <cell r="B35">
            <v>1</v>
          </cell>
          <cell r="C35">
            <v>0.15609951845906903</v>
          </cell>
          <cell r="D35">
            <v>0.843900481540931</v>
          </cell>
          <cell r="E35">
            <v>0.43198745589964721</v>
          </cell>
          <cell r="F35">
            <v>0.16856134849078794</v>
          </cell>
          <cell r="G35">
            <v>0.24696197569580558</v>
          </cell>
          <cell r="H35">
            <v>1.4896119168953352E-2</v>
          </cell>
          <cell r="I35">
            <v>-1.4504116032928263E-2</v>
          </cell>
          <cell r="J35">
            <v>-6.2720501764014112E-3</v>
          </cell>
          <cell r="K35">
            <v>-1.1760094080752645E-3</v>
          </cell>
          <cell r="L35">
            <v>-1.3328106624852998E-2</v>
          </cell>
          <cell r="M35">
            <v>-2.0384163073304585E-2</v>
          </cell>
          <cell r="N35">
            <v>0.22657781262250098</v>
          </cell>
          <cell r="O35">
            <v>0.16542532340258723</v>
          </cell>
        </row>
        <row r="36">
          <cell r="A36" t="str">
            <v xml:space="preserve"> 3Q</v>
          </cell>
          <cell r="B36">
            <v>1</v>
          </cell>
          <cell r="C36">
            <v>0.1595022624434389</v>
          </cell>
          <cell r="D36">
            <v>0.8404977375565611</v>
          </cell>
          <cell r="E36">
            <v>0.38259919912631962</v>
          </cell>
          <cell r="F36">
            <v>0.16272297051328721</v>
          </cell>
          <cell r="G36">
            <v>0.30069166363305422</v>
          </cell>
          <cell r="H36">
            <v>1.4197306152166E-2</v>
          </cell>
          <cell r="I36">
            <v>-1.4197306152166E-2</v>
          </cell>
          <cell r="J36">
            <v>-6.5526028394612308E-3</v>
          </cell>
          <cell r="K36">
            <v>-4.3684018929741539E-3</v>
          </cell>
          <cell r="L36">
            <v>-8.0087368037859482E-3</v>
          </cell>
          <cell r="M36">
            <v>-1.8929741536221331E-2</v>
          </cell>
          <cell r="N36">
            <v>0.28176192209683293</v>
          </cell>
          <cell r="O36">
            <v>0.2107753913360029</v>
          </cell>
        </row>
        <row r="37">
          <cell r="A37" t="str">
            <v xml:space="preserve"> 4Q</v>
          </cell>
          <cell r="B37">
            <v>1</v>
          </cell>
          <cell r="C37">
            <v>0.18253695427982125</v>
          </cell>
          <cell r="D37">
            <v>0.8174630457201788</v>
          </cell>
          <cell r="E37">
            <v>0.4111328125</v>
          </cell>
          <cell r="F37">
            <v>0.17578125</v>
          </cell>
          <cell r="G37">
            <v>0.240234375</v>
          </cell>
          <cell r="H37">
            <v>1.46484375E-2</v>
          </cell>
          <cell r="I37">
            <v>-1.1067708333333334E-2</v>
          </cell>
          <cell r="J37">
            <v>-5.208333333333333E-3</v>
          </cell>
          <cell r="K37">
            <v>-2.2786458333333335E-3</v>
          </cell>
          <cell r="L37">
            <v>-1.2369791666666666E-2</v>
          </cell>
          <cell r="M37">
            <v>-1.6276041666666668E-2</v>
          </cell>
          <cell r="N37">
            <v>0.22395833333333334</v>
          </cell>
          <cell r="O37">
            <v>0.16276041666666666</v>
          </cell>
        </row>
        <row r="39">
          <cell r="A39" t="str">
            <v>Year</v>
          </cell>
          <cell r="B39">
            <v>1</v>
          </cell>
          <cell r="C39">
            <v>0.16537852686469875</v>
          </cell>
          <cell r="D39">
            <v>0.83462147313530122</v>
          </cell>
          <cell r="E39">
            <v>0.39810040705563093</v>
          </cell>
          <cell r="F39">
            <v>0.16327453640886477</v>
          </cell>
          <cell r="G39">
            <v>0.27797376752600633</v>
          </cell>
          <cell r="H39">
            <v>1.4111261872455903E-2</v>
          </cell>
          <cell r="I39">
            <v>-1.3297150610583446E-2</v>
          </cell>
          <cell r="J39">
            <v>-6.1510628674807779E-3</v>
          </cell>
          <cell r="K39">
            <v>-2.5327905924920849E-3</v>
          </cell>
          <cell r="L39">
            <v>-1.1668928086838535E-2</v>
          </cell>
          <cell r="M39">
            <v>-1.9538670284938942E-2</v>
          </cell>
          <cell r="N39">
            <v>0.25843509724106739</v>
          </cell>
          <cell r="O39">
            <v>0.18769787426503845</v>
          </cell>
        </row>
        <row r="41">
          <cell r="A41" t="str">
            <v>1998</v>
          </cell>
        </row>
        <row r="42">
          <cell r="A42" t="str">
            <v xml:space="preserve"> 1Q</v>
          </cell>
          <cell r="B42">
            <v>1</v>
          </cell>
          <cell r="C42">
            <v>0.1483021483021483</v>
          </cell>
          <cell r="D42">
            <v>0.85169785169785173</v>
          </cell>
          <cell r="E42">
            <v>0.39492753623188404</v>
          </cell>
          <cell r="F42">
            <v>0.15843214756258234</v>
          </cell>
          <cell r="G42">
            <v>0.30566534914360999</v>
          </cell>
          <cell r="H42">
            <v>1.1857707509881422E-2</v>
          </cell>
          <cell r="I42">
            <v>-8.8932806324110679E-3</v>
          </cell>
          <cell r="J42">
            <v>-3.952569169960474E-3</v>
          </cell>
          <cell r="K42">
            <v>1.6469038208168643E-3</v>
          </cell>
          <cell r="L42">
            <v>-1.0869565217391304E-2</v>
          </cell>
          <cell r="M42">
            <v>-1.0210803689064558E-2</v>
          </cell>
          <cell r="N42">
            <v>0.29545454545454547</v>
          </cell>
          <cell r="O42">
            <v>0.21113306982872201</v>
          </cell>
        </row>
        <row r="43">
          <cell r="A43" t="str">
            <v xml:space="preserve"> 2Q</v>
          </cell>
          <cell r="B43">
            <v>1</v>
          </cell>
          <cell r="C43">
            <v>0.15189466923570971</v>
          </cell>
          <cell r="D43">
            <v>0.84810533076429029</v>
          </cell>
          <cell r="E43">
            <v>0.41274154589371981</v>
          </cell>
          <cell r="F43">
            <v>0.16606280193236714</v>
          </cell>
          <cell r="G43">
            <v>0.27838164251207731</v>
          </cell>
          <cell r="H43">
            <v>1.2077294685990338E-2</v>
          </cell>
          <cell r="I43">
            <v>-1.0265700483091788E-2</v>
          </cell>
          <cell r="J43">
            <v>-3.6231884057971015E-3</v>
          </cell>
          <cell r="K43">
            <v>-1.2077294685990338E-3</v>
          </cell>
          <cell r="L43">
            <v>-1.3285024154589372E-2</v>
          </cell>
          <cell r="M43">
            <v>-1.6304347826086956E-2</v>
          </cell>
          <cell r="N43">
            <v>0.26207729468599034</v>
          </cell>
          <cell r="O43">
            <v>0.18357487922705315</v>
          </cell>
        </row>
        <row r="44">
          <cell r="A44" t="str">
            <v xml:space="preserve"> 3Q</v>
          </cell>
          <cell r="B44">
            <v>1</v>
          </cell>
          <cell r="C44">
            <v>0.15241157556270096</v>
          </cell>
          <cell r="D44">
            <v>0.84758842443729909</v>
          </cell>
          <cell r="E44">
            <v>0.39729729729729729</v>
          </cell>
          <cell r="F44">
            <v>0.16516516516516516</v>
          </cell>
          <cell r="G44">
            <v>0.29519519519519521</v>
          </cell>
          <cell r="H44">
            <v>1.2612612612612612E-2</v>
          </cell>
          <cell r="I44">
            <v>-1.0510510510510511E-2</v>
          </cell>
          <cell r="J44">
            <v>-3.6036036036036037E-3</v>
          </cell>
          <cell r="K44">
            <v>-3.003003003003003E-3</v>
          </cell>
          <cell r="L44">
            <v>-1.5015015015015015E-2</v>
          </cell>
          <cell r="M44">
            <v>-1.951951951951952E-2</v>
          </cell>
          <cell r="N44">
            <v>0.27567567567567569</v>
          </cell>
          <cell r="O44">
            <v>0.19429429429429429</v>
          </cell>
        </row>
        <row r="45">
          <cell r="A45" t="str">
            <v xml:space="preserve"> 4Q</v>
          </cell>
          <cell r="B45">
            <v>1</v>
          </cell>
          <cell r="C45">
            <v>0.17045135968601066</v>
          </cell>
          <cell r="D45">
            <v>0.82954864031398934</v>
          </cell>
          <cell r="E45">
            <v>0.42653905845835488</v>
          </cell>
          <cell r="F45">
            <v>0.17873771339886188</v>
          </cell>
          <cell r="G45">
            <v>0.23745473357475427</v>
          </cell>
          <cell r="H45">
            <v>1.4226590791515779E-2</v>
          </cell>
          <cell r="I45">
            <v>-9.0532850491464052E-3</v>
          </cell>
          <cell r="J45">
            <v>-3.1039834454216243E-3</v>
          </cell>
          <cell r="K45">
            <v>2.5866528711846869E-3</v>
          </cell>
          <cell r="L45">
            <v>2.8453181583031556E-3</v>
          </cell>
          <cell r="M45">
            <v>7.5012933264355921E-3</v>
          </cell>
          <cell r="N45">
            <v>0.24495602690118987</v>
          </cell>
          <cell r="O45">
            <v>0.18391101914123126</v>
          </cell>
        </row>
        <row r="47">
          <cell r="A47" t="str">
            <v>Year</v>
          </cell>
          <cell r="B47">
            <v>1</v>
          </cell>
          <cell r="C47">
            <v>0.15642502169282954</v>
          </cell>
          <cell r="D47">
            <v>0.84357497830717043</v>
          </cell>
          <cell r="E47">
            <v>0.40888954518606024</v>
          </cell>
          <cell r="F47">
            <v>0.16774955699940933</v>
          </cell>
          <cell r="G47">
            <v>0.27694920259893679</v>
          </cell>
          <cell r="H47">
            <v>1.2773183697578263E-2</v>
          </cell>
          <cell r="I47">
            <v>-9.6721795629060841E-3</v>
          </cell>
          <cell r="J47">
            <v>-3.5440047253396337E-3</v>
          </cell>
          <cell r="K47">
            <v>7.3833431777909036E-5</v>
          </cell>
          <cell r="L47">
            <v>-8.5646780862374487E-3</v>
          </cell>
          <cell r="M47">
            <v>-8.9338452451269926E-3</v>
          </cell>
          <cell r="N47">
            <v>0.26801535735380982</v>
          </cell>
          <cell r="O47">
            <v>0.19248375664500886</v>
          </cell>
        </row>
        <row r="49">
          <cell r="A49" t="str">
            <v>1999</v>
          </cell>
        </row>
        <row r="50">
          <cell r="A50" t="str">
            <v xml:space="preserve"> 1Q</v>
          </cell>
          <cell r="B50">
            <v>1</v>
          </cell>
          <cell r="C50">
            <v>0.15493757094211125</v>
          </cell>
          <cell r="D50">
            <v>0.84506242905788875</v>
          </cell>
          <cell r="E50">
            <v>0.3997962821492233</v>
          </cell>
          <cell r="F50">
            <v>0.16679399032340209</v>
          </cell>
          <cell r="G50">
            <v>0.2943722943722944</v>
          </cell>
          <cell r="H50">
            <v>1.680672268907563E-2</v>
          </cell>
          <cell r="I50">
            <v>-1.0440539852304559E-2</v>
          </cell>
          <cell r="J50">
            <v>-2.8011204481792717E-3</v>
          </cell>
          <cell r="K50">
            <v>1.7825311942959001E-3</v>
          </cell>
          <cell r="L50">
            <v>-6.6208301502419147E-3</v>
          </cell>
          <cell r="M50">
            <v>-1.2732365673542145E-3</v>
          </cell>
          <cell r="N50">
            <v>0.29309905780494017</v>
          </cell>
          <cell r="O50">
            <v>0.20804685510567864</v>
          </cell>
        </row>
        <row r="51">
          <cell r="A51" t="str">
            <v xml:space="preserve"> 2Q</v>
          </cell>
          <cell r="B51">
            <v>1</v>
          </cell>
          <cell r="C51">
            <v>0.14432989690721648</v>
          </cell>
          <cell r="D51">
            <v>0.85567010309278357</v>
          </cell>
          <cell r="E51">
            <v>0.41413072241333687</v>
          </cell>
          <cell r="F51">
            <v>0.17650172003175443</v>
          </cell>
          <cell r="G51">
            <v>0.28340830907647524</v>
          </cell>
          <cell r="H51">
            <v>1.9052659433712621E-2</v>
          </cell>
          <cell r="I51">
            <v>-1.4024874305371792E-2</v>
          </cell>
          <cell r="J51">
            <v>-2.6462026991267533E-3</v>
          </cell>
          <cell r="K51">
            <v>1.0584810796507012E-3</v>
          </cell>
          <cell r="L51">
            <v>-1.4818735115109817E-2</v>
          </cell>
          <cell r="M51">
            <v>-1.1378671606245038E-2</v>
          </cell>
          <cell r="N51">
            <v>0.27202963747023023</v>
          </cell>
          <cell r="O51">
            <v>0.19290817676634031</v>
          </cell>
        </row>
        <row r="52">
          <cell r="A52" t="str">
            <v xml:space="preserve"> 3Q</v>
          </cell>
          <cell r="B52">
            <v>1</v>
          </cell>
          <cell r="C52">
            <v>0.14577855682150162</v>
          </cell>
          <cell r="D52">
            <v>0.85422144317849835</v>
          </cell>
          <cell r="E52">
            <v>0.36873747494989978</v>
          </cell>
          <cell r="F52">
            <v>0.17384769539078157</v>
          </cell>
          <cell r="G52">
            <v>0.33241482965931862</v>
          </cell>
          <cell r="H52">
            <v>1.9038076152304611E-2</v>
          </cell>
          <cell r="I52">
            <v>-1.5280561122244489E-2</v>
          </cell>
          <cell r="J52">
            <v>-2.7555110220440883E-3</v>
          </cell>
          <cell r="K52">
            <v>-3.5070140280561123E-3</v>
          </cell>
          <cell r="L52">
            <v>-1.002004008016032E-2</v>
          </cell>
          <cell r="M52">
            <v>-1.2525050100200401E-2</v>
          </cell>
          <cell r="N52">
            <v>0.31988977955911824</v>
          </cell>
          <cell r="O52">
            <v>0.22695390781563127</v>
          </cell>
        </row>
        <row r="53">
          <cell r="A53" t="str">
            <v xml:space="preserve"> 4Q</v>
          </cell>
          <cell r="B53">
            <v>1</v>
          </cell>
          <cell r="C53">
            <v>0.17905839979418575</v>
          </cell>
          <cell r="D53">
            <v>0.8209416002058143</v>
          </cell>
          <cell r="E53">
            <v>0.38726142920550377</v>
          </cell>
          <cell r="F53">
            <v>0.16866400355082112</v>
          </cell>
          <cell r="G53">
            <v>0.28961384820239683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-2.2192632046160674E-4</v>
          </cell>
          <cell r="M53">
            <v>-2.2192632046160674E-4</v>
          </cell>
          <cell r="N53">
            <v>0.28939192188193519</v>
          </cell>
          <cell r="O53">
            <v>0.21171770972037285</v>
          </cell>
        </row>
        <row r="55">
          <cell r="A55" t="str">
            <v>Year</v>
          </cell>
          <cell r="B55">
            <v>1</v>
          </cell>
          <cell r="C55">
            <v>0.15687800735918483</v>
          </cell>
          <cell r="D55">
            <v>0.84312199264081511</v>
          </cell>
          <cell r="E55">
            <v>0.39200197482103183</v>
          </cell>
          <cell r="F55">
            <v>0.17131572451246604</v>
          </cell>
          <cell r="G55">
            <v>0.29986423105406074</v>
          </cell>
          <cell r="H55">
            <v>1.3206615650456678E-2</v>
          </cell>
          <cell r="I55">
            <v>-9.5655393729943226E-3</v>
          </cell>
          <cell r="J55">
            <v>-1.9748210318439891E-3</v>
          </cell>
          <cell r="K55">
            <v>-1.8513947173537398E-4</v>
          </cell>
          <cell r="L55">
            <v>-7.5907183411503334E-3</v>
          </cell>
          <cell r="M55">
            <v>-6.1096025672673412E-3</v>
          </cell>
          <cell r="N55">
            <v>0.2937546284867934</v>
          </cell>
          <cell r="O55">
            <v>0.2101950135768946</v>
          </cell>
        </row>
        <row r="57">
          <cell r="A57" t="str">
            <v>2000E</v>
          </cell>
        </row>
        <row r="58">
          <cell r="A58" t="str">
            <v xml:space="preserve"> 1QA</v>
          </cell>
          <cell r="B58">
            <v>1</v>
          </cell>
          <cell r="C58">
            <v>0.13424657534246576</v>
          </cell>
          <cell r="D58">
            <v>0.86575342465753424</v>
          </cell>
          <cell r="E58">
            <v>0.38539976825028971</v>
          </cell>
          <cell r="F58">
            <v>0.16500579374275781</v>
          </cell>
          <cell r="G58">
            <v>0.33603707995365006</v>
          </cell>
          <cell r="H58">
            <v>1.7381228273464659E-2</v>
          </cell>
          <cell r="I58">
            <v>0</v>
          </cell>
          <cell r="J58">
            <v>0</v>
          </cell>
          <cell r="K58">
            <v>0</v>
          </cell>
          <cell r="L58">
            <v>-1.089223638470452E-2</v>
          </cell>
          <cell r="M58">
            <v>6.4889918887601388E-3</v>
          </cell>
          <cell r="N58">
            <v>0.34252607184241018</v>
          </cell>
          <cell r="O58">
            <v>0.25376593279258403</v>
          </cell>
        </row>
        <row r="59">
          <cell r="A59" t="str">
            <v xml:space="preserve"> 2QE</v>
          </cell>
          <cell r="B59">
            <v>1</v>
          </cell>
          <cell r="C59">
            <v>0.14399999999999999</v>
          </cell>
          <cell r="D59">
            <v>0.85599999999999998</v>
          </cell>
          <cell r="E59">
            <v>0.41199999999999998</v>
          </cell>
          <cell r="F59">
            <v>0.17899999999999999</v>
          </cell>
          <cell r="G59">
            <v>0.28996468110350543</v>
          </cell>
          <cell r="H59">
            <v>1.0452500354223623E-2</v>
          </cell>
          <cell r="I59">
            <v>0</v>
          </cell>
          <cell r="J59">
            <v>0</v>
          </cell>
          <cell r="K59">
            <v>0</v>
          </cell>
          <cell r="L59">
            <v>-1.9743611780200173E-2</v>
          </cell>
          <cell r="M59">
            <v>-9.2911114259765521E-3</v>
          </cell>
          <cell r="N59">
            <v>0.28067356967752888</v>
          </cell>
          <cell r="O59">
            <v>0.20498849743265232</v>
          </cell>
        </row>
        <row r="60">
          <cell r="A60" t="str">
            <v xml:space="preserve"> 3QE</v>
          </cell>
          <cell r="B60">
            <v>1</v>
          </cell>
          <cell r="C60">
            <v>0.14599999999999999</v>
          </cell>
          <cell r="D60">
            <v>0.85399999999999998</v>
          </cell>
          <cell r="E60">
            <v>0.38</v>
          </cell>
          <cell r="F60">
            <v>0.17299999999999999</v>
          </cell>
          <cell r="G60">
            <v>0.32667426002121991</v>
          </cell>
          <cell r="H60">
            <v>8.7432802426784858E-3</v>
          </cell>
          <cell r="I60">
            <v>0</v>
          </cell>
          <cell r="J60">
            <v>0</v>
          </cell>
          <cell r="K60">
            <v>0</v>
          </cell>
          <cell r="L60">
            <v>-1.7486560485356972E-2</v>
          </cell>
          <cell r="M60">
            <v>-8.7432802426784858E-3</v>
          </cell>
          <cell r="N60">
            <v>0.31793097977854146</v>
          </cell>
          <cell r="O60">
            <v>0.23250689519182538</v>
          </cell>
        </row>
        <row r="61">
          <cell r="A61" t="str">
            <v xml:space="preserve"> 4QE</v>
          </cell>
          <cell r="B61">
            <v>1</v>
          </cell>
          <cell r="C61">
            <v>0.16101134850393478</v>
          </cell>
          <cell r="D61">
            <v>0.83898865149606516</v>
          </cell>
          <cell r="E61">
            <v>0.38584845407059498</v>
          </cell>
          <cell r="F61">
            <v>0.17817390729448146</v>
          </cell>
          <cell r="G61">
            <v>0.30213426494822931</v>
          </cell>
          <cell r="H61">
            <v>8.5926116012882033E-3</v>
          </cell>
          <cell r="I61">
            <v>0</v>
          </cell>
          <cell r="J61">
            <v>0</v>
          </cell>
          <cell r="K61">
            <v>0</v>
          </cell>
          <cell r="L61">
            <v>-1.6230488580211051E-2</v>
          </cell>
          <cell r="M61">
            <v>-7.6378769789228482E-3</v>
          </cell>
          <cell r="N61">
            <v>0.29449638796930644</v>
          </cell>
          <cell r="O61">
            <v>0.21596940184499785</v>
          </cell>
        </row>
        <row r="63">
          <cell r="A63" t="str">
            <v>Year</v>
          </cell>
          <cell r="B63">
            <v>1</v>
          </cell>
          <cell r="C63">
            <v>0.14699999999999999</v>
          </cell>
          <cell r="D63">
            <v>0.85299999999999998</v>
          </cell>
          <cell r="E63">
            <v>0.39040000000000002</v>
          </cell>
          <cell r="F63">
            <v>0.17399999999999999</v>
          </cell>
          <cell r="G63">
            <v>0.31331944354881613</v>
          </cell>
          <cell r="H63">
            <v>1.1121847533882056E-2</v>
          </cell>
          <cell r="I63">
            <v>0</v>
          </cell>
          <cell r="J63">
            <v>0</v>
          </cell>
          <cell r="K63">
            <v>0</v>
          </cell>
          <cell r="L63">
            <v>-1.6113115695429125E-2</v>
          </cell>
          <cell r="M63">
            <v>-4.9912681615470684E-3</v>
          </cell>
          <cell r="N63">
            <v>0.30832817538726909</v>
          </cell>
          <cell r="O63">
            <v>0.22635749086206983</v>
          </cell>
        </row>
        <row r="65">
          <cell r="A65" t="str">
            <v>2001E</v>
          </cell>
          <cell r="B65">
            <v>1</v>
          </cell>
          <cell r="C65">
            <v>0.1464</v>
          </cell>
          <cell r="D65">
            <v>0.85360000000000003</v>
          </cell>
          <cell r="E65">
            <v>0.38840000000000002</v>
          </cell>
          <cell r="F65">
            <v>0.17299999999999999</v>
          </cell>
          <cell r="G65">
            <v>0.32073821206156516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0.32073821206156516</v>
          </cell>
          <cell r="O65">
            <v>0.23551363619848015</v>
          </cell>
        </row>
        <row r="66">
          <cell r="A66" t="str">
            <v>2002E</v>
          </cell>
          <cell r="B66">
            <v>1</v>
          </cell>
          <cell r="C66">
            <v>0.14499999999999999</v>
          </cell>
          <cell r="D66">
            <v>0.85499999999999998</v>
          </cell>
          <cell r="E66">
            <v>0.38400000000000001</v>
          </cell>
          <cell r="F66">
            <v>0.16900000000000001</v>
          </cell>
          <cell r="G66">
            <v>0.33123866909992289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0.33123866909992289</v>
          </cell>
          <cell r="O66">
            <v>0.24326074888248556</v>
          </cell>
        </row>
        <row r="67">
          <cell r="A67" t="str">
            <v>2003E</v>
          </cell>
          <cell r="B67">
            <v>1</v>
          </cell>
          <cell r="C67">
            <v>0.14299999999999999</v>
          </cell>
          <cell r="D67">
            <v>0.85699999999999998</v>
          </cell>
          <cell r="E67">
            <v>0.38</v>
          </cell>
          <cell r="F67">
            <v>0.16500000000000001</v>
          </cell>
          <cell r="G67">
            <v>0.3418146022485018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0.3418146022485018</v>
          </cell>
          <cell r="O67">
            <v>0.25105950966479956</v>
          </cell>
        </row>
        <row r="68">
          <cell r="A68" t="str">
            <v>2004E</v>
          </cell>
          <cell r="B68">
            <v>1</v>
          </cell>
          <cell r="C68">
            <v>0.14199999999999999</v>
          </cell>
          <cell r="D68">
            <v>0.85799999999999998</v>
          </cell>
          <cell r="E68">
            <v>0.377</v>
          </cell>
          <cell r="F68">
            <v>0.16250000000000001</v>
          </cell>
          <cell r="G68">
            <v>0.34498590534777551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0.34498590534777551</v>
          </cell>
          <cell r="O68">
            <v>0.25340529885466001</v>
          </cell>
        </row>
        <row r="69">
          <cell r="A69" t="str">
            <v>2005E</v>
          </cell>
          <cell r="B69">
            <v>1</v>
          </cell>
          <cell r="C69">
            <v>0.14199999999999999</v>
          </cell>
          <cell r="D69">
            <v>0.85799999999999998</v>
          </cell>
          <cell r="E69">
            <v>0.375</v>
          </cell>
          <cell r="F69">
            <v>0.16</v>
          </cell>
          <cell r="G69">
            <v>0.34953467917523934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0.34953467917523934</v>
          </cell>
          <cell r="O69">
            <v>0.25676451987336391</v>
          </cell>
        </row>
        <row r="71">
          <cell r="A71" t="str">
            <v>Notes:</v>
          </cell>
        </row>
        <row r="72">
          <cell r="A72" t="str">
            <v>(a)  1994 and 1995 quarters have been restated for the divestiture of the Food Science Group, but not for the Medical Technology group.</v>
          </cell>
        </row>
        <row r="73">
          <cell r="A73" t="str">
            <v>(b) Alliance revenues include Lipitor and Aricept profits.</v>
          </cell>
        </row>
        <row r="74">
          <cell r="A74" t="str">
            <v>(c)  Gross Profit excludes Alliance Revenues.</v>
          </cell>
        </row>
        <row r="75">
          <cell r="A75" t="str">
            <v>(d) Operating Margin excludes Alliance Revenues.</v>
          </cell>
        </row>
        <row r="77">
          <cell r="A77" t="str">
            <v>E = Morgan Stanley Dean Witter Research Estimates       A = Actual       NM = Not Meaningful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Data_Download"/>
      <sheetName val="Data_Manual"/>
      <sheetName val="GeninfraUniverse_DataSheet"/>
      <sheetName val="NOPAT_VDF"/>
    </sheetNames>
    <sheetDataSet>
      <sheetData sheetId="0" refreshError="1"/>
      <sheetData sheetId="1" refreshError="1">
        <row r="1"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  <cell r="J1">
            <v>9</v>
          </cell>
          <cell r="K1">
            <v>10</v>
          </cell>
          <cell r="L1">
            <v>11</v>
          </cell>
          <cell r="M1">
            <v>12</v>
          </cell>
          <cell r="N1">
            <v>13</v>
          </cell>
          <cell r="O1">
            <v>14</v>
          </cell>
          <cell r="P1">
            <v>15</v>
          </cell>
          <cell r="Q1">
            <v>16</v>
          </cell>
          <cell r="R1">
            <v>17</v>
          </cell>
          <cell r="S1">
            <v>18</v>
          </cell>
          <cell r="T1">
            <v>19</v>
          </cell>
          <cell r="U1">
            <v>20</v>
          </cell>
          <cell r="V1">
            <v>21</v>
          </cell>
          <cell r="W1">
            <v>22</v>
          </cell>
          <cell r="X1">
            <v>23</v>
          </cell>
          <cell r="Y1">
            <v>24</v>
          </cell>
          <cell r="Z1">
            <v>25</v>
          </cell>
          <cell r="AA1">
            <v>26</v>
          </cell>
          <cell r="AB1">
            <v>27</v>
          </cell>
          <cell r="AC1">
            <v>28</v>
          </cell>
          <cell r="AD1">
            <v>29</v>
          </cell>
          <cell r="AF1">
            <v>31</v>
          </cell>
        </row>
        <row r="5">
          <cell r="J5" t="str">
            <v>IBES FISCAL</v>
          </cell>
          <cell r="Q5" t="str">
            <v>FIRST CALL FISCAL</v>
          </cell>
          <cell r="Y5" t="str">
            <v>STOCK PERFORMANCE</v>
          </cell>
          <cell r="AH5" t="str">
            <v>FIRST CALL</v>
          </cell>
          <cell r="AI5" t="str">
            <v>FIRST CALL</v>
          </cell>
          <cell r="AM5" t="str">
            <v>FIRST CALL</v>
          </cell>
          <cell r="AO5" t="str">
            <v>FIRST CALL</v>
          </cell>
          <cell r="AV5" t="str">
            <v>FIRST CALL</v>
          </cell>
          <cell r="AX5" t="str">
            <v>FIRST CALL</v>
          </cell>
        </row>
        <row r="6">
          <cell r="D6" t="str">
            <v>CLOSING</v>
          </cell>
          <cell r="E6" t="str">
            <v>CLOSING</v>
          </cell>
          <cell r="F6" t="str">
            <v>SHARES</v>
          </cell>
          <cell r="G6" t="str">
            <v>CASH &amp;</v>
          </cell>
          <cell r="H6" t="str">
            <v>TOTAL</v>
          </cell>
          <cell r="J6" t="str">
            <v>ACT. REV</v>
          </cell>
          <cell r="K6" t="str">
            <v>CON. REV. EST</v>
          </cell>
          <cell r="M6" t="str">
            <v>ACT. EPS</v>
          </cell>
          <cell r="N6" t="str">
            <v>CON. MEAN EPS EST</v>
          </cell>
          <cell r="Q6" t="str">
            <v>ACT. REV</v>
          </cell>
          <cell r="R6" t="str">
            <v>CON. MEAN REV. EST</v>
          </cell>
          <cell r="T6" t="str">
            <v>ACT. EPS</v>
          </cell>
          <cell r="U6" t="str">
            <v>CON. MEAN EPS EST</v>
          </cell>
          <cell r="X6" t="str">
            <v>FCF</v>
          </cell>
          <cell r="Y6" t="str">
            <v>YOY</v>
          </cell>
          <cell r="Z6" t="str">
            <v>YTD</v>
          </cell>
          <cell r="AA6" t="str">
            <v>1-MNTH</v>
          </cell>
          <cell r="AB6" t="str">
            <v>1-WEEK</v>
          </cell>
          <cell r="AC6" t="str">
            <v>52-WEEK</v>
          </cell>
          <cell r="AD6" t="str">
            <v>52-WEEK</v>
          </cell>
          <cell r="AF6" t="str">
            <v>FC LTG</v>
          </cell>
          <cell r="AH6" t="str">
            <v>CON. MEAN CAL REV. EST</v>
          </cell>
          <cell r="AI6" t="str">
            <v>CON. MEAN CAL REV. EST</v>
          </cell>
          <cell r="AJ6" t="str">
            <v>CON. MEAN CAL EPS EST</v>
          </cell>
          <cell r="AL6" t="str">
            <v>CON. MEAN CAL EPS EST</v>
          </cell>
          <cell r="AN6" t="str">
            <v>Fiscal</v>
          </cell>
          <cell r="AP6" t="str">
            <v>CAL 2002 ROLL. EPS EST</v>
          </cell>
          <cell r="AR6" t="str">
            <v>CAL 2003 ROLL. EPS EST</v>
          </cell>
          <cell r="AT6" t="str">
            <v>CAL 2003 ROLL. EPS EST</v>
          </cell>
          <cell r="AW6" t="str">
            <v>CAL 2002 ROLL. SALES EST</v>
          </cell>
          <cell r="AY6" t="str">
            <v>CAL 2002 ROLL. SALES EST</v>
          </cell>
          <cell r="BA6" t="str">
            <v>CAL 2003 ROLL. SALES EST</v>
          </cell>
          <cell r="BC6" t="str">
            <v>CAL 2003 ROLL. SALES EST</v>
          </cell>
          <cell r="BH6" t="str">
            <v>CAL 2004 ROLL. EPS EST</v>
          </cell>
          <cell r="BL6" t="str">
            <v>CAL 2004 ROLL. SALES EST</v>
          </cell>
          <cell r="BP6" t="str">
            <v>CON. MEAN CAL REV. EST</v>
          </cell>
          <cell r="BQ6" t="str">
            <v>CON. MEAN CAL EPS EST</v>
          </cell>
          <cell r="BS6" t="str">
            <v>CON. MEAN CAL REV. EST</v>
          </cell>
          <cell r="BT6" t="str">
            <v>CON. MEAN CAL EPS EST</v>
          </cell>
          <cell r="BW6" t="str">
            <v>CAL 2005 ROLL. EPS EST</v>
          </cell>
        </row>
        <row r="7">
          <cell r="C7" t="str">
            <v>COMPANY NAME</v>
          </cell>
          <cell r="D7" t="str">
            <v>PRICE</v>
          </cell>
          <cell r="E7" t="str">
            <v>PRICE DATE</v>
          </cell>
          <cell r="F7" t="str">
            <v>OUT</v>
          </cell>
          <cell r="G7" t="str">
            <v>EQUIV</v>
          </cell>
          <cell r="H7" t="str">
            <v>DEBT</v>
          </cell>
          <cell r="J7" t="str">
            <v>2001a</v>
          </cell>
          <cell r="K7" t="str">
            <v>2002e</v>
          </cell>
          <cell r="L7" t="str">
            <v>2003e</v>
          </cell>
          <cell r="M7" t="str">
            <v>2001a</v>
          </cell>
          <cell r="N7" t="str">
            <v>2002e</v>
          </cell>
          <cell r="O7" t="str">
            <v>2003e</v>
          </cell>
          <cell r="Q7" t="str">
            <v>2001a</v>
          </cell>
          <cell r="R7" t="str">
            <v>2002e</v>
          </cell>
          <cell r="S7" t="str">
            <v>2003e</v>
          </cell>
          <cell r="T7" t="str">
            <v>2001a</v>
          </cell>
          <cell r="U7" t="str">
            <v>2002e</v>
          </cell>
          <cell r="V7" t="str">
            <v>2003e</v>
          </cell>
          <cell r="X7" t="str">
            <v>2001a</v>
          </cell>
          <cell r="Y7" t="str">
            <v>RETURN</v>
          </cell>
          <cell r="Z7" t="str">
            <v>RETURN</v>
          </cell>
          <cell r="AA7" t="str">
            <v>PRICE</v>
          </cell>
          <cell r="AB7" t="str">
            <v>PRICE</v>
          </cell>
          <cell r="AC7" t="str">
            <v>HIGH</v>
          </cell>
          <cell r="AD7" t="str">
            <v>LOW</v>
          </cell>
          <cell r="AF7" t="str">
            <v>ESTIMATE</v>
          </cell>
          <cell r="AH7" t="str">
            <v>2001a</v>
          </cell>
          <cell r="AI7" t="str">
            <v>2002e</v>
          </cell>
          <cell r="AJ7" t="str">
            <v>2003e</v>
          </cell>
          <cell r="AK7" t="str">
            <v>2001a</v>
          </cell>
          <cell r="AL7" t="str">
            <v>2002e</v>
          </cell>
          <cell r="AM7" t="str">
            <v>2003e</v>
          </cell>
          <cell r="AN7" t="str">
            <v>Year End</v>
          </cell>
          <cell r="AO7" t="str">
            <v>Q1</v>
          </cell>
          <cell r="AP7" t="str">
            <v>Q2</v>
          </cell>
          <cell r="AQ7" t="str">
            <v>Q3</v>
          </cell>
          <cell r="AR7" t="str">
            <v>Q4</v>
          </cell>
          <cell r="AS7" t="str">
            <v>Q1</v>
          </cell>
          <cell r="AT7" t="str">
            <v>Q2</v>
          </cell>
          <cell r="AU7" t="str">
            <v>Q3</v>
          </cell>
          <cell r="AV7" t="str">
            <v>Q4</v>
          </cell>
          <cell r="AW7" t="str">
            <v>Q2</v>
          </cell>
          <cell r="AX7" t="str">
            <v>Q1</v>
          </cell>
          <cell r="AY7" t="str">
            <v>Q2</v>
          </cell>
          <cell r="AZ7" t="str">
            <v>Q3</v>
          </cell>
          <cell r="BA7" t="str">
            <v>Q4</v>
          </cell>
          <cell r="BB7" t="str">
            <v>Q1</v>
          </cell>
          <cell r="BC7" t="str">
            <v>Q2</v>
          </cell>
          <cell r="BD7" t="str">
            <v>Q3</v>
          </cell>
          <cell r="BE7" t="str">
            <v>Q4</v>
          </cell>
          <cell r="BG7" t="str">
            <v>Q1</v>
          </cell>
          <cell r="BH7" t="str">
            <v>Q2</v>
          </cell>
          <cell r="BI7" t="str">
            <v>Q3</v>
          </cell>
          <cell r="BJ7" t="str">
            <v>Q4</v>
          </cell>
          <cell r="BK7" t="str">
            <v>Q1</v>
          </cell>
          <cell r="BL7" t="str">
            <v>Q2</v>
          </cell>
          <cell r="BM7" t="str">
            <v>Q3</v>
          </cell>
          <cell r="BN7" t="str">
            <v>Q4</v>
          </cell>
          <cell r="BP7" t="str">
            <v>2004e</v>
          </cell>
          <cell r="BQ7" t="str">
            <v>2004e</v>
          </cell>
          <cell r="BS7" t="str">
            <v>2005e</v>
          </cell>
          <cell r="BT7" t="str">
            <v>2005e</v>
          </cell>
          <cell r="BV7" t="str">
            <v>Q1</v>
          </cell>
          <cell r="BW7" t="str">
            <v>Q2</v>
          </cell>
          <cell r="BX7" t="str">
            <v>Q3</v>
          </cell>
          <cell r="BY7" t="str">
            <v>Q4</v>
          </cell>
          <cell r="BZ7" t="str">
            <v>Q1</v>
          </cell>
        </row>
        <row r="8">
          <cell r="C8" t="str">
            <v>^(G_COMPANY_NAME)</v>
          </cell>
          <cell r="D8" t="str">
            <v>^=G_PRICE_USD(0,0,D,rel_item="",curn="",currency="",split=SPLIT,spinadj=0); C</v>
          </cell>
          <cell r="E8" t="str">
            <v>^(G_DATE_LAST)</v>
          </cell>
          <cell r="F8" t="str">
            <v>^(G_COM_SHARES_OUT)</v>
          </cell>
          <cell r="G8" t="str">
            <v>^(G_CASH)</v>
          </cell>
          <cell r="H8" t="str">
            <v>^(G_TOTAL_DEBT)</v>
          </cell>
          <cell r="J8" t="str">
            <v>^(G_SALES)</v>
          </cell>
          <cell r="K8" t="str">
            <v>^(IC_MEAN_SALES_FY1)</v>
          </cell>
          <cell r="L8" t="str">
            <v>^(IC_MEAN_SALES_FY2)</v>
          </cell>
          <cell r="M8" t="str">
            <v>^(IC_EPS_ACT)</v>
          </cell>
          <cell r="N8" t="str">
            <v>^(G_IBES_FY1_MEAN_USD)</v>
          </cell>
          <cell r="O8" t="str">
            <v>^(G_IBES_FY2_MEAN_USD)</v>
          </cell>
          <cell r="Q8" t="str">
            <v>^=FCC_SALES_ACT; c</v>
          </cell>
          <cell r="R8" t="str">
            <v>^(FCC_MEAN_SALES_FY1)</v>
          </cell>
          <cell r="S8" t="str">
            <v>^(FCC_MEAN_SALES_FY2)</v>
          </cell>
          <cell r="T8" t="str">
            <v>^(FCC_EPS_ACT(0))</v>
          </cell>
          <cell r="U8" t="str">
            <v>^(FCC_MEAN_EPS(1))</v>
          </cell>
          <cell r="V8" t="str">
            <v>^(FCC_MEAN_EPS(2))</v>
          </cell>
          <cell r="X8" t="str">
            <v>^(CA_CF_FREE(0))</v>
          </cell>
          <cell r="Y8" t="str">
            <v>^(F_TOTAL_RET_52WK)</v>
          </cell>
          <cell r="Z8" t="str">
            <v>^(F_TOTAL_RET_YTD)</v>
          </cell>
          <cell r="AA8" t="str">
            <v>^(P_PRICE(-1/0/0))</v>
          </cell>
          <cell r="AB8" t="str">
            <v>^(P_PRICE(0/-7/0))</v>
          </cell>
          <cell r="AC8" t="str">
            <v>^(P_PRICE_HIGH_52W_USD)</v>
          </cell>
          <cell r="AD8" t="str">
            <v>^(P_PRICE_LOW_52W_USD)</v>
          </cell>
          <cell r="AF8" t="str">
            <v>^(FC_MEAN_LTG(NOW))</v>
          </cell>
          <cell r="AH8" t="str">
            <v>^=G_SALES(12/31/2001,12/31/2001,CY,curn="",currency="",split=SPLIT,spinadj=0); c</v>
          </cell>
          <cell r="AI8" t="str">
            <v>^=FCC_MEAN_SALES_CAL4(2002); c</v>
          </cell>
          <cell r="AJ8" t="str">
            <v>^=FCC_MEAN_SALES_CAL4(2003); c</v>
          </cell>
          <cell r="AK8" t="str">
            <v>^=FCC_MEAN_EPS_CAL4(2001); c</v>
          </cell>
          <cell r="AL8" t="str">
            <v>^=FCC_MEAN_EPS_CAL4(2002); c</v>
          </cell>
          <cell r="AM8" t="str">
            <v>^=FCC_MEAN_EPS_CAL4(2003); c</v>
          </cell>
          <cell r="AN8" t="str">
            <v>^=DATE(0,0,FY); C</v>
          </cell>
          <cell r="AO8" t="str">
            <v>^=FCCQ_EPS_ACT(-4)</v>
          </cell>
          <cell r="AP8" t="str">
            <v>^=FCCQ_EPS_ACT(-3)</v>
          </cell>
          <cell r="AQ8" t="str">
            <v>^=FCCQ_EPS_ACT(-2)</v>
          </cell>
          <cell r="AR8" t="str">
            <v>^=FCCQ_EPS_ACT(-1)</v>
          </cell>
          <cell r="AS8" t="str">
            <v>^=FCCQ_eps_act(0)</v>
          </cell>
          <cell r="AT8" t="str">
            <v>^=FCCQ_MEAN_EPS(1)</v>
          </cell>
          <cell r="AU8" t="str">
            <v>^=FCCQ_MEAN_EPS(2)</v>
          </cell>
          <cell r="AV8" t="str">
            <v>^=FCCQ_MEAN_EPS(3)</v>
          </cell>
          <cell r="AW8" t="str">
            <v>^=FCCQ_SALES_ACT(0)</v>
          </cell>
          <cell r="AX8" t="str">
            <v>^=FCCQ_SALES_ACT(-4)</v>
          </cell>
          <cell r="AY8" t="str">
            <v>^=FCCQ_SALES_ACT(-3)</v>
          </cell>
          <cell r="AZ8" t="str">
            <v>^=FCCQ_SALES_ACT(-2)</v>
          </cell>
          <cell r="BA8" t="str">
            <v>^=FCCQ_SALES_ACT(-1)</v>
          </cell>
          <cell r="BB8" t="str">
            <v>^=FCCQ_SALES_ACT(0)</v>
          </cell>
          <cell r="BC8" t="str">
            <v>^=FCCQ_MEAN_SALES(1)</v>
          </cell>
          <cell r="BD8" t="str">
            <v>^=FCCQ_MEAN_SALES(2)</v>
          </cell>
          <cell r="BE8" t="str">
            <v>^=FCCQ_MEAN_SALES(3)</v>
          </cell>
          <cell r="BF8" t="str">
            <v>^=G_PRICE(11/7/2001,11/7/2001,D,curn="",currency="",split=SPLIT,spinadj=0); R</v>
          </cell>
          <cell r="BG8" t="str">
            <v>^=FCCQ_MEAN_EPS(4)</v>
          </cell>
          <cell r="BH8" t="str">
            <v>^=FCCQ_MEAN_EPS(5)</v>
          </cell>
          <cell r="BI8" t="str">
            <v>^=FCCQ_MEAN_EPS(6)</v>
          </cell>
          <cell r="BJ8" t="str">
            <v>^=FCCQ_MEAN_EPS(7)</v>
          </cell>
          <cell r="BK8" t="str">
            <v>^=FCCQ_MEAN_SALES(4)</v>
          </cell>
          <cell r="BL8" t="str">
            <v>^=FCCQ_MEAN_SALES(5)</v>
          </cell>
          <cell r="BM8" t="str">
            <v>^=FCCQ_MEAN_SALES(6)</v>
          </cell>
          <cell r="BN8" t="str">
            <v>^=FCCQ_MEAN_SALES(7)</v>
          </cell>
          <cell r="BP8" t="str">
            <v>^=FCC_MEAN_SALES_CAL4(2004); c</v>
          </cell>
          <cell r="BQ8" t="str">
            <v>^=FCC_MEAN_EPS_CAL4(2004); c</v>
          </cell>
          <cell r="BS8" t="str">
            <v>^=FCC_MEAN_SALES_CAL4(2005); c</v>
          </cell>
          <cell r="BT8" t="str">
            <v>^=FCC_MEAN_EPS_CAL4(2005); c</v>
          </cell>
          <cell r="BV8" t="str">
            <v>^=FCCQ_MEAN_EPS(5)</v>
          </cell>
          <cell r="BW8" t="str">
            <v>^=FCCQ_MEAN_EPS(6)</v>
          </cell>
          <cell r="BX8" t="str">
            <v>^=FCCQ_MEAN_EPS(7)</v>
          </cell>
          <cell r="BY8" t="str">
            <v>^=FCCQ_MEAN_EPS(8)</v>
          </cell>
          <cell r="BZ8" t="str">
            <v>^=FCCQ_MEAN_SALES(5)</v>
          </cell>
        </row>
        <row r="9">
          <cell r="A9">
            <v>2</v>
          </cell>
          <cell r="B9" t="str">
            <v xml:space="preserve">AKAM </v>
          </cell>
        </row>
        <row r="20">
          <cell r="B20" t="str">
            <v>CVG</v>
          </cell>
        </row>
        <row r="21">
          <cell r="B21" t="str">
            <v>DKEY</v>
          </cell>
        </row>
        <row r="22">
          <cell r="B22" t="str">
            <v>DMRC</v>
          </cell>
        </row>
        <row r="23">
          <cell r="B23" t="str">
            <v>DOX</v>
          </cell>
        </row>
        <row r="24">
          <cell r="B24" t="str">
            <v>ENTU</v>
          </cell>
        </row>
        <row r="25">
          <cell r="B25" t="str">
            <v>GRIC</v>
          </cell>
        </row>
        <row r="26">
          <cell r="B26" t="str">
            <v>INAP</v>
          </cell>
        </row>
        <row r="27">
          <cell r="B27" t="str">
            <v>INTU</v>
          </cell>
        </row>
        <row r="28">
          <cell r="B28" t="str">
            <v>ISSX</v>
          </cell>
        </row>
        <row r="29">
          <cell r="B29" t="str">
            <v>ITRU</v>
          </cell>
        </row>
        <row r="30">
          <cell r="B30" t="str">
            <v>LBRT</v>
          </cell>
        </row>
        <row r="31">
          <cell r="B31" t="str">
            <v>LTBG</v>
          </cell>
        </row>
        <row r="32">
          <cell r="B32" t="str">
            <v>MCAF</v>
          </cell>
        </row>
        <row r="33">
          <cell r="A33">
            <v>26</v>
          </cell>
          <cell r="B33" t="str">
            <v>MERQ</v>
          </cell>
        </row>
        <row r="34">
          <cell r="B34" t="str">
            <v>SCRM</v>
          </cell>
        </row>
        <row r="35">
          <cell r="B35" t="str">
            <v>MSLV</v>
          </cell>
        </row>
        <row r="36">
          <cell r="B36" t="str">
            <v>MUSE</v>
          </cell>
        </row>
        <row r="37">
          <cell r="B37" t="str">
            <v>MVSN</v>
          </cell>
        </row>
        <row r="38">
          <cell r="B38" t="str">
            <v>NET</v>
          </cell>
        </row>
        <row r="39">
          <cell r="B39" t="str">
            <v>NETE</v>
          </cell>
        </row>
        <row r="40">
          <cell r="A40">
            <v>33</v>
          </cell>
          <cell r="B40" t="str">
            <v>NSCN</v>
          </cell>
        </row>
        <row r="41">
          <cell r="A41">
            <v>34</v>
          </cell>
          <cell r="B41" t="str">
            <v>NUAN</v>
          </cell>
        </row>
        <row r="42">
          <cell r="A42">
            <v>35</v>
          </cell>
          <cell r="B42" t="str">
            <v>ORCL</v>
          </cell>
        </row>
        <row r="43">
          <cell r="A43">
            <v>36</v>
          </cell>
          <cell r="B43" t="str">
            <v>PRSF</v>
          </cell>
        </row>
        <row r="44">
          <cell r="A44">
            <v>37</v>
          </cell>
          <cell r="B44" t="str">
            <v>PSFT</v>
          </cell>
        </row>
        <row r="45">
          <cell r="A45">
            <v>38</v>
          </cell>
          <cell r="B45" t="str">
            <v>RCOM</v>
          </cell>
        </row>
        <row r="46">
          <cell r="A46">
            <v>39</v>
          </cell>
          <cell r="B46" t="str">
            <v>RNBO</v>
          </cell>
        </row>
        <row r="47">
          <cell r="A47">
            <v>40</v>
          </cell>
          <cell r="B47" t="str">
            <v>RSAS</v>
          </cell>
        </row>
        <row r="48">
          <cell r="A48">
            <v>41</v>
          </cell>
          <cell r="B48" t="str">
            <v>SAP</v>
          </cell>
        </row>
        <row r="49">
          <cell r="A49">
            <v>42</v>
          </cell>
          <cell r="B49" t="str">
            <v>SCMM</v>
          </cell>
        </row>
        <row r="50">
          <cell r="A50">
            <v>43</v>
          </cell>
          <cell r="B50" t="str">
            <v>SCRM</v>
          </cell>
        </row>
        <row r="51">
          <cell r="A51">
            <v>44</v>
          </cell>
          <cell r="B51" t="str">
            <v>SCUR</v>
          </cell>
        </row>
        <row r="52">
          <cell r="A52">
            <v>45</v>
          </cell>
          <cell r="B52" t="str">
            <v>SEBL</v>
          </cell>
        </row>
        <row r="53">
          <cell r="A53">
            <v>46</v>
          </cell>
          <cell r="B53" t="str">
            <v>SFNT</v>
          </cell>
        </row>
        <row r="54">
          <cell r="A54">
            <v>47</v>
          </cell>
          <cell r="B54" t="str">
            <v>SNWL</v>
          </cell>
        </row>
        <row r="55">
          <cell r="A55">
            <v>48</v>
          </cell>
          <cell r="B55" t="str">
            <v>SYMC</v>
          </cell>
        </row>
        <row r="56">
          <cell r="A56">
            <v>49</v>
          </cell>
          <cell r="B56" t="str">
            <v>TMIC</v>
          </cell>
        </row>
        <row r="57">
          <cell r="A57">
            <v>50</v>
          </cell>
          <cell r="B57" t="str">
            <v>TMWD</v>
          </cell>
        </row>
        <row r="58">
          <cell r="A58">
            <v>51</v>
          </cell>
          <cell r="B58" t="str">
            <v>ULCM</v>
          </cell>
        </row>
        <row r="59">
          <cell r="A59">
            <v>52</v>
          </cell>
          <cell r="B59" t="str">
            <v>VLCT</v>
          </cell>
        </row>
        <row r="60">
          <cell r="A60">
            <v>53</v>
          </cell>
          <cell r="B60" t="str">
            <v>VRGE</v>
          </cell>
        </row>
        <row r="61">
          <cell r="A61">
            <v>54</v>
          </cell>
          <cell r="B61" t="str">
            <v>VRSN</v>
          </cell>
        </row>
        <row r="62">
          <cell r="A62">
            <v>55</v>
          </cell>
          <cell r="B62" t="str">
            <v>VRTS</v>
          </cell>
        </row>
        <row r="63">
          <cell r="A63">
            <v>56</v>
          </cell>
          <cell r="B63" t="str">
            <v>WBSN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"/>
      <sheetName val="Valuations"/>
      <sheetName val="Five Year Sales &amp; Earnings"/>
      <sheetName val="Qtr Income"/>
      <sheetName val="Qtr Margin"/>
      <sheetName val="Q Preview"/>
      <sheetName val="Qtr Sales"/>
      <sheetName val="Annual Product Sales"/>
      <sheetName val="Annual Prod Sales"/>
      <sheetName val="CF2"/>
      <sheetName val="BS2"/>
      <sheetName val="P&amp;L"/>
      <sheetName val="QTR"/>
      <sheetName val="blank"/>
      <sheetName val="Balance"/>
      <sheetName val="Cash flow"/>
      <sheetName val="IS-COMPS"/>
      <sheetName val="Paul - SEGS-MARGIN"/>
      <sheetName val="CF"/>
      <sheetName val="Qtr Link"/>
      <sheetName val="JV"/>
      <sheetName val="Stat SHeet"/>
      <sheetName val="Qtr detail"/>
      <sheetName val="Rx Data"/>
      <sheetName val="Celexa"/>
      <sheetName val="Disclaimer"/>
      <sheetName val="IndexInformation"/>
      <sheetName val="MainCode"/>
      <sheetName val="NY UPLOAD shadow"/>
      <sheetName val="Module1"/>
      <sheetName val="Module2"/>
      <sheetName val="Module3"/>
      <sheetName val="Key Charts"/>
      <sheetName val="Qrt Sales"/>
      <sheetName val="WLAwork1"/>
      <sheetName val="Enbrel Assumptions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Table 3</v>
          </cell>
          <cell r="C1" t="e">
            <v>#REF!</v>
          </cell>
          <cell r="D1">
            <v>36698.77703784722</v>
          </cell>
        </row>
        <row r="2">
          <cell r="A2" t="str">
            <v>Warner Lambert</v>
          </cell>
        </row>
        <row r="3">
          <cell r="A3" t="str">
            <v>Quarterly Income Statement Comparisons 1998 - 2005E</v>
          </cell>
        </row>
        <row r="4">
          <cell r="A4" t="str">
            <v>($ Millions Except Per Share Data)</v>
          </cell>
        </row>
        <row r="5">
          <cell r="H5" t="str">
            <v>Non-Operating Items</v>
          </cell>
          <cell r="Q5" t="str">
            <v>Tax</v>
          </cell>
          <cell r="T5" t="str">
            <v xml:space="preserve">  Shares</v>
          </cell>
        </row>
        <row r="6">
          <cell r="C6" t="str">
            <v>Cost of</v>
          </cell>
          <cell r="D6" t="str">
            <v xml:space="preserve">  Gross</v>
          </cell>
          <cell r="G6" t="str">
            <v xml:space="preserve">  Oper.</v>
          </cell>
          <cell r="H6" t="str">
            <v>Interest</v>
          </cell>
          <cell r="I6" t="str">
            <v>Interest</v>
          </cell>
          <cell r="J6" t="str">
            <v>Intang.</v>
          </cell>
          <cell r="K6" t="str">
            <v>Celexa</v>
          </cell>
          <cell r="L6" t="str">
            <v>Other</v>
          </cell>
          <cell r="N6" t="str">
            <v>Min.</v>
          </cell>
          <cell r="O6" t="str">
            <v xml:space="preserve">  Pretax </v>
          </cell>
          <cell r="Q6" t="str">
            <v>Rate</v>
          </cell>
          <cell r="R6" t="str">
            <v>Agouron</v>
          </cell>
          <cell r="S6" t="str">
            <v xml:space="preserve">  Net </v>
          </cell>
          <cell r="T6" t="str">
            <v xml:space="preserve">  Out.</v>
          </cell>
          <cell r="U6" t="str">
            <v>WLA</v>
          </cell>
          <cell r="W6" t="str">
            <v>(a)</v>
          </cell>
        </row>
        <row r="7">
          <cell r="B7" t="str">
            <v>Sales</v>
          </cell>
          <cell r="C7" t="str">
            <v xml:space="preserve"> Goods</v>
          </cell>
          <cell r="D7" t="str">
            <v xml:space="preserve">  Profit</v>
          </cell>
          <cell r="E7" t="str">
            <v>SG&amp;A</v>
          </cell>
          <cell r="F7" t="str">
            <v>R&amp;D</v>
          </cell>
          <cell r="G7" t="str">
            <v>Income</v>
          </cell>
          <cell r="H7" t="str">
            <v>Income</v>
          </cell>
          <cell r="I7" t="str">
            <v>Expense</v>
          </cell>
          <cell r="J7" t="str">
            <v>Amort.</v>
          </cell>
          <cell r="K7" t="str">
            <v>Inc.</v>
          </cell>
          <cell r="L7" t="str">
            <v>Inc</v>
          </cell>
          <cell r="M7" t="str">
            <v>Total</v>
          </cell>
          <cell r="N7" t="str">
            <v xml:space="preserve">Int. </v>
          </cell>
          <cell r="O7" t="str">
            <v xml:space="preserve">  Income</v>
          </cell>
          <cell r="P7" t="str">
            <v>Taxes</v>
          </cell>
          <cell r="Q7" t="str">
            <v xml:space="preserve">  (%)</v>
          </cell>
          <cell r="R7" t="str">
            <v>Net</v>
          </cell>
          <cell r="S7" t="str">
            <v>Inc.</v>
          </cell>
          <cell r="T7" t="str">
            <v>(MM)</v>
          </cell>
          <cell r="U7" t="str">
            <v xml:space="preserve">  EPS</v>
          </cell>
          <cell r="V7" t="str">
            <v>DPS</v>
          </cell>
          <cell r="W7" t="str">
            <v>EPS</v>
          </cell>
        </row>
        <row r="9">
          <cell r="A9" t="str">
            <v>1989</v>
          </cell>
          <cell r="B9">
            <v>4195.8999999999996</v>
          </cell>
          <cell r="C9">
            <v>1383.4</v>
          </cell>
          <cell r="D9">
            <v>2812.4999999999995</v>
          </cell>
          <cell r="E9">
            <v>1932.6</v>
          </cell>
          <cell r="F9">
            <v>308.8</v>
          </cell>
          <cell r="G9">
            <v>571.09999999999968</v>
          </cell>
          <cell r="H9">
            <v>0</v>
          </cell>
          <cell r="I9">
            <v>-55.6</v>
          </cell>
          <cell r="J9">
            <v>0</v>
          </cell>
          <cell r="L9">
            <v>76.2</v>
          </cell>
          <cell r="M9">
            <v>20.6</v>
          </cell>
          <cell r="N9">
            <v>0</v>
          </cell>
          <cell r="O9">
            <v>591.6999999999997</v>
          </cell>
          <cell r="P9">
            <v>179</v>
          </cell>
          <cell r="Q9">
            <v>0.30251816799053588</v>
          </cell>
          <cell r="S9">
            <v>412.6999999999997</v>
          </cell>
          <cell r="T9">
            <v>812.40000000000009</v>
          </cell>
          <cell r="U9">
            <v>0.50800098473658251</v>
          </cell>
          <cell r="W9">
            <v>0.32666666666666666</v>
          </cell>
        </row>
        <row r="11">
          <cell r="A11" t="str">
            <v>1990</v>
          </cell>
          <cell r="B11">
            <v>1100</v>
          </cell>
          <cell r="C11">
            <v>356.4</v>
          </cell>
          <cell r="D11">
            <v>743.6</v>
          </cell>
          <cell r="E11">
            <v>487.7</v>
          </cell>
          <cell r="F11">
            <v>81.3</v>
          </cell>
          <cell r="G11">
            <v>174.60000000000002</v>
          </cell>
          <cell r="H11">
            <v>0</v>
          </cell>
          <cell r="I11">
            <v>-20.7</v>
          </cell>
          <cell r="J11">
            <v>0</v>
          </cell>
          <cell r="L11">
            <v>17.899999999999999</v>
          </cell>
          <cell r="M11">
            <v>-2.8000000000000007</v>
          </cell>
          <cell r="N11">
            <v>0</v>
          </cell>
          <cell r="O11">
            <v>171.8</v>
          </cell>
          <cell r="P11">
            <v>51.5</v>
          </cell>
          <cell r="Q11">
            <v>0.29976717112922002</v>
          </cell>
          <cell r="S11">
            <v>120.30000000000001</v>
          </cell>
          <cell r="T11">
            <v>403.5</v>
          </cell>
          <cell r="U11">
            <v>0.29814126394052048</v>
          </cell>
          <cell r="W11">
            <v>0.29666666666666669</v>
          </cell>
        </row>
        <row r="12">
          <cell r="B12">
            <v>1154.8</v>
          </cell>
          <cell r="C12">
            <v>363.6</v>
          </cell>
          <cell r="D12">
            <v>791.19999999999993</v>
          </cell>
          <cell r="E12">
            <v>519.1</v>
          </cell>
          <cell r="F12">
            <v>85.9</v>
          </cell>
          <cell r="G12">
            <v>186.1999999999999</v>
          </cell>
          <cell r="H12">
            <v>0</v>
          </cell>
          <cell r="I12">
            <v>-16.7</v>
          </cell>
          <cell r="J12">
            <v>0</v>
          </cell>
          <cell r="L12">
            <v>19.600000000000001</v>
          </cell>
          <cell r="M12">
            <v>2.9000000000000021</v>
          </cell>
          <cell r="N12">
            <v>0</v>
          </cell>
          <cell r="O12">
            <v>189.09999999999991</v>
          </cell>
          <cell r="P12">
            <v>54.6</v>
          </cell>
          <cell r="Q12">
            <v>0.28873611845584363</v>
          </cell>
          <cell r="S12">
            <v>134.49999999999991</v>
          </cell>
          <cell r="T12">
            <v>402.59999999999997</v>
          </cell>
          <cell r="U12">
            <v>0.33407848981619453</v>
          </cell>
          <cell r="W12">
            <v>0.42796820665673002</v>
          </cell>
        </row>
        <row r="13">
          <cell r="B13">
            <v>1186.7</v>
          </cell>
          <cell r="C13">
            <v>389.7</v>
          </cell>
          <cell r="D13">
            <v>797</v>
          </cell>
          <cell r="E13">
            <v>519.1</v>
          </cell>
          <cell r="F13">
            <v>101.6</v>
          </cell>
          <cell r="G13">
            <v>176.29999999999998</v>
          </cell>
          <cell r="H13">
            <v>0</v>
          </cell>
          <cell r="I13">
            <v>-15.1</v>
          </cell>
          <cell r="J13">
            <v>0</v>
          </cell>
          <cell r="L13">
            <v>15.5</v>
          </cell>
          <cell r="M13">
            <v>0.40000000000000036</v>
          </cell>
          <cell r="N13">
            <v>0</v>
          </cell>
          <cell r="O13">
            <v>176.7</v>
          </cell>
          <cell r="P13">
            <v>52</v>
          </cell>
          <cell r="Q13">
            <v>0.29428409734012451</v>
          </cell>
          <cell r="S13">
            <v>124.69999999999999</v>
          </cell>
          <cell r="T13">
            <v>402.90000000000003</v>
          </cell>
          <cell r="U13">
            <v>0.30950608091337795</v>
          </cell>
          <cell r="W13">
            <v>0.29511044924298835</v>
          </cell>
        </row>
        <row r="14">
          <cell r="B14">
            <v>1245.5</v>
          </cell>
          <cell r="C14">
            <v>405.7</v>
          </cell>
          <cell r="D14">
            <v>839.8</v>
          </cell>
          <cell r="E14">
            <v>603.79999999999995</v>
          </cell>
          <cell r="F14">
            <v>110.5</v>
          </cell>
          <cell r="G14">
            <v>125.5</v>
          </cell>
          <cell r="H14">
            <v>0</v>
          </cell>
          <cell r="I14">
            <v>-16.2</v>
          </cell>
          <cell r="J14">
            <v>0</v>
          </cell>
          <cell r="L14">
            <v>33.9</v>
          </cell>
          <cell r="M14">
            <v>17.7</v>
          </cell>
          <cell r="N14">
            <v>0</v>
          </cell>
          <cell r="O14">
            <v>143.19999999999999</v>
          </cell>
          <cell r="P14">
            <v>37.700000000000003</v>
          </cell>
          <cell r="Q14">
            <v>0.26326815642458107</v>
          </cell>
          <cell r="S14">
            <v>105.49999999999999</v>
          </cell>
          <cell r="T14">
            <v>402.90000000000003</v>
          </cell>
          <cell r="U14">
            <v>0.26185157607346732</v>
          </cell>
          <cell r="W14">
            <v>0.27450980392156865</v>
          </cell>
        </row>
        <row r="16">
          <cell r="A16" t="str">
            <v>1990</v>
          </cell>
          <cell r="B16">
            <v>4687</v>
          </cell>
          <cell r="C16">
            <v>1515.4</v>
          </cell>
          <cell r="D16">
            <v>3171.6</v>
          </cell>
          <cell r="E16">
            <v>2129.6999999999998</v>
          </cell>
          <cell r="F16">
            <v>379.29999999999995</v>
          </cell>
          <cell r="G16">
            <v>662.59999999999991</v>
          </cell>
          <cell r="H16">
            <v>0</v>
          </cell>
          <cell r="I16">
            <v>-68.7</v>
          </cell>
          <cell r="J16">
            <v>0</v>
          </cell>
          <cell r="L16">
            <v>86.9</v>
          </cell>
          <cell r="M16">
            <v>18.200000000000003</v>
          </cell>
          <cell r="N16">
            <v>0</v>
          </cell>
          <cell r="O16">
            <v>680.8</v>
          </cell>
          <cell r="P16">
            <v>195.8</v>
          </cell>
          <cell r="Q16">
            <v>0.2876028202115159</v>
          </cell>
          <cell r="S16">
            <v>484.99999999999989</v>
          </cell>
          <cell r="T16">
            <v>402.90000000000003</v>
          </cell>
          <cell r="U16">
            <v>1.2037726482998259</v>
          </cell>
          <cell r="W16">
            <v>1.2966666666666666</v>
          </cell>
        </row>
        <row r="18">
          <cell r="A18" t="str">
            <v>1991</v>
          </cell>
          <cell r="B18">
            <v>1217.2</v>
          </cell>
          <cell r="C18">
            <v>379.7</v>
          </cell>
          <cell r="D18">
            <v>837.5</v>
          </cell>
          <cell r="E18">
            <v>555.79999999999995</v>
          </cell>
          <cell r="F18">
            <v>94.7</v>
          </cell>
          <cell r="G18">
            <v>187.00000000000006</v>
          </cell>
          <cell r="H18">
            <v>0</v>
          </cell>
          <cell r="I18">
            <v>-16.399999999999999</v>
          </cell>
          <cell r="J18">
            <v>0</v>
          </cell>
          <cell r="L18">
            <v>21.8</v>
          </cell>
          <cell r="M18">
            <v>5.4000000000000021</v>
          </cell>
          <cell r="N18">
            <v>0</v>
          </cell>
          <cell r="O18">
            <v>192.40000000000006</v>
          </cell>
          <cell r="P18">
            <v>52.9</v>
          </cell>
          <cell r="Q18">
            <v>0.27494802494802484</v>
          </cell>
          <cell r="S18">
            <v>139.50000000000006</v>
          </cell>
          <cell r="T18">
            <v>806.40000000000009</v>
          </cell>
          <cell r="U18">
            <v>0.17299107142857148</v>
          </cell>
          <cell r="W18">
            <v>0.17299107142857131</v>
          </cell>
        </row>
        <row r="19">
          <cell r="B19">
            <v>1238.2</v>
          </cell>
          <cell r="C19">
            <v>394.8</v>
          </cell>
          <cell r="D19">
            <v>843.40000000000009</v>
          </cell>
          <cell r="E19">
            <v>544.6</v>
          </cell>
          <cell r="F19">
            <v>101.4</v>
          </cell>
          <cell r="G19">
            <v>197.40000000000006</v>
          </cell>
          <cell r="H19">
            <v>0</v>
          </cell>
          <cell r="I19">
            <v>-14.4</v>
          </cell>
          <cell r="J19">
            <v>0</v>
          </cell>
          <cell r="L19">
            <v>27.5</v>
          </cell>
          <cell r="M19">
            <v>13.1</v>
          </cell>
          <cell r="N19">
            <v>0</v>
          </cell>
          <cell r="O19">
            <v>210.50000000000006</v>
          </cell>
          <cell r="P19">
            <v>55.9</v>
          </cell>
          <cell r="Q19">
            <v>0.26555819477434672</v>
          </cell>
          <cell r="S19">
            <v>154.60000000000005</v>
          </cell>
          <cell r="T19">
            <v>806.40000000000009</v>
          </cell>
          <cell r="U19">
            <v>0.19171626984126988</v>
          </cell>
          <cell r="W19">
            <v>0.19171626984126999</v>
          </cell>
        </row>
        <row r="20">
          <cell r="B20">
            <v>1266.5</v>
          </cell>
          <cell r="C20">
            <v>410.6</v>
          </cell>
          <cell r="D20">
            <v>855.9</v>
          </cell>
          <cell r="E20">
            <v>562.29999999999995</v>
          </cell>
          <cell r="F20">
            <v>106.1</v>
          </cell>
          <cell r="G20">
            <v>187.50000000000003</v>
          </cell>
          <cell r="H20">
            <v>0</v>
          </cell>
          <cell r="I20">
            <v>-12.9</v>
          </cell>
          <cell r="J20">
            <v>0</v>
          </cell>
          <cell r="L20">
            <v>22.4</v>
          </cell>
          <cell r="M20">
            <v>9.4999999999999982</v>
          </cell>
          <cell r="N20">
            <v>0</v>
          </cell>
          <cell r="O20">
            <v>197.00000000000003</v>
          </cell>
          <cell r="P20">
            <v>53.2</v>
          </cell>
          <cell r="Q20">
            <v>0.27005076142131978</v>
          </cell>
          <cell r="S20">
            <v>143.80000000000001</v>
          </cell>
          <cell r="T20">
            <v>806.40000000000009</v>
          </cell>
          <cell r="U20">
            <v>0.1783234126984127</v>
          </cell>
          <cell r="W20">
            <v>0.17212301587301601</v>
          </cell>
        </row>
        <row r="21">
          <cell r="B21">
            <v>1337.8</v>
          </cell>
          <cell r="C21">
            <v>441.3</v>
          </cell>
          <cell r="D21">
            <v>896.5</v>
          </cell>
          <cell r="E21">
            <v>630.6</v>
          </cell>
          <cell r="F21">
            <v>121</v>
          </cell>
          <cell r="G21">
            <v>144.89999999999998</v>
          </cell>
          <cell r="H21">
            <v>0</v>
          </cell>
          <cell r="I21">
            <v>-14.5</v>
          </cell>
          <cell r="J21">
            <v>0</v>
          </cell>
          <cell r="L21">
            <v>35.9</v>
          </cell>
          <cell r="M21">
            <v>21.4</v>
          </cell>
          <cell r="N21">
            <v>0</v>
          </cell>
          <cell r="O21">
            <v>166.29999999999998</v>
          </cell>
          <cell r="P21">
            <v>44.7</v>
          </cell>
          <cell r="Q21">
            <v>0.26879134095009022</v>
          </cell>
          <cell r="S21">
            <v>121.59999999999998</v>
          </cell>
          <cell r="T21">
            <v>807</v>
          </cell>
          <cell r="U21">
            <v>0.15068153655514246</v>
          </cell>
          <cell r="W21">
            <v>0.15068153655514266</v>
          </cell>
        </row>
        <row r="23">
          <cell r="A23" t="str">
            <v>1991</v>
          </cell>
          <cell r="B23">
            <v>5059.7</v>
          </cell>
          <cell r="C23">
            <v>1626.3999999999999</v>
          </cell>
          <cell r="D23">
            <v>3433.3</v>
          </cell>
          <cell r="E23">
            <v>2293.3000000000002</v>
          </cell>
          <cell r="F23">
            <v>423.20000000000005</v>
          </cell>
          <cell r="G23">
            <v>716.80000000000007</v>
          </cell>
          <cell r="H23">
            <v>0</v>
          </cell>
          <cell r="I23">
            <v>-58.199999999999996</v>
          </cell>
          <cell r="J23">
            <v>0</v>
          </cell>
          <cell r="L23">
            <v>107.6</v>
          </cell>
          <cell r="M23">
            <v>49.4</v>
          </cell>
          <cell r="N23">
            <v>0</v>
          </cell>
          <cell r="O23">
            <v>766.2</v>
          </cell>
          <cell r="P23">
            <v>206.7</v>
          </cell>
          <cell r="Q23">
            <v>0.26977290524667186</v>
          </cell>
          <cell r="S23">
            <v>559.50000000000011</v>
          </cell>
          <cell r="T23">
            <v>806.40000000000009</v>
          </cell>
          <cell r="U23">
            <v>0.69382440476190488</v>
          </cell>
          <cell r="W23">
            <v>0.68666666666666665</v>
          </cell>
        </row>
        <row r="24">
          <cell r="E24">
            <v>2292.4</v>
          </cell>
        </row>
        <row r="25">
          <cell r="A25" t="str">
            <v>1992</v>
          </cell>
          <cell r="B25">
            <v>1311.5</v>
          </cell>
          <cell r="C25">
            <v>400.9</v>
          </cell>
          <cell r="D25">
            <v>910.6</v>
          </cell>
          <cell r="E25">
            <v>586.9</v>
          </cell>
          <cell r="F25">
            <v>115.1</v>
          </cell>
          <cell r="G25">
            <v>208.60000000000005</v>
          </cell>
          <cell r="H25">
            <v>0</v>
          </cell>
          <cell r="I25">
            <v>-18.899999999999999</v>
          </cell>
          <cell r="J25">
            <v>0</v>
          </cell>
          <cell r="L25">
            <v>32.9</v>
          </cell>
          <cell r="M25">
            <v>14</v>
          </cell>
          <cell r="N25">
            <v>0</v>
          </cell>
          <cell r="O25">
            <v>222.60000000000005</v>
          </cell>
          <cell r="P25">
            <v>59</v>
          </cell>
          <cell r="Q25">
            <v>0.26504941599281218</v>
          </cell>
          <cell r="S25">
            <v>163.60000000000005</v>
          </cell>
          <cell r="T25">
            <v>807.59999999999991</v>
          </cell>
          <cell r="U25">
            <v>0.20257553244180296</v>
          </cell>
          <cell r="W25">
            <v>0.20333333333333334</v>
          </cell>
        </row>
        <row r="26">
          <cell r="B26">
            <v>1373.3</v>
          </cell>
          <cell r="C26">
            <v>434.2</v>
          </cell>
          <cell r="D26">
            <v>939.09999999999991</v>
          </cell>
          <cell r="E26">
            <v>596.70000000000005</v>
          </cell>
          <cell r="F26">
            <v>105.8</v>
          </cell>
          <cell r="G26">
            <v>236.59999999999985</v>
          </cell>
          <cell r="H26">
            <v>0</v>
          </cell>
          <cell r="I26">
            <v>-18</v>
          </cell>
          <cell r="J26">
            <v>0</v>
          </cell>
          <cell r="L26">
            <v>20</v>
          </cell>
          <cell r="M26">
            <v>2</v>
          </cell>
          <cell r="N26">
            <v>0</v>
          </cell>
          <cell r="O26">
            <v>238.59999999999985</v>
          </cell>
          <cell r="P26">
            <v>61</v>
          </cell>
          <cell r="Q26">
            <v>0.25565800502933794</v>
          </cell>
          <cell r="S26">
            <v>177.59999999999985</v>
          </cell>
          <cell r="T26">
            <v>807.59999999999991</v>
          </cell>
          <cell r="U26">
            <v>0.21991084695393742</v>
          </cell>
          <cell r="W26">
            <v>0.23333333333333331</v>
          </cell>
        </row>
        <row r="27">
          <cell r="B27">
            <v>1438.3</v>
          </cell>
          <cell r="C27">
            <v>481.2</v>
          </cell>
          <cell r="D27">
            <v>957.09999999999991</v>
          </cell>
          <cell r="E27">
            <v>619.6</v>
          </cell>
          <cell r="F27">
            <v>116.03</v>
          </cell>
          <cell r="G27">
            <v>221.46999999999989</v>
          </cell>
          <cell r="H27">
            <v>0</v>
          </cell>
          <cell r="I27">
            <v>-21</v>
          </cell>
          <cell r="J27">
            <v>0</v>
          </cell>
          <cell r="L27">
            <v>22.1</v>
          </cell>
          <cell r="M27">
            <v>1.1000000000000014</v>
          </cell>
          <cell r="N27">
            <v>0</v>
          </cell>
          <cell r="O27">
            <v>222.56999999999988</v>
          </cell>
          <cell r="P27">
            <v>57.85</v>
          </cell>
          <cell r="Q27">
            <v>0.25991822797322206</v>
          </cell>
          <cell r="S27">
            <v>164.71999999999989</v>
          </cell>
          <cell r="T27">
            <v>807.93600000000004</v>
          </cell>
          <cell r="U27">
            <v>0.20387753485424573</v>
          </cell>
          <cell r="W27">
            <v>0.20333333333333334</v>
          </cell>
        </row>
        <row r="28">
          <cell r="B28">
            <v>1474.412</v>
          </cell>
          <cell r="C28">
            <v>498</v>
          </cell>
          <cell r="D28">
            <v>976.41200000000003</v>
          </cell>
          <cell r="E28">
            <v>677.6</v>
          </cell>
          <cell r="F28">
            <v>136.5</v>
          </cell>
          <cell r="G28">
            <v>162.31200000000001</v>
          </cell>
          <cell r="H28">
            <v>0</v>
          </cell>
          <cell r="I28">
            <v>-18</v>
          </cell>
          <cell r="J28">
            <v>0</v>
          </cell>
          <cell r="L28">
            <v>30.5</v>
          </cell>
          <cell r="M28">
            <v>12.5</v>
          </cell>
          <cell r="N28">
            <v>0</v>
          </cell>
          <cell r="O28">
            <v>174.81200000000001</v>
          </cell>
          <cell r="P28">
            <v>36.765000000000001</v>
          </cell>
          <cell r="Q28">
            <v>0.2103116490858751</v>
          </cell>
          <cell r="S28">
            <v>138.04700000000003</v>
          </cell>
          <cell r="T28">
            <v>808.30200000000013</v>
          </cell>
          <cell r="U28">
            <v>0.1707864139888309</v>
          </cell>
          <cell r="W28">
            <v>0.17</v>
          </cell>
        </row>
        <row r="30">
          <cell r="A30" t="str">
            <v>1992</v>
          </cell>
          <cell r="B30">
            <v>5597.5120000000006</v>
          </cell>
          <cell r="C30">
            <v>1814.3</v>
          </cell>
          <cell r="D30">
            <v>3783.2120000000004</v>
          </cell>
          <cell r="E30">
            <v>2480.7999999999997</v>
          </cell>
          <cell r="F30">
            <v>473.42999999999995</v>
          </cell>
          <cell r="G30">
            <v>828.98199999999986</v>
          </cell>
          <cell r="H30">
            <v>0</v>
          </cell>
          <cell r="I30">
            <v>-75.900000000000006</v>
          </cell>
          <cell r="J30">
            <v>0</v>
          </cell>
          <cell r="L30">
            <v>105.5</v>
          </cell>
          <cell r="M30">
            <v>29.6</v>
          </cell>
          <cell r="N30">
            <v>0</v>
          </cell>
          <cell r="O30">
            <v>858.58199999999977</v>
          </cell>
          <cell r="P30">
            <v>214.61500000000001</v>
          </cell>
          <cell r="Q30">
            <v>0.24996447631094068</v>
          </cell>
          <cell r="S30">
            <v>643.96699999999987</v>
          </cell>
          <cell r="T30">
            <v>808.19999999999993</v>
          </cell>
          <cell r="U30">
            <v>0.79679163573372913</v>
          </cell>
          <cell r="W30">
            <v>0.81</v>
          </cell>
        </row>
        <row r="32">
          <cell r="A32" t="str">
            <v>1993</v>
          </cell>
          <cell r="B32">
            <v>1331.7</v>
          </cell>
          <cell r="C32">
            <v>410.9</v>
          </cell>
          <cell r="D32">
            <v>920.80000000000007</v>
          </cell>
          <cell r="E32">
            <v>588</v>
          </cell>
          <cell r="F32">
            <v>110.7</v>
          </cell>
          <cell r="G32">
            <v>222.10000000000008</v>
          </cell>
          <cell r="H32">
            <v>9.5</v>
          </cell>
          <cell r="I32">
            <v>-14</v>
          </cell>
          <cell r="J32">
            <v>-2.8</v>
          </cell>
          <cell r="L32">
            <v>30.099999999999998</v>
          </cell>
          <cell r="M32">
            <v>22.799999999999997</v>
          </cell>
          <cell r="N32">
            <v>0.1</v>
          </cell>
          <cell r="O32">
            <v>245.00000000000009</v>
          </cell>
          <cell r="P32">
            <v>63.7</v>
          </cell>
          <cell r="Q32">
            <v>0.2599999999999999</v>
          </cell>
          <cell r="S32">
            <v>181.30000000000007</v>
          </cell>
          <cell r="T32">
            <v>812.178</v>
          </cell>
          <cell r="U32">
            <v>0.2232269280871928</v>
          </cell>
          <cell r="W32">
            <v>0.22333333333333336</v>
          </cell>
        </row>
        <row r="33">
          <cell r="B33">
            <v>1449.7</v>
          </cell>
          <cell r="C33">
            <v>471.9</v>
          </cell>
          <cell r="D33">
            <v>977.80000000000007</v>
          </cell>
          <cell r="E33">
            <v>630</v>
          </cell>
          <cell r="F33">
            <v>107.7</v>
          </cell>
          <cell r="G33">
            <v>240.10000000000008</v>
          </cell>
          <cell r="H33">
            <v>9.5</v>
          </cell>
          <cell r="I33">
            <v>-16</v>
          </cell>
          <cell r="J33">
            <v>-2.8</v>
          </cell>
          <cell r="L33">
            <v>19.399999999999999</v>
          </cell>
          <cell r="M33">
            <v>10.099999999999998</v>
          </cell>
          <cell r="N33">
            <v>0.1</v>
          </cell>
          <cell r="O33">
            <v>250.30000000000007</v>
          </cell>
          <cell r="P33">
            <v>60.1</v>
          </cell>
          <cell r="Q33">
            <v>0.24011186576108665</v>
          </cell>
          <cell r="S33">
            <v>190.20000000000007</v>
          </cell>
          <cell r="T33">
            <v>811.19999999999993</v>
          </cell>
          <cell r="U33">
            <v>0.23446745562130189</v>
          </cell>
          <cell r="W33">
            <v>0.23333333333333331</v>
          </cell>
        </row>
        <row r="34">
          <cell r="B34">
            <v>1478.5</v>
          </cell>
          <cell r="C34">
            <v>498.3</v>
          </cell>
          <cell r="D34">
            <v>980.2</v>
          </cell>
          <cell r="E34">
            <v>665.3</v>
          </cell>
          <cell r="F34">
            <v>118.5</v>
          </cell>
          <cell r="G34">
            <v>196.40000000000009</v>
          </cell>
          <cell r="H34">
            <v>10.4</v>
          </cell>
          <cell r="I34">
            <v>-18</v>
          </cell>
          <cell r="J34">
            <v>-2.9</v>
          </cell>
          <cell r="L34">
            <v>8.0999999999999979</v>
          </cell>
          <cell r="M34">
            <v>-2.4000000000000021</v>
          </cell>
          <cell r="N34">
            <v>0.1</v>
          </cell>
          <cell r="O34">
            <v>194.10000000000008</v>
          </cell>
          <cell r="P34">
            <v>38.1</v>
          </cell>
          <cell r="Q34">
            <v>0.19629057187016993</v>
          </cell>
          <cell r="S34">
            <v>156.00000000000009</v>
          </cell>
          <cell r="T34">
            <v>809.40000000000009</v>
          </cell>
          <cell r="U34">
            <v>0.19273535952557458</v>
          </cell>
          <cell r="W34">
            <v>0.19333333333333333</v>
          </cell>
        </row>
        <row r="35">
          <cell r="B35">
            <v>1533.8</v>
          </cell>
          <cell r="C35">
            <v>537</v>
          </cell>
          <cell r="D35">
            <v>996.8</v>
          </cell>
          <cell r="E35">
            <v>712.8</v>
          </cell>
          <cell r="F35">
            <v>128</v>
          </cell>
          <cell r="G35">
            <v>156</v>
          </cell>
          <cell r="H35">
            <v>10.3</v>
          </cell>
          <cell r="I35">
            <v>-16.2</v>
          </cell>
          <cell r="J35">
            <v>-2.9</v>
          </cell>
          <cell r="L35">
            <v>6.9000000000000448</v>
          </cell>
          <cell r="M35">
            <v>-1.8999999999999542</v>
          </cell>
          <cell r="N35">
            <v>0.2</v>
          </cell>
          <cell r="O35">
            <v>154.30000000000004</v>
          </cell>
          <cell r="P35">
            <v>36.399999999999977</v>
          </cell>
          <cell r="Q35">
            <v>0.2359040829552817</v>
          </cell>
          <cell r="S35">
            <v>117.90000000000006</v>
          </cell>
          <cell r="T35">
            <v>806.40000000000009</v>
          </cell>
          <cell r="U35">
            <v>0.14620535714285721</v>
          </cell>
          <cell r="W35">
            <v>-0.24</v>
          </cell>
        </row>
        <row r="37">
          <cell r="A37" t="str">
            <v>1993</v>
          </cell>
          <cell r="B37">
            <v>5793.7</v>
          </cell>
          <cell r="C37">
            <v>1918.1</v>
          </cell>
          <cell r="D37">
            <v>3875.6</v>
          </cell>
          <cell r="E37">
            <v>2596.1</v>
          </cell>
          <cell r="F37">
            <v>464.9</v>
          </cell>
          <cell r="G37">
            <v>814.60000000000025</v>
          </cell>
          <cell r="H37">
            <v>39.700000000000003</v>
          </cell>
          <cell r="I37">
            <v>-64.2</v>
          </cell>
          <cell r="J37">
            <v>-11.4</v>
          </cell>
          <cell r="L37">
            <v>64.500000000000043</v>
          </cell>
          <cell r="M37">
            <v>28.600000000000037</v>
          </cell>
          <cell r="N37">
            <v>0.5</v>
          </cell>
          <cell r="O37">
            <v>843.70000000000039</v>
          </cell>
          <cell r="P37">
            <v>198.29999999999998</v>
          </cell>
          <cell r="Q37">
            <v>0.23503615029038746</v>
          </cell>
          <cell r="S37">
            <v>645.40000000000032</v>
          </cell>
          <cell r="T37">
            <v>810</v>
          </cell>
          <cell r="U37">
            <v>0.79679012345679057</v>
          </cell>
          <cell r="W37">
            <v>0.41</v>
          </cell>
        </row>
        <row r="39">
          <cell r="A39" t="str">
            <v>94/93</v>
          </cell>
          <cell r="B39">
            <v>0.10754750850061279</v>
          </cell>
          <cell r="C39">
            <v>0.12355977269172613</v>
          </cell>
          <cell r="D39">
            <v>9.9622768087522129E-2</v>
          </cell>
          <cell r="E39">
            <v>5.365740919070916E-2</v>
          </cell>
          <cell r="F39">
            <v>-1.9143901914390193E-2</v>
          </cell>
          <cell r="G39">
            <v>0.31389393567394963</v>
          </cell>
          <cell r="H39">
            <v>0.25188916876574297</v>
          </cell>
          <cell r="I39">
            <v>0.45950155763239864</v>
          </cell>
          <cell r="J39">
            <v>9.6491228070175294E-2</v>
          </cell>
          <cell r="L39">
            <v>-1.1317829457364341</v>
          </cell>
          <cell r="M39" t="str">
            <v xml:space="preserve">    NM</v>
          </cell>
          <cell r="N39" t="str">
            <v xml:space="preserve">    NM</v>
          </cell>
          <cell r="O39">
            <v>8.2235391726916518E-2</v>
          </cell>
          <cell r="P39">
            <v>0.10489157841654073</v>
          </cell>
          <cell r="Q39">
            <v>2.093462001226154E-2</v>
          </cell>
          <cell r="S39">
            <v>7.5274248528043985E-2</v>
          </cell>
          <cell r="T39">
            <v>-6.6666666666668206E-3</v>
          </cell>
          <cell r="U39">
            <v>8.3514099783079665E-2</v>
          </cell>
          <cell r="W39">
            <v>1.1056910569105689</v>
          </cell>
        </row>
        <row r="40">
          <cell r="A40" t="str">
            <v>1994</v>
          </cell>
        </row>
        <row r="41">
          <cell r="A41" t="str">
            <v xml:space="preserve"> 1Q</v>
          </cell>
          <cell r="B41">
            <v>1472.895</v>
          </cell>
          <cell r="C41">
            <v>479</v>
          </cell>
          <cell r="D41">
            <v>993.89499999999998</v>
          </cell>
          <cell r="E41">
            <v>612.40000000000009</v>
          </cell>
          <cell r="F41">
            <v>97.9</v>
          </cell>
          <cell r="G41">
            <v>283.59499999999991</v>
          </cell>
          <cell r="H41">
            <v>9.6</v>
          </cell>
          <cell r="I41">
            <v>-18.399999999999999</v>
          </cell>
          <cell r="J41">
            <v>-3.1</v>
          </cell>
          <cell r="L41">
            <v>1.8999999999999986</v>
          </cell>
          <cell r="M41">
            <v>-10</v>
          </cell>
          <cell r="N41">
            <v>-19.815999999999999</v>
          </cell>
          <cell r="O41">
            <v>253.77899999999991</v>
          </cell>
          <cell r="P41">
            <v>63.4</v>
          </cell>
          <cell r="Q41">
            <v>0.24982366547271453</v>
          </cell>
          <cell r="S41">
            <v>190.37899999999991</v>
          </cell>
          <cell r="T41">
            <v>803.09999999999991</v>
          </cell>
          <cell r="U41">
            <v>0.23666666666666666</v>
          </cell>
          <cell r="W41">
            <v>0.23666666666666666</v>
          </cell>
        </row>
        <row r="42">
          <cell r="A42" t="str">
            <v xml:space="preserve"> 2Q</v>
          </cell>
          <cell r="B42">
            <v>1552.203</v>
          </cell>
          <cell r="C42">
            <v>509.3</v>
          </cell>
          <cell r="D42">
            <v>1042.903</v>
          </cell>
          <cell r="E42">
            <v>657</v>
          </cell>
          <cell r="F42">
            <v>100.5</v>
          </cell>
          <cell r="G42">
            <v>285.40300000000002</v>
          </cell>
          <cell r="H42">
            <v>14.5</v>
          </cell>
          <cell r="I42">
            <v>-23.8</v>
          </cell>
          <cell r="J42">
            <v>-3.1</v>
          </cell>
          <cell r="L42">
            <v>1.0999999999999996</v>
          </cell>
          <cell r="M42">
            <v>-11.3</v>
          </cell>
          <cell r="N42">
            <v>-18.600000000000001</v>
          </cell>
          <cell r="O42">
            <v>255.50300000000001</v>
          </cell>
          <cell r="P42">
            <v>58.8</v>
          </cell>
          <cell r="Q42">
            <v>0.23013428413756393</v>
          </cell>
          <cell r="S42">
            <v>196.70300000000003</v>
          </cell>
          <cell r="T42">
            <v>802.7940000000001</v>
          </cell>
          <cell r="U42">
            <v>0.24666666666666667</v>
          </cell>
          <cell r="W42">
            <v>0.24666666666666667</v>
          </cell>
        </row>
        <row r="43">
          <cell r="A43" t="str">
            <v xml:space="preserve"> 3Q</v>
          </cell>
          <cell r="B43">
            <v>1671</v>
          </cell>
          <cell r="C43">
            <v>569.4</v>
          </cell>
          <cell r="D43">
            <v>1101.5999999999999</v>
          </cell>
          <cell r="E43">
            <v>701.1</v>
          </cell>
          <cell r="F43">
            <v>124.2</v>
          </cell>
          <cell r="G43">
            <v>276.2999999999999</v>
          </cell>
          <cell r="H43">
            <v>14.6</v>
          </cell>
          <cell r="I43">
            <v>-26</v>
          </cell>
          <cell r="J43">
            <v>-3.1</v>
          </cell>
          <cell r="L43">
            <v>-4.4000000000000004</v>
          </cell>
          <cell r="M43">
            <v>-18.899999999999999</v>
          </cell>
          <cell r="N43">
            <v>-34.700000000000003</v>
          </cell>
          <cell r="O43">
            <v>222.69999999999993</v>
          </cell>
          <cell r="P43">
            <v>53.5</v>
          </cell>
          <cell r="Q43">
            <v>0.24023349797934448</v>
          </cell>
          <cell r="S43">
            <v>169.19999999999993</v>
          </cell>
          <cell r="T43">
            <v>805.19999999999993</v>
          </cell>
          <cell r="U43">
            <v>0.21</v>
          </cell>
          <cell r="W43">
            <v>0.21</v>
          </cell>
        </row>
        <row r="44">
          <cell r="A44" t="str">
            <v xml:space="preserve"> 4Q</v>
          </cell>
          <cell r="B44">
            <v>1720.7</v>
          </cell>
          <cell r="C44">
            <v>597.4</v>
          </cell>
          <cell r="D44">
            <v>1123.3000000000002</v>
          </cell>
          <cell r="E44">
            <v>764.90000000000009</v>
          </cell>
          <cell r="F44">
            <v>133.4</v>
          </cell>
          <cell r="G44">
            <v>225.00000000000009</v>
          </cell>
          <cell r="H44">
            <v>11</v>
          </cell>
          <cell r="I44">
            <v>-25.5</v>
          </cell>
          <cell r="J44">
            <v>-3.2</v>
          </cell>
          <cell r="L44">
            <v>-7.1000000000000005</v>
          </cell>
          <cell r="M44">
            <v>-24.8</v>
          </cell>
          <cell r="N44">
            <v>-19.100000000000001</v>
          </cell>
          <cell r="O44">
            <v>181.10000000000008</v>
          </cell>
          <cell r="P44">
            <v>43.4</v>
          </cell>
          <cell r="Q44">
            <v>0.23964660408614014</v>
          </cell>
          <cell r="S44">
            <v>137.70000000000007</v>
          </cell>
          <cell r="T44">
            <v>807.24599999999998</v>
          </cell>
          <cell r="U44">
            <v>0.17</v>
          </cell>
          <cell r="W44">
            <v>0.17</v>
          </cell>
        </row>
        <row r="46">
          <cell r="A46" t="str">
            <v>1994</v>
          </cell>
          <cell r="B46">
            <v>6416.7979999999998</v>
          </cell>
          <cell r="C46">
            <v>2155.1</v>
          </cell>
          <cell r="D46">
            <v>4261.6980000000003</v>
          </cell>
          <cell r="E46">
            <v>2735.4</v>
          </cell>
          <cell r="F46">
            <v>456</v>
          </cell>
          <cell r="G46">
            <v>1070.2979999999998</v>
          </cell>
          <cell r="H46">
            <v>49.7</v>
          </cell>
          <cell r="I46">
            <v>-93.7</v>
          </cell>
          <cell r="J46">
            <v>-12.5</v>
          </cell>
          <cell r="L46">
            <v>-8.5000000000000036</v>
          </cell>
          <cell r="M46">
            <v>-65</v>
          </cell>
          <cell r="N46">
            <v>-92.216000000000008</v>
          </cell>
          <cell r="O46">
            <v>913.08199999999988</v>
          </cell>
          <cell r="P46">
            <v>219.1</v>
          </cell>
          <cell r="Q46">
            <v>0.23995654278586154</v>
          </cell>
          <cell r="S46">
            <v>693.98199999999997</v>
          </cell>
          <cell r="T46">
            <v>804.59999999999991</v>
          </cell>
          <cell r="U46">
            <v>0.86333333333333329</v>
          </cell>
          <cell r="W46">
            <v>0.86333333333333329</v>
          </cell>
        </row>
        <row r="48">
          <cell r="A48" t="str">
            <v>95/94</v>
          </cell>
        </row>
        <row r="49">
          <cell r="A49" t="str">
            <v xml:space="preserve"> 1Q</v>
          </cell>
          <cell r="B49">
            <v>8.9419137141479865E-2</v>
          </cell>
          <cell r="C49">
            <v>0.11127348643006263</v>
          </cell>
          <cell r="D49">
            <v>7.888660270954162E-2</v>
          </cell>
          <cell r="E49">
            <v>2.5310254735466886E-2</v>
          </cell>
          <cell r="F49">
            <v>0.16751787538304375</v>
          </cell>
          <cell r="G49">
            <v>0.16398385020892503</v>
          </cell>
          <cell r="H49">
            <v>0.30208333333333348</v>
          </cell>
          <cell r="I49">
            <v>0.5869565217391306</v>
          </cell>
          <cell r="J49">
            <v>0.12903225806451601</v>
          </cell>
          <cell r="L49" t="str">
            <v xml:space="preserve">    NM</v>
          </cell>
          <cell r="M49">
            <v>1.1200000000000001</v>
          </cell>
          <cell r="N49">
            <v>0.52906742026645137</v>
          </cell>
          <cell r="O49">
            <v>9.7805570988931612E-2</v>
          </cell>
          <cell r="P49">
            <v>0.21766561514195581</v>
          </cell>
          <cell r="Q49">
            <v>0.10918148652229132</v>
          </cell>
          <cell r="S49">
            <v>5.788978826446245E-2</v>
          </cell>
          <cell r="T49">
            <v>5.7900635039223047E-3</v>
          </cell>
          <cell r="U49">
            <v>5.6338028169014009E-2</v>
          </cell>
          <cell r="W49">
            <v>5.6338028169014009E-2</v>
          </cell>
        </row>
        <row r="50">
          <cell r="A50" t="str">
            <v xml:space="preserve"> 2Q</v>
          </cell>
          <cell r="B50">
            <v>0.15938443618521547</v>
          </cell>
          <cell r="C50">
            <v>0.20086393088552912</v>
          </cell>
          <cell r="D50">
            <v>0.13912799176912904</v>
          </cell>
          <cell r="E50">
            <v>0.1388127853881278</v>
          </cell>
          <cell r="F50">
            <v>0.18905472636815923</v>
          </cell>
          <cell r="G50">
            <v>0.12227271612421742</v>
          </cell>
          <cell r="H50">
            <v>-0.13103448275862073</v>
          </cell>
          <cell r="I50">
            <v>0.38655462184873945</v>
          </cell>
          <cell r="J50">
            <v>0.12903225806451601</v>
          </cell>
          <cell r="L50" t="str">
            <v xml:space="preserve">    NM</v>
          </cell>
          <cell r="M50">
            <v>0.21238938053097312</v>
          </cell>
          <cell r="N50">
            <v>0.5376344086021505</v>
          </cell>
          <cell r="O50">
            <v>8.804984677283656E-2</v>
          </cell>
          <cell r="P50">
            <v>0.30952380952380953</v>
          </cell>
          <cell r="Q50">
            <v>0.20355130181569003</v>
          </cell>
          <cell r="S50">
            <v>2.1845116749617643E-2</v>
          </cell>
          <cell r="T50">
            <v>8.2287610520257459E-3</v>
          </cell>
          <cell r="U50">
            <v>1.3513513513513598E-2</v>
          </cell>
          <cell r="W50">
            <v>1.3513513513513598E-2</v>
          </cell>
        </row>
        <row r="51">
          <cell r="A51" t="str">
            <v xml:space="preserve"> 3Q</v>
          </cell>
          <cell r="B51">
            <v>6.2657091561938882E-2</v>
          </cell>
          <cell r="C51">
            <v>9.2553565156304973E-2</v>
          </cell>
          <cell r="D51">
            <v>4.7204066811910028E-2</v>
          </cell>
          <cell r="E51">
            <v>0.12081015546997564</v>
          </cell>
          <cell r="F51">
            <v>4.8309178743961345E-2</v>
          </cell>
          <cell r="G51">
            <v>-0.1400651465798044</v>
          </cell>
          <cell r="H51">
            <v>-0.1095890410958904</v>
          </cell>
          <cell r="I51">
            <v>0.20384615384615379</v>
          </cell>
          <cell r="J51">
            <v>0.12903225806451601</v>
          </cell>
          <cell r="L51" t="str">
            <v xml:space="preserve">    NM</v>
          </cell>
          <cell r="M51">
            <v>0.23809523809523858</v>
          </cell>
          <cell r="N51">
            <v>1.4409221902017322E-2</v>
          </cell>
          <cell r="O51">
            <v>-0.19622810956443648</v>
          </cell>
          <cell r="P51">
            <v>-0.11401869158878508</v>
          </cell>
          <cell r="Q51">
            <v>0.10227953845350579</v>
          </cell>
          <cell r="S51">
            <v>-0.22222222222222232</v>
          </cell>
          <cell r="T51">
            <v>7.1572280178839875E-3</v>
          </cell>
          <cell r="U51">
            <v>-0.22222222222222221</v>
          </cell>
          <cell r="W51">
            <v>0.25396825396825418</v>
          </cell>
        </row>
        <row r="52">
          <cell r="A52" t="str">
            <v xml:space="preserve"> 4Q</v>
          </cell>
          <cell r="B52">
            <v>8.0897309234613912E-2</v>
          </cell>
          <cell r="C52">
            <v>0.10729829260127222</v>
          </cell>
          <cell r="D52">
            <v>6.6856583281402981E-2</v>
          </cell>
          <cell r="E52">
            <v>6.9290103281474558E-2</v>
          </cell>
          <cell r="F52">
            <v>2.8485757121439192E-2</v>
          </cell>
          <cell r="G52">
            <v>8.133333333333348E-2</v>
          </cell>
          <cell r="H52">
            <v>5.4545454545454453E-2</v>
          </cell>
          <cell r="I52">
            <v>0.1450980392156862</v>
          </cell>
          <cell r="J52">
            <v>0.40625</v>
          </cell>
          <cell r="L52" t="str">
            <v xml:space="preserve">    NM</v>
          </cell>
          <cell r="M52">
            <v>0.66935483870967727</v>
          </cell>
          <cell r="N52">
            <v>0.87958115183246055</v>
          </cell>
          <cell r="O52">
            <v>-8.3379348426283584E-2</v>
          </cell>
          <cell r="P52">
            <v>-1.1520737327188946E-2</v>
          </cell>
          <cell r="Q52">
            <v>7.8395147409915822E-2</v>
          </cell>
          <cell r="S52">
            <v>-0.1060275962236743</v>
          </cell>
          <cell r="T52">
            <v>4.8981351409607132E-3</v>
          </cell>
          <cell r="U52">
            <v>-0.11764705882352955</v>
          </cell>
          <cell r="W52">
            <v>-0.11764705882352955</v>
          </cell>
        </row>
        <row r="54">
          <cell r="A54" t="str">
            <v>95/94</v>
          </cell>
          <cell r="B54">
            <v>9.7089233602179803E-2</v>
          </cell>
          <cell r="C54">
            <v>0.1263978469676581</v>
          </cell>
          <cell r="D54">
            <v>8.2268147578734796E-2</v>
          </cell>
          <cell r="E54">
            <v>8.9347079037800592E-2</v>
          </cell>
          <cell r="F54">
            <v>9.9122807017543835E-2</v>
          </cell>
          <cell r="G54">
            <v>5.699534148433405E-2</v>
          </cell>
          <cell r="H54">
            <v>0</v>
          </cell>
          <cell r="I54">
            <v>0.30949839914621124</v>
          </cell>
          <cell r="J54">
            <v>0.19999999999999996</v>
          </cell>
          <cell r="L54">
            <v>0.37647058823529411</v>
          </cell>
          <cell r="M54" t="str">
            <v xml:space="preserve">    NM</v>
          </cell>
          <cell r="N54" t="str">
            <v xml:space="preserve">NM </v>
          </cell>
          <cell r="O54">
            <v>-1.2574993264569678E-2</v>
          </cell>
          <cell r="P54">
            <v>0.11592879963486991</v>
          </cell>
          <cell r="Q54">
            <v>0.13014030637556151</v>
          </cell>
          <cell r="S54">
            <v>-5.314547063180286E-2</v>
          </cell>
          <cell r="T54">
            <v>6.7114093959732557E-3</v>
          </cell>
          <cell r="U54">
            <v>-6.1776061776061653E-2</v>
          </cell>
          <cell r="W54">
            <v>5.7915057915058021E-2</v>
          </cell>
        </row>
        <row r="56">
          <cell r="A56" t="str">
            <v>1995</v>
          </cell>
        </row>
        <row r="57">
          <cell r="A57" t="str">
            <v xml:space="preserve"> 1Q</v>
          </cell>
          <cell r="B57">
            <v>1604.6</v>
          </cell>
          <cell r="C57">
            <v>532.29999999999995</v>
          </cell>
          <cell r="D57">
            <v>1072.3</v>
          </cell>
          <cell r="E57">
            <v>627.9</v>
          </cell>
          <cell r="F57">
            <v>114.3</v>
          </cell>
          <cell r="G57">
            <v>330.09999999999997</v>
          </cell>
          <cell r="H57">
            <v>12.5</v>
          </cell>
          <cell r="I57">
            <v>-29.2</v>
          </cell>
          <cell r="J57">
            <v>-3.5</v>
          </cell>
          <cell r="L57">
            <v>-0.99999999999999967</v>
          </cell>
          <cell r="M57">
            <v>-21.2</v>
          </cell>
          <cell r="N57">
            <v>-30.3</v>
          </cell>
          <cell r="O57">
            <v>278.59999999999997</v>
          </cell>
          <cell r="P57">
            <v>77.2</v>
          </cell>
          <cell r="Q57">
            <v>0.27709978463747315</v>
          </cell>
          <cell r="S57">
            <v>201.39999999999998</v>
          </cell>
          <cell r="T57">
            <v>807.75</v>
          </cell>
          <cell r="U57">
            <v>0.25</v>
          </cell>
          <cell r="W57">
            <v>0.25</v>
          </cell>
        </row>
        <row r="58">
          <cell r="A58" t="str">
            <v xml:space="preserve"> 2Q</v>
          </cell>
          <cell r="B58">
            <v>1799.6</v>
          </cell>
          <cell r="C58">
            <v>611.6</v>
          </cell>
          <cell r="D58">
            <v>1188</v>
          </cell>
          <cell r="E58">
            <v>748.19999999999993</v>
          </cell>
          <cell r="F58">
            <v>119.5</v>
          </cell>
          <cell r="G58">
            <v>320.30000000000007</v>
          </cell>
          <cell r="H58">
            <v>12.6</v>
          </cell>
          <cell r="I58">
            <v>-33</v>
          </cell>
          <cell r="J58">
            <v>-3.5</v>
          </cell>
          <cell r="L58">
            <v>10.200000000000001</v>
          </cell>
          <cell r="M58">
            <v>-13.699999999999998</v>
          </cell>
          <cell r="N58">
            <v>-28.6</v>
          </cell>
          <cell r="O58">
            <v>278.00000000000006</v>
          </cell>
          <cell r="P58">
            <v>77</v>
          </cell>
          <cell r="Q58">
            <v>0.27697841726618699</v>
          </cell>
          <cell r="S58">
            <v>201.00000000000006</v>
          </cell>
          <cell r="T58">
            <v>809.40000000000009</v>
          </cell>
          <cell r="U58">
            <v>0.25</v>
          </cell>
          <cell r="W58">
            <v>0.25</v>
          </cell>
        </row>
        <row r="59">
          <cell r="A59" t="str">
            <v xml:space="preserve"> 3Q</v>
          </cell>
          <cell r="B59">
            <v>1775.7</v>
          </cell>
          <cell r="C59">
            <v>622.1</v>
          </cell>
          <cell r="D59">
            <v>1153.5999999999999</v>
          </cell>
          <cell r="E59">
            <v>785.8</v>
          </cell>
          <cell r="F59">
            <v>130.19999999999999</v>
          </cell>
          <cell r="G59">
            <v>237.59999999999997</v>
          </cell>
          <cell r="H59">
            <v>13</v>
          </cell>
          <cell r="I59">
            <v>-31.3</v>
          </cell>
          <cell r="J59">
            <v>-3.5</v>
          </cell>
          <cell r="L59">
            <v>-1.6000000000000085</v>
          </cell>
          <cell r="M59">
            <v>-23.400000000000009</v>
          </cell>
          <cell r="N59">
            <v>-35.200000000000003</v>
          </cell>
          <cell r="O59">
            <v>178.99999999999994</v>
          </cell>
          <cell r="P59">
            <v>47.4</v>
          </cell>
          <cell r="Q59">
            <v>0.26480446927374307</v>
          </cell>
          <cell r="S59">
            <v>131.59999999999994</v>
          </cell>
          <cell r="T59">
            <v>810.96300000000008</v>
          </cell>
          <cell r="U59">
            <v>0.16333333333333333</v>
          </cell>
          <cell r="W59">
            <v>0.26333333333333336</v>
          </cell>
        </row>
        <row r="60">
          <cell r="A60" t="str">
            <v xml:space="preserve"> 4Q</v>
          </cell>
          <cell r="B60">
            <v>1859.9</v>
          </cell>
          <cell r="C60">
            <v>661.5</v>
          </cell>
          <cell r="D60">
            <v>1198.4000000000001</v>
          </cell>
          <cell r="E60">
            <v>817.9</v>
          </cell>
          <cell r="F60">
            <v>137.19999999999999</v>
          </cell>
          <cell r="G60">
            <v>243.30000000000013</v>
          </cell>
          <cell r="H60">
            <v>11.6</v>
          </cell>
          <cell r="I60">
            <v>-29.2</v>
          </cell>
          <cell r="J60">
            <v>-4.5</v>
          </cell>
          <cell r="L60">
            <v>-19.299999999999997</v>
          </cell>
          <cell r="M60">
            <v>-41.4</v>
          </cell>
          <cell r="N60">
            <v>-35.9</v>
          </cell>
          <cell r="O60">
            <v>166.00000000000011</v>
          </cell>
          <cell r="P60">
            <v>42.9</v>
          </cell>
          <cell r="Q60">
            <v>0.25843373493975885</v>
          </cell>
          <cell r="S60">
            <v>123.10000000000011</v>
          </cell>
          <cell r="T60">
            <v>811.19999999999993</v>
          </cell>
          <cell r="U60">
            <v>0.15</v>
          </cell>
          <cell r="W60">
            <v>0.15</v>
          </cell>
        </row>
        <row r="62">
          <cell r="A62" t="str">
            <v>1995</v>
          </cell>
          <cell r="B62">
            <v>7039.7999999999993</v>
          </cell>
          <cell r="C62">
            <v>2427.5</v>
          </cell>
          <cell r="D62">
            <v>4612.2999999999993</v>
          </cell>
          <cell r="E62">
            <v>2979.7999999999997</v>
          </cell>
          <cell r="F62">
            <v>501.2</v>
          </cell>
          <cell r="G62">
            <v>1131.2999999999995</v>
          </cell>
          <cell r="H62">
            <v>49.7</v>
          </cell>
          <cell r="I62">
            <v>-122.7</v>
          </cell>
          <cell r="J62">
            <v>-15</v>
          </cell>
          <cell r="L62">
            <v>-11.700000000000005</v>
          </cell>
          <cell r="M62">
            <v>-99.700000000000017</v>
          </cell>
          <cell r="N62">
            <v>-130</v>
          </cell>
          <cell r="O62">
            <v>901.6</v>
          </cell>
          <cell r="P62">
            <v>244.5</v>
          </cell>
          <cell r="Q62">
            <v>0.27118456078083408</v>
          </cell>
          <cell r="S62">
            <v>657.10000000000014</v>
          </cell>
          <cell r="T62">
            <v>810</v>
          </cell>
          <cell r="U62">
            <v>0.81</v>
          </cell>
          <cell r="W62">
            <v>0.91333333333333344</v>
          </cell>
        </row>
        <row r="64">
          <cell r="A64" t="str">
            <v>96/95</v>
          </cell>
        </row>
        <row r="65">
          <cell r="A65" t="str">
            <v xml:space="preserve"> 1Q</v>
          </cell>
          <cell r="B65">
            <v>0.13997257883584702</v>
          </cell>
          <cell r="C65">
            <v>0.10764606424948342</v>
          </cell>
          <cell r="D65">
            <v>0.15601977058658956</v>
          </cell>
          <cell r="E65">
            <v>0.20385411689759514</v>
          </cell>
          <cell r="F65">
            <v>0.13473315835520561</v>
          </cell>
          <cell r="G65">
            <v>7.2402302332626345E-2</v>
          </cell>
          <cell r="H65">
            <v>-3.2000000000000028E-2</v>
          </cell>
          <cell r="I65">
            <v>0</v>
          </cell>
          <cell r="J65" t="str">
            <v xml:space="preserve">NM </v>
          </cell>
          <cell r="L65" t="str">
            <v xml:space="preserve">NM </v>
          </cell>
          <cell r="M65" t="str">
            <v xml:space="preserve">NM </v>
          </cell>
          <cell r="N65">
            <v>7.2607260726072598E-2</v>
          </cell>
          <cell r="O65">
            <v>8.2555635319454534E-2</v>
          </cell>
          <cell r="P65">
            <v>5.569948186528495E-2</v>
          </cell>
          <cell r="Q65">
            <v>-2.4808104616484195E-2</v>
          </cell>
          <cell r="S65">
            <v>9.2850049652432931E-2</v>
          </cell>
          <cell r="T65">
            <v>2.3955431754874468E-2</v>
          </cell>
          <cell r="U65">
            <v>4.0000000000000036E-2</v>
          </cell>
          <cell r="W65">
            <v>0.21333333333333337</v>
          </cell>
        </row>
        <row r="66">
          <cell r="A66" t="str">
            <v xml:space="preserve"> 2Q</v>
          </cell>
          <cell r="B66">
            <v>-4.6677039342075677E-3</v>
          </cell>
          <cell r="C66">
            <v>-6.4748201438848962E-2</v>
          </cell>
          <cell r="D66">
            <v>2.626262626262621E-2</v>
          </cell>
          <cell r="E66">
            <v>2.0181769580326137E-2</v>
          </cell>
          <cell r="F66">
            <v>9.3723849372384871E-2</v>
          </cell>
          <cell r="G66">
            <v>1.5298157976896709E-2</v>
          </cell>
          <cell r="H66">
            <v>0.26984126984126977</v>
          </cell>
          <cell r="I66">
            <v>-4.8484848484848575E-2</v>
          </cell>
          <cell r="J66" t="str">
            <v xml:space="preserve">NM </v>
          </cell>
          <cell r="L66" t="str">
            <v xml:space="preserve">NM </v>
          </cell>
          <cell r="M66" t="str">
            <v xml:space="preserve">NM </v>
          </cell>
          <cell r="N66">
            <v>0.27622377622377625</v>
          </cell>
          <cell r="O66">
            <v>6.2589928057554145E-2</v>
          </cell>
          <cell r="P66">
            <v>6.7532467532467555E-2</v>
          </cell>
          <cell r="Q66">
            <v>4.6514081720578915E-3</v>
          </cell>
          <cell r="S66">
            <v>6.0696517412935469E-2</v>
          </cell>
          <cell r="T66">
            <v>2.1868050407709116E-2</v>
          </cell>
          <cell r="U66">
            <v>2.6666666666666616E-2</v>
          </cell>
          <cell r="W66">
            <v>2.6666666666666616E-2</v>
          </cell>
        </row>
        <row r="67">
          <cell r="A67" t="str">
            <v xml:space="preserve"> 3Q</v>
          </cell>
          <cell r="B67">
            <v>-4.3363180717463923E-3</v>
          </cell>
          <cell r="C67">
            <v>-6.735251567272138E-2</v>
          </cell>
          <cell r="D67">
            <v>2.9646324549237102E-2</v>
          </cell>
          <cell r="E67">
            <v>-9.1626368032577954E-3</v>
          </cell>
          <cell r="F67">
            <v>0.11367127496159757</v>
          </cell>
          <cell r="G67">
            <v>0.1119528619528618</v>
          </cell>
          <cell r="H67">
            <v>0.15384615384615374</v>
          </cell>
          <cell r="I67">
            <v>0.50479233226837072</v>
          </cell>
          <cell r="J67" t="str">
            <v xml:space="preserve">NM </v>
          </cell>
          <cell r="L67" t="str">
            <v xml:space="preserve">NM </v>
          </cell>
          <cell r="M67" t="str">
            <v xml:space="preserve">NM </v>
          </cell>
          <cell r="N67" t="str">
            <v xml:space="preserve">NM </v>
          </cell>
          <cell r="O67">
            <v>0.17318435754189943</v>
          </cell>
          <cell r="P67">
            <v>0.31434599156118148</v>
          </cell>
          <cell r="Q67">
            <v>0.12032348804500703</v>
          </cell>
          <cell r="S67">
            <v>0.12234042553191493</v>
          </cell>
          <cell r="T67">
            <v>1.9898565039341953E-2</v>
          </cell>
          <cell r="U67">
            <v>0.12244897959183687</v>
          </cell>
          <cell r="W67">
            <v>-0.30379746835443044</v>
          </cell>
        </row>
        <row r="68">
          <cell r="A68" t="str">
            <v xml:space="preserve"> 4Q</v>
          </cell>
          <cell r="B68">
            <v>-9.086510027420891E-3</v>
          </cell>
          <cell r="C68">
            <v>-8.5260770975056688E-2</v>
          </cell>
          <cell r="D68">
            <v>3.2960614152202972E-2</v>
          </cell>
          <cell r="E68">
            <v>1.2226433549344939E-4</v>
          </cell>
          <cell r="F68">
            <v>8.8921282798833934E-2</v>
          </cell>
          <cell r="G68">
            <v>0.11179613645704878</v>
          </cell>
          <cell r="H68">
            <v>8.6206896551723755E-3</v>
          </cell>
          <cell r="I68">
            <v>0.31506849315068486</v>
          </cell>
          <cell r="J68" t="str">
            <v xml:space="preserve">NM </v>
          </cell>
          <cell r="L68" t="str">
            <v xml:space="preserve">NM </v>
          </cell>
          <cell r="M68" t="str">
            <v xml:space="preserve">NM </v>
          </cell>
          <cell r="N68" t="str">
            <v xml:space="preserve">NM </v>
          </cell>
          <cell r="O68">
            <v>0.44879518072289115</v>
          </cell>
          <cell r="P68">
            <v>0.62703962703962701</v>
          </cell>
          <cell r="Q68">
            <v>0.12302943072173855</v>
          </cell>
          <cell r="S68">
            <v>0.38667749796913031</v>
          </cell>
          <cell r="T68">
            <v>1.9600591715976279E-2</v>
          </cell>
          <cell r="U68">
            <v>0.37777777777777777</v>
          </cell>
          <cell r="W68">
            <v>0.37777777777777777</v>
          </cell>
        </row>
        <row r="70">
          <cell r="A70" t="str">
            <v>96/95</v>
          </cell>
          <cell r="B70">
            <v>2.7216682292110717E-2</v>
          </cell>
          <cell r="C70">
            <v>-3.3202883625128687E-2</v>
          </cell>
          <cell r="D70">
            <v>5.9016109099581771E-2</v>
          </cell>
          <cell r="E70">
            <v>4.5640647023290182E-2</v>
          </cell>
          <cell r="F70">
            <v>0.10694333599361516</v>
          </cell>
          <cell r="G70">
            <v>7.3013347476355239E-2</v>
          </cell>
          <cell r="H70">
            <v>0.10261569416498983</v>
          </cell>
          <cell r="I70">
            <v>0.19070904645476761</v>
          </cell>
          <cell r="J70">
            <v>1.1000000000000001</v>
          </cell>
          <cell r="L70" t="str">
            <v xml:space="preserve">NM </v>
          </cell>
          <cell r="M70">
            <v>-2.3069207622868682E-2</v>
          </cell>
          <cell r="N70" t="str">
            <v xml:space="preserve">NM </v>
          </cell>
          <cell r="O70">
            <v>0.16182342502218283</v>
          </cell>
          <cell r="P70">
            <v>0.20981595092024552</v>
          </cell>
          <cell r="Q70">
            <v>4.1307934462714302E-2</v>
          </cell>
          <cell r="S70">
            <v>0.14396591082027066</v>
          </cell>
          <cell r="T70">
            <v>2.1111111111111081E-2</v>
          </cell>
          <cell r="U70">
            <v>0.11934156378600824</v>
          </cell>
          <cell r="W70">
            <v>4.014598540145986E-2</v>
          </cell>
        </row>
        <row r="72">
          <cell r="A72" t="str">
            <v>1996 (c)</v>
          </cell>
        </row>
        <row r="73">
          <cell r="A73" t="str">
            <v xml:space="preserve"> 1Q</v>
          </cell>
          <cell r="B73">
            <v>1829.2</v>
          </cell>
          <cell r="C73">
            <v>589.6</v>
          </cell>
          <cell r="D73">
            <v>1239.5999999999999</v>
          </cell>
          <cell r="E73">
            <v>755.9</v>
          </cell>
          <cell r="F73">
            <v>129.69999999999999</v>
          </cell>
          <cell r="G73">
            <v>353.99999999999994</v>
          </cell>
          <cell r="H73">
            <v>12.1</v>
          </cell>
          <cell r="I73">
            <v>-29.2</v>
          </cell>
          <cell r="J73">
            <v>-3.5</v>
          </cell>
          <cell r="L73">
            <v>0.69999999999999785</v>
          </cell>
          <cell r="M73">
            <v>-19.900000000000002</v>
          </cell>
          <cell r="N73">
            <v>-32.5</v>
          </cell>
          <cell r="O73">
            <v>301.59999999999997</v>
          </cell>
          <cell r="P73">
            <v>81.5</v>
          </cell>
          <cell r="Q73">
            <v>0.27022546419098148</v>
          </cell>
          <cell r="S73">
            <v>220.09999999999997</v>
          </cell>
          <cell r="T73">
            <v>827.09999999999991</v>
          </cell>
          <cell r="U73">
            <v>0.26</v>
          </cell>
          <cell r="W73">
            <v>0.30333333333333334</v>
          </cell>
        </row>
        <row r="74">
          <cell r="A74" t="str">
            <v xml:space="preserve"> 2Q</v>
          </cell>
          <cell r="B74">
            <v>1791.2</v>
          </cell>
          <cell r="C74">
            <v>572</v>
          </cell>
          <cell r="D74">
            <v>1219.2</v>
          </cell>
          <cell r="E74">
            <v>763.3</v>
          </cell>
          <cell r="F74">
            <v>130.69999999999999</v>
          </cell>
          <cell r="G74">
            <v>325.2000000000001</v>
          </cell>
          <cell r="H74">
            <v>16</v>
          </cell>
          <cell r="I74">
            <v>-31.4</v>
          </cell>
          <cell r="J74">
            <v>-4</v>
          </cell>
          <cell r="L74">
            <v>26.1</v>
          </cell>
          <cell r="M74">
            <v>6.7000000000000028</v>
          </cell>
          <cell r="N74">
            <v>-36.5</v>
          </cell>
          <cell r="O74">
            <v>295.40000000000009</v>
          </cell>
          <cell r="P74">
            <v>82.2</v>
          </cell>
          <cell r="Q74">
            <v>0.27826675693974262</v>
          </cell>
          <cell r="S74">
            <v>213.2000000000001</v>
          </cell>
          <cell r="T74">
            <v>827.09999999999991</v>
          </cell>
          <cell r="U74">
            <v>0.25666666666666665</v>
          </cell>
          <cell r="W74">
            <v>0.25666666666666665</v>
          </cell>
        </row>
        <row r="75">
          <cell r="A75" t="str">
            <v xml:space="preserve"> 3Q</v>
          </cell>
          <cell r="B75">
            <v>1768</v>
          </cell>
          <cell r="C75">
            <v>580.20000000000005</v>
          </cell>
          <cell r="D75">
            <v>1187.8</v>
          </cell>
          <cell r="E75">
            <v>778.6</v>
          </cell>
          <cell r="F75">
            <v>145</v>
          </cell>
          <cell r="G75">
            <v>264.19999999999993</v>
          </cell>
          <cell r="H75">
            <v>15</v>
          </cell>
          <cell r="I75">
            <v>-47.1</v>
          </cell>
          <cell r="J75">
            <v>-13</v>
          </cell>
          <cell r="L75">
            <v>-9.1</v>
          </cell>
          <cell r="M75">
            <v>-54.2</v>
          </cell>
          <cell r="N75">
            <v>0</v>
          </cell>
          <cell r="O75">
            <v>209.99999999999994</v>
          </cell>
          <cell r="P75">
            <v>62.3</v>
          </cell>
          <cell r="Q75">
            <v>0.29666666666666675</v>
          </cell>
          <cell r="S75">
            <v>147.69999999999993</v>
          </cell>
          <cell r="T75">
            <v>827.09999999999991</v>
          </cell>
          <cell r="U75">
            <v>0.18333333333333335</v>
          </cell>
          <cell r="W75">
            <v>0.18333333333333335</v>
          </cell>
        </row>
        <row r="76">
          <cell r="A76" t="str">
            <v xml:space="preserve"> 4Q</v>
          </cell>
          <cell r="B76">
            <v>1843</v>
          </cell>
          <cell r="C76">
            <v>605.1</v>
          </cell>
          <cell r="D76">
            <v>1237.9000000000001</v>
          </cell>
          <cell r="E76">
            <v>818</v>
          </cell>
          <cell r="F76">
            <v>149.4</v>
          </cell>
          <cell r="G76">
            <v>270.50000000000011</v>
          </cell>
          <cell r="H76">
            <v>11.7</v>
          </cell>
          <cell r="I76">
            <v>-38.4</v>
          </cell>
          <cell r="J76">
            <v>-11</v>
          </cell>
          <cell r="L76">
            <v>7.7</v>
          </cell>
          <cell r="M76">
            <v>-30.000000000000004</v>
          </cell>
          <cell r="N76">
            <v>0</v>
          </cell>
          <cell r="O76">
            <v>240.50000000000011</v>
          </cell>
          <cell r="P76">
            <v>69.8</v>
          </cell>
          <cell r="Q76">
            <v>0.29022869022869008</v>
          </cell>
          <cell r="S76">
            <v>170.7000000000001</v>
          </cell>
          <cell r="T76">
            <v>827.09999999999991</v>
          </cell>
          <cell r="U76">
            <v>0.20666666666666667</v>
          </cell>
          <cell r="W76">
            <v>0.20666666666666667</v>
          </cell>
        </row>
        <row r="78">
          <cell r="A78" t="str">
            <v>1996 (c)</v>
          </cell>
          <cell r="B78">
            <v>7231.4</v>
          </cell>
          <cell r="C78">
            <v>2346.9</v>
          </cell>
          <cell r="D78">
            <v>4884.5</v>
          </cell>
          <cell r="E78">
            <v>3115.7999999999997</v>
          </cell>
          <cell r="F78">
            <v>554.79999999999995</v>
          </cell>
          <cell r="G78">
            <v>1213.9000000000001</v>
          </cell>
          <cell r="H78">
            <v>54.8</v>
          </cell>
          <cell r="I78">
            <v>-146.1</v>
          </cell>
          <cell r="J78">
            <v>-31.5</v>
          </cell>
          <cell r="L78">
            <v>72</v>
          </cell>
          <cell r="M78">
            <v>-97.4</v>
          </cell>
          <cell r="N78">
            <v>-69</v>
          </cell>
          <cell r="O78">
            <v>1047.5</v>
          </cell>
          <cell r="P78">
            <v>295.8</v>
          </cell>
          <cell r="Q78">
            <v>0.28238663484486876</v>
          </cell>
          <cell r="S78">
            <v>751.7</v>
          </cell>
          <cell r="T78">
            <v>827.09999999999991</v>
          </cell>
          <cell r="U78">
            <v>0.90666666666666673</v>
          </cell>
          <cell r="W78">
            <v>0.95000000000000007</v>
          </cell>
        </row>
        <row r="80">
          <cell r="A80" t="str">
            <v>97/96</v>
          </cell>
        </row>
        <row r="81">
          <cell r="A81" t="str">
            <v xml:space="preserve"> 1Q</v>
          </cell>
          <cell r="B81">
            <v>-2.8318390553247252E-2</v>
          </cell>
          <cell r="C81">
            <v>-6.8521031207598337E-2</v>
          </cell>
          <cell r="D81">
            <v>-9.1965150048402E-3</v>
          </cell>
          <cell r="E81">
            <v>8.3344357719274953E-3</v>
          </cell>
          <cell r="F81">
            <v>3.2382420971472703E-2</v>
          </cell>
          <cell r="G81">
            <v>-6.1864406779660763E-2</v>
          </cell>
          <cell r="H81">
            <v>-0.3223140495867769</v>
          </cell>
          <cell r="I81">
            <v>0.34246575342465757</v>
          </cell>
          <cell r="J81" t="str">
            <v xml:space="preserve">NM </v>
          </cell>
          <cell r="L81" t="str">
            <v xml:space="preserve">NM </v>
          </cell>
          <cell r="M81" t="str">
            <v xml:space="preserve">NM </v>
          </cell>
          <cell r="N81" t="str">
            <v xml:space="preserve">NM </v>
          </cell>
          <cell r="O81">
            <v>-3.315649867373982E-2</v>
          </cell>
          <cell r="P81">
            <v>7.361963190184051E-2</v>
          </cell>
          <cell r="Q81">
            <v>0.11043786344854256</v>
          </cell>
          <cell r="S81">
            <v>-7.2694229895501783E-2</v>
          </cell>
          <cell r="T81">
            <v>7.5021158263812726E-3</v>
          </cell>
          <cell r="U81">
            <v>-5.7967970911010913E-2</v>
          </cell>
          <cell r="W81">
            <v>-0.19254397506658072</v>
          </cell>
        </row>
        <row r="82">
          <cell r="A82" t="str">
            <v xml:space="preserve"> 2Q</v>
          </cell>
          <cell r="B82">
            <v>9.7979008485931107E-2</v>
          </cell>
          <cell r="C82">
            <v>3.7762237762237749E-2</v>
          </cell>
          <cell r="D82">
            <v>0.12623031496062986</v>
          </cell>
          <cell r="E82">
            <v>0.12354251277348371</v>
          </cell>
          <cell r="F82">
            <v>0.21040550879877573</v>
          </cell>
          <cell r="G82">
            <v>9.8708487084870233E-2</v>
          </cell>
          <cell r="H82">
            <v>-0.4375</v>
          </cell>
          <cell r="I82">
            <v>0.52866242038216571</v>
          </cell>
          <cell r="J82" t="str">
            <v xml:space="preserve">NM </v>
          </cell>
          <cell r="L82" t="str">
            <v xml:space="preserve">NM </v>
          </cell>
          <cell r="M82" t="str">
            <v xml:space="preserve">NM </v>
          </cell>
          <cell r="N82" t="str">
            <v xml:space="preserve">NM </v>
          </cell>
          <cell r="O82">
            <v>0.11882193635748073</v>
          </cell>
          <cell r="P82">
            <v>0.20559610705596087</v>
          </cell>
          <cell r="Q82">
            <v>7.755851747150122E-2</v>
          </cell>
          <cell r="S82">
            <v>8.5365853658535551E-2</v>
          </cell>
          <cell r="T82">
            <v>1.2173860476363263E-2</v>
          </cell>
          <cell r="U82">
            <v>7.6913313271802064E-2</v>
          </cell>
          <cell r="W82">
            <v>7.6913313271802064E-2</v>
          </cell>
        </row>
        <row r="83">
          <cell r="A83" t="str">
            <v xml:space="preserve"> 3Q</v>
          </cell>
          <cell r="B83">
            <v>0.19247737556561106</v>
          </cell>
          <cell r="C83">
            <v>5.8255773871078942E-2</v>
          </cell>
          <cell r="D83">
            <v>0.25804007408654672</v>
          </cell>
          <cell r="E83">
            <v>0.24389930644746971</v>
          </cell>
          <cell r="F83">
            <v>0.25517241379310351</v>
          </cell>
          <cell r="G83">
            <v>0.30128690386071266</v>
          </cell>
          <cell r="H83">
            <v>-0.28666666666666674</v>
          </cell>
          <cell r="I83">
            <v>-8.7048832271762189E-2</v>
          </cell>
          <cell r="J83" t="str">
            <v xml:space="preserve">NM </v>
          </cell>
          <cell r="L83" t="str">
            <v xml:space="preserve">NM </v>
          </cell>
          <cell r="M83" t="str">
            <v xml:space="preserve">NM </v>
          </cell>
          <cell r="N83" t="str">
            <v xml:space="preserve">NM </v>
          </cell>
          <cell r="O83">
            <v>0.34904761904762038</v>
          </cell>
          <cell r="P83">
            <v>0.36436597110754421</v>
          </cell>
          <cell r="Q83">
            <v>1.1354937990059932E-2</v>
          </cell>
          <cell r="S83">
            <v>0.34258632362897945</v>
          </cell>
          <cell r="T83">
            <v>1.4508523757707614E-2</v>
          </cell>
          <cell r="U83">
            <v>0.30909090909090886</v>
          </cell>
          <cell r="W83">
            <v>0.30909090909090886</v>
          </cell>
        </row>
        <row r="84">
          <cell r="A84" t="str">
            <v xml:space="preserve"> 4Q</v>
          </cell>
          <cell r="B84">
            <v>0.26283233857840482</v>
          </cell>
          <cell r="C84">
            <v>7.5524706660056173E-2</v>
          </cell>
          <cell r="D84">
            <v>0.35439050004039108</v>
          </cell>
          <cell r="E84">
            <v>0.33007334963325174</v>
          </cell>
          <cell r="F84">
            <v>0.32597054886211496</v>
          </cell>
          <cell r="G84">
            <v>0.44362292051755992</v>
          </cell>
          <cell r="H84">
            <v>0.15384615384615397</v>
          </cell>
          <cell r="I84">
            <v>-4.1666666666666741E-2</v>
          </cell>
          <cell r="J84" t="str">
            <v xml:space="preserve">NM </v>
          </cell>
          <cell r="L84" t="str">
            <v xml:space="preserve">NM </v>
          </cell>
          <cell r="M84" t="str">
            <v xml:space="preserve">NM </v>
          </cell>
          <cell r="N84" t="str">
            <v xml:space="preserve">NM </v>
          </cell>
          <cell r="O84">
            <v>0.36382536382536368</v>
          </cell>
          <cell r="P84">
            <v>0.32234957020057298</v>
          </cell>
          <cell r="Q84">
            <v>-3.0411366971835663E-2</v>
          </cell>
          <cell r="S84">
            <v>0.3807850029291151</v>
          </cell>
          <cell r="T84">
            <v>1.4508523757707614E-2</v>
          </cell>
          <cell r="U84">
            <v>0.35483870967741948</v>
          </cell>
          <cell r="W84">
            <v>0.35483870967741948</v>
          </cell>
        </row>
        <row r="86">
          <cell r="A86" t="str">
            <v>Year</v>
          </cell>
          <cell r="B86">
            <v>0.13115026136017938</v>
          </cell>
          <cell r="C86">
            <v>2.5863905577570456E-2</v>
          </cell>
          <cell r="D86">
            <v>0.18173815129491255</v>
          </cell>
          <cell r="E86">
            <v>0.17988959496758472</v>
          </cell>
          <cell r="F86">
            <v>0.21160778658976231</v>
          </cell>
          <cell r="G86">
            <v>0.17283136996457715</v>
          </cell>
          <cell r="H86">
            <v>-0.24452554744525545</v>
          </cell>
          <cell r="I86">
            <v>0.14305270362765232</v>
          </cell>
          <cell r="J86">
            <v>0.79047619047619055</v>
          </cell>
          <cell r="L86" t="str">
            <v xml:space="preserve">NM </v>
          </cell>
          <cell r="M86">
            <v>0.9537987679671458</v>
          </cell>
          <cell r="N86" t="str">
            <v xml:space="preserve">NM </v>
          </cell>
          <cell r="O86">
            <v>0.17747016706443919</v>
          </cell>
          <cell r="P86">
            <v>0.23022312373225162</v>
          </cell>
          <cell r="Q86">
            <v>4.4801947551105448E-2</v>
          </cell>
          <cell r="S86">
            <v>0.15671145403751519</v>
          </cell>
          <cell r="T86">
            <v>1.2173255954539997E-2</v>
          </cell>
          <cell r="U86">
            <v>0.14853243893702173</v>
          </cell>
          <cell r="W86">
            <v>9.6143239967964478E-2</v>
          </cell>
        </row>
        <row r="88">
          <cell r="A88">
            <v>1997</v>
          </cell>
        </row>
        <row r="89">
          <cell r="A89" t="str">
            <v xml:space="preserve"> 1Q</v>
          </cell>
          <cell r="B89">
            <v>1777.4</v>
          </cell>
          <cell r="C89">
            <v>549.20000000000005</v>
          </cell>
          <cell r="D89">
            <v>1228.2</v>
          </cell>
          <cell r="E89">
            <v>762.2</v>
          </cell>
          <cell r="F89">
            <v>133.9</v>
          </cell>
          <cell r="G89">
            <v>332.1</v>
          </cell>
          <cell r="H89">
            <v>8.1999999999999993</v>
          </cell>
          <cell r="I89">
            <v>-39.200000000000003</v>
          </cell>
          <cell r="J89">
            <v>-12.4</v>
          </cell>
          <cell r="L89">
            <v>2.9</v>
          </cell>
          <cell r="M89">
            <v>-40.500000000000007</v>
          </cell>
          <cell r="N89">
            <v>0</v>
          </cell>
          <cell r="O89">
            <v>291.60000000000002</v>
          </cell>
          <cell r="P89">
            <v>87.5</v>
          </cell>
          <cell r="Q89">
            <v>0.30006858710562412</v>
          </cell>
          <cell r="S89">
            <v>204.10000000000002</v>
          </cell>
          <cell r="T89">
            <v>833.30499999999995</v>
          </cell>
          <cell r="U89">
            <v>0.24492832756313718</v>
          </cell>
          <cell r="V89">
            <v>0.13</v>
          </cell>
          <cell r="W89">
            <v>0.24492832756313718</v>
          </cell>
        </row>
        <row r="90">
          <cell r="A90" t="str">
            <v xml:space="preserve"> 2Q</v>
          </cell>
          <cell r="B90">
            <v>1966.7</v>
          </cell>
          <cell r="C90">
            <v>593.6</v>
          </cell>
          <cell r="D90">
            <v>1373.1</v>
          </cell>
          <cell r="E90">
            <v>857.6</v>
          </cell>
          <cell r="F90">
            <v>158.19999999999999</v>
          </cell>
          <cell r="G90">
            <v>357.2999999999999</v>
          </cell>
          <cell r="H90">
            <v>9</v>
          </cell>
          <cell r="I90">
            <v>-48</v>
          </cell>
          <cell r="J90">
            <v>-12.8</v>
          </cell>
          <cell r="L90">
            <v>25</v>
          </cell>
          <cell r="M90">
            <v>-26.799999999999997</v>
          </cell>
          <cell r="N90">
            <v>0</v>
          </cell>
          <cell r="O90">
            <v>330.49999999999989</v>
          </cell>
          <cell r="P90">
            <v>99.1</v>
          </cell>
          <cell r="Q90">
            <v>0.29984871406959163</v>
          </cell>
          <cell r="S90">
            <v>231.39999999999989</v>
          </cell>
          <cell r="T90">
            <v>837.16899999999998</v>
          </cell>
          <cell r="U90">
            <v>0.27640775040642918</v>
          </cell>
          <cell r="V90">
            <v>0.13</v>
          </cell>
          <cell r="W90">
            <v>0.27640775040642918</v>
          </cell>
        </row>
        <row r="91">
          <cell r="A91" t="str">
            <v xml:space="preserve"> 3Q</v>
          </cell>
          <cell r="B91">
            <v>2108.3000000000002</v>
          </cell>
          <cell r="C91">
            <v>614</v>
          </cell>
          <cell r="D91">
            <v>1494.3000000000002</v>
          </cell>
          <cell r="E91">
            <v>968.5</v>
          </cell>
          <cell r="F91">
            <v>182</v>
          </cell>
          <cell r="G91">
            <v>343.80000000000018</v>
          </cell>
          <cell r="H91">
            <v>10.7</v>
          </cell>
          <cell r="I91">
            <v>-43</v>
          </cell>
          <cell r="J91">
            <v>-13.2</v>
          </cell>
          <cell r="L91">
            <v>-15</v>
          </cell>
          <cell r="M91">
            <v>-60.5</v>
          </cell>
          <cell r="N91">
            <v>0</v>
          </cell>
          <cell r="O91">
            <v>283.30000000000018</v>
          </cell>
          <cell r="P91">
            <v>85</v>
          </cell>
          <cell r="Q91">
            <v>0.30003529827038455</v>
          </cell>
          <cell r="S91">
            <v>198.30000000000018</v>
          </cell>
          <cell r="T91">
            <v>839.09999999999991</v>
          </cell>
          <cell r="U91">
            <v>0.24</v>
          </cell>
          <cell r="V91">
            <v>0.13</v>
          </cell>
          <cell r="W91">
            <v>0.24</v>
          </cell>
        </row>
        <row r="92">
          <cell r="A92" t="str">
            <v xml:space="preserve"> 4Q</v>
          </cell>
          <cell r="B92">
            <v>2327.4</v>
          </cell>
          <cell r="C92">
            <v>650.79999999999995</v>
          </cell>
          <cell r="D92">
            <v>1676.6000000000001</v>
          </cell>
          <cell r="E92">
            <v>1088</v>
          </cell>
          <cell r="F92">
            <v>198.1</v>
          </cell>
          <cell r="G92">
            <v>390.50000000000011</v>
          </cell>
          <cell r="H92">
            <v>13.5</v>
          </cell>
          <cell r="I92">
            <v>-36.799999999999997</v>
          </cell>
          <cell r="J92">
            <v>-18</v>
          </cell>
          <cell r="L92">
            <v>-21.2</v>
          </cell>
          <cell r="M92">
            <v>-62.5</v>
          </cell>
          <cell r="N92">
            <v>0</v>
          </cell>
          <cell r="O92">
            <v>328.00000000000011</v>
          </cell>
          <cell r="P92">
            <v>92.3</v>
          </cell>
          <cell r="Q92">
            <v>0.28140243902439016</v>
          </cell>
          <cell r="S92">
            <v>235.7000000000001</v>
          </cell>
          <cell r="T92">
            <v>839.09999999999991</v>
          </cell>
          <cell r="U92">
            <v>0.28000000000000003</v>
          </cell>
          <cell r="V92">
            <v>0.13</v>
          </cell>
          <cell r="W92">
            <v>0.28000000000000003</v>
          </cell>
        </row>
        <row r="94">
          <cell r="A94" t="str">
            <v>Year</v>
          </cell>
          <cell r="B94">
            <v>8179.8000000000011</v>
          </cell>
          <cell r="C94">
            <v>2407.6000000000004</v>
          </cell>
          <cell r="D94">
            <v>5772.2000000000007</v>
          </cell>
          <cell r="E94">
            <v>3676.3</v>
          </cell>
          <cell r="F94">
            <v>672.2</v>
          </cell>
          <cell r="G94">
            <v>1423.7000000000003</v>
          </cell>
          <cell r="H94">
            <v>41.4</v>
          </cell>
          <cell r="I94">
            <v>-167</v>
          </cell>
          <cell r="J94">
            <v>-56.400000000000006</v>
          </cell>
          <cell r="L94">
            <v>-8.3000000000000007</v>
          </cell>
          <cell r="M94">
            <v>-190.3</v>
          </cell>
          <cell r="N94">
            <v>0</v>
          </cell>
          <cell r="O94">
            <v>1233.4000000000001</v>
          </cell>
          <cell r="P94">
            <v>363.90000000000003</v>
          </cell>
          <cell r="Q94">
            <v>0.2950381060483217</v>
          </cell>
          <cell r="S94">
            <v>869.50000000000023</v>
          </cell>
          <cell r="T94">
            <v>837.16849999999988</v>
          </cell>
          <cell r="U94">
            <v>1.0413360779695664</v>
          </cell>
          <cell r="V94">
            <v>0.52</v>
          </cell>
          <cell r="W94">
            <v>1.0413360779695664</v>
          </cell>
        </row>
        <row r="96">
          <cell r="A96" t="str">
            <v>1998/97</v>
          </cell>
        </row>
        <row r="97">
          <cell r="A97" t="str">
            <v xml:space="preserve"> 1Q</v>
          </cell>
          <cell r="B97">
            <v>0.31140992460897943</v>
          </cell>
          <cell r="C97">
            <v>0.19009468317552791</v>
          </cell>
          <cell r="D97">
            <v>0.36565705911089408</v>
          </cell>
          <cell r="E97">
            <v>0.3438729992128049</v>
          </cell>
          <cell r="F97">
            <v>0.55190440627333825</v>
          </cell>
          <cell r="G97">
            <v>0.34056007226738982</v>
          </cell>
          <cell r="H97">
            <v>0.79268292682926833</v>
          </cell>
          <cell r="I97">
            <v>-8.163265306122458E-2</v>
          </cell>
          <cell r="J97" t="str">
            <v xml:space="preserve">NM </v>
          </cell>
          <cell r="L97" t="str">
            <v xml:space="preserve">NM </v>
          </cell>
          <cell r="M97" t="str">
            <v xml:space="preserve">NM </v>
          </cell>
          <cell r="N97" t="str">
            <v xml:space="preserve">NM </v>
          </cell>
          <cell r="O97">
            <v>0.42661179698216811</v>
          </cell>
          <cell r="P97">
            <v>0.40685714285714281</v>
          </cell>
          <cell r="Q97">
            <v>-1.384725274725318E-2</v>
          </cell>
          <cell r="S97">
            <v>0.4350808427241557</v>
          </cell>
          <cell r="T97">
            <v>4.8798036733249006E-2</v>
          </cell>
          <cell r="U97">
            <v>0.34733292503674651</v>
          </cell>
          <cell r="V97">
            <v>0.23076923076923084</v>
          </cell>
          <cell r="W97">
            <v>0.36831000103135558</v>
          </cell>
        </row>
        <row r="98">
          <cell r="A98" t="str">
            <v xml:space="preserve"> 2Q</v>
          </cell>
          <cell r="B98">
            <v>0.36406162607413428</v>
          </cell>
          <cell r="C98">
            <v>0.19086927223719674</v>
          </cell>
          <cell r="D98">
            <v>0.43893379943194222</v>
          </cell>
          <cell r="E98">
            <v>0.38362873134328379</v>
          </cell>
          <cell r="F98">
            <v>0.64854614412136558</v>
          </cell>
          <cell r="G98">
            <v>0.47886929750909535</v>
          </cell>
          <cell r="H98">
            <v>0.57777777777777772</v>
          </cell>
          <cell r="I98">
            <v>-0.45000000000000007</v>
          </cell>
          <cell r="J98" t="str">
            <v xml:space="preserve">NM </v>
          </cell>
          <cell r="L98" t="str">
            <v xml:space="preserve">NM </v>
          </cell>
          <cell r="M98" t="str">
            <v xml:space="preserve">NM </v>
          </cell>
          <cell r="N98" t="str">
            <v xml:space="preserve">NM </v>
          </cell>
          <cell r="O98">
            <v>0.39546142208774526</v>
          </cell>
          <cell r="P98">
            <v>0.33299697275479323</v>
          </cell>
          <cell r="Q98">
            <v>-4.4762576982959046E-2</v>
          </cell>
          <cell r="S98">
            <v>0.42221261884183159</v>
          </cell>
          <cell r="T98">
            <v>4.961059117095834E-2</v>
          </cell>
          <cell r="U98">
            <v>0.44713742437338011</v>
          </cell>
          <cell r="V98">
            <v>0.23076923076923084</v>
          </cell>
          <cell r="W98">
            <v>0.35499072780429342</v>
          </cell>
        </row>
        <row r="99">
          <cell r="A99" t="str">
            <v xml:space="preserve"> 3Q</v>
          </cell>
          <cell r="B99">
            <v>0.27785419532324607</v>
          </cell>
          <cell r="C99">
            <v>0.1454397394136806</v>
          </cell>
          <cell r="D99">
            <v>0.33226259787191315</v>
          </cell>
          <cell r="E99">
            <v>0.25885389778007228</v>
          </cell>
          <cell r="F99">
            <v>0.41043956043956031</v>
          </cell>
          <cell r="G99">
            <v>0.49767306573589187</v>
          </cell>
          <cell r="H99">
            <v>0.14018691588785037</v>
          </cell>
          <cell r="I99">
            <v>-0.39534883720930236</v>
          </cell>
          <cell r="J99" t="str">
            <v xml:space="preserve">NM </v>
          </cell>
          <cell r="L99" t="str">
            <v xml:space="preserve">NM </v>
          </cell>
          <cell r="M99" t="str">
            <v xml:space="preserve">NM </v>
          </cell>
          <cell r="N99" t="str">
            <v xml:space="preserve">NM </v>
          </cell>
          <cell r="O99">
            <v>0.49805859512883721</v>
          </cell>
          <cell r="P99">
            <v>0.43529411764705883</v>
          </cell>
          <cell r="Q99">
            <v>-4.1897211287907243E-2</v>
          </cell>
          <cell r="S99">
            <v>0.52496217851739635</v>
          </cell>
          <cell r="T99">
            <v>4.9970574424979208E-2</v>
          </cell>
          <cell r="U99">
            <v>0.43014376137654531</v>
          </cell>
          <cell r="V99">
            <v>0.23076923076923084</v>
          </cell>
          <cell r="W99">
            <v>0.43014376137654531</v>
          </cell>
        </row>
        <row r="100">
          <cell r="A100" t="str">
            <v xml:space="preserve"> 4Q</v>
          </cell>
          <cell r="B100">
            <v>0.30450287874881843</v>
          </cell>
          <cell r="C100">
            <v>0.11017209588199139</v>
          </cell>
          <cell r="D100">
            <v>0.37993558391983751</v>
          </cell>
          <cell r="E100">
            <v>0.29034926470588251</v>
          </cell>
          <cell r="F100">
            <v>0.33064109035840494</v>
          </cell>
          <cell r="G100">
            <v>0.65454545454545343</v>
          </cell>
          <cell r="H100">
            <v>8.1481481481481488E-2</v>
          </cell>
          <cell r="I100">
            <v>-0.30163043478260865</v>
          </cell>
          <cell r="J100" t="str">
            <v xml:space="preserve">NM </v>
          </cell>
          <cell r="L100" t="str">
            <v xml:space="preserve">NM </v>
          </cell>
          <cell r="M100" t="str">
            <v xml:space="preserve">NM </v>
          </cell>
          <cell r="N100" t="str">
            <v xml:space="preserve">NM </v>
          </cell>
          <cell r="O100">
            <v>0.94695121951219385</v>
          </cell>
          <cell r="P100">
            <v>0.50920910075839676</v>
          </cell>
          <cell r="Q100">
            <v>-0.22483466168375443</v>
          </cell>
          <cell r="S100">
            <v>0.47942299533304977</v>
          </cell>
          <cell r="T100">
            <v>5.1514447622452719E-2</v>
          </cell>
          <cell r="U100">
            <v>0.41144822124236269</v>
          </cell>
          <cell r="V100">
            <v>0.23076923076923084</v>
          </cell>
          <cell r="W100">
            <v>0.41144822124236269</v>
          </cell>
        </row>
        <row r="102">
          <cell r="A102" t="str">
            <v>Year</v>
          </cell>
          <cell r="B102">
            <v>0.31345509670163074</v>
          </cell>
          <cell r="C102">
            <v>0.15729357036052494</v>
          </cell>
          <cell r="D102">
            <v>0.37859048543016516</v>
          </cell>
          <cell r="E102">
            <v>0.31490901177814634</v>
          </cell>
          <cell r="F102">
            <v>0.47113954180303463</v>
          </cell>
          <cell r="G102">
            <v>0.49933272459085409</v>
          </cell>
          <cell r="H102">
            <v>0.34541062801932365</v>
          </cell>
          <cell r="I102">
            <v>-0.3167664670658682</v>
          </cell>
          <cell r="J102">
            <v>6.0283687943262221E-2</v>
          </cell>
          <cell r="L102" t="str">
            <v xml:space="preserve">NM </v>
          </cell>
          <cell r="M102">
            <v>2.1544929059379658E-2</v>
          </cell>
          <cell r="N102" t="str">
            <v xml:space="preserve">NM </v>
          </cell>
          <cell r="O102">
            <v>0.57305010539970747</v>
          </cell>
          <cell r="P102">
            <v>0.41934597416872754</v>
          </cell>
          <cell r="Q102">
            <v>-9.7710893444124647E-2</v>
          </cell>
          <cell r="S102">
            <v>0.46417481311098285</v>
          </cell>
          <cell r="T102">
            <v>4.9975655737166447E-2</v>
          </cell>
          <cell r="U102">
            <v>0.41014993693625623</v>
          </cell>
          <cell r="V102">
            <v>0.23076923076923084</v>
          </cell>
          <cell r="W102">
            <v>0.39062484662615682</v>
          </cell>
        </row>
        <row r="104">
          <cell r="A104" t="str">
            <v>1998 (a)</v>
          </cell>
        </row>
        <row r="105">
          <cell r="A105" t="str">
            <v xml:space="preserve"> 1QR</v>
          </cell>
          <cell r="B105">
            <v>2330.9</v>
          </cell>
          <cell r="C105">
            <v>653.6</v>
          </cell>
          <cell r="D105">
            <v>1677.3000000000002</v>
          </cell>
          <cell r="E105">
            <v>1024.3</v>
          </cell>
          <cell r="F105">
            <v>207.8</v>
          </cell>
          <cell r="G105">
            <v>445.20000000000022</v>
          </cell>
          <cell r="H105">
            <v>14.7</v>
          </cell>
          <cell r="I105">
            <v>-36</v>
          </cell>
          <cell r="J105">
            <v>-14.8</v>
          </cell>
          <cell r="L105">
            <v>6.9</v>
          </cell>
          <cell r="M105">
            <v>-29.200000000000003</v>
          </cell>
          <cell r="N105">
            <v>0</v>
          </cell>
          <cell r="O105">
            <v>416.00000000000023</v>
          </cell>
          <cell r="P105">
            <v>123.1</v>
          </cell>
          <cell r="Q105">
            <v>0.29591346153846138</v>
          </cell>
          <cell r="S105">
            <v>292.9000000000002</v>
          </cell>
          <cell r="T105">
            <v>873.96864800000003</v>
          </cell>
          <cell r="U105">
            <v>0.33</v>
          </cell>
          <cell r="V105">
            <v>0.16</v>
          </cell>
          <cell r="W105">
            <v>0.33513788014052442</v>
          </cell>
        </row>
        <row r="106">
          <cell r="A106" t="str">
            <v xml:space="preserve"> 2QR</v>
          </cell>
          <cell r="B106">
            <v>2682.7</v>
          </cell>
          <cell r="C106">
            <v>706.9</v>
          </cell>
          <cell r="D106">
            <v>1975.7999999999997</v>
          </cell>
          <cell r="E106">
            <v>1186.6000000000001</v>
          </cell>
          <cell r="F106">
            <v>260.8</v>
          </cell>
          <cell r="G106">
            <v>528.39999999999964</v>
          </cell>
          <cell r="H106">
            <v>14.2</v>
          </cell>
          <cell r="I106">
            <v>-26.4</v>
          </cell>
          <cell r="J106">
            <v>-14.7</v>
          </cell>
          <cell r="L106">
            <v>-40.299999999999997</v>
          </cell>
          <cell r="M106">
            <v>-67.199999999999989</v>
          </cell>
          <cell r="N106">
            <v>0</v>
          </cell>
          <cell r="O106">
            <v>461.19999999999965</v>
          </cell>
          <cell r="P106">
            <v>132.1</v>
          </cell>
          <cell r="Q106">
            <v>0.28642671292281024</v>
          </cell>
          <cell r="S106">
            <v>329.09999999999968</v>
          </cell>
          <cell r="T106">
            <v>878.70144900000003</v>
          </cell>
          <cell r="U106">
            <v>0.4</v>
          </cell>
          <cell r="V106">
            <v>0.16</v>
          </cell>
          <cell r="W106">
            <v>0.37452993889395497</v>
          </cell>
        </row>
        <row r="107">
          <cell r="A107" t="str">
            <v xml:space="preserve"> 3QR</v>
          </cell>
          <cell r="B107">
            <v>2694.1</v>
          </cell>
          <cell r="C107">
            <v>703.3</v>
          </cell>
          <cell r="D107">
            <v>1990.8</v>
          </cell>
          <cell r="E107">
            <v>1219.2</v>
          </cell>
          <cell r="F107">
            <v>256.7</v>
          </cell>
          <cell r="G107">
            <v>514.89999999999986</v>
          </cell>
          <cell r="H107">
            <v>12.2</v>
          </cell>
          <cell r="I107">
            <v>-26</v>
          </cell>
          <cell r="J107">
            <v>-14.9</v>
          </cell>
          <cell r="L107">
            <v>-61.8</v>
          </cell>
          <cell r="M107">
            <v>-90.5</v>
          </cell>
          <cell r="N107">
            <v>0</v>
          </cell>
          <cell r="O107">
            <v>424.39999999999986</v>
          </cell>
          <cell r="P107">
            <v>122</v>
          </cell>
          <cell r="Q107">
            <v>0.28746465598491999</v>
          </cell>
          <cell r="S107">
            <v>302.39999999999998</v>
          </cell>
          <cell r="T107">
            <v>881.03030899999999</v>
          </cell>
          <cell r="U107">
            <v>0.34323450273037087</v>
          </cell>
          <cell r="V107">
            <v>0.16</v>
          </cell>
          <cell r="W107">
            <v>0.34323450273037087</v>
          </cell>
        </row>
        <row r="108">
          <cell r="A108" t="str">
            <v xml:space="preserve"> 4Q</v>
          </cell>
          <cell r="B108">
            <v>3036.1</v>
          </cell>
          <cell r="C108">
            <v>722.5</v>
          </cell>
          <cell r="D108">
            <v>2313.6</v>
          </cell>
          <cell r="E108">
            <v>1403.9</v>
          </cell>
          <cell r="F108">
            <v>263.60000000000002</v>
          </cell>
          <cell r="G108">
            <v>646.0999999999998</v>
          </cell>
          <cell r="H108">
            <v>14.6</v>
          </cell>
          <cell r="I108">
            <v>-25.7</v>
          </cell>
          <cell r="J108">
            <v>-15.4</v>
          </cell>
          <cell r="L108">
            <v>19</v>
          </cell>
          <cell r="M108">
            <v>-7.5</v>
          </cell>
          <cell r="N108">
            <v>0</v>
          </cell>
          <cell r="O108">
            <v>638.5999999999998</v>
          </cell>
          <cell r="P108">
            <v>139.30000000000001</v>
          </cell>
          <cell r="Q108">
            <v>0.21813341684935805</v>
          </cell>
          <cell r="S108">
            <v>348.7</v>
          </cell>
          <cell r="T108">
            <v>882.32577300000003</v>
          </cell>
          <cell r="U108">
            <v>0.39520550194786158</v>
          </cell>
          <cell r="V108">
            <v>0.16</v>
          </cell>
          <cell r="W108">
            <v>0.39520550194786158</v>
          </cell>
        </row>
        <row r="110">
          <cell r="A110" t="str">
            <v>Year</v>
          </cell>
          <cell r="B110">
            <v>10743.800000000001</v>
          </cell>
          <cell r="C110">
            <v>2786.3</v>
          </cell>
          <cell r="D110">
            <v>7957.5</v>
          </cell>
          <cell r="E110">
            <v>4834</v>
          </cell>
          <cell r="F110">
            <v>988.9</v>
          </cell>
          <cell r="G110">
            <v>2134.5999999999995</v>
          </cell>
          <cell r="H110">
            <v>55.699999999999996</v>
          </cell>
          <cell r="I110">
            <v>-114.10000000000001</v>
          </cell>
          <cell r="J110">
            <v>-59.8</v>
          </cell>
          <cell r="L110">
            <v>-76.199999999999989</v>
          </cell>
          <cell r="M110">
            <v>-194.39999999999998</v>
          </cell>
          <cell r="N110">
            <v>0</v>
          </cell>
          <cell r="O110">
            <v>1940.1999999999994</v>
          </cell>
          <cell r="P110">
            <v>516.5</v>
          </cell>
          <cell r="Q110">
            <v>0.2662096691062778</v>
          </cell>
          <cell r="S110">
            <v>1273.0999999999999</v>
          </cell>
          <cell r="T110">
            <v>879.00654474999999</v>
          </cell>
          <cell r="U110">
            <v>1.4684400046782324</v>
          </cell>
          <cell r="V110">
            <v>0.64</v>
          </cell>
          <cell r="W110">
            <v>1.4481078237127119</v>
          </cell>
        </row>
        <row r="112">
          <cell r="A112" t="str">
            <v>1999/98</v>
          </cell>
        </row>
        <row r="113">
          <cell r="A113" t="str">
            <v xml:space="preserve"> 1QA</v>
          </cell>
          <cell r="B113">
            <v>0.28963061478398888</v>
          </cell>
          <cell r="C113">
            <v>0.15116279069767424</v>
          </cell>
          <cell r="D113">
            <v>0.34358790913968851</v>
          </cell>
          <cell r="E113">
            <v>0.33115298252465108</v>
          </cell>
          <cell r="F113">
            <v>0.3185755534167467</v>
          </cell>
          <cell r="G113">
            <v>0.38387241689128393</v>
          </cell>
          <cell r="H113">
            <v>0.52380952380952372</v>
          </cell>
          <cell r="I113">
            <v>-9.722222222222221E-2</v>
          </cell>
          <cell r="J113" t="str">
            <v xml:space="preserve">NM </v>
          </cell>
          <cell r="L113" t="str">
            <v xml:space="preserve">NM </v>
          </cell>
          <cell r="M113" t="str">
            <v xml:space="preserve">NM </v>
          </cell>
          <cell r="N113" t="str">
            <v xml:space="preserve">NM </v>
          </cell>
          <cell r="O113">
            <v>0.29278846153846083</v>
          </cell>
          <cell r="P113">
            <v>0.26563769293257522</v>
          </cell>
          <cell r="Q113">
            <v>-3.6880584890332635E-2</v>
          </cell>
          <cell r="S113">
            <v>0.30419938545578584</v>
          </cell>
          <cell r="T113">
            <v>9.9226671572776315E-3</v>
          </cell>
          <cell r="U113">
            <v>0.31149140825272359</v>
          </cell>
          <cell r="V113">
            <v>0.25</v>
          </cell>
          <cell r="W113">
            <v>0.29138539797986329</v>
          </cell>
        </row>
        <row r="114">
          <cell r="A114" t="str">
            <v xml:space="preserve"> 2QA</v>
          </cell>
          <cell r="B114">
            <v>0.17445111268498148</v>
          </cell>
          <cell r="C114">
            <v>2.3058424105248276E-2</v>
          </cell>
          <cell r="D114">
            <v>0.22861625670614449</v>
          </cell>
          <cell r="E114">
            <v>0.22130456767234108</v>
          </cell>
          <cell r="F114">
            <v>8.0521472392637961E-2</v>
          </cell>
          <cell r="G114">
            <v>0.31813020439061401</v>
          </cell>
          <cell r="H114">
            <v>1.2605633802816905</v>
          </cell>
          <cell r="I114">
            <v>0.39393939393939381</v>
          </cell>
          <cell r="J114" t="str">
            <v xml:space="preserve">NM </v>
          </cell>
          <cell r="L114" t="str">
            <v xml:space="preserve">NM </v>
          </cell>
          <cell r="M114" t="str">
            <v xml:space="preserve">NM </v>
          </cell>
          <cell r="N114" t="str">
            <v xml:space="preserve">NM </v>
          </cell>
          <cell r="O114">
            <v>0.36513443191674</v>
          </cell>
          <cell r="P114">
            <v>0.38304314912944726</v>
          </cell>
          <cell r="Q114">
            <v>1.3118647361023861E-2</v>
          </cell>
          <cell r="S114">
            <v>0.35794591309632473</v>
          </cell>
          <cell r="T114">
            <v>4.1727221505925005E-3</v>
          </cell>
          <cell r="U114">
            <v>0.26619501962778513</v>
          </cell>
          <cell r="V114">
            <v>0.25</v>
          </cell>
          <cell r="W114">
            <v>0.35230312788030305</v>
          </cell>
        </row>
        <row r="115">
          <cell r="A115" t="str">
            <v xml:space="preserve"> 3QA</v>
          </cell>
          <cell r="B115">
            <v>0.20173712928250631</v>
          </cell>
          <cell r="C115">
            <v>9.0857386606000512E-2</v>
          </cell>
          <cell r="D115">
            <v>0.24090817761703875</v>
          </cell>
          <cell r="E115">
            <v>0.26667913385826791</v>
          </cell>
          <cell r="F115">
            <v>0.35021425788858607</v>
          </cell>
          <cell r="G115">
            <v>0.22450961351718912</v>
          </cell>
          <cell r="H115">
            <v>1.7049180327868854</v>
          </cell>
          <cell r="I115">
            <v>0.42692307692307696</v>
          </cell>
          <cell r="J115" t="str">
            <v xml:space="preserve">NM </v>
          </cell>
          <cell r="L115" t="str">
            <v xml:space="preserve">NM </v>
          </cell>
          <cell r="M115" t="str">
            <v xml:space="preserve">NM </v>
          </cell>
          <cell r="N115" t="str">
            <v xml:space="preserve">NM </v>
          </cell>
          <cell r="O115">
            <v>0.3840716305372307</v>
          </cell>
          <cell r="P115">
            <v>0.39672131147540979</v>
          </cell>
          <cell r="Q115">
            <v>9.1394698504652094E-3</v>
          </cell>
          <cell r="S115">
            <v>0.37896825396825595</v>
          </cell>
          <cell r="T115">
            <v>2.7707798188814081E-3</v>
          </cell>
          <cell r="U115">
            <v>0.37515799395084359</v>
          </cell>
          <cell r="V115">
            <v>0.25</v>
          </cell>
          <cell r="W115">
            <v>0.37515799395084359</v>
          </cell>
        </row>
        <row r="116">
          <cell r="A116" t="str">
            <v xml:space="preserve"> 4Q</v>
          </cell>
          <cell r="B116">
            <v>0.16422383979447308</v>
          </cell>
          <cell r="C116">
            <v>0.10602076124567472</v>
          </cell>
          <cell r="D116">
            <v>0.18239972337482713</v>
          </cell>
          <cell r="E116">
            <v>0.20097720635372873</v>
          </cell>
          <cell r="F116">
            <v>0.35280728376327763</v>
          </cell>
          <cell r="G116">
            <v>0.12443894134034994</v>
          </cell>
          <cell r="H116">
            <v>1.6712328767123288</v>
          </cell>
          <cell r="I116">
            <v>0.31906614785992216</v>
          </cell>
          <cell r="J116" t="str">
            <v xml:space="preserve">NM </v>
          </cell>
          <cell r="L116" t="str">
            <v xml:space="preserve">NM </v>
          </cell>
          <cell r="M116" t="str">
            <v xml:space="preserve">NM </v>
          </cell>
          <cell r="N116" t="str">
            <v xml:space="preserve">NM </v>
          </cell>
          <cell r="O116">
            <v>7.5007829627310008E-2</v>
          </cell>
          <cell r="P116">
            <v>0.42928930366116269</v>
          </cell>
          <cell r="Q116">
            <v>0.32956176157031081</v>
          </cell>
          <cell r="S116">
            <v>0.39776312016059623</v>
          </cell>
          <cell r="T116">
            <v>7.1588014237911057E-3</v>
          </cell>
          <cell r="U116">
            <v>0.38782793555953576</v>
          </cell>
          <cell r="V116">
            <v>0.25</v>
          </cell>
          <cell r="W116">
            <v>0.41060722050922016</v>
          </cell>
        </row>
        <row r="118">
          <cell r="A118" t="str">
            <v>Year</v>
          </cell>
          <cell r="B118">
            <v>0.20339172359872659</v>
          </cell>
          <cell r="C118">
            <v>9.173455837490585E-2</v>
          </cell>
          <cell r="D118">
            <v>0.24248821866163994</v>
          </cell>
          <cell r="E118">
            <v>0.23262308647083163</v>
          </cell>
          <cell r="F118">
            <v>0.27313176256446559</v>
          </cell>
          <cell r="G118">
            <v>0.25063243699053728</v>
          </cell>
          <cell r="H118">
            <v>1.2710951526032317</v>
          </cell>
          <cell r="I118">
            <v>0.22962313759859776</v>
          </cell>
          <cell r="J118">
            <v>1.5050167224080369E-2</v>
          </cell>
          <cell r="L118" t="str">
            <v xml:space="preserve">NM </v>
          </cell>
          <cell r="M118">
            <v>0.17438271604938294</v>
          </cell>
          <cell r="N118" t="str">
            <v xml:space="preserve">NM </v>
          </cell>
          <cell r="O118">
            <v>0.25827234305741742</v>
          </cell>
          <cell r="P118">
            <v>0.37076476282671833</v>
          </cell>
          <cell r="Q118">
            <v>8.9402282733132887E-2</v>
          </cell>
          <cell r="S118">
            <v>0.36147985232896129</v>
          </cell>
          <cell r="T118">
            <v>6.0000159060249469E-3</v>
          </cell>
          <cell r="U118">
            <v>0.3345789221558424</v>
          </cell>
          <cell r="V118">
            <v>0.25</v>
          </cell>
          <cell r="W118">
            <v>0.35953383111279114</v>
          </cell>
        </row>
        <row r="120">
          <cell r="A120" t="str">
            <v>1999 (a)</v>
          </cell>
        </row>
        <row r="121">
          <cell r="A121" t="str">
            <v xml:space="preserve"> 1QA R</v>
          </cell>
          <cell r="B121">
            <v>3006</v>
          </cell>
          <cell r="C121">
            <v>752.4</v>
          </cell>
          <cell r="D121">
            <v>2253.6</v>
          </cell>
          <cell r="E121">
            <v>1363.5</v>
          </cell>
          <cell r="F121">
            <v>274</v>
          </cell>
          <cell r="G121">
            <v>616.09999999999991</v>
          </cell>
          <cell r="H121">
            <v>22.4</v>
          </cell>
          <cell r="I121">
            <v>-32.5</v>
          </cell>
          <cell r="J121">
            <v>-15.7</v>
          </cell>
          <cell r="K121" t="str">
            <v xml:space="preserve"> </v>
          </cell>
          <cell r="L121">
            <v>-52.5</v>
          </cell>
          <cell r="M121">
            <v>-78.3</v>
          </cell>
          <cell r="N121">
            <v>0</v>
          </cell>
          <cell r="O121">
            <v>537.79999999999995</v>
          </cell>
          <cell r="P121">
            <v>155.80000000000001</v>
          </cell>
          <cell r="Q121">
            <v>0.28499999999999998</v>
          </cell>
          <cell r="S121">
            <v>381.99999999999994</v>
          </cell>
          <cell r="T121">
            <v>882.64074800000003</v>
          </cell>
          <cell r="U121">
            <v>0.43279216472339882</v>
          </cell>
          <cell r="V121">
            <v>0.2</v>
          </cell>
          <cell r="W121">
            <v>0.43279216472339882</v>
          </cell>
        </row>
        <row r="122">
          <cell r="A122" t="str">
            <v xml:space="preserve"> 2QA R</v>
          </cell>
          <cell r="B122">
            <v>3150.7</v>
          </cell>
          <cell r="C122">
            <v>723.2</v>
          </cell>
          <cell r="D122">
            <v>2427.5</v>
          </cell>
          <cell r="E122">
            <v>1449.2</v>
          </cell>
          <cell r="F122">
            <v>281.8</v>
          </cell>
          <cell r="G122">
            <v>696.5</v>
          </cell>
          <cell r="H122">
            <v>32.1</v>
          </cell>
          <cell r="I122">
            <v>-36.799999999999997</v>
          </cell>
          <cell r="J122">
            <v>-15.3</v>
          </cell>
          <cell r="K122" t="str">
            <v xml:space="preserve"> </v>
          </cell>
          <cell r="L122">
            <v>-46.9</v>
          </cell>
          <cell r="M122">
            <v>-66.899999999999991</v>
          </cell>
          <cell r="N122">
            <v>0</v>
          </cell>
          <cell r="O122">
            <v>629.6</v>
          </cell>
          <cell r="P122">
            <v>182.7</v>
          </cell>
          <cell r="Q122">
            <v>0.29018424396442183</v>
          </cell>
          <cell r="S122">
            <v>446.90000000000003</v>
          </cell>
          <cell r="T122">
            <v>882.36802599999999</v>
          </cell>
          <cell r="U122">
            <v>0.50647800785111408</v>
          </cell>
          <cell r="V122">
            <v>0.2</v>
          </cell>
          <cell r="W122">
            <v>0.50647800785111408</v>
          </cell>
        </row>
        <row r="123">
          <cell r="A123" t="str">
            <v xml:space="preserve"> 3QA</v>
          </cell>
          <cell r="B123">
            <v>3237.6000000000004</v>
          </cell>
          <cell r="C123">
            <v>767.2</v>
          </cell>
          <cell r="D123">
            <v>2470.4000000000005</v>
          </cell>
          <cell r="E123">
            <v>1493.3</v>
          </cell>
          <cell r="F123">
            <v>346.6</v>
          </cell>
          <cell r="G123">
            <v>630.50000000000057</v>
          </cell>
          <cell r="H123">
            <v>33</v>
          </cell>
          <cell r="I123">
            <v>-37.1</v>
          </cell>
          <cell r="J123">
            <v>-14.4</v>
          </cell>
          <cell r="L123">
            <v>-24.599999999999998</v>
          </cell>
          <cell r="M123">
            <v>-43.099999999999994</v>
          </cell>
          <cell r="N123">
            <v>0</v>
          </cell>
          <cell r="O123">
            <v>587.40000000000055</v>
          </cell>
          <cell r="P123">
            <v>170.4</v>
          </cell>
          <cell r="Q123">
            <v>0.2900919305413685</v>
          </cell>
          <cell r="S123">
            <v>417.00000000000057</v>
          </cell>
          <cell r="T123">
            <v>883.47145</v>
          </cell>
          <cell r="U123">
            <v>0.47200167022941214</v>
          </cell>
          <cell r="V123">
            <v>0.2</v>
          </cell>
          <cell r="W123">
            <v>0.47200167022941214</v>
          </cell>
        </row>
        <row r="124">
          <cell r="A124" t="str">
            <v xml:space="preserve"> 4Q</v>
          </cell>
          <cell r="B124">
            <v>3534.7</v>
          </cell>
          <cell r="C124">
            <v>799.1</v>
          </cell>
          <cell r="D124">
            <v>2735.6</v>
          </cell>
          <cell r="E124">
            <v>1652.5</v>
          </cell>
          <cell r="F124">
            <v>356.6</v>
          </cell>
          <cell r="G124">
            <v>726.49999999999989</v>
          </cell>
          <cell r="H124">
            <v>39</v>
          </cell>
          <cell r="I124">
            <v>-33.9</v>
          </cell>
          <cell r="J124">
            <v>-15.3</v>
          </cell>
          <cell r="L124">
            <v>-29.8</v>
          </cell>
          <cell r="M124">
            <v>-40</v>
          </cell>
          <cell r="N124">
            <v>0</v>
          </cell>
          <cell r="O124">
            <v>686.49999999999989</v>
          </cell>
          <cell r="P124">
            <v>199.1</v>
          </cell>
          <cell r="Q124">
            <v>0.29002184996358343</v>
          </cell>
          <cell r="S124">
            <v>487.39999999999986</v>
          </cell>
          <cell r="T124">
            <v>888.64216799999997</v>
          </cell>
          <cell r="U124">
            <v>0.5484772358900708</v>
          </cell>
          <cell r="V124">
            <v>0.2</v>
          </cell>
          <cell r="W124">
            <v>0.55747973463262424</v>
          </cell>
        </row>
        <row r="126">
          <cell r="A126" t="str">
            <v>Year</v>
          </cell>
          <cell r="B126">
            <v>12929</v>
          </cell>
          <cell r="C126">
            <v>3041.9</v>
          </cell>
          <cell r="D126">
            <v>9887.1</v>
          </cell>
          <cell r="E126">
            <v>5958.5</v>
          </cell>
          <cell r="F126">
            <v>1259</v>
          </cell>
          <cell r="G126">
            <v>2669.6000000000004</v>
          </cell>
          <cell r="H126">
            <v>126.5</v>
          </cell>
          <cell r="I126">
            <v>-140.30000000000001</v>
          </cell>
          <cell r="J126">
            <v>-60.7</v>
          </cell>
          <cell r="L126">
            <v>-153.80000000000001</v>
          </cell>
          <cell r="M126">
            <v>-228.3</v>
          </cell>
          <cell r="N126">
            <v>0</v>
          </cell>
          <cell r="O126">
            <v>2441.3000000000006</v>
          </cell>
          <cell r="P126">
            <v>708</v>
          </cell>
          <cell r="Q126">
            <v>0.290009421210011</v>
          </cell>
          <cell r="S126">
            <v>1733.3000000000004</v>
          </cell>
          <cell r="T126">
            <v>884.28059799999994</v>
          </cell>
          <cell r="U126">
            <v>1.9597490786939957</v>
          </cell>
          <cell r="V126">
            <v>0.8</v>
          </cell>
          <cell r="W126">
            <v>1.9687515774365494</v>
          </cell>
        </row>
        <row r="128">
          <cell r="A128" t="str">
            <v>2000E</v>
          </cell>
        </row>
        <row r="129">
          <cell r="A129" t="str">
            <v xml:space="preserve"> 1QA</v>
          </cell>
          <cell r="B129">
            <v>0.13339986693280115</v>
          </cell>
          <cell r="C129">
            <v>-2.6581605528963603E-4</v>
          </cell>
          <cell r="D129">
            <v>0.17802626908058228</v>
          </cell>
          <cell r="E129">
            <v>0.14712137880454712</v>
          </cell>
          <cell r="F129">
            <v>0.2729927007299271</v>
          </cell>
          <cell r="G129">
            <v>0.20418763187794253</v>
          </cell>
          <cell r="H129">
            <v>1.4553571428571428</v>
          </cell>
          <cell r="I129">
            <v>0.78153846153846152</v>
          </cell>
          <cell r="J129" t="str">
            <v xml:space="preserve">NM </v>
          </cell>
          <cell r="L129" t="str">
            <v xml:space="preserve">NM </v>
          </cell>
          <cell r="M129" t="str">
            <v xml:space="preserve">NM </v>
          </cell>
          <cell r="N129" t="str">
            <v xml:space="preserve">NM </v>
          </cell>
          <cell r="O129">
            <v>0.34101896615842375</v>
          </cell>
          <cell r="P129">
            <v>0.31926829268292711</v>
          </cell>
          <cell r="Q129">
            <v>0</v>
          </cell>
          <cell r="R129" t="e">
            <v>#DIV/0!</v>
          </cell>
          <cell r="S129">
            <v>0.34989005235602177</v>
          </cell>
          <cell r="T129">
            <v>1.468236315779059E-2</v>
          </cell>
          <cell r="U129">
            <v>0.33035726387815778</v>
          </cell>
          <cell r="V129">
            <v>0.25</v>
          </cell>
        </row>
        <row r="130">
          <cell r="A130" t="str">
            <v xml:space="preserve"> 2QE</v>
          </cell>
          <cell r="B130">
            <v>0.12531659631193093</v>
          </cell>
          <cell r="C130">
            <v>2.9538647676991214E-2</v>
          </cell>
          <cell r="D130">
            <v>0.15385073120494352</v>
          </cell>
          <cell r="E130">
            <v>0.13030442313000301</v>
          </cell>
          <cell r="F130">
            <v>0.22042900993612502</v>
          </cell>
          <cell r="G130">
            <v>0.17590608040200983</v>
          </cell>
          <cell r="H130">
            <v>0.55763239875389403</v>
          </cell>
          <cell r="I130">
            <v>0.63043478260869579</v>
          </cell>
          <cell r="J130" t="str">
            <v xml:space="preserve">NM </v>
          </cell>
          <cell r="L130" t="str">
            <v xml:space="preserve">NM </v>
          </cell>
          <cell r="M130" t="str">
            <v xml:space="preserve">NM </v>
          </cell>
          <cell r="N130" t="str">
            <v xml:space="preserve">NM </v>
          </cell>
          <cell r="O130">
            <v>0.25765340692503136</v>
          </cell>
          <cell r="P130">
            <v>0.23518498481116556</v>
          </cell>
          <cell r="Q130">
            <v>-1.7865353037766818E-2</v>
          </cell>
          <cell r="R130" t="e">
            <v>#DIV/0!</v>
          </cell>
          <cell r="S130">
            <v>0.26683886389572575</v>
          </cell>
          <cell r="T130">
            <v>1.4995980826712385E-2</v>
          </cell>
          <cell r="U130">
            <v>0.24812204957096262</v>
          </cell>
          <cell r="V130">
            <v>0.25</v>
          </cell>
        </row>
        <row r="131">
          <cell r="A131" t="str">
            <v xml:space="preserve"> 3QE</v>
          </cell>
          <cell r="B131">
            <v>0.14365826538176441</v>
          </cell>
          <cell r="C131">
            <v>4.2472533889468256E-2</v>
          </cell>
          <cell r="D131">
            <v>0.17508220207253888</v>
          </cell>
          <cell r="E131">
            <v>0.1505099524542961</v>
          </cell>
          <cell r="F131">
            <v>0.15375783035199087</v>
          </cell>
          <cell r="G131">
            <v>0.24500253132434491</v>
          </cell>
          <cell r="H131">
            <v>0.51515151515151514</v>
          </cell>
          <cell r="I131">
            <v>0.61725067385444743</v>
          </cell>
          <cell r="J131" t="str">
            <v xml:space="preserve">NM </v>
          </cell>
          <cell r="L131" t="str">
            <v xml:space="preserve">NM </v>
          </cell>
          <cell r="M131" t="str">
            <v xml:space="preserve">NM </v>
          </cell>
          <cell r="N131" t="str">
            <v xml:space="preserve">NM </v>
          </cell>
          <cell r="O131">
            <v>0.28783468845760884</v>
          </cell>
          <cell r="P131">
            <v>0.26522956197183101</v>
          </cell>
          <cell r="Q131">
            <v>-1.7552816901407753E-2</v>
          </cell>
          <cell r="R131" t="e">
            <v>#DIV/0!</v>
          </cell>
          <cell r="S131">
            <v>0.29707189122302013</v>
          </cell>
          <cell r="T131">
            <v>1.3728287427963837E-2</v>
          </cell>
          <cell r="U131">
            <v>0.27950645879080382</v>
          </cell>
          <cell r="V131">
            <v>0.25</v>
          </cell>
        </row>
        <row r="132">
          <cell r="A132" t="str">
            <v xml:space="preserve"> 4QE</v>
          </cell>
          <cell r="B132">
            <v>0.16783521158485137</v>
          </cell>
          <cell r="C132">
            <v>0.12203953001629131</v>
          </cell>
          <cell r="D132">
            <v>0.18121265314847035</v>
          </cell>
          <cell r="E132">
            <v>0.17349865947865983</v>
          </cell>
          <cell r="F132">
            <v>0.20599894449260914</v>
          </cell>
          <cell r="G132">
            <v>0.18659267110585831</v>
          </cell>
          <cell r="H132">
            <v>0.41025641025641035</v>
          </cell>
          <cell r="I132">
            <v>0.83185840707964598</v>
          </cell>
          <cell r="J132" t="str">
            <v xml:space="preserve">NM </v>
          </cell>
          <cell r="L132" t="str">
            <v xml:space="preserve">NM </v>
          </cell>
          <cell r="M132" t="str">
            <v xml:space="preserve">NM </v>
          </cell>
          <cell r="N132" t="str">
            <v xml:space="preserve">NM </v>
          </cell>
          <cell r="O132">
            <v>0.21742108602826815</v>
          </cell>
          <cell r="P132">
            <v>0.196340929352816</v>
          </cell>
          <cell r="Q132">
            <v>-1.7315419387242792E-2</v>
          </cell>
          <cell r="R132" t="e">
            <v>#DIV/0!</v>
          </cell>
          <cell r="S132">
            <v>0.22603220460455553</v>
          </cell>
          <cell r="T132">
            <v>7.8297342288624616E-3</v>
          </cell>
          <cell r="U132">
            <v>0.21650727594641772</v>
          </cell>
          <cell r="V132">
            <v>0.25</v>
          </cell>
        </row>
        <row r="134">
          <cell r="A134" t="str">
            <v>Year</v>
          </cell>
          <cell r="B134">
            <v>0.14341326648534114</v>
          </cell>
          <cell r="C134">
            <v>4.9728481026996008E-2</v>
          </cell>
          <cell r="D134">
            <v>0.17223665745799632</v>
          </cell>
          <cell r="E134">
            <v>0.14000000000000001</v>
          </cell>
          <cell r="F134">
            <v>0.2094269917442928</v>
          </cell>
          <cell r="G134">
            <v>0.20166026991249852</v>
          </cell>
          <cell r="H134">
            <v>0.66007905138339917</v>
          </cell>
          <cell r="I134" t="str">
            <v xml:space="preserve">NM </v>
          </cell>
          <cell r="J134" t="str">
            <v xml:space="preserve">NM </v>
          </cell>
          <cell r="L134" t="str">
            <v xml:space="preserve">NM </v>
          </cell>
          <cell r="M134" t="str">
            <v xml:space="preserve">NM </v>
          </cell>
          <cell r="N134" t="str">
            <v xml:space="preserve">NM </v>
          </cell>
          <cell r="O134">
            <v>0.2719666802762486</v>
          </cell>
          <cell r="P134">
            <v>0.24999561175020601</v>
          </cell>
          <cell r="Q134">
            <v>-1.7273305084745672E-2</v>
          </cell>
          <cell r="S134">
            <v>0.2809411893147522</v>
          </cell>
          <cell r="T134">
            <v>0</v>
          </cell>
          <cell r="U134">
            <v>0.2649937331431198</v>
          </cell>
          <cell r="V134">
            <v>0.25</v>
          </cell>
          <cell r="W134">
            <v>0.25920930375016038</v>
          </cell>
        </row>
        <row r="136">
          <cell r="A136" t="str">
            <v>2000E</v>
          </cell>
        </row>
        <row r="137">
          <cell r="A137" t="str">
            <v xml:space="preserve"> 1QA</v>
          </cell>
          <cell r="B137">
            <v>3407</v>
          </cell>
          <cell r="C137">
            <v>752.2</v>
          </cell>
          <cell r="D137">
            <v>2654.8</v>
          </cell>
          <cell r="E137">
            <v>1564.1</v>
          </cell>
          <cell r="F137">
            <v>348.8</v>
          </cell>
          <cell r="G137">
            <v>741.90000000000032</v>
          </cell>
          <cell r="H137">
            <v>55</v>
          </cell>
          <cell r="I137">
            <v>-57.9</v>
          </cell>
          <cell r="J137">
            <v>-14.9</v>
          </cell>
          <cell r="L137">
            <v>-2.9000000000000021</v>
          </cell>
          <cell r="M137">
            <v>-20.7</v>
          </cell>
          <cell r="N137">
            <v>0</v>
          </cell>
          <cell r="O137">
            <v>721.20000000000027</v>
          </cell>
          <cell r="P137">
            <v>205.54200000000006</v>
          </cell>
          <cell r="Q137">
            <v>0.28499999999999998</v>
          </cell>
          <cell r="S137">
            <v>515.65800000000024</v>
          </cell>
          <cell r="T137">
            <v>895.6</v>
          </cell>
          <cell r="U137">
            <v>0.57576820008932583</v>
          </cell>
          <cell r="V137">
            <v>0.25</v>
          </cell>
        </row>
        <row r="138">
          <cell r="A138" t="str">
            <v xml:space="preserve"> 2QE</v>
          </cell>
          <cell r="B138">
            <v>3545.5350000000003</v>
          </cell>
          <cell r="C138">
            <v>744.56235000000004</v>
          </cell>
          <cell r="D138">
            <v>2800.9726500000002</v>
          </cell>
          <cell r="E138">
            <v>1638.0371700000003</v>
          </cell>
          <cell r="F138">
            <v>343.91689500000007</v>
          </cell>
          <cell r="G138">
            <v>819.0185849999998</v>
          </cell>
          <cell r="H138">
            <v>50</v>
          </cell>
          <cell r="I138">
            <v>-60</v>
          </cell>
          <cell r="J138">
            <v>-14.2</v>
          </cell>
          <cell r="L138">
            <v>-3</v>
          </cell>
          <cell r="M138">
            <v>-27.2</v>
          </cell>
          <cell r="N138">
            <v>0</v>
          </cell>
          <cell r="O138">
            <v>791.81858499999976</v>
          </cell>
          <cell r="P138">
            <v>225.66829672499992</v>
          </cell>
          <cell r="Q138">
            <v>0.28499999999999998</v>
          </cell>
          <cell r="S138">
            <v>566.15028827499987</v>
          </cell>
          <cell r="T138">
            <v>895.6</v>
          </cell>
          <cell r="U138">
            <v>0.6321463692217506</v>
          </cell>
          <cell r="V138">
            <v>0.25</v>
          </cell>
        </row>
        <row r="139">
          <cell r="A139" t="str">
            <v xml:space="preserve"> 3QE</v>
          </cell>
          <cell r="B139">
            <v>3702.7080000000005</v>
          </cell>
          <cell r="C139">
            <v>799.78492800000015</v>
          </cell>
          <cell r="D139">
            <v>2902.9230720000005</v>
          </cell>
          <cell r="E139">
            <v>1718.0565120000003</v>
          </cell>
          <cell r="F139">
            <v>399.89246400000007</v>
          </cell>
          <cell r="G139">
            <v>784.97409600000015</v>
          </cell>
          <cell r="H139">
            <v>50</v>
          </cell>
          <cell r="I139">
            <v>-60</v>
          </cell>
          <cell r="J139">
            <v>-15.5</v>
          </cell>
          <cell r="L139">
            <v>-3</v>
          </cell>
          <cell r="M139">
            <v>-28.5</v>
          </cell>
          <cell r="N139">
            <v>0</v>
          </cell>
          <cell r="O139">
            <v>756.47409600000015</v>
          </cell>
          <cell r="P139">
            <v>215.59511736000002</v>
          </cell>
          <cell r="Q139">
            <v>0.28499999999999998</v>
          </cell>
          <cell r="S139">
            <v>540.87897864000013</v>
          </cell>
          <cell r="T139">
            <v>895.6</v>
          </cell>
          <cell r="U139">
            <v>0.60392918561857989</v>
          </cell>
          <cell r="V139">
            <v>0.25</v>
          </cell>
        </row>
        <row r="140">
          <cell r="A140" t="str">
            <v xml:space="preserve"> 4QE</v>
          </cell>
          <cell r="B140">
            <v>4127.9471223889741</v>
          </cell>
          <cell r="C140">
            <v>896.62178843601839</v>
          </cell>
          <cell r="D140">
            <v>3231.3253339529556</v>
          </cell>
          <cell r="E140">
            <v>1939.2065347884852</v>
          </cell>
          <cell r="F140">
            <v>430.05922360606445</v>
          </cell>
          <cell r="G140">
            <v>862.05957555840587</v>
          </cell>
          <cell r="H140">
            <v>55</v>
          </cell>
          <cell r="I140">
            <v>-62.099999999999994</v>
          </cell>
          <cell r="J140">
            <v>-16.100000000000005</v>
          </cell>
          <cell r="K140">
            <v>0</v>
          </cell>
          <cell r="L140">
            <v>-3.0999999999999979</v>
          </cell>
          <cell r="M140">
            <v>-26.299999999999997</v>
          </cell>
          <cell r="N140">
            <v>0</v>
          </cell>
          <cell r="O140">
            <v>835.75957555840591</v>
          </cell>
          <cell r="P140">
            <v>238.19147903414566</v>
          </cell>
          <cell r="Q140">
            <v>0.28499999999999998</v>
          </cell>
          <cell r="S140">
            <v>597.56809652426023</v>
          </cell>
          <cell r="T140">
            <v>895.6</v>
          </cell>
          <cell r="U140">
            <v>0.66722654815125082</v>
          </cell>
          <cell r="V140">
            <v>0.25</v>
          </cell>
        </row>
        <row r="142">
          <cell r="A142" t="str">
            <v>Year</v>
          </cell>
          <cell r="B142">
            <v>14783.190122388976</v>
          </cell>
          <cell r="C142">
            <v>3193.169066436019</v>
          </cell>
          <cell r="D142">
            <v>11590.021055952957</v>
          </cell>
          <cell r="E142">
            <v>6859.4002167884855</v>
          </cell>
          <cell r="F142">
            <v>1522.6685826060645</v>
          </cell>
          <cell r="G142">
            <v>3207.9522565584066</v>
          </cell>
          <cell r="H142">
            <v>210</v>
          </cell>
          <cell r="I142">
            <v>-240</v>
          </cell>
          <cell r="J142">
            <v>-60.7</v>
          </cell>
          <cell r="L142">
            <v>-12</v>
          </cell>
          <cell r="M142">
            <v>-102.7</v>
          </cell>
          <cell r="N142">
            <v>0</v>
          </cell>
          <cell r="O142">
            <v>3105.2522565584068</v>
          </cell>
          <cell r="P142">
            <v>884.99689311914585</v>
          </cell>
          <cell r="Q142">
            <v>0.28499999999999998</v>
          </cell>
          <cell r="S142">
            <v>2220.2553634392607</v>
          </cell>
          <cell r="T142">
            <v>895.6</v>
          </cell>
          <cell r="U142">
            <v>2.4790703030809071</v>
          </cell>
          <cell r="V142">
            <v>1</v>
          </cell>
          <cell r="W142">
            <v>2.4790703030809071</v>
          </cell>
        </row>
        <row r="145">
          <cell r="A145" t="str">
            <v>2001E/00E</v>
          </cell>
          <cell r="B145">
            <v>0.12828424913276026</v>
          </cell>
          <cell r="C145">
            <v>4.9931176276318601E-2</v>
          </cell>
          <cell r="D145">
            <v>0.14987132022586147</v>
          </cell>
          <cell r="E145">
            <v>0.10396777824627823</v>
          </cell>
          <cell r="F145">
            <v>8.8849071493168452E-2</v>
          </cell>
          <cell r="G145">
            <v>0.27698899348850703</v>
          </cell>
          <cell r="H145">
            <v>0.33333333333333326</v>
          </cell>
          <cell r="I145">
            <v>-2.083333333333337E-2</v>
          </cell>
          <cell r="J145" t="str">
            <v xml:space="preserve">NM </v>
          </cell>
          <cell r="L145">
            <v>-0.83333333333333337</v>
          </cell>
          <cell r="M145">
            <v>-0.82765335929892891</v>
          </cell>
          <cell r="N145" t="str">
            <v xml:space="preserve">NM </v>
          </cell>
          <cell r="O145">
            <v>0.31352282721865432</v>
          </cell>
          <cell r="P145">
            <v>0.31352282721865454</v>
          </cell>
          <cell r="Q145">
            <v>0</v>
          </cell>
          <cell r="S145">
            <v>0.31352282721865454</v>
          </cell>
          <cell r="T145">
            <v>0</v>
          </cell>
          <cell r="U145">
            <v>0.31352282721865476</v>
          </cell>
          <cell r="V145">
            <v>0.25</v>
          </cell>
          <cell r="W145">
            <v>0.31352282721865476</v>
          </cell>
        </row>
        <row r="146">
          <cell r="A146" t="str">
            <v>2002E/01E</v>
          </cell>
          <cell r="B146">
            <v>0.11639138913769598</v>
          </cell>
          <cell r="C146">
            <v>8.8620459059643775E-2</v>
          </cell>
          <cell r="D146">
            <v>0.1233775680434388</v>
          </cell>
          <cell r="E146">
            <v>0.10655534165630653</v>
          </cell>
          <cell r="F146">
            <v>8.9436265053888464E-2</v>
          </cell>
          <cell r="G146">
            <v>0.16821085915467382</v>
          </cell>
          <cell r="H146">
            <v>0.28571428571428581</v>
          </cell>
          <cell r="I146">
            <v>0</v>
          </cell>
          <cell r="J146" t="str">
            <v xml:space="preserve">NM </v>
          </cell>
          <cell r="L146">
            <v>-5</v>
          </cell>
          <cell r="M146">
            <v>-5.0847457627118633</v>
          </cell>
          <cell r="N146" t="str">
            <v xml:space="preserve">NM </v>
          </cell>
          <cell r="O146">
            <v>0.19100601523298333</v>
          </cell>
          <cell r="P146">
            <v>0.17011117286047495</v>
          </cell>
          <cell r="Q146">
            <v>-1.754385964912264E-2</v>
          </cell>
          <cell r="S146">
            <v>0.19933472862622081</v>
          </cell>
          <cell r="T146">
            <v>0</v>
          </cell>
          <cell r="U146">
            <v>0.19933472862622059</v>
          </cell>
          <cell r="V146">
            <v>0.25</v>
          </cell>
          <cell r="W146">
            <v>0.19933472862622059</v>
          </cell>
        </row>
        <row r="147">
          <cell r="A147" t="str">
            <v>2003E/02E</v>
          </cell>
          <cell r="B147">
            <v>4.1580886092527747E-2</v>
          </cell>
          <cell r="C147">
            <v>6.2837638869926327E-2</v>
          </cell>
          <cell r="D147">
            <v>3.6398891634356056E-2</v>
          </cell>
          <cell r="E147">
            <v>5.7783255431745006E-2</v>
          </cell>
          <cell r="F147">
            <v>2.010499153391887E-2</v>
          </cell>
          <cell r="G147">
            <v>5.105290859715339E-3</v>
          </cell>
          <cell r="H147">
            <v>0.33333333333333326</v>
          </cell>
          <cell r="I147">
            <v>0</v>
          </cell>
          <cell r="J147" t="str">
            <v xml:space="preserve">NM </v>
          </cell>
          <cell r="L147">
            <v>1.25</v>
          </cell>
          <cell r="M147">
            <v>1.7980636237897651</v>
          </cell>
          <cell r="N147" t="str">
            <v xml:space="preserve">NM </v>
          </cell>
          <cell r="O147">
            <v>3.1789849787038138E-2</v>
          </cell>
          <cell r="P147">
            <v>2.0734958539319726E-2</v>
          </cell>
          <cell r="Q147">
            <v>-1.0714285714285676E-2</v>
          </cell>
          <cell r="S147">
            <v>3.6088974161150755E-2</v>
          </cell>
          <cell r="T147">
            <v>0</v>
          </cell>
          <cell r="U147">
            <v>3.6088974161150755E-2</v>
          </cell>
          <cell r="V147">
            <v>0.25</v>
          </cell>
          <cell r="W147">
            <v>3.6088974161150755E-2</v>
          </cell>
        </row>
        <row r="148">
          <cell r="A148" t="str">
            <v>2004E/03E</v>
          </cell>
          <cell r="B148">
            <v>5.1808359840511242E-2</v>
          </cell>
          <cell r="C148">
            <v>5.9171018359394978E-2</v>
          </cell>
          <cell r="D148">
            <v>4.9967695210790364E-2</v>
          </cell>
          <cell r="E148">
            <v>5.5030529870657041E-2</v>
          </cell>
          <cell r="F148">
            <v>4.0736692894821624E-2</v>
          </cell>
          <cell r="G148">
            <v>4.4174266906185533E-2</v>
          </cell>
          <cell r="H148">
            <v>0.29166666666666674</v>
          </cell>
          <cell r="I148">
            <v>0</v>
          </cell>
          <cell r="J148" t="str">
            <v xml:space="preserve">NM </v>
          </cell>
          <cell r="L148">
            <v>0.55555555555555558</v>
          </cell>
          <cell r="M148">
            <v>0.74147305981216016</v>
          </cell>
          <cell r="N148" t="str">
            <v xml:space="preserve">NM </v>
          </cell>
          <cell r="O148">
            <v>7.2317570743227977E-2</v>
          </cell>
          <cell r="P148">
            <v>5.6832840479787761E-2</v>
          </cell>
          <cell r="Q148">
            <v>-1.4440433212996373E-2</v>
          </cell>
          <cell r="S148">
            <v>7.8250171411240244E-2</v>
          </cell>
          <cell r="T148">
            <v>0</v>
          </cell>
          <cell r="U148">
            <v>7.8250171411240244E-2</v>
          </cell>
          <cell r="V148">
            <v>0.25</v>
          </cell>
          <cell r="W148">
            <v>7.8250171411240244E-2</v>
          </cell>
        </row>
        <row r="149">
          <cell r="A149" t="str">
            <v>2005E/04E</v>
          </cell>
          <cell r="B149">
            <v>5.4959935589752984E-2</v>
          </cell>
          <cell r="C149">
            <v>4.7626549741561996E-2</v>
          </cell>
          <cell r="D149">
            <v>5.680935195567538E-2</v>
          </cell>
          <cell r="E149">
            <v>5.4039377181734238E-2</v>
          </cell>
          <cell r="F149">
            <v>2.7219026421072545E-2</v>
          </cell>
          <cell r="G149">
            <v>7.3264457709644626E-2</v>
          </cell>
          <cell r="H149">
            <v>0.2661290322580645</v>
          </cell>
          <cell r="I149">
            <v>0</v>
          </cell>
          <cell r="J149" t="str">
            <v xml:space="preserve">NM </v>
          </cell>
          <cell r="L149">
            <v>0.35714285714285721</v>
          </cell>
          <cell r="M149">
            <v>0.49673573658813486</v>
          </cell>
          <cell r="N149" t="str">
            <v xml:space="preserve">NM </v>
          </cell>
          <cell r="O149">
            <v>0.10102151773506796</v>
          </cell>
          <cell r="P149">
            <v>9.2955426030049138E-2</v>
          </cell>
          <cell r="Q149">
            <v>-7.3260073260073E-3</v>
          </cell>
          <cell r="S149">
            <v>0.10405046276322483</v>
          </cell>
          <cell r="T149">
            <v>0</v>
          </cell>
          <cell r="U149">
            <v>0.10405046276322505</v>
          </cell>
          <cell r="V149">
            <v>0.25</v>
          </cell>
          <cell r="W149">
            <v>0.10405046276322505</v>
          </cell>
        </row>
        <row r="152">
          <cell r="A152" t="str">
            <v>2001E</v>
          </cell>
          <cell r="B152">
            <v>16679.640567026483</v>
          </cell>
          <cell r="C152">
            <v>3352.6077539723233</v>
          </cell>
          <cell r="D152">
            <v>13327.03281305416</v>
          </cell>
          <cell r="E152">
            <v>7572.5568174300233</v>
          </cell>
          <cell r="F152">
            <v>1657.9562723624324</v>
          </cell>
          <cell r="G152">
            <v>4096.5197232617047</v>
          </cell>
          <cell r="H152">
            <v>280</v>
          </cell>
          <cell r="I152">
            <v>-235</v>
          </cell>
          <cell r="J152">
            <v>-60.7</v>
          </cell>
          <cell r="L152">
            <v>-2</v>
          </cell>
          <cell r="M152">
            <v>-17.700000000000003</v>
          </cell>
          <cell r="N152">
            <v>0</v>
          </cell>
          <cell r="O152">
            <v>4078.8197232617049</v>
          </cell>
          <cell r="P152">
            <v>1162.4636211295858</v>
          </cell>
          <cell r="Q152">
            <v>0.28499999999999998</v>
          </cell>
          <cell r="S152">
            <v>2916.3561021321193</v>
          </cell>
          <cell r="T152">
            <v>895.6</v>
          </cell>
          <cell r="U152">
            <v>3.2563154333766406</v>
          </cell>
          <cell r="V152">
            <v>1.25</v>
          </cell>
          <cell r="W152">
            <v>3.2563154333766406</v>
          </cell>
        </row>
        <row r="153">
          <cell r="A153" t="str">
            <v>2002E</v>
          </cell>
          <cell r="B153">
            <v>18621.007102940162</v>
          </cell>
          <cell r="C153">
            <v>3649.7173921762719</v>
          </cell>
          <cell r="D153">
            <v>14971.289710763891</v>
          </cell>
          <cell r="E153">
            <v>8379.4531963230729</v>
          </cell>
          <cell r="F153">
            <v>1806.2376889851957</v>
          </cell>
          <cell r="G153">
            <v>4785.5988254556223</v>
          </cell>
          <cell r="H153">
            <v>360</v>
          </cell>
          <cell r="I153">
            <v>-235</v>
          </cell>
          <cell r="J153">
            <v>-60.7</v>
          </cell>
          <cell r="L153">
            <v>8</v>
          </cell>
          <cell r="M153">
            <v>72.3</v>
          </cell>
          <cell r="N153">
            <v>0</v>
          </cell>
          <cell r="O153">
            <v>4857.8988254556225</v>
          </cell>
          <cell r="P153">
            <v>1360.2116711275744</v>
          </cell>
          <cell r="Q153">
            <v>0.28000000000000003</v>
          </cell>
          <cell r="S153">
            <v>3497.6871543280481</v>
          </cell>
          <cell r="T153">
            <v>895.6</v>
          </cell>
          <cell r="U153">
            <v>3.9054121866101474</v>
          </cell>
          <cell r="V153">
            <v>1.5625</v>
          </cell>
          <cell r="W153">
            <v>3.9054121866101474</v>
          </cell>
        </row>
        <row r="154">
          <cell r="A154" t="str">
            <v>2003E</v>
          </cell>
          <cell r="B154">
            <v>19395.285078215667</v>
          </cell>
          <cell r="C154">
            <v>3879.0570156431336</v>
          </cell>
          <cell r="D154">
            <v>15516.228062572534</v>
          </cell>
          <cell r="E154">
            <v>8863.6452807445603</v>
          </cell>
          <cell r="F154">
            <v>1842.5520824304883</v>
          </cell>
          <cell r="G154">
            <v>4810.0306993974855</v>
          </cell>
          <cell r="H154">
            <v>480</v>
          </cell>
          <cell r="I154">
            <v>-235</v>
          </cell>
          <cell r="J154">
            <v>-60.7</v>
          </cell>
          <cell r="L154">
            <v>18</v>
          </cell>
          <cell r="M154">
            <v>202.3</v>
          </cell>
          <cell r="N154">
            <v>0</v>
          </cell>
          <cell r="O154">
            <v>5012.3306993974857</v>
          </cell>
          <cell r="P154">
            <v>1388.4156037331036</v>
          </cell>
          <cell r="Q154">
            <v>0.27700000000000002</v>
          </cell>
          <cell r="S154">
            <v>3623.9150956643821</v>
          </cell>
          <cell r="T154">
            <v>895.6</v>
          </cell>
          <cell r="U154">
            <v>4.0463545061013644</v>
          </cell>
          <cell r="V154">
            <v>1.953125</v>
          </cell>
          <cell r="W154">
            <v>4.0463545061013644</v>
          </cell>
        </row>
        <row r="155">
          <cell r="A155" t="str">
            <v>2004E</v>
          </cell>
          <cell r="B155">
            <v>20400.122986757164</v>
          </cell>
          <cell r="C155">
            <v>4108.584769532893</v>
          </cell>
          <cell r="D155">
            <v>16291.538217224272</v>
          </cell>
          <cell r="E155">
            <v>9351.4163771294825</v>
          </cell>
          <cell r="F155">
            <v>1917.6115607551733</v>
          </cell>
          <cell r="G155">
            <v>5022.5102793396163</v>
          </cell>
          <cell r="H155">
            <v>620</v>
          </cell>
          <cell r="I155">
            <v>-235</v>
          </cell>
          <cell r="J155">
            <v>-60.7</v>
          </cell>
          <cell r="L155">
            <v>28</v>
          </cell>
          <cell r="M155">
            <v>352.3</v>
          </cell>
          <cell r="N155">
            <v>0</v>
          </cell>
          <cell r="O155">
            <v>5374.8102793396165</v>
          </cell>
          <cell r="P155">
            <v>1467.3232062597153</v>
          </cell>
          <cell r="Q155">
            <v>0.27300000000000002</v>
          </cell>
          <cell r="S155">
            <v>3907.4870730799012</v>
          </cell>
          <cell r="T155">
            <v>895.6</v>
          </cell>
          <cell r="U155">
            <v>4.3629824397944406</v>
          </cell>
          <cell r="V155">
            <v>2.44140625</v>
          </cell>
          <cell r="W155">
            <v>4.3629824397944406</v>
          </cell>
        </row>
        <row r="156">
          <cell r="A156" t="str">
            <v>2005E</v>
          </cell>
          <cell r="B156">
            <v>21521.312432132378</v>
          </cell>
          <cell r="C156">
            <v>4304.2624864264753</v>
          </cell>
          <cell r="D156">
            <v>17217.049945705901</v>
          </cell>
          <cell r="E156">
            <v>9856.7610939166298</v>
          </cell>
          <cell r="F156">
            <v>1969.8070804927227</v>
          </cell>
          <cell r="G156">
            <v>5390.4817712965487</v>
          </cell>
          <cell r="H156">
            <v>785</v>
          </cell>
          <cell r="I156">
            <v>-235</v>
          </cell>
          <cell r="J156">
            <v>-60.7</v>
          </cell>
          <cell r="L156">
            <v>38</v>
          </cell>
          <cell r="M156">
            <v>527.29999999999995</v>
          </cell>
          <cell r="N156">
            <v>0</v>
          </cell>
          <cell r="O156">
            <v>5917.7817712965489</v>
          </cell>
          <cell r="P156">
            <v>1603.7188600213649</v>
          </cell>
          <cell r="Q156">
            <v>0.27100000000000002</v>
          </cell>
          <cell r="S156">
            <v>4314.062911275184</v>
          </cell>
          <cell r="T156">
            <v>895.6</v>
          </cell>
          <cell r="U156">
            <v>4.8169527816828763</v>
          </cell>
          <cell r="V156">
            <v>3.0517578125</v>
          </cell>
          <cell r="W156">
            <v>4.8169527816828763</v>
          </cell>
        </row>
        <row r="158">
          <cell r="A158" t="str">
            <v xml:space="preserve">(a) First half 1998 and 1999 are fully restated for Agouron pooling-of-interest transaction; Costs are not restated for second half 1998. </v>
          </cell>
        </row>
        <row r="160">
          <cell r="A160" t="str">
            <v>E = Morgan Stanley Dean Witter Research Estimates             NM = Not Meaningful             A = Actual     R = Restated</v>
          </cell>
        </row>
      </sheetData>
      <sheetData sheetId="4" refreshError="1">
        <row r="1">
          <cell r="A1" t="str">
            <v>Table 4</v>
          </cell>
        </row>
        <row r="2">
          <cell r="A2" t="str">
            <v>Warner Lambert</v>
          </cell>
        </row>
        <row r="3">
          <cell r="A3" t="str">
            <v>Quarterly Margin Analysis 1998-2005E</v>
          </cell>
        </row>
        <row r="5">
          <cell r="H5" t="str">
            <v>Non-Operating Items</v>
          </cell>
        </row>
        <row r="6">
          <cell r="D6" t="str">
            <v>Gross</v>
          </cell>
          <cell r="E6" t="str">
            <v/>
          </cell>
          <cell r="F6" t="str">
            <v/>
          </cell>
          <cell r="G6" t="str">
            <v xml:space="preserve">  Oper.</v>
          </cell>
          <cell r="H6" t="str">
            <v>Interest</v>
          </cell>
          <cell r="I6" t="str">
            <v>Interest</v>
          </cell>
          <cell r="J6" t="str">
            <v>Intang.</v>
          </cell>
          <cell r="K6" t="str">
            <v>Other</v>
          </cell>
          <cell r="M6" t="str">
            <v xml:space="preserve">  Pretax</v>
          </cell>
          <cell r="N6" t="str">
            <v xml:space="preserve">Net  </v>
          </cell>
        </row>
        <row r="7">
          <cell r="B7" t="str">
            <v>Sales</v>
          </cell>
          <cell r="C7" t="str">
            <v xml:space="preserve"> COGS</v>
          </cell>
          <cell r="D7" t="str">
            <v>Profit</v>
          </cell>
          <cell r="E7" t="str">
            <v>SG&amp;A</v>
          </cell>
          <cell r="F7" t="str">
            <v>R&amp;D</v>
          </cell>
          <cell r="G7" t="str">
            <v>Income</v>
          </cell>
          <cell r="H7" t="str">
            <v>Income</v>
          </cell>
          <cell r="I7" t="str">
            <v>Expense</v>
          </cell>
          <cell r="J7" t="str">
            <v>Amort.</v>
          </cell>
          <cell r="K7" t="str">
            <v xml:space="preserve">Inc </v>
          </cell>
          <cell r="L7" t="str">
            <v>Total</v>
          </cell>
          <cell r="M7" t="str">
            <v>Income</v>
          </cell>
          <cell r="N7" t="str">
            <v>Income</v>
          </cell>
        </row>
        <row r="9">
          <cell r="A9">
            <v>1993</v>
          </cell>
          <cell r="B9">
            <v>1</v>
          </cell>
          <cell r="C9">
            <v>0.33106650327079412</v>
          </cell>
          <cell r="D9">
            <v>0.66893349672920588</v>
          </cell>
          <cell r="E9">
            <v>0.44809016690543174</v>
          </cell>
          <cell r="F9">
            <v>8.024233218841155E-2</v>
          </cell>
          <cell r="G9">
            <v>0.1406009976353626</v>
          </cell>
          <cell r="H9">
            <v>6.8522705697568057E-3</v>
          </cell>
          <cell r="I9">
            <v>-1.1081001777793122E-2</v>
          </cell>
          <cell r="J9">
            <v>-1.9676545212903673E-3</v>
          </cell>
          <cell r="K9">
            <v>1.1132782159932348E-2</v>
          </cell>
          <cell r="L9">
            <v>4.936396430605664E-3</v>
          </cell>
          <cell r="M9">
            <v>0.14562369470286698</v>
          </cell>
          <cell r="N9">
            <v>0.11139686210884242</v>
          </cell>
        </row>
        <row r="11">
          <cell r="A11">
            <v>1994</v>
          </cell>
        </row>
        <row r="12">
          <cell r="A12" t="str">
            <v xml:space="preserve"> 1Q</v>
          </cell>
          <cell r="B12">
            <v>1</v>
          </cell>
          <cell r="C12">
            <v>0.32520987578883764</v>
          </cell>
          <cell r="D12">
            <v>0.67479012421116236</v>
          </cell>
          <cell r="E12">
            <v>0.41577980779349522</v>
          </cell>
          <cell r="F12">
            <v>6.6467738705067239E-2</v>
          </cell>
          <cell r="G12">
            <v>0.19254257771259992</v>
          </cell>
          <cell r="H12">
            <v>6.5177762162272257E-3</v>
          </cell>
          <cell r="I12">
            <v>-1.2492404414435516E-2</v>
          </cell>
          <cell r="J12">
            <v>-2.104698569823375E-3</v>
          </cell>
          <cell r="K12">
            <v>1.2899765427949708E-3</v>
          </cell>
          <cell r="L12">
            <v>-6.7893502252366934E-3</v>
          </cell>
          <cell r="M12">
            <v>0.17229945108103423</v>
          </cell>
          <cell r="N12">
            <v>0.1292549706530336</v>
          </cell>
        </row>
        <row r="13">
          <cell r="A13" t="str">
            <v xml:space="preserve"> 2Q</v>
          </cell>
          <cell r="B13">
            <v>1</v>
          </cell>
          <cell r="C13">
            <v>0.32811429948273518</v>
          </cell>
          <cell r="D13">
            <v>0.67188570051726482</v>
          </cell>
          <cell r="E13">
            <v>0.42326937906961914</v>
          </cell>
          <cell r="F13">
            <v>6.4746685839416618E-2</v>
          </cell>
          <cell r="G13">
            <v>0.18386963560822905</v>
          </cell>
          <cell r="H13">
            <v>9.3415616385227971E-3</v>
          </cell>
          <cell r="I13">
            <v>-1.5333045999782245E-2</v>
          </cell>
          <cell r="J13">
            <v>-1.9971614537531495E-3</v>
          </cell>
          <cell r="K13">
            <v>7.0867019326724639E-4</v>
          </cell>
          <cell r="L13">
            <v>-7.2799756217453524E-3</v>
          </cell>
          <cell r="M13">
            <v>0.16460669126396485</v>
          </cell>
          <cell r="N13">
            <v>0.12672504820567931</v>
          </cell>
        </row>
        <row r="14">
          <cell r="A14" t="str">
            <v xml:space="preserve"> 3Q</v>
          </cell>
          <cell r="B14">
            <v>1</v>
          </cell>
          <cell r="C14">
            <v>0.34075403949730698</v>
          </cell>
          <cell r="D14">
            <v>0.65924596050269302</v>
          </cell>
          <cell r="E14">
            <v>0.41956912028725313</v>
          </cell>
          <cell r="F14">
            <v>7.4326750448833037E-2</v>
          </cell>
          <cell r="G14">
            <v>0.16535008976660687</v>
          </cell>
          <cell r="H14">
            <v>8.7372830640335131E-3</v>
          </cell>
          <cell r="I14">
            <v>-1.5559545182525433E-2</v>
          </cell>
          <cell r="J14">
            <v>-1.8551765409934172E-3</v>
          </cell>
          <cell r="K14">
            <v>-2.6331538001196889E-3</v>
          </cell>
          <cell r="L14">
            <v>-1.1310592459605025E-2</v>
          </cell>
          <cell r="M14">
            <v>0.13327348892878513</v>
          </cell>
          <cell r="N14">
            <v>0.10125673249551163</v>
          </cell>
        </row>
        <row r="15">
          <cell r="A15" t="str">
            <v xml:space="preserve"> 4Q</v>
          </cell>
          <cell r="B15">
            <v>1</v>
          </cell>
          <cell r="C15">
            <v>0.34718428546521762</v>
          </cell>
          <cell r="D15">
            <v>0.65281571453478238</v>
          </cell>
          <cell r="E15">
            <v>0.44452838960888014</v>
          </cell>
          <cell r="F15">
            <v>7.7526588016504916E-2</v>
          </cell>
          <cell r="G15">
            <v>0.13076073690939732</v>
          </cell>
          <cell r="H15">
            <v>6.3927471377927588E-3</v>
          </cell>
          <cell r="I15">
            <v>-1.4819550183065031E-2</v>
          </cell>
          <cell r="J15">
            <v>-1.8597082582669845E-3</v>
          </cell>
          <cell r="K15">
            <v>-4.1262276980298714E-3</v>
          </cell>
          <cell r="L15">
            <v>-1.4412739001569129E-2</v>
          </cell>
          <cell r="M15">
            <v>0.10524786424129719</v>
          </cell>
          <cell r="N15">
            <v>8.0025570988551217E-2</v>
          </cell>
        </row>
        <row r="17">
          <cell r="A17">
            <v>1994</v>
          </cell>
          <cell r="B17">
            <v>1</v>
          </cell>
          <cell r="C17">
            <v>0.33585286618029742</v>
          </cell>
          <cell r="D17">
            <v>0.66414713381970258</v>
          </cell>
          <cell r="E17">
            <v>0.42628737884533691</v>
          </cell>
          <cell r="F17">
            <v>7.1063480570839221E-2</v>
          </cell>
          <cell r="G17">
            <v>0.16679627440352646</v>
          </cell>
          <cell r="H17">
            <v>7.74529601835682E-3</v>
          </cell>
          <cell r="I17">
            <v>-1.4602298529578148E-2</v>
          </cell>
          <cell r="J17">
            <v>-1.9480120770515139E-3</v>
          </cell>
          <cell r="K17">
            <v>-1.3246482123950301E-3</v>
          </cell>
          <cell r="L17">
            <v>-1.0129662800667872E-2</v>
          </cell>
          <cell r="M17">
            <v>0.14229558106706802</v>
          </cell>
          <cell r="N17">
            <v>0.10815082538050909</v>
          </cell>
        </row>
        <row r="19">
          <cell r="A19" t="str">
            <v>1995</v>
          </cell>
        </row>
        <row r="20">
          <cell r="A20" t="str">
            <v xml:space="preserve"> 1Q </v>
          </cell>
          <cell r="B20">
            <v>1</v>
          </cell>
          <cell r="C20">
            <v>0.3317337654244048</v>
          </cell>
          <cell r="D20">
            <v>0.6682662345755952</v>
          </cell>
          <cell r="E20">
            <v>0.39131247662968965</v>
          </cell>
          <cell r="F20">
            <v>7.1232705970335292E-2</v>
          </cell>
          <cell r="G20">
            <v>0.20572105197557025</v>
          </cell>
          <cell r="H20">
            <v>7.7901034525738504E-3</v>
          </cell>
          <cell r="I20">
            <v>-1.8197681665212514E-2</v>
          </cell>
          <cell r="J20">
            <v>-2.1812289667206782E-3</v>
          </cell>
          <cell r="K20">
            <v>-6.2320827620590785E-4</v>
          </cell>
          <cell r="L20">
            <v>-1.3212015455565251E-2</v>
          </cell>
          <cell r="M20">
            <v>0.17362582575096597</v>
          </cell>
          <cell r="N20">
            <v>0.12551414682786988</v>
          </cell>
        </row>
        <row r="21">
          <cell r="A21" t="str">
            <v xml:space="preserve"> 2Q</v>
          </cell>
          <cell r="B21">
            <v>1</v>
          </cell>
          <cell r="C21">
            <v>0.33985330073349634</v>
          </cell>
          <cell r="D21">
            <v>0.66014669926650371</v>
          </cell>
          <cell r="E21">
            <v>0.41575905756834852</v>
          </cell>
          <cell r="F21">
            <v>6.6403645254501001E-2</v>
          </cell>
          <cell r="G21">
            <v>0.1779839964436542</v>
          </cell>
          <cell r="H21">
            <v>7.0015559013114027E-3</v>
          </cell>
          <cell r="I21">
            <v>-1.8337408312958436E-2</v>
          </cell>
          <cell r="J21">
            <v>-1.9448766392531674E-3</v>
          </cell>
          <cell r="K21">
            <v>5.6679262058235173E-3</v>
          </cell>
          <cell r="L21">
            <v>-7.6128028450766824E-3</v>
          </cell>
          <cell r="M21">
            <v>0.1544787730606802</v>
          </cell>
          <cell r="N21">
            <v>0.11169148699711051</v>
          </cell>
        </row>
        <row r="22">
          <cell r="A22" t="str">
            <v xml:space="preserve"> 3Q</v>
          </cell>
          <cell r="B22">
            <v>1</v>
          </cell>
          <cell r="C22">
            <v>0.35034071070563721</v>
          </cell>
          <cell r="D22">
            <v>0.64965928929436279</v>
          </cell>
          <cell r="E22">
            <v>0.44252970659458241</v>
          </cell>
          <cell r="F22">
            <v>7.3323196485892875E-2</v>
          </cell>
          <cell r="G22">
            <v>0.13380638621388752</v>
          </cell>
          <cell r="H22">
            <v>7.3210564847665709E-3</v>
          </cell>
          <cell r="I22">
            <v>-1.7626851382553359E-2</v>
          </cell>
          <cell r="J22">
            <v>-1.9710536689756153E-3</v>
          </cell>
          <cell r="K22">
            <v>-9.010531058174289E-4</v>
          </cell>
          <cell r="L22">
            <v>-1.3177901672579833E-2</v>
          </cell>
          <cell r="M22">
            <v>0.10080531621332429</v>
          </cell>
          <cell r="N22">
            <v>7.4111617953483103E-2</v>
          </cell>
        </row>
        <row r="23">
          <cell r="A23" t="str">
            <v xml:space="preserve"> 4Q</v>
          </cell>
          <cell r="B23">
            <v>1</v>
          </cell>
          <cell r="C23">
            <v>0.35566428302596914</v>
          </cell>
          <cell r="D23">
            <v>0.64433571697403091</v>
          </cell>
          <cell r="E23">
            <v>0.43975482552825418</v>
          </cell>
          <cell r="F23">
            <v>7.376740684983063E-2</v>
          </cell>
          <cell r="G23">
            <v>0.13081348459594611</v>
          </cell>
          <cell r="H23">
            <v>6.2368944566912193E-3</v>
          </cell>
          <cell r="I23">
            <v>-1.5699768804774448E-2</v>
          </cell>
          <cell r="J23">
            <v>-2.4194849185440077E-3</v>
          </cell>
          <cell r="K23">
            <v>-1.0376901983977631E-2</v>
          </cell>
          <cell r="L23">
            <v>-2.2259261250604869E-2</v>
          </cell>
          <cell r="M23">
            <v>8.9252110328512338E-2</v>
          </cell>
          <cell r="N23">
            <v>6.6186354105059464E-2</v>
          </cell>
        </row>
        <row r="25">
          <cell r="A25" t="str">
            <v>1995</v>
          </cell>
          <cell r="B25">
            <v>1</v>
          </cell>
          <cell r="C25">
            <v>0.34482513707775792</v>
          </cell>
          <cell r="D25">
            <v>0.65517486292224203</v>
          </cell>
          <cell r="E25">
            <v>0.42327907042813717</v>
          </cell>
          <cell r="F25">
            <v>7.1195204409216173E-2</v>
          </cell>
          <cell r="G25">
            <v>0.16070058808488868</v>
          </cell>
          <cell r="H25">
            <v>7.0598596551038392E-3</v>
          </cell>
          <cell r="I25">
            <v>-1.7429472428193985E-2</v>
          </cell>
          <cell r="J25">
            <v>-2.1307423506349613E-3</v>
          </cell>
          <cell r="K25">
            <v>-1.6619790334952706E-3</v>
          </cell>
          <cell r="L25">
            <v>-1.4162334157220379E-2</v>
          </cell>
          <cell r="M25">
            <v>0.12807182022216543</v>
          </cell>
          <cell r="N25">
            <v>9.334071990681557E-2</v>
          </cell>
        </row>
        <row r="27">
          <cell r="A27">
            <v>1996</v>
          </cell>
        </row>
        <row r="28">
          <cell r="A28" t="str">
            <v xml:space="preserve"> 1Q </v>
          </cell>
          <cell r="B28">
            <v>1</v>
          </cell>
          <cell r="C28">
            <v>0.32232670019680737</v>
          </cell>
          <cell r="D28">
            <v>0.67767329980319269</v>
          </cell>
          <cell r="E28">
            <v>0.41324076098841023</v>
          </cell>
          <cell r="F28">
            <v>7.0905313798381803E-2</v>
          </cell>
          <cell r="G28">
            <v>0.19352722501640066</v>
          </cell>
          <cell r="H28">
            <v>6.6149136234419413E-3</v>
          </cell>
          <cell r="I28">
            <v>-1.5963262628471461E-2</v>
          </cell>
          <cell r="J28">
            <v>-1.9134047671113055E-3</v>
          </cell>
          <cell r="K28">
            <v>3.8268095342225991E-4</v>
          </cell>
          <cell r="L28">
            <v>-1.0879072818718567E-2</v>
          </cell>
          <cell r="M28">
            <v>0.16488082221736275</v>
          </cell>
          <cell r="N28">
            <v>0.12032582549748522</v>
          </cell>
        </row>
        <row r="29">
          <cell r="A29" t="str">
            <v xml:space="preserve"> 2Q</v>
          </cell>
          <cell r="B29">
            <v>1</v>
          </cell>
          <cell r="C29">
            <v>0.31933899062081283</v>
          </cell>
          <cell r="D29">
            <v>0.68066100937918717</v>
          </cell>
          <cell r="E29">
            <v>0.42613890129522103</v>
          </cell>
          <cell r="F29">
            <v>7.2967842786958462E-2</v>
          </cell>
          <cell r="G29">
            <v>0.18155426529700769</v>
          </cell>
          <cell r="H29">
            <v>8.9325591782045549E-3</v>
          </cell>
          <cell r="I29">
            <v>-1.7530147387226438E-2</v>
          </cell>
          <cell r="J29">
            <v>-2.2331397945511387E-3</v>
          </cell>
          <cell r="K29">
            <v>1.4571237159446181E-2</v>
          </cell>
          <cell r="L29">
            <v>3.7405091558731594E-3</v>
          </cell>
          <cell r="M29">
            <v>0.16491737382760166</v>
          </cell>
          <cell r="N29">
            <v>0.11902635104957576</v>
          </cell>
        </row>
        <row r="30">
          <cell r="A30" t="str">
            <v xml:space="preserve"> 3Q</v>
          </cell>
          <cell r="B30">
            <v>1</v>
          </cell>
          <cell r="C30">
            <v>0.32816742081447964</v>
          </cell>
          <cell r="D30">
            <v>0.67183257918552042</v>
          </cell>
          <cell r="E30">
            <v>0.44038461538461537</v>
          </cell>
          <cell r="F30">
            <v>8.2013574660633484E-2</v>
          </cell>
          <cell r="G30">
            <v>0.14943438914027157</v>
          </cell>
          <cell r="H30">
            <v>8.4841628959276012E-3</v>
          </cell>
          <cell r="I30">
            <v>-2.6640271493212672E-2</v>
          </cell>
          <cell r="J30">
            <v>-7.3529411764705881E-3</v>
          </cell>
          <cell r="K30">
            <v>-5.1470588235294117E-3</v>
          </cell>
          <cell r="L30">
            <v>-3.065610859728507E-2</v>
          </cell>
          <cell r="M30">
            <v>0.11877828054298639</v>
          </cell>
          <cell r="N30">
            <v>8.3540723981900419E-2</v>
          </cell>
        </row>
        <row r="31">
          <cell r="A31" t="str">
            <v xml:space="preserve"> 4Q</v>
          </cell>
          <cell r="B31">
            <v>1</v>
          </cell>
          <cell r="C31">
            <v>0.32832338578404774</v>
          </cell>
          <cell r="D31">
            <v>0.67167661421595226</v>
          </cell>
          <cell r="E31">
            <v>0.44384156266956049</v>
          </cell>
          <cell r="F31">
            <v>8.1063483450895285E-2</v>
          </cell>
          <cell r="G31">
            <v>0.14677156809549649</v>
          </cell>
          <cell r="H31">
            <v>6.3483450895279432E-3</v>
          </cell>
          <cell r="I31">
            <v>-2.0835594139989148E-2</v>
          </cell>
          <cell r="J31">
            <v>-5.9685295713510578E-3</v>
          </cell>
          <cell r="K31">
            <v>4.1779706999457407E-3</v>
          </cell>
          <cell r="L31">
            <v>-1.6277807921866522E-2</v>
          </cell>
          <cell r="M31">
            <v>0.13049376017363001</v>
          </cell>
          <cell r="N31">
            <v>9.2620727075420572E-2</v>
          </cell>
        </row>
        <row r="33">
          <cell r="A33" t="str">
            <v>Year</v>
          </cell>
          <cell r="B33">
            <v>1</v>
          </cell>
          <cell r="C33">
            <v>0.32454296540089062</v>
          </cell>
          <cell r="D33">
            <v>0.67545703459910933</v>
          </cell>
          <cell r="E33">
            <v>0.43087092402577648</v>
          </cell>
          <cell r="F33">
            <v>7.6720966894377296E-2</v>
          </cell>
          <cell r="G33">
            <v>0.16786514367895569</v>
          </cell>
          <cell r="H33">
            <v>7.5780623392427467E-3</v>
          </cell>
          <cell r="I33">
            <v>-2.0203556711010318E-2</v>
          </cell>
          <cell r="J33">
            <v>-4.3560029869734772E-3</v>
          </cell>
          <cell r="K33">
            <v>9.9565782559393762E-3</v>
          </cell>
          <cell r="L33">
            <v>-1.3469037807340212E-2</v>
          </cell>
          <cell r="M33">
            <v>0.14485438504300691</v>
          </cell>
          <cell r="N33">
            <v>0.1039494427081893</v>
          </cell>
        </row>
        <row r="35">
          <cell r="A35">
            <v>1997</v>
          </cell>
        </row>
        <row r="36">
          <cell r="A36" t="str">
            <v xml:space="preserve"> 1Q </v>
          </cell>
          <cell r="B36">
            <v>1</v>
          </cell>
          <cell r="C36">
            <v>0.30899066051535951</v>
          </cell>
          <cell r="D36">
            <v>0.69100933948464049</v>
          </cell>
          <cell r="E36">
            <v>0.42882862608304267</v>
          </cell>
          <cell r="F36">
            <v>7.5334758636210197E-2</v>
          </cell>
          <cell r="G36">
            <v>0.18684595476538762</v>
          </cell>
          <cell r="H36">
            <v>4.613480364577472E-3</v>
          </cell>
          <cell r="I36">
            <v>-2.2054686620906944E-2</v>
          </cell>
          <cell r="J36">
            <v>-6.9764825025317879E-3</v>
          </cell>
          <cell r="K36">
            <v>1.6315967143017891E-3</v>
          </cell>
          <cell r="L36">
            <v>-2.2786092044559472E-2</v>
          </cell>
          <cell r="M36">
            <v>0.16405986272082818</v>
          </cell>
          <cell r="N36">
            <v>0.11483065151344661</v>
          </cell>
        </row>
        <row r="37">
          <cell r="A37" t="str">
            <v xml:space="preserve"> 2Q</v>
          </cell>
          <cell r="B37">
            <v>1</v>
          </cell>
          <cell r="C37">
            <v>0.30182539278995274</v>
          </cell>
          <cell r="D37">
            <v>0.6981746072100472</v>
          </cell>
          <cell r="E37">
            <v>0.43606040575583466</v>
          </cell>
          <cell r="F37">
            <v>8.0439314587888333E-2</v>
          </cell>
          <cell r="G37">
            <v>0.18167488686632421</v>
          </cell>
          <cell r="H37">
            <v>4.5761936238368842E-3</v>
          </cell>
          <cell r="I37">
            <v>-2.4406365993796714E-2</v>
          </cell>
          <cell r="J37">
            <v>-6.5083642650124573E-3</v>
          </cell>
          <cell r="K37">
            <v>1.2711648955102456E-2</v>
          </cell>
          <cell r="L37">
            <v>-1.3626887679869831E-2</v>
          </cell>
          <cell r="M37">
            <v>0.16804799918645441</v>
          </cell>
          <cell r="N37">
            <v>0.11765902272842828</v>
          </cell>
        </row>
        <row r="38">
          <cell r="A38" t="str">
            <v xml:space="preserve"> 3Q</v>
          </cell>
          <cell r="B38">
            <v>1</v>
          </cell>
          <cell r="C38">
            <v>0.29122990086799788</v>
          </cell>
          <cell r="D38">
            <v>0.70877009913200206</v>
          </cell>
          <cell r="E38">
            <v>0.45937485177631265</v>
          </cell>
          <cell r="F38">
            <v>8.632547550158895E-2</v>
          </cell>
          <cell r="G38">
            <v>0.16306977185410046</v>
          </cell>
          <cell r="H38">
            <v>5.0751790542142954E-3</v>
          </cell>
          <cell r="I38">
            <v>-2.0395579376749039E-2</v>
          </cell>
          <cell r="J38">
            <v>-6.2609685528624949E-3</v>
          </cell>
          <cell r="K38">
            <v>-7.1147369918891992E-3</v>
          </cell>
          <cell r="L38">
            <v>-2.8696105867286437E-2</v>
          </cell>
          <cell r="M38">
            <v>0.13437366598681411</v>
          </cell>
          <cell r="N38">
            <v>9.4056823032775294E-2</v>
          </cell>
        </row>
        <row r="39">
          <cell r="A39" t="str">
            <v xml:space="preserve"> 4Q</v>
          </cell>
          <cell r="B39">
            <v>1</v>
          </cell>
          <cell r="C39">
            <v>0.27962533298960213</v>
          </cell>
          <cell r="D39">
            <v>0.72037466701039787</v>
          </cell>
          <cell r="E39">
            <v>0.46747443499183639</v>
          </cell>
          <cell r="F39">
            <v>8.5116438944745201E-2</v>
          </cell>
          <cell r="G39">
            <v>0.1677837930738163</v>
          </cell>
          <cell r="H39">
            <v>5.8004640371229696E-3</v>
          </cell>
          <cell r="I39">
            <v>-1.5811635301194463E-2</v>
          </cell>
          <cell r="J39">
            <v>-7.7339520494972931E-3</v>
          </cell>
          <cell r="K39">
            <v>-9.1088768582968105E-3</v>
          </cell>
          <cell r="L39">
            <v>-2.6854000171865601E-2</v>
          </cell>
          <cell r="M39">
            <v>0.14092979290195071</v>
          </cell>
          <cell r="N39">
            <v>0.1012718054481396</v>
          </cell>
        </row>
        <row r="41">
          <cell r="A41" t="str">
            <v>Year</v>
          </cell>
          <cell r="B41">
            <v>1</v>
          </cell>
          <cell r="C41">
            <v>0.29433482481234263</v>
          </cell>
          <cell r="D41">
            <v>0.70566517518765737</v>
          </cell>
          <cell r="E41">
            <v>0.44943641653830163</v>
          </cell>
          <cell r="F41">
            <v>8.2178048363040657E-2</v>
          </cell>
          <cell r="G41">
            <v>0.17405071028631508</v>
          </cell>
          <cell r="H41">
            <v>5.0612484412821818E-3</v>
          </cell>
          <cell r="I41">
            <v>-2.0416147094060977E-2</v>
          </cell>
          <cell r="J41">
            <v>-6.895034108413408E-3</v>
          </cell>
          <cell r="K41">
            <v>-1.0146947358126116E-3</v>
          </cell>
          <cell r="L41">
            <v>-2.3264627497004815E-2</v>
          </cell>
          <cell r="M41">
            <v>0.15078608278931024</v>
          </cell>
          <cell r="N41">
            <v>0.10629844250470673</v>
          </cell>
        </row>
        <row r="43">
          <cell r="A43" t="str">
            <v>1998 (a)</v>
          </cell>
        </row>
        <row r="44">
          <cell r="A44" t="str">
            <v xml:space="preserve"> 1Q </v>
          </cell>
          <cell r="B44">
            <v>1</v>
          </cell>
          <cell r="C44">
            <v>0.28040670985456262</v>
          </cell>
          <cell r="D44">
            <v>0.71959329014543738</v>
          </cell>
          <cell r="E44">
            <v>0.43944399159123082</v>
          </cell>
          <cell r="F44">
            <v>8.9150113689990998E-2</v>
          </cell>
          <cell r="G44">
            <v>0.19099918486421558</v>
          </cell>
          <cell r="H44">
            <v>6.3065768587240974E-3</v>
          </cell>
          <cell r="I44">
            <v>-1.5444678021365137E-2</v>
          </cell>
          <cell r="J44">
            <v>-6.349478742116779E-3</v>
          </cell>
          <cell r="K44">
            <v>2.9602299540949849E-3</v>
          </cell>
          <cell r="L44">
            <v>-1.2527349950662835E-2</v>
          </cell>
          <cell r="M44">
            <v>0.17847183491355278</v>
          </cell>
          <cell r="N44">
            <v>0.12565961645716256</v>
          </cell>
        </row>
        <row r="45">
          <cell r="A45" t="str">
            <v xml:space="preserve"> 2Q</v>
          </cell>
          <cell r="B45">
            <v>1</v>
          </cell>
          <cell r="C45">
            <v>0.26350318708763559</v>
          </cell>
          <cell r="D45">
            <v>0.73649681291236435</v>
          </cell>
          <cell r="E45">
            <v>0.44231557758974177</v>
          </cell>
          <cell r="F45">
            <v>9.7215491855220493E-2</v>
          </cell>
          <cell r="G45">
            <v>0.19696574346740209</v>
          </cell>
          <cell r="H45">
            <v>5.2931747865955937E-3</v>
          </cell>
          <cell r="I45">
            <v>-9.8408319976143431E-3</v>
          </cell>
          <cell r="J45">
            <v>-5.4795541804898047E-3</v>
          </cell>
          <cell r="K45">
            <v>-1.5022179147873412E-2</v>
          </cell>
          <cell r="L45">
            <v>-2.5049390539381964E-2</v>
          </cell>
          <cell r="M45">
            <v>0.17191635292802016</v>
          </cell>
          <cell r="N45">
            <v>0.12267491706116961</v>
          </cell>
        </row>
        <row r="46">
          <cell r="A46" t="str">
            <v xml:space="preserve"> 3Q</v>
          </cell>
          <cell r="B46">
            <v>1</v>
          </cell>
          <cell r="C46">
            <v>0.26105192828773988</v>
          </cell>
          <cell r="D46">
            <v>0.73894807171226007</v>
          </cell>
          <cell r="E46">
            <v>0.45254444898110691</v>
          </cell>
          <cell r="F46">
            <v>9.5282283508407256E-2</v>
          </cell>
          <cell r="G46">
            <v>0.19112133922274591</v>
          </cell>
          <cell r="H46">
            <v>4.5284139415760361E-3</v>
          </cell>
          <cell r="I46">
            <v>-9.6507182361456525E-3</v>
          </cell>
          <cell r="J46">
            <v>-5.5306039122527007E-3</v>
          </cell>
          <cell r="K46">
            <v>-2.2939014884376972E-2</v>
          </cell>
          <cell r="L46">
            <v>-3.3591923091199287E-2</v>
          </cell>
          <cell r="M46">
            <v>0.15752941613154667</v>
          </cell>
          <cell r="N46">
            <v>0.11224527671578634</v>
          </cell>
        </row>
        <row r="47">
          <cell r="A47" t="str">
            <v xml:space="preserve"> 4Q</v>
          </cell>
          <cell r="B47">
            <v>1</v>
          </cell>
          <cell r="C47">
            <v>0.23796976384177071</v>
          </cell>
          <cell r="D47">
            <v>0.76203023615822929</v>
          </cell>
          <cell r="E47">
            <v>0.46240242416257704</v>
          </cell>
          <cell r="F47">
            <v>8.6821909686769227E-2</v>
          </cell>
          <cell r="G47">
            <v>0.21280590230888302</v>
          </cell>
          <cell r="H47">
            <v>4.8088007641382035E-3</v>
          </cell>
          <cell r="I47">
            <v>-8.4648068245446462E-3</v>
          </cell>
          <cell r="J47">
            <v>-5.0722966964197496E-3</v>
          </cell>
          <cell r="K47">
            <v>6.2580283916867036E-3</v>
          </cell>
          <cell r="L47">
            <v>-2.4702743651394883E-3</v>
          </cell>
          <cell r="M47">
            <v>0.21033562794374355</v>
          </cell>
          <cell r="N47">
            <v>0.1148512894832186</v>
          </cell>
        </row>
        <row r="49">
          <cell r="A49" t="str">
            <v>Year</v>
          </cell>
          <cell r="B49">
            <v>1</v>
          </cell>
          <cell r="C49">
            <v>0.25934027066773396</v>
          </cell>
          <cell r="D49">
            <v>0.74065972933226598</v>
          </cell>
          <cell r="E49">
            <v>0.44993391537444849</v>
          </cell>
          <cell r="F49">
            <v>9.2043783391351275E-2</v>
          </cell>
          <cell r="G49">
            <v>0.19868203056646616</v>
          </cell>
          <cell r="H49">
            <v>5.1843854129823702E-3</v>
          </cell>
          <cell r="I49">
            <v>-1.0620078556935163E-2</v>
          </cell>
          <cell r="J49">
            <v>-5.566000856307823E-3</v>
          </cell>
          <cell r="K49">
            <v>-7.0924626296096334E-3</v>
          </cell>
          <cell r="L49">
            <v>-1.8094156629870246E-2</v>
          </cell>
          <cell r="M49">
            <v>0.18058787393659592</v>
          </cell>
          <cell r="N49">
            <v>0.1184962489994229</v>
          </cell>
        </row>
        <row r="51">
          <cell r="A51">
            <v>1999</v>
          </cell>
        </row>
        <row r="52">
          <cell r="A52" t="str">
            <v xml:space="preserve"> 1QA (a)</v>
          </cell>
          <cell r="B52">
            <v>1</v>
          </cell>
          <cell r="C52">
            <v>0.2502994011976048</v>
          </cell>
          <cell r="D52">
            <v>0.74970059880239526</v>
          </cell>
          <cell r="E52">
            <v>0.45359281437125748</v>
          </cell>
          <cell r="F52">
            <v>9.1151031270791744E-2</v>
          </cell>
          <cell r="G52">
            <v>0.20495675316034603</v>
          </cell>
          <cell r="H52">
            <v>7.451763140385894E-3</v>
          </cell>
          <cell r="I52">
            <v>-1.081170991350632E-2</v>
          </cell>
          <cell r="J52">
            <v>-5.2228875582168996E-3</v>
          </cell>
          <cell r="K52">
            <v>-1.7465069860279441E-2</v>
          </cell>
          <cell r="L52">
            <v>-2.6047904191616764E-2</v>
          </cell>
          <cell r="M52">
            <v>0.17890884896872919</v>
          </cell>
          <cell r="N52">
            <v>0.12707917498336657</v>
          </cell>
        </row>
        <row r="53">
          <cell r="A53" t="str">
            <v xml:space="preserve"> 2QA</v>
          </cell>
          <cell r="B53">
            <v>1</v>
          </cell>
          <cell r="C53">
            <v>0.2295362935220745</v>
          </cell>
          <cell r="D53">
            <v>0.7704637064779255</v>
          </cell>
          <cell r="E53">
            <v>0.45996127844605966</v>
          </cell>
          <cell r="F53">
            <v>8.9440441806582671E-2</v>
          </cell>
          <cell r="G53">
            <v>0.22106198622528317</v>
          </cell>
          <cell r="H53">
            <v>1.0188212143333229E-2</v>
          </cell>
          <cell r="I53">
            <v>-1.1679944139397594E-2</v>
          </cell>
          <cell r="J53">
            <v>-4.8560637318691086E-3</v>
          </cell>
          <cell r="K53">
            <v>-1.4885580982004E-2</v>
          </cell>
          <cell r="L53">
            <v>-2.1233376709937472E-2</v>
          </cell>
          <cell r="M53">
            <v>0.19982860951534581</v>
          </cell>
          <cell r="N53">
            <v>0.14184149554067352</v>
          </cell>
        </row>
        <row r="54">
          <cell r="A54" t="str">
            <v xml:space="preserve"> 3QA</v>
          </cell>
          <cell r="B54">
            <v>1</v>
          </cell>
          <cell r="C54">
            <v>0.23696565357054608</v>
          </cell>
          <cell r="D54">
            <v>0.76303434642945389</v>
          </cell>
          <cell r="E54">
            <v>0.46123671855695569</v>
          </cell>
          <cell r="F54">
            <v>0.10705460835186557</v>
          </cell>
          <cell r="G54">
            <v>0.19474301952063261</v>
          </cell>
          <cell r="H54">
            <v>1.0192735359525574E-2</v>
          </cell>
          <cell r="I54">
            <v>-1.1459105510254509E-2</v>
          </cell>
          <cell r="J54">
            <v>-4.447739065974796E-3</v>
          </cell>
          <cell r="K54">
            <v>-7.5982209043736083E-3</v>
          </cell>
          <cell r="L54">
            <v>-1.3312330121077338E-2</v>
          </cell>
          <cell r="M54">
            <v>0.18143068939955537</v>
          </cell>
          <cell r="N54">
            <v>0.12879911045218698</v>
          </cell>
        </row>
        <row r="55">
          <cell r="A55" t="str">
            <v xml:space="preserve"> 4Q</v>
          </cell>
          <cell r="B55">
            <v>1</v>
          </cell>
          <cell r="C55">
            <v>0.2260729340538094</v>
          </cell>
          <cell r="D55">
            <v>0.77392706594619054</v>
          </cell>
          <cell r="E55">
            <v>0.46750785073697909</v>
          </cell>
          <cell r="F55">
            <v>0.10088550654935356</v>
          </cell>
          <cell r="G55">
            <v>0.20553370865985787</v>
          </cell>
          <cell r="H55">
            <v>1.1033468186833395E-2</v>
          </cell>
          <cell r="I55">
            <v>-9.5906300393244128E-3</v>
          </cell>
          <cell r="J55">
            <v>-4.3285144425269477E-3</v>
          </cell>
          <cell r="K55">
            <v>-8.4307013325034662E-3</v>
          </cell>
          <cell r="L55">
            <v>-1.1316377627521431E-2</v>
          </cell>
          <cell r="M55">
            <v>0.19421733103233652</v>
          </cell>
          <cell r="N55">
            <v>0.1378900613913486</v>
          </cell>
        </row>
        <row r="57">
          <cell r="A57" t="str">
            <v>Year</v>
          </cell>
          <cell r="B57">
            <v>1</v>
          </cell>
          <cell r="C57">
            <v>0.23527728362595715</v>
          </cell>
          <cell r="D57">
            <v>0.76472271637404288</v>
          </cell>
          <cell r="E57">
            <v>0.46086317580632685</v>
          </cell>
          <cell r="F57">
            <v>9.7377987470028612E-2</v>
          </cell>
          <cell r="G57">
            <v>0.2064815530976874</v>
          </cell>
          <cell r="H57">
            <v>9.7842060484182852E-3</v>
          </cell>
          <cell r="I57">
            <v>-1.0851573980973007E-2</v>
          </cell>
          <cell r="J57">
            <v>-4.6948719931935957E-3</v>
          </cell>
          <cell r="K57">
            <v>-1.1895738262820019E-2</v>
          </cell>
          <cell r="L57">
            <v>-1.7657978188568336E-2</v>
          </cell>
          <cell r="M57">
            <v>0.18882357490911908</v>
          </cell>
          <cell r="N57">
            <v>0.13406295923892028</v>
          </cell>
        </row>
        <row r="59">
          <cell r="A59" t="str">
            <v>2000E</v>
          </cell>
        </row>
        <row r="60">
          <cell r="A60" t="str">
            <v xml:space="preserve"> 1QA</v>
          </cell>
          <cell r="B60">
            <v>1</v>
          </cell>
          <cell r="C60">
            <v>0.22078074552392135</v>
          </cell>
          <cell r="D60">
            <v>0.77921925447607865</v>
          </cell>
          <cell r="E60">
            <v>0.45908423833284412</v>
          </cell>
          <cell r="F60">
            <v>0.10237745817434693</v>
          </cell>
          <cell r="G60">
            <v>0.2177575579688876</v>
          </cell>
          <cell r="H60">
            <v>1.6143234517170531E-2</v>
          </cell>
          <cell r="I60">
            <v>-1.6994423246257703E-2</v>
          </cell>
          <cell r="J60">
            <v>-4.373348987378926E-3</v>
          </cell>
          <cell r="K60">
            <v>-8.5118872908717411E-4</v>
          </cell>
          <cell r="L60">
            <v>-6.0757264455532723E-3</v>
          </cell>
          <cell r="M60">
            <v>0.21168183152333439</v>
          </cell>
          <cell r="N60">
            <v>0.15135250953918411</v>
          </cell>
        </row>
        <row r="61">
          <cell r="A61" t="str">
            <v xml:space="preserve"> 2QE</v>
          </cell>
          <cell r="B61">
            <v>1</v>
          </cell>
          <cell r="C61">
            <v>0.21</v>
          </cell>
          <cell r="D61">
            <v>0.79</v>
          </cell>
          <cell r="E61">
            <v>0.46200000000000002</v>
          </cell>
          <cell r="F61">
            <v>9.7000000000000003E-2</v>
          </cell>
          <cell r="G61">
            <v>0.23100000000000001</v>
          </cell>
          <cell r="H61">
            <v>1.4102244090102056E-2</v>
          </cell>
          <cell r="I61">
            <v>-1.6922692908122469E-2</v>
          </cell>
          <cell r="J61">
            <v>-4.0050373215889841E-3</v>
          </cell>
          <cell r="K61">
            <v>-8.4613464540612342E-4</v>
          </cell>
          <cell r="L61">
            <v>-7.6716207850155184E-3</v>
          </cell>
          <cell r="M61">
            <v>0.22332837921498438</v>
          </cell>
          <cell r="N61">
            <v>0.15967979113871386</v>
          </cell>
        </row>
        <row r="62">
          <cell r="A62" t="str">
            <v xml:space="preserve"> 3QE</v>
          </cell>
          <cell r="B62">
            <v>1</v>
          </cell>
          <cell r="C62">
            <v>0.216</v>
          </cell>
          <cell r="D62">
            <v>0.78400000000000003</v>
          </cell>
          <cell r="E62">
            <v>0.46400000000000002</v>
          </cell>
          <cell r="F62">
            <v>0.108</v>
          </cell>
          <cell r="G62">
            <v>0.21200000000000002</v>
          </cell>
          <cell r="H62">
            <v>1.3503630315974145E-2</v>
          </cell>
          <cell r="I62">
            <v>-1.6204356379168974E-2</v>
          </cell>
          <cell r="J62">
            <v>-4.1861253979519845E-3</v>
          </cell>
          <cell r="K62">
            <v>-8.102178189584487E-4</v>
          </cell>
          <cell r="L62">
            <v>-7.6970692801052627E-3</v>
          </cell>
          <cell r="M62">
            <v>0.20430293071989475</v>
          </cell>
          <cell r="N62">
            <v>0.14607659546472476</v>
          </cell>
        </row>
        <row r="63">
          <cell r="A63" t="str">
            <v xml:space="preserve"> 4QE</v>
          </cell>
          <cell r="B63">
            <v>1</v>
          </cell>
          <cell r="C63">
            <v>0.21720767293092527</v>
          </cell>
          <cell r="D63">
            <v>0.78279232706907476</v>
          </cell>
          <cell r="E63">
            <v>0.46977504248315194</v>
          </cell>
          <cell r="F63">
            <v>0.10418234799412245</v>
          </cell>
          <cell r="G63">
            <v>0.20883493659180036</v>
          </cell>
          <cell r="H63">
            <v>1.3323814082233145E-2</v>
          </cell>
          <cell r="I63">
            <v>-1.5043797354666877E-2</v>
          </cell>
          <cell r="J63">
            <v>-3.9002437586173398E-3</v>
          </cell>
          <cell r="K63">
            <v>-7.5097861190768578E-4</v>
          </cell>
          <cell r="L63">
            <v>-6.3712056429587579E-3</v>
          </cell>
          <cell r="M63">
            <v>0.20246373094884154</v>
          </cell>
          <cell r="N63">
            <v>0.14476156762842171</v>
          </cell>
        </row>
        <row r="65">
          <cell r="A65" t="str">
            <v>Year</v>
          </cell>
          <cell r="B65">
            <v>1</v>
          </cell>
          <cell r="C65">
            <v>0.216</v>
          </cell>
          <cell r="D65">
            <v>0.78400000000000003</v>
          </cell>
          <cell r="E65">
            <v>0.46400000000000002</v>
          </cell>
          <cell r="F65">
            <v>0.10299999999999999</v>
          </cell>
          <cell r="G65">
            <v>0.21700000000000003</v>
          </cell>
          <cell r="H65">
            <v>1.4205323631870048E-2</v>
          </cell>
          <cell r="I65">
            <v>-1.6234655579280055E-2</v>
          </cell>
          <cell r="J65">
            <v>-4.1060149735929145E-3</v>
          </cell>
          <cell r="K65">
            <v>-8.117327789640028E-4</v>
          </cell>
          <cell r="L65">
            <v>-6.9470796999669239E-3</v>
          </cell>
          <cell r="M65">
            <v>0.210052920300033</v>
          </cell>
          <cell r="N65">
            <v>0.15018783801452359</v>
          </cell>
        </row>
        <row r="67">
          <cell r="A67" t="str">
            <v>2001E</v>
          </cell>
          <cell r="B67">
            <v>1</v>
          </cell>
          <cell r="C67">
            <v>0.20100000000000001</v>
          </cell>
          <cell r="D67">
            <v>0.79899999999999993</v>
          </cell>
          <cell r="E67">
            <v>0.45400000000000001</v>
          </cell>
          <cell r="F67">
            <v>9.9400000000000002E-2</v>
          </cell>
          <cell r="G67">
            <v>0.24559999999999993</v>
          </cell>
          <cell r="H67">
            <v>1.6786932480638953E-2</v>
          </cell>
          <cell r="I67">
            <v>-1.4089032617679121E-2</v>
          </cell>
          <cell r="J67">
            <v>-3.6391671484813735E-3</v>
          </cell>
          <cell r="K67">
            <v>-1.1990666057599252E-4</v>
          </cell>
          <cell r="L67">
            <v>-1.061173946097534E-3</v>
          </cell>
          <cell r="M67">
            <v>0.24453882605390251</v>
          </cell>
          <cell r="N67">
            <v>0.17484526062854031</v>
          </cell>
        </row>
        <row r="68">
          <cell r="A68" t="str">
            <v>2002E</v>
          </cell>
          <cell r="B68">
            <v>1</v>
          </cell>
          <cell r="C68">
            <v>0.19600000000000001</v>
          </cell>
          <cell r="D68">
            <v>0.80400000000000005</v>
          </cell>
          <cell r="E68">
            <v>0.45</v>
          </cell>
          <cell r="F68">
            <v>9.7000000000000003E-2</v>
          </cell>
          <cell r="G68">
            <v>0.25700000000000001</v>
          </cell>
          <cell r="H68">
            <v>1.9333003741948941E-2</v>
          </cell>
          <cell r="I68">
            <v>-1.2620155220438894E-2</v>
          </cell>
          <cell r="J68">
            <v>-3.2597592420452802E-3</v>
          </cell>
          <cell r="K68">
            <v>4.2962230537664319E-4</v>
          </cell>
          <cell r="L68">
            <v>3.8827115848414123E-3</v>
          </cell>
          <cell r="M68">
            <v>0.26088271158484144</v>
          </cell>
          <cell r="N68">
            <v>0.18783555234108584</v>
          </cell>
        </row>
        <row r="69">
          <cell r="A69" t="str">
            <v>2003E</v>
          </cell>
          <cell r="B69">
            <v>1</v>
          </cell>
          <cell r="C69">
            <v>0.2</v>
          </cell>
          <cell r="D69">
            <v>0.8</v>
          </cell>
          <cell r="E69">
            <v>0.45700000000000002</v>
          </cell>
          <cell r="F69">
            <v>9.5000000000000001E-2</v>
          </cell>
          <cell r="G69">
            <v>0.24800000000000003</v>
          </cell>
          <cell r="H69">
            <v>2.4748282794725449E-2</v>
          </cell>
          <cell r="I69">
            <v>-1.2116346784917667E-2</v>
          </cell>
          <cell r="J69">
            <v>-3.1296265950829889E-3</v>
          </cell>
          <cell r="K69">
            <v>9.2806060480220428E-4</v>
          </cell>
          <cell r="L69">
            <v>1.0430370019526996E-2</v>
          </cell>
          <cell r="M69">
            <v>0.25843037001952701</v>
          </cell>
          <cell r="N69">
            <v>0.18684515752411801</v>
          </cell>
        </row>
        <row r="70">
          <cell r="A70" t="str">
            <v>2004E</v>
          </cell>
          <cell r="B70">
            <v>1</v>
          </cell>
          <cell r="C70">
            <v>0.2014</v>
          </cell>
          <cell r="D70">
            <v>0.79859999999999998</v>
          </cell>
          <cell r="E70">
            <v>0.45839999999999997</v>
          </cell>
          <cell r="F70">
            <v>9.4E-2</v>
          </cell>
          <cell r="G70">
            <v>0.2462</v>
          </cell>
          <cell r="H70">
            <v>3.0391973636750912E-2</v>
          </cell>
          <cell r="I70">
            <v>-1.1519538394574943E-2</v>
          </cell>
          <cell r="J70">
            <v>-2.9754722576625491E-3</v>
          </cell>
          <cell r="K70">
            <v>1.372540744885525E-3</v>
          </cell>
          <cell r="L70">
            <v>1.7269503729398946E-2</v>
          </cell>
          <cell r="M70">
            <v>0.26346950372939909</v>
          </cell>
          <cell r="N70">
            <v>0.19154232921127312</v>
          </cell>
        </row>
        <row r="71">
          <cell r="A71" t="str">
            <v>2005E</v>
          </cell>
          <cell r="B71">
            <v>1</v>
          </cell>
          <cell r="C71">
            <v>0.2</v>
          </cell>
          <cell r="D71">
            <v>0.8</v>
          </cell>
          <cell r="E71">
            <v>0.45800000000000002</v>
          </cell>
          <cell r="F71">
            <v>9.1528204272138342E-2</v>
          </cell>
          <cell r="G71">
            <v>0.25047179572786171</v>
          </cell>
          <cell r="H71">
            <v>3.647547065149969E-2</v>
          </cell>
          <cell r="I71">
            <v>-1.0919408411595449E-2</v>
          </cell>
          <cell r="J71">
            <v>-2.8204599599312504E-3</v>
          </cell>
          <cell r="K71">
            <v>1.7656915729388385E-3</v>
          </cell>
          <cell r="L71">
            <v>2.4501293852911828E-2</v>
          </cell>
          <cell r="M71">
            <v>0.27497308958077343</v>
          </cell>
          <cell r="N71">
            <v>0.20045538230438381</v>
          </cell>
        </row>
        <row r="73">
          <cell r="A73" t="str">
            <v>(a) Awaiting restatement; only sales, pretax income, shares outstanding, and EPS have been restated for Agouron pooling-of-interest transaction</v>
          </cell>
        </row>
        <row r="75">
          <cell r="A75" t="str">
            <v>E = Morgan Stanley Dean Witter Research Estimates             NM = Not Meaningful             A = Actual</v>
          </cell>
        </row>
      </sheetData>
      <sheetData sheetId="5" refreshError="1"/>
      <sheetData sheetId="6" refreshError="1">
        <row r="2">
          <cell r="A2" t="str">
            <v>Table 5</v>
          </cell>
          <cell r="AH2" t="str">
            <v>Table 5</v>
          </cell>
          <cell r="AI2" t="str">
            <v>(continued)</v>
          </cell>
          <cell r="BS2" t="str">
            <v>Table 5</v>
          </cell>
          <cell r="BT2" t="str">
            <v>(continued)</v>
          </cell>
          <cell r="CV2" t="str">
            <v>Table 5</v>
          </cell>
          <cell r="CW2" t="str">
            <v>(continued)</v>
          </cell>
          <cell r="DR2" t="str">
            <v>Table 5</v>
          </cell>
          <cell r="EM2" t="str">
            <v>Table 4 Continued</v>
          </cell>
        </row>
        <row r="3">
          <cell r="A3" t="str">
            <v>Warner Lambert</v>
          </cell>
          <cell r="AH3" t="str">
            <v>Warner Lambert</v>
          </cell>
          <cell r="BS3" t="str">
            <v>Warner Lambert</v>
          </cell>
          <cell r="CV3" t="str">
            <v>Warner Lambert</v>
          </cell>
          <cell r="DR3" t="str">
            <v>Warner Lambert</v>
          </cell>
          <cell r="EM3" t="str">
            <v>Warner Lambert</v>
          </cell>
        </row>
        <row r="4">
          <cell r="A4" t="str">
            <v>Quarterly/Annual Sales Analysis 1998-2005E -- Pharmaceuticals</v>
          </cell>
          <cell r="AH4" t="str">
            <v>Quarterly/Annual Sales Analysis 1998-2005E -- Pharmaceuticals</v>
          </cell>
          <cell r="BS4" t="str">
            <v>Quarterly/Annual Sales Analysis 1998-2005E -- Consumer Health Products</v>
          </cell>
          <cell r="CV4" t="str">
            <v>Quarterly/Annual Sales Analysis 1998-2005E -- Consumer Health Products</v>
          </cell>
          <cell r="DR4" t="str">
            <v>Quarterly/Annual Sales Analysis 1998-2005E -- Confectionery</v>
          </cell>
          <cell r="EM4" t="str">
            <v>Quarterly/Annual Sales Analysis 1998-2005E -- Confectionery</v>
          </cell>
        </row>
        <row r="5">
          <cell r="A5" t="str">
            <v>($ Millions)</v>
          </cell>
          <cell r="C5" t="str">
            <v xml:space="preserve">                                                                                                                                                                      </v>
          </cell>
          <cell r="G5" t="str">
            <v xml:space="preserve">                                                                                                                                                                      </v>
          </cell>
          <cell r="K5" t="str">
            <v xml:space="preserve">                                                                                                                                                                      </v>
          </cell>
          <cell r="AH5" t="str">
            <v>($ Millions)</v>
          </cell>
          <cell r="BS5" t="str">
            <v>($ Millions)</v>
          </cell>
          <cell r="CV5" t="str">
            <v>($ Millions)</v>
          </cell>
          <cell r="DR5" t="str">
            <v>($ Millions)</v>
          </cell>
          <cell r="EM5" t="str">
            <v>($ Millions)</v>
          </cell>
        </row>
        <row r="6">
          <cell r="B6" t="str">
            <v>Lipitor</v>
          </cell>
          <cell r="F6" t="str">
            <v>Rezulin</v>
          </cell>
          <cell r="J6" t="str">
            <v>Accupril</v>
          </cell>
          <cell r="N6" t="str">
            <v>Lopid/Gemfibrozil</v>
          </cell>
          <cell r="R6" t="str">
            <v>Dilantin</v>
          </cell>
          <cell r="V6" t="str">
            <v>Neurontin</v>
          </cell>
          <cell r="Z6" t="str">
            <v>Viracept (Agouron)</v>
          </cell>
          <cell r="AD6" t="str">
            <v>Loestrin</v>
          </cell>
          <cell r="AI6" t="str">
            <v>Ponstel/Ponstan</v>
          </cell>
          <cell r="AM6" t="str">
            <v>Cognex</v>
          </cell>
          <cell r="AQ6" t="str">
            <v>Capsugel</v>
          </cell>
          <cell r="AU6" t="str">
            <v>Alliance Revenues</v>
          </cell>
          <cell r="AY6" t="str">
            <v>Other</v>
          </cell>
          <cell r="BC6" t="str">
            <v>Total Existing Prods.</v>
          </cell>
          <cell r="BG6" t="str">
            <v>Pregabalin</v>
          </cell>
          <cell r="BK6" t="str">
            <v>Other New Pharma Products</v>
          </cell>
          <cell r="BO6" t="str">
            <v>Total Pharmaceuticals</v>
          </cell>
          <cell r="BT6" t="str">
            <v>Shaving Products</v>
          </cell>
          <cell r="BX6" t="str">
            <v>Listerine</v>
          </cell>
          <cell r="CB6" t="str">
            <v>Pet Lines</v>
          </cell>
          <cell r="CF6" t="str">
            <v>Zantac 75</v>
          </cell>
          <cell r="CJ6" t="str">
            <v>Sudafed</v>
          </cell>
          <cell r="CN6" t="str">
            <v>Benadryl</v>
          </cell>
          <cell r="CR6" t="str">
            <v>Rolaids</v>
          </cell>
          <cell r="CX6" t="str">
            <v>Lubriderm/Lubath</v>
          </cell>
          <cell r="DB6" t="str">
            <v>Neosporin</v>
          </cell>
          <cell r="DF6" t="str">
            <v>Actifed</v>
          </cell>
          <cell r="DJ6" t="str">
            <v>Other</v>
          </cell>
          <cell r="DO6" t="str">
            <v>Total Consumer Health</v>
          </cell>
          <cell r="DS6" t="str">
            <v>Halls</v>
          </cell>
          <cell r="DW6" t="str">
            <v>Trident</v>
          </cell>
          <cell r="EA6" t="str">
            <v>Clorets</v>
          </cell>
          <cell r="EE6" t="str">
            <v>Chiclets/Stick Gum</v>
          </cell>
          <cell r="EI6" t="str">
            <v>Certs</v>
          </cell>
          <cell r="EN6" t="str">
            <v>Bubblicious</v>
          </cell>
          <cell r="ER6" t="str">
            <v>Dentyne</v>
          </cell>
          <cell r="EV6" t="str">
            <v>Bubbaloo</v>
          </cell>
          <cell r="EZ6" t="str">
            <v>Other</v>
          </cell>
          <cell r="FD6" t="str">
            <v>Total</v>
          </cell>
          <cell r="FH6" t="str">
            <v>Total Corporate Sales</v>
          </cell>
        </row>
        <row r="7">
          <cell r="B7" t="str">
            <v>U.S.</v>
          </cell>
          <cell r="C7" t="str">
            <v>Intl</v>
          </cell>
          <cell r="D7" t="str">
            <v>W/W</v>
          </cell>
          <cell r="F7" t="str">
            <v>U.S.</v>
          </cell>
          <cell r="G7" t="str">
            <v>Intl</v>
          </cell>
          <cell r="H7" t="str">
            <v>W/W</v>
          </cell>
          <cell r="J7" t="str">
            <v>U.S.</v>
          </cell>
          <cell r="K7" t="str">
            <v>Intl</v>
          </cell>
          <cell r="L7" t="str">
            <v>W/W</v>
          </cell>
          <cell r="N7" t="str">
            <v>U.S.</v>
          </cell>
          <cell r="O7" t="str">
            <v>Intl</v>
          </cell>
          <cell r="P7" t="str">
            <v>W/W</v>
          </cell>
          <cell r="R7" t="str">
            <v>U.S.</v>
          </cell>
          <cell r="S7" t="str">
            <v>Intl</v>
          </cell>
          <cell r="T7" t="str">
            <v>W/W</v>
          </cell>
          <cell r="V7" t="str">
            <v>U.S.</v>
          </cell>
          <cell r="W7" t="str">
            <v>Intl</v>
          </cell>
          <cell r="X7" t="str">
            <v>W/W</v>
          </cell>
          <cell r="Z7" t="str">
            <v>U.S.</v>
          </cell>
          <cell r="AA7" t="str">
            <v>Intl</v>
          </cell>
          <cell r="AB7" t="str">
            <v>W/W</v>
          </cell>
          <cell r="AD7" t="str">
            <v>U.S.</v>
          </cell>
          <cell r="AE7" t="str">
            <v>Intl</v>
          </cell>
          <cell r="AF7" t="str">
            <v>W/W</v>
          </cell>
          <cell r="AI7" t="str">
            <v>U.S.</v>
          </cell>
          <cell r="AJ7" t="str">
            <v>Intl</v>
          </cell>
          <cell r="AK7" t="str">
            <v>W/W</v>
          </cell>
          <cell r="AM7" t="str">
            <v>U.S.</v>
          </cell>
          <cell r="AN7" t="str">
            <v>Intl</v>
          </cell>
          <cell r="AO7" t="str">
            <v>W/W</v>
          </cell>
          <cell r="AQ7" t="str">
            <v>U.S.</v>
          </cell>
          <cell r="AR7" t="str">
            <v>Intl</v>
          </cell>
          <cell r="AS7" t="str">
            <v>W/W</v>
          </cell>
          <cell r="AU7" t="str">
            <v>U.S.</v>
          </cell>
          <cell r="AV7" t="str">
            <v>Intl</v>
          </cell>
          <cell r="AW7" t="str">
            <v>W/W</v>
          </cell>
          <cell r="AY7" t="str">
            <v>U.S.</v>
          </cell>
          <cell r="AZ7" t="str">
            <v>Intl</v>
          </cell>
          <cell r="BA7" t="str">
            <v>W/W</v>
          </cell>
          <cell r="BC7" t="str">
            <v>U.S.</v>
          </cell>
          <cell r="BD7" t="str">
            <v>Intl</v>
          </cell>
          <cell r="BE7" t="str">
            <v>W/W</v>
          </cell>
          <cell r="BG7" t="str">
            <v>U.S.</v>
          </cell>
          <cell r="BH7" t="str">
            <v>Intl</v>
          </cell>
          <cell r="BI7" t="str">
            <v>W/W</v>
          </cell>
          <cell r="BK7" t="str">
            <v>U.S.</v>
          </cell>
          <cell r="BL7" t="str">
            <v>Intl</v>
          </cell>
          <cell r="BM7" t="str">
            <v>W/W</v>
          </cell>
          <cell r="BO7" t="str">
            <v>U.S.</v>
          </cell>
          <cell r="BP7" t="str">
            <v>Intl</v>
          </cell>
          <cell r="BQ7" t="str">
            <v>W/W</v>
          </cell>
          <cell r="BT7" t="str">
            <v>U.S.</v>
          </cell>
          <cell r="BU7" t="str">
            <v>Intl</v>
          </cell>
          <cell r="BV7" t="str">
            <v>W/W</v>
          </cell>
          <cell r="BX7" t="str">
            <v>U.S.</v>
          </cell>
          <cell r="BY7" t="str">
            <v>Intl</v>
          </cell>
          <cell r="BZ7" t="str">
            <v>W/W</v>
          </cell>
          <cell r="CB7" t="str">
            <v>U.S.</v>
          </cell>
          <cell r="CC7" t="str">
            <v>Intl</v>
          </cell>
          <cell r="CD7" t="str">
            <v>W/W</v>
          </cell>
          <cell r="CF7" t="str">
            <v>U.S.</v>
          </cell>
          <cell r="CG7" t="str">
            <v>Intl</v>
          </cell>
          <cell r="CH7" t="str">
            <v>W/W</v>
          </cell>
          <cell r="CJ7" t="str">
            <v>U.S.</v>
          </cell>
          <cell r="CK7" t="str">
            <v>Intl</v>
          </cell>
          <cell r="CL7" t="str">
            <v>W/W</v>
          </cell>
          <cell r="CN7" t="str">
            <v>U.S.</v>
          </cell>
          <cell r="CO7" t="str">
            <v>Intl</v>
          </cell>
          <cell r="CP7" t="str">
            <v>W/W</v>
          </cell>
          <cell r="CR7" t="str">
            <v>U.S.</v>
          </cell>
          <cell r="CS7" t="str">
            <v>Intl</v>
          </cell>
          <cell r="CT7" t="str">
            <v>W/W</v>
          </cell>
          <cell r="CX7" t="str">
            <v>U.S.</v>
          </cell>
          <cell r="CY7" t="str">
            <v>Intl</v>
          </cell>
          <cell r="CZ7" t="str">
            <v>W/W</v>
          </cell>
          <cell r="DB7" t="str">
            <v>U.S.</v>
          </cell>
          <cell r="DC7" t="str">
            <v>Intl</v>
          </cell>
          <cell r="DD7" t="str">
            <v>W/W</v>
          </cell>
          <cell r="DF7" t="str">
            <v>U.S.</v>
          </cell>
          <cell r="DG7" t="str">
            <v>Intl</v>
          </cell>
          <cell r="DH7" t="str">
            <v>W/W</v>
          </cell>
          <cell r="DJ7" t="str">
            <v>U.S.</v>
          </cell>
          <cell r="DK7" t="str">
            <v>Intl</v>
          </cell>
          <cell r="DL7" t="str">
            <v>W/W</v>
          </cell>
          <cell r="DN7" t="str">
            <v>U.S.</v>
          </cell>
          <cell r="DO7" t="str">
            <v>Intl</v>
          </cell>
          <cell r="DP7" t="str">
            <v>W/W</v>
          </cell>
          <cell r="DS7" t="str">
            <v>U.S.</v>
          </cell>
          <cell r="DT7" t="str">
            <v>Intl</v>
          </cell>
          <cell r="DU7" t="str">
            <v>W/W</v>
          </cell>
          <cell r="DW7" t="str">
            <v>U.S.</v>
          </cell>
          <cell r="DX7" t="str">
            <v>Intl</v>
          </cell>
          <cell r="DY7" t="str">
            <v>W/W</v>
          </cell>
          <cell r="EA7" t="str">
            <v>U.S.</v>
          </cell>
          <cell r="EB7" t="str">
            <v>Intl</v>
          </cell>
          <cell r="EC7" t="str">
            <v>W/W</v>
          </cell>
          <cell r="EE7" t="str">
            <v>U.S.</v>
          </cell>
          <cell r="EF7" t="str">
            <v>Intl</v>
          </cell>
          <cell r="EG7" t="str">
            <v>W/W</v>
          </cell>
          <cell r="EI7" t="str">
            <v>U.S.</v>
          </cell>
          <cell r="EJ7" t="str">
            <v>Intl</v>
          </cell>
          <cell r="EK7" t="str">
            <v>W/W</v>
          </cell>
          <cell r="EN7" t="str">
            <v>U.S.</v>
          </cell>
          <cell r="EO7" t="str">
            <v>Intl</v>
          </cell>
          <cell r="EP7" t="str">
            <v>W/W</v>
          </cell>
          <cell r="ER7" t="str">
            <v>U.S.</v>
          </cell>
          <cell r="ES7" t="str">
            <v>Intl</v>
          </cell>
          <cell r="ET7" t="str">
            <v>W/W</v>
          </cell>
          <cell r="EV7" t="str">
            <v>U.S.</v>
          </cell>
          <cell r="EW7" t="str">
            <v>Intl</v>
          </cell>
          <cell r="EX7" t="str">
            <v>W/W</v>
          </cell>
          <cell r="EZ7" t="str">
            <v>U.S.</v>
          </cell>
          <cell r="FA7" t="str">
            <v>Intl</v>
          </cell>
          <cell r="FB7" t="str">
            <v>W/W</v>
          </cell>
          <cell r="FD7" t="str">
            <v>U.S.</v>
          </cell>
          <cell r="FE7" t="str">
            <v>Intl</v>
          </cell>
          <cell r="FF7" t="str">
            <v>W/W</v>
          </cell>
          <cell r="FH7" t="str">
            <v>U.S.</v>
          </cell>
          <cell r="FI7" t="str">
            <v>Intl</v>
          </cell>
          <cell r="FJ7" t="str">
            <v>W/W</v>
          </cell>
        </row>
        <row r="8">
          <cell r="A8">
            <v>1993</v>
          </cell>
          <cell r="BS8">
            <v>1993</v>
          </cell>
          <cell r="DR8">
            <v>1993</v>
          </cell>
        </row>
        <row r="10">
          <cell r="A10" t="str">
            <v xml:space="preserve">1994 </v>
          </cell>
          <cell r="AH10" t="str">
            <v xml:space="preserve">1994 </v>
          </cell>
          <cell r="BS10" t="str">
            <v xml:space="preserve">1994 </v>
          </cell>
          <cell r="CV10" t="str">
            <v xml:space="preserve">1994 </v>
          </cell>
          <cell r="DR10" t="str">
            <v xml:space="preserve">1994 </v>
          </cell>
          <cell r="EM10" t="str">
            <v xml:space="preserve">1994 </v>
          </cell>
        </row>
        <row r="11">
          <cell r="A11" t="str">
            <v xml:space="preserve"> 1Q</v>
          </cell>
          <cell r="B11">
            <v>0</v>
          </cell>
          <cell r="C11">
            <v>0</v>
          </cell>
          <cell r="D11">
            <v>0</v>
          </cell>
          <cell r="F11">
            <v>0</v>
          </cell>
          <cell r="G11">
            <v>0</v>
          </cell>
          <cell r="H11">
            <v>0</v>
          </cell>
          <cell r="J11">
            <v>26.3</v>
          </cell>
          <cell r="K11">
            <v>28.6</v>
          </cell>
          <cell r="L11">
            <v>54.900000000000006</v>
          </cell>
          <cell r="N11">
            <v>52</v>
          </cell>
          <cell r="O11">
            <v>28</v>
          </cell>
          <cell r="P11">
            <v>80</v>
          </cell>
          <cell r="R11">
            <v>39.9</v>
          </cell>
          <cell r="S11">
            <v>7.2</v>
          </cell>
          <cell r="T11">
            <v>47.1</v>
          </cell>
          <cell r="V11">
            <v>9.3000000000000007</v>
          </cell>
          <cell r="W11">
            <v>0.6</v>
          </cell>
          <cell r="X11">
            <v>9.9</v>
          </cell>
          <cell r="AD11">
            <v>20</v>
          </cell>
          <cell r="AE11">
            <v>1</v>
          </cell>
          <cell r="AF11">
            <v>21</v>
          </cell>
          <cell r="AH11" t="str">
            <v xml:space="preserve"> 1Q</v>
          </cell>
          <cell r="AI11">
            <v>0</v>
          </cell>
          <cell r="AJ11">
            <v>27</v>
          </cell>
          <cell r="AK11">
            <v>27</v>
          </cell>
          <cell r="AM11">
            <v>10.199999999999999</v>
          </cell>
          <cell r="AN11">
            <v>0.1</v>
          </cell>
          <cell r="AO11">
            <v>10.299999999999999</v>
          </cell>
          <cell r="AQ11">
            <v>23</v>
          </cell>
          <cell r="AR11">
            <v>38</v>
          </cell>
          <cell r="AS11">
            <v>61</v>
          </cell>
          <cell r="AU11">
            <v>23</v>
          </cell>
          <cell r="AV11">
            <v>38</v>
          </cell>
          <cell r="AW11">
            <v>61</v>
          </cell>
          <cell r="AY11">
            <v>61.999999999999972</v>
          </cell>
          <cell r="AZ11">
            <v>133.70000000000002</v>
          </cell>
          <cell r="BA11">
            <v>195.7</v>
          </cell>
          <cell r="BC11">
            <v>242.7</v>
          </cell>
          <cell r="BD11">
            <v>264.2</v>
          </cell>
          <cell r="BE11">
            <v>506.9</v>
          </cell>
          <cell r="BG11">
            <v>9.3000000000000007</v>
          </cell>
          <cell r="BH11">
            <v>0.6</v>
          </cell>
          <cell r="BI11">
            <v>9.9</v>
          </cell>
          <cell r="BK11">
            <v>0</v>
          </cell>
          <cell r="BL11">
            <v>0</v>
          </cell>
          <cell r="BM11">
            <v>0</v>
          </cell>
          <cell r="BO11">
            <v>242.7</v>
          </cell>
          <cell r="BP11">
            <v>264.2</v>
          </cell>
          <cell r="BQ11">
            <v>506.9</v>
          </cell>
          <cell r="BS11" t="str">
            <v xml:space="preserve"> 1Q</v>
          </cell>
          <cell r="BT11">
            <v>24.9</v>
          </cell>
          <cell r="BU11">
            <v>110.9</v>
          </cell>
          <cell r="BV11">
            <v>135.80000000000001</v>
          </cell>
          <cell r="BX11">
            <v>63.1</v>
          </cell>
          <cell r="BY11">
            <v>16.3</v>
          </cell>
          <cell r="BZ11">
            <v>79.400000000000006</v>
          </cell>
          <cell r="CB11">
            <v>19</v>
          </cell>
          <cell r="CC11">
            <v>37</v>
          </cell>
          <cell r="CD11">
            <v>56</v>
          </cell>
          <cell r="CJ11">
            <v>26</v>
          </cell>
          <cell r="CK11">
            <v>0</v>
          </cell>
          <cell r="CL11">
            <v>26</v>
          </cell>
          <cell r="CN11">
            <v>23.4</v>
          </cell>
          <cell r="CO11">
            <v>1.7</v>
          </cell>
          <cell r="CP11">
            <v>25.099999999999998</v>
          </cell>
          <cell r="CR11">
            <v>25</v>
          </cell>
          <cell r="CS11">
            <v>2</v>
          </cell>
          <cell r="CT11">
            <v>27</v>
          </cell>
          <cell r="CV11" t="str">
            <v xml:space="preserve"> 1Q</v>
          </cell>
          <cell r="CX11">
            <v>20</v>
          </cell>
          <cell r="CY11">
            <v>0</v>
          </cell>
          <cell r="CZ11">
            <v>20</v>
          </cell>
          <cell r="DB11">
            <v>14</v>
          </cell>
          <cell r="DC11">
            <v>0</v>
          </cell>
          <cell r="DD11">
            <v>14</v>
          </cell>
          <cell r="DF11">
            <v>9</v>
          </cell>
          <cell r="DG11">
            <v>0</v>
          </cell>
          <cell r="DH11">
            <v>9</v>
          </cell>
          <cell r="DJ11">
            <v>61.899999999999977</v>
          </cell>
          <cell r="DK11">
            <v>101.89999999999993</v>
          </cell>
          <cell r="DL11">
            <v>163.7999999999999</v>
          </cell>
          <cell r="DN11">
            <v>286.29999999999995</v>
          </cell>
          <cell r="DO11">
            <v>269.79999999999995</v>
          </cell>
          <cell r="DP11">
            <v>556.09999999999991</v>
          </cell>
          <cell r="DR11" t="str">
            <v xml:space="preserve"> 1Q</v>
          </cell>
          <cell r="DS11">
            <v>20.6</v>
          </cell>
          <cell r="DT11">
            <v>77.099999999999994</v>
          </cell>
          <cell r="DU11">
            <v>97.699999999999989</v>
          </cell>
          <cell r="DW11">
            <v>33</v>
          </cell>
          <cell r="DX11">
            <v>39</v>
          </cell>
          <cell r="DY11">
            <v>72</v>
          </cell>
          <cell r="EA11">
            <v>5.2</v>
          </cell>
          <cell r="EB11">
            <v>45.6</v>
          </cell>
          <cell r="EC11">
            <v>50.800000000000004</v>
          </cell>
          <cell r="EE11">
            <v>3</v>
          </cell>
          <cell r="EF11">
            <v>36</v>
          </cell>
          <cell r="EG11">
            <v>39</v>
          </cell>
          <cell r="EI11">
            <v>25.9</v>
          </cell>
          <cell r="EJ11">
            <v>3.4</v>
          </cell>
          <cell r="EK11">
            <v>29.299999999999997</v>
          </cell>
          <cell r="EM11" t="str">
            <v xml:space="preserve"> 1Q</v>
          </cell>
          <cell r="EN11">
            <v>15.1</v>
          </cell>
          <cell r="EO11">
            <v>7.8</v>
          </cell>
          <cell r="EP11">
            <v>22.9</v>
          </cell>
          <cell r="ER11">
            <v>12</v>
          </cell>
          <cell r="ES11">
            <v>9</v>
          </cell>
          <cell r="ET11">
            <v>21</v>
          </cell>
          <cell r="EV11">
            <v>0</v>
          </cell>
          <cell r="EW11">
            <v>9</v>
          </cell>
          <cell r="EX11">
            <v>9</v>
          </cell>
          <cell r="EZ11">
            <v>14.799999999999997</v>
          </cell>
          <cell r="FA11">
            <v>53.499999999999986</v>
          </cell>
          <cell r="FB11">
            <v>68.299999999999983</v>
          </cell>
          <cell r="FD11">
            <v>129.6</v>
          </cell>
          <cell r="FE11">
            <v>280.39999999999998</v>
          </cell>
          <cell r="FF11">
            <v>410</v>
          </cell>
          <cell r="FH11">
            <v>658.6</v>
          </cell>
          <cell r="FI11">
            <v>814.4</v>
          </cell>
          <cell r="FJ11">
            <v>1473</v>
          </cell>
        </row>
        <row r="12">
          <cell r="A12" t="str">
            <v xml:space="preserve"> 2Q</v>
          </cell>
          <cell r="B12">
            <v>0</v>
          </cell>
          <cell r="C12">
            <v>0</v>
          </cell>
          <cell r="D12">
            <v>0</v>
          </cell>
          <cell r="F12">
            <v>0</v>
          </cell>
          <cell r="G12">
            <v>0</v>
          </cell>
          <cell r="H12">
            <v>0</v>
          </cell>
          <cell r="J12">
            <v>28.5</v>
          </cell>
          <cell r="K12">
            <v>31</v>
          </cell>
          <cell r="L12">
            <v>59.5</v>
          </cell>
          <cell r="N12">
            <v>51</v>
          </cell>
          <cell r="O12">
            <v>28</v>
          </cell>
          <cell r="P12">
            <v>79</v>
          </cell>
          <cell r="R12">
            <v>39.700000000000003</v>
          </cell>
          <cell r="S12">
            <v>8.3000000000000007</v>
          </cell>
          <cell r="T12">
            <v>48</v>
          </cell>
          <cell r="V12">
            <v>3</v>
          </cell>
          <cell r="W12">
            <v>1.1000000000000001</v>
          </cell>
          <cell r="X12">
            <v>4.0999999999999996</v>
          </cell>
          <cell r="AD12">
            <v>15</v>
          </cell>
          <cell r="AE12">
            <v>1</v>
          </cell>
          <cell r="AF12">
            <v>16</v>
          </cell>
          <cell r="AH12" t="str">
            <v xml:space="preserve"> 2Q</v>
          </cell>
          <cell r="AI12">
            <v>0</v>
          </cell>
          <cell r="AJ12">
            <v>30</v>
          </cell>
          <cell r="AK12">
            <v>30</v>
          </cell>
          <cell r="AM12">
            <v>17</v>
          </cell>
          <cell r="AN12">
            <v>0</v>
          </cell>
          <cell r="AO12">
            <v>17</v>
          </cell>
          <cell r="AQ12">
            <v>26</v>
          </cell>
          <cell r="AR12">
            <v>44</v>
          </cell>
          <cell r="AS12">
            <v>70</v>
          </cell>
          <cell r="AU12">
            <v>26</v>
          </cell>
          <cell r="AV12">
            <v>44</v>
          </cell>
          <cell r="AW12">
            <v>70</v>
          </cell>
          <cell r="AY12">
            <v>66.600000000000009</v>
          </cell>
          <cell r="AZ12">
            <v>123.70000000000002</v>
          </cell>
          <cell r="BA12">
            <v>190.3</v>
          </cell>
          <cell r="BC12">
            <v>246.8</v>
          </cell>
          <cell r="BD12">
            <v>267.10000000000002</v>
          </cell>
          <cell r="BE12">
            <v>513.90000000000009</v>
          </cell>
          <cell r="BG12">
            <v>3</v>
          </cell>
          <cell r="BH12">
            <v>1.1000000000000001</v>
          </cell>
          <cell r="BI12">
            <v>4.0999999999999996</v>
          </cell>
          <cell r="BK12">
            <v>0</v>
          </cell>
          <cell r="BL12">
            <v>0</v>
          </cell>
          <cell r="BM12">
            <v>0</v>
          </cell>
          <cell r="BO12">
            <v>246.8</v>
          </cell>
          <cell r="BP12">
            <v>267.10000000000002</v>
          </cell>
          <cell r="BQ12">
            <v>513.90000000000009</v>
          </cell>
          <cell r="BS12" t="str">
            <v xml:space="preserve"> 2Q</v>
          </cell>
          <cell r="BT12">
            <v>44.2</v>
          </cell>
          <cell r="BU12">
            <v>110.4</v>
          </cell>
          <cell r="BV12">
            <v>154.60000000000002</v>
          </cell>
          <cell r="BX12">
            <v>65.2</v>
          </cell>
          <cell r="BY12">
            <v>19.7</v>
          </cell>
          <cell r="BZ12">
            <v>84.9</v>
          </cell>
          <cell r="CB12">
            <v>22</v>
          </cell>
          <cell r="CC12">
            <v>36</v>
          </cell>
          <cell r="CD12">
            <v>58</v>
          </cell>
          <cell r="CJ12">
            <v>17</v>
          </cell>
          <cell r="CK12">
            <v>2</v>
          </cell>
          <cell r="CL12">
            <v>19</v>
          </cell>
          <cell r="CN12">
            <v>34.1</v>
          </cell>
          <cell r="CO12">
            <v>2.7</v>
          </cell>
          <cell r="CP12">
            <v>36.800000000000004</v>
          </cell>
          <cell r="CR12">
            <v>24</v>
          </cell>
          <cell r="CS12">
            <v>2</v>
          </cell>
          <cell r="CT12">
            <v>26</v>
          </cell>
          <cell r="CV12" t="str">
            <v xml:space="preserve"> 2Q</v>
          </cell>
          <cell r="CX12">
            <v>20</v>
          </cell>
          <cell r="CY12">
            <v>0</v>
          </cell>
          <cell r="CZ12">
            <v>20</v>
          </cell>
          <cell r="DB12">
            <v>18</v>
          </cell>
          <cell r="DC12">
            <v>0</v>
          </cell>
          <cell r="DD12">
            <v>18</v>
          </cell>
          <cell r="DF12">
            <v>7</v>
          </cell>
          <cell r="DG12">
            <v>1</v>
          </cell>
          <cell r="DH12">
            <v>8</v>
          </cell>
          <cell r="DJ12">
            <v>74.299999999999983</v>
          </cell>
          <cell r="DK12">
            <v>101.59999999999998</v>
          </cell>
          <cell r="DL12">
            <v>175.89999999999998</v>
          </cell>
          <cell r="DN12">
            <v>325.79999999999995</v>
          </cell>
          <cell r="DO12">
            <v>275.39999999999998</v>
          </cell>
          <cell r="DP12">
            <v>601.19999999999993</v>
          </cell>
          <cell r="DR12" t="str">
            <v xml:space="preserve"> 2Q</v>
          </cell>
          <cell r="DS12">
            <v>18.600000000000001</v>
          </cell>
          <cell r="DT12">
            <v>62.1</v>
          </cell>
          <cell r="DU12">
            <v>80.7</v>
          </cell>
          <cell r="DW12">
            <v>46.7</v>
          </cell>
          <cell r="DX12">
            <v>47.7</v>
          </cell>
          <cell r="DY12">
            <v>94.4</v>
          </cell>
          <cell r="EA12">
            <v>5.7</v>
          </cell>
          <cell r="EB12">
            <v>52.2</v>
          </cell>
          <cell r="EC12">
            <v>57.900000000000006</v>
          </cell>
          <cell r="EE12">
            <v>4</v>
          </cell>
          <cell r="EF12">
            <v>40</v>
          </cell>
          <cell r="EG12">
            <v>44</v>
          </cell>
          <cell r="EI12">
            <v>26.2</v>
          </cell>
          <cell r="EJ12">
            <v>4.3</v>
          </cell>
          <cell r="EK12">
            <v>30.5</v>
          </cell>
          <cell r="EM12" t="str">
            <v xml:space="preserve"> 2Q</v>
          </cell>
          <cell r="EN12">
            <v>17.2</v>
          </cell>
          <cell r="EO12">
            <v>11.1</v>
          </cell>
          <cell r="EP12">
            <v>28.299999999999997</v>
          </cell>
          <cell r="ER12">
            <v>15</v>
          </cell>
          <cell r="ES12">
            <v>10</v>
          </cell>
          <cell r="ET12">
            <v>25</v>
          </cell>
          <cell r="EV12">
            <v>0</v>
          </cell>
          <cell r="EW12">
            <v>9</v>
          </cell>
          <cell r="EX12">
            <v>9</v>
          </cell>
          <cell r="EZ12">
            <v>17.799999999999983</v>
          </cell>
          <cell r="FA12">
            <v>49.500000000000028</v>
          </cell>
          <cell r="FB12">
            <v>67.300000000000011</v>
          </cell>
          <cell r="FD12">
            <v>151.19999999999999</v>
          </cell>
          <cell r="FE12">
            <v>285.90000000000003</v>
          </cell>
          <cell r="FF12">
            <v>437.1</v>
          </cell>
          <cell r="FH12">
            <v>723.8</v>
          </cell>
          <cell r="FI12">
            <v>828.40000000000009</v>
          </cell>
          <cell r="FJ12">
            <v>1552.2</v>
          </cell>
        </row>
        <row r="13">
          <cell r="A13" t="str">
            <v xml:space="preserve"> 3Q</v>
          </cell>
          <cell r="B13">
            <v>0</v>
          </cell>
          <cell r="C13">
            <v>0</v>
          </cell>
          <cell r="D13">
            <v>0</v>
          </cell>
          <cell r="F13">
            <v>0</v>
          </cell>
          <cell r="G13">
            <v>0</v>
          </cell>
          <cell r="H13">
            <v>0</v>
          </cell>
          <cell r="J13">
            <v>29.8</v>
          </cell>
          <cell r="K13">
            <v>32</v>
          </cell>
          <cell r="L13">
            <v>61.8</v>
          </cell>
          <cell r="N13">
            <v>54</v>
          </cell>
          <cell r="O13">
            <v>28</v>
          </cell>
          <cell r="P13">
            <v>82</v>
          </cell>
          <cell r="R13">
            <v>52.1</v>
          </cell>
          <cell r="S13">
            <v>8.4</v>
          </cell>
          <cell r="T13">
            <v>60.5</v>
          </cell>
          <cell r="V13">
            <v>8.9</v>
          </cell>
          <cell r="W13">
            <v>1.2</v>
          </cell>
          <cell r="X13">
            <v>10.1</v>
          </cell>
          <cell r="AD13">
            <v>20</v>
          </cell>
          <cell r="AE13">
            <v>1</v>
          </cell>
          <cell r="AF13">
            <v>21</v>
          </cell>
          <cell r="AH13" t="str">
            <v xml:space="preserve"> 3Q</v>
          </cell>
          <cell r="AI13">
            <v>0</v>
          </cell>
          <cell r="AJ13">
            <v>27</v>
          </cell>
          <cell r="AK13">
            <v>27</v>
          </cell>
          <cell r="AM13">
            <v>14.2</v>
          </cell>
          <cell r="AN13">
            <v>0.1</v>
          </cell>
          <cell r="AO13">
            <v>14.299999999999999</v>
          </cell>
          <cell r="AQ13">
            <v>24</v>
          </cell>
          <cell r="AR13">
            <v>39</v>
          </cell>
          <cell r="AS13">
            <v>63</v>
          </cell>
          <cell r="AU13">
            <v>24</v>
          </cell>
          <cell r="AV13">
            <v>39</v>
          </cell>
          <cell r="AW13">
            <v>63</v>
          </cell>
          <cell r="AY13">
            <v>71.3</v>
          </cell>
          <cell r="AZ13">
            <v>125.10000000000002</v>
          </cell>
          <cell r="BA13">
            <v>196.40000000000003</v>
          </cell>
          <cell r="BC13">
            <v>274.3</v>
          </cell>
          <cell r="BD13">
            <v>261.8</v>
          </cell>
          <cell r="BE13">
            <v>536.1</v>
          </cell>
          <cell r="BG13">
            <v>8.9</v>
          </cell>
          <cell r="BH13">
            <v>1.2</v>
          </cell>
          <cell r="BI13">
            <v>10.1</v>
          </cell>
          <cell r="BK13">
            <v>0</v>
          </cell>
          <cell r="BL13">
            <v>0</v>
          </cell>
          <cell r="BM13">
            <v>0</v>
          </cell>
          <cell r="BO13">
            <v>274.3</v>
          </cell>
          <cell r="BP13">
            <v>261.8</v>
          </cell>
          <cell r="BQ13">
            <v>536.1</v>
          </cell>
          <cell r="BS13" t="str">
            <v xml:space="preserve"> 3Q</v>
          </cell>
          <cell r="BT13">
            <v>38.799999999999997</v>
          </cell>
          <cell r="BU13">
            <v>121.9</v>
          </cell>
          <cell r="BV13">
            <v>160.69999999999999</v>
          </cell>
          <cell r="BX13">
            <v>85</v>
          </cell>
          <cell r="BY13">
            <v>18.3</v>
          </cell>
          <cell r="BZ13">
            <v>103.3</v>
          </cell>
          <cell r="CB13">
            <v>20</v>
          </cell>
          <cell r="CC13">
            <v>31</v>
          </cell>
          <cell r="CD13">
            <v>51</v>
          </cell>
          <cell r="CJ13">
            <v>29</v>
          </cell>
          <cell r="CK13">
            <v>4</v>
          </cell>
          <cell r="CL13">
            <v>33</v>
          </cell>
          <cell r="CN13">
            <v>41.6</v>
          </cell>
          <cell r="CO13">
            <v>2.4</v>
          </cell>
          <cell r="CP13">
            <v>44</v>
          </cell>
          <cell r="CR13">
            <v>24</v>
          </cell>
          <cell r="CS13">
            <v>2</v>
          </cell>
          <cell r="CT13">
            <v>26</v>
          </cell>
          <cell r="CV13" t="str">
            <v xml:space="preserve"> 3Q</v>
          </cell>
          <cell r="CX13">
            <v>24</v>
          </cell>
          <cell r="CY13">
            <v>0</v>
          </cell>
          <cell r="CZ13">
            <v>24</v>
          </cell>
          <cell r="DB13">
            <v>17</v>
          </cell>
          <cell r="DC13">
            <v>1</v>
          </cell>
          <cell r="DD13">
            <v>18</v>
          </cell>
          <cell r="DF13">
            <v>12</v>
          </cell>
          <cell r="DG13">
            <v>4</v>
          </cell>
          <cell r="DH13">
            <v>16</v>
          </cell>
          <cell r="DJ13">
            <v>77.200000000000017</v>
          </cell>
          <cell r="DK13">
            <v>128.69999999999999</v>
          </cell>
          <cell r="DL13">
            <v>205.9</v>
          </cell>
          <cell r="DN13">
            <v>368.6</v>
          </cell>
          <cell r="DO13">
            <v>313.3</v>
          </cell>
          <cell r="DP13">
            <v>681.90000000000009</v>
          </cell>
          <cell r="DR13" t="str">
            <v xml:space="preserve"> 3Q</v>
          </cell>
          <cell r="DS13">
            <v>64.099999999999994</v>
          </cell>
          <cell r="DT13">
            <v>57.2</v>
          </cell>
          <cell r="DU13">
            <v>121.3</v>
          </cell>
          <cell r="DW13">
            <v>31.8</v>
          </cell>
          <cell r="DX13">
            <v>42</v>
          </cell>
          <cell r="DY13">
            <v>73.8</v>
          </cell>
          <cell r="EA13">
            <v>5.4</v>
          </cell>
          <cell r="EB13">
            <v>49</v>
          </cell>
          <cell r="EC13">
            <v>54.4</v>
          </cell>
          <cell r="EE13">
            <v>6</v>
          </cell>
          <cell r="EF13">
            <v>38</v>
          </cell>
          <cell r="EG13">
            <v>44</v>
          </cell>
          <cell r="EI13">
            <v>23</v>
          </cell>
          <cell r="EJ13">
            <v>3.9</v>
          </cell>
          <cell r="EK13">
            <v>26.9</v>
          </cell>
          <cell r="EM13" t="str">
            <v xml:space="preserve"> 3Q</v>
          </cell>
          <cell r="EN13">
            <v>9.1</v>
          </cell>
          <cell r="EO13">
            <v>8.1999999999999993</v>
          </cell>
          <cell r="EP13">
            <v>17.299999999999997</v>
          </cell>
          <cell r="ER13">
            <v>13</v>
          </cell>
          <cell r="ES13">
            <v>10</v>
          </cell>
          <cell r="ET13">
            <v>23</v>
          </cell>
          <cell r="EV13">
            <v>0</v>
          </cell>
          <cell r="EW13">
            <v>11</v>
          </cell>
          <cell r="EX13">
            <v>11</v>
          </cell>
          <cell r="EZ13">
            <v>29.699999999999996</v>
          </cell>
          <cell r="FA13">
            <v>51.500000000000014</v>
          </cell>
          <cell r="FB13">
            <v>81.200000000000017</v>
          </cell>
          <cell r="FD13">
            <v>182.1</v>
          </cell>
          <cell r="FE13">
            <v>270.8</v>
          </cell>
          <cell r="FF13">
            <v>452.9</v>
          </cell>
          <cell r="FH13">
            <v>825.00000000000011</v>
          </cell>
          <cell r="FI13">
            <v>845.90000000000009</v>
          </cell>
          <cell r="FJ13">
            <v>1670.9</v>
          </cell>
        </row>
        <row r="14">
          <cell r="A14" t="str">
            <v xml:space="preserve"> 4Q</v>
          </cell>
          <cell r="B14">
            <v>0</v>
          </cell>
          <cell r="C14">
            <v>0</v>
          </cell>
          <cell r="D14">
            <v>0</v>
          </cell>
          <cell r="F14">
            <v>0</v>
          </cell>
          <cell r="G14">
            <v>0</v>
          </cell>
          <cell r="H14">
            <v>0</v>
          </cell>
          <cell r="J14">
            <v>18.899999999999999</v>
          </cell>
          <cell r="K14">
            <v>33.299999999999997</v>
          </cell>
          <cell r="L14">
            <v>52.199999999999996</v>
          </cell>
          <cell r="N14">
            <v>35</v>
          </cell>
          <cell r="O14">
            <v>33</v>
          </cell>
          <cell r="P14">
            <v>68</v>
          </cell>
          <cell r="R14">
            <v>59</v>
          </cell>
          <cell r="S14">
            <v>8.9</v>
          </cell>
          <cell r="T14">
            <v>67.900000000000006</v>
          </cell>
          <cell r="V14">
            <v>15.4</v>
          </cell>
          <cell r="W14">
            <v>5.8</v>
          </cell>
          <cell r="X14">
            <v>21.2</v>
          </cell>
          <cell r="AD14">
            <v>15</v>
          </cell>
          <cell r="AE14">
            <v>2</v>
          </cell>
          <cell r="AF14">
            <v>17</v>
          </cell>
          <cell r="AH14" t="str">
            <v xml:space="preserve"> 4Q</v>
          </cell>
          <cell r="AI14">
            <v>0</v>
          </cell>
          <cell r="AJ14">
            <v>28</v>
          </cell>
          <cell r="AK14">
            <v>28</v>
          </cell>
          <cell r="AM14">
            <v>9</v>
          </cell>
          <cell r="AN14">
            <v>0.7</v>
          </cell>
          <cell r="AO14">
            <v>9.6999999999999993</v>
          </cell>
          <cell r="AQ14">
            <v>23</v>
          </cell>
          <cell r="AR14">
            <v>45</v>
          </cell>
          <cell r="AS14">
            <v>68</v>
          </cell>
          <cell r="AU14">
            <v>23</v>
          </cell>
          <cell r="AV14">
            <v>45</v>
          </cell>
          <cell r="AW14">
            <v>68</v>
          </cell>
          <cell r="AY14">
            <v>69.699999999999989</v>
          </cell>
          <cell r="AZ14">
            <v>120.1</v>
          </cell>
          <cell r="BA14">
            <v>189.79999999999998</v>
          </cell>
          <cell r="BC14">
            <v>245</v>
          </cell>
          <cell r="BD14">
            <v>276.8</v>
          </cell>
          <cell r="BE14">
            <v>521.79999999999995</v>
          </cell>
          <cell r="BG14">
            <v>15.4</v>
          </cell>
          <cell r="BH14">
            <v>5.8</v>
          </cell>
          <cell r="BI14">
            <v>21.2</v>
          </cell>
          <cell r="BK14">
            <v>0</v>
          </cell>
          <cell r="BL14">
            <v>0</v>
          </cell>
          <cell r="BM14">
            <v>0</v>
          </cell>
          <cell r="BO14">
            <v>245</v>
          </cell>
          <cell r="BP14">
            <v>276.8</v>
          </cell>
          <cell r="BQ14">
            <v>521.79999999999995</v>
          </cell>
          <cell r="BS14" t="str">
            <v xml:space="preserve"> 4Q</v>
          </cell>
          <cell r="BT14">
            <v>31.8</v>
          </cell>
          <cell r="BU14">
            <v>129.30000000000001</v>
          </cell>
          <cell r="BV14">
            <v>161.10000000000002</v>
          </cell>
          <cell r="BX14">
            <v>69.3</v>
          </cell>
          <cell r="BY14">
            <v>20.8</v>
          </cell>
          <cell r="BZ14">
            <v>90.1</v>
          </cell>
          <cell r="CB14">
            <v>23</v>
          </cell>
          <cell r="CC14">
            <v>31</v>
          </cell>
          <cell r="CD14">
            <v>54</v>
          </cell>
          <cell r="CJ14">
            <v>35</v>
          </cell>
          <cell r="CK14">
            <v>7</v>
          </cell>
          <cell r="CL14">
            <v>42</v>
          </cell>
          <cell r="CN14">
            <v>24.1</v>
          </cell>
          <cell r="CO14">
            <v>2.9</v>
          </cell>
          <cell r="CP14">
            <v>27</v>
          </cell>
          <cell r="CR14">
            <v>26</v>
          </cell>
          <cell r="CS14">
            <v>4</v>
          </cell>
          <cell r="CT14">
            <v>30</v>
          </cell>
          <cell r="CV14" t="str">
            <v xml:space="preserve"> 4Q</v>
          </cell>
          <cell r="CX14">
            <v>27</v>
          </cell>
          <cell r="CY14">
            <v>0</v>
          </cell>
          <cell r="CZ14">
            <v>27</v>
          </cell>
          <cell r="DB14">
            <v>10</v>
          </cell>
          <cell r="DC14">
            <v>1</v>
          </cell>
          <cell r="DD14">
            <v>11</v>
          </cell>
          <cell r="DF14">
            <v>9</v>
          </cell>
          <cell r="DG14">
            <v>8</v>
          </cell>
          <cell r="DH14">
            <v>17</v>
          </cell>
          <cell r="DJ14">
            <v>72.899999999999949</v>
          </cell>
          <cell r="DK14">
            <v>155.49999999999997</v>
          </cell>
          <cell r="DL14">
            <v>228.39999999999992</v>
          </cell>
          <cell r="DN14">
            <v>328.09999999999997</v>
          </cell>
          <cell r="DO14">
            <v>359.5</v>
          </cell>
          <cell r="DP14">
            <v>687.59999999999991</v>
          </cell>
          <cell r="DR14" t="str">
            <v xml:space="preserve"> 4Q</v>
          </cell>
          <cell r="DS14">
            <v>54.3</v>
          </cell>
          <cell r="DT14">
            <v>88.8</v>
          </cell>
          <cell r="DU14">
            <v>143.1</v>
          </cell>
          <cell r="DW14">
            <v>37.4</v>
          </cell>
          <cell r="DX14">
            <v>47.8</v>
          </cell>
          <cell r="DY14">
            <v>85.199999999999989</v>
          </cell>
          <cell r="EA14">
            <v>5.9</v>
          </cell>
          <cell r="EB14">
            <v>56.1</v>
          </cell>
          <cell r="EC14">
            <v>62</v>
          </cell>
          <cell r="EE14">
            <v>4</v>
          </cell>
          <cell r="EF14">
            <v>44</v>
          </cell>
          <cell r="EG14">
            <v>48</v>
          </cell>
          <cell r="EI14">
            <v>27.9</v>
          </cell>
          <cell r="EJ14">
            <v>4.2</v>
          </cell>
          <cell r="EK14">
            <v>32.1</v>
          </cell>
          <cell r="EM14" t="str">
            <v xml:space="preserve"> 4Q</v>
          </cell>
          <cell r="EN14">
            <v>9.6</v>
          </cell>
          <cell r="EO14">
            <v>10.6</v>
          </cell>
          <cell r="EP14">
            <v>20.2</v>
          </cell>
          <cell r="ER14">
            <v>12</v>
          </cell>
          <cell r="ES14">
            <v>11</v>
          </cell>
          <cell r="ET14">
            <v>23</v>
          </cell>
          <cell r="EV14">
            <v>0</v>
          </cell>
          <cell r="EW14">
            <v>14</v>
          </cell>
          <cell r="EX14">
            <v>14</v>
          </cell>
          <cell r="EZ14">
            <v>22.599999999999994</v>
          </cell>
          <cell r="FA14">
            <v>61.199999999999974</v>
          </cell>
          <cell r="FB14">
            <v>83.799999999999969</v>
          </cell>
          <cell r="FD14">
            <v>173.7</v>
          </cell>
          <cell r="FE14">
            <v>337.7</v>
          </cell>
          <cell r="FF14">
            <v>511.4</v>
          </cell>
          <cell r="FH14">
            <v>746.8</v>
          </cell>
          <cell r="FI14">
            <v>974</v>
          </cell>
          <cell r="FJ14">
            <v>1720.8</v>
          </cell>
        </row>
        <row r="16">
          <cell r="A16" t="str">
            <v>1994</v>
          </cell>
          <cell r="B16">
            <v>0</v>
          </cell>
          <cell r="C16">
            <v>0</v>
          </cell>
          <cell r="D16">
            <v>0</v>
          </cell>
          <cell r="F16">
            <v>0</v>
          </cell>
          <cell r="G16">
            <v>0</v>
          </cell>
          <cell r="H16">
            <v>0</v>
          </cell>
          <cell r="J16">
            <v>103.5</v>
          </cell>
          <cell r="K16">
            <v>124.89999999999999</v>
          </cell>
          <cell r="L16">
            <v>228.39999999999998</v>
          </cell>
          <cell r="N16">
            <v>192</v>
          </cell>
          <cell r="O16">
            <v>117</v>
          </cell>
          <cell r="P16">
            <v>309</v>
          </cell>
          <cell r="R16">
            <v>190.7</v>
          </cell>
          <cell r="S16">
            <v>32.799999999999997</v>
          </cell>
          <cell r="T16">
            <v>223.5</v>
          </cell>
          <cell r="V16">
            <v>36.6</v>
          </cell>
          <cell r="W16">
            <v>8.6999999999999993</v>
          </cell>
          <cell r="X16">
            <v>45.3</v>
          </cell>
          <cell r="AD16">
            <v>70</v>
          </cell>
          <cell r="AE16">
            <v>5</v>
          </cell>
          <cell r="AF16">
            <v>75</v>
          </cell>
          <cell r="AH16" t="str">
            <v>1994</v>
          </cell>
          <cell r="AI16">
            <v>0</v>
          </cell>
          <cell r="AJ16">
            <v>112</v>
          </cell>
          <cell r="AK16">
            <v>112</v>
          </cell>
          <cell r="AM16">
            <v>50.4</v>
          </cell>
          <cell r="AN16">
            <v>0.89999999999999991</v>
          </cell>
          <cell r="AO16">
            <v>51.3</v>
          </cell>
          <cell r="AQ16">
            <v>96</v>
          </cell>
          <cell r="AR16">
            <v>166</v>
          </cell>
          <cell r="AS16">
            <v>262</v>
          </cell>
          <cell r="AU16">
            <v>96</v>
          </cell>
          <cell r="AV16">
            <v>166</v>
          </cell>
          <cell r="AW16">
            <v>262</v>
          </cell>
          <cell r="AY16">
            <v>269.59999999999997</v>
          </cell>
          <cell r="AZ16">
            <v>502.6</v>
          </cell>
          <cell r="BA16">
            <v>772.2</v>
          </cell>
          <cell r="BC16">
            <v>1008.8</v>
          </cell>
          <cell r="BD16">
            <v>1069.8999999999999</v>
          </cell>
          <cell r="BE16">
            <v>2078.6999999999998</v>
          </cell>
          <cell r="BG16">
            <v>36.6</v>
          </cell>
          <cell r="BH16">
            <v>8.6999999999999993</v>
          </cell>
          <cell r="BI16">
            <v>45.3</v>
          </cell>
          <cell r="BK16">
            <v>0</v>
          </cell>
          <cell r="BL16">
            <v>0</v>
          </cell>
          <cell r="BM16">
            <v>0</v>
          </cell>
          <cell r="BO16">
            <v>1008.8</v>
          </cell>
          <cell r="BP16">
            <v>1069.8999999999999</v>
          </cell>
          <cell r="BQ16">
            <v>2078.6999999999998</v>
          </cell>
          <cell r="BS16" t="str">
            <v>1994</v>
          </cell>
          <cell r="BT16">
            <v>139.69999999999999</v>
          </cell>
          <cell r="BU16">
            <v>472.50000000000006</v>
          </cell>
          <cell r="BV16">
            <v>612.20000000000005</v>
          </cell>
          <cell r="BX16">
            <v>282.60000000000002</v>
          </cell>
          <cell r="BY16">
            <v>75.099999999999994</v>
          </cell>
          <cell r="BZ16">
            <v>357.70000000000005</v>
          </cell>
          <cell r="CB16">
            <v>84</v>
          </cell>
          <cell r="CC16">
            <v>135</v>
          </cell>
          <cell r="CD16">
            <v>219</v>
          </cell>
          <cell r="CJ16">
            <v>107</v>
          </cell>
          <cell r="CK16">
            <v>13</v>
          </cell>
          <cell r="CL16">
            <v>120</v>
          </cell>
          <cell r="CN16">
            <v>123.19999999999999</v>
          </cell>
          <cell r="CO16">
            <v>9.7000000000000011</v>
          </cell>
          <cell r="CP16">
            <v>132.9</v>
          </cell>
          <cell r="CR16">
            <v>99</v>
          </cell>
          <cell r="CS16">
            <v>10</v>
          </cell>
          <cell r="CT16">
            <v>109</v>
          </cell>
          <cell r="CV16" t="str">
            <v>1994</v>
          </cell>
          <cell r="CX16">
            <v>91</v>
          </cell>
          <cell r="CY16">
            <v>0</v>
          </cell>
          <cell r="CZ16">
            <v>91</v>
          </cell>
          <cell r="DB16">
            <v>59</v>
          </cell>
          <cell r="DC16">
            <v>2</v>
          </cell>
          <cell r="DD16">
            <v>61</v>
          </cell>
          <cell r="DF16">
            <v>37</v>
          </cell>
          <cell r="DG16">
            <v>13</v>
          </cell>
          <cell r="DH16">
            <v>50</v>
          </cell>
          <cell r="DJ16">
            <v>286.29999999999995</v>
          </cell>
          <cell r="DK16">
            <v>487.69999999999993</v>
          </cell>
          <cell r="DL16">
            <v>773.99999999999977</v>
          </cell>
          <cell r="DN16">
            <v>1308.8</v>
          </cell>
          <cell r="DO16">
            <v>1218</v>
          </cell>
          <cell r="DP16">
            <v>2526.7999999999997</v>
          </cell>
          <cell r="DR16" t="str">
            <v>1994</v>
          </cell>
          <cell r="DS16">
            <v>157.6</v>
          </cell>
          <cell r="DT16">
            <v>285.2</v>
          </cell>
          <cell r="DU16">
            <v>442.79999999999995</v>
          </cell>
          <cell r="DW16">
            <v>148.9</v>
          </cell>
          <cell r="DX16">
            <v>176.5</v>
          </cell>
          <cell r="DY16">
            <v>325.39999999999998</v>
          </cell>
          <cell r="EA16">
            <v>22.200000000000003</v>
          </cell>
          <cell r="EB16">
            <v>202.9</v>
          </cell>
          <cell r="EC16">
            <v>225.10000000000002</v>
          </cell>
          <cell r="EE16">
            <v>17</v>
          </cell>
          <cell r="EF16">
            <v>158</v>
          </cell>
          <cell r="EG16">
            <v>175</v>
          </cell>
          <cell r="EI16">
            <v>103</v>
          </cell>
          <cell r="EJ16">
            <v>15.8</v>
          </cell>
          <cell r="EK16">
            <v>118.79999999999998</v>
          </cell>
          <cell r="EM16" t="str">
            <v>1994</v>
          </cell>
          <cell r="EN16">
            <v>51</v>
          </cell>
          <cell r="EO16">
            <v>37.699999999999996</v>
          </cell>
          <cell r="EP16">
            <v>88.7</v>
          </cell>
          <cell r="ER16">
            <v>52</v>
          </cell>
          <cell r="ES16">
            <v>40</v>
          </cell>
          <cell r="ET16">
            <v>92</v>
          </cell>
          <cell r="EV16">
            <v>0</v>
          </cell>
          <cell r="EW16">
            <v>43</v>
          </cell>
          <cell r="EX16">
            <v>43</v>
          </cell>
          <cell r="EZ16">
            <v>84.899999999999977</v>
          </cell>
          <cell r="FA16">
            <v>215.7</v>
          </cell>
          <cell r="FB16">
            <v>300.59999999999997</v>
          </cell>
          <cell r="FD16">
            <v>636.59999999999991</v>
          </cell>
          <cell r="FE16">
            <v>1174.8</v>
          </cell>
          <cell r="FF16">
            <v>1811.4</v>
          </cell>
          <cell r="FH16">
            <v>2954.2</v>
          </cell>
          <cell r="FI16">
            <v>3462.7000000000003</v>
          </cell>
          <cell r="FJ16">
            <v>6416.9000000000005</v>
          </cell>
        </row>
        <row r="18">
          <cell r="A18" t="str">
            <v>1995/94 % Change</v>
          </cell>
          <cell r="AH18" t="str">
            <v>1995/94 % Change</v>
          </cell>
          <cell r="BS18" t="str">
            <v>1995/94 % Change</v>
          </cell>
          <cell r="CV18" t="str">
            <v>1995/94 % Change</v>
          </cell>
          <cell r="DR18" t="str">
            <v>1995/94 % Change</v>
          </cell>
          <cell r="EM18" t="str">
            <v>1995/94 % Change</v>
          </cell>
        </row>
        <row r="19">
          <cell r="A19" t="str">
            <v xml:space="preserve"> 1Q</v>
          </cell>
          <cell r="B19" t="str">
            <v>NM</v>
          </cell>
          <cell r="C19" t="str">
            <v>NM</v>
          </cell>
          <cell r="D19" t="str">
            <v>NM</v>
          </cell>
          <cell r="F19" t="str">
            <v>NM</v>
          </cell>
          <cell r="G19" t="str">
            <v>NM</v>
          </cell>
          <cell r="H19" t="str">
            <v>NM</v>
          </cell>
          <cell r="J19">
            <v>0.55513307984790861</v>
          </cell>
          <cell r="K19">
            <v>0.2972027972027973</v>
          </cell>
          <cell r="L19">
            <v>0.42076502732240417</v>
          </cell>
          <cell r="N19">
            <v>-0.23076923076923073</v>
          </cell>
          <cell r="O19">
            <v>7.1428571428571397E-2</v>
          </cell>
          <cell r="P19">
            <v>-0.125</v>
          </cell>
          <cell r="R19">
            <v>0.37092731829573955</v>
          </cell>
          <cell r="S19">
            <v>8.3333333333333259E-2</v>
          </cell>
          <cell r="T19">
            <v>0.3269639065817409</v>
          </cell>
          <cell r="V19">
            <v>1.075268817204301</v>
          </cell>
          <cell r="W19">
            <v>2.1666666666666665</v>
          </cell>
          <cell r="X19">
            <v>1.1414141414141414</v>
          </cell>
          <cell r="AD19">
            <v>0.31000000000000005</v>
          </cell>
          <cell r="AE19">
            <v>0.10000000000000009</v>
          </cell>
          <cell r="AF19">
            <v>0.30000000000000004</v>
          </cell>
          <cell r="AH19" t="str">
            <v xml:space="preserve"> 1Q</v>
          </cell>
          <cell r="AI19" t="str">
            <v>NM</v>
          </cell>
          <cell r="AJ19">
            <v>0.18518518518518512</v>
          </cell>
          <cell r="AK19">
            <v>0.18518518518518512</v>
          </cell>
          <cell r="AM19">
            <v>0.50000000000000022</v>
          </cell>
          <cell r="AN19" t="str">
            <v>NM</v>
          </cell>
          <cell r="AO19">
            <v>0.6407766990291266</v>
          </cell>
          <cell r="AQ19">
            <v>8.6956521739130377E-2</v>
          </cell>
          <cell r="AR19">
            <v>0.28947368421052633</v>
          </cell>
          <cell r="AS19">
            <v>0.21311475409836067</v>
          </cell>
          <cell r="AU19">
            <v>8.6956521739130377E-2</v>
          </cell>
          <cell r="AV19">
            <v>0.28947368421052633</v>
          </cell>
          <cell r="AW19">
            <v>0.21311475409836067</v>
          </cell>
          <cell r="AY19">
            <v>-9.8387096774193328E-2</v>
          </cell>
          <cell r="AZ19">
            <v>8.3769633507852825E-2</v>
          </cell>
          <cell r="BA19">
            <v>2.6060296371997804E-2</v>
          </cell>
          <cell r="BC19">
            <v>0.14256283477544307</v>
          </cell>
          <cell r="BD19">
            <v>0.15594246782740351</v>
          </cell>
          <cell r="BE19">
            <v>0.14953639771158023</v>
          </cell>
          <cell r="BG19">
            <v>1.075268817204301</v>
          </cell>
          <cell r="BH19">
            <v>2.1666666666666665</v>
          </cell>
          <cell r="BI19">
            <v>1.1414141414141414</v>
          </cell>
          <cell r="BK19" t="str">
            <v>NM</v>
          </cell>
          <cell r="BL19" t="str">
            <v>NM</v>
          </cell>
          <cell r="BM19" t="str">
            <v>NM</v>
          </cell>
          <cell r="BO19">
            <v>0.14256283477544307</v>
          </cell>
          <cell r="BP19">
            <v>0.15594246782740351</v>
          </cell>
          <cell r="BQ19">
            <v>0.14953639771158023</v>
          </cell>
          <cell r="BS19" t="str">
            <v xml:space="preserve"> 1Q</v>
          </cell>
          <cell r="BT19">
            <v>0.25702811244979928</v>
          </cell>
          <cell r="BU19">
            <v>0.10189359783588814</v>
          </cell>
          <cell r="BV19">
            <v>0.13033873343151692</v>
          </cell>
          <cell r="BX19">
            <v>-8.8114104595879539E-2</v>
          </cell>
          <cell r="BY19">
            <v>0.1042944785276072</v>
          </cell>
          <cell r="BZ19">
            <v>-4.8614609571788536E-2</v>
          </cell>
          <cell r="CB19">
            <v>0</v>
          </cell>
          <cell r="CC19">
            <v>-2.7027027027026973E-2</v>
          </cell>
          <cell r="CD19">
            <v>-1.7857142857142905E-2</v>
          </cell>
          <cell r="CJ19">
            <v>-0.12307692307692308</v>
          </cell>
          <cell r="CK19" t="str">
            <v>NM</v>
          </cell>
          <cell r="CL19">
            <v>0.14615384615384608</v>
          </cell>
          <cell r="CN19">
            <v>0.19358974358974357</v>
          </cell>
          <cell r="CO19">
            <v>0.20588235294117641</v>
          </cell>
          <cell r="CP19">
            <v>0.19442231075697225</v>
          </cell>
          <cell r="CR19">
            <v>-0.16000000000000003</v>
          </cell>
          <cell r="CS19">
            <v>-0.5</v>
          </cell>
          <cell r="CT19">
            <v>-0.18518518518518523</v>
          </cell>
          <cell r="CV19" t="str">
            <v xml:space="preserve"> 1Q</v>
          </cell>
          <cell r="CX19">
            <v>5.0000000000000044E-2</v>
          </cell>
          <cell r="CY19" t="str">
            <v>NM</v>
          </cell>
          <cell r="CZ19">
            <v>5.0000000000000044E-2</v>
          </cell>
          <cell r="DB19">
            <v>0.28571428571428581</v>
          </cell>
          <cell r="DC19" t="str">
            <v>NM</v>
          </cell>
          <cell r="DD19">
            <v>0.35714285714285721</v>
          </cell>
          <cell r="DF19">
            <v>-0.22222222222222221</v>
          </cell>
          <cell r="DG19" t="str">
            <v>NM</v>
          </cell>
          <cell r="DH19">
            <v>0.44444444444444442</v>
          </cell>
          <cell r="DJ19">
            <v>-5.2827140549273177E-2</v>
          </cell>
          <cell r="DK19">
            <v>0.3481844946025523</v>
          </cell>
          <cell r="DL19">
            <v>0.19664224664224705</v>
          </cell>
          <cell r="DN19">
            <v>-7.3349633251832413E-3</v>
          </cell>
          <cell r="DO19">
            <v>0.22546330615270582</v>
          </cell>
          <cell r="DP19">
            <v>0.10561050170832598</v>
          </cell>
          <cell r="DR19" t="str">
            <v xml:space="preserve"> 1Q</v>
          </cell>
          <cell r="DS19">
            <v>4.8543689320388328E-2</v>
          </cell>
          <cell r="DT19">
            <v>9.0791180285343387E-3</v>
          </cell>
          <cell r="DU19">
            <v>1.7400204708290845E-2</v>
          </cell>
          <cell r="DW19">
            <v>-0.17878787878787872</v>
          </cell>
          <cell r="DX19">
            <v>-4.3589743589743657E-2</v>
          </cell>
          <cell r="DY19">
            <v>-0.10555555555555551</v>
          </cell>
          <cell r="EA19">
            <v>-0.11538461538461553</v>
          </cell>
          <cell r="EB19">
            <v>-0.10526315789473695</v>
          </cell>
          <cell r="EC19">
            <v>-0.10629921259842534</v>
          </cell>
          <cell r="EE19">
            <v>0</v>
          </cell>
          <cell r="EF19">
            <v>0</v>
          </cell>
          <cell r="EG19">
            <v>0</v>
          </cell>
          <cell r="EI19">
            <v>-0.18532818532818518</v>
          </cell>
          <cell r="EJ19">
            <v>-0.32352941176470595</v>
          </cell>
          <cell r="EK19">
            <v>-0.20136518771331047</v>
          </cell>
          <cell r="EM19" t="str">
            <v xml:space="preserve"> 1Q</v>
          </cell>
          <cell r="EN19">
            <v>5.2980132450331174E-2</v>
          </cell>
          <cell r="EO19">
            <v>0.11538461538461542</v>
          </cell>
          <cell r="EP19">
            <v>7.4235807860262071E-2</v>
          </cell>
          <cell r="ER19">
            <v>-0.25</v>
          </cell>
          <cell r="ES19">
            <v>0</v>
          </cell>
          <cell r="ET19">
            <v>-0.1428571428571429</v>
          </cell>
          <cell r="EV19" t="str">
            <v>NM</v>
          </cell>
          <cell r="EW19">
            <v>0.55555555555555558</v>
          </cell>
          <cell r="EX19">
            <v>0.55555555555555558</v>
          </cell>
          <cell r="EZ19">
            <v>4.4408920985006262E-16</v>
          </cell>
          <cell r="FA19">
            <v>0.19252336448598073</v>
          </cell>
          <cell r="FB19">
            <v>0.15080527086383588</v>
          </cell>
          <cell r="FD19">
            <v>-9.6450617283950657E-2</v>
          </cell>
          <cell r="FE19">
            <v>3.3166904422254007E-2</v>
          </cell>
          <cell r="FF19">
            <v>-7.8048780487806058E-3</v>
          </cell>
          <cell r="FH19">
            <v>3.0367446097783191E-2</v>
          </cell>
          <cell r="FI19">
            <v>0.13670186640471527</v>
          </cell>
          <cell r="FJ19">
            <v>8.9158180583842395E-2</v>
          </cell>
        </row>
        <row r="20">
          <cell r="A20" t="str">
            <v xml:space="preserve"> 2Q</v>
          </cell>
          <cell r="B20" t="str">
            <v>NM</v>
          </cell>
          <cell r="C20" t="str">
            <v>NM</v>
          </cell>
          <cell r="D20" t="str">
            <v>NM</v>
          </cell>
          <cell r="F20" t="str">
            <v>NM</v>
          </cell>
          <cell r="G20" t="str">
            <v>NM</v>
          </cell>
          <cell r="H20" t="str">
            <v>NM</v>
          </cell>
          <cell r="J20">
            <v>0.60350877192982466</v>
          </cell>
          <cell r="K20">
            <v>0.27419354838709675</v>
          </cell>
          <cell r="L20">
            <v>0.43193277310924372</v>
          </cell>
          <cell r="N20">
            <v>-0.33333333333333337</v>
          </cell>
          <cell r="O20">
            <v>0.21428571428571419</v>
          </cell>
          <cell r="P20">
            <v>-0.13924050632911389</v>
          </cell>
          <cell r="R20">
            <v>0.46095717884130982</v>
          </cell>
          <cell r="S20">
            <v>3.6144578313252795E-2</v>
          </cell>
          <cell r="T20">
            <v>0.38749999999999996</v>
          </cell>
          <cell r="V20">
            <v>6.9333333333333336</v>
          </cell>
          <cell r="W20">
            <v>1.7272727272727271</v>
          </cell>
          <cell r="X20">
            <v>5.536585365853659</v>
          </cell>
          <cell r="AD20">
            <v>0.54</v>
          </cell>
          <cell r="AE20">
            <v>0.5</v>
          </cell>
          <cell r="AF20">
            <v>0.53750000000000009</v>
          </cell>
          <cell r="AH20" t="str">
            <v xml:space="preserve"> 2Q</v>
          </cell>
          <cell r="AI20" t="str">
            <v>NM</v>
          </cell>
          <cell r="AJ20">
            <v>0.10000000000000009</v>
          </cell>
          <cell r="AK20">
            <v>0.10000000000000009</v>
          </cell>
          <cell r="AM20">
            <v>0.46470588235294108</v>
          </cell>
          <cell r="AN20" t="str">
            <v>NM</v>
          </cell>
          <cell r="AO20">
            <v>0.59411764705882342</v>
          </cell>
          <cell r="AQ20">
            <v>3.8461538461538547E-2</v>
          </cell>
          <cell r="AR20">
            <v>0.27272727272727271</v>
          </cell>
          <cell r="AS20">
            <v>0.18571428571428572</v>
          </cell>
          <cell r="AU20">
            <v>3.8461538461538547E-2</v>
          </cell>
          <cell r="AV20">
            <v>0.27272727272727271</v>
          </cell>
          <cell r="AW20">
            <v>0.18571428571428572</v>
          </cell>
          <cell r="AY20">
            <v>6.7567567567567766E-2</v>
          </cell>
          <cell r="AZ20">
            <v>0.22473726758286183</v>
          </cell>
          <cell r="BA20">
            <v>0.16973200210194439</v>
          </cell>
          <cell r="BC20">
            <v>0.24635332252836317</v>
          </cell>
          <cell r="BD20">
            <v>0.23287158367652561</v>
          </cell>
          <cell r="BE20">
            <v>0.23934617629889088</v>
          </cell>
          <cell r="BG20">
            <v>6.9333333333333336</v>
          </cell>
          <cell r="BH20">
            <v>1.7272727272727271</v>
          </cell>
          <cell r="BI20">
            <v>5.536585365853659</v>
          </cell>
          <cell r="BK20" t="str">
            <v>NM</v>
          </cell>
          <cell r="BL20" t="str">
            <v>NM</v>
          </cell>
          <cell r="BM20" t="str">
            <v>NM</v>
          </cell>
          <cell r="BO20">
            <v>0.24635332252836317</v>
          </cell>
          <cell r="BP20">
            <v>0.23287158367652561</v>
          </cell>
          <cell r="BQ20">
            <v>0.23934617629889088</v>
          </cell>
          <cell r="BS20" t="str">
            <v xml:space="preserve"> 2Q</v>
          </cell>
          <cell r="BT20">
            <v>-0.1131221719457014</v>
          </cell>
          <cell r="BU20">
            <v>0.36865942028985499</v>
          </cell>
          <cell r="BV20">
            <v>0.23091849935316944</v>
          </cell>
          <cell r="BX20">
            <v>6.9018404907975395E-2</v>
          </cell>
          <cell r="BY20">
            <v>0.10152284263959399</v>
          </cell>
          <cell r="BZ20">
            <v>7.6560659599528957E-2</v>
          </cell>
          <cell r="CB20">
            <v>0</v>
          </cell>
          <cell r="CC20">
            <v>0.25</v>
          </cell>
          <cell r="CD20">
            <v>0.15517241379310343</v>
          </cell>
          <cell r="CJ20">
            <v>0.12941176470588234</v>
          </cell>
          <cell r="CK20" t="str">
            <v>NM</v>
          </cell>
          <cell r="CL20">
            <v>0.36315789473684212</v>
          </cell>
          <cell r="CN20">
            <v>0.11436950146627556</v>
          </cell>
          <cell r="CO20">
            <v>0</v>
          </cell>
          <cell r="CP20">
            <v>0.10597826086956519</v>
          </cell>
          <cell r="CR20">
            <v>-0.125</v>
          </cell>
          <cell r="CS20">
            <v>0</v>
          </cell>
          <cell r="CT20">
            <v>-0.11538461538461542</v>
          </cell>
          <cell r="CV20" t="str">
            <v xml:space="preserve"> 2Q</v>
          </cell>
          <cell r="CX20">
            <v>0</v>
          </cell>
          <cell r="CY20" t="str">
            <v>NM</v>
          </cell>
          <cell r="CZ20">
            <v>0</v>
          </cell>
          <cell r="DB20">
            <v>0.22222222222222232</v>
          </cell>
          <cell r="DC20" t="str">
            <v>NM</v>
          </cell>
          <cell r="DD20">
            <v>0.27777777777777768</v>
          </cell>
          <cell r="DF20">
            <v>0</v>
          </cell>
          <cell r="DG20" t="str">
            <v>NM</v>
          </cell>
          <cell r="DH20">
            <v>0.625</v>
          </cell>
          <cell r="DJ20">
            <v>-7.2678331090174297E-2</v>
          </cell>
          <cell r="DK20">
            <v>0.37923228346456739</v>
          </cell>
          <cell r="DL20">
            <v>0.18834565093803346</v>
          </cell>
          <cell r="DN20">
            <v>3.6832412523022384E-3</v>
          </cell>
          <cell r="DO20">
            <v>0.36648511256354399</v>
          </cell>
          <cell r="DP20">
            <v>0.16987691284098472</v>
          </cell>
          <cell r="DR20" t="str">
            <v xml:space="preserve"> 2Q</v>
          </cell>
          <cell r="DS20">
            <v>-6.9892473118279619E-2</v>
          </cell>
          <cell r="DT20">
            <v>0.22061191626409005</v>
          </cell>
          <cell r="DU20">
            <v>0.15365551425030977</v>
          </cell>
          <cell r="DW20">
            <v>-0.13490364025695945</v>
          </cell>
          <cell r="DX20">
            <v>0.18029350104821784</v>
          </cell>
          <cell r="DY20">
            <v>2.4364406779660897E-2</v>
          </cell>
          <cell r="EA20">
            <v>0.10526315789473673</v>
          </cell>
          <cell r="EB20">
            <v>-6.321839080459779E-2</v>
          </cell>
          <cell r="EC20">
            <v>-4.6632124352331772E-2</v>
          </cell>
          <cell r="EE20">
            <v>-0.25</v>
          </cell>
          <cell r="EF20">
            <v>-5.0000000000000044E-2</v>
          </cell>
          <cell r="EG20">
            <v>-6.8181818181818232E-2</v>
          </cell>
          <cell r="EI20">
            <v>-0.11832061068702282</v>
          </cell>
          <cell r="EJ20">
            <v>-0.32558139534883723</v>
          </cell>
          <cell r="EK20">
            <v>-0.14754098360655743</v>
          </cell>
          <cell r="EM20" t="str">
            <v xml:space="preserve"> 2Q</v>
          </cell>
          <cell r="EN20">
            <v>-0.19186046511627897</v>
          </cell>
          <cell r="EO20">
            <v>9.009009009008917E-3</v>
          </cell>
          <cell r="EP20">
            <v>-0.11307420494699638</v>
          </cell>
          <cell r="ER20">
            <v>-0.19999999999999996</v>
          </cell>
          <cell r="ES20">
            <v>0</v>
          </cell>
          <cell r="ET20">
            <v>-0.12</v>
          </cell>
          <cell r="EV20" t="str">
            <v>NM</v>
          </cell>
          <cell r="EW20">
            <v>1</v>
          </cell>
          <cell r="EX20">
            <v>1</v>
          </cell>
          <cell r="EZ20">
            <v>-0.11235955056179547</v>
          </cell>
          <cell r="FA20">
            <v>0.34343434343434232</v>
          </cell>
          <cell r="FB20">
            <v>0.2228826151560177</v>
          </cell>
          <cell r="FD20">
            <v>-0.12830687830687815</v>
          </cell>
          <cell r="FE20">
            <v>0.14585519412381953</v>
          </cell>
          <cell r="FF20">
            <v>5.1018073667353114E-2</v>
          </cell>
          <cell r="FH20">
            <v>5.8856037579442022E-2</v>
          </cell>
          <cell r="FI20">
            <v>0.24725977788507958</v>
          </cell>
          <cell r="FJ20">
            <v>0.15940600438087871</v>
          </cell>
        </row>
        <row r="21">
          <cell r="A21" t="str">
            <v xml:space="preserve"> 3Q</v>
          </cell>
          <cell r="B21" t="str">
            <v>NM</v>
          </cell>
          <cell r="C21" t="str">
            <v>NM</v>
          </cell>
          <cell r="D21" t="str">
            <v>NM</v>
          </cell>
          <cell r="F21" t="str">
            <v>NM</v>
          </cell>
          <cell r="G21" t="str">
            <v>NM</v>
          </cell>
          <cell r="H21" t="str">
            <v>NM</v>
          </cell>
          <cell r="J21">
            <v>-0.24161073825503354</v>
          </cell>
          <cell r="K21">
            <v>0.36250000000000004</v>
          </cell>
          <cell r="L21">
            <v>7.1197411003236288E-2</v>
          </cell>
          <cell r="N21">
            <v>-0.53703703703703698</v>
          </cell>
          <cell r="O21">
            <v>0.10714285714285721</v>
          </cell>
          <cell r="P21">
            <v>-0.31707317073170727</v>
          </cell>
          <cell r="R21">
            <v>-1.8234165067178565E-2</v>
          </cell>
          <cell r="S21">
            <v>4.1666666666666519E-2</v>
          </cell>
          <cell r="T21">
            <v>-9.91735537190086E-3</v>
          </cell>
          <cell r="V21">
            <v>1.2584269662921348</v>
          </cell>
          <cell r="W21">
            <v>2.25</v>
          </cell>
          <cell r="X21">
            <v>1.3762376237623761</v>
          </cell>
          <cell r="AD21">
            <v>0.46500000000000008</v>
          </cell>
          <cell r="AE21">
            <v>1</v>
          </cell>
          <cell r="AF21">
            <v>0.49047619047619051</v>
          </cell>
          <cell r="AH21" t="str">
            <v xml:space="preserve"> 3Q</v>
          </cell>
          <cell r="AI21" t="str">
            <v>NM</v>
          </cell>
          <cell r="AJ21">
            <v>5.555555555555558E-2</v>
          </cell>
          <cell r="AK21">
            <v>5.555555555555558E-2</v>
          </cell>
          <cell r="AM21">
            <v>-0.76760563380281688</v>
          </cell>
          <cell r="AN21" t="str">
            <v>NM</v>
          </cell>
          <cell r="AO21">
            <v>-0.59440559440559437</v>
          </cell>
          <cell r="AQ21">
            <v>0.16666666666666674</v>
          </cell>
          <cell r="AR21">
            <v>0.23076923076923084</v>
          </cell>
          <cell r="AS21">
            <v>0.20634920634920628</v>
          </cell>
          <cell r="AU21">
            <v>0.16666666666666674</v>
          </cell>
          <cell r="AV21">
            <v>0.23076923076923084</v>
          </cell>
          <cell r="AW21">
            <v>0.20634920634920628</v>
          </cell>
          <cell r="AY21">
            <v>-2.1037868162692153E-3</v>
          </cell>
          <cell r="AZ21">
            <v>0.11231015187849658</v>
          </cell>
          <cell r="BA21">
            <v>7.0773930753563752E-2</v>
          </cell>
          <cell r="BC21">
            <v>-8.640174990885896E-2</v>
          </cell>
          <cell r="BD21">
            <v>0.1741787624140565</v>
          </cell>
          <cell r="BE21">
            <v>4.0850587576944486E-2</v>
          </cell>
          <cell r="BG21">
            <v>1.2584269662921348</v>
          </cell>
          <cell r="BH21">
            <v>2.25</v>
          </cell>
          <cell r="BI21">
            <v>1.3762376237623761</v>
          </cell>
          <cell r="BK21" t="str">
            <v>NM</v>
          </cell>
          <cell r="BL21" t="str">
            <v>NM</v>
          </cell>
          <cell r="BM21" t="str">
            <v>NM</v>
          </cell>
          <cell r="BO21">
            <v>-8.640174990885896E-2</v>
          </cell>
          <cell r="BP21">
            <v>0.1741787624140565</v>
          </cell>
          <cell r="BQ21">
            <v>4.0850587576944486E-2</v>
          </cell>
          <cell r="BS21" t="str">
            <v xml:space="preserve"> 3Q</v>
          </cell>
          <cell r="BT21">
            <v>0.1829896907216495</v>
          </cell>
          <cell r="BU21">
            <v>0.17883511074651337</v>
          </cell>
          <cell r="BV21">
            <v>0.17983820784069704</v>
          </cell>
          <cell r="BX21">
            <v>-0.1470588235294118</v>
          </cell>
          <cell r="BY21">
            <v>9.2896174863387859E-2</v>
          </cell>
          <cell r="BZ21">
            <v>-0.10454985479186829</v>
          </cell>
          <cell r="CB21">
            <v>0</v>
          </cell>
          <cell r="CC21">
            <v>6.4516129032258007E-2</v>
          </cell>
          <cell r="CD21">
            <v>3.9215686274509887E-2</v>
          </cell>
          <cell r="CJ21">
            <v>0.23793103448275854</v>
          </cell>
          <cell r="CK21">
            <v>0.17500000000000004</v>
          </cell>
          <cell r="CL21">
            <v>0.23030303030303045</v>
          </cell>
          <cell r="CN21">
            <v>-4.5673076923076872E-2</v>
          </cell>
          <cell r="CO21">
            <v>0</v>
          </cell>
          <cell r="CP21">
            <v>-4.3181818181818099E-2</v>
          </cell>
          <cell r="CR21">
            <v>-0.10416666666666663</v>
          </cell>
          <cell r="CS21">
            <v>-0.44999999999999996</v>
          </cell>
          <cell r="CT21">
            <v>-0.13076923076923075</v>
          </cell>
          <cell r="CV21" t="str">
            <v xml:space="preserve"> 3Q</v>
          </cell>
          <cell r="CX21">
            <v>-0.26666666666666661</v>
          </cell>
          <cell r="CY21" t="str">
            <v>NM</v>
          </cell>
          <cell r="CZ21">
            <v>-0.26666666666666661</v>
          </cell>
          <cell r="DB21">
            <v>0</v>
          </cell>
          <cell r="DC21">
            <v>0</v>
          </cell>
          <cell r="DD21">
            <v>0</v>
          </cell>
          <cell r="DF21">
            <v>-0.33333333333333337</v>
          </cell>
          <cell r="DG21">
            <v>0</v>
          </cell>
          <cell r="DH21">
            <v>-0.25</v>
          </cell>
          <cell r="DJ21">
            <v>0.32383419689119153</v>
          </cell>
          <cell r="DK21">
            <v>9.4017094017094127E-2</v>
          </cell>
          <cell r="DL21">
            <v>0.18018455560951918</v>
          </cell>
          <cell r="DN21">
            <v>3.1741725447639757E-2</v>
          </cell>
          <cell r="DO21">
            <v>0.1193744015320779</v>
          </cell>
          <cell r="DP21">
            <v>7.2004692770200718E-2</v>
          </cell>
          <cell r="DR21" t="str">
            <v xml:space="preserve"> 3Q</v>
          </cell>
          <cell r="DS21">
            <v>-6.7082683307332247E-2</v>
          </cell>
          <cell r="DT21">
            <v>0.30769230769230749</v>
          </cell>
          <cell r="DU21">
            <v>0.1096455070074196</v>
          </cell>
          <cell r="DW21">
            <v>0</v>
          </cell>
          <cell r="DX21">
            <v>6.6666666666666652E-2</v>
          </cell>
          <cell r="DY21">
            <v>3.7940379403794022E-2</v>
          </cell>
          <cell r="EA21">
            <v>-0.12962962962962965</v>
          </cell>
          <cell r="EB21">
            <v>8.7755102040816269E-2</v>
          </cell>
          <cell r="EC21">
            <v>6.6176470588235281E-2</v>
          </cell>
          <cell r="EE21">
            <v>-0.5</v>
          </cell>
          <cell r="EF21">
            <v>2.6315789473684292E-2</v>
          </cell>
          <cell r="EG21">
            <v>-4.5454545454545414E-2</v>
          </cell>
          <cell r="EI21">
            <v>9.565217391304337E-2</v>
          </cell>
          <cell r="EJ21">
            <v>-0.12820512820512819</v>
          </cell>
          <cell r="EK21">
            <v>6.3197026022304703E-2</v>
          </cell>
          <cell r="EM21" t="str">
            <v xml:space="preserve"> 3Q</v>
          </cell>
          <cell r="EN21">
            <v>0.23076923076923084</v>
          </cell>
          <cell r="EO21">
            <v>0.19512195121951237</v>
          </cell>
          <cell r="EP21">
            <v>0.21387283236994237</v>
          </cell>
          <cell r="ER21">
            <v>-0.30000000000000004</v>
          </cell>
          <cell r="ES21">
            <v>0.10000000000000009</v>
          </cell>
          <cell r="ET21">
            <v>-0.12608695652173907</v>
          </cell>
          <cell r="EV21" t="str">
            <v>NM</v>
          </cell>
          <cell r="EW21">
            <v>0.81818181818181812</v>
          </cell>
          <cell r="EX21">
            <v>0.81818181818181812</v>
          </cell>
          <cell r="EZ21">
            <v>-8.0808080808080995E-2</v>
          </cell>
          <cell r="FA21">
            <v>0.13980582524271767</v>
          </cell>
          <cell r="FB21">
            <v>5.9113300492610321E-2</v>
          </cell>
          <cell r="FD21">
            <v>-5.4914881933003867E-2</v>
          </cell>
          <cell r="FE21">
            <v>0.16248153618906946</v>
          </cell>
          <cell r="FF21">
            <v>7.5071759770368729E-2</v>
          </cell>
          <cell r="FH21">
            <v>-2.6666666666666838E-2</v>
          </cell>
          <cell r="FI21">
            <v>0.15013594987587164</v>
          </cell>
          <cell r="FJ21">
            <v>6.2840385421030431E-2</v>
          </cell>
        </row>
        <row r="22">
          <cell r="A22" t="str">
            <v xml:space="preserve"> 4Q</v>
          </cell>
          <cell r="B22" t="str">
            <v>NM</v>
          </cell>
          <cell r="C22" t="str">
            <v>NM</v>
          </cell>
          <cell r="D22" t="str">
            <v>NM</v>
          </cell>
          <cell r="F22" t="str">
            <v>NM</v>
          </cell>
          <cell r="G22" t="str">
            <v>NM</v>
          </cell>
          <cell r="H22" t="str">
            <v>NM</v>
          </cell>
          <cell r="J22">
            <v>0.61375661375661394</v>
          </cell>
          <cell r="K22">
            <v>0.56756756756756777</v>
          </cell>
          <cell r="L22">
            <v>0.58429118773946387</v>
          </cell>
          <cell r="N22">
            <v>-0.4</v>
          </cell>
          <cell r="O22">
            <v>3.0303030303030276E-2</v>
          </cell>
          <cell r="P22">
            <v>-0.19117647058823528</v>
          </cell>
          <cell r="R22">
            <v>-0.16101694915254239</v>
          </cell>
          <cell r="S22">
            <v>6.7415730337078594E-2</v>
          </cell>
          <cell r="T22">
            <v>-0.13107511045655384</v>
          </cell>
          <cell r="V22">
            <v>0.55844155844155852</v>
          </cell>
          <cell r="W22">
            <v>1.7241379310344973E-2</v>
          </cell>
          <cell r="X22">
            <v>0.41037735849056611</v>
          </cell>
          <cell r="AD22">
            <v>0.8</v>
          </cell>
          <cell r="AE22">
            <v>0.5</v>
          </cell>
          <cell r="AF22">
            <v>0.76470588235294112</v>
          </cell>
          <cell r="AH22" t="str">
            <v xml:space="preserve"> 4Q</v>
          </cell>
          <cell r="AI22" t="str">
            <v>NM</v>
          </cell>
          <cell r="AJ22">
            <v>3.5714285714285809E-2</v>
          </cell>
          <cell r="AK22">
            <v>3.5714285714285809E-2</v>
          </cell>
          <cell r="AM22">
            <v>-0.44444444444444442</v>
          </cell>
          <cell r="AN22" t="str">
            <v>NM</v>
          </cell>
          <cell r="AO22">
            <v>-9.2783505154639068E-2</v>
          </cell>
          <cell r="AQ22">
            <v>0.34782608695652173</v>
          </cell>
          <cell r="AR22">
            <v>0.15555555555555545</v>
          </cell>
          <cell r="AS22">
            <v>0.22058823529411775</v>
          </cell>
          <cell r="AU22">
            <v>0.34782608695652173</v>
          </cell>
          <cell r="AV22">
            <v>0.15555555555555545</v>
          </cell>
          <cell r="AW22">
            <v>0.22058823529411775</v>
          </cell>
          <cell r="AY22">
            <v>-0.23959827833572445</v>
          </cell>
          <cell r="AZ22">
            <v>0.22897585345545379</v>
          </cell>
          <cell r="BA22">
            <v>5.6902002107481531E-2</v>
          </cell>
          <cell r="BC22">
            <v>-1.6326530612244872E-2</v>
          </cell>
          <cell r="BD22">
            <v>0.21748554913294793</v>
          </cell>
          <cell r="BE22">
            <v>0.10770410118819473</v>
          </cell>
          <cell r="BG22">
            <v>0.55844155844155852</v>
          </cell>
          <cell r="BH22">
            <v>1.7241379310344973E-2</v>
          </cell>
          <cell r="BI22">
            <v>0.41037735849056611</v>
          </cell>
          <cell r="BK22" t="str">
            <v>NM</v>
          </cell>
          <cell r="BL22" t="str">
            <v>NM</v>
          </cell>
          <cell r="BM22" t="str">
            <v>NM</v>
          </cell>
          <cell r="BO22">
            <v>-1.6326530612244872E-2</v>
          </cell>
          <cell r="BP22">
            <v>0.21748554913294793</v>
          </cell>
          <cell r="BQ22">
            <v>0.10770410118819473</v>
          </cell>
          <cell r="BS22" t="str">
            <v xml:space="preserve"> 4Q</v>
          </cell>
          <cell r="BT22">
            <v>0.24528301886792447</v>
          </cell>
          <cell r="BU22">
            <v>0.12915699922660462</v>
          </cell>
          <cell r="BV22">
            <v>0.1520794537554313</v>
          </cell>
          <cell r="BX22">
            <v>0.37085137085137099</v>
          </cell>
          <cell r="BY22">
            <v>0.14423076923076916</v>
          </cell>
          <cell r="BZ22">
            <v>0.31853496115427316</v>
          </cell>
          <cell r="CB22">
            <v>0</v>
          </cell>
          <cell r="CC22">
            <v>0.12903225806451624</v>
          </cell>
          <cell r="CD22">
            <v>7.4074074074074181E-2</v>
          </cell>
          <cell r="CJ22">
            <v>0.25714285714285712</v>
          </cell>
          <cell r="CK22">
            <v>0</v>
          </cell>
          <cell r="CL22">
            <v>0.21428571428571419</v>
          </cell>
          <cell r="CN22">
            <v>7.4688796680497882E-2</v>
          </cell>
          <cell r="CO22">
            <v>-6.8965517241379226E-2</v>
          </cell>
          <cell r="CP22">
            <v>5.9259259259259123E-2</v>
          </cell>
          <cell r="CR22">
            <v>-0.19230769230769229</v>
          </cell>
          <cell r="CS22">
            <v>-0.25</v>
          </cell>
          <cell r="CT22">
            <v>-0.19999999999999996</v>
          </cell>
          <cell r="CV22" t="str">
            <v xml:space="preserve"> 4Q</v>
          </cell>
          <cell r="CX22">
            <v>-3.703703703703709E-2</v>
          </cell>
          <cell r="CY22" t="str">
            <v>NM</v>
          </cell>
          <cell r="CZ22">
            <v>-3.703703703703709E-2</v>
          </cell>
          <cell r="DB22">
            <v>0.19999999999999996</v>
          </cell>
          <cell r="DC22">
            <v>0</v>
          </cell>
          <cell r="DD22">
            <v>0.18181818181818188</v>
          </cell>
          <cell r="DF22">
            <v>0.22222222222222232</v>
          </cell>
          <cell r="DG22">
            <v>0.125</v>
          </cell>
          <cell r="DH22">
            <v>0.17647058823529416</v>
          </cell>
          <cell r="DJ22">
            <v>-1.508916323731091E-2</v>
          </cell>
          <cell r="DK22">
            <v>-8.8102893890675049E-2</v>
          </cell>
          <cell r="DL22">
            <v>-6.4798598949211583E-2</v>
          </cell>
          <cell r="DN22">
            <v>0.12557147211216102</v>
          </cell>
          <cell r="DO22">
            <v>2.726008344923514E-2</v>
          </cell>
          <cell r="DP22">
            <v>7.4171029668411936E-2</v>
          </cell>
          <cell r="DR22" t="str">
            <v xml:space="preserve"> 4Q</v>
          </cell>
          <cell r="DS22">
            <v>5.1565377532228451E-2</v>
          </cell>
          <cell r="DT22">
            <v>0.18018018018018012</v>
          </cell>
          <cell r="DU22">
            <v>0.13137665967854661</v>
          </cell>
          <cell r="DW22">
            <v>-0.14973262032085555</v>
          </cell>
          <cell r="DX22">
            <v>0.35774058577405876</v>
          </cell>
          <cell r="DY22">
            <v>0.13497652582159647</v>
          </cell>
          <cell r="EA22">
            <v>-8.4745762711864403E-2</v>
          </cell>
          <cell r="EB22">
            <v>-8.9126559714794995E-2</v>
          </cell>
          <cell r="EC22">
            <v>-8.8709677419354871E-2</v>
          </cell>
          <cell r="EE22">
            <v>-0.25</v>
          </cell>
          <cell r="EF22">
            <v>-9.0909090909090939E-2</v>
          </cell>
          <cell r="EG22">
            <v>-0.10416666666666663</v>
          </cell>
          <cell r="EI22">
            <v>-0.15412186379928305</v>
          </cell>
          <cell r="EJ22">
            <v>0.33333333333333326</v>
          </cell>
          <cell r="EK22">
            <v>-9.0342679127725756E-2</v>
          </cell>
          <cell r="EM22" t="str">
            <v xml:space="preserve"> 4Q</v>
          </cell>
          <cell r="EN22">
            <v>0.11458333333333326</v>
          </cell>
          <cell r="EO22">
            <v>8.4905660377358583E-2</v>
          </cell>
          <cell r="EP22">
            <v>9.9009900990099098E-2</v>
          </cell>
          <cell r="ER22">
            <v>-0.16666666666666663</v>
          </cell>
          <cell r="ES22">
            <v>9.0909090909090828E-2</v>
          </cell>
          <cell r="ET22">
            <v>-4.3478260869565188E-2</v>
          </cell>
          <cell r="EV22" t="str">
            <v>NM</v>
          </cell>
          <cell r="EW22">
            <v>0.71428571428571419</v>
          </cell>
          <cell r="EX22">
            <v>0.71428571428571419</v>
          </cell>
          <cell r="EZ22">
            <v>-4.4247787610617317E-3</v>
          </cell>
          <cell r="FA22">
            <v>6.6993464052287788E-2</v>
          </cell>
          <cell r="FB22">
            <v>4.7732696897374804E-2</v>
          </cell>
          <cell r="FD22">
            <v>-5.526770293609673E-2</v>
          </cell>
          <cell r="FE22">
            <v>0.12289013917678404</v>
          </cell>
          <cell r="FF22">
            <v>6.2377786468517771E-2</v>
          </cell>
          <cell r="FH22">
            <v>3.6957686127477185E-2</v>
          </cell>
          <cell r="FI22">
            <v>0.11447638603696109</v>
          </cell>
          <cell r="FJ22">
            <v>8.0834495583449684E-2</v>
          </cell>
        </row>
        <row r="24">
          <cell r="A24" t="str">
            <v>1995/94</v>
          </cell>
          <cell r="B24" t="str">
            <v>NM</v>
          </cell>
          <cell r="C24" t="str">
            <v>NM</v>
          </cell>
          <cell r="D24" t="str">
            <v>NM</v>
          </cell>
          <cell r="F24" t="str">
            <v>NM</v>
          </cell>
          <cell r="G24" t="str">
            <v>NM</v>
          </cell>
          <cell r="H24" t="str">
            <v>NM</v>
          </cell>
          <cell r="J24">
            <v>0.34975845410628015</v>
          </cell>
          <cell r="K24">
            <v>0.38030424339471569</v>
          </cell>
          <cell r="L24">
            <v>0.36646234676007006</v>
          </cell>
          <cell r="N24">
            <v>-0.375</v>
          </cell>
          <cell r="O24">
            <v>0.10256410256410264</v>
          </cell>
          <cell r="P24">
            <v>-0.19417475728155342</v>
          </cell>
          <cell r="R24">
            <v>0.11877294179339271</v>
          </cell>
          <cell r="S24">
            <v>5.6402439024390238E-2</v>
          </cell>
          <cell r="T24">
            <v>0.10961968680089496</v>
          </cell>
          <cell r="V24">
            <v>1.3825136612021858</v>
          </cell>
          <cell r="W24">
            <v>0.68965517241379337</v>
          </cell>
          <cell r="X24">
            <v>1.2494481236203092</v>
          </cell>
          <cell r="AD24">
            <v>0.50857142857142845</v>
          </cell>
          <cell r="AE24">
            <v>0.52</v>
          </cell>
          <cell r="AF24">
            <v>0.50933333333333342</v>
          </cell>
          <cell r="AH24" t="str">
            <v>1995/94</v>
          </cell>
          <cell r="AI24" t="str">
            <v>NM</v>
          </cell>
          <cell r="AJ24">
            <v>9.375E-2</v>
          </cell>
          <cell r="AK24">
            <v>9.375E-2</v>
          </cell>
          <cell r="AM24">
            <v>-3.7698412698412676E-2</v>
          </cell>
          <cell r="AN24" t="str">
            <v>NM</v>
          </cell>
          <cell r="AO24">
            <v>0.14230019493177393</v>
          </cell>
          <cell r="AQ24">
            <v>0.15625</v>
          </cell>
          <cell r="AR24">
            <v>0.23493975903614461</v>
          </cell>
          <cell r="AS24">
            <v>0.20610687022900764</v>
          </cell>
          <cell r="AU24">
            <v>0.15625</v>
          </cell>
          <cell r="AV24">
            <v>0.23493975903614461</v>
          </cell>
          <cell r="AW24">
            <v>0.20610687022900764</v>
          </cell>
          <cell r="AY24">
            <v>-6.8434718100889969E-2</v>
          </cell>
          <cell r="AZ24">
            <v>0.16026661360923189</v>
          </cell>
          <cell r="BA24">
            <v>8.0419580419580194E-2</v>
          </cell>
          <cell r="BC24">
            <v>6.7109436954797763E-2</v>
          </cell>
          <cell r="BD24">
            <v>0.19553229273763906</v>
          </cell>
          <cell r="BE24">
            <v>0.13320825515947488</v>
          </cell>
          <cell r="BG24">
            <v>1.3825136612021858</v>
          </cell>
          <cell r="BH24">
            <v>0.68965517241379337</v>
          </cell>
          <cell r="BI24">
            <v>1.2494481236203092</v>
          </cell>
          <cell r="BK24" t="str">
            <v>NM</v>
          </cell>
          <cell r="BL24" t="str">
            <v>NM</v>
          </cell>
          <cell r="BM24" t="str">
            <v>NM</v>
          </cell>
          <cell r="BO24">
            <v>6.7109436954797763E-2</v>
          </cell>
          <cell r="BP24">
            <v>0.19553229273763906</v>
          </cell>
          <cell r="BQ24">
            <v>0.13320825515947488</v>
          </cell>
          <cell r="BS24" t="str">
            <v>Year</v>
          </cell>
          <cell r="BT24">
            <v>0.11667859699355776</v>
          </cell>
          <cell r="BU24">
            <v>0.19153439153439145</v>
          </cell>
          <cell r="BV24">
            <v>0.17445279320483498</v>
          </cell>
          <cell r="BX24">
            <v>4.2958244869072848E-2</v>
          </cell>
          <cell r="BY24">
            <v>0.11185086551264978</v>
          </cell>
          <cell r="BZ24">
            <v>5.7422421023203718E-2</v>
          </cell>
          <cell r="CB24">
            <v>0</v>
          </cell>
          <cell r="CC24">
            <v>0.10370370370370363</v>
          </cell>
          <cell r="CD24">
            <v>6.3926940639269514E-2</v>
          </cell>
          <cell r="CJ24">
            <v>0.13925233644859825</v>
          </cell>
          <cell r="CK24">
            <v>0.95384615384615379</v>
          </cell>
          <cell r="CL24">
            <v>0.22750000000000004</v>
          </cell>
          <cell r="CN24">
            <v>6.7613636363636376E-2</v>
          </cell>
          <cell r="CO24">
            <v>1.5463917525773141E-2</v>
          </cell>
          <cell r="CP24">
            <v>6.3807373965387493E-2</v>
          </cell>
          <cell r="CR24">
            <v>-0.14646464646464652</v>
          </cell>
          <cell r="CS24">
            <v>-0.29000000000000004</v>
          </cell>
          <cell r="CT24">
            <v>-0.15963302752293584</v>
          </cell>
          <cell r="CV24" t="str">
            <v>Year</v>
          </cell>
          <cell r="CX24">
            <v>-7.0329670329670413E-2</v>
          </cell>
          <cell r="CY24" t="str">
            <v>NM</v>
          </cell>
          <cell r="CZ24">
            <v>-7.0329670329670413E-2</v>
          </cell>
          <cell r="DB24">
            <v>0.16949152542372881</v>
          </cell>
          <cell r="DC24">
            <v>1</v>
          </cell>
          <cell r="DD24">
            <v>0.19672131147540983</v>
          </cell>
          <cell r="DF24">
            <v>-0.10810810810810811</v>
          </cell>
          <cell r="DG24">
            <v>0.92307692307692313</v>
          </cell>
          <cell r="DH24">
            <v>0.15999999999999992</v>
          </cell>
          <cell r="DJ24">
            <v>5.319594830597274E-2</v>
          </cell>
          <cell r="DK24">
            <v>0.14847242157063789</v>
          </cell>
          <cell r="DL24">
            <v>0.11322997416020719</v>
          </cell>
          <cell r="DN24">
            <v>3.9731051344743307E-2</v>
          </cell>
          <cell r="DO24">
            <v>0.17155993431855499</v>
          </cell>
          <cell r="DP24">
            <v>0.1032768719328796</v>
          </cell>
          <cell r="DR24" t="str">
            <v>1995/94</v>
          </cell>
          <cell r="DS24">
            <v>-1.1421319796954155E-2</v>
          </cell>
          <cell r="DT24">
            <v>0.16830294530154277</v>
          </cell>
          <cell r="DU24">
            <v>0.10433604336043367</v>
          </cell>
          <cell r="DW24">
            <v>-0.11954331766286108</v>
          </cell>
          <cell r="DX24">
            <v>0.15184135977337099</v>
          </cell>
          <cell r="DY24">
            <v>2.7658266748617155E-2</v>
          </cell>
          <cell r="EA24">
            <v>-5.4054054054054168E-2</v>
          </cell>
          <cell r="EB24">
            <v>-4.3371118777723039E-2</v>
          </cell>
          <cell r="EC24">
            <v>-4.4424700133274264E-2</v>
          </cell>
          <cell r="EE24">
            <v>-0.29411764705882348</v>
          </cell>
          <cell r="EF24">
            <v>-3.1645569620253111E-2</v>
          </cell>
          <cell r="EG24">
            <v>-5.7142857142857162E-2</v>
          </cell>
          <cell r="EI24">
            <v>-9.7087378640776656E-2</v>
          </cell>
          <cell r="EJ24">
            <v>-0.10126582278481022</v>
          </cell>
          <cell r="EK24">
            <v>-9.7643097643097532E-2</v>
          </cell>
          <cell r="EM24" t="str">
            <v>1995/94</v>
          </cell>
          <cell r="EN24">
            <v>1.3725490196078383E-2</v>
          </cell>
          <cell r="EO24">
            <v>9.2838196286472385E-2</v>
          </cell>
          <cell r="EP24">
            <v>4.7350620067643678E-2</v>
          </cell>
          <cell r="ER24">
            <v>-0.22884615384615381</v>
          </cell>
          <cell r="ES24">
            <v>5.0000000000000044E-2</v>
          </cell>
          <cell r="ET24">
            <v>-0.10760869565217401</v>
          </cell>
          <cell r="EV24" t="str">
            <v>NM</v>
          </cell>
          <cell r="EW24">
            <v>0.76744186046511631</v>
          </cell>
          <cell r="EX24">
            <v>0.76744186046511631</v>
          </cell>
          <cell r="EZ24">
            <v>-5.3003533568904082E-2</v>
          </cell>
          <cell r="FA24">
            <v>0.17895224849327751</v>
          </cell>
          <cell r="FB24">
            <v>0.1134397870924817</v>
          </cell>
          <cell r="FD24">
            <v>-8.0898523405592004E-2</v>
          </cell>
          <cell r="FE24">
            <v>0.11618998978549544</v>
          </cell>
          <cell r="FF24">
            <v>4.6925030363254905E-2</v>
          </cell>
          <cell r="FH24">
            <v>2.3085776183061402E-2</v>
          </cell>
          <cell r="FI24">
            <v>0.16018136136540839</v>
          </cell>
          <cell r="FJ24">
            <v>9.7065561252318133E-2</v>
          </cell>
        </row>
        <row r="26">
          <cell r="A26" t="str">
            <v xml:space="preserve">1995 </v>
          </cell>
          <cell r="AH26" t="str">
            <v xml:space="preserve">1995 </v>
          </cell>
          <cell r="BB26">
            <v>0</v>
          </cell>
          <cell r="BS26" t="str">
            <v xml:space="preserve">1995 </v>
          </cell>
          <cell r="CV26" t="str">
            <v xml:space="preserve">1995 </v>
          </cell>
          <cell r="DR26" t="str">
            <v xml:space="preserve">1995 </v>
          </cell>
          <cell r="EM26" t="str">
            <v xml:space="preserve">1995 </v>
          </cell>
        </row>
        <row r="27">
          <cell r="A27" t="str">
            <v xml:space="preserve"> 1Q</v>
          </cell>
          <cell r="B27">
            <v>0</v>
          </cell>
          <cell r="C27">
            <v>0</v>
          </cell>
          <cell r="D27">
            <v>0</v>
          </cell>
          <cell r="F27">
            <v>0</v>
          </cell>
          <cell r="G27">
            <v>0</v>
          </cell>
          <cell r="H27">
            <v>0</v>
          </cell>
          <cell r="J27">
            <v>40.9</v>
          </cell>
          <cell r="K27">
            <v>37.1</v>
          </cell>
          <cell r="L27">
            <v>78</v>
          </cell>
          <cell r="N27">
            <v>40</v>
          </cell>
          <cell r="O27">
            <v>30</v>
          </cell>
          <cell r="P27">
            <v>70</v>
          </cell>
          <cell r="R27">
            <v>54.7</v>
          </cell>
          <cell r="S27">
            <v>7.8</v>
          </cell>
          <cell r="T27">
            <v>62.5</v>
          </cell>
          <cell r="V27">
            <v>19.3</v>
          </cell>
          <cell r="W27">
            <v>1.9</v>
          </cell>
          <cell r="X27">
            <v>21.2</v>
          </cell>
          <cell r="AD27">
            <v>26.2</v>
          </cell>
          <cell r="AE27">
            <v>1.1000000000000001</v>
          </cell>
          <cell r="AF27">
            <v>27.3</v>
          </cell>
          <cell r="AH27" t="str">
            <v xml:space="preserve"> 1Q</v>
          </cell>
          <cell r="AI27">
            <v>0</v>
          </cell>
          <cell r="AJ27">
            <v>32</v>
          </cell>
          <cell r="AK27">
            <v>32</v>
          </cell>
          <cell r="AM27">
            <v>15.3</v>
          </cell>
          <cell r="AN27">
            <v>1.6</v>
          </cell>
          <cell r="AO27">
            <v>16.900000000000002</v>
          </cell>
          <cell r="AQ27">
            <v>25</v>
          </cell>
          <cell r="AR27">
            <v>49</v>
          </cell>
          <cell r="AS27">
            <v>74</v>
          </cell>
          <cell r="AU27">
            <v>25</v>
          </cell>
          <cell r="AV27">
            <v>49</v>
          </cell>
          <cell r="AW27">
            <v>74</v>
          </cell>
          <cell r="AY27">
            <v>55.899999999999991</v>
          </cell>
          <cell r="AZ27">
            <v>144.89999999999995</v>
          </cell>
          <cell r="BA27">
            <v>200.79999999999995</v>
          </cell>
          <cell r="BC27">
            <v>277.3</v>
          </cell>
          <cell r="BD27">
            <v>305.39999999999998</v>
          </cell>
          <cell r="BE27">
            <v>582.70000000000005</v>
          </cell>
          <cell r="BG27">
            <v>19.3</v>
          </cell>
          <cell r="BH27">
            <v>1.9</v>
          </cell>
          <cell r="BI27">
            <v>21.2</v>
          </cell>
          <cell r="BK27">
            <v>0</v>
          </cell>
          <cell r="BL27">
            <v>0</v>
          </cell>
          <cell r="BM27">
            <v>0</v>
          </cell>
          <cell r="BO27">
            <v>277.3</v>
          </cell>
          <cell r="BP27">
            <v>305.39999999999998</v>
          </cell>
          <cell r="BQ27">
            <v>582.70000000000005</v>
          </cell>
          <cell r="BS27" t="str">
            <v xml:space="preserve"> 1Q</v>
          </cell>
          <cell r="BT27">
            <v>31.3</v>
          </cell>
          <cell r="BU27">
            <v>122.2</v>
          </cell>
          <cell r="BV27">
            <v>153.5</v>
          </cell>
          <cell r="BX27">
            <v>57.54</v>
          </cell>
          <cell r="BY27">
            <v>18</v>
          </cell>
          <cell r="BZ27">
            <v>75.539999999999992</v>
          </cell>
          <cell r="CB27">
            <v>19</v>
          </cell>
          <cell r="CC27">
            <v>36</v>
          </cell>
          <cell r="CD27">
            <v>55</v>
          </cell>
          <cell r="CJ27">
            <v>22.8</v>
          </cell>
          <cell r="CK27">
            <v>7</v>
          </cell>
          <cell r="CL27">
            <v>29.8</v>
          </cell>
          <cell r="CN27">
            <v>27.93</v>
          </cell>
          <cell r="CO27">
            <v>2.0499999999999998</v>
          </cell>
          <cell r="CP27">
            <v>29.98</v>
          </cell>
          <cell r="CR27">
            <v>21</v>
          </cell>
          <cell r="CS27">
            <v>1</v>
          </cell>
          <cell r="CT27">
            <v>22</v>
          </cell>
          <cell r="CV27" t="str">
            <v xml:space="preserve"> 1Q</v>
          </cell>
          <cell r="CX27">
            <v>21</v>
          </cell>
          <cell r="CY27">
            <v>0</v>
          </cell>
          <cell r="CZ27">
            <v>21</v>
          </cell>
          <cell r="DB27">
            <v>18</v>
          </cell>
          <cell r="DC27">
            <v>1</v>
          </cell>
          <cell r="DD27">
            <v>19</v>
          </cell>
          <cell r="DF27">
            <v>7</v>
          </cell>
          <cell r="DG27">
            <v>6</v>
          </cell>
          <cell r="DH27">
            <v>13</v>
          </cell>
          <cell r="DJ27">
            <v>58.629999999999967</v>
          </cell>
          <cell r="DK27">
            <v>137.38</v>
          </cell>
          <cell r="DL27">
            <v>196.00999999999996</v>
          </cell>
          <cell r="DN27">
            <v>284.2</v>
          </cell>
          <cell r="DO27">
            <v>330.63</v>
          </cell>
          <cell r="DP27">
            <v>614.82999999999993</v>
          </cell>
          <cell r="DR27" t="str">
            <v xml:space="preserve"> 1Q</v>
          </cell>
          <cell r="DS27">
            <v>21.6</v>
          </cell>
          <cell r="DT27">
            <v>77.8</v>
          </cell>
          <cell r="DU27">
            <v>99.4</v>
          </cell>
          <cell r="DW27">
            <v>27.1</v>
          </cell>
          <cell r="DX27">
            <v>37.299999999999997</v>
          </cell>
          <cell r="DY27">
            <v>64.400000000000006</v>
          </cell>
          <cell r="EA27">
            <v>4.5999999999999996</v>
          </cell>
          <cell r="EB27">
            <v>40.799999999999997</v>
          </cell>
          <cell r="EC27">
            <v>45.4</v>
          </cell>
          <cell r="EE27">
            <v>3</v>
          </cell>
          <cell r="EF27">
            <v>36</v>
          </cell>
          <cell r="EG27">
            <v>39</v>
          </cell>
          <cell r="EI27">
            <v>21.1</v>
          </cell>
          <cell r="EJ27">
            <v>2.2999999999999998</v>
          </cell>
          <cell r="EK27">
            <v>23.400000000000002</v>
          </cell>
          <cell r="EM27" t="str">
            <v xml:space="preserve"> 1Q</v>
          </cell>
          <cell r="EN27">
            <v>15.9</v>
          </cell>
          <cell r="EO27">
            <v>8.6999999999999993</v>
          </cell>
          <cell r="EP27">
            <v>24.6</v>
          </cell>
          <cell r="ER27">
            <v>9</v>
          </cell>
          <cell r="ES27">
            <v>9</v>
          </cell>
          <cell r="ET27">
            <v>18</v>
          </cell>
          <cell r="EV27">
            <v>0</v>
          </cell>
          <cell r="EW27">
            <v>14</v>
          </cell>
          <cell r="EX27">
            <v>14</v>
          </cell>
          <cell r="EZ27">
            <v>14.800000000000004</v>
          </cell>
          <cell r="FA27">
            <v>63.799999999999955</v>
          </cell>
          <cell r="FB27">
            <v>78.599999999999966</v>
          </cell>
          <cell r="FD27">
            <v>117.1</v>
          </cell>
          <cell r="FE27">
            <v>289.7</v>
          </cell>
          <cell r="FF27">
            <v>406.79999999999995</v>
          </cell>
          <cell r="FH27">
            <v>678.6</v>
          </cell>
          <cell r="FI27">
            <v>925.73</v>
          </cell>
          <cell r="FJ27">
            <v>1604.33</v>
          </cell>
        </row>
        <row r="28">
          <cell r="A28" t="str">
            <v xml:space="preserve"> 2Q</v>
          </cell>
          <cell r="B28">
            <v>0</v>
          </cell>
          <cell r="C28">
            <v>0</v>
          </cell>
          <cell r="D28">
            <v>0</v>
          </cell>
          <cell r="F28">
            <v>0</v>
          </cell>
          <cell r="G28">
            <v>0</v>
          </cell>
          <cell r="H28">
            <v>0</v>
          </cell>
          <cell r="J28">
            <v>45.7</v>
          </cell>
          <cell r="K28">
            <v>39.5</v>
          </cell>
          <cell r="L28">
            <v>85.2</v>
          </cell>
          <cell r="N28">
            <v>34</v>
          </cell>
          <cell r="O28">
            <v>34</v>
          </cell>
          <cell r="P28">
            <v>68</v>
          </cell>
          <cell r="R28">
            <v>58</v>
          </cell>
          <cell r="S28">
            <v>8.6</v>
          </cell>
          <cell r="T28">
            <v>66.599999999999994</v>
          </cell>
          <cell r="V28">
            <v>23.8</v>
          </cell>
          <cell r="W28">
            <v>3</v>
          </cell>
          <cell r="X28">
            <v>26.8</v>
          </cell>
          <cell r="AD28">
            <v>23.1</v>
          </cell>
          <cell r="AE28">
            <v>1.5</v>
          </cell>
          <cell r="AF28">
            <v>24.6</v>
          </cell>
          <cell r="AH28" t="str">
            <v xml:space="preserve"> 2Q</v>
          </cell>
          <cell r="AI28">
            <v>0</v>
          </cell>
          <cell r="AJ28">
            <v>33</v>
          </cell>
          <cell r="AK28">
            <v>33</v>
          </cell>
          <cell r="AM28">
            <v>24.9</v>
          </cell>
          <cell r="AN28">
            <v>2.2000000000000002</v>
          </cell>
          <cell r="AO28">
            <v>27.099999999999998</v>
          </cell>
          <cell r="AQ28">
            <v>27</v>
          </cell>
          <cell r="AR28">
            <v>56</v>
          </cell>
          <cell r="AS28">
            <v>83</v>
          </cell>
          <cell r="AU28">
            <v>27</v>
          </cell>
          <cell r="AV28">
            <v>56</v>
          </cell>
          <cell r="AW28">
            <v>83</v>
          </cell>
          <cell r="AY28">
            <v>71.100000000000023</v>
          </cell>
          <cell r="AZ28">
            <v>151.50000000000003</v>
          </cell>
          <cell r="BA28">
            <v>222.60000000000005</v>
          </cell>
          <cell r="BC28">
            <v>307.60000000000002</v>
          </cell>
          <cell r="BD28">
            <v>329.3</v>
          </cell>
          <cell r="BE28">
            <v>636.90000000000009</v>
          </cell>
          <cell r="BG28">
            <v>23.8</v>
          </cell>
          <cell r="BH28">
            <v>3</v>
          </cell>
          <cell r="BI28">
            <v>26.8</v>
          </cell>
          <cell r="BK28">
            <v>0</v>
          </cell>
          <cell r="BL28">
            <v>0</v>
          </cell>
          <cell r="BM28">
            <v>0</v>
          </cell>
          <cell r="BO28">
            <v>307.60000000000002</v>
          </cell>
          <cell r="BP28">
            <v>329.3</v>
          </cell>
          <cell r="BQ28">
            <v>636.90000000000009</v>
          </cell>
          <cell r="BS28" t="str">
            <v xml:space="preserve"> 2Q</v>
          </cell>
          <cell r="BT28">
            <v>39.200000000000003</v>
          </cell>
          <cell r="BU28">
            <v>151.1</v>
          </cell>
          <cell r="BV28">
            <v>190.3</v>
          </cell>
          <cell r="BX28">
            <v>69.7</v>
          </cell>
          <cell r="BY28">
            <v>21.7</v>
          </cell>
          <cell r="BZ28">
            <v>91.4</v>
          </cell>
          <cell r="CB28">
            <v>22</v>
          </cell>
          <cell r="CC28">
            <v>45</v>
          </cell>
          <cell r="CD28">
            <v>67</v>
          </cell>
          <cell r="CJ28">
            <v>19.2</v>
          </cell>
          <cell r="CK28">
            <v>6.7</v>
          </cell>
          <cell r="CL28">
            <v>25.9</v>
          </cell>
          <cell r="CN28">
            <v>38</v>
          </cell>
          <cell r="CO28">
            <v>2.7</v>
          </cell>
          <cell r="CP28">
            <v>40.700000000000003</v>
          </cell>
          <cell r="CR28">
            <v>21</v>
          </cell>
          <cell r="CS28">
            <v>2</v>
          </cell>
          <cell r="CT28">
            <v>23</v>
          </cell>
          <cell r="CV28" t="str">
            <v xml:space="preserve"> 2Q</v>
          </cell>
          <cell r="CX28">
            <v>20</v>
          </cell>
          <cell r="CY28">
            <v>0</v>
          </cell>
          <cell r="CZ28">
            <v>20</v>
          </cell>
          <cell r="DB28">
            <v>22</v>
          </cell>
          <cell r="DC28">
            <v>1</v>
          </cell>
          <cell r="DD28">
            <v>23</v>
          </cell>
          <cell r="DF28">
            <v>7</v>
          </cell>
          <cell r="DG28">
            <v>6</v>
          </cell>
          <cell r="DH28">
            <v>13</v>
          </cell>
          <cell r="DJ28">
            <v>68.900000000000034</v>
          </cell>
          <cell r="DK28">
            <v>140.13000000000002</v>
          </cell>
          <cell r="DL28">
            <v>209.03000000000006</v>
          </cell>
          <cell r="DN28">
            <v>327</v>
          </cell>
          <cell r="DO28">
            <v>376.33</v>
          </cell>
          <cell r="DP28">
            <v>703.32999999999993</v>
          </cell>
          <cell r="DR28" t="str">
            <v xml:space="preserve"> 2Q</v>
          </cell>
          <cell r="DS28">
            <v>17.3</v>
          </cell>
          <cell r="DT28">
            <v>75.8</v>
          </cell>
          <cell r="DU28">
            <v>93.1</v>
          </cell>
          <cell r="DW28">
            <v>40.4</v>
          </cell>
          <cell r="DX28">
            <v>56.3</v>
          </cell>
          <cell r="DY28">
            <v>96.699999999999989</v>
          </cell>
          <cell r="EA28">
            <v>6.3</v>
          </cell>
          <cell r="EB28">
            <v>48.9</v>
          </cell>
          <cell r="EC28">
            <v>55.199999999999996</v>
          </cell>
          <cell r="EE28">
            <v>3</v>
          </cell>
          <cell r="EF28">
            <v>38</v>
          </cell>
          <cell r="EG28">
            <v>41</v>
          </cell>
          <cell r="EI28">
            <v>23.1</v>
          </cell>
          <cell r="EJ28">
            <v>2.9</v>
          </cell>
          <cell r="EK28">
            <v>26</v>
          </cell>
          <cell r="EM28" t="str">
            <v xml:space="preserve"> 2Q</v>
          </cell>
          <cell r="EN28">
            <v>13.9</v>
          </cell>
          <cell r="EO28">
            <v>11.2</v>
          </cell>
          <cell r="EP28">
            <v>25.1</v>
          </cell>
          <cell r="ER28">
            <v>12</v>
          </cell>
          <cell r="ES28">
            <v>10</v>
          </cell>
          <cell r="ET28">
            <v>22</v>
          </cell>
          <cell r="EV28">
            <v>0</v>
          </cell>
          <cell r="EW28">
            <v>18</v>
          </cell>
          <cell r="EX28">
            <v>18</v>
          </cell>
          <cell r="EZ28">
            <v>15.800000000000026</v>
          </cell>
          <cell r="FA28">
            <v>66.499999999999986</v>
          </cell>
          <cell r="FB28">
            <v>82.300000000000011</v>
          </cell>
          <cell r="FD28">
            <v>131.80000000000001</v>
          </cell>
          <cell r="FE28">
            <v>327.60000000000002</v>
          </cell>
          <cell r="FF28">
            <v>459.40000000000003</v>
          </cell>
          <cell r="FH28">
            <v>766.40000000000009</v>
          </cell>
          <cell r="FI28">
            <v>1033.23</v>
          </cell>
          <cell r="FJ28">
            <v>1799.63</v>
          </cell>
        </row>
        <row r="29">
          <cell r="A29" t="str">
            <v xml:space="preserve"> 3Q</v>
          </cell>
          <cell r="B29">
            <v>0</v>
          </cell>
          <cell r="C29">
            <v>0</v>
          </cell>
          <cell r="D29">
            <v>0</v>
          </cell>
          <cell r="F29">
            <v>0</v>
          </cell>
          <cell r="G29">
            <v>0</v>
          </cell>
          <cell r="H29">
            <v>0</v>
          </cell>
          <cell r="J29">
            <v>22.6</v>
          </cell>
          <cell r="K29">
            <v>43.6</v>
          </cell>
          <cell r="L29">
            <v>66.2</v>
          </cell>
          <cell r="N29">
            <v>25</v>
          </cell>
          <cell r="O29">
            <v>31</v>
          </cell>
          <cell r="P29">
            <v>56</v>
          </cell>
          <cell r="R29">
            <v>51.15</v>
          </cell>
          <cell r="S29">
            <v>8.75</v>
          </cell>
          <cell r="T29">
            <v>59.9</v>
          </cell>
          <cell r="V29">
            <v>20.100000000000001</v>
          </cell>
          <cell r="W29">
            <v>3.9</v>
          </cell>
          <cell r="X29">
            <v>24</v>
          </cell>
          <cell r="AD29">
            <v>29.3</v>
          </cell>
          <cell r="AE29">
            <v>2</v>
          </cell>
          <cell r="AF29">
            <v>31.3</v>
          </cell>
          <cell r="AH29" t="str">
            <v xml:space="preserve"> 3Q</v>
          </cell>
          <cell r="AI29">
            <v>0</v>
          </cell>
          <cell r="AJ29">
            <v>28.5</v>
          </cell>
          <cell r="AK29">
            <v>28.5</v>
          </cell>
          <cell r="AM29">
            <v>3.3</v>
          </cell>
          <cell r="AN29">
            <v>2.5</v>
          </cell>
          <cell r="AO29">
            <v>5.8</v>
          </cell>
          <cell r="AQ29">
            <v>28</v>
          </cell>
          <cell r="AR29">
            <v>48</v>
          </cell>
          <cell r="AS29">
            <v>76</v>
          </cell>
          <cell r="AU29">
            <v>28</v>
          </cell>
          <cell r="AV29">
            <v>48</v>
          </cell>
          <cell r="AW29">
            <v>76</v>
          </cell>
          <cell r="AY29">
            <v>71.150000000000006</v>
          </cell>
          <cell r="AZ29">
            <v>139.14999999999995</v>
          </cell>
          <cell r="BA29">
            <v>210.29999999999995</v>
          </cell>
          <cell r="BC29">
            <v>250.6</v>
          </cell>
          <cell r="BD29">
            <v>307.39999999999998</v>
          </cell>
          <cell r="BE29">
            <v>558</v>
          </cell>
          <cell r="BG29">
            <v>20.100000000000001</v>
          </cell>
          <cell r="BH29">
            <v>3.9</v>
          </cell>
          <cell r="BI29">
            <v>24</v>
          </cell>
          <cell r="BK29">
            <v>0</v>
          </cell>
          <cell r="BL29">
            <v>0</v>
          </cell>
          <cell r="BM29">
            <v>0</v>
          </cell>
          <cell r="BO29">
            <v>250.6</v>
          </cell>
          <cell r="BP29">
            <v>307.39999999999998</v>
          </cell>
          <cell r="BQ29">
            <v>558</v>
          </cell>
          <cell r="BS29" t="str">
            <v xml:space="preserve"> 3Q</v>
          </cell>
          <cell r="BT29">
            <v>45.9</v>
          </cell>
          <cell r="BU29">
            <v>143.69999999999999</v>
          </cell>
          <cell r="BV29">
            <v>189.6</v>
          </cell>
          <cell r="BX29">
            <v>72.5</v>
          </cell>
          <cell r="BY29">
            <v>20</v>
          </cell>
          <cell r="BZ29">
            <v>92.5</v>
          </cell>
          <cell r="CB29">
            <v>20</v>
          </cell>
          <cell r="CC29">
            <v>33</v>
          </cell>
          <cell r="CD29">
            <v>53</v>
          </cell>
          <cell r="CJ29">
            <v>35.9</v>
          </cell>
          <cell r="CK29">
            <v>4.7</v>
          </cell>
          <cell r="CL29">
            <v>40.6</v>
          </cell>
          <cell r="CN29">
            <v>39.700000000000003</v>
          </cell>
          <cell r="CO29">
            <v>2.4</v>
          </cell>
          <cell r="CP29">
            <v>42.1</v>
          </cell>
          <cell r="CR29">
            <v>21.5</v>
          </cell>
          <cell r="CS29">
            <v>1.1000000000000001</v>
          </cell>
          <cell r="CT29">
            <v>22.6</v>
          </cell>
          <cell r="CV29" t="str">
            <v xml:space="preserve"> 3Q</v>
          </cell>
          <cell r="CX29">
            <v>17.600000000000001</v>
          </cell>
          <cell r="CY29">
            <v>0</v>
          </cell>
          <cell r="CZ29">
            <v>17.600000000000001</v>
          </cell>
          <cell r="DB29">
            <v>17</v>
          </cell>
          <cell r="DC29">
            <v>1</v>
          </cell>
          <cell r="DD29">
            <v>18</v>
          </cell>
          <cell r="DF29">
            <v>8</v>
          </cell>
          <cell r="DG29">
            <v>4</v>
          </cell>
          <cell r="DH29">
            <v>12</v>
          </cell>
          <cell r="DJ29">
            <v>102.20000000000002</v>
          </cell>
          <cell r="DK29">
            <v>140.80000000000001</v>
          </cell>
          <cell r="DL29">
            <v>243.00000000000003</v>
          </cell>
          <cell r="DN29">
            <v>380.3</v>
          </cell>
          <cell r="DO29">
            <v>350.7</v>
          </cell>
          <cell r="DP29">
            <v>731</v>
          </cell>
          <cell r="DR29" t="str">
            <v xml:space="preserve"> 3Q</v>
          </cell>
          <cell r="DS29">
            <v>59.8</v>
          </cell>
          <cell r="DT29">
            <v>74.8</v>
          </cell>
          <cell r="DU29">
            <v>134.6</v>
          </cell>
          <cell r="DW29">
            <v>31.8</v>
          </cell>
          <cell r="DX29">
            <v>44.8</v>
          </cell>
          <cell r="DY29">
            <v>76.599999999999994</v>
          </cell>
          <cell r="EA29">
            <v>4.7</v>
          </cell>
          <cell r="EB29">
            <v>53.3</v>
          </cell>
          <cell r="EC29">
            <v>58</v>
          </cell>
          <cell r="EE29">
            <v>3</v>
          </cell>
          <cell r="EF29">
            <v>39</v>
          </cell>
          <cell r="EG29">
            <v>42</v>
          </cell>
          <cell r="EI29">
            <v>25.2</v>
          </cell>
          <cell r="EJ29">
            <v>3.4</v>
          </cell>
          <cell r="EK29">
            <v>28.599999999999998</v>
          </cell>
          <cell r="EM29" t="str">
            <v xml:space="preserve"> 3Q</v>
          </cell>
          <cell r="EN29">
            <v>11.2</v>
          </cell>
          <cell r="EO29">
            <v>9.8000000000000007</v>
          </cell>
          <cell r="EP29">
            <v>21</v>
          </cell>
          <cell r="ER29">
            <v>9.1</v>
          </cell>
          <cell r="ES29">
            <v>11</v>
          </cell>
          <cell r="ET29">
            <v>20.100000000000001</v>
          </cell>
          <cell r="EV29">
            <v>0</v>
          </cell>
          <cell r="EW29">
            <v>20</v>
          </cell>
          <cell r="EX29">
            <v>20</v>
          </cell>
          <cell r="EZ29">
            <v>27.29999999999999</v>
          </cell>
          <cell r="FA29">
            <v>58.699999999999974</v>
          </cell>
          <cell r="FB29">
            <v>85.999999999999972</v>
          </cell>
          <cell r="FD29">
            <v>172.1</v>
          </cell>
          <cell r="FE29">
            <v>314.8</v>
          </cell>
          <cell r="FF29">
            <v>486.9</v>
          </cell>
          <cell r="FH29">
            <v>803</v>
          </cell>
          <cell r="FI29">
            <v>972.89999999999986</v>
          </cell>
          <cell r="FJ29">
            <v>1775.8999999999999</v>
          </cell>
        </row>
        <row r="30">
          <cell r="A30" t="str">
            <v xml:space="preserve"> 4Q</v>
          </cell>
          <cell r="B30">
            <v>0</v>
          </cell>
          <cell r="C30">
            <v>0</v>
          </cell>
          <cell r="D30">
            <v>0</v>
          </cell>
          <cell r="F30">
            <v>0</v>
          </cell>
          <cell r="G30">
            <v>0</v>
          </cell>
          <cell r="H30">
            <v>0</v>
          </cell>
          <cell r="J30">
            <v>30.5</v>
          </cell>
          <cell r="K30">
            <v>52.2</v>
          </cell>
          <cell r="L30">
            <v>82.7</v>
          </cell>
          <cell r="N30">
            <v>21</v>
          </cell>
          <cell r="O30">
            <v>34</v>
          </cell>
          <cell r="P30">
            <v>55</v>
          </cell>
          <cell r="R30">
            <v>49.5</v>
          </cell>
          <cell r="S30">
            <v>9.5</v>
          </cell>
          <cell r="T30">
            <v>59</v>
          </cell>
          <cell r="V30">
            <v>24</v>
          </cell>
          <cell r="W30">
            <v>5.9</v>
          </cell>
          <cell r="X30">
            <v>29.9</v>
          </cell>
          <cell r="AD30">
            <v>27</v>
          </cell>
          <cell r="AE30">
            <v>3</v>
          </cell>
          <cell r="AF30">
            <v>30</v>
          </cell>
          <cell r="AH30" t="str">
            <v xml:space="preserve"> 4Q</v>
          </cell>
          <cell r="AI30">
            <v>0</v>
          </cell>
          <cell r="AJ30">
            <v>29</v>
          </cell>
          <cell r="AK30">
            <v>29</v>
          </cell>
          <cell r="AM30">
            <v>5</v>
          </cell>
          <cell r="AN30">
            <v>3.8</v>
          </cell>
          <cell r="AO30">
            <v>8.8000000000000007</v>
          </cell>
          <cell r="AQ30">
            <v>31</v>
          </cell>
          <cell r="AR30">
            <v>52</v>
          </cell>
          <cell r="AS30">
            <v>83</v>
          </cell>
          <cell r="AU30">
            <v>31</v>
          </cell>
          <cell r="AV30">
            <v>52</v>
          </cell>
          <cell r="AW30">
            <v>83</v>
          </cell>
          <cell r="AY30">
            <v>53</v>
          </cell>
          <cell r="AZ30">
            <v>147.6</v>
          </cell>
          <cell r="BA30">
            <v>200.6</v>
          </cell>
          <cell r="BC30">
            <v>241</v>
          </cell>
          <cell r="BD30">
            <v>337</v>
          </cell>
          <cell r="BE30">
            <v>578</v>
          </cell>
          <cell r="BG30">
            <v>24</v>
          </cell>
          <cell r="BH30">
            <v>5.9</v>
          </cell>
          <cell r="BI30">
            <v>29.9</v>
          </cell>
          <cell r="BK30">
            <v>0</v>
          </cell>
          <cell r="BL30">
            <v>0</v>
          </cell>
          <cell r="BM30">
            <v>0</v>
          </cell>
          <cell r="BO30">
            <v>241</v>
          </cell>
          <cell r="BP30">
            <v>337</v>
          </cell>
          <cell r="BQ30">
            <v>578</v>
          </cell>
          <cell r="BS30" t="str">
            <v xml:space="preserve"> 4Q</v>
          </cell>
          <cell r="BT30">
            <v>39.6</v>
          </cell>
          <cell r="BU30">
            <v>146</v>
          </cell>
          <cell r="BV30">
            <v>185.6</v>
          </cell>
          <cell r="BX30">
            <v>95</v>
          </cell>
          <cell r="BY30">
            <v>23.8</v>
          </cell>
          <cell r="BZ30">
            <v>118.8</v>
          </cell>
          <cell r="CB30">
            <v>23</v>
          </cell>
          <cell r="CC30">
            <v>35</v>
          </cell>
          <cell r="CD30">
            <v>58</v>
          </cell>
          <cell r="CJ30">
            <v>44</v>
          </cell>
          <cell r="CK30">
            <v>7</v>
          </cell>
          <cell r="CL30">
            <v>51</v>
          </cell>
          <cell r="CN30">
            <v>25.9</v>
          </cell>
          <cell r="CO30">
            <v>2.7</v>
          </cell>
          <cell r="CP30">
            <v>28.599999999999998</v>
          </cell>
          <cell r="CR30">
            <v>21</v>
          </cell>
          <cell r="CS30">
            <v>3</v>
          </cell>
          <cell r="CT30">
            <v>24</v>
          </cell>
          <cell r="CV30" t="str">
            <v xml:space="preserve"> 4Q</v>
          </cell>
          <cell r="CX30">
            <v>26</v>
          </cell>
          <cell r="CY30">
            <v>0</v>
          </cell>
          <cell r="CZ30">
            <v>26</v>
          </cell>
          <cell r="DB30">
            <v>12</v>
          </cell>
          <cell r="DC30">
            <v>1</v>
          </cell>
          <cell r="DD30">
            <v>13</v>
          </cell>
          <cell r="DF30">
            <v>11</v>
          </cell>
          <cell r="DG30">
            <v>9</v>
          </cell>
          <cell r="DH30">
            <v>20</v>
          </cell>
          <cell r="DJ30">
            <v>71.799999999999983</v>
          </cell>
          <cell r="DK30">
            <v>141.80000000000001</v>
          </cell>
          <cell r="DL30">
            <v>213.6</v>
          </cell>
          <cell r="DN30">
            <v>369.3</v>
          </cell>
          <cell r="DO30">
            <v>369.3</v>
          </cell>
          <cell r="DP30">
            <v>738.6</v>
          </cell>
          <cell r="DR30" t="str">
            <v xml:space="preserve"> 4Q</v>
          </cell>
          <cell r="DS30">
            <v>57.1</v>
          </cell>
          <cell r="DT30">
            <v>104.8</v>
          </cell>
          <cell r="DU30">
            <v>161.9</v>
          </cell>
          <cell r="DW30">
            <v>31.8</v>
          </cell>
          <cell r="DX30">
            <v>64.900000000000006</v>
          </cell>
          <cell r="DY30">
            <v>96.7</v>
          </cell>
          <cell r="EA30">
            <v>5.4</v>
          </cell>
          <cell r="EB30">
            <v>51.1</v>
          </cell>
          <cell r="EC30">
            <v>56.5</v>
          </cell>
          <cell r="EE30">
            <v>3</v>
          </cell>
          <cell r="EF30">
            <v>40</v>
          </cell>
          <cell r="EG30">
            <v>43</v>
          </cell>
          <cell r="EI30">
            <v>23.6</v>
          </cell>
          <cell r="EJ30">
            <v>5.6</v>
          </cell>
          <cell r="EK30">
            <v>29.200000000000003</v>
          </cell>
          <cell r="EM30" t="str">
            <v xml:space="preserve"> 4Q</v>
          </cell>
          <cell r="EN30">
            <v>10.7</v>
          </cell>
          <cell r="EO30">
            <v>11.5</v>
          </cell>
          <cell r="EP30">
            <v>22.2</v>
          </cell>
          <cell r="ER30">
            <v>10</v>
          </cell>
          <cell r="ES30">
            <v>12</v>
          </cell>
          <cell r="ET30">
            <v>22</v>
          </cell>
          <cell r="EV30">
            <v>0</v>
          </cell>
          <cell r="EW30">
            <v>24</v>
          </cell>
          <cell r="EX30">
            <v>24</v>
          </cell>
          <cell r="EZ30">
            <v>22.5</v>
          </cell>
          <cell r="FA30">
            <v>65.299999999999983</v>
          </cell>
          <cell r="FB30">
            <v>87.799999999999983</v>
          </cell>
          <cell r="FD30">
            <v>164.1</v>
          </cell>
          <cell r="FE30">
            <v>379.2</v>
          </cell>
          <cell r="FF30">
            <v>543.29999999999995</v>
          </cell>
          <cell r="FH30">
            <v>774.4</v>
          </cell>
          <cell r="FI30">
            <v>1085.5</v>
          </cell>
          <cell r="FJ30">
            <v>1859.9</v>
          </cell>
        </row>
        <row r="32">
          <cell r="A32" t="str">
            <v xml:space="preserve">1995 </v>
          </cell>
          <cell r="B32">
            <v>0</v>
          </cell>
          <cell r="C32">
            <v>0</v>
          </cell>
          <cell r="D32">
            <v>0</v>
          </cell>
          <cell r="F32">
            <v>0</v>
          </cell>
          <cell r="G32">
            <v>0</v>
          </cell>
          <cell r="H32">
            <v>0</v>
          </cell>
          <cell r="J32">
            <v>139.69999999999999</v>
          </cell>
          <cell r="K32">
            <v>172.39999999999998</v>
          </cell>
          <cell r="L32">
            <v>312.09999999999997</v>
          </cell>
          <cell r="N32">
            <v>120</v>
          </cell>
          <cell r="O32">
            <v>129</v>
          </cell>
          <cell r="P32">
            <v>249</v>
          </cell>
          <cell r="R32">
            <v>213.35</v>
          </cell>
          <cell r="S32">
            <v>34.65</v>
          </cell>
          <cell r="T32">
            <v>248</v>
          </cell>
          <cell r="V32">
            <v>87.2</v>
          </cell>
          <cell r="W32">
            <v>14.700000000000001</v>
          </cell>
          <cell r="X32">
            <v>101.9</v>
          </cell>
          <cell r="AD32">
            <v>105.6</v>
          </cell>
          <cell r="AE32">
            <v>7.6</v>
          </cell>
          <cell r="AF32">
            <v>113.2</v>
          </cell>
          <cell r="AH32" t="str">
            <v xml:space="preserve">1995 </v>
          </cell>
          <cell r="AI32" t="str">
            <v>NA</v>
          </cell>
          <cell r="AJ32">
            <v>122.5</v>
          </cell>
          <cell r="AK32">
            <v>122.5</v>
          </cell>
          <cell r="AM32">
            <v>48.5</v>
          </cell>
          <cell r="AN32">
            <v>10.100000000000001</v>
          </cell>
          <cell r="AO32">
            <v>58.599999999999994</v>
          </cell>
          <cell r="AQ32">
            <v>111</v>
          </cell>
          <cell r="AR32">
            <v>205</v>
          </cell>
          <cell r="AS32">
            <v>316</v>
          </cell>
          <cell r="AU32">
            <v>111</v>
          </cell>
          <cell r="AV32">
            <v>205</v>
          </cell>
          <cell r="AW32">
            <v>316</v>
          </cell>
          <cell r="AY32">
            <v>251.15000000000003</v>
          </cell>
          <cell r="AZ32">
            <v>583.15</v>
          </cell>
          <cell r="BA32">
            <v>834.3</v>
          </cell>
          <cell r="BC32">
            <v>1076.5</v>
          </cell>
          <cell r="BD32">
            <v>1279.0999999999999</v>
          </cell>
          <cell r="BE32">
            <v>2355.6000000000004</v>
          </cell>
          <cell r="BG32">
            <v>87.2</v>
          </cell>
          <cell r="BH32">
            <v>14.700000000000001</v>
          </cell>
          <cell r="BI32">
            <v>101.9</v>
          </cell>
          <cell r="BK32">
            <v>0</v>
          </cell>
          <cell r="BL32">
            <v>0</v>
          </cell>
          <cell r="BM32">
            <v>0</v>
          </cell>
          <cell r="BO32">
            <v>1076.5</v>
          </cell>
          <cell r="BP32">
            <v>1279.0999999999999</v>
          </cell>
          <cell r="BQ32">
            <v>2355.6000000000004</v>
          </cell>
          <cell r="BS32" t="str">
            <v>Year</v>
          </cell>
          <cell r="BT32">
            <v>156</v>
          </cell>
          <cell r="BU32">
            <v>563</v>
          </cell>
          <cell r="BV32">
            <v>719</v>
          </cell>
          <cell r="BX32">
            <v>294.74</v>
          </cell>
          <cell r="BY32">
            <v>83.5</v>
          </cell>
          <cell r="BZ32">
            <v>378.24</v>
          </cell>
          <cell r="CB32">
            <v>84</v>
          </cell>
          <cell r="CC32">
            <v>149</v>
          </cell>
          <cell r="CD32">
            <v>233</v>
          </cell>
          <cell r="CJ32">
            <v>121.9</v>
          </cell>
          <cell r="CK32">
            <v>25.4</v>
          </cell>
          <cell r="CL32">
            <v>147.30000000000001</v>
          </cell>
          <cell r="CN32">
            <v>131.53</v>
          </cell>
          <cell r="CO32">
            <v>9.8500000000000014</v>
          </cell>
          <cell r="CP32">
            <v>141.38</v>
          </cell>
          <cell r="CR32">
            <v>84.5</v>
          </cell>
          <cell r="CS32">
            <v>7.1</v>
          </cell>
          <cell r="CT32">
            <v>91.6</v>
          </cell>
          <cell r="CV32" t="str">
            <v>Year</v>
          </cell>
          <cell r="CX32">
            <v>84.6</v>
          </cell>
          <cell r="CY32">
            <v>0</v>
          </cell>
          <cell r="CZ32">
            <v>84.6</v>
          </cell>
          <cell r="DB32">
            <v>69</v>
          </cell>
          <cell r="DC32">
            <v>4</v>
          </cell>
          <cell r="DD32">
            <v>73</v>
          </cell>
          <cell r="DF32">
            <v>33</v>
          </cell>
          <cell r="DG32">
            <v>25</v>
          </cell>
          <cell r="DH32">
            <v>58</v>
          </cell>
          <cell r="DJ32">
            <v>301.52999999999997</v>
          </cell>
          <cell r="DK32">
            <v>560.11</v>
          </cell>
          <cell r="DL32">
            <v>861.6400000000001</v>
          </cell>
          <cell r="DN32">
            <v>1360.8</v>
          </cell>
          <cell r="DO32">
            <v>1426.96</v>
          </cell>
          <cell r="DP32">
            <v>2787.7599999999998</v>
          </cell>
          <cell r="DR32" t="str">
            <v xml:space="preserve">1995 </v>
          </cell>
          <cell r="DS32">
            <v>155.80000000000001</v>
          </cell>
          <cell r="DT32">
            <v>333.2</v>
          </cell>
          <cell r="DU32">
            <v>489</v>
          </cell>
          <cell r="DW32">
            <v>131.1</v>
          </cell>
          <cell r="DX32">
            <v>203.29999999999998</v>
          </cell>
          <cell r="DY32">
            <v>334.4</v>
          </cell>
          <cell r="EA32">
            <v>21</v>
          </cell>
          <cell r="EB32">
            <v>194.1</v>
          </cell>
          <cell r="EC32">
            <v>215.1</v>
          </cell>
          <cell r="EE32">
            <v>12</v>
          </cell>
          <cell r="EF32">
            <v>153</v>
          </cell>
          <cell r="EG32">
            <v>165</v>
          </cell>
          <cell r="EI32">
            <v>93</v>
          </cell>
          <cell r="EJ32">
            <v>14.2</v>
          </cell>
          <cell r="EK32">
            <v>107.2</v>
          </cell>
          <cell r="EM32" t="str">
            <v xml:space="preserve">1995 </v>
          </cell>
          <cell r="EN32">
            <v>51.7</v>
          </cell>
          <cell r="EO32">
            <v>41.2</v>
          </cell>
          <cell r="EP32">
            <v>92.9</v>
          </cell>
          <cell r="ER32">
            <v>40.1</v>
          </cell>
          <cell r="ES32">
            <v>42</v>
          </cell>
          <cell r="ET32">
            <v>82.1</v>
          </cell>
          <cell r="EV32">
            <v>0</v>
          </cell>
          <cell r="EW32">
            <v>76</v>
          </cell>
          <cell r="EX32">
            <v>76</v>
          </cell>
          <cell r="EZ32">
            <v>80.40000000000002</v>
          </cell>
          <cell r="FA32">
            <v>254.29999999999993</v>
          </cell>
          <cell r="FB32">
            <v>334.69999999999993</v>
          </cell>
          <cell r="FD32">
            <v>585.1</v>
          </cell>
          <cell r="FE32">
            <v>1311.3</v>
          </cell>
          <cell r="FF32">
            <v>1896.3999999999999</v>
          </cell>
          <cell r="FH32">
            <v>3022.4</v>
          </cell>
          <cell r="FI32">
            <v>4017.3599999999997</v>
          </cell>
          <cell r="FJ32">
            <v>7039.76</v>
          </cell>
        </row>
        <row r="34">
          <cell r="A34" t="str">
            <v xml:space="preserve">1996/95 </v>
          </cell>
          <cell r="AH34" t="str">
            <v xml:space="preserve">1996/95 </v>
          </cell>
          <cell r="BS34" t="str">
            <v xml:space="preserve">1996/95 </v>
          </cell>
          <cell r="CV34" t="str">
            <v xml:space="preserve">1996/95 </v>
          </cell>
          <cell r="DR34" t="str">
            <v xml:space="preserve">1996/95 </v>
          </cell>
          <cell r="EM34" t="str">
            <v xml:space="preserve">1996/95 </v>
          </cell>
        </row>
        <row r="35">
          <cell r="A35" t="str">
            <v xml:space="preserve"> 1Q</v>
          </cell>
          <cell r="B35" t="str">
            <v>NM</v>
          </cell>
          <cell r="C35" t="str">
            <v>NM</v>
          </cell>
          <cell r="D35" t="str">
            <v>NM</v>
          </cell>
          <cell r="F35" t="str">
            <v>NM</v>
          </cell>
          <cell r="G35" t="str">
            <v>NM</v>
          </cell>
          <cell r="H35" t="str">
            <v>NM</v>
          </cell>
          <cell r="J35">
            <v>0.24938875305623487</v>
          </cell>
          <cell r="K35">
            <v>0.29649595687331542</v>
          </cell>
          <cell r="L35">
            <v>0.27179487179487194</v>
          </cell>
          <cell r="N35">
            <v>-0.4</v>
          </cell>
          <cell r="O35">
            <v>6.6666666666666652E-2</v>
          </cell>
          <cell r="P35">
            <v>-0.19999999999999996</v>
          </cell>
          <cell r="R35">
            <v>0.30712979890310788</v>
          </cell>
          <cell r="S35">
            <v>0.10256410256410264</v>
          </cell>
          <cell r="T35">
            <v>0.28159999999999985</v>
          </cell>
          <cell r="V35">
            <v>1.0362694300518132</v>
          </cell>
          <cell r="W35">
            <v>3.2105263157894735</v>
          </cell>
          <cell r="X35">
            <v>1.2311320754716979</v>
          </cell>
          <cell r="AD35">
            <v>0.46183206106870212</v>
          </cell>
          <cell r="AE35">
            <v>1.0909090909090904</v>
          </cell>
          <cell r="AF35">
            <v>0.487179487179487</v>
          </cell>
          <cell r="AH35" t="str">
            <v xml:space="preserve"> 1Q</v>
          </cell>
          <cell r="AI35" t="str">
            <v>NM</v>
          </cell>
          <cell r="AJ35">
            <v>-0.125</v>
          </cell>
          <cell r="AK35">
            <v>-0.125</v>
          </cell>
          <cell r="AM35">
            <v>-8.496732026143794E-2</v>
          </cell>
          <cell r="AN35">
            <v>1.5</v>
          </cell>
          <cell r="AO35">
            <v>6.5088757396449592E-2</v>
          </cell>
          <cell r="AQ35">
            <v>0.28000000000000003</v>
          </cell>
          <cell r="AR35">
            <v>0.20408163265306123</v>
          </cell>
          <cell r="AS35">
            <v>0.22972972972972983</v>
          </cell>
          <cell r="AU35">
            <v>0.28000000000000003</v>
          </cell>
          <cell r="AV35">
            <v>0.20408163265306123</v>
          </cell>
          <cell r="AW35">
            <v>0.22972972972972983</v>
          </cell>
          <cell r="AY35">
            <v>-4.651162790697716E-2</v>
          </cell>
          <cell r="AZ35">
            <v>6.2111801242239473E-3</v>
          </cell>
          <cell r="BA35">
            <v>-8.4661354581673232E-3</v>
          </cell>
          <cell r="BC35">
            <v>0.1666065632888567</v>
          </cell>
          <cell r="BD35">
            <v>9.9541584806810857E-2</v>
          </cell>
          <cell r="BE35">
            <v>0.13145701046850844</v>
          </cell>
          <cell r="BG35">
            <v>1.0362694300518132</v>
          </cell>
          <cell r="BH35">
            <v>3.2105263157894735</v>
          </cell>
          <cell r="BI35">
            <v>1.2311320754716979</v>
          </cell>
          <cell r="BK35" t="str">
            <v>NM</v>
          </cell>
          <cell r="BL35" t="str">
            <v>NM</v>
          </cell>
          <cell r="BM35" t="str">
            <v>NM</v>
          </cell>
          <cell r="BO35">
            <v>0.1666065632888567</v>
          </cell>
          <cell r="BP35">
            <v>9.9541584806810857E-2</v>
          </cell>
          <cell r="BQ35">
            <v>0.13145701046850844</v>
          </cell>
          <cell r="BS35" t="str">
            <v xml:space="preserve"> 1Q</v>
          </cell>
          <cell r="BT35">
            <v>0.10223642172523961</v>
          </cell>
          <cell r="BU35">
            <v>0.15220949263502459</v>
          </cell>
          <cell r="BV35">
            <v>0.14201954397394134</v>
          </cell>
          <cell r="BX35">
            <v>0.23044838373305532</v>
          </cell>
          <cell r="BY35">
            <v>0.21111111111111125</v>
          </cell>
          <cell r="BZ35">
            <v>0.22584061424410917</v>
          </cell>
          <cell r="CB35">
            <v>0.10526315789473695</v>
          </cell>
          <cell r="CC35">
            <v>0.16666666666666674</v>
          </cell>
          <cell r="CD35">
            <v>0.1454545454545455</v>
          </cell>
          <cell r="CJ35">
            <v>0.30701754385964919</v>
          </cell>
          <cell r="CK35">
            <v>0.19999999999999996</v>
          </cell>
          <cell r="CL35">
            <v>0.28187919463087252</v>
          </cell>
          <cell r="CN35">
            <v>0.18152524167561768</v>
          </cell>
          <cell r="CO35">
            <v>-7.3170731707317027E-2</v>
          </cell>
          <cell r="CP35">
            <v>0.16410940627084725</v>
          </cell>
          <cell r="CR35">
            <v>9.52380952380949E-3</v>
          </cell>
          <cell r="CS35">
            <v>1</v>
          </cell>
          <cell r="CT35">
            <v>5.4545454545454453E-2</v>
          </cell>
          <cell r="CV35" t="str">
            <v xml:space="preserve"> 1Q</v>
          </cell>
          <cell r="CX35">
            <v>0.12857142857142856</v>
          </cell>
          <cell r="CY35" t="str">
            <v>NM</v>
          </cell>
          <cell r="CZ35">
            <v>0.12857142857142856</v>
          </cell>
          <cell r="DB35">
            <v>0.16111111111111098</v>
          </cell>
          <cell r="DC35">
            <v>0</v>
          </cell>
          <cell r="DD35">
            <v>0.15263157894736845</v>
          </cell>
          <cell r="DF35">
            <v>-0.2857142857142857</v>
          </cell>
          <cell r="DG35">
            <v>0.5</v>
          </cell>
          <cell r="DH35">
            <v>7.6923076923076872E-2</v>
          </cell>
          <cell r="DJ35">
            <v>0.19563363465802497</v>
          </cell>
          <cell r="DK35">
            <v>4.7459601106420113E-2</v>
          </cell>
          <cell r="DL35">
            <v>9.1781031580021377E-2</v>
          </cell>
          <cell r="DN35">
            <v>0.16115411681914149</v>
          </cell>
          <cell r="DO35">
            <v>0.12149532710280386</v>
          </cell>
          <cell r="DP35">
            <v>0.1398272693264806</v>
          </cell>
          <cell r="DR35" t="str">
            <v xml:space="preserve"> 1Q</v>
          </cell>
          <cell r="DS35">
            <v>0.23611111111111094</v>
          </cell>
          <cell r="DT35">
            <v>0.3176092544987148</v>
          </cell>
          <cell r="DU35">
            <v>0.29989939637826968</v>
          </cell>
          <cell r="DW35">
            <v>4.7970479704796842E-2</v>
          </cell>
          <cell r="DX35">
            <v>0.28150134048257369</v>
          </cell>
          <cell r="DY35">
            <v>0.18322981366459601</v>
          </cell>
          <cell r="EA35">
            <v>0.10869565217391308</v>
          </cell>
          <cell r="EB35">
            <v>0.15196078431372562</v>
          </cell>
          <cell r="EC35">
            <v>0.14757709251101336</v>
          </cell>
          <cell r="EE35">
            <v>-3.3333333333333326E-2</v>
          </cell>
          <cell r="EF35">
            <v>0.16666666666666674</v>
          </cell>
          <cell r="EG35">
            <v>0.15128205128205119</v>
          </cell>
          <cell r="EI35">
            <v>0.20379146919431257</v>
          </cell>
          <cell r="EJ35">
            <v>0.73913043478260887</v>
          </cell>
          <cell r="EK35">
            <v>0.25641025641025617</v>
          </cell>
          <cell r="EM35" t="str">
            <v xml:space="preserve"> 1Q</v>
          </cell>
          <cell r="EN35">
            <v>-2.515723270440251E-2</v>
          </cell>
          <cell r="EO35">
            <v>-9.1954022988505635E-2</v>
          </cell>
          <cell r="EP35">
            <v>-4.8780487804878203E-2</v>
          </cell>
          <cell r="ER35">
            <v>-2.2222222222222143E-2</v>
          </cell>
          <cell r="ES35">
            <v>0.29999999999999982</v>
          </cell>
          <cell r="ET35">
            <v>0.13888888888888884</v>
          </cell>
          <cell r="EV35" t="str">
            <v>NM</v>
          </cell>
          <cell r="EW35">
            <v>0.56428571428571428</v>
          </cell>
          <cell r="EX35">
            <v>0.56428571428571428</v>
          </cell>
          <cell r="EZ35">
            <v>0.12837837837837851</v>
          </cell>
          <cell r="FA35">
            <v>-0.14122257053291454</v>
          </cell>
          <cell r="FB35">
            <v>-9.0458015267174896E-2</v>
          </cell>
          <cell r="FD35">
            <v>0.10589239965841157</v>
          </cell>
          <cell r="FE35">
            <v>0.17224715222644127</v>
          </cell>
          <cell r="FF35">
            <v>0.15314650934119989</v>
          </cell>
          <cell r="FH35">
            <v>0.15384615384615374</v>
          </cell>
          <cell r="FI35">
            <v>0.1301351365949035</v>
          </cell>
          <cell r="FJ35">
            <v>0.14016443001128209</v>
          </cell>
        </row>
        <row r="36">
          <cell r="A36" t="str">
            <v xml:space="preserve"> 2Q</v>
          </cell>
          <cell r="B36" t="str">
            <v>NM</v>
          </cell>
          <cell r="C36" t="str">
            <v>NM</v>
          </cell>
          <cell r="D36" t="str">
            <v>NM</v>
          </cell>
          <cell r="F36" t="str">
            <v>NM</v>
          </cell>
          <cell r="G36" t="str">
            <v>NM</v>
          </cell>
          <cell r="H36" t="str">
            <v>NM</v>
          </cell>
          <cell r="J36">
            <v>9.1903719912472592E-2</v>
          </cell>
          <cell r="K36">
            <v>0.3645569620253164</v>
          </cell>
          <cell r="L36">
            <v>0.21830985915492951</v>
          </cell>
          <cell r="N36">
            <v>-0.7</v>
          </cell>
          <cell r="O36">
            <v>-9.7058823529411753E-2</v>
          </cell>
          <cell r="P36">
            <v>-0.39852941176470591</v>
          </cell>
          <cell r="R36">
            <v>8.6206896551724199E-2</v>
          </cell>
          <cell r="S36">
            <v>8.1395348837209447E-2</v>
          </cell>
          <cell r="T36">
            <v>8.55855855855856E-2</v>
          </cell>
          <cell r="V36">
            <v>0.89495798319327724</v>
          </cell>
          <cell r="W36">
            <v>1.7666666666666671</v>
          </cell>
          <cell r="X36">
            <v>0.99253731343283591</v>
          </cell>
          <cell r="AD36">
            <v>0.51082251082251062</v>
          </cell>
          <cell r="AE36">
            <v>0.73333333333333339</v>
          </cell>
          <cell r="AF36">
            <v>0.52439024390243905</v>
          </cell>
          <cell r="AH36" t="str">
            <v xml:space="preserve"> 2Q</v>
          </cell>
          <cell r="AI36" t="str">
            <v>NM</v>
          </cell>
          <cell r="AJ36">
            <v>-0.12121212121212122</v>
          </cell>
          <cell r="AK36">
            <v>-0.12121212121212122</v>
          </cell>
          <cell r="AM36">
            <v>-0.59036144578313254</v>
          </cell>
          <cell r="AN36">
            <v>1.1363636363636362</v>
          </cell>
          <cell r="AO36">
            <v>-0.45018450184501846</v>
          </cell>
          <cell r="AQ36">
            <v>0.14074074074074083</v>
          </cell>
          <cell r="AR36">
            <v>1.2499999999999956E-2</v>
          </cell>
          <cell r="AS36">
            <v>5.4216867469879526E-2</v>
          </cell>
          <cell r="AU36">
            <v>0.14074074074074083</v>
          </cell>
          <cell r="AV36">
            <v>1.2499999999999956E-2</v>
          </cell>
          <cell r="AW36">
            <v>5.4216867469879526E-2</v>
          </cell>
          <cell r="AY36">
            <v>-0.50773558368495053</v>
          </cell>
          <cell r="AZ36">
            <v>-5.6765676567656742E-2</v>
          </cell>
          <cell r="BA36">
            <v>-0.20080862533692712</v>
          </cell>
          <cell r="BC36">
            <v>-9.2652795838751634E-2</v>
          </cell>
          <cell r="BD36">
            <v>2.6723352566049297E-2</v>
          </cell>
          <cell r="BE36">
            <v>-3.0931072381849667E-2</v>
          </cell>
          <cell r="BG36">
            <v>0.89495798319327724</v>
          </cell>
          <cell r="BH36">
            <v>1.7666666666666671</v>
          </cell>
          <cell r="BI36">
            <v>0.99253731343283591</v>
          </cell>
          <cell r="BK36" t="str">
            <v>NM</v>
          </cell>
          <cell r="BL36" t="str">
            <v>NM</v>
          </cell>
          <cell r="BM36" t="str">
            <v>NM</v>
          </cell>
          <cell r="BO36">
            <v>-9.2652795838751634E-2</v>
          </cell>
          <cell r="BP36">
            <v>2.6723352566049297E-2</v>
          </cell>
          <cell r="BQ36">
            <v>-3.0931072381849667E-2</v>
          </cell>
          <cell r="BS36" t="str">
            <v xml:space="preserve"> 2Q</v>
          </cell>
          <cell r="BT36">
            <v>9.4387755102040671E-2</v>
          </cell>
          <cell r="BU36">
            <v>-3.9046988749172784E-2</v>
          </cell>
          <cell r="BV36">
            <v>-1.1560693641618602E-2</v>
          </cell>
          <cell r="BX36">
            <v>1.4347202295552419E-2</v>
          </cell>
          <cell r="BY36">
            <v>0.11059907834101401</v>
          </cell>
          <cell r="BZ36">
            <v>3.7199124726477129E-2</v>
          </cell>
          <cell r="CB36">
            <v>-4.5454545454545414E-2</v>
          </cell>
          <cell r="CC36">
            <v>-0.22222222222222221</v>
          </cell>
          <cell r="CD36">
            <v>-0.16417910447761197</v>
          </cell>
          <cell r="CJ36">
            <v>2.0833333333333481E-2</v>
          </cell>
          <cell r="CK36">
            <v>-0.17910447761194037</v>
          </cell>
          <cell r="CL36">
            <v>-3.0888030888030826E-2</v>
          </cell>
          <cell r="CN36">
            <v>-0.20526315789473681</v>
          </cell>
          <cell r="CO36">
            <v>-0.11111111111111116</v>
          </cell>
          <cell r="CP36">
            <v>-0.19901719901719905</v>
          </cell>
          <cell r="CR36">
            <v>-0.14761904761904765</v>
          </cell>
          <cell r="CS36">
            <v>0.14999999999999991</v>
          </cell>
          <cell r="CT36">
            <v>-0.12173913043478268</v>
          </cell>
          <cell r="CV36" t="str">
            <v xml:space="preserve"> 2Q</v>
          </cell>
          <cell r="CX36">
            <v>-4.0000000000000036E-2</v>
          </cell>
          <cell r="CY36" t="str">
            <v>NM</v>
          </cell>
          <cell r="CZ36">
            <v>-4.0000000000000036E-2</v>
          </cell>
          <cell r="DB36">
            <v>-0.14090909090909098</v>
          </cell>
          <cell r="DC36">
            <v>1</v>
          </cell>
          <cell r="DD36">
            <v>-9.1304347826086985E-2</v>
          </cell>
          <cell r="DF36">
            <v>-0.2857142857142857</v>
          </cell>
          <cell r="DG36">
            <v>0</v>
          </cell>
          <cell r="DH36">
            <v>-0.15384615384615385</v>
          </cell>
          <cell r="DJ36">
            <v>0.62989840348330883</v>
          </cell>
          <cell r="DK36">
            <v>-8.3707985442089794E-2</v>
          </cell>
          <cell r="DL36">
            <v>0.15150935272448907</v>
          </cell>
          <cell r="DN36">
            <v>9.3883792048929715E-2</v>
          </cell>
          <cell r="DO36">
            <v>-6.7573672043153676E-2</v>
          </cell>
          <cell r="DP36">
            <v>7.4929265067606998E-3</v>
          </cell>
          <cell r="DR36" t="str">
            <v xml:space="preserve"> 2Q</v>
          </cell>
          <cell r="DS36">
            <v>0.32369942196531776</v>
          </cell>
          <cell r="DT36">
            <v>0.14907651715039583</v>
          </cell>
          <cell r="DU36">
            <v>0.18152524167561768</v>
          </cell>
          <cell r="DW36">
            <v>4.7029702970297071E-2</v>
          </cell>
          <cell r="DX36">
            <v>-6.2166962699822359E-2</v>
          </cell>
          <cell r="DY36">
            <v>-1.6546018614270852E-2</v>
          </cell>
          <cell r="EA36">
            <v>-0.19047619047619047</v>
          </cell>
          <cell r="EB36">
            <v>-1.8404907975460127E-2</v>
          </cell>
          <cell r="EC36">
            <v>-3.8043478260869512E-2</v>
          </cell>
          <cell r="EE36">
            <v>-3.3333333333333326E-2</v>
          </cell>
          <cell r="EF36">
            <v>0.13157894736842102</v>
          </cell>
          <cell r="EG36">
            <v>0.1195121951219511</v>
          </cell>
          <cell r="EI36">
            <v>-7.3593073593073766E-2</v>
          </cell>
          <cell r="EJ36">
            <v>0.44827586206896552</v>
          </cell>
          <cell r="EK36">
            <v>-1.5384615384615441E-2</v>
          </cell>
          <cell r="EM36" t="str">
            <v xml:space="preserve"> 2Q</v>
          </cell>
          <cell r="EN36">
            <v>0.19424460431654689</v>
          </cell>
          <cell r="EO36">
            <v>-0.2767857142857143</v>
          </cell>
          <cell r="EP36">
            <v>-1.5936254980079667E-2</v>
          </cell>
          <cell r="ER36">
            <v>-0.125</v>
          </cell>
          <cell r="ES36">
            <v>0.29000000000000004</v>
          </cell>
          <cell r="ET36">
            <v>6.3636363636363491E-2</v>
          </cell>
          <cell r="EV36" t="str">
            <v>NM</v>
          </cell>
          <cell r="EW36">
            <v>-5.555555555555558E-2</v>
          </cell>
          <cell r="EX36">
            <v>-5.555555555555558E-2</v>
          </cell>
          <cell r="EZ36">
            <v>3.7974683544301557E-2</v>
          </cell>
          <cell r="FA36">
            <v>-0.184962406015037</v>
          </cell>
          <cell r="FB36">
            <v>-0.14216281895504235</v>
          </cell>
          <cell r="FD36">
            <v>4.7799696509863265E-2</v>
          </cell>
          <cell r="FE36">
            <v>-9.157509157509125E-4</v>
          </cell>
          <cell r="FF36">
            <v>1.3060513713539335E-2</v>
          </cell>
          <cell r="FH36">
            <v>1.1090814196242027E-2</v>
          </cell>
          <cell r="FI36">
            <v>-1.6385509518693886E-2</v>
          </cell>
          <cell r="FJ36">
            <v>-4.6842962164446167E-3</v>
          </cell>
        </row>
        <row r="37">
          <cell r="A37" t="str">
            <v xml:space="preserve"> 3Q</v>
          </cell>
          <cell r="B37" t="str">
            <v>NM</v>
          </cell>
          <cell r="C37" t="str">
            <v>NM</v>
          </cell>
          <cell r="D37" t="str">
            <v>NM</v>
          </cell>
          <cell r="F37" t="str">
            <v>NM</v>
          </cell>
          <cell r="G37" t="str">
            <v>NM</v>
          </cell>
          <cell r="H37" t="str">
            <v>NM</v>
          </cell>
          <cell r="J37">
            <v>1.3362831858407076</v>
          </cell>
          <cell r="K37">
            <v>0.11009174311926606</v>
          </cell>
          <cell r="L37">
            <v>0.52870090634441058</v>
          </cell>
          <cell r="N37">
            <v>-0.56000000000000005</v>
          </cell>
          <cell r="O37">
            <v>-3.2258064516129004E-2</v>
          </cell>
          <cell r="P37">
            <v>-0.2678571428571429</v>
          </cell>
          <cell r="R37">
            <v>-5.1808406647116279E-2</v>
          </cell>
          <cell r="S37">
            <v>6.2857142857142945E-2</v>
          </cell>
          <cell r="T37">
            <v>-3.5058430717863076E-2</v>
          </cell>
          <cell r="V37">
            <v>1.5472636815920398</v>
          </cell>
          <cell r="W37">
            <v>1.2051282051282053</v>
          </cell>
          <cell r="X37">
            <v>1.4916666666666667</v>
          </cell>
          <cell r="AD37">
            <v>0.23549488054607526</v>
          </cell>
          <cell r="AE37">
            <v>0.25</v>
          </cell>
          <cell r="AF37">
            <v>0.23642172523961658</v>
          </cell>
          <cell r="AH37" t="str">
            <v xml:space="preserve"> 3Q</v>
          </cell>
          <cell r="AI37" t="str">
            <v>NM</v>
          </cell>
          <cell r="AJ37">
            <v>-8.7719298245614086E-2</v>
          </cell>
          <cell r="AK37">
            <v>-8.7719298245614086E-2</v>
          </cell>
          <cell r="AM37">
            <v>2.9393939393939394</v>
          </cell>
          <cell r="AN37">
            <v>1</v>
          </cell>
          <cell r="AO37">
            <v>2.103448275862069</v>
          </cell>
          <cell r="AQ37">
            <v>3.5714285714285809E-2</v>
          </cell>
          <cell r="AR37">
            <v>2.0833333333333259E-2</v>
          </cell>
          <cell r="AS37">
            <v>2.6315789473684292E-2</v>
          </cell>
          <cell r="AU37">
            <v>3.5714285714285809E-2</v>
          </cell>
          <cell r="AV37">
            <v>2.0833333333333259E-2</v>
          </cell>
          <cell r="AW37">
            <v>2.6315789473684292E-2</v>
          </cell>
          <cell r="AY37">
            <v>-0.32255797610681725</v>
          </cell>
          <cell r="AZ37">
            <v>-2.8386633129715677E-2</v>
          </cell>
          <cell r="BA37">
            <v>-0.12791250594388959</v>
          </cell>
          <cell r="BC37">
            <v>0.15682362330407007</v>
          </cell>
          <cell r="BD37">
            <v>2.1470396877033338E-2</v>
          </cell>
          <cell r="BE37">
            <v>8.2258064516129048E-2</v>
          </cell>
          <cell r="BG37">
            <v>1.5472636815920398</v>
          </cell>
          <cell r="BH37">
            <v>1.2051282051282053</v>
          </cell>
          <cell r="BI37">
            <v>1.4916666666666667</v>
          </cell>
          <cell r="BK37" t="str">
            <v>NM</v>
          </cell>
          <cell r="BL37" t="str">
            <v>NM</v>
          </cell>
          <cell r="BM37" t="str">
            <v>NM</v>
          </cell>
          <cell r="BO37">
            <v>0.15682362330407007</v>
          </cell>
          <cell r="BP37">
            <v>2.1470396877033338E-2</v>
          </cell>
          <cell r="BQ37">
            <v>8.2258064516129048E-2</v>
          </cell>
          <cell r="BS37" t="str">
            <v xml:space="preserve"> 3Q</v>
          </cell>
          <cell r="BT37">
            <v>-2.1786492374727628E-2</v>
          </cell>
          <cell r="BU37">
            <v>1.1830201809325036E-2</v>
          </cell>
          <cell r="BV37">
            <v>3.6919831223629629E-3</v>
          </cell>
          <cell r="BX37">
            <v>2.7586206896551779E-2</v>
          </cell>
          <cell r="BY37">
            <v>0.16500000000000004</v>
          </cell>
          <cell r="BZ37">
            <v>5.7297297297297156E-2</v>
          </cell>
          <cell r="CB37">
            <v>-5.0000000000000044E-2</v>
          </cell>
          <cell r="CC37">
            <v>-3.0303030303030276E-2</v>
          </cell>
          <cell r="CD37">
            <v>-3.7735849056603765E-2</v>
          </cell>
          <cell r="CJ37">
            <v>5.0139275766016844E-2</v>
          </cell>
          <cell r="CK37">
            <v>0.1914893617021276</v>
          </cell>
          <cell r="CL37">
            <v>6.6502463054187277E-2</v>
          </cell>
          <cell r="CN37">
            <v>-5.0377833753149082E-3</v>
          </cell>
          <cell r="CO37">
            <v>-0.29166666666666663</v>
          </cell>
          <cell r="CP37">
            <v>-2.1377672209026088E-2</v>
          </cell>
          <cell r="CR37">
            <v>-9.7674418604651203E-2</v>
          </cell>
          <cell r="CS37">
            <v>0.90909090909090895</v>
          </cell>
          <cell r="CT37">
            <v>-4.8672566371681492E-2</v>
          </cell>
          <cell r="CV37" t="str">
            <v xml:space="preserve"> 3Q</v>
          </cell>
          <cell r="CX37">
            <v>0.10795454545454541</v>
          </cell>
          <cell r="CY37" t="str">
            <v>NM</v>
          </cell>
          <cell r="CZ37">
            <v>0.10795454545454541</v>
          </cell>
          <cell r="DB37">
            <v>0.11176470588235277</v>
          </cell>
          <cell r="DC37">
            <v>0</v>
          </cell>
          <cell r="DD37">
            <v>0.1055555555555554</v>
          </cell>
          <cell r="DF37">
            <v>-1.2499999999999956E-2</v>
          </cell>
          <cell r="DG37">
            <v>0.75</v>
          </cell>
          <cell r="DH37">
            <v>0.2416666666666667</v>
          </cell>
          <cell r="DJ37">
            <v>-0.21135029354207457</v>
          </cell>
          <cell r="DK37">
            <v>-0.20951704545454575</v>
          </cell>
          <cell r="DL37">
            <v>-0.21028806584362159</v>
          </cell>
          <cell r="DN37">
            <v>-4.8382855640284106E-2</v>
          </cell>
          <cell r="DO37">
            <v>-6.0735671514114631E-2</v>
          </cell>
          <cell r="DP37">
            <v>-5.4309165526675862E-2</v>
          </cell>
          <cell r="DR37" t="str">
            <v xml:space="preserve"> 3Q</v>
          </cell>
          <cell r="DS37">
            <v>-5.3511705685618693E-2</v>
          </cell>
          <cell r="DT37">
            <v>0.20454545454545459</v>
          </cell>
          <cell r="DU37">
            <v>8.9895988112927094E-2</v>
          </cell>
          <cell r="DW37">
            <v>-0.12264150943396235</v>
          </cell>
          <cell r="DX37">
            <v>5.5803571428571397E-2</v>
          </cell>
          <cell r="DY37">
            <v>-1.8276762402088864E-2</v>
          </cell>
          <cell r="EA37">
            <v>6.3829787234042534E-2</v>
          </cell>
          <cell r="EB37">
            <v>-0.17448405253283295</v>
          </cell>
          <cell r="EC37">
            <v>-0.15517241379310343</v>
          </cell>
          <cell r="EE37">
            <v>0</v>
          </cell>
          <cell r="EF37">
            <v>0.15384615384615374</v>
          </cell>
          <cell r="EG37">
            <v>0.14285714285714279</v>
          </cell>
          <cell r="EI37">
            <v>-9.5238095238095233E-2</v>
          </cell>
          <cell r="EJ37">
            <v>0.17647058823529416</v>
          </cell>
          <cell r="EK37">
            <v>-6.2937062937062804E-2</v>
          </cell>
          <cell r="EM37" t="str">
            <v xml:space="preserve"> 3Q</v>
          </cell>
          <cell r="EN37">
            <v>1.7857142857143016E-2</v>
          </cell>
          <cell r="EO37">
            <v>-0.18367346938775519</v>
          </cell>
          <cell r="EP37">
            <v>-7.6190476190476253E-2</v>
          </cell>
          <cell r="ER37">
            <v>1.098901098901095E-2</v>
          </cell>
          <cell r="ES37">
            <v>0.15454545454545454</v>
          </cell>
          <cell r="ET37">
            <v>8.9552238805969964E-2</v>
          </cell>
          <cell r="EV37" t="str">
            <v>NM</v>
          </cell>
          <cell r="EW37">
            <v>-5.0000000000000044E-2</v>
          </cell>
          <cell r="EX37">
            <v>-5.0000000000000044E-2</v>
          </cell>
          <cell r="EZ37">
            <v>-0.24542124542124499</v>
          </cell>
          <cell r="FA37">
            <v>-0.21124361158432681</v>
          </cell>
          <cell r="FB37">
            <v>-0.22209302325581359</v>
          </cell>
          <cell r="FD37">
            <v>-9.0644973852411326E-2</v>
          </cell>
          <cell r="FE37">
            <v>5.0825921219821435E-3</v>
          </cell>
          <cell r="FF37">
            <v>-2.8753337440952986E-2</v>
          </cell>
          <cell r="FH37">
            <v>6.6002490660024282E-3</v>
          </cell>
          <cell r="FI37">
            <v>-1.3464898756295529E-2</v>
          </cell>
          <cell r="FJ37">
            <v>-4.3921391970268564E-3</v>
          </cell>
        </row>
        <row r="38">
          <cell r="A38" t="str">
            <v xml:space="preserve"> 4Q</v>
          </cell>
          <cell r="B38" t="str">
            <v>NM</v>
          </cell>
          <cell r="C38" t="str">
            <v>NM</v>
          </cell>
          <cell r="D38" t="str">
            <v>NM</v>
          </cell>
          <cell r="F38" t="str">
            <v>NM</v>
          </cell>
          <cell r="G38" t="str">
            <v>NM</v>
          </cell>
          <cell r="H38" t="str">
            <v>NM</v>
          </cell>
          <cell r="J38">
            <v>0.6163934426229507</v>
          </cell>
          <cell r="K38">
            <v>5.7471264367816577E-3</v>
          </cell>
          <cell r="L38">
            <v>0.23095525997581623</v>
          </cell>
          <cell r="N38">
            <v>-0.52380952380952384</v>
          </cell>
          <cell r="O38">
            <v>-8.8235294117647078E-2</v>
          </cell>
          <cell r="P38">
            <v>-0.25454545454545452</v>
          </cell>
          <cell r="R38">
            <v>0.15353535353535364</v>
          </cell>
          <cell r="S38">
            <v>5.2631578947368363E-2</v>
          </cell>
          <cell r="T38">
            <v>0.13728813559322028</v>
          </cell>
          <cell r="V38">
            <v>1.5041666666666669</v>
          </cell>
          <cell r="W38">
            <v>0.76271186440677963</v>
          </cell>
          <cell r="X38">
            <v>1.3578595317725752</v>
          </cell>
          <cell r="AD38">
            <v>0.39999999999999991</v>
          </cell>
          <cell r="AE38">
            <v>-9.9999999999999978E-2</v>
          </cell>
          <cell r="AF38">
            <v>0.35000000000000009</v>
          </cell>
          <cell r="AH38" t="str">
            <v xml:space="preserve"> 4Q</v>
          </cell>
          <cell r="AI38" t="str">
            <v>NM</v>
          </cell>
          <cell r="AJ38">
            <v>3.4482758620689724E-2</v>
          </cell>
          <cell r="AK38">
            <v>3.4482758620689724E-2</v>
          </cell>
          <cell r="AM38">
            <v>0.8</v>
          </cell>
          <cell r="AN38">
            <v>0.31578947368421062</v>
          </cell>
          <cell r="AO38">
            <v>0.59090909090909083</v>
          </cell>
          <cell r="AQ38">
            <v>-9.6774193548387122E-2</v>
          </cell>
          <cell r="AR38">
            <v>-7.6923076923076872E-2</v>
          </cell>
          <cell r="AS38">
            <v>-8.4337349397590411E-2</v>
          </cell>
          <cell r="AU38">
            <v>-9.6774193548387122E-2</v>
          </cell>
          <cell r="AV38">
            <v>-7.6923076923076872E-2</v>
          </cell>
          <cell r="AW38">
            <v>-8.4337349397590411E-2</v>
          </cell>
          <cell r="AY38">
            <v>-0.58679245283018888</v>
          </cell>
          <cell r="AZ38">
            <v>-6.7750677506774881E-3</v>
          </cell>
          <cell r="BA38">
            <v>-0.16001994017946164</v>
          </cell>
          <cell r="BC38">
            <v>0.13360995850622404</v>
          </cell>
          <cell r="BD38">
            <v>-2.3738872403561428E-3</v>
          </cell>
          <cell r="BE38">
            <v>5.4325259515570989E-2</v>
          </cell>
          <cell r="BG38">
            <v>1.5041666666666669</v>
          </cell>
          <cell r="BH38">
            <v>0.76271186440677963</v>
          </cell>
          <cell r="BI38">
            <v>1.3578595317725752</v>
          </cell>
          <cell r="BK38" t="str">
            <v>NM</v>
          </cell>
          <cell r="BL38" t="str">
            <v>NM</v>
          </cell>
          <cell r="BM38" t="str">
            <v>NM</v>
          </cell>
          <cell r="BO38">
            <v>0.19585062240663897</v>
          </cell>
          <cell r="BP38">
            <v>-2.3738872403561428E-3</v>
          </cell>
          <cell r="BQ38">
            <v>8.0276816608996437E-2</v>
          </cell>
          <cell r="BS38" t="str">
            <v xml:space="preserve"> 4Q</v>
          </cell>
          <cell r="BT38">
            <v>2.020202020202011E-2</v>
          </cell>
          <cell r="BU38">
            <v>-6.164383561643838E-3</v>
          </cell>
          <cell r="BV38">
            <v>-5.3879310344828735E-4</v>
          </cell>
          <cell r="BX38">
            <v>-0.15157894736842115</v>
          </cell>
          <cell r="BY38">
            <v>9.243697478991586E-2</v>
          </cell>
          <cell r="BZ38">
            <v>-0.10269360269360273</v>
          </cell>
          <cell r="CB38">
            <v>-8.6956521739130488E-2</v>
          </cell>
          <cell r="CC38">
            <v>-8.5714285714285743E-2</v>
          </cell>
          <cell r="CD38">
            <v>-8.6206896551724088E-2</v>
          </cell>
          <cell r="CJ38">
            <v>6.8181818181818121E-2</v>
          </cell>
          <cell r="CK38">
            <v>-5.7142857142857162E-2</v>
          </cell>
          <cell r="CL38">
            <v>5.0980392156862786E-2</v>
          </cell>
          <cell r="CN38">
            <v>0.13127413127413146</v>
          </cell>
          <cell r="CO38">
            <v>-0.55555555555555558</v>
          </cell>
          <cell r="CP38">
            <v>6.643356643356646E-2</v>
          </cell>
          <cell r="CR38">
            <v>-3.8095238095238182E-2</v>
          </cell>
          <cell r="CS38">
            <v>-0.20000000000000007</v>
          </cell>
          <cell r="CT38">
            <v>-5.8333333333333459E-2</v>
          </cell>
          <cell r="CV38" t="str">
            <v xml:space="preserve"> 4Q</v>
          </cell>
          <cell r="CX38">
            <v>3.8461538461538325E-3</v>
          </cell>
          <cell r="CY38" t="str">
            <v>NM</v>
          </cell>
          <cell r="CZ38">
            <v>3.8461538461538325E-3</v>
          </cell>
          <cell r="DB38">
            <v>3.3333333333333437E-2</v>
          </cell>
          <cell r="DC38">
            <v>0.30000000000000004</v>
          </cell>
          <cell r="DD38">
            <v>5.3846153846153877E-2</v>
          </cell>
          <cell r="DF38">
            <v>-0.29999999999999993</v>
          </cell>
          <cell r="DG38">
            <v>-0.1333333333333333</v>
          </cell>
          <cell r="DH38">
            <v>-0.22499999999999998</v>
          </cell>
          <cell r="DJ38">
            <v>-3.6211699164345523E-2</v>
          </cell>
          <cell r="DK38">
            <v>-0.15162200282087457</v>
          </cell>
          <cell r="DL38">
            <v>-0.11282771535580538</v>
          </cell>
          <cell r="DN38">
            <v>-4.170051448686718E-2</v>
          </cell>
          <cell r="DO38">
            <v>-7.2028161386406775E-2</v>
          </cell>
          <cell r="DP38">
            <v>-5.6864337936637033E-2</v>
          </cell>
          <cell r="DR38" t="str">
            <v xml:space="preserve"> 4Q</v>
          </cell>
          <cell r="DS38">
            <v>7.35551663747811E-2</v>
          </cell>
          <cell r="DT38">
            <v>9.6374045801526753E-2</v>
          </cell>
          <cell r="DU38">
            <v>8.8326127239036323E-2</v>
          </cell>
          <cell r="DW38">
            <v>5.9748427672956073E-2</v>
          </cell>
          <cell r="DX38">
            <v>-0.16949152542372892</v>
          </cell>
          <cell r="DY38">
            <v>-9.4105480868666103E-2</v>
          </cell>
          <cell r="EA38">
            <v>-9.259259259259256E-2</v>
          </cell>
          <cell r="EB38">
            <v>2.1526418786692814E-2</v>
          </cell>
          <cell r="EC38">
            <v>1.0619469026548645E-2</v>
          </cell>
          <cell r="EE38">
            <v>-0.23333333333333339</v>
          </cell>
          <cell r="EF38">
            <v>-7.4999999999999512E-3</v>
          </cell>
          <cell r="EG38">
            <v>-2.3255813953488413E-2</v>
          </cell>
          <cell r="EI38">
            <v>5.0847457627118509E-2</v>
          </cell>
          <cell r="EJ38">
            <v>-0.24999999999999989</v>
          </cell>
          <cell r="EK38">
            <v>-6.8493150684932891E-3</v>
          </cell>
          <cell r="EM38" t="str">
            <v xml:space="preserve"> 4Q</v>
          </cell>
          <cell r="EN38">
            <v>0.11214953271028039</v>
          </cell>
          <cell r="EO38">
            <v>-0.13043478260869568</v>
          </cell>
          <cell r="EP38">
            <v>-1.3513513513513598E-2</v>
          </cell>
          <cell r="ER38">
            <v>-0.13000000000000012</v>
          </cell>
          <cell r="ES38">
            <v>0.16666666666666674</v>
          </cell>
          <cell r="ET38">
            <v>3.1818181818181746E-2</v>
          </cell>
          <cell r="EV38" t="str">
            <v>NM</v>
          </cell>
          <cell r="EW38">
            <v>-0.24583333333333324</v>
          </cell>
          <cell r="EX38">
            <v>-0.24583333333333324</v>
          </cell>
          <cell r="EZ38">
            <v>-0.21333333333333271</v>
          </cell>
          <cell r="FA38">
            <v>-0.2404287901990807</v>
          </cell>
          <cell r="FB38">
            <v>-0.23348519362186748</v>
          </cell>
          <cell r="FD38">
            <v>7.3126142595978383E-3</v>
          </cell>
          <cell r="FE38">
            <v>-5.959915611814337E-2</v>
          </cell>
          <cell r="FF38">
            <v>-3.9388919565617297E-2</v>
          </cell>
          <cell r="FH38">
            <v>4.2613636363636243E-2</v>
          </cell>
          <cell r="FI38">
            <v>-4.6061722708429342E-2</v>
          </cell>
          <cell r="FJ38">
            <v>-9.1402763589440994E-3</v>
          </cell>
        </row>
        <row r="40">
          <cell r="A40" t="str">
            <v>1996/95</v>
          </cell>
          <cell r="B40" t="str">
            <v>NM</v>
          </cell>
          <cell r="C40" t="str">
            <v>NM</v>
          </cell>
          <cell r="D40" t="str">
            <v>NM</v>
          </cell>
          <cell r="F40" t="str">
            <v>NM</v>
          </cell>
          <cell r="G40" t="str">
            <v>NM</v>
          </cell>
          <cell r="H40" t="str">
            <v>NM</v>
          </cell>
          <cell r="J40">
            <v>0.45382963493199746</v>
          </cell>
          <cell r="K40">
            <v>0.17691415313225067</v>
          </cell>
          <cell r="L40">
            <v>0.30086510733739202</v>
          </cell>
          <cell r="N40">
            <v>-0.54</v>
          </cell>
          <cell r="O40">
            <v>-4.1085271317829464E-2</v>
          </cell>
          <cell r="P40">
            <v>-0.28152610441767068</v>
          </cell>
          <cell r="R40">
            <v>0.12538082962268571</v>
          </cell>
          <cell r="S40">
            <v>7.3593073593073655E-2</v>
          </cell>
          <cell r="T40">
            <v>0.11814516129032238</v>
          </cell>
          <cell r="V40">
            <v>1.2442660550458715</v>
          </cell>
          <cell r="W40">
            <v>1.4013605442176869</v>
          </cell>
          <cell r="X40">
            <v>1.2669283611383708</v>
          </cell>
          <cell r="AD40">
            <v>0.39393939393939381</v>
          </cell>
          <cell r="AE40">
            <v>0.32894736842105288</v>
          </cell>
          <cell r="AF40">
            <v>0.38957597173144887</v>
          </cell>
          <cell r="AH40" t="str">
            <v>1996/95</v>
          </cell>
          <cell r="AI40" t="str">
            <v>NM</v>
          </cell>
          <cell r="AJ40">
            <v>-7.7551020408163307E-2</v>
          </cell>
          <cell r="AK40">
            <v>-7.7551020408163307E-2</v>
          </cell>
          <cell r="AM40">
            <v>-4.7422680412371077E-2</v>
          </cell>
          <cell r="AN40">
            <v>0.85148514851485113</v>
          </cell>
          <cell r="AO40">
            <v>0.10750853242320835</v>
          </cell>
          <cell r="AQ40">
            <v>7.9279279279279358E-2</v>
          </cell>
          <cell r="AR40">
            <v>3.7560975609756131E-2</v>
          </cell>
          <cell r="AS40">
            <v>5.2215189873417778E-2</v>
          </cell>
          <cell r="AU40">
            <v>7.9279279279279358E-2</v>
          </cell>
          <cell r="AV40">
            <v>3.7560975609756131E-2</v>
          </cell>
          <cell r="AW40">
            <v>5.2215189873417778E-2</v>
          </cell>
          <cell r="AY40">
            <v>-0.36930121441369734</v>
          </cell>
          <cell r="AZ40">
            <v>-2.1692531938609094E-2</v>
          </cell>
          <cell r="BA40">
            <v>-0.12633345319429456</v>
          </cell>
          <cell r="BC40">
            <v>8.286112401300505E-2</v>
          </cell>
          <cell r="BD40">
            <v>3.5180986631225153E-2</v>
          </cell>
          <cell r="BE40">
            <v>5.6970623195788717E-2</v>
          </cell>
          <cell r="BG40">
            <v>1.2442660550458715</v>
          </cell>
          <cell r="BH40">
            <v>1.4013605442176869</v>
          </cell>
          <cell r="BI40">
            <v>1.2669283611383708</v>
          </cell>
          <cell r="BK40" t="str">
            <v>NM</v>
          </cell>
          <cell r="BL40" t="str">
            <v>NM</v>
          </cell>
          <cell r="BM40" t="str">
            <v>NM</v>
          </cell>
          <cell r="BO40">
            <v>9.6795169530887071E-2</v>
          </cell>
          <cell r="BP40">
            <v>3.5180986631225153E-2</v>
          </cell>
          <cell r="BQ40">
            <v>6.3338427576838052E-2</v>
          </cell>
          <cell r="BS40" t="str">
            <v>1996/95</v>
          </cell>
          <cell r="BT40">
            <v>4.2948717948718018E-2</v>
          </cell>
          <cell r="BU40">
            <v>2.3978685612788597E-2</v>
          </cell>
          <cell r="BV40">
            <v>2.8094575799721966E-2</v>
          </cell>
          <cell r="BX40">
            <v>6.3106466716429388E-3</v>
          </cell>
          <cell r="BY40">
            <v>0.14011976047904184</v>
          </cell>
          <cell r="BZ40">
            <v>3.585025380710638E-2</v>
          </cell>
          <cell r="CB40">
            <v>-2.3809523809523836E-2</v>
          </cell>
          <cell r="CC40">
            <v>-5.3691275167785268E-2</v>
          </cell>
          <cell r="CD40">
            <v>-4.2918454935622297E-2</v>
          </cell>
          <cell r="CJ40">
            <v>0.10008203445447106</v>
          </cell>
          <cell r="CK40">
            <v>2.7559055118110409E-2</v>
          </cell>
          <cell r="CL40">
            <v>8.7576374745417462E-2</v>
          </cell>
          <cell r="CN40">
            <v>3.5733292784916326E-3</v>
          </cell>
          <cell r="CO40">
            <v>-0.269035532994924</v>
          </cell>
          <cell r="CP40">
            <v>-1.5419436978356238E-2</v>
          </cell>
          <cell r="CR40">
            <v>-6.8639053254437976E-2</v>
          </cell>
          <cell r="CS40">
            <v>0.23943661971830998</v>
          </cell>
          <cell r="CT40">
            <v>-4.4759825327510883E-2</v>
          </cell>
          <cell r="CV40" t="str">
            <v>1996/95</v>
          </cell>
          <cell r="CX40">
            <v>4.6099290780141855E-2</v>
          </cell>
          <cell r="CY40" t="str">
            <v>NM</v>
          </cell>
          <cell r="CZ40">
            <v>4.6099290780141855E-2</v>
          </cell>
          <cell r="DB40">
            <v>3.0434782608695476E-2</v>
          </cell>
          <cell r="DC40">
            <v>0.32499999999999996</v>
          </cell>
          <cell r="DD40">
            <v>4.6575342465753344E-2</v>
          </cell>
          <cell r="DF40">
            <v>-0.22424242424242435</v>
          </cell>
          <cell r="DG40">
            <v>0.19199999999999995</v>
          </cell>
          <cell r="DH40">
            <v>-4.482758620689653E-2</v>
          </cell>
          <cell r="DJ40">
            <v>0.10171458892979146</v>
          </cell>
          <cell r="DK40">
            <v>-0.10035528735426991</v>
          </cell>
          <cell r="DL40">
            <v>-2.9641149435959524E-2</v>
          </cell>
          <cell r="DN40">
            <v>3.1378600823045222E-2</v>
          </cell>
          <cell r="DO40">
            <v>-2.3238212703930117E-2</v>
          </cell>
          <cell r="DP40">
            <v>3.4221023330558431E-3</v>
          </cell>
          <cell r="DR40" t="str">
            <v>1996/95</v>
          </cell>
          <cell r="DS40">
            <v>7.5096277278562162E-2</v>
          </cell>
          <cell r="DT40">
            <v>0.18430372148859542</v>
          </cell>
          <cell r="DU40">
            <v>0.14950920245398747</v>
          </cell>
          <cell r="DW40">
            <v>9.1533180778033962E-3</v>
          </cell>
          <cell r="DX40">
            <v>-7.3782587309394465E-3</v>
          </cell>
          <cell r="DY40">
            <v>-8.9712918660289631E-4</v>
          </cell>
          <cell r="EA40">
            <v>-4.2857142857142816E-2</v>
          </cell>
          <cell r="EB40">
            <v>-1.494075218959301E-2</v>
          </cell>
          <cell r="EC40">
            <v>-1.766620176662026E-2</v>
          </cell>
          <cell r="EE40">
            <v>-7.4999999999999845E-2</v>
          </cell>
          <cell r="EF40">
            <v>0.10915032679738546</v>
          </cell>
          <cell r="EG40">
            <v>9.575757575757593E-2</v>
          </cell>
          <cell r="EI40">
            <v>1.5053763440860068E-2</v>
          </cell>
          <cell r="EJ40">
            <v>0.15492957746478875</v>
          </cell>
          <cell r="EK40">
            <v>3.3582089552238736E-2</v>
          </cell>
          <cell r="EM40" t="str">
            <v>1996/95</v>
          </cell>
          <cell r="EN40">
            <v>7.1566731141199158E-2</v>
          </cell>
          <cell r="EO40">
            <v>-0.17475728155339809</v>
          </cell>
          <cell r="EP40">
            <v>-3.7674919268030127E-2</v>
          </cell>
          <cell r="ER40">
            <v>-7.2319201995012405E-2</v>
          </cell>
          <cell r="ES40">
            <v>0.22142857142857131</v>
          </cell>
          <cell r="ET40">
            <v>7.795371498172976E-2</v>
          </cell>
          <cell r="EV40" t="str">
            <v>NM</v>
          </cell>
          <cell r="EW40">
            <v>0</v>
          </cell>
          <cell r="EX40">
            <v>0</v>
          </cell>
          <cell r="EZ40">
            <v>-0.11194029850746268</v>
          </cell>
          <cell r="FA40">
            <v>-0.19429807314195791</v>
          </cell>
          <cell r="FB40">
            <v>-0.17451449058858637</v>
          </cell>
          <cell r="FD40">
            <v>7.3491710818665013E-3</v>
          </cell>
          <cell r="FE40">
            <v>2.1810417143293126E-2</v>
          </cell>
          <cell r="FF40">
            <v>1.7348660620122525E-2</v>
          </cell>
          <cell r="FH40">
            <v>5.0026469031233312E-2</v>
          </cell>
          <cell r="FI40">
            <v>1.0066312205030403E-2</v>
          </cell>
          <cell r="FJ40">
            <v>2.7222518949509666E-2</v>
          </cell>
        </row>
        <row r="42">
          <cell r="A42" t="str">
            <v>1996</v>
          </cell>
          <cell r="AH42" t="str">
            <v>1996</v>
          </cell>
          <cell r="BS42" t="str">
            <v>1996</v>
          </cell>
          <cell r="CV42" t="str">
            <v>1996</v>
          </cell>
          <cell r="DR42" t="str">
            <v>1996</v>
          </cell>
          <cell r="EM42" t="str">
            <v>1996</v>
          </cell>
        </row>
        <row r="43">
          <cell r="A43" t="str">
            <v xml:space="preserve"> 1Q</v>
          </cell>
          <cell r="B43">
            <v>0</v>
          </cell>
          <cell r="C43">
            <v>0</v>
          </cell>
          <cell r="D43">
            <v>0</v>
          </cell>
          <cell r="F43">
            <v>0</v>
          </cell>
          <cell r="G43">
            <v>0</v>
          </cell>
          <cell r="H43">
            <v>0</v>
          </cell>
          <cell r="J43">
            <v>51.1</v>
          </cell>
          <cell r="K43">
            <v>48.1</v>
          </cell>
          <cell r="L43">
            <v>99.2</v>
          </cell>
          <cell r="N43">
            <v>24</v>
          </cell>
          <cell r="O43">
            <v>32</v>
          </cell>
          <cell r="P43">
            <v>56</v>
          </cell>
          <cell r="R43">
            <v>71.5</v>
          </cell>
          <cell r="S43">
            <v>8.6</v>
          </cell>
          <cell r="T43">
            <v>80.099999999999994</v>
          </cell>
          <cell r="V43">
            <v>39.299999999999997</v>
          </cell>
          <cell r="W43">
            <v>8</v>
          </cell>
          <cell r="X43">
            <v>47.3</v>
          </cell>
          <cell r="AD43">
            <v>38.299999999999997</v>
          </cell>
          <cell r="AE43">
            <v>2.2999999999999998</v>
          </cell>
          <cell r="AF43">
            <v>40.599999999999994</v>
          </cell>
          <cell r="AH43" t="str">
            <v xml:space="preserve"> 1Q</v>
          </cell>
          <cell r="AI43">
            <v>0</v>
          </cell>
          <cell r="AJ43">
            <v>28</v>
          </cell>
          <cell r="AK43">
            <v>28</v>
          </cell>
          <cell r="AM43">
            <v>14</v>
          </cell>
          <cell r="AN43">
            <v>4</v>
          </cell>
          <cell r="AO43">
            <v>18</v>
          </cell>
          <cell r="AQ43">
            <v>32</v>
          </cell>
          <cell r="AR43">
            <v>59</v>
          </cell>
          <cell r="AS43">
            <v>91</v>
          </cell>
          <cell r="AU43">
            <v>32</v>
          </cell>
          <cell r="AV43">
            <v>59</v>
          </cell>
          <cell r="AW43">
            <v>91</v>
          </cell>
          <cell r="AY43">
            <v>53.299999999999969</v>
          </cell>
          <cell r="AZ43">
            <v>145.79999999999998</v>
          </cell>
          <cell r="BA43">
            <v>199.09999999999997</v>
          </cell>
          <cell r="BC43">
            <v>323.5</v>
          </cell>
          <cell r="BD43">
            <v>335.8</v>
          </cell>
          <cell r="BE43">
            <v>659.3</v>
          </cell>
          <cell r="BG43">
            <v>39.299999999999997</v>
          </cell>
          <cell r="BH43">
            <v>8</v>
          </cell>
          <cell r="BI43">
            <v>47.3</v>
          </cell>
          <cell r="BK43">
            <v>0</v>
          </cell>
          <cell r="BL43">
            <v>0</v>
          </cell>
          <cell r="BM43">
            <v>0</v>
          </cell>
          <cell r="BO43">
            <v>323.5</v>
          </cell>
          <cell r="BP43">
            <v>335.8</v>
          </cell>
          <cell r="BQ43">
            <v>659.3</v>
          </cell>
          <cell r="BS43" t="str">
            <v xml:space="preserve"> 1Q</v>
          </cell>
          <cell r="BT43">
            <v>34.5</v>
          </cell>
          <cell r="BU43">
            <v>140.80000000000001</v>
          </cell>
          <cell r="BV43">
            <v>175.3</v>
          </cell>
          <cell r="BX43">
            <v>70.8</v>
          </cell>
          <cell r="BY43">
            <v>21.8</v>
          </cell>
          <cell r="BZ43">
            <v>92.6</v>
          </cell>
          <cell r="CB43">
            <v>21</v>
          </cell>
          <cell r="CC43">
            <v>42</v>
          </cell>
          <cell r="CD43">
            <v>63</v>
          </cell>
          <cell r="CJ43">
            <v>29.8</v>
          </cell>
          <cell r="CK43">
            <v>8.4</v>
          </cell>
          <cell r="CL43">
            <v>38.200000000000003</v>
          </cell>
          <cell r="CN43">
            <v>33</v>
          </cell>
          <cell r="CO43">
            <v>1.9</v>
          </cell>
          <cell r="CP43">
            <v>34.9</v>
          </cell>
          <cell r="CR43">
            <v>21.2</v>
          </cell>
          <cell r="CS43">
            <v>2</v>
          </cell>
          <cell r="CT43">
            <v>23.2</v>
          </cell>
          <cell r="CV43" t="str">
            <v xml:space="preserve"> 1Q</v>
          </cell>
          <cell r="CX43">
            <v>23.7</v>
          </cell>
          <cell r="CY43">
            <v>0</v>
          </cell>
          <cell r="CZ43">
            <v>23.7</v>
          </cell>
          <cell r="DB43">
            <v>20.9</v>
          </cell>
          <cell r="DC43">
            <v>1</v>
          </cell>
          <cell r="DD43">
            <v>21.9</v>
          </cell>
          <cell r="DF43">
            <v>5</v>
          </cell>
          <cell r="DG43">
            <v>9</v>
          </cell>
          <cell r="DH43">
            <v>14</v>
          </cell>
          <cell r="DJ43">
            <v>70.099999999999966</v>
          </cell>
          <cell r="DK43">
            <v>143.89999999999998</v>
          </cell>
          <cell r="DL43">
            <v>213.99999999999994</v>
          </cell>
          <cell r="DN43">
            <v>330</v>
          </cell>
          <cell r="DO43">
            <v>370.8</v>
          </cell>
          <cell r="DP43">
            <v>700.8</v>
          </cell>
          <cell r="DR43" t="str">
            <v xml:space="preserve"> 1Q</v>
          </cell>
          <cell r="DS43">
            <v>26.7</v>
          </cell>
          <cell r="DT43">
            <v>102.51</v>
          </cell>
          <cell r="DU43">
            <v>129.21</v>
          </cell>
          <cell r="DW43">
            <v>28.4</v>
          </cell>
          <cell r="DX43">
            <v>47.8</v>
          </cell>
          <cell r="DY43">
            <v>76.199999999999989</v>
          </cell>
          <cell r="EA43">
            <v>5.0999999999999996</v>
          </cell>
          <cell r="EB43">
            <v>47</v>
          </cell>
          <cell r="EC43">
            <v>52.1</v>
          </cell>
          <cell r="EE43">
            <v>2.9</v>
          </cell>
          <cell r="EF43">
            <v>42</v>
          </cell>
          <cell r="EG43">
            <v>44.9</v>
          </cell>
          <cell r="EI43">
            <v>25.4</v>
          </cell>
          <cell r="EJ43">
            <v>4</v>
          </cell>
          <cell r="EK43">
            <v>29.4</v>
          </cell>
          <cell r="EM43" t="str">
            <v xml:space="preserve"> 1Q</v>
          </cell>
          <cell r="EN43">
            <v>15.5</v>
          </cell>
          <cell r="EO43">
            <v>7.9</v>
          </cell>
          <cell r="EP43">
            <v>23.4</v>
          </cell>
          <cell r="ER43">
            <v>8.8000000000000007</v>
          </cell>
          <cell r="ES43">
            <v>11.7</v>
          </cell>
          <cell r="ET43">
            <v>20.5</v>
          </cell>
          <cell r="EV43">
            <v>0</v>
          </cell>
          <cell r="EW43">
            <v>21.9</v>
          </cell>
          <cell r="EX43">
            <v>21.9</v>
          </cell>
          <cell r="EZ43">
            <v>16.700000000000006</v>
          </cell>
          <cell r="FA43">
            <v>54.790000000000013</v>
          </cell>
          <cell r="FB43">
            <v>71.490000000000023</v>
          </cell>
          <cell r="FD43">
            <v>129.5</v>
          </cell>
          <cell r="FE43">
            <v>339.6</v>
          </cell>
          <cell r="FF43">
            <v>469.1</v>
          </cell>
          <cell r="FH43">
            <v>783</v>
          </cell>
          <cell r="FI43">
            <v>1046.2</v>
          </cell>
          <cell r="FJ43">
            <v>1829.2</v>
          </cell>
        </row>
        <row r="44">
          <cell r="A44" t="str">
            <v xml:space="preserve"> 2Q</v>
          </cell>
          <cell r="B44">
            <v>0</v>
          </cell>
          <cell r="C44">
            <v>0</v>
          </cell>
          <cell r="D44">
            <v>0</v>
          </cell>
          <cell r="F44">
            <v>0</v>
          </cell>
          <cell r="G44">
            <v>0</v>
          </cell>
          <cell r="H44">
            <v>0</v>
          </cell>
          <cell r="J44">
            <v>49.9</v>
          </cell>
          <cell r="K44">
            <v>53.9</v>
          </cell>
          <cell r="L44">
            <v>103.8</v>
          </cell>
          <cell r="N44">
            <v>10.199999999999999</v>
          </cell>
          <cell r="O44">
            <v>30.7</v>
          </cell>
          <cell r="P44">
            <v>40.9</v>
          </cell>
          <cell r="R44">
            <v>63</v>
          </cell>
          <cell r="S44">
            <v>9.3000000000000007</v>
          </cell>
          <cell r="T44">
            <v>72.3</v>
          </cell>
          <cell r="V44">
            <v>45.1</v>
          </cell>
          <cell r="W44">
            <v>8.3000000000000007</v>
          </cell>
          <cell r="X44">
            <v>53.400000000000006</v>
          </cell>
          <cell r="AD44">
            <v>34.9</v>
          </cell>
          <cell r="AE44">
            <v>2.6</v>
          </cell>
          <cell r="AF44">
            <v>37.5</v>
          </cell>
          <cell r="AH44" t="str">
            <v xml:space="preserve"> 2Q</v>
          </cell>
          <cell r="AI44">
            <v>0</v>
          </cell>
          <cell r="AJ44">
            <v>29</v>
          </cell>
          <cell r="AK44">
            <v>29</v>
          </cell>
          <cell r="AM44">
            <v>10.199999999999999</v>
          </cell>
          <cell r="AN44">
            <v>4.7</v>
          </cell>
          <cell r="AO44">
            <v>14.899999999999999</v>
          </cell>
          <cell r="AQ44">
            <v>30.8</v>
          </cell>
          <cell r="AR44">
            <v>56.7</v>
          </cell>
          <cell r="AS44">
            <v>87.5</v>
          </cell>
          <cell r="AU44">
            <v>30.8</v>
          </cell>
          <cell r="AV44">
            <v>56.7</v>
          </cell>
          <cell r="AW44">
            <v>87.5</v>
          </cell>
          <cell r="AY44">
            <v>35.000000000000028</v>
          </cell>
          <cell r="AZ44">
            <v>142.90000000000003</v>
          </cell>
          <cell r="BA44">
            <v>177.90000000000006</v>
          </cell>
          <cell r="BC44">
            <v>279.10000000000002</v>
          </cell>
          <cell r="BD44">
            <v>338.1</v>
          </cell>
          <cell r="BE44">
            <v>617.20000000000005</v>
          </cell>
          <cell r="BG44">
            <v>45.1</v>
          </cell>
          <cell r="BH44">
            <v>8.3000000000000007</v>
          </cell>
          <cell r="BI44">
            <v>53.400000000000006</v>
          </cell>
          <cell r="BK44">
            <v>0</v>
          </cell>
          <cell r="BL44">
            <v>0</v>
          </cell>
          <cell r="BM44">
            <v>0</v>
          </cell>
          <cell r="BO44">
            <v>279.10000000000002</v>
          </cell>
          <cell r="BP44">
            <v>338.1</v>
          </cell>
          <cell r="BQ44">
            <v>617.20000000000005</v>
          </cell>
          <cell r="BS44" t="str">
            <v xml:space="preserve"> 2Q</v>
          </cell>
          <cell r="BT44">
            <v>42.9</v>
          </cell>
          <cell r="BU44">
            <v>145.19999999999999</v>
          </cell>
          <cell r="BV44">
            <v>188.1</v>
          </cell>
          <cell r="BX44">
            <v>70.7</v>
          </cell>
          <cell r="BY44">
            <v>24.1</v>
          </cell>
          <cell r="BZ44">
            <v>94.800000000000011</v>
          </cell>
          <cell r="CB44">
            <v>21</v>
          </cell>
          <cell r="CC44">
            <v>35</v>
          </cell>
          <cell r="CD44">
            <v>56</v>
          </cell>
          <cell r="CJ44">
            <v>19.600000000000001</v>
          </cell>
          <cell r="CK44">
            <v>5.5</v>
          </cell>
          <cell r="CL44">
            <v>25.1</v>
          </cell>
          <cell r="CN44">
            <v>30.2</v>
          </cell>
          <cell r="CO44">
            <v>2.4</v>
          </cell>
          <cell r="CP44">
            <v>32.6</v>
          </cell>
          <cell r="CR44">
            <v>17.899999999999999</v>
          </cell>
          <cell r="CS44">
            <v>2.2999999999999998</v>
          </cell>
          <cell r="CT44">
            <v>20.2</v>
          </cell>
          <cell r="CV44" t="str">
            <v xml:space="preserve"> 2Q</v>
          </cell>
          <cell r="CX44">
            <v>19.2</v>
          </cell>
          <cell r="CY44">
            <v>0</v>
          </cell>
          <cell r="CZ44">
            <v>19.2</v>
          </cell>
          <cell r="DB44">
            <v>18.899999999999999</v>
          </cell>
          <cell r="DC44">
            <v>2</v>
          </cell>
          <cell r="DD44">
            <v>20.9</v>
          </cell>
          <cell r="DF44">
            <v>5</v>
          </cell>
          <cell r="DG44">
            <v>6</v>
          </cell>
          <cell r="DH44">
            <v>11</v>
          </cell>
          <cell r="DJ44">
            <v>112.30000000000004</v>
          </cell>
          <cell r="DK44">
            <v>128.39999999999998</v>
          </cell>
          <cell r="DL44">
            <v>240.70000000000002</v>
          </cell>
          <cell r="DN44">
            <v>357.7</v>
          </cell>
          <cell r="DO44">
            <v>350.9</v>
          </cell>
          <cell r="DP44">
            <v>708.59999999999991</v>
          </cell>
          <cell r="DR44" t="str">
            <v xml:space="preserve"> 2Q</v>
          </cell>
          <cell r="DS44">
            <v>22.9</v>
          </cell>
          <cell r="DT44">
            <v>87.1</v>
          </cell>
          <cell r="DU44">
            <v>110</v>
          </cell>
          <cell r="DW44">
            <v>42.3</v>
          </cell>
          <cell r="DX44">
            <v>52.8</v>
          </cell>
          <cell r="DY44">
            <v>95.1</v>
          </cell>
          <cell r="EA44">
            <v>5.0999999999999996</v>
          </cell>
          <cell r="EB44">
            <v>48</v>
          </cell>
          <cell r="EC44">
            <v>53.1</v>
          </cell>
          <cell r="EE44">
            <v>2.9</v>
          </cell>
          <cell r="EF44">
            <v>43</v>
          </cell>
          <cell r="EG44">
            <v>45.9</v>
          </cell>
          <cell r="EI44">
            <v>21.4</v>
          </cell>
          <cell r="EJ44">
            <v>4.2</v>
          </cell>
          <cell r="EK44">
            <v>25.599999999999998</v>
          </cell>
          <cell r="EM44" t="str">
            <v xml:space="preserve"> 2Q</v>
          </cell>
          <cell r="EN44">
            <v>16.600000000000001</v>
          </cell>
          <cell r="EO44">
            <v>8.1</v>
          </cell>
          <cell r="EP44">
            <v>24.700000000000003</v>
          </cell>
          <cell r="ER44">
            <v>10.5</v>
          </cell>
          <cell r="ES44">
            <v>12.9</v>
          </cell>
          <cell r="ET44">
            <v>23.4</v>
          </cell>
          <cell r="EV44">
            <v>0</v>
          </cell>
          <cell r="EW44">
            <v>17</v>
          </cell>
          <cell r="EX44">
            <v>17</v>
          </cell>
          <cell r="EZ44">
            <v>16.399999999999991</v>
          </cell>
          <cell r="FA44">
            <v>54.200000000000031</v>
          </cell>
          <cell r="FB44">
            <v>70.600000000000023</v>
          </cell>
          <cell r="FD44">
            <v>138.1</v>
          </cell>
          <cell r="FE44">
            <v>327.3</v>
          </cell>
          <cell r="FF44">
            <v>465.4</v>
          </cell>
          <cell r="FH44">
            <v>774.9</v>
          </cell>
          <cell r="FI44">
            <v>1016.3</v>
          </cell>
          <cell r="FJ44">
            <v>1791.1999999999998</v>
          </cell>
        </row>
        <row r="45">
          <cell r="A45" t="str">
            <v xml:space="preserve"> 3Q</v>
          </cell>
          <cell r="B45">
            <v>0</v>
          </cell>
          <cell r="C45">
            <v>0</v>
          </cell>
          <cell r="D45">
            <v>0</v>
          </cell>
          <cell r="F45">
            <v>0</v>
          </cell>
          <cell r="G45">
            <v>0</v>
          </cell>
          <cell r="H45">
            <v>0</v>
          </cell>
          <cell r="J45">
            <v>52.8</v>
          </cell>
          <cell r="K45">
            <v>48.4</v>
          </cell>
          <cell r="L45">
            <v>101.19999999999999</v>
          </cell>
          <cell r="N45">
            <v>11</v>
          </cell>
          <cell r="O45">
            <v>30</v>
          </cell>
          <cell r="P45">
            <v>41</v>
          </cell>
          <cell r="R45">
            <v>48.5</v>
          </cell>
          <cell r="S45">
            <v>9.3000000000000007</v>
          </cell>
          <cell r="T45">
            <v>57.8</v>
          </cell>
          <cell r="V45">
            <v>51.2</v>
          </cell>
          <cell r="W45">
            <v>8.6</v>
          </cell>
          <cell r="X45">
            <v>59.800000000000004</v>
          </cell>
          <cell r="AD45">
            <v>36.200000000000003</v>
          </cell>
          <cell r="AE45">
            <v>2.5</v>
          </cell>
          <cell r="AF45">
            <v>38.700000000000003</v>
          </cell>
          <cell r="AH45" t="str">
            <v xml:space="preserve"> 3Q</v>
          </cell>
          <cell r="AI45">
            <v>0</v>
          </cell>
          <cell r="AJ45">
            <v>26</v>
          </cell>
          <cell r="AK45">
            <v>26</v>
          </cell>
          <cell r="AM45">
            <v>13</v>
          </cell>
          <cell r="AN45">
            <v>5</v>
          </cell>
          <cell r="AO45">
            <v>18</v>
          </cell>
          <cell r="AQ45">
            <v>29</v>
          </cell>
          <cell r="AR45">
            <v>49</v>
          </cell>
          <cell r="AS45">
            <v>78</v>
          </cell>
          <cell r="AU45">
            <v>29</v>
          </cell>
          <cell r="AV45">
            <v>49</v>
          </cell>
          <cell r="AW45">
            <v>78</v>
          </cell>
          <cell r="AY45">
            <v>48.19999999999996</v>
          </cell>
          <cell r="AZ45">
            <v>135.20000000000002</v>
          </cell>
          <cell r="BA45">
            <v>183.39999999999998</v>
          </cell>
          <cell r="BC45">
            <v>289.89999999999998</v>
          </cell>
          <cell r="BD45">
            <v>314</v>
          </cell>
          <cell r="BE45">
            <v>603.9</v>
          </cell>
          <cell r="BG45">
            <v>51.2</v>
          </cell>
          <cell r="BH45">
            <v>8.6</v>
          </cell>
          <cell r="BI45">
            <v>59.800000000000004</v>
          </cell>
          <cell r="BK45">
            <v>0</v>
          </cell>
          <cell r="BL45">
            <v>0</v>
          </cell>
          <cell r="BM45">
            <v>0</v>
          </cell>
          <cell r="BO45">
            <v>289.89999999999998</v>
          </cell>
          <cell r="BP45">
            <v>314</v>
          </cell>
          <cell r="BQ45">
            <v>603.9</v>
          </cell>
          <cell r="BS45" t="str">
            <v xml:space="preserve"> 3Q</v>
          </cell>
          <cell r="BT45">
            <v>44.9</v>
          </cell>
          <cell r="BU45">
            <v>145.4</v>
          </cell>
          <cell r="BV45">
            <v>190.3</v>
          </cell>
          <cell r="BX45">
            <v>74.5</v>
          </cell>
          <cell r="BY45">
            <v>23.3</v>
          </cell>
          <cell r="BZ45">
            <v>97.8</v>
          </cell>
          <cell r="CB45">
            <v>19</v>
          </cell>
          <cell r="CC45">
            <v>32</v>
          </cell>
          <cell r="CD45">
            <v>51</v>
          </cell>
          <cell r="CJ45">
            <v>37.700000000000003</v>
          </cell>
          <cell r="CK45">
            <v>5.6</v>
          </cell>
          <cell r="CL45">
            <v>43.300000000000004</v>
          </cell>
          <cell r="CN45">
            <v>39.5</v>
          </cell>
          <cell r="CO45">
            <v>1.7</v>
          </cell>
          <cell r="CP45">
            <v>41.2</v>
          </cell>
          <cell r="CR45">
            <v>19.399999999999999</v>
          </cell>
          <cell r="CS45">
            <v>2.1</v>
          </cell>
          <cell r="CT45">
            <v>21.5</v>
          </cell>
          <cell r="CV45" t="str">
            <v xml:space="preserve"> 3Q</v>
          </cell>
          <cell r="CX45">
            <v>19.5</v>
          </cell>
          <cell r="CY45">
            <v>0</v>
          </cell>
          <cell r="CZ45">
            <v>19.5</v>
          </cell>
          <cell r="DB45">
            <v>18.899999999999999</v>
          </cell>
          <cell r="DC45">
            <v>1</v>
          </cell>
          <cell r="DD45">
            <v>19.899999999999999</v>
          </cell>
          <cell r="DF45">
            <v>7.9</v>
          </cell>
          <cell r="DG45">
            <v>7</v>
          </cell>
          <cell r="DH45">
            <v>14.9</v>
          </cell>
          <cell r="DJ45">
            <v>80.599999999999994</v>
          </cell>
          <cell r="DK45">
            <v>111.29999999999997</v>
          </cell>
          <cell r="DL45">
            <v>191.89999999999998</v>
          </cell>
          <cell r="DN45">
            <v>361.9</v>
          </cell>
          <cell r="DO45">
            <v>329.4</v>
          </cell>
          <cell r="DP45">
            <v>691.3</v>
          </cell>
          <cell r="DR45" t="str">
            <v xml:space="preserve"> 3Q</v>
          </cell>
          <cell r="DS45">
            <v>56.6</v>
          </cell>
          <cell r="DT45">
            <v>90.1</v>
          </cell>
          <cell r="DU45">
            <v>146.69999999999999</v>
          </cell>
          <cell r="DW45">
            <v>27.9</v>
          </cell>
          <cell r="DX45">
            <v>47.3</v>
          </cell>
          <cell r="DY45">
            <v>75.199999999999989</v>
          </cell>
          <cell r="EA45">
            <v>5</v>
          </cell>
          <cell r="EB45">
            <v>44</v>
          </cell>
          <cell r="EC45">
            <v>49</v>
          </cell>
          <cell r="EE45">
            <v>3</v>
          </cell>
          <cell r="EF45">
            <v>45</v>
          </cell>
          <cell r="EG45">
            <v>48</v>
          </cell>
          <cell r="EI45">
            <v>22.8</v>
          </cell>
          <cell r="EJ45">
            <v>4</v>
          </cell>
          <cell r="EK45">
            <v>26.8</v>
          </cell>
          <cell r="EM45" t="str">
            <v xml:space="preserve"> 3Q</v>
          </cell>
          <cell r="EN45">
            <v>11.4</v>
          </cell>
          <cell r="EO45">
            <v>8</v>
          </cell>
          <cell r="EP45">
            <v>19.399999999999999</v>
          </cell>
          <cell r="ER45">
            <v>9.1999999999999993</v>
          </cell>
          <cell r="ES45">
            <v>12.7</v>
          </cell>
          <cell r="ET45">
            <v>21.9</v>
          </cell>
          <cell r="EV45">
            <v>0</v>
          </cell>
          <cell r="EW45">
            <v>19</v>
          </cell>
          <cell r="EX45">
            <v>19</v>
          </cell>
          <cell r="EZ45">
            <v>20.600000000000005</v>
          </cell>
          <cell r="FA45">
            <v>46.3</v>
          </cell>
          <cell r="FB45">
            <v>66.900000000000006</v>
          </cell>
          <cell r="FD45">
            <v>156.5</v>
          </cell>
          <cell r="FE45">
            <v>316.39999999999998</v>
          </cell>
          <cell r="FF45">
            <v>472.9</v>
          </cell>
          <cell r="FH45">
            <v>808.3</v>
          </cell>
          <cell r="FI45">
            <v>959.8</v>
          </cell>
          <cell r="FJ45">
            <v>1768.1</v>
          </cell>
        </row>
        <row r="46">
          <cell r="A46" t="str">
            <v xml:space="preserve"> 4Q</v>
          </cell>
          <cell r="B46">
            <v>0</v>
          </cell>
          <cell r="C46">
            <v>0</v>
          </cell>
          <cell r="D46">
            <v>0</v>
          </cell>
          <cell r="F46">
            <v>0</v>
          </cell>
          <cell r="G46">
            <v>0</v>
          </cell>
          <cell r="H46">
            <v>0</v>
          </cell>
          <cell r="J46">
            <v>49.3</v>
          </cell>
          <cell r="K46">
            <v>52.5</v>
          </cell>
          <cell r="L46">
            <v>101.8</v>
          </cell>
          <cell r="N46">
            <v>10</v>
          </cell>
          <cell r="O46">
            <v>31</v>
          </cell>
          <cell r="P46">
            <v>41</v>
          </cell>
          <cell r="R46">
            <v>57.1</v>
          </cell>
          <cell r="S46">
            <v>10</v>
          </cell>
          <cell r="T46">
            <v>67.099999999999994</v>
          </cell>
          <cell r="V46">
            <v>60.1</v>
          </cell>
          <cell r="W46">
            <v>10.4</v>
          </cell>
          <cell r="X46">
            <v>70.5</v>
          </cell>
          <cell r="AD46">
            <v>37.799999999999997</v>
          </cell>
          <cell r="AE46">
            <v>2.7</v>
          </cell>
          <cell r="AF46">
            <v>40.5</v>
          </cell>
          <cell r="AH46" t="str">
            <v xml:space="preserve"> 4Q</v>
          </cell>
          <cell r="AI46">
            <v>0</v>
          </cell>
          <cell r="AJ46">
            <v>30</v>
          </cell>
          <cell r="AK46">
            <v>30</v>
          </cell>
          <cell r="AM46">
            <v>9</v>
          </cell>
          <cell r="AN46">
            <v>5</v>
          </cell>
          <cell r="AO46">
            <v>14</v>
          </cell>
          <cell r="AQ46">
            <v>28</v>
          </cell>
          <cell r="AR46">
            <v>48</v>
          </cell>
          <cell r="AS46">
            <v>76</v>
          </cell>
          <cell r="AU46">
            <v>28</v>
          </cell>
          <cell r="AV46">
            <v>48</v>
          </cell>
          <cell r="AW46">
            <v>76</v>
          </cell>
          <cell r="AY46">
            <v>21.899999999999991</v>
          </cell>
          <cell r="AZ46">
            <v>146.6</v>
          </cell>
          <cell r="BA46">
            <v>168.5</v>
          </cell>
          <cell r="BC46">
            <v>273.2</v>
          </cell>
          <cell r="BD46">
            <v>336.2</v>
          </cell>
          <cell r="BE46">
            <v>609.4</v>
          </cell>
          <cell r="BG46">
            <v>60.1</v>
          </cell>
          <cell r="BH46">
            <v>10.4</v>
          </cell>
          <cell r="BI46">
            <v>70.5</v>
          </cell>
          <cell r="BK46">
            <v>15</v>
          </cell>
          <cell r="BL46">
            <v>0</v>
          </cell>
          <cell r="BM46">
            <v>15</v>
          </cell>
          <cell r="BO46">
            <v>288.2</v>
          </cell>
          <cell r="BP46">
            <v>336.2</v>
          </cell>
          <cell r="BQ46">
            <v>624.4</v>
          </cell>
          <cell r="BS46" t="str">
            <v xml:space="preserve"> 4Q</v>
          </cell>
          <cell r="BT46">
            <v>40.4</v>
          </cell>
          <cell r="BU46">
            <v>145.1</v>
          </cell>
          <cell r="BV46">
            <v>185.5</v>
          </cell>
          <cell r="BX46">
            <v>80.599999999999994</v>
          </cell>
          <cell r="BY46">
            <v>26</v>
          </cell>
          <cell r="BZ46">
            <v>106.6</v>
          </cell>
          <cell r="CB46">
            <v>21</v>
          </cell>
          <cell r="CC46">
            <v>32</v>
          </cell>
          <cell r="CD46">
            <v>53</v>
          </cell>
          <cell r="CJ46">
            <v>47</v>
          </cell>
          <cell r="CK46">
            <v>6.6</v>
          </cell>
          <cell r="CL46">
            <v>53.6</v>
          </cell>
          <cell r="CN46">
            <v>29.3</v>
          </cell>
          <cell r="CO46">
            <v>1.2</v>
          </cell>
          <cell r="CP46">
            <v>30.5</v>
          </cell>
          <cell r="CR46">
            <v>20.2</v>
          </cell>
          <cell r="CS46">
            <v>2.4</v>
          </cell>
          <cell r="CT46">
            <v>22.599999999999998</v>
          </cell>
          <cell r="CV46" t="str">
            <v xml:space="preserve"> 4Q</v>
          </cell>
          <cell r="CX46">
            <v>26.1</v>
          </cell>
          <cell r="CY46">
            <v>0</v>
          </cell>
          <cell r="CZ46">
            <v>26.1</v>
          </cell>
          <cell r="DB46">
            <v>12.4</v>
          </cell>
          <cell r="DC46">
            <v>1.3</v>
          </cell>
          <cell r="DD46">
            <v>13.700000000000001</v>
          </cell>
          <cell r="DF46">
            <v>7.7</v>
          </cell>
          <cell r="DG46">
            <v>7.8</v>
          </cell>
          <cell r="DH46">
            <v>15.5</v>
          </cell>
          <cell r="DJ46">
            <v>69.199999999999974</v>
          </cell>
          <cell r="DK46">
            <v>120.3</v>
          </cell>
          <cell r="DL46">
            <v>189.49999999999997</v>
          </cell>
          <cell r="DN46">
            <v>353.9</v>
          </cell>
          <cell r="DO46">
            <v>342.7</v>
          </cell>
          <cell r="DP46">
            <v>696.59999999999991</v>
          </cell>
          <cell r="DR46" t="str">
            <v xml:space="preserve"> 4Q</v>
          </cell>
          <cell r="DS46">
            <v>61.3</v>
          </cell>
          <cell r="DT46">
            <v>114.9</v>
          </cell>
          <cell r="DU46">
            <v>176.2</v>
          </cell>
          <cell r="DW46">
            <v>33.700000000000003</v>
          </cell>
          <cell r="DX46">
            <v>53.9</v>
          </cell>
          <cell r="DY46">
            <v>87.6</v>
          </cell>
          <cell r="EA46">
            <v>4.9000000000000004</v>
          </cell>
          <cell r="EB46">
            <v>52.2</v>
          </cell>
          <cell r="EC46">
            <v>57.1</v>
          </cell>
          <cell r="EE46">
            <v>2.2999999999999998</v>
          </cell>
          <cell r="EF46">
            <v>39.700000000000003</v>
          </cell>
          <cell r="EG46">
            <v>42</v>
          </cell>
          <cell r="EI46">
            <v>24.8</v>
          </cell>
          <cell r="EJ46">
            <v>4.2</v>
          </cell>
          <cell r="EK46">
            <v>29</v>
          </cell>
          <cell r="EM46" t="str">
            <v xml:space="preserve"> 4Q</v>
          </cell>
          <cell r="EN46">
            <v>11.9</v>
          </cell>
          <cell r="EO46">
            <v>10</v>
          </cell>
          <cell r="EP46">
            <v>21.9</v>
          </cell>
          <cell r="ER46">
            <v>8.6999999999999993</v>
          </cell>
          <cell r="ES46">
            <v>14</v>
          </cell>
          <cell r="ET46">
            <v>22.7</v>
          </cell>
          <cell r="EV46">
            <v>0</v>
          </cell>
          <cell r="EW46">
            <v>18.100000000000001</v>
          </cell>
          <cell r="EX46">
            <v>18.100000000000001</v>
          </cell>
          <cell r="EZ46">
            <v>17.700000000000014</v>
          </cell>
          <cell r="FA46">
            <v>49.600000000000016</v>
          </cell>
          <cell r="FB46">
            <v>67.300000000000026</v>
          </cell>
          <cell r="FD46">
            <v>165.3</v>
          </cell>
          <cell r="FE46">
            <v>356.6</v>
          </cell>
          <cell r="FF46">
            <v>521.90000000000009</v>
          </cell>
          <cell r="FH46">
            <v>807.39999999999986</v>
          </cell>
          <cell r="FI46">
            <v>1035.5</v>
          </cell>
          <cell r="FJ46">
            <v>1842.8999999999999</v>
          </cell>
        </row>
        <row r="48">
          <cell r="A48" t="str">
            <v>1996</v>
          </cell>
          <cell r="B48">
            <v>0</v>
          </cell>
          <cell r="C48">
            <v>0</v>
          </cell>
          <cell r="D48">
            <v>0</v>
          </cell>
          <cell r="F48">
            <v>0</v>
          </cell>
          <cell r="G48">
            <v>0</v>
          </cell>
          <cell r="H48">
            <v>0</v>
          </cell>
          <cell r="J48">
            <v>203.10000000000002</v>
          </cell>
          <cell r="K48">
            <v>202.9</v>
          </cell>
          <cell r="L48">
            <v>406</v>
          </cell>
          <cell r="N48">
            <v>55.2</v>
          </cell>
          <cell r="O48">
            <v>123.7</v>
          </cell>
          <cell r="P48">
            <v>178.9</v>
          </cell>
          <cell r="R48">
            <v>240.1</v>
          </cell>
          <cell r="S48">
            <v>37.200000000000003</v>
          </cell>
          <cell r="T48">
            <v>277.29999999999995</v>
          </cell>
          <cell r="V48">
            <v>195.70000000000002</v>
          </cell>
          <cell r="W48">
            <v>35.299999999999997</v>
          </cell>
          <cell r="X48">
            <v>231</v>
          </cell>
          <cell r="AD48">
            <v>147.19999999999999</v>
          </cell>
          <cell r="AE48">
            <v>10.100000000000001</v>
          </cell>
          <cell r="AF48">
            <v>157.30000000000001</v>
          </cell>
          <cell r="AH48" t="str">
            <v>1996</v>
          </cell>
          <cell r="AI48" t="e">
            <v>#REF!</v>
          </cell>
          <cell r="AJ48">
            <v>113</v>
          </cell>
          <cell r="AK48">
            <v>113</v>
          </cell>
          <cell r="AM48">
            <v>46.2</v>
          </cell>
          <cell r="AN48">
            <v>18.7</v>
          </cell>
          <cell r="AO48">
            <v>64.900000000000006</v>
          </cell>
          <cell r="AQ48">
            <v>119.8</v>
          </cell>
          <cell r="AR48">
            <v>212.7</v>
          </cell>
          <cell r="AS48">
            <v>332.5</v>
          </cell>
          <cell r="AU48">
            <v>119.8</v>
          </cell>
          <cell r="AV48">
            <v>212.7</v>
          </cell>
          <cell r="AW48">
            <v>332.5</v>
          </cell>
          <cell r="AY48">
            <v>158.39999999999992</v>
          </cell>
          <cell r="AZ48">
            <v>570.50000000000011</v>
          </cell>
          <cell r="BA48">
            <v>728.9</v>
          </cell>
          <cell r="BC48">
            <v>1165.7</v>
          </cell>
          <cell r="BD48">
            <v>1324.1000000000001</v>
          </cell>
          <cell r="BE48">
            <v>2489.8000000000002</v>
          </cell>
          <cell r="BG48">
            <v>195.70000000000002</v>
          </cell>
          <cell r="BH48">
            <v>35.299999999999997</v>
          </cell>
          <cell r="BI48">
            <v>231</v>
          </cell>
          <cell r="BK48">
            <v>15</v>
          </cell>
          <cell r="BL48">
            <v>0</v>
          </cell>
          <cell r="BM48">
            <v>15</v>
          </cell>
          <cell r="BO48">
            <v>1180.7</v>
          </cell>
          <cell r="BP48">
            <v>1324.1000000000001</v>
          </cell>
          <cell r="BQ48">
            <v>2504.8000000000002</v>
          </cell>
          <cell r="BS48" t="str">
            <v>1996</v>
          </cell>
          <cell r="BT48">
            <v>162.70000000000002</v>
          </cell>
          <cell r="BU48">
            <v>576.5</v>
          </cell>
          <cell r="BV48">
            <v>739.2</v>
          </cell>
          <cell r="BX48">
            <v>296.60000000000002</v>
          </cell>
          <cell r="BY48">
            <v>95.2</v>
          </cell>
          <cell r="BZ48">
            <v>391.79999999999995</v>
          </cell>
          <cell r="CB48">
            <v>82</v>
          </cell>
          <cell r="CC48">
            <v>141</v>
          </cell>
          <cell r="CD48">
            <v>223</v>
          </cell>
          <cell r="CJ48">
            <v>134.10000000000002</v>
          </cell>
          <cell r="CK48">
            <v>26.1</v>
          </cell>
          <cell r="CL48">
            <v>160.20000000000002</v>
          </cell>
          <cell r="CN48">
            <v>132</v>
          </cell>
          <cell r="CO48">
            <v>7.2</v>
          </cell>
          <cell r="CP48">
            <v>139.19999999999999</v>
          </cell>
          <cell r="CR48">
            <v>78.699999999999989</v>
          </cell>
          <cell r="CS48">
            <v>8.8000000000000007</v>
          </cell>
          <cell r="CT48">
            <v>87.5</v>
          </cell>
          <cell r="CV48" t="str">
            <v>1996</v>
          </cell>
          <cell r="CX48">
            <v>88.5</v>
          </cell>
          <cell r="CY48">
            <v>0</v>
          </cell>
          <cell r="CZ48">
            <v>88.5</v>
          </cell>
          <cell r="DB48">
            <v>71.099999999999994</v>
          </cell>
          <cell r="DC48">
            <v>5.3</v>
          </cell>
          <cell r="DD48">
            <v>76.399999999999991</v>
          </cell>
          <cell r="DF48">
            <v>25.599999999999998</v>
          </cell>
          <cell r="DG48">
            <v>29.8</v>
          </cell>
          <cell r="DH48">
            <v>55.4</v>
          </cell>
          <cell r="DJ48">
            <v>332.2</v>
          </cell>
          <cell r="DK48">
            <v>503.89999999999992</v>
          </cell>
          <cell r="DL48">
            <v>836.09999999999991</v>
          </cell>
          <cell r="DN48">
            <v>1403.5</v>
          </cell>
          <cell r="DO48">
            <v>1393.8</v>
          </cell>
          <cell r="DP48">
            <v>2797.2999999999997</v>
          </cell>
          <cell r="DR48" t="str">
            <v>1996</v>
          </cell>
          <cell r="DS48">
            <v>167.5</v>
          </cell>
          <cell r="DT48">
            <v>394.61</v>
          </cell>
          <cell r="DU48">
            <v>562.1099999999999</v>
          </cell>
          <cell r="DW48">
            <v>132.30000000000001</v>
          </cell>
          <cell r="DX48">
            <v>201.79999999999998</v>
          </cell>
          <cell r="DY48">
            <v>334.09999999999997</v>
          </cell>
          <cell r="EA48">
            <v>20.100000000000001</v>
          </cell>
          <cell r="EB48">
            <v>191.2</v>
          </cell>
          <cell r="EC48">
            <v>211.29999999999998</v>
          </cell>
          <cell r="EE48">
            <v>11.100000000000001</v>
          </cell>
          <cell r="EF48">
            <v>169.7</v>
          </cell>
          <cell r="EG48">
            <v>180.8</v>
          </cell>
          <cell r="EI48">
            <v>94.399999999999991</v>
          </cell>
          <cell r="EJ48">
            <v>16.399999999999999</v>
          </cell>
          <cell r="EK48">
            <v>110.8</v>
          </cell>
          <cell r="EM48" t="str">
            <v>1996</v>
          </cell>
          <cell r="EN48">
            <v>55.4</v>
          </cell>
          <cell r="EO48">
            <v>34</v>
          </cell>
          <cell r="EP48">
            <v>89.4</v>
          </cell>
          <cell r="ER48">
            <v>37.200000000000003</v>
          </cell>
          <cell r="ES48">
            <v>51.3</v>
          </cell>
          <cell r="ET48">
            <v>88.5</v>
          </cell>
          <cell r="EV48">
            <v>0</v>
          </cell>
          <cell r="EW48">
            <v>76</v>
          </cell>
          <cell r="EX48">
            <v>76</v>
          </cell>
          <cell r="EZ48">
            <v>71.40000000000002</v>
          </cell>
          <cell r="FA48">
            <v>204.89000000000004</v>
          </cell>
          <cell r="FB48">
            <v>276.29000000000008</v>
          </cell>
          <cell r="FD48">
            <v>589.40000000000009</v>
          </cell>
          <cell r="FE48">
            <v>1339.9</v>
          </cell>
          <cell r="FF48">
            <v>1929.3000000000002</v>
          </cell>
          <cell r="FH48">
            <v>3173.5999999999995</v>
          </cell>
          <cell r="FI48">
            <v>4057.8</v>
          </cell>
          <cell r="FJ48">
            <v>7231.4</v>
          </cell>
        </row>
        <row r="50">
          <cell r="A50" t="str">
            <v xml:space="preserve">1997/96 </v>
          </cell>
          <cell r="AH50" t="str">
            <v xml:space="preserve">1997/96 </v>
          </cell>
          <cell r="BS50" t="str">
            <v xml:space="preserve">1997/96 </v>
          </cell>
          <cell r="CV50" t="str">
            <v xml:space="preserve">1997/96 </v>
          </cell>
          <cell r="DR50" t="str">
            <v xml:space="preserve">1997/96 </v>
          </cell>
          <cell r="EM50" t="str">
            <v xml:space="preserve">1997/96 </v>
          </cell>
        </row>
        <row r="51">
          <cell r="A51" t="str">
            <v xml:space="preserve"> 1Q</v>
          </cell>
          <cell r="B51" t="str">
            <v>NM</v>
          </cell>
          <cell r="C51" t="str">
            <v>NM</v>
          </cell>
          <cell r="D51" t="str">
            <v>NM</v>
          </cell>
          <cell r="F51" t="str">
            <v>NM</v>
          </cell>
          <cell r="G51" t="str">
            <v>NM</v>
          </cell>
          <cell r="H51" t="str">
            <v>NM</v>
          </cell>
          <cell r="I51" t="e">
            <v>#DIV/0!</v>
          </cell>
          <cell r="J51">
            <v>7.4363992172211235E-2</v>
          </cell>
          <cell r="K51">
            <v>7.6923076923076872E-2</v>
          </cell>
          <cell r="L51">
            <v>7.5604838709677269E-2</v>
          </cell>
          <cell r="M51" t="e">
            <v>#DIV/0!</v>
          </cell>
          <cell r="N51">
            <v>-0.6166666666666667</v>
          </cell>
          <cell r="O51">
            <v>-0.17812499999999998</v>
          </cell>
          <cell r="P51">
            <v>-0.3660714285714286</v>
          </cell>
          <cell r="R51">
            <v>-0.18041958041958039</v>
          </cell>
          <cell r="S51">
            <v>2.3255813953488413E-2</v>
          </cell>
          <cell r="T51">
            <v>-0.15855181023720333</v>
          </cell>
          <cell r="U51" t="e">
            <v>#DIV/0!</v>
          </cell>
          <cell r="V51">
            <v>0.57506361323155231</v>
          </cell>
          <cell r="W51">
            <v>0.3125</v>
          </cell>
          <cell r="X51">
            <v>0.53065539112050764</v>
          </cell>
          <cell r="AD51">
            <v>-0.14882506527415129</v>
          </cell>
          <cell r="AE51">
            <v>4.3478260869565188E-2</v>
          </cell>
          <cell r="AF51">
            <v>-0.13793103448275845</v>
          </cell>
          <cell r="AH51" t="str">
            <v xml:space="preserve"> 1Q</v>
          </cell>
          <cell r="AI51" t="str">
            <v>NM</v>
          </cell>
          <cell r="AJ51">
            <v>0.10357142857142843</v>
          </cell>
          <cell r="AK51">
            <v>0.10357142857142843</v>
          </cell>
          <cell r="AM51">
            <v>-0.51428571428571423</v>
          </cell>
          <cell r="AN51">
            <v>0.39999999999999991</v>
          </cell>
          <cell r="AO51">
            <v>-0.31111111111111123</v>
          </cell>
          <cell r="AQ51">
            <v>0.11562500000000009</v>
          </cell>
          <cell r="AR51">
            <v>-6.6101694915254194E-2</v>
          </cell>
          <cell r="AS51">
            <v>-2.197802197802079E-3</v>
          </cell>
          <cell r="AT51" t="e">
            <v>#DIV/0!</v>
          </cell>
          <cell r="AU51">
            <v>-1</v>
          </cell>
          <cell r="AV51">
            <v>-1</v>
          </cell>
          <cell r="AW51">
            <v>-1</v>
          </cell>
          <cell r="AX51" t="e">
            <v>#DIV/0!</v>
          </cell>
          <cell r="AY51">
            <v>-0.22514071294559035</v>
          </cell>
          <cell r="AZ51">
            <v>-0.18312757201646102</v>
          </cell>
          <cell r="BA51">
            <v>-0.19437468608739328</v>
          </cell>
          <cell r="BC51">
            <v>0.14621329211746525</v>
          </cell>
          <cell r="BD51">
            <v>-6.0750446694461058E-2</v>
          </cell>
          <cell r="BE51">
            <v>4.0800849385712157E-2</v>
          </cell>
          <cell r="BG51">
            <v>-1</v>
          </cell>
          <cell r="BH51">
            <v>-1</v>
          </cell>
          <cell r="BI51">
            <v>-1</v>
          </cell>
          <cell r="BK51" t="str">
            <v>NM</v>
          </cell>
          <cell r="BL51" t="str">
            <v>NM</v>
          </cell>
          <cell r="BM51" t="str">
            <v>NM</v>
          </cell>
          <cell r="BO51">
            <v>0.14621329211746525</v>
          </cell>
          <cell r="BP51">
            <v>-6.0750446694461058E-2</v>
          </cell>
          <cell r="BQ51">
            <v>4.0800849385712157E-2</v>
          </cell>
          <cell r="BS51" t="str">
            <v xml:space="preserve"> 1Q</v>
          </cell>
          <cell r="BT51">
            <v>5.7971014492753659E-2</v>
          </cell>
          <cell r="BU51">
            <v>-6.6761363636363646E-2</v>
          </cell>
          <cell r="BV51">
            <v>-4.2213348545350859E-2</v>
          </cell>
          <cell r="BX51">
            <v>4.8022598870056665E-2</v>
          </cell>
          <cell r="BY51">
            <v>0.10550458715596323</v>
          </cell>
          <cell r="BZ51">
            <v>6.1555075593952679E-2</v>
          </cell>
          <cell r="CB51">
            <v>-8.0952380952380887E-2</v>
          </cell>
          <cell r="CC51">
            <v>-0.20714285714285718</v>
          </cell>
          <cell r="CD51">
            <v>-0.16507936507936516</v>
          </cell>
          <cell r="CJ51">
            <v>7.0469798657718075E-2</v>
          </cell>
          <cell r="CK51">
            <v>0.15476190476190466</v>
          </cell>
          <cell r="CL51">
            <v>8.9005235602094057E-2</v>
          </cell>
          <cell r="CN51">
            <v>-6.9696969696969702E-2</v>
          </cell>
          <cell r="CO51">
            <v>0.15789473684210531</v>
          </cell>
          <cell r="CP51">
            <v>-5.7306590257879653E-2</v>
          </cell>
          <cell r="CR51">
            <v>-0.19339622641509424</v>
          </cell>
          <cell r="CS51">
            <v>0.10000000000000009</v>
          </cell>
          <cell r="CT51">
            <v>-0.16810344827586199</v>
          </cell>
          <cell r="CV51" t="str">
            <v xml:space="preserve"> 1Q</v>
          </cell>
          <cell r="CX51">
            <v>-5.4852320675105481E-2</v>
          </cell>
          <cell r="CY51" t="str">
            <v>NM</v>
          </cell>
          <cell r="CZ51">
            <v>0.20675105485232059</v>
          </cell>
          <cell r="DB51">
            <v>-0.12918660287081341</v>
          </cell>
          <cell r="DC51">
            <v>0.10000000000000009</v>
          </cell>
          <cell r="DD51">
            <v>-0.11872146118721449</v>
          </cell>
          <cell r="DF51">
            <v>-1.9999999999999907E-2</v>
          </cell>
          <cell r="DG51">
            <v>0.34444444444444433</v>
          </cell>
          <cell r="DH51">
            <v>0.21428571428571419</v>
          </cell>
          <cell r="DJ51">
            <v>4.2796005706134732E-2</v>
          </cell>
          <cell r="DK51">
            <v>-0.22515635858234839</v>
          </cell>
          <cell r="DL51">
            <v>-0.137383177570093</v>
          </cell>
          <cell r="DN51">
            <v>-5.1515151515151292E-3</v>
          </cell>
          <cell r="DO51">
            <v>-9.978425026968718E-2</v>
          </cell>
          <cell r="DP51">
            <v>-5.5222602739725901E-2</v>
          </cell>
          <cell r="DR51" t="str">
            <v xml:space="preserve"> 1Q</v>
          </cell>
          <cell r="DS51">
            <v>-0.11610486891385763</v>
          </cell>
          <cell r="DT51">
            <v>-5.7652911911033167E-2</v>
          </cell>
          <cell r="DU51">
            <v>-6.9731444934602704E-2</v>
          </cell>
          <cell r="DW51">
            <v>-5.2816901408450745E-2</v>
          </cell>
          <cell r="DX51">
            <v>-6.9037656903765621E-2</v>
          </cell>
          <cell r="DY51">
            <v>-6.2992125984251746E-2</v>
          </cell>
          <cell r="EA51">
            <v>-3.9215686274509665E-2</v>
          </cell>
          <cell r="EB51">
            <v>-0.1404255319148936</v>
          </cell>
          <cell r="EC51">
            <v>-0.13051823416506725</v>
          </cell>
          <cell r="EE51">
            <v>0</v>
          </cell>
          <cell r="EF51">
            <v>-5.4761904761904678E-2</v>
          </cell>
          <cell r="EG51">
            <v>-5.1224944320712673E-2</v>
          </cell>
          <cell r="EI51">
            <v>-0.10236220472440938</v>
          </cell>
          <cell r="EJ51">
            <v>-0.19999999999999996</v>
          </cell>
          <cell r="EK51">
            <v>-0.11564625850340127</v>
          </cell>
          <cell r="EM51" t="str">
            <v xml:space="preserve"> 1Q</v>
          </cell>
          <cell r="EN51">
            <v>-0.18709677419354842</v>
          </cell>
          <cell r="EO51">
            <v>-3.7974683544303889E-2</v>
          </cell>
          <cell r="EP51">
            <v>-0.13675213675213671</v>
          </cell>
          <cell r="ER51">
            <v>0.72727272727272707</v>
          </cell>
          <cell r="ES51">
            <v>0.11965811965811968</v>
          </cell>
          <cell r="ET51">
            <v>0.38048780487804867</v>
          </cell>
          <cell r="EV51" t="str">
            <v>NM</v>
          </cell>
          <cell r="EW51">
            <v>-5.9360730593607136E-2</v>
          </cell>
          <cell r="EX51">
            <v>-5.9360730593607136E-2</v>
          </cell>
          <cell r="EZ51">
            <v>0.17365269461077748</v>
          </cell>
          <cell r="FA51">
            <v>-0.36302244935207129</v>
          </cell>
          <cell r="FB51">
            <v>-0.23765561617009379</v>
          </cell>
          <cell r="FD51">
            <v>-7.7220077220077066E-3</v>
          </cell>
          <cell r="FE51">
            <v>-0.11484098939929333</v>
          </cell>
          <cell r="FF51">
            <v>-8.5269665316563659E-2</v>
          </cell>
          <cell r="FH51">
            <v>5.6960408684546548E-2</v>
          </cell>
          <cell r="FI51">
            <v>-9.2142993691454733E-2</v>
          </cell>
          <cell r="FJ51">
            <v>-2.8318390553247252E-2</v>
          </cell>
        </row>
        <row r="52">
          <cell r="A52" t="str">
            <v xml:space="preserve"> 2Q</v>
          </cell>
          <cell r="B52" t="str">
            <v>NM</v>
          </cell>
          <cell r="C52" t="str">
            <v>NM</v>
          </cell>
          <cell r="D52" t="str">
            <v>NM</v>
          </cell>
          <cell r="F52" t="str">
            <v>NM</v>
          </cell>
          <cell r="G52" t="str">
            <v>NM</v>
          </cell>
          <cell r="H52" t="str">
            <v>NM</v>
          </cell>
          <cell r="J52">
            <v>-0.13226452905811625</v>
          </cell>
          <cell r="K52">
            <v>1.4842300556586308E-2</v>
          </cell>
          <cell r="L52">
            <v>-5.5876685934489356E-2</v>
          </cell>
          <cell r="N52">
            <v>-0.26470588235294112</v>
          </cell>
          <cell r="O52">
            <v>-7.1661237785016318E-2</v>
          </cell>
          <cell r="P52">
            <v>-0.11980440097799505</v>
          </cell>
          <cell r="R52">
            <v>-0.36190476190476184</v>
          </cell>
          <cell r="S52">
            <v>0.18279569892473102</v>
          </cell>
          <cell r="T52">
            <v>-0.29183955739972334</v>
          </cell>
          <cell r="V52">
            <v>0.31485587583148544</v>
          </cell>
          <cell r="W52">
            <v>0.44578313253012025</v>
          </cell>
          <cell r="X52">
            <v>0.33520599250936312</v>
          </cell>
          <cell r="AD52">
            <v>-0.24928366762177645</v>
          </cell>
          <cell r="AE52">
            <v>3.8461538461538547E-2</v>
          </cell>
          <cell r="AF52">
            <v>-0.22933333333333339</v>
          </cell>
          <cell r="AH52" t="str">
            <v xml:space="preserve"> 2Q</v>
          </cell>
          <cell r="AI52" t="str">
            <v>NM</v>
          </cell>
          <cell r="AJ52">
            <v>-9.3103448275862033E-2</v>
          </cell>
          <cell r="AK52">
            <v>-9.3103448275862033E-2</v>
          </cell>
          <cell r="AM52" t="str">
            <v>NM</v>
          </cell>
          <cell r="AN52">
            <v>0.23404255319148937</v>
          </cell>
          <cell r="AO52">
            <v>-0.61073825503355694</v>
          </cell>
          <cell r="AQ52">
            <v>0.15909090909090917</v>
          </cell>
          <cell r="AR52">
            <v>-5.6437389770723101E-2</v>
          </cell>
          <cell r="AS52">
            <v>1.9428571428571351E-2</v>
          </cell>
          <cell r="AU52">
            <v>-1</v>
          </cell>
          <cell r="AV52">
            <v>-1</v>
          </cell>
          <cell r="AW52">
            <v>-1</v>
          </cell>
          <cell r="AY52">
            <v>5.7142857142857606E-2</v>
          </cell>
          <cell r="AZ52">
            <v>5.5983205038488526E-2</v>
          </cell>
          <cell r="BA52">
            <v>5.6211354693648241E-2</v>
          </cell>
          <cell r="BC52">
            <v>0.65245431744894278</v>
          </cell>
          <cell r="BD52">
            <v>7.4534161490683148E-2</v>
          </cell>
          <cell r="BE52">
            <v>0.33587167854828248</v>
          </cell>
          <cell r="BG52">
            <v>-1</v>
          </cell>
          <cell r="BH52">
            <v>-1</v>
          </cell>
          <cell r="BI52">
            <v>-1</v>
          </cell>
          <cell r="BK52" t="str">
            <v>NM</v>
          </cell>
          <cell r="BL52" t="str">
            <v>NM</v>
          </cell>
          <cell r="BM52" t="str">
            <v>NM</v>
          </cell>
          <cell r="BO52">
            <v>0.65245431744894278</v>
          </cell>
          <cell r="BP52">
            <v>7.4534161490683148E-2</v>
          </cell>
          <cell r="BQ52">
            <v>0.33587167854828248</v>
          </cell>
          <cell r="BS52" t="str">
            <v xml:space="preserve"> 2Q</v>
          </cell>
          <cell r="BT52">
            <v>0.16783216783216792</v>
          </cell>
          <cell r="BU52">
            <v>1.9283746556473913E-2</v>
          </cell>
          <cell r="BV52">
            <v>5.3163211057947857E-2</v>
          </cell>
          <cell r="BX52">
            <v>7.2135785007072073E-2</v>
          </cell>
          <cell r="BY52">
            <v>0.15352697095435675</v>
          </cell>
          <cell r="BZ52">
            <v>9.2827004219409037E-2</v>
          </cell>
          <cell r="CB52">
            <v>-2.3809523809523836E-2</v>
          </cell>
          <cell r="CC52">
            <v>-0.11714285714285722</v>
          </cell>
          <cell r="CD52">
            <v>-8.2142857142857184E-2</v>
          </cell>
          <cell r="CJ52">
            <v>9.183673469387732E-2</v>
          </cell>
          <cell r="CK52">
            <v>-9.0909090909090939E-2</v>
          </cell>
          <cell r="CL52">
            <v>5.1792828685258918E-2</v>
          </cell>
          <cell r="CN52">
            <v>0.20529801324503305</v>
          </cell>
          <cell r="CO52">
            <v>0.29166666666666674</v>
          </cell>
          <cell r="CP52">
            <v>0.2116564417177913</v>
          </cell>
          <cell r="CR52">
            <v>6.7039106145251548E-2</v>
          </cell>
          <cell r="CS52">
            <v>4.3478260869565188E-2</v>
          </cell>
          <cell r="CT52">
            <v>6.4356435643564414E-2</v>
          </cell>
          <cell r="CV52" t="str">
            <v xml:space="preserve"> 2Q</v>
          </cell>
          <cell r="CX52">
            <v>-5.208333333333337E-2</v>
          </cell>
          <cell r="CY52" t="str">
            <v>NM</v>
          </cell>
          <cell r="CZ52">
            <v>0.27604166666666674</v>
          </cell>
          <cell r="DB52">
            <v>0.15873015873015883</v>
          </cell>
          <cell r="DC52">
            <v>0</v>
          </cell>
          <cell r="DD52">
            <v>0.14354066985645941</v>
          </cell>
          <cell r="DF52">
            <v>-0.14000000000000001</v>
          </cell>
          <cell r="DG52">
            <v>-0.1166666666666667</v>
          </cell>
          <cell r="DH52">
            <v>-0.12727272727272732</v>
          </cell>
          <cell r="DJ52">
            <v>-0.33659839715049034</v>
          </cell>
          <cell r="DK52">
            <v>-0.20482866043613723</v>
          </cell>
          <cell r="DL52">
            <v>-0.26630660573327836</v>
          </cell>
          <cell r="DN52">
            <v>-4.3332401453732183E-2</v>
          </cell>
          <cell r="DO52">
            <v>-5.1296665716728418E-2</v>
          </cell>
          <cell r="DP52">
            <v>-4.7276319503245845E-2</v>
          </cell>
          <cell r="DR52" t="str">
            <v xml:space="preserve"> 2Q</v>
          </cell>
          <cell r="DS52">
            <v>0.28384279475982543</v>
          </cell>
          <cell r="DT52">
            <v>-2.2962112514349764E-3</v>
          </cell>
          <cell r="DU52">
            <v>5.7272727272727364E-2</v>
          </cell>
          <cell r="DW52">
            <v>-0.11820330969267145</v>
          </cell>
          <cell r="DX52">
            <v>7.5757575757577911E-3</v>
          </cell>
          <cell r="DY52">
            <v>-4.8370136698212329E-2</v>
          </cell>
          <cell r="EA52">
            <v>-1.9607843137254832E-2</v>
          </cell>
          <cell r="EB52">
            <v>-5.6250000000000022E-2</v>
          </cell>
          <cell r="EC52">
            <v>-5.2730696798493515E-2</v>
          </cell>
          <cell r="EE52">
            <v>0.17241379310344818</v>
          </cell>
          <cell r="EF52">
            <v>-7.6744186046511564E-2</v>
          </cell>
          <cell r="EG52">
            <v>-6.1002178649237404E-2</v>
          </cell>
          <cell r="EI52">
            <v>0.17289719626168232</v>
          </cell>
          <cell r="EJ52">
            <v>-9.5238095238095344E-2</v>
          </cell>
          <cell r="EK52">
            <v>0.12890625000000022</v>
          </cell>
          <cell r="EM52" t="str">
            <v xml:space="preserve"> 2Q</v>
          </cell>
          <cell r="EN52">
            <v>6.0240963855420215E-3</v>
          </cell>
          <cell r="EO52">
            <v>-8.6419753086419693E-2</v>
          </cell>
          <cell r="EP52">
            <v>-2.4291497975708509E-2</v>
          </cell>
          <cell r="ER52">
            <v>0.31428571428571428</v>
          </cell>
          <cell r="ES52">
            <v>0.17829457364341073</v>
          </cell>
          <cell r="ET52">
            <v>0.23931623931623935</v>
          </cell>
          <cell r="EV52" t="str">
            <v>NM</v>
          </cell>
          <cell r="EW52">
            <v>0.43529411764705883</v>
          </cell>
          <cell r="EX52">
            <v>0.43529411764705883</v>
          </cell>
          <cell r="EZ52">
            <v>-0.12804878048780499</v>
          </cell>
          <cell r="FA52">
            <v>-0.14575645756457711</v>
          </cell>
          <cell r="FB52">
            <v>-0.14164305949008615</v>
          </cell>
          <cell r="FD52">
            <v>4.9963794351918889E-2</v>
          </cell>
          <cell r="FE52">
            <v>-1.5582034830430858E-2</v>
          </cell>
          <cell r="FF52">
            <v>3.8676407391491363E-3</v>
          </cell>
          <cell r="FH52">
            <v>0.2238998580461995</v>
          </cell>
          <cell r="FI52">
            <v>2.0663190002954135E-3</v>
          </cell>
          <cell r="FJ52">
            <v>9.8034836980795292E-2</v>
          </cell>
        </row>
        <row r="53">
          <cell r="A53" t="str">
            <v xml:space="preserve"> 3Q</v>
          </cell>
          <cell r="B53" t="str">
            <v>NM</v>
          </cell>
          <cell r="C53" t="str">
            <v>NM</v>
          </cell>
          <cell r="D53" t="str">
            <v>NM</v>
          </cell>
          <cell r="F53" t="str">
            <v>NM</v>
          </cell>
          <cell r="G53" t="str">
            <v>NM</v>
          </cell>
          <cell r="H53" t="str">
            <v>NM</v>
          </cell>
          <cell r="J53">
            <v>-0.39583333333333337</v>
          </cell>
          <cell r="K53">
            <v>1.6528925619834878E-2</v>
          </cell>
          <cell r="L53">
            <v>-0.1986166007905138</v>
          </cell>
          <cell r="N53">
            <v>-0.44545454545454544</v>
          </cell>
          <cell r="O53">
            <v>-0.18666666666666676</v>
          </cell>
          <cell r="P53">
            <v>-0.25609756097560976</v>
          </cell>
          <cell r="R53">
            <v>-0.10103092783505152</v>
          </cell>
          <cell r="S53">
            <v>2.1505376344086002E-2</v>
          </cell>
          <cell r="T53">
            <v>-8.1314878892733478E-2</v>
          </cell>
          <cell r="V53">
            <v>0.279296875</v>
          </cell>
          <cell r="W53">
            <v>0.47674418604651159</v>
          </cell>
          <cell r="X53">
            <v>0.30769230769230771</v>
          </cell>
          <cell r="AD53">
            <v>-2.4861878453038777E-2</v>
          </cell>
          <cell r="AE53">
            <v>8.0000000000000071E-2</v>
          </cell>
          <cell r="AF53">
            <v>-1.8087855297157729E-2</v>
          </cell>
          <cell r="AH53" t="str">
            <v xml:space="preserve"> 3Q</v>
          </cell>
          <cell r="AI53" t="str">
            <v>NM</v>
          </cell>
          <cell r="AJ53">
            <v>-0.11153846153846148</v>
          </cell>
          <cell r="AK53">
            <v>-0.11153846153846148</v>
          </cell>
          <cell r="AM53" t="str">
            <v>NM</v>
          </cell>
          <cell r="AN53">
            <v>6.0000000000000053E-2</v>
          </cell>
          <cell r="AO53">
            <v>-0.70555555555555549</v>
          </cell>
          <cell r="AQ53">
            <v>0.15862068965517251</v>
          </cell>
          <cell r="AR53">
            <v>-3.4693877551020491E-2</v>
          </cell>
          <cell r="AS53">
            <v>3.7179487179487269E-2</v>
          </cell>
          <cell r="AU53">
            <v>-1</v>
          </cell>
          <cell r="AV53">
            <v>-1</v>
          </cell>
          <cell r="AW53">
            <v>-1</v>
          </cell>
          <cell r="AY53">
            <v>-0.72821576763485507</v>
          </cell>
          <cell r="AZ53">
            <v>0.1227810650887573</v>
          </cell>
          <cell r="BA53">
            <v>-0.10087241003271541</v>
          </cell>
          <cell r="BC53">
            <v>1.0175922731976543</v>
          </cell>
          <cell r="BD53">
            <v>0.15668789808917194</v>
          </cell>
          <cell r="BE53">
            <v>0.56996191422420917</v>
          </cell>
          <cell r="BG53">
            <v>-1</v>
          </cell>
          <cell r="BH53">
            <v>-1</v>
          </cell>
          <cell r="BI53">
            <v>-1</v>
          </cell>
          <cell r="BK53" t="str">
            <v>NM</v>
          </cell>
          <cell r="BL53" t="str">
            <v>NM</v>
          </cell>
          <cell r="BM53" t="str">
            <v>NM</v>
          </cell>
          <cell r="BO53">
            <v>1.0175922731976543</v>
          </cell>
          <cell r="BP53">
            <v>0.15668789808917194</v>
          </cell>
          <cell r="BQ53">
            <v>0.56996191422420917</v>
          </cell>
          <cell r="BS53" t="str">
            <v xml:space="preserve"> 3Q</v>
          </cell>
          <cell r="BT53">
            <v>0.16258351893095768</v>
          </cell>
          <cell r="BU53">
            <v>-9.0784044016506305E-2</v>
          </cell>
          <cell r="BV53">
            <v>-3.1003678402522494E-2</v>
          </cell>
          <cell r="BX53">
            <v>-3.8926174496644372E-2</v>
          </cell>
          <cell r="BY53">
            <v>9.4420600858369008E-2</v>
          </cell>
          <cell r="BZ53">
            <v>-7.1574642126789323E-3</v>
          </cell>
          <cell r="CB53">
            <v>5.7894736842105443E-2</v>
          </cell>
          <cell r="CC53">
            <v>-0.13124999999999998</v>
          </cell>
          <cell r="CD53">
            <v>-6.0784313725490091E-2</v>
          </cell>
          <cell r="CJ53">
            <v>-6.3660477453581055E-2</v>
          </cell>
          <cell r="CK53">
            <v>5.3571428571428603E-2</v>
          </cell>
          <cell r="CL53">
            <v>-4.8498845265589119E-2</v>
          </cell>
          <cell r="CN53">
            <v>1.0126582278481067E-2</v>
          </cell>
          <cell r="CO53">
            <v>0.23529411764705888</v>
          </cell>
          <cell r="CP53">
            <v>1.9417475728155331E-2</v>
          </cell>
          <cell r="CR53">
            <v>-0.11340206185567003</v>
          </cell>
          <cell r="CS53">
            <v>9.5238095238095122E-2</v>
          </cell>
          <cell r="CT53">
            <v>-9.3023255813953543E-2</v>
          </cell>
          <cell r="CV53" t="str">
            <v xml:space="preserve"> 3Q</v>
          </cell>
          <cell r="CX53">
            <v>5.6410256410256432E-2</v>
          </cell>
          <cell r="CY53" t="str">
            <v>NM</v>
          </cell>
          <cell r="CZ53">
            <v>0.37435897435897436</v>
          </cell>
          <cell r="DB53">
            <v>4.2328042328042326E-2</v>
          </cell>
          <cell r="DC53">
            <v>-0.4</v>
          </cell>
          <cell r="DD53">
            <v>2.0100502512562901E-2</v>
          </cell>
          <cell r="DF53">
            <v>-0.21518987341772156</v>
          </cell>
          <cell r="DG53">
            <v>0.21428571428571419</v>
          </cell>
          <cell r="DH53">
            <v>-1.34228187919464E-2</v>
          </cell>
          <cell r="DJ53">
            <v>-1.2406947890818421E-3</v>
          </cell>
          <cell r="DK53">
            <v>-0.12668463611859782</v>
          </cell>
          <cell r="DL53">
            <v>-7.3996873371547367E-2</v>
          </cell>
          <cell r="DN53">
            <v>3.8684719535784229E-3</v>
          </cell>
          <cell r="DO53">
            <v>-6.4055859137826299E-2</v>
          </cell>
          <cell r="DP53">
            <v>-2.8497034572544377E-2</v>
          </cell>
          <cell r="DR53" t="str">
            <v xml:space="preserve"> 3Q</v>
          </cell>
          <cell r="DS53">
            <v>7.0671378091873294E-3</v>
          </cell>
          <cell r="DT53">
            <v>-1.2208657047724669E-2</v>
          </cell>
          <cell r="DU53">
            <v>-4.7716428084525475E-3</v>
          </cell>
          <cell r="DW53">
            <v>0.20071684587813632</v>
          </cell>
          <cell r="DX53">
            <v>-1.6913319238900604E-2</v>
          </cell>
          <cell r="DY53">
            <v>6.3829787234042756E-2</v>
          </cell>
          <cell r="EA53">
            <v>-5.9999999999999942E-2</v>
          </cell>
          <cell r="EB53">
            <v>3.6363636363636376E-2</v>
          </cell>
          <cell r="EC53">
            <v>2.6530612244898055E-2</v>
          </cell>
          <cell r="EE53">
            <v>0</v>
          </cell>
          <cell r="EF53">
            <v>-0.17111111111111121</v>
          </cell>
          <cell r="EG53">
            <v>-0.16041666666666676</v>
          </cell>
          <cell r="EI53">
            <v>0.21491228070175428</v>
          </cell>
          <cell r="EJ53">
            <v>-0.19999999999999996</v>
          </cell>
          <cell r="EK53">
            <v>0.1529850746268655</v>
          </cell>
          <cell r="EM53" t="str">
            <v xml:space="preserve"> 3Q</v>
          </cell>
          <cell r="EN53">
            <v>0.13157894736842102</v>
          </cell>
          <cell r="EO53">
            <v>-5.0000000000000044E-2</v>
          </cell>
          <cell r="EP53">
            <v>5.6701030927835072E-2</v>
          </cell>
          <cell r="ER53">
            <v>0.92391304347826098</v>
          </cell>
          <cell r="ES53">
            <v>-5.5118110236220375E-2</v>
          </cell>
          <cell r="ET53">
            <v>0.35616438356164393</v>
          </cell>
          <cell r="EV53" t="str">
            <v>NM</v>
          </cell>
          <cell r="EW53">
            <v>0.28947368421052633</v>
          </cell>
          <cell r="EX53">
            <v>0.28947368421052633</v>
          </cell>
          <cell r="EZ53">
            <v>0.2135922330097082</v>
          </cell>
          <cell r="FA53">
            <v>-0.10799136069114446</v>
          </cell>
          <cell r="FB53">
            <v>-8.9686098654707669E-3</v>
          </cell>
          <cell r="FD53">
            <v>0.15974440894568698</v>
          </cell>
          <cell r="FE53">
            <v>-2.970922882427296E-2</v>
          </cell>
          <cell r="FF53">
            <v>3.2987946711778404E-2</v>
          </cell>
          <cell r="FH53">
            <v>0.39762464431522959</v>
          </cell>
          <cell r="FI53">
            <v>1.9483225672014992E-2</v>
          </cell>
          <cell r="FJ53">
            <v>0.19235337367795946</v>
          </cell>
        </row>
        <row r="54">
          <cell r="A54" t="str">
            <v xml:space="preserve"> 4Q</v>
          </cell>
          <cell r="B54" t="str">
            <v>NM</v>
          </cell>
          <cell r="C54" t="str">
            <v>NM</v>
          </cell>
          <cell r="D54" t="str">
            <v>NM</v>
          </cell>
          <cell r="F54" t="str">
            <v>NM</v>
          </cell>
          <cell r="G54" t="str">
            <v>NM</v>
          </cell>
          <cell r="H54" t="str">
            <v>NM</v>
          </cell>
          <cell r="J54">
            <v>-0.21501014198782953</v>
          </cell>
          <cell r="K54">
            <v>2.0952380952381056E-2</v>
          </cell>
          <cell r="L54">
            <v>-9.3320235756384928E-2</v>
          </cell>
          <cell r="N54">
            <v>-0.61</v>
          </cell>
          <cell r="O54">
            <v>-0.19354838709677424</v>
          </cell>
          <cell r="P54">
            <v>-0.29512195121951224</v>
          </cell>
          <cell r="R54">
            <v>-0.2942206654991244</v>
          </cell>
          <cell r="S54">
            <v>-1.9999999999999907E-2</v>
          </cell>
          <cell r="T54">
            <v>-0.25335320417287632</v>
          </cell>
          <cell r="V54">
            <v>-7.1547420965058284E-2</v>
          </cell>
          <cell r="W54">
            <v>0.34615384615384603</v>
          </cell>
          <cell r="X54">
            <v>-9.9290780141844115E-3</v>
          </cell>
          <cell r="AD54">
            <v>-0.40740740740740744</v>
          </cell>
          <cell r="AE54">
            <v>0</v>
          </cell>
          <cell r="AF54">
            <v>-0.38024691358024698</v>
          </cell>
          <cell r="AH54" t="str">
            <v xml:space="preserve"> 4Q</v>
          </cell>
          <cell r="AI54" t="str">
            <v>NM</v>
          </cell>
          <cell r="AJ54">
            <v>-0.20666666666666667</v>
          </cell>
          <cell r="AK54">
            <v>-0.20666666666666667</v>
          </cell>
          <cell r="AM54" t="str">
            <v>NM</v>
          </cell>
          <cell r="AN54">
            <v>-1.9999999999999907E-2</v>
          </cell>
          <cell r="AO54">
            <v>-0.75</v>
          </cell>
          <cell r="AQ54">
            <v>0.22499999999999987</v>
          </cell>
          <cell r="AR54">
            <v>3.5416666666666652E-2</v>
          </cell>
          <cell r="AS54">
            <v>0.10526315789473695</v>
          </cell>
          <cell r="AU54">
            <v>-1</v>
          </cell>
          <cell r="AV54">
            <v>-1</v>
          </cell>
          <cell r="AW54">
            <v>-1</v>
          </cell>
          <cell r="AY54">
            <v>0.24200913242008992</v>
          </cell>
          <cell r="AZ54">
            <v>0.16371077762619324</v>
          </cell>
          <cell r="BA54">
            <v>0.17388724035608227</v>
          </cell>
          <cell r="BC54">
            <v>1.7243777452415814</v>
          </cell>
          <cell r="BD54">
            <v>0.24003569303985728</v>
          </cell>
          <cell r="BE54">
            <v>0.9054808007876598</v>
          </cell>
          <cell r="BG54">
            <v>-1</v>
          </cell>
          <cell r="BH54">
            <v>-1</v>
          </cell>
          <cell r="BI54">
            <v>-1</v>
          </cell>
          <cell r="BK54" t="str">
            <v>NM</v>
          </cell>
          <cell r="BL54" t="str">
            <v>NM</v>
          </cell>
          <cell r="BM54" t="str">
            <v>NM</v>
          </cell>
          <cell r="BO54">
            <v>1.5825815405968076</v>
          </cell>
          <cell r="BP54">
            <v>0.24003569303985728</v>
          </cell>
          <cell r="BQ54">
            <v>0.85970531710442</v>
          </cell>
          <cell r="BS54" t="str">
            <v xml:space="preserve"> 4Q</v>
          </cell>
          <cell r="BT54">
            <v>0.48762376237623761</v>
          </cell>
          <cell r="BU54">
            <v>-0.11302549965541009</v>
          </cell>
          <cell r="BV54">
            <v>1.7789757412398854E-2</v>
          </cell>
          <cell r="BX54">
            <v>1.8610421836228186E-2</v>
          </cell>
          <cell r="BY54">
            <v>-0.10384615384615381</v>
          </cell>
          <cell r="BZ54">
            <v>-1.1257035647279534E-2</v>
          </cell>
          <cell r="CB54">
            <v>-5.2380952380952417E-2</v>
          </cell>
          <cell r="CC54">
            <v>-0.203125</v>
          </cell>
          <cell r="CD54">
            <v>-0.14339622641509442</v>
          </cell>
          <cell r="CJ54">
            <v>-4.680851063829794E-2</v>
          </cell>
          <cell r="CK54">
            <v>-7.5757575757575801E-2</v>
          </cell>
          <cell r="CL54">
            <v>-5.0373134328358216E-2</v>
          </cell>
          <cell r="CN54">
            <v>2.0477815699658564E-2</v>
          </cell>
          <cell r="CO54">
            <v>0.41666666666666674</v>
          </cell>
          <cell r="CP54">
            <v>3.6065573770491799E-2</v>
          </cell>
          <cell r="CR54">
            <v>-8.9108910891089188E-2</v>
          </cell>
          <cell r="CS54">
            <v>-0.20833333333333337</v>
          </cell>
          <cell r="CT54">
            <v>-0.10176991150442483</v>
          </cell>
          <cell r="CV54" t="str">
            <v xml:space="preserve"> 4Q</v>
          </cell>
          <cell r="CX54">
            <v>8.0459770114942541E-2</v>
          </cell>
          <cell r="CY54" t="str">
            <v>NM</v>
          </cell>
          <cell r="CZ54">
            <v>0.30651340996168575</v>
          </cell>
          <cell r="DB54">
            <v>0.12903225806451601</v>
          </cell>
          <cell r="DC54">
            <v>-0.38461538461538458</v>
          </cell>
          <cell r="DD54">
            <v>8.0291970802919721E-2</v>
          </cell>
          <cell r="DF54">
            <v>-0.1558441558441559</v>
          </cell>
          <cell r="DG54">
            <v>0.47435897435897445</v>
          </cell>
          <cell r="DH54">
            <v>0.16129032258064524</v>
          </cell>
          <cell r="DJ54">
            <v>-1.8786127167630284E-2</v>
          </cell>
          <cell r="DK54">
            <v>-0.12551953449709041</v>
          </cell>
          <cell r="DL54">
            <v>-8.6543535620052792E-2</v>
          </cell>
          <cell r="DN54">
            <v>5.0579259677875132E-2</v>
          </cell>
          <cell r="DO54">
            <v>-9.3667931135103522E-2</v>
          </cell>
          <cell r="DP54">
            <v>-2.0384725811082194E-2</v>
          </cell>
          <cell r="DR54" t="str">
            <v xml:space="preserve"> 4Q</v>
          </cell>
          <cell r="DS54">
            <v>9.4616639477977049E-2</v>
          </cell>
          <cell r="DT54">
            <v>-7.3107049608355124E-2</v>
          </cell>
          <cell r="DU54">
            <v>-1.4755959137343844E-2</v>
          </cell>
          <cell r="DW54">
            <v>-9.1988130563798287E-2</v>
          </cell>
          <cell r="DX54">
            <v>-0.18738404452690172</v>
          </cell>
          <cell r="DY54">
            <v>-0.15068493150684914</v>
          </cell>
          <cell r="EA54">
            <v>0</v>
          </cell>
          <cell r="EB54">
            <v>-0.21455938697318011</v>
          </cell>
          <cell r="EC54">
            <v>-0.19614711033274956</v>
          </cell>
          <cell r="EE54">
            <v>0.56521739130434789</v>
          </cell>
          <cell r="EF54">
            <v>-0.14861460957178851</v>
          </cell>
          <cell r="EG54">
            <v>-0.10952380952380958</v>
          </cell>
          <cell r="EI54">
            <v>0.11693548387096775</v>
          </cell>
          <cell r="EJ54">
            <v>-0.26190476190476186</v>
          </cell>
          <cell r="EK54">
            <v>6.2068965517241503E-2</v>
          </cell>
          <cell r="EM54" t="str">
            <v xml:space="preserve"> 4Q</v>
          </cell>
          <cell r="EN54">
            <v>-0.30252100840336127</v>
          </cell>
          <cell r="EO54">
            <v>-0.38</v>
          </cell>
          <cell r="EP54">
            <v>-0.33789954337899542</v>
          </cell>
          <cell r="ER54">
            <v>0.931034482758621</v>
          </cell>
          <cell r="ES54">
            <v>-2.1428571428571463E-2</v>
          </cell>
          <cell r="ET54">
            <v>0.34361233480176212</v>
          </cell>
          <cell r="EV54" t="str">
            <v>NM</v>
          </cell>
          <cell r="EW54">
            <v>9.3922651933701529E-2</v>
          </cell>
          <cell r="EX54">
            <v>0.11049723756906071</v>
          </cell>
          <cell r="EZ54">
            <v>0.1977401129943499</v>
          </cell>
          <cell r="FA54">
            <v>-0.2883064516129038</v>
          </cell>
          <cell r="FB54">
            <v>-0.16047548291233327</v>
          </cell>
          <cell r="FD54">
            <v>9.1954022988505635E-2</v>
          </cell>
          <cell r="FE54">
            <v>-0.14974761637689293</v>
          </cell>
          <cell r="FF54">
            <v>-7.3194098486300208E-2</v>
          </cell>
          <cell r="FH54">
            <v>0.60589546693088936</v>
          </cell>
          <cell r="FI54">
            <v>-4.6354418155479804E-3</v>
          </cell>
          <cell r="FJ54">
            <v>0.26284660046665609</v>
          </cell>
        </row>
        <row r="56">
          <cell r="A56" t="str">
            <v>Year</v>
          </cell>
          <cell r="B56" t="str">
            <v>NM</v>
          </cell>
          <cell r="C56" t="str">
            <v>NM</v>
          </cell>
          <cell r="D56" t="str">
            <v>NM</v>
          </cell>
          <cell r="F56" t="str">
            <v>NM</v>
          </cell>
          <cell r="G56" t="str">
            <v>NM</v>
          </cell>
          <cell r="H56" t="str">
            <v>NM</v>
          </cell>
          <cell r="J56">
            <v>-0.1688823239783358</v>
          </cell>
          <cell r="K56">
            <v>3.1542631838343826E-2</v>
          </cell>
          <cell r="L56">
            <v>-6.8719211822660164E-2</v>
          </cell>
          <cell r="N56">
            <v>-0.51630434782608714</v>
          </cell>
          <cell r="O56">
            <v>-0.15763945028294268</v>
          </cell>
          <cell r="P56">
            <v>-0.26830631637786473</v>
          </cell>
          <cell r="R56">
            <v>-0.23906705539358608</v>
          </cell>
          <cell r="S56">
            <v>5.1075268817204256E-2</v>
          </cell>
          <cell r="T56">
            <v>-0.20014424810674347</v>
          </cell>
          <cell r="V56">
            <v>0.23914154317833414</v>
          </cell>
          <cell r="W56">
            <v>0.39376770538243644</v>
          </cell>
          <cell r="X56">
            <v>0.26277056277056277</v>
          </cell>
          <cell r="AD56">
            <v>-0.20855978260869557</v>
          </cell>
          <cell r="AE56">
            <v>3.9603960396039417E-2</v>
          </cell>
          <cell r="AF56">
            <v>-0.19262555626191991</v>
          </cell>
          <cell r="AH56" t="str">
            <v>Year</v>
          </cell>
          <cell r="AI56" t="str">
            <v>NM</v>
          </cell>
          <cell r="AJ56">
            <v>-7.8761061946902577E-2</v>
          </cell>
          <cell r="AK56">
            <v>-7.8761061946902577E-2</v>
          </cell>
          <cell r="AM56">
            <v>-0.88311688311688308</v>
          </cell>
          <cell r="AN56">
            <v>0.15508021390374349</v>
          </cell>
          <cell r="AO56">
            <v>-0.58397534668721107</v>
          </cell>
          <cell r="AQ56">
            <v>0.162771285475793</v>
          </cell>
          <cell r="AR56">
            <v>-3.3380347907851493E-2</v>
          </cell>
          <cell r="AS56">
            <v>3.7293233082706712E-2</v>
          </cell>
          <cell r="AU56">
            <v>-1</v>
          </cell>
          <cell r="AV56">
            <v>-1</v>
          </cell>
          <cell r="AW56">
            <v>-1</v>
          </cell>
          <cell r="AY56">
            <v>-0.25126262626262597</v>
          </cell>
          <cell r="AZ56">
            <v>3.838737949167359E-2</v>
          </cell>
          <cell r="BA56">
            <v>-2.4557552476334288E-2</v>
          </cell>
          <cell r="BC56">
            <v>0.85399330874152857</v>
          </cell>
          <cell r="BD56">
            <v>0.10172947662563248</v>
          </cell>
          <cell r="BE56">
            <v>0.45393204273435606</v>
          </cell>
          <cell r="BG56">
            <v>-1</v>
          </cell>
          <cell r="BH56">
            <v>-1</v>
          </cell>
          <cell r="BI56">
            <v>-1</v>
          </cell>
          <cell r="BK56" t="str">
            <v>NM</v>
          </cell>
          <cell r="BL56" t="str">
            <v>NM</v>
          </cell>
          <cell r="BM56" t="str">
            <v>NM</v>
          </cell>
          <cell r="BO56">
            <v>0.83043956974676014</v>
          </cell>
          <cell r="BP56">
            <v>0.10172947662563248</v>
          </cell>
          <cell r="BQ56">
            <v>0.44522516767805809</v>
          </cell>
          <cell r="BS56" t="str">
            <v>Year</v>
          </cell>
          <cell r="BT56">
            <v>0.22249539028887511</v>
          </cell>
          <cell r="BU56">
            <v>-6.2792714657415538E-2</v>
          </cell>
          <cell r="BV56">
            <v>-1.1102230246251565E-16</v>
          </cell>
          <cell r="BX56">
            <v>2.3937963587322919E-2</v>
          </cell>
          <cell r="BY56">
            <v>5.7773109243697496E-2</v>
          </cell>
          <cell r="BZ56">
            <v>3.2159264931087339E-2</v>
          </cell>
          <cell r="CB56">
            <v>-2.6829268292682951E-2</v>
          </cell>
          <cell r="CC56">
            <v>-0.16666666666666674</v>
          </cell>
          <cell r="CD56">
            <v>-0.11524663677130043</v>
          </cell>
          <cell r="CJ56">
            <v>-5.2199850857572727E-3</v>
          </cell>
          <cell r="CK56">
            <v>2.2988505747126409E-2</v>
          </cell>
          <cell r="CL56">
            <v>-6.242197253434334E-4</v>
          </cell>
          <cell r="CN56">
            <v>3.712121212121211E-2</v>
          </cell>
          <cell r="CO56">
            <v>0.26388888888888884</v>
          </cell>
          <cell r="CP56">
            <v>4.8850574712643757E-2</v>
          </cell>
          <cell r="CR56">
            <v>-8.7674714104192808E-2</v>
          </cell>
          <cell r="CS56">
            <v>-2.2204460492503131E-16</v>
          </cell>
          <cell r="CT56">
            <v>-7.8857142857142959E-2</v>
          </cell>
          <cell r="CV56" t="str">
            <v>Year</v>
          </cell>
          <cell r="CX56">
            <v>1.0169491525423568E-2</v>
          </cell>
          <cell r="CY56" t="str">
            <v>NM</v>
          </cell>
          <cell r="CZ56">
            <v>0.28813559322033888</v>
          </cell>
          <cell r="DB56">
            <v>3.7974683544303778E-2</v>
          </cell>
          <cell r="DC56">
            <v>-0.15094339622641506</v>
          </cell>
          <cell r="DD56">
            <v>2.486910994764413E-2</v>
          </cell>
          <cell r="DF56">
            <v>-0.14453125</v>
          </cell>
          <cell r="DG56">
            <v>0.25503355704697972</v>
          </cell>
          <cell r="DH56">
            <v>7.0397111913357291E-2</v>
          </cell>
          <cell r="DJ56">
            <v>-0.10897049969897665</v>
          </cell>
          <cell r="DK56">
            <v>-0.1744393728914464</v>
          </cell>
          <cell r="DL56">
            <v>-0.14842722162420752</v>
          </cell>
          <cell r="DN56">
            <v>1.4962593516207878E-3</v>
          </cell>
          <cell r="DO56">
            <v>-7.7629502080642898E-2</v>
          </cell>
          <cell r="DP56">
            <v>-3.7929431952239634E-2</v>
          </cell>
          <cell r="DR56" t="str">
            <v>Year</v>
          </cell>
          <cell r="DS56">
            <v>5.731343283582091E-2</v>
          </cell>
          <cell r="DT56">
            <v>-3.9558044651681445E-2</v>
          </cell>
          <cell r="DU56">
            <v>-1.0691857465620402E-2</v>
          </cell>
          <cell r="DW56">
            <v>-3.023431594860182E-2</v>
          </cell>
          <cell r="DX56">
            <v>-6.8384539147670842E-2</v>
          </cell>
          <cell r="DY56">
            <v>-5.3277461837773044E-2</v>
          </cell>
          <cell r="EA56">
            <v>-2.9850746268656803E-2</v>
          </cell>
          <cell r="EB56">
            <v>-9.8849372384937295E-2</v>
          </cell>
          <cell r="EC56">
            <v>-9.2285849503076056E-2</v>
          </cell>
          <cell r="EE56">
            <v>0.16216216216216206</v>
          </cell>
          <cell r="EF56">
            <v>-0.11314083677077191</v>
          </cell>
          <cell r="EG56">
            <v>-9.6238938053097356E-2</v>
          </cell>
          <cell r="EI56">
            <v>9.4279661016949401E-2</v>
          </cell>
          <cell r="EJ56">
            <v>-0.18902439024390238</v>
          </cell>
          <cell r="EK56">
            <v>5.2346570397111991E-2</v>
          </cell>
          <cell r="EM56" t="str">
            <v>Year</v>
          </cell>
          <cell r="EN56">
            <v>-8.8447653429602813E-2</v>
          </cell>
          <cell r="EO56">
            <v>-0.15294117647058825</v>
          </cell>
          <cell r="EP56">
            <v>-0.11297539149888147</v>
          </cell>
          <cell r="ER56">
            <v>0.70698924731182777</v>
          </cell>
          <cell r="ES56">
            <v>5.2631578947368585E-2</v>
          </cell>
          <cell r="ET56">
            <v>0.32768361581920913</v>
          </cell>
          <cell r="EV56" t="str">
            <v>NM</v>
          </cell>
          <cell r="EW56">
            <v>0.17500000000000004</v>
          </cell>
          <cell r="EX56">
            <v>0.17894736842105252</v>
          </cell>
          <cell r="EZ56">
            <v>0.12184873949579789</v>
          </cell>
          <cell r="FA56">
            <v>-0.22983064083166616</v>
          </cell>
          <cell r="FB56">
            <v>-0.13894820659452056</v>
          </cell>
          <cell r="FD56">
            <v>7.8215134034611333E-2</v>
          </cell>
          <cell r="FE56">
            <v>-7.9782073289051514E-2</v>
          </cell>
          <cell r="FF56">
            <v>-3.1514020629243911E-2</v>
          </cell>
          <cell r="FH56">
            <v>0.32414292916561638</v>
          </cell>
          <cell r="FI56">
            <v>-1.9813692148454742E-2</v>
          </cell>
          <cell r="FJ56">
            <v>0.13113643277926812</v>
          </cell>
        </row>
        <row r="58">
          <cell r="A58" t="str">
            <v>1997</v>
          </cell>
          <cell r="AH58" t="str">
            <v>1997</v>
          </cell>
          <cell r="BS58" t="str">
            <v>1997</v>
          </cell>
          <cell r="CV58" t="str">
            <v>1997</v>
          </cell>
          <cell r="DR58" t="str">
            <v>1997</v>
          </cell>
          <cell r="EM58" t="str">
            <v>1997</v>
          </cell>
        </row>
        <row r="59">
          <cell r="A59" t="str">
            <v xml:space="preserve"> 1Q</v>
          </cell>
          <cell r="B59">
            <v>44.3</v>
          </cell>
          <cell r="C59">
            <v>4.9000000000000004</v>
          </cell>
          <cell r="D59">
            <v>49.199999999999996</v>
          </cell>
          <cell r="F59">
            <v>25.5</v>
          </cell>
          <cell r="G59">
            <v>0</v>
          </cell>
          <cell r="H59">
            <v>25.5</v>
          </cell>
          <cell r="J59">
            <v>54.9</v>
          </cell>
          <cell r="K59">
            <v>51.8</v>
          </cell>
          <cell r="L59">
            <v>106.69999999999999</v>
          </cell>
          <cell r="N59">
            <v>9.1999999999999993</v>
          </cell>
          <cell r="O59">
            <v>26.3</v>
          </cell>
          <cell r="P59">
            <v>35.5</v>
          </cell>
          <cell r="R59">
            <v>58.6</v>
          </cell>
          <cell r="S59">
            <v>8.8000000000000007</v>
          </cell>
          <cell r="T59">
            <v>67.400000000000006</v>
          </cell>
          <cell r="V59">
            <v>61.9</v>
          </cell>
          <cell r="W59">
            <v>10.5</v>
          </cell>
          <cell r="X59">
            <v>72.400000000000006</v>
          </cell>
          <cell r="AD59">
            <v>32.6</v>
          </cell>
          <cell r="AE59">
            <v>2.4</v>
          </cell>
          <cell r="AF59">
            <v>35</v>
          </cell>
          <cell r="AH59" t="str">
            <v xml:space="preserve"> 1Q</v>
          </cell>
          <cell r="AI59">
            <v>0</v>
          </cell>
          <cell r="AJ59">
            <v>30.9</v>
          </cell>
          <cell r="AK59">
            <v>30.9</v>
          </cell>
          <cell r="AM59">
            <v>6.8</v>
          </cell>
          <cell r="AN59">
            <v>5.6</v>
          </cell>
          <cell r="AO59">
            <v>12.399999999999999</v>
          </cell>
          <cell r="AQ59">
            <v>35.700000000000003</v>
          </cell>
          <cell r="AR59">
            <v>55.1</v>
          </cell>
          <cell r="AS59">
            <v>90.800000000000011</v>
          </cell>
          <cell r="AW59">
            <v>0</v>
          </cell>
          <cell r="AY59">
            <v>41.300000000000011</v>
          </cell>
          <cell r="AZ59">
            <v>119.09999999999997</v>
          </cell>
          <cell r="BA59">
            <v>160.39999999999998</v>
          </cell>
          <cell r="BC59">
            <v>370.8</v>
          </cell>
          <cell r="BD59">
            <v>315.39999999999998</v>
          </cell>
          <cell r="BE59">
            <v>686.2</v>
          </cell>
          <cell r="BK59">
            <v>0</v>
          </cell>
          <cell r="BL59">
            <v>0</v>
          </cell>
          <cell r="BM59">
            <v>0</v>
          </cell>
          <cell r="BO59">
            <v>370.8</v>
          </cell>
          <cell r="BP59">
            <v>315.39999999999998</v>
          </cell>
          <cell r="BQ59">
            <v>686.2</v>
          </cell>
          <cell r="BS59" t="str">
            <v xml:space="preserve"> 1Q</v>
          </cell>
          <cell r="BT59">
            <v>36.5</v>
          </cell>
          <cell r="BU59">
            <v>131.4</v>
          </cell>
          <cell r="BV59">
            <v>167.9</v>
          </cell>
          <cell r="BX59">
            <v>74.2</v>
          </cell>
          <cell r="BY59">
            <v>24.1</v>
          </cell>
          <cell r="BZ59">
            <v>98.300000000000011</v>
          </cell>
          <cell r="CB59">
            <v>19.3</v>
          </cell>
          <cell r="CC59">
            <v>33.299999999999997</v>
          </cell>
          <cell r="CD59">
            <v>52.599999999999994</v>
          </cell>
          <cell r="CF59">
            <v>0</v>
          </cell>
          <cell r="CG59">
            <v>0</v>
          </cell>
          <cell r="CH59">
            <v>0</v>
          </cell>
          <cell r="CJ59">
            <v>31.9</v>
          </cell>
          <cell r="CK59">
            <v>9.6999999999999993</v>
          </cell>
          <cell r="CL59">
            <v>41.599999999999994</v>
          </cell>
          <cell r="CN59">
            <v>30.7</v>
          </cell>
          <cell r="CO59">
            <v>2.2000000000000002</v>
          </cell>
          <cell r="CP59">
            <v>32.9</v>
          </cell>
          <cell r="CR59">
            <v>17.100000000000001</v>
          </cell>
          <cell r="CS59">
            <v>2.2000000000000002</v>
          </cell>
          <cell r="CT59">
            <v>19.3</v>
          </cell>
          <cell r="CV59" t="str">
            <v xml:space="preserve"> 1Q</v>
          </cell>
          <cell r="CX59">
            <v>22.4</v>
          </cell>
          <cell r="CY59">
            <v>6.2</v>
          </cell>
          <cell r="CZ59">
            <v>28.599999999999998</v>
          </cell>
          <cell r="DB59">
            <v>18.2</v>
          </cell>
          <cell r="DC59">
            <v>1.1000000000000001</v>
          </cell>
          <cell r="DD59">
            <v>19.3</v>
          </cell>
          <cell r="DF59">
            <v>4.9000000000000004</v>
          </cell>
          <cell r="DG59">
            <v>12.1</v>
          </cell>
          <cell r="DH59">
            <v>17</v>
          </cell>
          <cell r="DJ59">
            <v>73.100000000000009</v>
          </cell>
          <cell r="DK59">
            <v>111.50000000000004</v>
          </cell>
          <cell r="DL59">
            <v>184.60000000000005</v>
          </cell>
          <cell r="DN59">
            <v>328.3</v>
          </cell>
          <cell r="DO59">
            <v>333.8</v>
          </cell>
          <cell r="DP59">
            <v>662.1</v>
          </cell>
          <cell r="DR59" t="str">
            <v xml:space="preserve"> 1Q</v>
          </cell>
          <cell r="DS59">
            <v>23.6</v>
          </cell>
          <cell r="DT59">
            <v>96.6</v>
          </cell>
          <cell r="DU59">
            <v>120.19999999999999</v>
          </cell>
          <cell r="DW59">
            <v>26.9</v>
          </cell>
          <cell r="DX59">
            <v>44.5</v>
          </cell>
          <cell r="DY59">
            <v>71.400000000000006</v>
          </cell>
          <cell r="EA59">
            <v>4.9000000000000004</v>
          </cell>
          <cell r="EB59">
            <v>40.4</v>
          </cell>
          <cell r="EC59">
            <v>45.3</v>
          </cell>
          <cell r="EE59">
            <v>2.9</v>
          </cell>
          <cell r="EF59">
            <v>39.700000000000003</v>
          </cell>
          <cell r="EG59">
            <v>42.6</v>
          </cell>
          <cell r="EI59">
            <v>22.8</v>
          </cell>
          <cell r="EJ59">
            <v>3.2</v>
          </cell>
          <cell r="EK59">
            <v>26</v>
          </cell>
          <cell r="EM59" t="str">
            <v xml:space="preserve"> 1Q</v>
          </cell>
          <cell r="EN59">
            <v>12.6</v>
          </cell>
          <cell r="EO59">
            <v>7.6</v>
          </cell>
          <cell r="EP59">
            <v>20.2</v>
          </cell>
          <cell r="ER59">
            <v>15.2</v>
          </cell>
          <cell r="ES59">
            <v>13.1</v>
          </cell>
          <cell r="ET59">
            <v>28.299999999999997</v>
          </cell>
          <cell r="EV59">
            <v>0</v>
          </cell>
          <cell r="EW59">
            <v>20.6</v>
          </cell>
          <cell r="EX59">
            <v>20.6</v>
          </cell>
          <cell r="EZ59">
            <v>19.599999999999991</v>
          </cell>
          <cell r="FA59">
            <v>34.90000000000002</v>
          </cell>
          <cell r="FB59">
            <v>54.500000000000014</v>
          </cell>
          <cell r="FD59">
            <v>128.5</v>
          </cell>
          <cell r="FE59">
            <v>300.60000000000002</v>
          </cell>
          <cell r="FF59">
            <v>429.1</v>
          </cell>
          <cell r="FH59">
            <v>827.6</v>
          </cell>
          <cell r="FI59">
            <v>949.80000000000007</v>
          </cell>
          <cell r="FJ59">
            <v>1777.4</v>
          </cell>
        </row>
        <row r="60">
          <cell r="A60" t="str">
            <v xml:space="preserve"> 2Q</v>
          </cell>
          <cell r="B60">
            <v>133.1</v>
          </cell>
          <cell r="C60">
            <v>17.899999999999999</v>
          </cell>
          <cell r="D60">
            <v>151</v>
          </cell>
          <cell r="F60">
            <v>78.900000000000006</v>
          </cell>
          <cell r="G60">
            <v>0</v>
          </cell>
          <cell r="H60">
            <v>78.900000000000006</v>
          </cell>
          <cell r="J60">
            <v>43.3</v>
          </cell>
          <cell r="K60">
            <v>54.7</v>
          </cell>
          <cell r="L60">
            <v>98</v>
          </cell>
          <cell r="N60">
            <v>7.5</v>
          </cell>
          <cell r="O60">
            <v>28.5</v>
          </cell>
          <cell r="P60">
            <v>36</v>
          </cell>
          <cell r="R60">
            <v>40.200000000000003</v>
          </cell>
          <cell r="S60">
            <v>11</v>
          </cell>
          <cell r="T60">
            <v>51.2</v>
          </cell>
          <cell r="V60">
            <v>59.3</v>
          </cell>
          <cell r="W60">
            <v>12</v>
          </cell>
          <cell r="X60">
            <v>71.3</v>
          </cell>
          <cell r="AD60">
            <v>26.2</v>
          </cell>
          <cell r="AE60">
            <v>2.7</v>
          </cell>
          <cell r="AF60">
            <v>28.9</v>
          </cell>
          <cell r="AH60" t="str">
            <v xml:space="preserve"> 2Q</v>
          </cell>
          <cell r="AI60">
            <v>0</v>
          </cell>
          <cell r="AJ60">
            <v>26.3</v>
          </cell>
          <cell r="AK60">
            <v>26.3</v>
          </cell>
          <cell r="AM60">
            <v>0</v>
          </cell>
          <cell r="AN60">
            <v>5.8</v>
          </cell>
          <cell r="AO60">
            <v>5.8</v>
          </cell>
          <cell r="AQ60">
            <v>35.700000000000003</v>
          </cell>
          <cell r="AR60">
            <v>53.5</v>
          </cell>
          <cell r="AS60">
            <v>89.2</v>
          </cell>
          <cell r="AW60">
            <v>0</v>
          </cell>
          <cell r="AY60">
            <v>37.000000000000043</v>
          </cell>
          <cell r="AZ60">
            <v>150.90000000000003</v>
          </cell>
          <cell r="BA60">
            <v>187.90000000000009</v>
          </cell>
          <cell r="BC60">
            <v>461.2</v>
          </cell>
          <cell r="BD60">
            <v>363.3</v>
          </cell>
          <cell r="BE60">
            <v>824.5</v>
          </cell>
          <cell r="BK60">
            <v>0</v>
          </cell>
          <cell r="BL60">
            <v>0</v>
          </cell>
          <cell r="BM60">
            <v>0</v>
          </cell>
          <cell r="BO60">
            <v>461.2</v>
          </cell>
          <cell r="BP60">
            <v>363.3</v>
          </cell>
          <cell r="BQ60">
            <v>824.5</v>
          </cell>
          <cell r="BS60" t="str">
            <v xml:space="preserve"> 2Q</v>
          </cell>
          <cell r="BT60">
            <v>50.1</v>
          </cell>
          <cell r="BU60">
            <v>148</v>
          </cell>
          <cell r="BV60">
            <v>198.1</v>
          </cell>
          <cell r="BX60">
            <v>75.8</v>
          </cell>
          <cell r="BY60">
            <v>27.8</v>
          </cell>
          <cell r="BZ60">
            <v>103.6</v>
          </cell>
          <cell r="CB60">
            <v>20.5</v>
          </cell>
          <cell r="CC60">
            <v>30.9</v>
          </cell>
          <cell r="CD60">
            <v>51.4</v>
          </cell>
          <cell r="CF60">
            <v>0</v>
          </cell>
          <cell r="CG60">
            <v>0</v>
          </cell>
          <cell r="CH60">
            <v>0</v>
          </cell>
          <cell r="CJ60">
            <v>21.4</v>
          </cell>
          <cell r="CK60">
            <v>5</v>
          </cell>
          <cell r="CL60">
            <v>26.4</v>
          </cell>
          <cell r="CN60">
            <v>36.4</v>
          </cell>
          <cell r="CO60">
            <v>3.1</v>
          </cell>
          <cell r="CP60">
            <v>39.5</v>
          </cell>
          <cell r="CR60">
            <v>19.100000000000001</v>
          </cell>
          <cell r="CS60">
            <v>2.4</v>
          </cell>
          <cell r="CT60">
            <v>21.5</v>
          </cell>
          <cell r="CV60" t="str">
            <v xml:space="preserve"> 2Q</v>
          </cell>
          <cell r="CX60">
            <v>18.2</v>
          </cell>
          <cell r="CY60">
            <v>6.3</v>
          </cell>
          <cell r="CZ60">
            <v>24.5</v>
          </cell>
          <cell r="DB60">
            <v>21.9</v>
          </cell>
          <cell r="DC60">
            <v>2</v>
          </cell>
          <cell r="DD60">
            <v>23.9</v>
          </cell>
          <cell r="DF60">
            <v>4.3</v>
          </cell>
          <cell r="DG60">
            <v>5.3</v>
          </cell>
          <cell r="DH60">
            <v>9.6</v>
          </cell>
          <cell r="DJ60">
            <v>74.499999999999957</v>
          </cell>
          <cell r="DK60">
            <v>102.09999999999997</v>
          </cell>
          <cell r="DL60">
            <v>176.59999999999991</v>
          </cell>
          <cell r="DN60">
            <v>342.2</v>
          </cell>
          <cell r="DO60">
            <v>332.9</v>
          </cell>
          <cell r="DP60">
            <v>675.09999999999991</v>
          </cell>
          <cell r="DR60" t="str">
            <v xml:space="preserve"> 2Q</v>
          </cell>
          <cell r="DS60">
            <v>29.4</v>
          </cell>
          <cell r="DT60">
            <v>86.9</v>
          </cell>
          <cell r="DU60">
            <v>116.30000000000001</v>
          </cell>
          <cell r="DW60">
            <v>37.299999999999997</v>
          </cell>
          <cell r="DX60">
            <v>53.2</v>
          </cell>
          <cell r="DY60">
            <v>90.5</v>
          </cell>
          <cell r="EA60">
            <v>5</v>
          </cell>
          <cell r="EB60">
            <v>45.3</v>
          </cell>
          <cell r="EC60">
            <v>50.3</v>
          </cell>
          <cell r="EE60">
            <v>3.4</v>
          </cell>
          <cell r="EF60">
            <v>39.700000000000003</v>
          </cell>
          <cell r="EG60">
            <v>43.1</v>
          </cell>
          <cell r="EI60">
            <v>25.1</v>
          </cell>
          <cell r="EJ60">
            <v>3.8</v>
          </cell>
          <cell r="EK60">
            <v>28.900000000000002</v>
          </cell>
          <cell r="EM60" t="str">
            <v xml:space="preserve"> 2Q</v>
          </cell>
          <cell r="EN60">
            <v>16.7</v>
          </cell>
          <cell r="EO60">
            <v>7.4</v>
          </cell>
          <cell r="EP60">
            <v>24.1</v>
          </cell>
          <cell r="ER60">
            <v>13.8</v>
          </cell>
          <cell r="ES60">
            <v>15.2</v>
          </cell>
          <cell r="ET60">
            <v>29</v>
          </cell>
          <cell r="EV60">
            <v>0</v>
          </cell>
          <cell r="EW60">
            <v>24.4</v>
          </cell>
          <cell r="EX60">
            <v>24.4</v>
          </cell>
          <cell r="EZ60">
            <v>14.29999999999999</v>
          </cell>
          <cell r="FA60">
            <v>46.299999999999947</v>
          </cell>
          <cell r="FB60">
            <v>60.599999999999937</v>
          </cell>
          <cell r="FD60">
            <v>145</v>
          </cell>
          <cell r="FE60">
            <v>322.2</v>
          </cell>
          <cell r="FF60">
            <v>467.2</v>
          </cell>
          <cell r="FH60">
            <v>948.4</v>
          </cell>
          <cell r="FI60">
            <v>1018.4000000000001</v>
          </cell>
          <cell r="FJ60">
            <v>1966.8000000000002</v>
          </cell>
        </row>
        <row r="61">
          <cell r="A61" t="str">
            <v xml:space="preserve"> 3Q</v>
          </cell>
          <cell r="B61">
            <v>219.3</v>
          </cell>
          <cell r="C61">
            <v>37.200000000000003</v>
          </cell>
          <cell r="D61">
            <v>256.5</v>
          </cell>
          <cell r="F61">
            <v>136.5</v>
          </cell>
          <cell r="G61">
            <v>0</v>
          </cell>
          <cell r="H61">
            <v>136.5</v>
          </cell>
          <cell r="J61">
            <v>31.9</v>
          </cell>
          <cell r="K61">
            <v>49.2</v>
          </cell>
          <cell r="L61">
            <v>81.099999999999994</v>
          </cell>
          <cell r="N61">
            <v>6.1</v>
          </cell>
          <cell r="O61">
            <v>24.4</v>
          </cell>
          <cell r="P61">
            <v>30.5</v>
          </cell>
          <cell r="R61">
            <v>43.6</v>
          </cell>
          <cell r="S61">
            <v>9.5</v>
          </cell>
          <cell r="T61">
            <v>53.1</v>
          </cell>
          <cell r="V61">
            <v>65.5</v>
          </cell>
          <cell r="W61">
            <v>12.7</v>
          </cell>
          <cell r="X61">
            <v>78.2</v>
          </cell>
          <cell r="AD61">
            <v>35.299999999999997</v>
          </cell>
          <cell r="AE61">
            <v>2.7</v>
          </cell>
          <cell r="AF61">
            <v>38</v>
          </cell>
          <cell r="AH61" t="str">
            <v xml:space="preserve"> 3Q</v>
          </cell>
          <cell r="AI61">
            <v>0</v>
          </cell>
          <cell r="AJ61">
            <v>23.1</v>
          </cell>
          <cell r="AK61">
            <v>23.1</v>
          </cell>
          <cell r="AM61">
            <v>0</v>
          </cell>
          <cell r="AN61">
            <v>5.3</v>
          </cell>
          <cell r="AO61">
            <v>5.3</v>
          </cell>
          <cell r="AQ61">
            <v>33.6</v>
          </cell>
          <cell r="AR61">
            <v>47.3</v>
          </cell>
          <cell r="AS61">
            <v>80.900000000000006</v>
          </cell>
          <cell r="AW61">
            <v>0</v>
          </cell>
          <cell r="AY61">
            <v>13.099999999999973</v>
          </cell>
          <cell r="AZ61">
            <v>151.80000000000001</v>
          </cell>
          <cell r="BA61">
            <v>164.89999999999998</v>
          </cell>
          <cell r="BC61">
            <v>584.9</v>
          </cell>
          <cell r="BD61">
            <v>363.2</v>
          </cell>
          <cell r="BE61">
            <v>948.09999999999991</v>
          </cell>
          <cell r="BK61">
            <v>0</v>
          </cell>
          <cell r="BL61">
            <v>0</v>
          </cell>
          <cell r="BM61">
            <v>0</v>
          </cell>
          <cell r="BO61">
            <v>584.9</v>
          </cell>
          <cell r="BP61">
            <v>363.2</v>
          </cell>
          <cell r="BQ61">
            <v>948.09999999999991</v>
          </cell>
          <cell r="BS61" t="str">
            <v xml:space="preserve"> 3Q</v>
          </cell>
          <cell r="BT61">
            <v>52.2</v>
          </cell>
          <cell r="BU61">
            <v>132.19999999999999</v>
          </cell>
          <cell r="BV61">
            <v>184.39999999999998</v>
          </cell>
          <cell r="BX61">
            <v>71.599999999999994</v>
          </cell>
          <cell r="BY61">
            <v>25.5</v>
          </cell>
          <cell r="BZ61">
            <v>97.1</v>
          </cell>
          <cell r="CB61">
            <v>20.100000000000001</v>
          </cell>
          <cell r="CC61">
            <v>27.8</v>
          </cell>
          <cell r="CD61">
            <v>47.900000000000006</v>
          </cell>
          <cell r="CF61">
            <v>0</v>
          </cell>
          <cell r="CG61">
            <v>0</v>
          </cell>
          <cell r="CH61">
            <v>0</v>
          </cell>
          <cell r="CJ61">
            <v>35.299999999999997</v>
          </cell>
          <cell r="CK61">
            <v>5.9</v>
          </cell>
          <cell r="CL61">
            <v>41.199999999999996</v>
          </cell>
          <cell r="CN61">
            <v>39.9</v>
          </cell>
          <cell r="CO61">
            <v>2.1</v>
          </cell>
          <cell r="CP61">
            <v>42</v>
          </cell>
          <cell r="CR61">
            <v>17.2</v>
          </cell>
          <cell r="CS61">
            <v>2.2999999999999998</v>
          </cell>
          <cell r="CT61">
            <v>19.5</v>
          </cell>
          <cell r="CV61" t="str">
            <v xml:space="preserve"> 3Q</v>
          </cell>
          <cell r="CX61">
            <v>20.6</v>
          </cell>
          <cell r="CY61">
            <v>6.2</v>
          </cell>
          <cell r="CZ61">
            <v>26.8</v>
          </cell>
          <cell r="DB61">
            <v>19.7</v>
          </cell>
          <cell r="DC61">
            <v>0.6</v>
          </cell>
          <cell r="DD61">
            <v>20.3</v>
          </cell>
          <cell r="DF61">
            <v>6.2</v>
          </cell>
          <cell r="DG61">
            <v>8.5</v>
          </cell>
          <cell r="DH61">
            <v>14.7</v>
          </cell>
          <cell r="DJ61">
            <v>80.5</v>
          </cell>
          <cell r="DK61">
            <v>97.200000000000031</v>
          </cell>
          <cell r="DL61">
            <v>177.70000000000005</v>
          </cell>
          <cell r="DN61">
            <v>363.3</v>
          </cell>
          <cell r="DO61">
            <v>308.3</v>
          </cell>
          <cell r="DP61">
            <v>671.6</v>
          </cell>
          <cell r="DR61" t="str">
            <v xml:space="preserve"> 3Q</v>
          </cell>
          <cell r="DS61">
            <v>57</v>
          </cell>
          <cell r="DT61">
            <v>89</v>
          </cell>
          <cell r="DU61">
            <v>146</v>
          </cell>
          <cell r="DW61">
            <v>33.5</v>
          </cell>
          <cell r="DX61">
            <v>46.5</v>
          </cell>
          <cell r="DY61">
            <v>80</v>
          </cell>
          <cell r="EA61">
            <v>4.7</v>
          </cell>
          <cell r="EB61">
            <v>45.6</v>
          </cell>
          <cell r="EC61">
            <v>50.300000000000004</v>
          </cell>
          <cell r="EE61">
            <v>3</v>
          </cell>
          <cell r="EF61">
            <v>37.299999999999997</v>
          </cell>
          <cell r="EG61">
            <v>40.299999999999997</v>
          </cell>
          <cell r="EI61">
            <v>27.7</v>
          </cell>
          <cell r="EJ61">
            <v>3.2</v>
          </cell>
          <cell r="EK61">
            <v>30.9</v>
          </cell>
          <cell r="EM61" t="str">
            <v xml:space="preserve"> 3Q</v>
          </cell>
          <cell r="EN61">
            <v>12.9</v>
          </cell>
          <cell r="EO61">
            <v>7.6</v>
          </cell>
          <cell r="EP61">
            <v>20.5</v>
          </cell>
          <cell r="ER61">
            <v>17.7</v>
          </cell>
          <cell r="ES61">
            <v>12</v>
          </cell>
          <cell r="ET61">
            <v>29.7</v>
          </cell>
          <cell r="EV61">
            <v>0</v>
          </cell>
          <cell r="EW61">
            <v>24.5</v>
          </cell>
          <cell r="EX61">
            <v>24.5</v>
          </cell>
          <cell r="EZ61">
            <v>24.999999999999996</v>
          </cell>
          <cell r="FA61">
            <v>41.300000000000011</v>
          </cell>
          <cell r="FB61">
            <v>66.300000000000011</v>
          </cell>
          <cell r="FD61">
            <v>181.5</v>
          </cell>
          <cell r="FE61">
            <v>307</v>
          </cell>
          <cell r="FF61">
            <v>488.5</v>
          </cell>
          <cell r="FH61">
            <v>1129.7</v>
          </cell>
          <cell r="FI61">
            <v>978.5</v>
          </cell>
          <cell r="FJ61">
            <v>2108.1999999999998</v>
          </cell>
        </row>
        <row r="62">
          <cell r="A62" t="str">
            <v xml:space="preserve"> 4Q</v>
          </cell>
          <cell r="B62">
            <v>345.7</v>
          </cell>
          <cell r="C62">
            <v>62.8</v>
          </cell>
          <cell r="D62">
            <v>408.5</v>
          </cell>
          <cell r="F62">
            <v>177.4</v>
          </cell>
          <cell r="G62">
            <v>0</v>
          </cell>
          <cell r="H62">
            <v>177.4</v>
          </cell>
          <cell r="J62">
            <v>38.700000000000003</v>
          </cell>
          <cell r="K62">
            <v>53.6</v>
          </cell>
          <cell r="L62">
            <v>92.300000000000011</v>
          </cell>
          <cell r="N62">
            <v>3.9</v>
          </cell>
          <cell r="O62">
            <v>25</v>
          </cell>
          <cell r="P62">
            <v>28.9</v>
          </cell>
          <cell r="R62">
            <v>40.299999999999997</v>
          </cell>
          <cell r="S62">
            <v>9.8000000000000007</v>
          </cell>
          <cell r="T62">
            <v>50.099999999999994</v>
          </cell>
          <cell r="V62">
            <v>55.8</v>
          </cell>
          <cell r="W62">
            <v>14</v>
          </cell>
          <cell r="X62">
            <v>69.8</v>
          </cell>
          <cell r="AD62">
            <v>22.4</v>
          </cell>
          <cell r="AE62">
            <v>2.7</v>
          </cell>
          <cell r="AF62">
            <v>25.099999999999998</v>
          </cell>
          <cell r="AH62" t="str">
            <v xml:space="preserve"> 4Q</v>
          </cell>
          <cell r="AI62">
            <v>0</v>
          </cell>
          <cell r="AJ62">
            <v>23.8</v>
          </cell>
          <cell r="AK62">
            <v>23.8</v>
          </cell>
          <cell r="AM62">
            <v>-1.4</v>
          </cell>
          <cell r="AN62">
            <v>4.9000000000000004</v>
          </cell>
          <cell r="AO62">
            <v>3.5000000000000004</v>
          </cell>
          <cell r="AQ62">
            <v>34.299999999999997</v>
          </cell>
          <cell r="AR62">
            <v>49.7</v>
          </cell>
          <cell r="AS62">
            <v>84</v>
          </cell>
          <cell r="AW62">
            <v>0</v>
          </cell>
          <cell r="AY62">
            <v>27.19999999999996</v>
          </cell>
          <cell r="AZ62">
            <v>170.59999999999991</v>
          </cell>
          <cell r="BA62">
            <v>197.79999999999987</v>
          </cell>
          <cell r="BC62">
            <v>744.3</v>
          </cell>
          <cell r="BD62">
            <v>416.9</v>
          </cell>
          <cell r="BE62">
            <v>1161.1999999999998</v>
          </cell>
          <cell r="BK62">
            <v>0</v>
          </cell>
          <cell r="BL62">
            <v>0</v>
          </cell>
          <cell r="BM62">
            <v>0</v>
          </cell>
          <cell r="BO62">
            <v>744.3</v>
          </cell>
          <cell r="BP62">
            <v>416.9</v>
          </cell>
          <cell r="BQ62">
            <v>1161.1999999999998</v>
          </cell>
          <cell r="BS62" t="str">
            <v xml:space="preserve"> 4Q</v>
          </cell>
          <cell r="BT62">
            <v>60.1</v>
          </cell>
          <cell r="BU62">
            <v>128.69999999999999</v>
          </cell>
          <cell r="BV62">
            <v>188.79999999999998</v>
          </cell>
          <cell r="BX62">
            <v>82.1</v>
          </cell>
          <cell r="BY62">
            <v>23.3</v>
          </cell>
          <cell r="BZ62">
            <v>105.39999999999999</v>
          </cell>
          <cell r="CB62">
            <v>19.899999999999999</v>
          </cell>
          <cell r="CC62">
            <v>25.5</v>
          </cell>
          <cell r="CD62">
            <v>45.4</v>
          </cell>
          <cell r="CF62">
            <v>0</v>
          </cell>
          <cell r="CG62">
            <v>0</v>
          </cell>
          <cell r="CH62">
            <v>0</v>
          </cell>
          <cell r="CJ62">
            <v>44.8</v>
          </cell>
          <cell r="CK62">
            <v>6.1</v>
          </cell>
          <cell r="CL62">
            <v>50.9</v>
          </cell>
          <cell r="CN62">
            <v>29.9</v>
          </cell>
          <cell r="CO62">
            <v>1.7</v>
          </cell>
          <cell r="CP62">
            <v>31.599999999999998</v>
          </cell>
          <cell r="CR62">
            <v>18.399999999999999</v>
          </cell>
          <cell r="CS62">
            <v>1.9</v>
          </cell>
          <cell r="CT62">
            <v>20.299999999999997</v>
          </cell>
          <cell r="CV62" t="str">
            <v xml:space="preserve"> 4Q</v>
          </cell>
          <cell r="CX62">
            <v>28.2</v>
          </cell>
          <cell r="CY62">
            <v>5.9</v>
          </cell>
          <cell r="CZ62">
            <v>34.1</v>
          </cell>
          <cell r="DB62">
            <v>14</v>
          </cell>
          <cell r="DC62">
            <v>0.8</v>
          </cell>
          <cell r="DD62">
            <v>14.8</v>
          </cell>
          <cell r="DF62">
            <v>6.5</v>
          </cell>
          <cell r="DG62">
            <v>11.5</v>
          </cell>
          <cell r="DH62">
            <v>18</v>
          </cell>
          <cell r="DJ62">
            <v>67.899999999999963</v>
          </cell>
          <cell r="DK62">
            <v>105.20000000000002</v>
          </cell>
          <cell r="DL62">
            <v>173.09999999999997</v>
          </cell>
          <cell r="DN62">
            <v>371.8</v>
          </cell>
          <cell r="DO62">
            <v>310.60000000000002</v>
          </cell>
          <cell r="DP62">
            <v>682.40000000000009</v>
          </cell>
          <cell r="DR62" t="str">
            <v xml:space="preserve"> 4Q</v>
          </cell>
          <cell r="DS62">
            <v>67.099999999999994</v>
          </cell>
          <cell r="DT62">
            <v>106.5</v>
          </cell>
          <cell r="DU62">
            <v>173.6</v>
          </cell>
          <cell r="DW62">
            <v>30.6</v>
          </cell>
          <cell r="DX62">
            <v>43.8</v>
          </cell>
          <cell r="DY62">
            <v>74.400000000000006</v>
          </cell>
          <cell r="EA62">
            <v>4.9000000000000004</v>
          </cell>
          <cell r="EB62">
            <v>41</v>
          </cell>
          <cell r="EC62">
            <v>45.9</v>
          </cell>
          <cell r="EE62">
            <v>3.6</v>
          </cell>
          <cell r="EF62">
            <v>33.799999999999997</v>
          </cell>
          <cell r="EG62">
            <v>37.4</v>
          </cell>
          <cell r="EI62">
            <v>27.7</v>
          </cell>
          <cell r="EJ62">
            <v>3.1</v>
          </cell>
          <cell r="EK62">
            <v>30.8</v>
          </cell>
          <cell r="EM62" t="str">
            <v xml:space="preserve"> 4Q</v>
          </cell>
          <cell r="EN62">
            <v>8.3000000000000007</v>
          </cell>
          <cell r="EO62">
            <v>6.2</v>
          </cell>
          <cell r="EP62">
            <v>14.5</v>
          </cell>
          <cell r="ER62">
            <v>16.8</v>
          </cell>
          <cell r="ES62">
            <v>13.7</v>
          </cell>
          <cell r="ET62">
            <v>30.5</v>
          </cell>
          <cell r="EV62">
            <v>0.3</v>
          </cell>
          <cell r="EW62">
            <v>19.8</v>
          </cell>
          <cell r="EX62">
            <v>20.100000000000001</v>
          </cell>
          <cell r="EZ62">
            <v>21.20000000000001</v>
          </cell>
          <cell r="FA62">
            <v>35.299999999999983</v>
          </cell>
          <cell r="FB62">
            <v>56.499999999999993</v>
          </cell>
          <cell r="FD62">
            <v>180.5</v>
          </cell>
          <cell r="FE62">
            <v>303.2</v>
          </cell>
          <cell r="FF62">
            <v>483.7</v>
          </cell>
          <cell r="FH62">
            <v>1296.5999999999999</v>
          </cell>
          <cell r="FI62">
            <v>1030.7</v>
          </cell>
          <cell r="FJ62">
            <v>2327.3000000000002</v>
          </cell>
        </row>
        <row r="64">
          <cell r="A64" t="str">
            <v>Year</v>
          </cell>
          <cell r="B64">
            <v>742.4</v>
          </cell>
          <cell r="C64">
            <v>122.8</v>
          </cell>
          <cell r="D64">
            <v>865.2</v>
          </cell>
          <cell r="F64">
            <v>418.3</v>
          </cell>
          <cell r="G64">
            <v>0</v>
          </cell>
          <cell r="H64">
            <v>418.3</v>
          </cell>
          <cell r="J64">
            <v>168.8</v>
          </cell>
          <cell r="K64">
            <v>209.29999999999998</v>
          </cell>
          <cell r="L64">
            <v>378.09999999999997</v>
          </cell>
          <cell r="N64">
            <v>26.699999999999996</v>
          </cell>
          <cell r="O64">
            <v>104.19999999999999</v>
          </cell>
          <cell r="P64">
            <v>130.9</v>
          </cell>
          <cell r="R64">
            <v>182.7</v>
          </cell>
          <cell r="S64">
            <v>39.1</v>
          </cell>
          <cell r="T64">
            <v>221.8</v>
          </cell>
          <cell r="V64">
            <v>242.5</v>
          </cell>
          <cell r="W64">
            <v>49.2</v>
          </cell>
          <cell r="X64">
            <v>291.7</v>
          </cell>
          <cell r="AD64">
            <v>116.5</v>
          </cell>
          <cell r="AE64">
            <v>10.5</v>
          </cell>
          <cell r="AF64">
            <v>127</v>
          </cell>
          <cell r="AH64" t="str">
            <v>Year</v>
          </cell>
          <cell r="AI64">
            <v>0</v>
          </cell>
          <cell r="AJ64">
            <v>104.10000000000001</v>
          </cell>
          <cell r="AK64">
            <v>104.10000000000001</v>
          </cell>
          <cell r="AM64">
            <v>5.4</v>
          </cell>
          <cell r="AN64">
            <v>21.6</v>
          </cell>
          <cell r="AO64">
            <v>27</v>
          </cell>
          <cell r="AQ64">
            <v>139.30000000000001</v>
          </cell>
          <cell r="AR64">
            <v>205.59999999999997</v>
          </cell>
          <cell r="AS64">
            <v>344.9</v>
          </cell>
          <cell r="AU64">
            <v>0</v>
          </cell>
          <cell r="AV64">
            <v>0</v>
          </cell>
          <cell r="AW64">
            <v>0</v>
          </cell>
          <cell r="AY64">
            <v>118.6</v>
          </cell>
          <cell r="AZ64">
            <v>592.39999999999986</v>
          </cell>
          <cell r="BA64">
            <v>710.99999999999989</v>
          </cell>
          <cell r="BC64">
            <v>2161.1999999999998</v>
          </cell>
          <cell r="BD64">
            <v>1458.8000000000002</v>
          </cell>
          <cell r="BE64">
            <v>3620</v>
          </cell>
          <cell r="BK64">
            <v>0</v>
          </cell>
          <cell r="BL64">
            <v>0</v>
          </cell>
          <cell r="BM64">
            <v>0</v>
          </cell>
          <cell r="BO64">
            <v>2161.1999999999998</v>
          </cell>
          <cell r="BP64">
            <v>1458.8000000000002</v>
          </cell>
          <cell r="BQ64">
            <v>3620</v>
          </cell>
          <cell r="BS64" t="str">
            <v>Year</v>
          </cell>
          <cell r="BT64">
            <v>198.9</v>
          </cell>
          <cell r="BU64">
            <v>540.29999999999995</v>
          </cell>
          <cell r="BV64">
            <v>739.19999999999993</v>
          </cell>
          <cell r="BX64">
            <v>303.7</v>
          </cell>
          <cell r="BY64">
            <v>100.7</v>
          </cell>
          <cell r="BZ64">
            <v>404.4</v>
          </cell>
          <cell r="CB64">
            <v>79.8</v>
          </cell>
          <cell r="CC64">
            <v>117.49999999999999</v>
          </cell>
          <cell r="CD64">
            <v>197.3</v>
          </cell>
          <cell r="CF64">
            <v>0</v>
          </cell>
          <cell r="CG64">
            <v>0</v>
          </cell>
          <cell r="CH64">
            <v>0</v>
          </cell>
          <cell r="CJ64">
            <v>133.39999999999998</v>
          </cell>
          <cell r="CK64">
            <v>26.700000000000003</v>
          </cell>
          <cell r="CL64">
            <v>160.1</v>
          </cell>
          <cell r="CN64">
            <v>136.9</v>
          </cell>
          <cell r="CO64">
            <v>9.1</v>
          </cell>
          <cell r="CP64">
            <v>146</v>
          </cell>
          <cell r="CR64">
            <v>71.800000000000011</v>
          </cell>
          <cell r="CS64">
            <v>8.7999999999999989</v>
          </cell>
          <cell r="CT64">
            <v>80.599999999999994</v>
          </cell>
          <cell r="CV64" t="str">
            <v>Year</v>
          </cell>
          <cell r="CX64">
            <v>89.399999999999991</v>
          </cell>
          <cell r="CY64">
            <v>24.6</v>
          </cell>
          <cell r="CZ64">
            <v>114</v>
          </cell>
          <cell r="DB64">
            <v>73.8</v>
          </cell>
          <cell r="DC64">
            <v>4.5</v>
          </cell>
          <cell r="DD64">
            <v>78.3</v>
          </cell>
          <cell r="DF64">
            <v>21.9</v>
          </cell>
          <cell r="DG64">
            <v>37.4</v>
          </cell>
          <cell r="DH64">
            <v>59.3</v>
          </cell>
          <cell r="DJ64">
            <v>295.99999999999994</v>
          </cell>
          <cell r="DK64">
            <v>416.00000000000011</v>
          </cell>
          <cell r="DL64">
            <v>712</v>
          </cell>
          <cell r="DN64">
            <v>1405.6</v>
          </cell>
          <cell r="DO64">
            <v>1285.5999999999999</v>
          </cell>
          <cell r="DP64">
            <v>2691.2</v>
          </cell>
          <cell r="DR64" t="str">
            <v>Year</v>
          </cell>
          <cell r="DS64">
            <v>177.1</v>
          </cell>
          <cell r="DT64">
            <v>379</v>
          </cell>
          <cell r="DU64">
            <v>556.1</v>
          </cell>
          <cell r="DW64">
            <v>128.29999999999998</v>
          </cell>
          <cell r="DX64">
            <v>188</v>
          </cell>
          <cell r="DY64">
            <v>316.3</v>
          </cell>
          <cell r="EA64">
            <v>19.5</v>
          </cell>
          <cell r="EB64">
            <v>172.29999999999998</v>
          </cell>
          <cell r="EC64">
            <v>191.8</v>
          </cell>
          <cell r="EE64">
            <v>12.9</v>
          </cell>
          <cell r="EF64">
            <v>150.5</v>
          </cell>
          <cell r="EG64">
            <v>163.4</v>
          </cell>
          <cell r="EI64">
            <v>103.30000000000001</v>
          </cell>
          <cell r="EJ64">
            <v>13.299999999999999</v>
          </cell>
          <cell r="EK64">
            <v>116.60000000000001</v>
          </cell>
          <cell r="EM64" t="str">
            <v>Year</v>
          </cell>
          <cell r="EN64">
            <v>50.5</v>
          </cell>
          <cell r="EO64">
            <v>28.8</v>
          </cell>
          <cell r="EP64">
            <v>79.3</v>
          </cell>
          <cell r="ER64">
            <v>63.5</v>
          </cell>
          <cell r="ES64">
            <v>54</v>
          </cell>
          <cell r="ET64">
            <v>117.5</v>
          </cell>
          <cell r="EV64">
            <v>0.3</v>
          </cell>
          <cell r="EW64">
            <v>89.3</v>
          </cell>
          <cell r="EX64">
            <v>89.6</v>
          </cell>
          <cell r="EZ64">
            <v>80.099999999999994</v>
          </cell>
          <cell r="FA64">
            <v>157.79999999999995</v>
          </cell>
          <cell r="FB64">
            <v>237.89999999999998</v>
          </cell>
          <cell r="FD64">
            <v>635.5</v>
          </cell>
          <cell r="FE64">
            <v>1233</v>
          </cell>
          <cell r="FF64">
            <v>1868.5</v>
          </cell>
          <cell r="FH64">
            <v>4202.2999999999993</v>
          </cell>
          <cell r="FI64">
            <v>3977.4000000000005</v>
          </cell>
          <cell r="FJ64">
            <v>8179.7</v>
          </cell>
        </row>
        <row r="66">
          <cell r="A66" t="str">
            <v>1998/97 % Change</v>
          </cell>
          <cell r="AH66" t="str">
            <v>1998/97 % Change</v>
          </cell>
          <cell r="BS66" t="str">
            <v>1998/97 % Change</v>
          </cell>
          <cell r="CV66" t="str">
            <v>1998/97 % Change</v>
          </cell>
          <cell r="DR66" t="str">
            <v>1998/97 % Change</v>
          </cell>
          <cell r="EM66" t="str">
            <v>1998/97 % Change</v>
          </cell>
        </row>
        <row r="67">
          <cell r="A67" t="str">
            <v xml:space="preserve"> 1Q</v>
          </cell>
          <cell r="B67" t="str">
            <v>NM</v>
          </cell>
          <cell r="C67" t="str">
            <v>NM</v>
          </cell>
          <cell r="D67" t="str">
            <v>NM</v>
          </cell>
          <cell r="F67" t="str">
            <v>NM</v>
          </cell>
          <cell r="G67" t="str">
            <v>NM</v>
          </cell>
          <cell r="H67" t="str">
            <v>NM</v>
          </cell>
          <cell r="I67" t="e">
            <v>#DIV/0!</v>
          </cell>
          <cell r="J67">
            <v>-0.14571948998178508</v>
          </cell>
          <cell r="K67">
            <v>-3.8610038610037423E-3</v>
          </cell>
          <cell r="L67">
            <v>-7.6850984067478811E-2</v>
          </cell>
          <cell r="M67" t="e">
            <v>#DIV/0!</v>
          </cell>
          <cell r="N67">
            <v>-0.17391304347826086</v>
          </cell>
          <cell r="O67">
            <v>-0.23193916349809895</v>
          </cell>
          <cell r="P67">
            <v>-0.21690140845070427</v>
          </cell>
          <cell r="R67">
            <v>-1.3651877133105894E-2</v>
          </cell>
          <cell r="S67">
            <v>-6.8181818181818343E-2</v>
          </cell>
          <cell r="T67">
            <v>-2.0771513353115778E-2</v>
          </cell>
          <cell r="U67" t="e">
            <v>#DIV/0!</v>
          </cell>
          <cell r="V67">
            <v>0.31663974151857843</v>
          </cell>
          <cell r="W67">
            <v>0.37142857142857144</v>
          </cell>
          <cell r="X67">
            <v>0.32458563535911589</v>
          </cell>
          <cell r="AD67">
            <v>-0.24233128834355833</v>
          </cell>
          <cell r="AE67">
            <v>4.1666666666666741E-2</v>
          </cell>
          <cell r="AF67">
            <v>-0.22285714285714286</v>
          </cell>
          <cell r="AH67" t="str">
            <v xml:space="preserve"> 1Q</v>
          </cell>
          <cell r="AI67" t="str">
            <v>NM</v>
          </cell>
          <cell r="AJ67">
            <v>-0.34951456310679607</v>
          </cell>
          <cell r="AK67">
            <v>-0.34627831715210344</v>
          </cell>
          <cell r="AM67" t="str">
            <v>NM</v>
          </cell>
          <cell r="AN67">
            <v>-0.12499999999999989</v>
          </cell>
          <cell r="AO67">
            <v>-0.65322580645161277</v>
          </cell>
          <cell r="AQ67">
            <v>0.19607843137254899</v>
          </cell>
          <cell r="AR67">
            <v>-6.7150635208711451E-2</v>
          </cell>
          <cell r="AS67">
            <v>3.6343612334801545E-2</v>
          </cell>
          <cell r="AT67" t="e">
            <v>#DIV/0!</v>
          </cell>
          <cell r="AU67" t="str">
            <v xml:space="preserve"> </v>
          </cell>
          <cell r="AV67" t="str">
            <v xml:space="preserve"> </v>
          </cell>
          <cell r="AW67" t="str">
            <v xml:space="preserve"> </v>
          </cell>
          <cell r="AX67" t="e">
            <v>#DIV/0!</v>
          </cell>
          <cell r="AY67">
            <v>-0.45520581113801539</v>
          </cell>
          <cell r="AZ67">
            <v>0.27623845507976497</v>
          </cell>
          <cell r="BA67">
            <v>8.7905236907730444E-2</v>
          </cell>
          <cell r="BC67">
            <v>1.1672060409924487</v>
          </cell>
          <cell r="BD67">
            <v>0.37254280279010787</v>
          </cell>
          <cell r="BE67">
            <v>0.80195278344505971</v>
          </cell>
          <cell r="BK67" t="str">
            <v>NM</v>
          </cell>
          <cell r="BL67" t="str">
            <v>NM</v>
          </cell>
          <cell r="BM67" t="str">
            <v>NM</v>
          </cell>
          <cell r="BO67">
            <v>1.1672060409924487</v>
          </cell>
          <cell r="BP67">
            <v>0.37254280279010787</v>
          </cell>
          <cell r="BQ67">
            <v>0.80195278344505971</v>
          </cell>
          <cell r="BS67" t="str">
            <v xml:space="preserve"> 1Q</v>
          </cell>
          <cell r="BT67">
            <v>0.40000000000000013</v>
          </cell>
          <cell r="BU67">
            <v>-0.11491628614916294</v>
          </cell>
          <cell r="BV67">
            <v>-2.9779630732579276E-3</v>
          </cell>
          <cell r="BX67">
            <v>0.11590296495956864</v>
          </cell>
          <cell r="BY67">
            <v>-8.7136929460580936E-2</v>
          </cell>
          <cell r="BZ67">
            <v>6.6124109867751635E-2</v>
          </cell>
          <cell r="CB67">
            <v>6.7357512953367893E-2</v>
          </cell>
          <cell r="CC67">
            <v>-0.15915915915915912</v>
          </cell>
          <cell r="CD67">
            <v>-7.6045627376425728E-2</v>
          </cell>
          <cell r="CF67" t="str">
            <v>NM</v>
          </cell>
          <cell r="CG67" t="str">
            <v>NM</v>
          </cell>
          <cell r="CH67" t="str">
            <v>NM</v>
          </cell>
          <cell r="CI67" t="e">
            <v>#DIV/0!</v>
          </cell>
          <cell r="CJ67">
            <v>0.1849529780564263</v>
          </cell>
          <cell r="CK67">
            <v>-0.37113402061855671</v>
          </cell>
          <cell r="CL67">
            <v>5.5288461538461675E-2</v>
          </cell>
          <cell r="CN67">
            <v>0.17589576547231278</v>
          </cell>
          <cell r="CO67">
            <v>0.31818181818181812</v>
          </cell>
          <cell r="CP67">
            <v>0.18541033434650456</v>
          </cell>
          <cell r="CR67">
            <v>-2.3391812865497186E-2</v>
          </cell>
          <cell r="CS67">
            <v>-4.5454545454545525E-2</v>
          </cell>
          <cell r="CT67">
            <v>-2.5906735751295318E-2</v>
          </cell>
          <cell r="CV67" t="str">
            <v xml:space="preserve"> 1Q</v>
          </cell>
          <cell r="CX67">
            <v>-0.1383928571428571</v>
          </cell>
          <cell r="CY67" t="str">
            <v>NM</v>
          </cell>
          <cell r="CZ67">
            <v>-9.0909090909090828E-2</v>
          </cell>
          <cell r="DB67">
            <v>6.0439560439560447E-2</v>
          </cell>
          <cell r="DC67">
            <v>0.27272727272727249</v>
          </cell>
          <cell r="DD67">
            <v>7.2538860103626757E-2</v>
          </cell>
          <cell r="DF67">
            <v>2.0408163265306145E-2</v>
          </cell>
          <cell r="DG67">
            <v>-0.14876033057851235</v>
          </cell>
          <cell r="DH67">
            <v>-9.9999999999999978E-2</v>
          </cell>
          <cell r="DJ67">
            <v>-0.10123119015047921</v>
          </cell>
          <cell r="DK67">
            <v>-0.10941704035874467</v>
          </cell>
          <cell r="DL67">
            <v>-0.1061755146262191</v>
          </cell>
          <cell r="DN67">
            <v>7.9500456899177507E-2</v>
          </cell>
          <cell r="DO67">
            <v>-0.1159376872378669</v>
          </cell>
          <cell r="DP67">
            <v>-1.9030357951971055E-2</v>
          </cell>
          <cell r="DR67" t="str">
            <v xml:space="preserve"> 1Q</v>
          </cell>
          <cell r="DS67">
            <v>0.21610169491525411</v>
          </cell>
          <cell r="DT67">
            <v>-0.11283643892339534</v>
          </cell>
          <cell r="DU67">
            <v>-4.8252911813643773E-2</v>
          </cell>
          <cell r="DW67">
            <v>0.24535315985130124</v>
          </cell>
          <cell r="DX67">
            <v>-1.1235955056179803E-2</v>
          </cell>
          <cell r="DY67">
            <v>8.5434173669467706E-2</v>
          </cell>
          <cell r="EA67">
            <v>6.1224489795918435E-2</v>
          </cell>
          <cell r="EB67">
            <v>-6.683168316831678E-2</v>
          </cell>
          <cell r="EC67">
            <v>-5.2980132450330952E-2</v>
          </cell>
          <cell r="EE67">
            <v>0.58620689655172398</v>
          </cell>
          <cell r="EF67">
            <v>-0.12594458438287148</v>
          </cell>
          <cell r="EG67">
            <v>-7.7464788732394263E-2</v>
          </cell>
          <cell r="EI67">
            <v>0.2192982456140351</v>
          </cell>
          <cell r="EJ67">
            <v>-3.125E-2</v>
          </cell>
          <cell r="EK67">
            <v>0.18846153846153846</v>
          </cell>
          <cell r="EM67" t="str">
            <v xml:space="preserve"> 1Q</v>
          </cell>
          <cell r="EN67">
            <v>0.26984126984126977</v>
          </cell>
          <cell r="EO67">
            <v>0.25</v>
          </cell>
          <cell r="EP67">
            <v>0.26237623762376239</v>
          </cell>
          <cell r="ER67">
            <v>0.31578947368421062</v>
          </cell>
          <cell r="ES67">
            <v>-3.0534351145038219E-2</v>
          </cell>
          <cell r="ET67">
            <v>0.15547703180212036</v>
          </cell>
          <cell r="EV67" t="str">
            <v>NM</v>
          </cell>
          <cell r="EW67">
            <v>0.23300970873786397</v>
          </cell>
          <cell r="EX67">
            <v>0.26213592233009697</v>
          </cell>
          <cell r="EZ67">
            <v>-0.28061224489795866</v>
          </cell>
          <cell r="FA67">
            <v>0.17765042979942591</v>
          </cell>
          <cell r="FB67">
            <v>1.2844036697247319E-2</v>
          </cell>
          <cell r="FD67">
            <v>0.17120622568093391</v>
          </cell>
          <cell r="FE67">
            <v>-2.2288755821690098E-2</v>
          </cell>
          <cell r="FF67">
            <v>3.5656024236774497E-2</v>
          </cell>
          <cell r="FH67">
            <v>0.58107781536974379</v>
          </cell>
          <cell r="FI67">
            <v>7.5910718045904213E-2</v>
          </cell>
          <cell r="FJ67">
            <v>0.31112861483065157</v>
          </cell>
        </row>
        <row r="68">
          <cell r="A68" t="str">
            <v xml:space="preserve"> 2Q</v>
          </cell>
          <cell r="B68" t="str">
            <v>NM</v>
          </cell>
          <cell r="C68" t="str">
            <v>NM</v>
          </cell>
          <cell r="D68" t="str">
            <v>NM</v>
          </cell>
          <cell r="F68" t="str">
            <v>NM</v>
          </cell>
          <cell r="G68" t="str">
            <v>NM</v>
          </cell>
          <cell r="H68" t="str">
            <v>NM</v>
          </cell>
          <cell r="I68" t="e">
            <v>#DIV/0!</v>
          </cell>
          <cell r="J68">
            <v>0.49653579676674364</v>
          </cell>
          <cell r="K68">
            <v>-1.8281535648995151E-3</v>
          </cell>
          <cell r="L68">
            <v>0.21836734693877546</v>
          </cell>
          <cell r="M68" t="e">
            <v>#DIV/0!</v>
          </cell>
          <cell r="N68">
            <v>-0.30666666666666664</v>
          </cell>
          <cell r="O68">
            <v>-0.3543859649122808</v>
          </cell>
          <cell r="P68">
            <v>-0.34444444444444455</v>
          </cell>
          <cell r="R68">
            <v>0.27114427860696511</v>
          </cell>
          <cell r="S68">
            <v>-0.26363636363636367</v>
          </cell>
          <cell r="T68">
            <v>0.15625</v>
          </cell>
          <cell r="U68" t="e">
            <v>#DIV/0!</v>
          </cell>
          <cell r="V68">
            <v>0.76559865092748747</v>
          </cell>
          <cell r="W68">
            <v>0.41666666666666674</v>
          </cell>
          <cell r="X68">
            <v>0.70687237026647987</v>
          </cell>
          <cell r="AD68">
            <v>0.10305343511450382</v>
          </cell>
          <cell r="AE68">
            <v>-7.4074074074074181E-2</v>
          </cell>
          <cell r="AF68">
            <v>8.6505190311418678E-2</v>
          </cell>
          <cell r="AH68" t="str">
            <v xml:space="preserve"> 2Q</v>
          </cell>
          <cell r="AI68" t="str">
            <v>NM</v>
          </cell>
          <cell r="AJ68">
            <v>-0.1901140684410646</v>
          </cell>
          <cell r="AK68">
            <v>-0.1901140684410646</v>
          </cell>
          <cell r="AM68" t="str">
            <v>NM</v>
          </cell>
          <cell r="AN68">
            <v>-0.55172413793103448</v>
          </cell>
          <cell r="AO68">
            <v>-0.44827586206896552</v>
          </cell>
          <cell r="AQ68">
            <v>0.16246498599439763</v>
          </cell>
          <cell r="AR68">
            <v>-6.1682242990654168E-2</v>
          </cell>
          <cell r="AS68">
            <v>2.8026905829596327E-2</v>
          </cell>
          <cell r="AT68" t="e">
            <v>#DIV/0!</v>
          </cell>
          <cell r="AU68" t="str">
            <v xml:space="preserve"> </v>
          </cell>
          <cell r="AV68" t="str">
            <v xml:space="preserve"> </v>
          </cell>
          <cell r="AW68" t="str">
            <v xml:space="preserve"> </v>
          </cell>
          <cell r="AX68" t="str">
            <v xml:space="preserve"> </v>
          </cell>
          <cell r="AY68">
            <v>-0.14054054054054044</v>
          </cell>
          <cell r="AZ68">
            <v>-3.9761431411532433E-3</v>
          </cell>
          <cell r="BA68">
            <v>-3.0867482703565874E-2</v>
          </cell>
          <cell r="BC68">
            <v>1.3146140503035562</v>
          </cell>
          <cell r="BD68">
            <v>0.2967244701348748</v>
          </cell>
          <cell r="BE68">
            <v>0.8661006670709519</v>
          </cell>
          <cell r="BK68" t="str">
            <v>NM</v>
          </cell>
          <cell r="BL68" t="str">
            <v>NM</v>
          </cell>
          <cell r="BM68" t="str">
            <v>NM</v>
          </cell>
          <cell r="BO68">
            <v>1.3146140503035562</v>
          </cell>
          <cell r="BP68">
            <v>0.2967244701348748</v>
          </cell>
          <cell r="BQ68">
            <v>0.8661006670709519</v>
          </cell>
          <cell r="BS68" t="str">
            <v xml:space="preserve"> 2Q</v>
          </cell>
          <cell r="BT68">
            <v>0.2534930139720557</v>
          </cell>
          <cell r="BU68">
            <v>-0.10000000000000009</v>
          </cell>
          <cell r="BV68">
            <v>-1.0600706713780883E-2</v>
          </cell>
          <cell r="BX68">
            <v>5.0131926121371961E-2</v>
          </cell>
          <cell r="BY68">
            <v>-0.12589928057553956</v>
          </cell>
          <cell r="BZ68">
            <v>2.8957528957529455E-3</v>
          </cell>
          <cell r="CB68">
            <v>-4.8780487804879202E-3</v>
          </cell>
          <cell r="CC68">
            <v>-7.1197411003236177E-2</v>
          </cell>
          <cell r="CD68">
            <v>-4.474708171206232E-2</v>
          </cell>
          <cell r="CF68" t="str">
            <v>NM</v>
          </cell>
          <cell r="CG68" t="str">
            <v>NM</v>
          </cell>
          <cell r="CH68" t="str">
            <v>NM</v>
          </cell>
          <cell r="CI68" t="e">
            <v>#DIV/0!</v>
          </cell>
          <cell r="CJ68">
            <v>7.0093457943925186E-2</v>
          </cell>
          <cell r="CK68">
            <v>0.24</v>
          </cell>
          <cell r="CL68">
            <v>0.10227272727272729</v>
          </cell>
          <cell r="CN68">
            <v>3.0219780219780334E-2</v>
          </cell>
          <cell r="CO68">
            <v>0.45161290322580649</v>
          </cell>
          <cell r="CP68">
            <v>6.3291139240506222E-2</v>
          </cell>
          <cell r="CR68">
            <v>1.5706806282722363E-2</v>
          </cell>
          <cell r="CS68">
            <v>-0.20833333333333337</v>
          </cell>
          <cell r="CT68">
            <v>-9.302325581395432E-3</v>
          </cell>
          <cell r="CV68" t="str">
            <v xml:space="preserve"> 2Q</v>
          </cell>
          <cell r="CX68">
            <v>0.12637362637362637</v>
          </cell>
          <cell r="CY68" t="str">
            <v>NM</v>
          </cell>
          <cell r="CZ68">
            <v>7.3469387755102034E-2</v>
          </cell>
          <cell r="DB68">
            <v>5.4794520547945424E-2</v>
          </cell>
          <cell r="DC68">
            <v>-0.19999999999999996</v>
          </cell>
          <cell r="DD68">
            <v>3.3472803347280422E-2</v>
          </cell>
          <cell r="DF68">
            <v>0.13953488372093026</v>
          </cell>
          <cell r="DG68">
            <v>5.6603773584905648E-2</v>
          </cell>
          <cell r="DH68">
            <v>9.375E-2</v>
          </cell>
          <cell r="DJ68">
            <v>-2.2818791946308759E-2</v>
          </cell>
          <cell r="DK68">
            <v>-1.9588638589617902E-2</v>
          </cell>
          <cell r="DL68">
            <v>-2.0951302378255932E-2</v>
          </cell>
          <cell r="DN68">
            <v>6.34132086499124E-2</v>
          </cell>
          <cell r="DO68">
            <v>-6.3082006608591201E-2</v>
          </cell>
          <cell r="DP68">
            <v>1.0368834246778924E-3</v>
          </cell>
          <cell r="DR68" t="str">
            <v xml:space="preserve"> 2Q</v>
          </cell>
          <cell r="DS68">
            <v>-0.14285714285714279</v>
          </cell>
          <cell r="DT68">
            <v>-1.3808975834292303E-2</v>
          </cell>
          <cell r="DU68">
            <v>-4.6431642304385234E-2</v>
          </cell>
          <cell r="DW68">
            <v>2.4128686327077986E-2</v>
          </cell>
          <cell r="DX68">
            <v>-0.11842105263157898</v>
          </cell>
          <cell r="DY68">
            <v>-5.9668508287292865E-2</v>
          </cell>
          <cell r="EA68">
            <v>0</v>
          </cell>
          <cell r="EB68">
            <v>6.6225165562914245E-3</v>
          </cell>
          <cell r="EC68">
            <v>5.9642147117298094E-3</v>
          </cell>
          <cell r="EE68">
            <v>0.35294117647058809</v>
          </cell>
          <cell r="EF68">
            <v>-0.11838790931989929</v>
          </cell>
          <cell r="EG68">
            <v>-8.120649651972156E-2</v>
          </cell>
          <cell r="EI68">
            <v>0.17529880478087634</v>
          </cell>
          <cell r="EJ68">
            <v>-0.10526315789473684</v>
          </cell>
          <cell r="EK68">
            <v>0.1384083044982698</v>
          </cell>
          <cell r="EM68" t="str">
            <v xml:space="preserve"> 2Q</v>
          </cell>
          <cell r="EN68">
            <v>-5.9880239520956335E-3</v>
          </cell>
          <cell r="EO68">
            <v>0.49999999999999978</v>
          </cell>
          <cell r="EP68">
            <v>0.14937759336099599</v>
          </cell>
          <cell r="ER68">
            <v>0.53623188405797095</v>
          </cell>
          <cell r="ES68">
            <v>-6.5789473684210176E-3</v>
          </cell>
          <cell r="ET68">
            <v>0.25172413793103443</v>
          </cell>
          <cell r="EV68" t="str">
            <v>NM</v>
          </cell>
          <cell r="EW68">
            <v>0.20901639344262302</v>
          </cell>
          <cell r="EX68">
            <v>0.22540983606557385</v>
          </cell>
          <cell r="EZ68">
            <v>2.0979020979023488E-2</v>
          </cell>
          <cell r="FA68">
            <v>-0.11879049676025732</v>
          </cell>
          <cell r="FB68">
            <v>-8.5808580858083849E-2</v>
          </cell>
          <cell r="FD68">
            <v>7.1034482758620676E-2</v>
          </cell>
          <cell r="FE68">
            <v>-2.8243327126008633E-2</v>
          </cell>
          <cell r="FF68">
            <v>2.5684931506850806E-3</v>
          </cell>
          <cell r="FH68">
            <v>0.67302825811893729</v>
          </cell>
          <cell r="FI68">
            <v>7.6296150824822995E-2</v>
          </cell>
          <cell r="FJ68">
            <v>0.36404311572096804</v>
          </cell>
        </row>
        <row r="69">
          <cell r="A69" t="str">
            <v xml:space="preserve"> 3Q</v>
          </cell>
          <cell r="B69">
            <v>0.94664842681258521</v>
          </cell>
          <cell r="C69">
            <v>2.8198924731182791</v>
          </cell>
          <cell r="D69">
            <v>1.2183235867446394</v>
          </cell>
          <cell r="F69">
            <v>0.32527472527472523</v>
          </cell>
          <cell r="G69" t="str">
            <v>NM</v>
          </cell>
          <cell r="H69">
            <v>0.32673992673992669</v>
          </cell>
          <cell r="J69">
            <v>1.0062695924764893</v>
          </cell>
          <cell r="K69">
            <v>0.13821138211382111</v>
          </cell>
          <cell r="L69">
            <v>0.47965474722564738</v>
          </cell>
          <cell r="N69">
            <v>9.8360655737705027E-2</v>
          </cell>
          <cell r="O69">
            <v>-0.2786885245901638</v>
          </cell>
          <cell r="P69">
            <v>-0.20327868852459019</v>
          </cell>
          <cell r="R69">
            <v>0.30504587155963292</v>
          </cell>
          <cell r="S69">
            <v>-0.13684210526315799</v>
          </cell>
          <cell r="T69">
            <v>0.22598870056497167</v>
          </cell>
          <cell r="V69">
            <v>0.72061068702290076</v>
          </cell>
          <cell r="W69">
            <v>0.51968503937007893</v>
          </cell>
          <cell r="X69">
            <v>0.68797953964194369</v>
          </cell>
          <cell r="AD69">
            <v>-0.31444759206798867</v>
          </cell>
          <cell r="AE69">
            <v>-7.4074074074074181E-2</v>
          </cell>
          <cell r="AF69">
            <v>-0.29736842105263162</v>
          </cell>
          <cell r="AH69" t="str">
            <v xml:space="preserve"> 3Q</v>
          </cell>
          <cell r="AI69" t="str">
            <v>NM</v>
          </cell>
          <cell r="AJ69">
            <v>-0.1558441558441559</v>
          </cell>
          <cell r="AK69">
            <v>-0.1558441558441559</v>
          </cell>
          <cell r="AM69" t="str">
            <v>NM</v>
          </cell>
          <cell r="AN69">
            <v>-0.58490566037735836</v>
          </cell>
          <cell r="AO69">
            <v>-0.50943396226415083</v>
          </cell>
          <cell r="AQ69">
            <v>0.16071428571428559</v>
          </cell>
          <cell r="AR69">
            <v>-1.0570824524312905E-2</v>
          </cell>
          <cell r="AS69">
            <v>6.0568603213844163E-2</v>
          </cell>
          <cell r="AU69" t="str">
            <v xml:space="preserve"> </v>
          </cell>
          <cell r="AV69" t="str">
            <v xml:space="preserve"> </v>
          </cell>
          <cell r="AW69" t="str">
            <v xml:space="preserve"> </v>
          </cell>
          <cell r="AY69">
            <v>1.3740458015267252</v>
          </cell>
          <cell r="AZ69">
            <v>-6.0606060606060885E-2</v>
          </cell>
          <cell r="BA69">
            <v>5.3365676167374199E-2</v>
          </cell>
          <cell r="BC69">
            <v>0.79996580612070445</v>
          </cell>
          <cell r="BD69">
            <v>0.32433920704845809</v>
          </cell>
          <cell r="BE69">
            <v>0.61776183946841057</v>
          </cell>
          <cell r="BK69" t="str">
            <v>NM</v>
          </cell>
          <cell r="BL69" t="str">
            <v>NM</v>
          </cell>
          <cell r="BM69" t="str">
            <v>NM</v>
          </cell>
          <cell r="BO69">
            <v>0.79996580612070445</v>
          </cell>
          <cell r="BP69">
            <v>0.32433920704845809</v>
          </cell>
          <cell r="BQ69">
            <v>0.61776183946841057</v>
          </cell>
          <cell r="BS69" t="str">
            <v xml:space="preserve"> 3Q</v>
          </cell>
          <cell r="BT69">
            <v>0.14367816091954033</v>
          </cell>
          <cell r="BU69">
            <v>5.2950075642965722E-3</v>
          </cell>
          <cell r="BV69">
            <v>4.4468546637744355E-2</v>
          </cell>
          <cell r="BX69">
            <v>0.13128491620111737</v>
          </cell>
          <cell r="BY69">
            <v>4.3137254901960853E-2</v>
          </cell>
          <cell r="BZ69">
            <v>0.10813594232749746</v>
          </cell>
          <cell r="CB69">
            <v>4.9751243781094523E-2</v>
          </cell>
          <cell r="CC69">
            <v>-9.3525179856115193E-2</v>
          </cell>
          <cell r="CD69">
            <v>-3.3402922755741304E-2</v>
          </cell>
          <cell r="CF69" t="str">
            <v>NM</v>
          </cell>
          <cell r="CG69" t="str">
            <v>NM</v>
          </cell>
          <cell r="CH69" t="str">
            <v>NM</v>
          </cell>
          <cell r="CJ69">
            <v>8.4985835694051381E-3</v>
          </cell>
          <cell r="CK69">
            <v>0.13559322033898291</v>
          </cell>
          <cell r="CL69">
            <v>2.6699029126213691E-2</v>
          </cell>
          <cell r="CN69">
            <v>2.7568922305764465E-2</v>
          </cell>
          <cell r="CO69">
            <v>0.28571428571428581</v>
          </cell>
          <cell r="CP69">
            <v>4.0476190476190554E-2</v>
          </cell>
          <cell r="CR69">
            <v>-7.5581395348837122E-2</v>
          </cell>
          <cell r="CS69">
            <v>-0.13043478260869557</v>
          </cell>
          <cell r="CT69">
            <v>-8.2051282051282093E-2</v>
          </cell>
          <cell r="CV69" t="str">
            <v xml:space="preserve"> 3Q</v>
          </cell>
          <cell r="CX69">
            <v>-7.2815533980582492E-2</v>
          </cell>
          <cell r="CY69" t="str">
            <v>NM</v>
          </cell>
          <cell r="CZ69">
            <v>-3.7313432835820448E-3</v>
          </cell>
          <cell r="DB69">
            <v>2.5380710659898442E-2</v>
          </cell>
          <cell r="DC69">
            <v>0.5</v>
          </cell>
          <cell r="DD69">
            <v>3.9408866995073843E-2</v>
          </cell>
          <cell r="DF69">
            <v>-0.19354838709677424</v>
          </cell>
          <cell r="DG69">
            <v>4.705882352941182E-2</v>
          </cell>
          <cell r="DH69">
            <v>-5.4421768707482943E-2</v>
          </cell>
          <cell r="DJ69">
            <v>-1.2422360248446673E-2</v>
          </cell>
          <cell r="DK69">
            <v>1.2345679012345068E-2</v>
          </cell>
          <cell r="DL69">
            <v>1.1254924029260316E-3</v>
          </cell>
          <cell r="DN69">
            <v>4.0737682356179583E-2</v>
          </cell>
          <cell r="DO69">
            <v>1.1676938047356256E-2</v>
          </cell>
          <cell r="DP69">
            <v>2.739726027397249E-2</v>
          </cell>
          <cell r="DR69" t="str">
            <v xml:space="preserve"> 3Q</v>
          </cell>
          <cell r="DS69">
            <v>-0.21052631578947367</v>
          </cell>
          <cell r="DT69">
            <v>-1.0112359550561889E-2</v>
          </cell>
          <cell r="DU69">
            <v>-8.8356164383561642E-2</v>
          </cell>
          <cell r="DW69">
            <v>0</v>
          </cell>
          <cell r="DX69">
            <v>-5.8064516129032295E-2</v>
          </cell>
          <cell r="DY69">
            <v>-3.3750000000000058E-2</v>
          </cell>
          <cell r="EA69">
            <v>-4.2553191489361764E-2</v>
          </cell>
          <cell r="EB69">
            <v>-5.9210526315789491E-2</v>
          </cell>
          <cell r="EC69">
            <v>-5.7654075546719752E-2</v>
          </cell>
          <cell r="EE69">
            <v>0.43333333333333335</v>
          </cell>
          <cell r="EF69">
            <v>-8.8471849865951691E-2</v>
          </cell>
          <cell r="EG69">
            <v>-4.9627791563275458E-2</v>
          </cell>
          <cell r="EI69">
            <v>-0.11913357400722024</v>
          </cell>
          <cell r="EJ69">
            <v>-3.125E-2</v>
          </cell>
          <cell r="EK69">
            <v>-0.11003236245954684</v>
          </cell>
          <cell r="EM69" t="str">
            <v xml:space="preserve"> 3Q</v>
          </cell>
          <cell r="EN69">
            <v>-0.17829457364341095</v>
          </cell>
          <cell r="EO69">
            <v>0.23684210526315796</v>
          </cell>
          <cell r="EP69">
            <v>-2.4390243902439046E-2</v>
          </cell>
          <cell r="ER69">
            <v>0.12429378531073443</v>
          </cell>
          <cell r="ES69">
            <v>-8.3333333333333037E-3</v>
          </cell>
          <cell r="ET69">
            <v>7.0707070707070718E-2</v>
          </cell>
          <cell r="EV69" t="str">
            <v>NM</v>
          </cell>
          <cell r="EW69">
            <v>0.25306122448979584</v>
          </cell>
          <cell r="EX69">
            <v>0.27755102040816326</v>
          </cell>
          <cell r="EZ69">
            <v>-0.21599999999999953</v>
          </cell>
          <cell r="FA69">
            <v>6.2953995157385201E-2</v>
          </cell>
          <cell r="FB69">
            <v>-4.2232277526394912E-2</v>
          </cell>
          <cell r="FD69">
            <v>-0.10523415977961426</v>
          </cell>
          <cell r="FE69">
            <v>2.6058631921823672E-3</v>
          </cell>
          <cell r="FF69">
            <v>-3.7461617195496344E-2</v>
          </cell>
          <cell r="FH69">
            <v>0.41037443569089138</v>
          </cell>
          <cell r="FI69">
            <v>0.12488502810424129</v>
          </cell>
          <cell r="FJ69">
            <v>0.27786737501185854</v>
          </cell>
        </row>
        <row r="70">
          <cell r="A70" t="str">
            <v xml:space="preserve"> 4Q</v>
          </cell>
          <cell r="B70">
            <v>0.50564072895574208</v>
          </cell>
          <cell r="C70">
            <v>1.9363057324840764</v>
          </cell>
          <cell r="D70">
            <v>0.72558139534883725</v>
          </cell>
          <cell r="F70">
            <v>0.13641488162344984</v>
          </cell>
          <cell r="G70" t="str">
            <v>NM</v>
          </cell>
          <cell r="H70">
            <v>0.14261555806087922</v>
          </cell>
          <cell r="J70">
            <v>0.52713178294573626</v>
          </cell>
          <cell r="K70">
            <v>6.5298507462686617E-2</v>
          </cell>
          <cell r="L70">
            <v>0.25893824485373762</v>
          </cell>
          <cell r="N70">
            <v>0.89743589743589758</v>
          </cell>
          <cell r="O70">
            <v>-0.31200000000000006</v>
          </cell>
          <cell r="P70">
            <v>-0.14878892733564009</v>
          </cell>
          <cell r="R70">
            <v>0.96526054590570731</v>
          </cell>
          <cell r="S70">
            <v>-0.10204081632653061</v>
          </cell>
          <cell r="T70">
            <v>0.75648702594810402</v>
          </cell>
          <cell r="V70">
            <v>1.5770609318996418</v>
          </cell>
          <cell r="W70">
            <v>0.47142857142857153</v>
          </cell>
          <cell r="X70">
            <v>1.355300859598854</v>
          </cell>
          <cell r="AD70">
            <v>0.90625000000000022</v>
          </cell>
          <cell r="AE70">
            <v>-0.40740740740740744</v>
          </cell>
          <cell r="AF70">
            <v>0.76494023904382491</v>
          </cell>
          <cell r="AH70" t="str">
            <v xml:space="preserve"> 4Q</v>
          </cell>
          <cell r="AI70" t="str">
            <v>NM</v>
          </cell>
          <cell r="AJ70">
            <v>-1.6806722689075682E-2</v>
          </cell>
          <cell r="AK70">
            <v>-8.4033613445378963E-3</v>
          </cell>
          <cell r="AM70" t="str">
            <v>NM</v>
          </cell>
          <cell r="AN70">
            <v>-0.63265306122448983</v>
          </cell>
          <cell r="AO70">
            <v>-0.4285714285714286</v>
          </cell>
          <cell r="AQ70">
            <v>0.20991253644314889</v>
          </cell>
          <cell r="AR70">
            <v>7.444668008048283E-2</v>
          </cell>
          <cell r="AS70">
            <v>0.12976190476190474</v>
          </cell>
          <cell r="AU70" t="str">
            <v xml:space="preserve"> </v>
          </cell>
          <cell r="AV70" t="str">
            <v xml:space="preserve"> </v>
          </cell>
          <cell r="AW70" t="str">
            <v xml:space="preserve"> </v>
          </cell>
          <cell r="AY70">
            <v>3.5527136788005009E-15</v>
          </cell>
          <cell r="AZ70">
            <v>2.110199296600257E-2</v>
          </cell>
          <cell r="BA70">
            <v>1.8200202224470052E-2</v>
          </cell>
          <cell r="BC70">
            <v>0.67728066639795803</v>
          </cell>
          <cell r="BD70">
            <v>0.38306548332933565</v>
          </cell>
          <cell r="BE70">
            <v>0.57165001722356212</v>
          </cell>
          <cell r="BK70" t="str">
            <v>NM</v>
          </cell>
          <cell r="BL70" t="str">
            <v>NM</v>
          </cell>
          <cell r="BM70" t="str">
            <v>NM</v>
          </cell>
          <cell r="BO70">
            <v>0.67728066639795803</v>
          </cell>
          <cell r="BP70">
            <v>0.38306548332933565</v>
          </cell>
          <cell r="BQ70">
            <v>0.57165001722356212</v>
          </cell>
          <cell r="BS70" t="str">
            <v xml:space="preserve"> 4Q</v>
          </cell>
          <cell r="BT70">
            <v>-0.12479201331114809</v>
          </cell>
          <cell r="BU70">
            <v>5.8275058275058189E-2</v>
          </cell>
          <cell r="BV70">
            <v>0</v>
          </cell>
          <cell r="BX70">
            <v>5.602923264311821E-2</v>
          </cell>
          <cell r="BY70">
            <v>0.15879828326180245</v>
          </cell>
          <cell r="BZ70">
            <v>7.8747628083491561E-2</v>
          </cell>
          <cell r="CB70">
            <v>1.0050251256281451E-2</v>
          </cell>
          <cell r="CC70">
            <v>0.1333333333333333</v>
          </cell>
          <cell r="CD70">
            <v>7.9295154185021977E-2</v>
          </cell>
          <cell r="CF70" t="str">
            <v>NM</v>
          </cell>
          <cell r="CG70" t="str">
            <v>NM</v>
          </cell>
          <cell r="CH70" t="str">
            <v>NM</v>
          </cell>
          <cell r="CJ70">
            <v>4.9107142857143016E-2</v>
          </cell>
          <cell r="CK70">
            <v>0.18032786885245922</v>
          </cell>
          <cell r="CL70">
            <v>6.4833005893909723E-2</v>
          </cell>
          <cell r="CN70">
            <v>5.0167224080267525E-2</v>
          </cell>
          <cell r="CO70">
            <v>-0.23529411764705876</v>
          </cell>
          <cell r="CP70">
            <v>3.4810126582278444E-2</v>
          </cell>
          <cell r="CR70">
            <v>0.14130434782608714</v>
          </cell>
          <cell r="CS70">
            <v>-5.2631578947368363E-2</v>
          </cell>
          <cell r="CT70">
            <v>0.12315270935960609</v>
          </cell>
          <cell r="CV70" t="str">
            <v xml:space="preserve"> 4Q</v>
          </cell>
          <cell r="CX70">
            <v>-1.4184397163120477E-2</v>
          </cell>
          <cell r="CY70" t="str">
            <v>NM</v>
          </cell>
          <cell r="CZ70">
            <v>0</v>
          </cell>
          <cell r="DB70">
            <v>7.8571428571428514E-2</v>
          </cell>
          <cell r="DC70">
            <v>0.375</v>
          </cell>
          <cell r="DD70">
            <v>9.4594594594594517E-2</v>
          </cell>
          <cell r="DF70">
            <v>-9.2307692307692202E-2</v>
          </cell>
          <cell r="DG70">
            <v>8.6956521739130377E-2</v>
          </cell>
          <cell r="DH70">
            <v>2.2222222222222143E-2</v>
          </cell>
          <cell r="DJ70">
            <v>4.1237113402062375E-2</v>
          </cell>
          <cell r="DK70">
            <v>7.6045627376428726E-3</v>
          </cell>
          <cell r="DL70">
            <v>2.0797227036395638E-2</v>
          </cell>
          <cell r="DN70">
            <v>1.7482517482517501E-2</v>
          </cell>
          <cell r="DO70">
            <v>5.6986477784932266E-2</v>
          </cell>
          <cell r="DP70">
            <v>3.546307151230943E-2</v>
          </cell>
          <cell r="DR70" t="str">
            <v xml:space="preserve"> 4Q</v>
          </cell>
          <cell r="DS70">
            <v>-6.2593144560357583E-2</v>
          </cell>
          <cell r="DT70">
            <v>-7.6056338028168913E-2</v>
          </cell>
          <cell r="DU70">
            <v>-7.0852534562211855E-2</v>
          </cell>
          <cell r="DW70">
            <v>0.29411764705882359</v>
          </cell>
          <cell r="DX70">
            <v>4.5662100456621113E-2</v>
          </cell>
          <cell r="DY70">
            <v>0.14784946236559149</v>
          </cell>
          <cell r="EA70">
            <v>-2.0408163265306256E-2</v>
          </cell>
          <cell r="EB70">
            <v>5.6097560975609584E-2</v>
          </cell>
          <cell r="EC70">
            <v>4.7930283224400849E-2</v>
          </cell>
          <cell r="EE70">
            <v>0.27777777777777768</v>
          </cell>
          <cell r="EF70">
            <v>-0.13609467455621294</v>
          </cell>
          <cell r="EG70">
            <v>-9.6256684491978661E-2</v>
          </cell>
          <cell r="EI70">
            <v>5.7761732851985714E-2</v>
          </cell>
          <cell r="EJ70">
            <v>-0.16129032258064513</v>
          </cell>
          <cell r="EK70">
            <v>3.5714285714285809E-2</v>
          </cell>
          <cell r="EM70" t="str">
            <v xml:space="preserve"> 4Q</v>
          </cell>
          <cell r="EN70">
            <v>0.54216867469879504</v>
          </cell>
          <cell r="EO70">
            <v>0.56451612903225801</v>
          </cell>
          <cell r="EP70">
            <v>0.55172413793103448</v>
          </cell>
          <cell r="ER70">
            <v>0.27976190476190466</v>
          </cell>
          <cell r="ES70">
            <v>0</v>
          </cell>
          <cell r="ET70">
            <v>0.15409836065573779</v>
          </cell>
          <cell r="EV70" t="str">
            <v>NM</v>
          </cell>
          <cell r="EW70">
            <v>0.34343434343434343</v>
          </cell>
          <cell r="EX70">
            <v>0.3383084577114428</v>
          </cell>
          <cell r="EZ70">
            <v>-0.25943396226415061</v>
          </cell>
          <cell r="FA70">
            <v>0.23796033994334365</v>
          </cell>
          <cell r="FB70">
            <v>5.1327433628319152E-2</v>
          </cell>
          <cell r="FD70">
            <v>6.094182825484773E-2</v>
          </cell>
          <cell r="FE70">
            <v>3.2321899736147852E-2</v>
          </cell>
          <cell r="FF70">
            <v>4.3001860657432278E-2</v>
          </cell>
          <cell r="FH70">
            <v>0.4022828937220424</v>
          </cell>
          <cell r="FI70">
            <v>0.18162413893470464</v>
          </cell>
          <cell r="FJ70">
            <v>0.30455893095002806</v>
          </cell>
        </row>
        <row r="72">
          <cell r="A72" t="str">
            <v>Year</v>
          </cell>
          <cell r="B72">
            <v>1.21484375</v>
          </cell>
          <cell r="C72">
            <v>3.3998371335504887</v>
          </cell>
          <cell r="D72">
            <v>1.5249653259361993</v>
          </cell>
          <cell r="F72" t="str">
            <v>NM</v>
          </cell>
          <cell r="G72" t="str">
            <v>NM</v>
          </cell>
          <cell r="H72" t="str">
            <v>NM</v>
          </cell>
          <cell r="J72">
            <v>0.39099526066350698</v>
          </cell>
          <cell r="K72">
            <v>4.7778308647873802E-2</v>
          </cell>
          <cell r="L72">
            <v>0.20100502512562812</v>
          </cell>
          <cell r="N72">
            <v>7.4906367041198685E-3</v>
          </cell>
          <cell r="O72">
            <v>-0.29558541266794625</v>
          </cell>
          <cell r="P72">
            <v>-0.23376623376623396</v>
          </cell>
          <cell r="R72">
            <v>0.34099616858237547</v>
          </cell>
          <cell r="S72">
            <v>-0.1483375959079285</v>
          </cell>
          <cell r="T72">
            <v>0.25473399458972046</v>
          </cell>
          <cell r="V72">
            <v>0.82556701030927826</v>
          </cell>
          <cell r="W72">
            <v>0.44918699186991895</v>
          </cell>
          <cell r="X72">
            <v>0.76208433321906077</v>
          </cell>
          <cell r="AD72">
            <v>3.4334763948497882E-2</v>
          </cell>
          <cell r="AE72">
            <v>-0.13333333333333341</v>
          </cell>
          <cell r="AF72">
            <v>2.0472440944881765E-2</v>
          </cell>
          <cell r="AH72" t="str">
            <v>Year</v>
          </cell>
          <cell r="AI72" t="str">
            <v>NM</v>
          </cell>
          <cell r="AJ72">
            <v>-0.19020172910662825</v>
          </cell>
          <cell r="AK72">
            <v>-0.18731988472622485</v>
          </cell>
          <cell r="AM72" t="str">
            <v>NM</v>
          </cell>
          <cell r="AN72">
            <v>-0.46759259259259267</v>
          </cell>
          <cell r="AO72">
            <v>-0.55185185185185182</v>
          </cell>
          <cell r="AQ72">
            <v>0.18234027279253384</v>
          </cell>
          <cell r="AR72">
            <v>-1.8482490272373475E-2</v>
          </cell>
          <cell r="AS72">
            <v>6.2626848361844178E-2</v>
          </cell>
          <cell r="AU72" t="str">
            <v xml:space="preserve"> </v>
          </cell>
          <cell r="AV72" t="str">
            <v xml:space="preserve"> </v>
          </cell>
          <cell r="AW72" t="str">
            <v xml:space="preserve"> </v>
          </cell>
          <cell r="AY72">
            <v>-5.0590219224282307E-2</v>
          </cell>
          <cell r="AZ72">
            <v>4.5070898041863705E-2</v>
          </cell>
          <cell r="BA72">
            <v>2.9113924050633067E-2</v>
          </cell>
          <cell r="BC72">
            <v>0.93054784379048661</v>
          </cell>
          <cell r="BD72">
            <v>0.34466684946531378</v>
          </cell>
          <cell r="BE72">
            <v>0.69444751381215464</v>
          </cell>
          <cell r="BK72" t="str">
            <v>NM</v>
          </cell>
          <cell r="BL72" t="str">
            <v>NM</v>
          </cell>
          <cell r="BM72" t="str">
            <v>NM</v>
          </cell>
          <cell r="BO72">
            <v>0.93054784379048661</v>
          </cell>
          <cell r="BP72">
            <v>0.34466684946531378</v>
          </cell>
          <cell r="BQ72">
            <v>0.69444751381215464</v>
          </cell>
          <cell r="BS72" t="str">
            <v>Year</v>
          </cell>
          <cell r="BT72">
            <v>0.13725490196078427</v>
          </cell>
          <cell r="BU72">
            <v>-4.0162872478252898E-2</v>
          </cell>
          <cell r="BV72">
            <v>7.575757575757569E-3</v>
          </cell>
          <cell r="BX72">
            <v>8.6927889364504463E-2</v>
          </cell>
          <cell r="BY72">
            <v>-7.9443892750744594E-3</v>
          </cell>
          <cell r="BZ72">
            <v>6.33036597428287E-2</v>
          </cell>
          <cell r="CB72">
            <v>3.007518796992481E-2</v>
          </cell>
          <cell r="CC72">
            <v>-5.7021276595744519E-2</v>
          </cell>
          <cell r="CD72">
            <v>-2.1794221996959018E-2</v>
          </cell>
          <cell r="CF72" t="str">
            <v>NM</v>
          </cell>
          <cell r="CG72" t="str">
            <v>NM</v>
          </cell>
          <cell r="CH72" t="str">
            <v>NM</v>
          </cell>
          <cell r="CJ72">
            <v>7.421289355322358E-2</v>
          </cell>
          <cell r="CK72">
            <v>-1.8726591760299782E-2</v>
          </cell>
          <cell r="CL72">
            <v>5.8713304184884407E-2</v>
          </cell>
          <cell r="CN72">
            <v>6.6471877282687997E-2</v>
          </cell>
          <cell r="CO72">
            <v>0.25274725274725296</v>
          </cell>
          <cell r="CP72">
            <v>7.8082191780821875E-2</v>
          </cell>
          <cell r="CR72">
            <v>1.6713091922005319E-2</v>
          </cell>
          <cell r="CS72">
            <v>-0.11363636363636354</v>
          </cell>
          <cell r="CT72">
            <v>2.4813895781639062E-3</v>
          </cell>
          <cell r="CV72" t="str">
            <v>Year</v>
          </cell>
          <cell r="CX72">
            <v>-3.0201342281879096E-2</v>
          </cell>
          <cell r="CY72" t="str">
            <v>NM</v>
          </cell>
          <cell r="CZ72">
            <v>-7.8947368421052877E-3</v>
          </cell>
          <cell r="DB72">
            <v>5.2845528455284674E-2</v>
          </cell>
          <cell r="DC72">
            <v>0.11111111111111116</v>
          </cell>
          <cell r="DD72">
            <v>5.6194125159642505E-2</v>
          </cell>
          <cell r="DF72">
            <v>-5.0228310502283047E-2</v>
          </cell>
          <cell r="DG72">
            <v>-2.673796791443861E-3</v>
          </cell>
          <cell r="DH72">
            <v>-2.02360876897133E-2</v>
          </cell>
          <cell r="DJ72">
            <v>-2.4662162162161994E-2</v>
          </cell>
          <cell r="DK72">
            <v>-2.9326923076923306E-2</v>
          </cell>
          <cell r="DL72">
            <v>-2.73876404494382E-2</v>
          </cell>
          <cell r="DN72">
            <v>4.916050085372814E-2</v>
          </cell>
          <cell r="DO72">
            <v>-2.9869321717485908E-2</v>
          </cell>
          <cell r="DP72">
            <v>1.1407550535077471E-2</v>
          </cell>
          <cell r="DR72" t="str">
            <v>Year</v>
          </cell>
          <cell r="DS72">
            <v>-8.6391869000564614E-2</v>
          </cell>
          <cell r="DT72">
            <v>-5.5672823218997469E-2</v>
          </cell>
          <cell r="DU72">
            <v>-6.5455853263801433E-2</v>
          </cell>
          <cell r="DW72">
            <v>0.12860483242400655</v>
          </cell>
          <cell r="DX72">
            <v>-3.9893617021276584E-2</v>
          </cell>
          <cell r="DY72">
            <v>2.8453999367688665E-2</v>
          </cell>
          <cell r="EA72">
            <v>0</v>
          </cell>
          <cell r="EB72">
            <v>-1.6250725478815897E-2</v>
          </cell>
          <cell r="EC72">
            <v>-1.4598540145985495E-2</v>
          </cell>
          <cell r="EE72">
            <v>0.4031007751937985</v>
          </cell>
          <cell r="EF72">
            <v>-0.11694352159468435</v>
          </cell>
          <cell r="EG72">
            <v>-7.5887392900856776E-2</v>
          </cell>
          <cell r="EI72">
            <v>7.4540174249757785E-2</v>
          </cell>
          <cell r="EJ72">
            <v>-8.2706766917293173E-2</v>
          </cell>
          <cell r="EK72">
            <v>5.6603773584905648E-2</v>
          </cell>
          <cell r="EM72" t="str">
            <v>Year</v>
          </cell>
          <cell r="EN72">
            <v>0.10891089108910901</v>
          </cell>
          <cell r="EO72">
            <v>0.37847222222222232</v>
          </cell>
          <cell r="EP72">
            <v>0.20680958385876425</v>
          </cell>
          <cell r="ER72">
            <v>0.3007874015748031</v>
          </cell>
          <cell r="ES72">
            <v>-1.1111111111111294E-2</v>
          </cell>
          <cell r="ET72">
            <v>0.15744680851063819</v>
          </cell>
          <cell r="EV72" t="str">
            <v>NM</v>
          </cell>
          <cell r="EW72">
            <v>0.25643896976483749</v>
          </cell>
          <cell r="EX72">
            <v>0.27343750000000022</v>
          </cell>
          <cell r="EZ72">
            <v>-0.20099875156054858</v>
          </cell>
          <cell r="FA72">
            <v>7.4144486692015787E-2</v>
          </cell>
          <cell r="FB72">
            <v>-1.8495166036149091E-2</v>
          </cell>
          <cell r="FD72">
            <v>3.8080251770259643E-2</v>
          </cell>
          <cell r="FE72">
            <v>-4.2173560421735479E-3</v>
          </cell>
          <cell r="FF72">
            <v>1.0168584426010208E-2</v>
          </cell>
          <cell r="FH72">
            <v>0.50077338600290333</v>
          </cell>
          <cell r="FI72">
            <v>0.1154523055262231</v>
          </cell>
          <cell r="FJ72">
            <v>0.31341002726261369</v>
          </cell>
        </row>
        <row r="74">
          <cell r="A74" t="str">
            <v>1998</v>
          </cell>
          <cell r="AH74" t="str">
            <v>1998</v>
          </cell>
          <cell r="BS74" t="str">
            <v>1998</v>
          </cell>
          <cell r="CV74" t="str">
            <v>1998</v>
          </cell>
          <cell r="CW74">
            <v>0</v>
          </cell>
          <cell r="DR74" t="str">
            <v>1998</v>
          </cell>
          <cell r="EM74" t="str">
            <v>1998</v>
          </cell>
        </row>
        <row r="75">
          <cell r="A75" t="str">
            <v xml:space="preserve"> 1Q</v>
          </cell>
          <cell r="B75">
            <v>289.5</v>
          </cell>
          <cell r="C75">
            <v>88.4</v>
          </cell>
          <cell r="D75">
            <v>377.9</v>
          </cell>
          <cell r="F75">
            <v>138.1</v>
          </cell>
          <cell r="G75">
            <v>0</v>
          </cell>
          <cell r="H75">
            <v>138.1</v>
          </cell>
          <cell r="J75">
            <v>46.9</v>
          </cell>
          <cell r="K75">
            <v>51.6</v>
          </cell>
          <cell r="L75">
            <v>98.5</v>
          </cell>
          <cell r="N75">
            <v>7.6</v>
          </cell>
          <cell r="O75">
            <v>20.2</v>
          </cell>
          <cell r="P75">
            <v>27.799999999999997</v>
          </cell>
          <cell r="R75">
            <v>57.8</v>
          </cell>
          <cell r="S75">
            <v>8.1999999999999993</v>
          </cell>
          <cell r="T75">
            <v>66</v>
          </cell>
          <cell r="V75">
            <v>81.5</v>
          </cell>
          <cell r="W75">
            <v>14.4</v>
          </cell>
          <cell r="X75">
            <v>95.9</v>
          </cell>
          <cell r="Z75">
            <v>92.800000000000011</v>
          </cell>
          <cell r="AA75">
            <v>19.200000000000003</v>
          </cell>
          <cell r="AB75">
            <v>112.00000000000001</v>
          </cell>
          <cell r="AD75">
            <v>24.7</v>
          </cell>
          <cell r="AE75">
            <v>2.5</v>
          </cell>
          <cell r="AF75">
            <v>27.2</v>
          </cell>
          <cell r="AH75" t="str">
            <v xml:space="preserve"> 1Q</v>
          </cell>
          <cell r="AI75">
            <v>0.1</v>
          </cell>
          <cell r="AJ75">
            <v>20.100000000000001</v>
          </cell>
          <cell r="AK75">
            <v>20.200000000000003</v>
          </cell>
          <cell r="AM75">
            <v>-0.6</v>
          </cell>
          <cell r="AN75">
            <v>4.9000000000000004</v>
          </cell>
          <cell r="AO75">
            <v>4.3000000000000007</v>
          </cell>
          <cell r="AQ75">
            <v>42.7</v>
          </cell>
          <cell r="AR75">
            <v>51.4</v>
          </cell>
          <cell r="AS75">
            <v>94.1</v>
          </cell>
          <cell r="AY75">
            <v>22.499999999999972</v>
          </cell>
          <cell r="AZ75">
            <v>151.99999999999997</v>
          </cell>
          <cell r="BA75">
            <v>174.49999999999994</v>
          </cell>
          <cell r="BC75">
            <v>803.6</v>
          </cell>
          <cell r="BD75">
            <v>432.9</v>
          </cell>
          <cell r="BE75">
            <v>1236.5</v>
          </cell>
          <cell r="BG75">
            <v>803.60000000000014</v>
          </cell>
          <cell r="BH75">
            <v>432.9</v>
          </cell>
          <cell r="BK75">
            <v>0</v>
          </cell>
          <cell r="BL75">
            <v>0</v>
          </cell>
          <cell r="BM75">
            <v>0</v>
          </cell>
          <cell r="BO75">
            <v>803.6</v>
          </cell>
          <cell r="BP75">
            <v>432.9</v>
          </cell>
          <cell r="BQ75">
            <v>1236.5</v>
          </cell>
          <cell r="BS75" t="str">
            <v xml:space="preserve"> 1Q</v>
          </cell>
          <cell r="BT75">
            <v>51.1</v>
          </cell>
          <cell r="BU75">
            <v>116.3</v>
          </cell>
          <cell r="BV75">
            <v>167.4</v>
          </cell>
          <cell r="BX75">
            <v>82.8</v>
          </cell>
          <cell r="BY75">
            <v>22</v>
          </cell>
          <cell r="BZ75">
            <v>104.8</v>
          </cell>
          <cell r="CB75">
            <v>20.6</v>
          </cell>
          <cell r="CC75">
            <v>28</v>
          </cell>
          <cell r="CD75">
            <v>48.6</v>
          </cell>
          <cell r="CF75">
            <v>0</v>
          </cell>
          <cell r="CG75">
            <v>0</v>
          </cell>
          <cell r="CH75">
            <v>0</v>
          </cell>
          <cell r="CJ75">
            <v>37.799999999999997</v>
          </cell>
          <cell r="CK75">
            <v>6.1</v>
          </cell>
          <cell r="CL75">
            <v>43.9</v>
          </cell>
          <cell r="CN75">
            <v>36.1</v>
          </cell>
          <cell r="CO75">
            <v>2.9</v>
          </cell>
          <cell r="CP75">
            <v>39</v>
          </cell>
          <cell r="CR75">
            <v>16.7</v>
          </cell>
          <cell r="CS75">
            <v>2.1</v>
          </cell>
          <cell r="CT75">
            <v>18.8</v>
          </cell>
          <cell r="CV75" t="str">
            <v xml:space="preserve"> 1Q</v>
          </cell>
          <cell r="CX75">
            <v>19.3</v>
          </cell>
          <cell r="CY75">
            <v>6.7</v>
          </cell>
          <cell r="CZ75">
            <v>26</v>
          </cell>
          <cell r="DB75">
            <v>19.3</v>
          </cell>
          <cell r="DC75">
            <v>1.4</v>
          </cell>
          <cell r="DD75">
            <v>20.7</v>
          </cell>
          <cell r="DF75">
            <v>5</v>
          </cell>
          <cell r="DG75">
            <v>10.3</v>
          </cell>
          <cell r="DH75">
            <v>15.3</v>
          </cell>
          <cell r="DJ75">
            <v>65.699999999999974</v>
          </cell>
          <cell r="DK75">
            <v>99.300000000000011</v>
          </cell>
          <cell r="DL75">
            <v>165</v>
          </cell>
          <cell r="DN75">
            <v>354.4</v>
          </cell>
          <cell r="DO75">
            <v>295.10000000000002</v>
          </cell>
          <cell r="DP75">
            <v>649.5</v>
          </cell>
          <cell r="DR75" t="str">
            <v xml:space="preserve"> 1Q</v>
          </cell>
          <cell r="DS75">
            <v>28.7</v>
          </cell>
          <cell r="DT75">
            <v>85.7</v>
          </cell>
          <cell r="DU75">
            <v>114.4</v>
          </cell>
          <cell r="DW75">
            <v>33.5</v>
          </cell>
          <cell r="DX75">
            <v>44</v>
          </cell>
          <cell r="DY75">
            <v>77.5</v>
          </cell>
          <cell r="EA75">
            <v>5.2</v>
          </cell>
          <cell r="EB75">
            <v>37.700000000000003</v>
          </cell>
          <cell r="EC75">
            <v>42.900000000000006</v>
          </cell>
          <cell r="EE75">
            <v>4.5999999999999996</v>
          </cell>
          <cell r="EF75">
            <v>34.700000000000003</v>
          </cell>
          <cell r="EG75">
            <v>39.300000000000004</v>
          </cell>
          <cell r="EI75">
            <v>27.8</v>
          </cell>
          <cell r="EJ75">
            <v>3.1</v>
          </cell>
          <cell r="EK75">
            <v>30.900000000000002</v>
          </cell>
          <cell r="EM75" t="str">
            <v xml:space="preserve"> 1Q</v>
          </cell>
          <cell r="EN75">
            <v>16</v>
          </cell>
          <cell r="EO75">
            <v>9.5</v>
          </cell>
          <cell r="EP75">
            <v>25.5</v>
          </cell>
          <cell r="ER75">
            <v>20</v>
          </cell>
          <cell r="ES75">
            <v>12.7</v>
          </cell>
          <cell r="ET75">
            <v>32.700000000000003</v>
          </cell>
          <cell r="EV75">
            <v>0.6</v>
          </cell>
          <cell r="EW75">
            <v>25.4</v>
          </cell>
          <cell r="EX75">
            <v>26</v>
          </cell>
          <cell r="EZ75">
            <v>14.100000000000003</v>
          </cell>
          <cell r="FA75">
            <v>41.099999999999987</v>
          </cell>
          <cell r="FB75">
            <v>55.199999999999989</v>
          </cell>
          <cell r="FD75">
            <v>150.5</v>
          </cell>
          <cell r="FE75">
            <v>293.89999999999998</v>
          </cell>
          <cell r="FF75">
            <v>444.4</v>
          </cell>
          <cell r="FH75">
            <v>1308.5</v>
          </cell>
          <cell r="FI75">
            <v>1021.9</v>
          </cell>
          <cell r="FJ75">
            <v>2330.4</v>
          </cell>
        </row>
        <row r="76">
          <cell r="A76" t="str">
            <v xml:space="preserve"> 2Q</v>
          </cell>
          <cell r="B76">
            <v>407.4</v>
          </cell>
          <cell r="C76">
            <v>125.4</v>
          </cell>
          <cell r="D76">
            <v>532.79999999999995</v>
          </cell>
          <cell r="F76">
            <v>225.9</v>
          </cell>
          <cell r="G76">
            <v>0.3</v>
          </cell>
          <cell r="H76">
            <v>226.20000000000002</v>
          </cell>
          <cell r="J76">
            <v>64.8</v>
          </cell>
          <cell r="K76">
            <v>54.6</v>
          </cell>
          <cell r="L76">
            <v>119.4</v>
          </cell>
          <cell r="N76">
            <v>5.2</v>
          </cell>
          <cell r="O76">
            <v>18.399999999999999</v>
          </cell>
          <cell r="P76">
            <v>23.599999999999998</v>
          </cell>
          <cell r="R76">
            <v>51.1</v>
          </cell>
          <cell r="S76">
            <v>8.1</v>
          </cell>
          <cell r="T76">
            <v>59.2</v>
          </cell>
          <cell r="V76">
            <v>104.7</v>
          </cell>
          <cell r="W76">
            <v>17</v>
          </cell>
          <cell r="X76">
            <v>121.7</v>
          </cell>
          <cell r="Z76">
            <v>105.6</v>
          </cell>
          <cell r="AA76">
            <v>20.399999999999999</v>
          </cell>
          <cell r="AB76">
            <v>126</v>
          </cell>
          <cell r="AD76">
            <v>28.9</v>
          </cell>
          <cell r="AE76">
            <v>2.5</v>
          </cell>
          <cell r="AF76">
            <v>31.4</v>
          </cell>
          <cell r="AH76" t="str">
            <v xml:space="preserve"> 2Q</v>
          </cell>
          <cell r="AI76">
            <v>0</v>
          </cell>
          <cell r="AJ76">
            <v>21.3</v>
          </cell>
          <cell r="AK76">
            <v>21.3</v>
          </cell>
          <cell r="AM76">
            <v>0.6</v>
          </cell>
          <cell r="AN76">
            <v>2.6</v>
          </cell>
          <cell r="AO76">
            <v>3.2</v>
          </cell>
          <cell r="AQ76">
            <v>41.5</v>
          </cell>
          <cell r="AR76">
            <v>50.2</v>
          </cell>
          <cell r="AS76">
            <v>91.7</v>
          </cell>
          <cell r="AY76">
            <v>31.80000000000004</v>
          </cell>
          <cell r="AZ76">
            <v>150.30000000000001</v>
          </cell>
          <cell r="BA76">
            <v>182.10000000000005</v>
          </cell>
          <cell r="BC76">
            <v>1067.5</v>
          </cell>
          <cell r="BD76">
            <v>471.1</v>
          </cell>
          <cell r="BE76">
            <v>1538.6</v>
          </cell>
          <cell r="BG76">
            <v>1067.5</v>
          </cell>
          <cell r="BH76">
            <v>471.1</v>
          </cell>
          <cell r="BK76">
            <v>0</v>
          </cell>
          <cell r="BL76">
            <v>0</v>
          </cell>
          <cell r="BM76">
            <v>0</v>
          </cell>
          <cell r="BO76">
            <v>1067.5</v>
          </cell>
          <cell r="BP76">
            <v>471.1</v>
          </cell>
          <cell r="BQ76">
            <v>1538.6</v>
          </cell>
          <cell r="BS76" t="str">
            <v xml:space="preserve"> 2Q</v>
          </cell>
          <cell r="BT76">
            <v>62.8</v>
          </cell>
          <cell r="BU76">
            <v>133.19999999999999</v>
          </cell>
          <cell r="BV76">
            <v>196</v>
          </cell>
          <cell r="BX76">
            <v>79.599999999999994</v>
          </cell>
          <cell r="BY76">
            <v>24.3</v>
          </cell>
          <cell r="BZ76">
            <v>103.89999999999999</v>
          </cell>
          <cell r="CB76">
            <v>20.399999999999999</v>
          </cell>
          <cell r="CC76">
            <v>28.7</v>
          </cell>
          <cell r="CD76">
            <v>49.099999999999994</v>
          </cell>
          <cell r="CF76">
            <v>0</v>
          </cell>
          <cell r="CG76">
            <v>0</v>
          </cell>
          <cell r="CH76">
            <v>0</v>
          </cell>
          <cell r="CJ76">
            <v>22.9</v>
          </cell>
          <cell r="CK76">
            <v>6.2</v>
          </cell>
          <cell r="CL76">
            <v>29.099999999999998</v>
          </cell>
          <cell r="CN76">
            <v>37.5</v>
          </cell>
          <cell r="CO76">
            <v>4.5</v>
          </cell>
          <cell r="CP76">
            <v>42</v>
          </cell>
          <cell r="CR76">
            <v>19.399999999999999</v>
          </cell>
          <cell r="CS76">
            <v>1.9</v>
          </cell>
          <cell r="CT76">
            <v>21.299999999999997</v>
          </cell>
          <cell r="CV76" t="str">
            <v xml:space="preserve"> 2Q</v>
          </cell>
          <cell r="CX76">
            <v>20.5</v>
          </cell>
          <cell r="CY76">
            <v>5.8</v>
          </cell>
          <cell r="CZ76">
            <v>26.3</v>
          </cell>
          <cell r="DB76">
            <v>23.1</v>
          </cell>
          <cell r="DC76">
            <v>1.6</v>
          </cell>
          <cell r="DD76">
            <v>24.700000000000003</v>
          </cell>
          <cell r="DF76">
            <v>4.9000000000000004</v>
          </cell>
          <cell r="DG76">
            <v>5.6</v>
          </cell>
          <cell r="DH76">
            <v>10.5</v>
          </cell>
          <cell r="DJ76">
            <v>72.799999999999955</v>
          </cell>
          <cell r="DK76">
            <v>100.09999999999998</v>
          </cell>
          <cell r="DL76">
            <v>172.89999999999992</v>
          </cell>
          <cell r="DN76">
            <v>363.9</v>
          </cell>
          <cell r="DO76">
            <v>311.89999999999998</v>
          </cell>
          <cell r="DP76">
            <v>675.8</v>
          </cell>
          <cell r="DR76" t="str">
            <v xml:space="preserve"> 2Q</v>
          </cell>
          <cell r="DS76">
            <v>25.2</v>
          </cell>
          <cell r="DT76">
            <v>85.7</v>
          </cell>
          <cell r="DU76">
            <v>110.9</v>
          </cell>
          <cell r="DW76">
            <v>38.200000000000003</v>
          </cell>
          <cell r="DX76">
            <v>46.9</v>
          </cell>
          <cell r="DY76">
            <v>85.1</v>
          </cell>
          <cell r="EA76">
            <v>5</v>
          </cell>
          <cell r="EB76">
            <v>45.6</v>
          </cell>
          <cell r="EC76">
            <v>50.6</v>
          </cell>
          <cell r="EE76">
            <v>4.5999999999999996</v>
          </cell>
          <cell r="EF76">
            <v>35</v>
          </cell>
          <cell r="EG76">
            <v>39.6</v>
          </cell>
          <cell r="EI76">
            <v>29.5</v>
          </cell>
          <cell r="EJ76">
            <v>3.4</v>
          </cell>
          <cell r="EK76">
            <v>32.9</v>
          </cell>
          <cell r="EM76" t="str">
            <v xml:space="preserve"> 2Q</v>
          </cell>
          <cell r="EN76">
            <v>16.600000000000001</v>
          </cell>
          <cell r="EO76">
            <v>11.1</v>
          </cell>
          <cell r="EP76">
            <v>27.700000000000003</v>
          </cell>
          <cell r="ER76">
            <v>21.2</v>
          </cell>
          <cell r="ES76">
            <v>15.1</v>
          </cell>
          <cell r="ET76">
            <v>36.299999999999997</v>
          </cell>
          <cell r="EV76">
            <v>0.4</v>
          </cell>
          <cell r="EW76">
            <v>29.5</v>
          </cell>
          <cell r="EX76">
            <v>29.9</v>
          </cell>
          <cell r="EZ76">
            <v>14.600000000000025</v>
          </cell>
          <cell r="FA76">
            <v>40.80000000000004</v>
          </cell>
          <cell r="FB76">
            <v>55.400000000000063</v>
          </cell>
          <cell r="FD76">
            <v>155.30000000000001</v>
          </cell>
          <cell r="FE76">
            <v>313.10000000000002</v>
          </cell>
          <cell r="FF76">
            <v>468.40000000000003</v>
          </cell>
          <cell r="FH76">
            <v>1586.7</v>
          </cell>
          <cell r="FI76">
            <v>1096.0999999999999</v>
          </cell>
          <cell r="FJ76">
            <v>2682.8</v>
          </cell>
        </row>
        <row r="77">
          <cell r="A77" t="str">
            <v xml:space="preserve"> 3Q</v>
          </cell>
          <cell r="B77">
            <v>426.9</v>
          </cell>
          <cell r="C77">
            <v>142.1</v>
          </cell>
          <cell r="D77">
            <v>569</v>
          </cell>
          <cell r="F77">
            <v>180.9</v>
          </cell>
          <cell r="G77">
            <v>0.2</v>
          </cell>
          <cell r="H77">
            <v>181.1</v>
          </cell>
          <cell r="J77">
            <v>64</v>
          </cell>
          <cell r="K77">
            <v>56</v>
          </cell>
          <cell r="L77">
            <v>120</v>
          </cell>
          <cell r="N77">
            <v>6.7</v>
          </cell>
          <cell r="O77">
            <v>17.600000000000001</v>
          </cell>
          <cell r="P77">
            <v>24.3</v>
          </cell>
          <cell r="R77">
            <v>56.9</v>
          </cell>
          <cell r="S77">
            <v>8.1999999999999993</v>
          </cell>
          <cell r="T77">
            <v>65.099999999999994</v>
          </cell>
          <cell r="V77">
            <v>112.7</v>
          </cell>
          <cell r="W77">
            <v>19.3</v>
          </cell>
          <cell r="X77">
            <v>132</v>
          </cell>
          <cell r="Z77">
            <v>110</v>
          </cell>
          <cell r="AA77">
            <v>24</v>
          </cell>
          <cell r="AB77">
            <v>133.9</v>
          </cell>
          <cell r="AD77">
            <v>24.2</v>
          </cell>
          <cell r="AE77">
            <v>2.5</v>
          </cell>
          <cell r="AF77">
            <v>26.7</v>
          </cell>
          <cell r="AH77" t="str">
            <v xml:space="preserve"> 3Q</v>
          </cell>
          <cell r="AI77">
            <v>0</v>
          </cell>
          <cell r="AJ77">
            <v>19.5</v>
          </cell>
          <cell r="AK77">
            <v>19.5</v>
          </cell>
          <cell r="AM77">
            <v>0.4</v>
          </cell>
          <cell r="AN77">
            <v>2.2000000000000002</v>
          </cell>
          <cell r="AO77">
            <v>2.6</v>
          </cell>
          <cell r="AQ77">
            <v>39</v>
          </cell>
          <cell r="AR77">
            <v>46.8</v>
          </cell>
          <cell r="AS77">
            <v>85.8</v>
          </cell>
          <cell r="AY77">
            <v>31.100000000000037</v>
          </cell>
          <cell r="AZ77">
            <v>142.59999999999997</v>
          </cell>
          <cell r="BA77">
            <v>173.7</v>
          </cell>
          <cell r="BC77">
            <v>1052.8</v>
          </cell>
          <cell r="BD77">
            <v>481</v>
          </cell>
          <cell r="BE77">
            <v>1533.8</v>
          </cell>
          <cell r="BG77">
            <v>1052.8000000000002</v>
          </cell>
          <cell r="BH77">
            <v>480.99999999999994</v>
          </cell>
          <cell r="BI77">
            <v>1533.8000000000002</v>
          </cell>
          <cell r="BK77">
            <v>0</v>
          </cell>
          <cell r="BL77">
            <v>0</v>
          </cell>
          <cell r="BM77">
            <v>0</v>
          </cell>
          <cell r="BO77">
            <v>1052.8</v>
          </cell>
          <cell r="BP77">
            <v>481</v>
          </cell>
          <cell r="BQ77">
            <v>1533.8</v>
          </cell>
          <cell r="BS77" t="str">
            <v xml:space="preserve"> 3Q</v>
          </cell>
          <cell r="BT77">
            <v>59.7</v>
          </cell>
          <cell r="BU77">
            <v>132.9</v>
          </cell>
          <cell r="BV77">
            <v>192.60000000000002</v>
          </cell>
          <cell r="BX77">
            <v>81</v>
          </cell>
          <cell r="BY77">
            <v>26.6</v>
          </cell>
          <cell r="BZ77">
            <v>107.6</v>
          </cell>
          <cell r="CB77">
            <v>21.1</v>
          </cell>
          <cell r="CC77">
            <v>25.2</v>
          </cell>
          <cell r="CD77">
            <v>46.3</v>
          </cell>
          <cell r="CF77">
            <v>0</v>
          </cell>
          <cell r="CG77">
            <v>0</v>
          </cell>
          <cell r="CH77">
            <v>0</v>
          </cell>
          <cell r="CJ77">
            <v>35.6</v>
          </cell>
          <cell r="CK77">
            <v>6.7</v>
          </cell>
          <cell r="CL77">
            <v>42.300000000000004</v>
          </cell>
          <cell r="CN77">
            <v>41</v>
          </cell>
          <cell r="CO77">
            <v>2.7</v>
          </cell>
          <cell r="CP77">
            <v>43.7</v>
          </cell>
          <cell r="CR77">
            <v>15.9</v>
          </cell>
          <cell r="CS77">
            <v>2</v>
          </cell>
          <cell r="CT77">
            <v>17.899999999999999</v>
          </cell>
          <cell r="CV77" t="str">
            <v xml:space="preserve"> 3Q</v>
          </cell>
          <cell r="CX77">
            <v>19.100000000000001</v>
          </cell>
          <cell r="CY77">
            <v>7.6</v>
          </cell>
          <cell r="CZ77">
            <v>26.700000000000003</v>
          </cell>
          <cell r="DB77">
            <v>20.2</v>
          </cell>
          <cell r="DC77">
            <v>0.9</v>
          </cell>
          <cell r="DD77">
            <v>21.099999999999998</v>
          </cell>
          <cell r="DF77">
            <v>5</v>
          </cell>
          <cell r="DG77">
            <v>8.9</v>
          </cell>
          <cell r="DH77">
            <v>13.9</v>
          </cell>
          <cell r="DJ77">
            <v>79.500000000000043</v>
          </cell>
          <cell r="DK77">
            <v>98.399999999999963</v>
          </cell>
          <cell r="DL77">
            <v>177.9</v>
          </cell>
          <cell r="DN77">
            <v>378.1</v>
          </cell>
          <cell r="DO77">
            <v>311.89999999999998</v>
          </cell>
          <cell r="DP77">
            <v>690</v>
          </cell>
          <cell r="DR77" t="str">
            <v xml:space="preserve"> 3Q</v>
          </cell>
          <cell r="DS77">
            <v>45</v>
          </cell>
          <cell r="DT77">
            <v>88.1</v>
          </cell>
          <cell r="DU77">
            <v>133.1</v>
          </cell>
          <cell r="DW77">
            <v>33.5</v>
          </cell>
          <cell r="DX77">
            <v>43.8</v>
          </cell>
          <cell r="DY77">
            <v>77.3</v>
          </cell>
          <cell r="EA77">
            <v>4.5</v>
          </cell>
          <cell r="EB77">
            <v>42.9</v>
          </cell>
          <cell r="EC77">
            <v>47.4</v>
          </cell>
          <cell r="EE77">
            <v>4.3</v>
          </cell>
          <cell r="EF77">
            <v>34</v>
          </cell>
          <cell r="EG77">
            <v>38.299999999999997</v>
          </cell>
          <cell r="EI77">
            <v>24.4</v>
          </cell>
          <cell r="EJ77">
            <v>3.1</v>
          </cell>
          <cell r="EK77">
            <v>27.5</v>
          </cell>
          <cell r="EM77" t="str">
            <v xml:space="preserve"> 3Q</v>
          </cell>
          <cell r="EN77">
            <v>10.6</v>
          </cell>
          <cell r="EO77">
            <v>9.4</v>
          </cell>
          <cell r="EP77">
            <v>20</v>
          </cell>
          <cell r="ER77">
            <v>19.899999999999999</v>
          </cell>
          <cell r="ES77">
            <v>11.9</v>
          </cell>
          <cell r="ET77">
            <v>31.799999999999997</v>
          </cell>
          <cell r="EV77">
            <v>0.6</v>
          </cell>
          <cell r="EW77">
            <v>30.7</v>
          </cell>
          <cell r="EX77">
            <v>31.3</v>
          </cell>
          <cell r="EZ77">
            <v>19.600000000000009</v>
          </cell>
          <cell r="FA77">
            <v>43.90000000000002</v>
          </cell>
          <cell r="FB77">
            <v>63.500000000000028</v>
          </cell>
          <cell r="FD77">
            <v>162.4</v>
          </cell>
          <cell r="FE77">
            <v>307.8</v>
          </cell>
          <cell r="FF77">
            <v>470.20000000000005</v>
          </cell>
          <cell r="FH77">
            <v>1593.3000000000002</v>
          </cell>
          <cell r="FI77">
            <v>1100.7</v>
          </cell>
          <cell r="FJ77">
            <v>2694</v>
          </cell>
        </row>
        <row r="78">
          <cell r="A78" t="str">
            <v xml:space="preserve"> 4Q</v>
          </cell>
          <cell r="B78">
            <v>520.5</v>
          </cell>
          <cell r="C78">
            <v>184.4</v>
          </cell>
          <cell r="D78">
            <v>704.9</v>
          </cell>
          <cell r="F78">
            <v>201.6</v>
          </cell>
          <cell r="G78">
            <v>1.1000000000000001</v>
          </cell>
          <cell r="H78">
            <v>202.7</v>
          </cell>
          <cell r="J78">
            <v>59.1</v>
          </cell>
          <cell r="K78">
            <v>57.1</v>
          </cell>
          <cell r="L78">
            <v>116.2</v>
          </cell>
          <cell r="N78">
            <v>7.4</v>
          </cell>
          <cell r="O78">
            <v>17.2</v>
          </cell>
          <cell r="P78">
            <v>24.6</v>
          </cell>
          <cell r="R78">
            <v>79.2</v>
          </cell>
          <cell r="S78">
            <v>8.8000000000000007</v>
          </cell>
          <cell r="T78">
            <v>88</v>
          </cell>
          <cell r="V78">
            <v>143.80000000000001</v>
          </cell>
          <cell r="W78">
            <v>20.6</v>
          </cell>
          <cell r="X78">
            <v>164.4</v>
          </cell>
          <cell r="Z78">
            <v>125</v>
          </cell>
          <cell r="AA78">
            <v>33</v>
          </cell>
          <cell r="AB78">
            <v>158.19999999999999</v>
          </cell>
          <cell r="AD78">
            <v>42.7</v>
          </cell>
          <cell r="AE78">
            <v>1.6</v>
          </cell>
          <cell r="AF78">
            <v>44.300000000000004</v>
          </cell>
          <cell r="AH78" t="str">
            <v xml:space="preserve"> 4Q</v>
          </cell>
          <cell r="AI78">
            <v>0.2</v>
          </cell>
          <cell r="AJ78">
            <v>23.4</v>
          </cell>
          <cell r="AK78">
            <v>23.599999999999998</v>
          </cell>
          <cell r="AM78">
            <v>0.2</v>
          </cell>
          <cell r="AN78">
            <v>1.8</v>
          </cell>
          <cell r="AO78">
            <v>2</v>
          </cell>
          <cell r="AQ78">
            <v>41.5</v>
          </cell>
          <cell r="AR78">
            <v>53.4</v>
          </cell>
          <cell r="AS78">
            <v>94.9</v>
          </cell>
          <cell r="AY78">
            <v>27.20000000000006</v>
          </cell>
          <cell r="AZ78">
            <v>174.19999999999996</v>
          </cell>
          <cell r="BA78">
            <v>201.40000000000003</v>
          </cell>
          <cell r="BC78">
            <v>1248.4000000000001</v>
          </cell>
          <cell r="BD78">
            <v>576.6</v>
          </cell>
          <cell r="BE78">
            <v>1825</v>
          </cell>
          <cell r="BG78">
            <v>1248.4000000000003</v>
          </cell>
          <cell r="BH78">
            <v>576.6</v>
          </cell>
          <cell r="BK78">
            <v>0</v>
          </cell>
          <cell r="BL78">
            <v>0</v>
          </cell>
          <cell r="BM78">
            <v>0</v>
          </cell>
          <cell r="BO78">
            <v>1248.4000000000001</v>
          </cell>
          <cell r="BP78">
            <v>576.6</v>
          </cell>
          <cell r="BQ78">
            <v>1825</v>
          </cell>
          <cell r="BS78" t="str">
            <v xml:space="preserve"> 4Q</v>
          </cell>
          <cell r="BT78">
            <v>52.6</v>
          </cell>
          <cell r="BU78">
            <v>136.19999999999999</v>
          </cell>
          <cell r="BV78">
            <v>188.79999999999998</v>
          </cell>
          <cell r="BX78">
            <v>86.7</v>
          </cell>
          <cell r="BY78">
            <v>27</v>
          </cell>
          <cell r="BZ78">
            <v>113.7</v>
          </cell>
          <cell r="CB78">
            <v>20.100000000000001</v>
          </cell>
          <cell r="CC78">
            <v>28.9</v>
          </cell>
          <cell r="CD78">
            <v>49</v>
          </cell>
          <cell r="CF78">
            <v>0</v>
          </cell>
          <cell r="CG78">
            <v>0</v>
          </cell>
          <cell r="CH78">
            <v>0</v>
          </cell>
          <cell r="CJ78">
            <v>47</v>
          </cell>
          <cell r="CK78">
            <v>7.2</v>
          </cell>
          <cell r="CL78">
            <v>54.2</v>
          </cell>
          <cell r="CN78">
            <v>31.4</v>
          </cell>
          <cell r="CO78">
            <v>1.3</v>
          </cell>
          <cell r="CP78">
            <v>32.699999999999996</v>
          </cell>
          <cell r="CR78">
            <v>21</v>
          </cell>
          <cell r="CS78">
            <v>1.8</v>
          </cell>
          <cell r="CT78">
            <v>22.8</v>
          </cell>
          <cell r="CV78" t="str">
            <v xml:space="preserve"> 4Q</v>
          </cell>
          <cell r="CX78">
            <v>27.8</v>
          </cell>
          <cell r="CY78">
            <v>6.3</v>
          </cell>
          <cell r="CZ78">
            <v>34.1</v>
          </cell>
          <cell r="DB78">
            <v>15.1</v>
          </cell>
          <cell r="DC78">
            <v>1.1000000000000001</v>
          </cell>
          <cell r="DD78">
            <v>16.2</v>
          </cell>
          <cell r="DF78">
            <v>5.9</v>
          </cell>
          <cell r="DG78">
            <v>12.5</v>
          </cell>
          <cell r="DH78">
            <v>18.399999999999999</v>
          </cell>
          <cell r="DJ78">
            <v>70.7</v>
          </cell>
          <cell r="DK78">
            <v>106.00000000000004</v>
          </cell>
          <cell r="DL78">
            <v>176.70000000000005</v>
          </cell>
          <cell r="DN78">
            <v>378.3</v>
          </cell>
          <cell r="DO78">
            <v>328.3</v>
          </cell>
          <cell r="DP78">
            <v>706.6</v>
          </cell>
          <cell r="DR78" t="str">
            <v xml:space="preserve"> 4Q</v>
          </cell>
          <cell r="DS78">
            <v>62.9</v>
          </cell>
          <cell r="DT78">
            <v>98.4</v>
          </cell>
          <cell r="DU78">
            <v>161.30000000000001</v>
          </cell>
          <cell r="DW78">
            <v>39.6</v>
          </cell>
          <cell r="DX78">
            <v>45.8</v>
          </cell>
          <cell r="DY78">
            <v>85.4</v>
          </cell>
          <cell r="EA78">
            <v>4.8</v>
          </cell>
          <cell r="EB78">
            <v>43.3</v>
          </cell>
          <cell r="EC78">
            <v>48.099999999999994</v>
          </cell>
          <cell r="EE78">
            <v>4.5999999999999996</v>
          </cell>
          <cell r="EF78">
            <v>29.2</v>
          </cell>
          <cell r="EG78">
            <v>33.799999999999997</v>
          </cell>
          <cell r="EI78">
            <v>29.3</v>
          </cell>
          <cell r="EJ78">
            <v>2.6</v>
          </cell>
          <cell r="EK78">
            <v>31.900000000000002</v>
          </cell>
          <cell r="EM78" t="str">
            <v xml:space="preserve"> 4Q</v>
          </cell>
          <cell r="EN78">
            <v>12.8</v>
          </cell>
          <cell r="EO78">
            <v>9.6999999999999993</v>
          </cell>
          <cell r="EP78">
            <v>22.5</v>
          </cell>
          <cell r="ER78">
            <v>21.5</v>
          </cell>
          <cell r="ES78">
            <v>13.7</v>
          </cell>
          <cell r="ET78">
            <v>35.200000000000003</v>
          </cell>
          <cell r="EV78">
            <v>0.3</v>
          </cell>
          <cell r="EW78">
            <v>26.6</v>
          </cell>
          <cell r="EX78">
            <v>26.900000000000002</v>
          </cell>
          <cell r="EZ78">
            <v>15.700000000000014</v>
          </cell>
          <cell r="FA78">
            <v>43.70000000000001</v>
          </cell>
          <cell r="FB78">
            <v>59.40000000000002</v>
          </cell>
          <cell r="FD78">
            <v>191.5</v>
          </cell>
          <cell r="FE78">
            <v>313</v>
          </cell>
          <cell r="FF78">
            <v>504.5</v>
          </cell>
          <cell r="FH78">
            <v>1818.2</v>
          </cell>
          <cell r="FI78">
            <v>1217.9000000000001</v>
          </cell>
          <cell r="FJ78">
            <v>3036.1000000000004</v>
          </cell>
        </row>
        <row r="80">
          <cell r="A80" t="str">
            <v>Year</v>
          </cell>
          <cell r="B80">
            <v>1644.3</v>
          </cell>
          <cell r="C80">
            <v>540.29999999999995</v>
          </cell>
          <cell r="D80">
            <v>2184.6</v>
          </cell>
          <cell r="F80">
            <v>746.5</v>
          </cell>
          <cell r="G80">
            <v>1.6</v>
          </cell>
          <cell r="H80">
            <v>748.09999999999991</v>
          </cell>
          <cell r="J80">
            <v>234.79999999999998</v>
          </cell>
          <cell r="K80">
            <v>219.29999999999998</v>
          </cell>
          <cell r="L80">
            <v>454.09999999999997</v>
          </cell>
          <cell r="N80">
            <v>26.9</v>
          </cell>
          <cell r="O80">
            <v>73.399999999999991</v>
          </cell>
          <cell r="P80">
            <v>100.29999999999998</v>
          </cell>
          <cell r="R80">
            <v>245</v>
          </cell>
          <cell r="S80">
            <v>33.299999999999997</v>
          </cell>
          <cell r="T80">
            <v>278.3</v>
          </cell>
          <cell r="V80">
            <v>442.7</v>
          </cell>
          <cell r="W80">
            <v>71.300000000000011</v>
          </cell>
          <cell r="X80">
            <v>514</v>
          </cell>
          <cell r="Z80">
            <v>433.4</v>
          </cell>
          <cell r="AA80">
            <v>96.6</v>
          </cell>
          <cell r="AB80">
            <v>530.09999999999991</v>
          </cell>
          <cell r="AD80">
            <v>120.5</v>
          </cell>
          <cell r="AE80">
            <v>9.1</v>
          </cell>
          <cell r="AF80">
            <v>129.6</v>
          </cell>
          <cell r="AH80" t="str">
            <v>Year</v>
          </cell>
          <cell r="AI80">
            <v>0.30000000000000004</v>
          </cell>
          <cell r="AJ80">
            <v>84.300000000000011</v>
          </cell>
          <cell r="AK80">
            <v>84.6</v>
          </cell>
          <cell r="AM80">
            <v>0.60000000000000009</v>
          </cell>
          <cell r="AN80">
            <v>11.5</v>
          </cell>
          <cell r="AO80">
            <v>12.100000000000001</v>
          </cell>
          <cell r="AQ80">
            <v>164.7</v>
          </cell>
          <cell r="AR80">
            <v>201.79999999999998</v>
          </cell>
          <cell r="AS80">
            <v>366.5</v>
          </cell>
          <cell r="AY80">
            <v>112.60000000000011</v>
          </cell>
          <cell r="AZ80">
            <v>619.09999999999991</v>
          </cell>
          <cell r="BA80">
            <v>731.7</v>
          </cell>
          <cell r="BC80">
            <v>4172.2999999999993</v>
          </cell>
          <cell r="BD80">
            <v>1961.6</v>
          </cell>
          <cell r="BE80">
            <v>6133.9</v>
          </cell>
          <cell r="BK80">
            <v>0</v>
          </cell>
          <cell r="BL80">
            <v>0</v>
          </cell>
          <cell r="BM80">
            <v>0</v>
          </cell>
          <cell r="BO80">
            <v>4172.2999999999993</v>
          </cell>
          <cell r="BP80">
            <v>1961.6</v>
          </cell>
          <cell r="BQ80">
            <v>6133.9</v>
          </cell>
          <cell r="BS80" t="str">
            <v>Year</v>
          </cell>
          <cell r="BT80">
            <v>226.20000000000002</v>
          </cell>
          <cell r="BU80">
            <v>518.59999999999991</v>
          </cell>
          <cell r="BV80">
            <v>744.8</v>
          </cell>
          <cell r="BX80">
            <v>330.09999999999997</v>
          </cell>
          <cell r="BY80">
            <v>99.9</v>
          </cell>
          <cell r="BZ80">
            <v>429.99999999999994</v>
          </cell>
          <cell r="CB80">
            <v>82.2</v>
          </cell>
          <cell r="CC80">
            <v>110.80000000000001</v>
          </cell>
          <cell r="CD80">
            <v>193</v>
          </cell>
          <cell r="CF80">
            <v>0</v>
          </cell>
          <cell r="CG80">
            <v>0</v>
          </cell>
          <cell r="CH80">
            <v>0</v>
          </cell>
          <cell r="CJ80">
            <v>143.30000000000001</v>
          </cell>
          <cell r="CK80">
            <v>26.2</v>
          </cell>
          <cell r="CL80">
            <v>169.5</v>
          </cell>
          <cell r="CN80">
            <v>146</v>
          </cell>
          <cell r="CO80">
            <v>11.400000000000002</v>
          </cell>
          <cell r="CP80">
            <v>157.4</v>
          </cell>
          <cell r="CR80">
            <v>73</v>
          </cell>
          <cell r="CS80">
            <v>7.8</v>
          </cell>
          <cell r="CT80">
            <v>80.8</v>
          </cell>
          <cell r="CV80" t="str">
            <v>Year</v>
          </cell>
          <cell r="CX80">
            <v>86.7</v>
          </cell>
          <cell r="CY80">
            <v>26.400000000000002</v>
          </cell>
          <cell r="CZ80">
            <v>113.1</v>
          </cell>
          <cell r="DB80">
            <v>77.7</v>
          </cell>
          <cell r="DC80">
            <v>5</v>
          </cell>
          <cell r="DD80">
            <v>82.7</v>
          </cell>
          <cell r="DF80">
            <v>20.8</v>
          </cell>
          <cell r="DG80">
            <v>37.299999999999997</v>
          </cell>
          <cell r="DH80">
            <v>58.1</v>
          </cell>
          <cell r="DJ80">
            <v>288.7</v>
          </cell>
          <cell r="DK80">
            <v>403.8</v>
          </cell>
          <cell r="DL80">
            <v>692.5</v>
          </cell>
          <cell r="DN80">
            <v>1474.7</v>
          </cell>
          <cell r="DO80">
            <v>1247.2</v>
          </cell>
          <cell r="DP80">
            <v>2721.9</v>
          </cell>
          <cell r="DR80" t="str">
            <v>Year</v>
          </cell>
          <cell r="DS80">
            <v>161.80000000000001</v>
          </cell>
          <cell r="DT80">
            <v>357.9</v>
          </cell>
          <cell r="DU80">
            <v>519.70000000000005</v>
          </cell>
          <cell r="DW80">
            <v>144.80000000000001</v>
          </cell>
          <cell r="DX80">
            <v>180.5</v>
          </cell>
          <cell r="DY80">
            <v>325.29999999999995</v>
          </cell>
          <cell r="EA80">
            <v>19.5</v>
          </cell>
          <cell r="EB80">
            <v>169.5</v>
          </cell>
          <cell r="EC80">
            <v>189</v>
          </cell>
          <cell r="EE80">
            <v>18.100000000000001</v>
          </cell>
          <cell r="EF80">
            <v>132.9</v>
          </cell>
          <cell r="EG80">
            <v>151</v>
          </cell>
          <cell r="EI80">
            <v>110.99999999999999</v>
          </cell>
          <cell r="EJ80">
            <v>12.2</v>
          </cell>
          <cell r="EK80">
            <v>123.2</v>
          </cell>
          <cell r="EM80" t="str">
            <v>Year</v>
          </cell>
          <cell r="EN80">
            <v>56</v>
          </cell>
          <cell r="EO80">
            <v>39.700000000000003</v>
          </cell>
          <cell r="EP80">
            <v>95.7</v>
          </cell>
          <cell r="ER80">
            <v>82.6</v>
          </cell>
          <cell r="ES80">
            <v>53.399999999999991</v>
          </cell>
          <cell r="ET80">
            <v>136</v>
          </cell>
          <cell r="EV80">
            <v>1.9000000000000001</v>
          </cell>
          <cell r="EW80">
            <v>112.19999999999999</v>
          </cell>
          <cell r="EX80">
            <v>114.10000000000001</v>
          </cell>
          <cell r="EZ80">
            <v>64.000000000000057</v>
          </cell>
          <cell r="FA80">
            <v>169.50000000000006</v>
          </cell>
          <cell r="FB80">
            <v>233.50000000000011</v>
          </cell>
          <cell r="FD80">
            <v>659.7</v>
          </cell>
          <cell r="FE80">
            <v>1227.8</v>
          </cell>
          <cell r="FF80">
            <v>1887.5</v>
          </cell>
          <cell r="FH80">
            <v>6306.7</v>
          </cell>
          <cell r="FI80">
            <v>4436.6000000000004</v>
          </cell>
          <cell r="FJ80">
            <v>10743.300000000001</v>
          </cell>
        </row>
        <row r="82">
          <cell r="A82" t="str">
            <v xml:space="preserve">1999/98 </v>
          </cell>
          <cell r="AH82" t="str">
            <v xml:space="preserve">1999/98 </v>
          </cell>
          <cell r="BS82" t="str">
            <v xml:space="preserve">1999/98 </v>
          </cell>
          <cell r="CV82" t="str">
            <v xml:space="preserve">1999/98 </v>
          </cell>
          <cell r="DR82" t="str">
            <v xml:space="preserve">1999/98 </v>
          </cell>
          <cell r="EM82" t="str">
            <v xml:space="preserve">1999/98 </v>
          </cell>
        </row>
        <row r="83">
          <cell r="A83" t="str">
            <v xml:space="preserve"> 1Q</v>
          </cell>
          <cell r="B83">
            <v>0.84075993091537127</v>
          </cell>
          <cell r="C83">
            <v>1.4649321266968327</v>
          </cell>
          <cell r="D83">
            <v>0.98676898650436629</v>
          </cell>
          <cell r="F83">
            <v>0.33019551049963791</v>
          </cell>
          <cell r="G83" t="str">
            <v>NM</v>
          </cell>
          <cell r="H83">
            <v>0.33309196234612592</v>
          </cell>
          <cell r="I83" t="e">
            <v>#DIV/0!</v>
          </cell>
          <cell r="J83">
            <v>0.10021321961620466</v>
          </cell>
          <cell r="K83">
            <v>0.25</v>
          </cell>
          <cell r="L83">
            <v>0.17868020304568533</v>
          </cell>
          <cell r="M83" t="e">
            <v>#DIV/0!</v>
          </cell>
          <cell r="N83" t="str">
            <v>NM</v>
          </cell>
          <cell r="O83" t="str">
            <v>NM</v>
          </cell>
          <cell r="P83" t="str">
            <v>NM</v>
          </cell>
          <cell r="R83">
            <v>-5.1903114186850896E-3</v>
          </cell>
          <cell r="S83">
            <v>2.4390243902439046E-2</v>
          </cell>
          <cell r="T83">
            <v>-1.5151515151514694E-3</v>
          </cell>
          <cell r="U83" t="e">
            <v>#DIV/0!</v>
          </cell>
          <cell r="V83">
            <v>0.86012269938650299</v>
          </cell>
          <cell r="W83">
            <v>0.68055555555555536</v>
          </cell>
          <cell r="X83">
            <v>0.83315954118873803</v>
          </cell>
          <cell r="Z83">
            <v>0.20689655172413768</v>
          </cell>
          <cell r="AA83">
            <v>0.77083333333333304</v>
          </cell>
          <cell r="AB83">
            <v>0.30357142857142838</v>
          </cell>
          <cell r="AD83" t="str">
            <v>NM</v>
          </cell>
          <cell r="AE83" t="str">
            <v>NM</v>
          </cell>
          <cell r="AF83" t="str">
            <v>NM</v>
          </cell>
          <cell r="AH83" t="str">
            <v xml:space="preserve"> 1Q</v>
          </cell>
          <cell r="AI83" t="str">
            <v>NM</v>
          </cell>
          <cell r="AJ83" t="str">
            <v>NM</v>
          </cell>
          <cell r="AK83" t="str">
            <v>NM</v>
          </cell>
          <cell r="AM83" t="str">
            <v>NM</v>
          </cell>
          <cell r="AN83" t="str">
            <v>NM</v>
          </cell>
          <cell r="AO83" t="str">
            <v>NM</v>
          </cell>
          <cell r="AQ83">
            <v>-8.1967213114754078E-2</v>
          </cell>
          <cell r="AR83">
            <v>4.8638132295719894E-2</v>
          </cell>
          <cell r="AS83">
            <v>-1.062699256110522E-2</v>
          </cell>
          <cell r="AT83" t="e">
            <v>#DIV/0!</v>
          </cell>
          <cell r="AX83" t="e">
            <v>#DIV/0!</v>
          </cell>
          <cell r="AY83">
            <v>2.3555555555555547</v>
          </cell>
          <cell r="AZ83">
            <v>0.3348684210526327</v>
          </cell>
          <cell r="BA83">
            <v>0.59541547277937013</v>
          </cell>
          <cell r="BC83">
            <v>0.49825783972125426</v>
          </cell>
          <cell r="BD83">
            <v>0.40032340032340041</v>
          </cell>
          <cell r="BE83">
            <v>0.46397088556409227</v>
          </cell>
          <cell r="BK83" t="str">
            <v>NM</v>
          </cell>
          <cell r="BL83" t="str">
            <v>NM</v>
          </cell>
          <cell r="BM83" t="str">
            <v>NM</v>
          </cell>
          <cell r="BO83">
            <v>0.49825783972125426</v>
          </cell>
          <cell r="BP83">
            <v>0.40032340032340041</v>
          </cell>
          <cell r="BQ83">
            <v>0.46397088556409227</v>
          </cell>
          <cell r="BS83" t="str">
            <v xml:space="preserve"> 1Q</v>
          </cell>
          <cell r="BT83">
            <v>3.3268101761252389E-2</v>
          </cell>
          <cell r="BU83">
            <v>0.13585554600171967</v>
          </cell>
          <cell r="BV83">
            <v>0.10454002389486239</v>
          </cell>
          <cell r="BX83">
            <v>0.21980676328502424</v>
          </cell>
          <cell r="BY83">
            <v>0.21818181818181825</v>
          </cell>
          <cell r="BZ83">
            <v>0.21946564885496178</v>
          </cell>
          <cell r="CB83">
            <v>-4.3689320388349606E-2</v>
          </cell>
          <cell r="CC83">
            <v>8.9285714285714191E-2</v>
          </cell>
          <cell r="CD83">
            <v>3.292181069958855E-2</v>
          </cell>
          <cell r="CF83" t="str">
            <v>NM</v>
          </cell>
          <cell r="CG83" t="str">
            <v>NM</v>
          </cell>
          <cell r="CH83" t="str">
            <v>NM</v>
          </cell>
          <cell r="CI83" t="e">
            <v>#DIV/0!</v>
          </cell>
          <cell r="CJ83">
            <v>7.9365079365081304E-3</v>
          </cell>
          <cell r="CK83">
            <v>0</v>
          </cell>
          <cell r="CL83">
            <v>6.8337129840547739E-3</v>
          </cell>
          <cell r="CN83" t="str">
            <v>NM</v>
          </cell>
          <cell r="CO83" t="str">
            <v>NM</v>
          </cell>
          <cell r="CP83" t="str">
            <v>NM</v>
          </cell>
          <cell r="CR83">
            <v>-5.9880239520958112E-2</v>
          </cell>
          <cell r="CS83" t="str">
            <v>NM</v>
          </cell>
          <cell r="CT83">
            <v>-0.16489361702127669</v>
          </cell>
          <cell r="CV83" t="str">
            <v xml:space="preserve"> 1Q</v>
          </cell>
          <cell r="CX83">
            <v>0.41968911917098439</v>
          </cell>
          <cell r="CY83">
            <v>0.14925373134328357</v>
          </cell>
          <cell r="CZ83">
            <v>0.35000000000000009</v>
          </cell>
          <cell r="DB83">
            <v>-4.6632124352331661E-2</v>
          </cell>
          <cell r="DC83">
            <v>-0.14285714285714279</v>
          </cell>
          <cell r="DD83">
            <v>-5.3140096618357613E-2</v>
          </cell>
          <cell r="DF83" t="str">
            <v>NM</v>
          </cell>
          <cell r="DG83" t="str">
            <v>NM</v>
          </cell>
          <cell r="DH83" t="str">
            <v>NM</v>
          </cell>
          <cell r="DJ83">
            <v>0.53424657534246678</v>
          </cell>
          <cell r="DK83">
            <v>0.17019133937562936</v>
          </cell>
          <cell r="DL83">
            <v>0.3151515151515154</v>
          </cell>
          <cell r="DN83">
            <v>0.17155756207674955</v>
          </cell>
          <cell r="DO83">
            <v>8.6411385970857291E-2</v>
          </cell>
          <cell r="DP83">
            <v>0.13287143956889902</v>
          </cell>
          <cell r="DR83" t="str">
            <v xml:space="preserve"> 1Q</v>
          </cell>
          <cell r="DS83">
            <v>1.7421602787456525E-2</v>
          </cell>
          <cell r="DT83">
            <v>4.5507584597432871E-2</v>
          </cell>
          <cell r="DU83">
            <v>3.8461538461538325E-2</v>
          </cell>
          <cell r="DW83">
            <v>0.12537313432835839</v>
          </cell>
          <cell r="DX83">
            <v>-2.954545454545443E-2</v>
          </cell>
          <cell r="DY83">
            <v>3.741935483870984E-2</v>
          </cell>
          <cell r="EA83">
            <v>-9.6153846153846145E-2</v>
          </cell>
          <cell r="EB83">
            <v>0.16445623342175053</v>
          </cell>
          <cell r="EC83">
            <v>0.1328671328671327</v>
          </cell>
          <cell r="EE83">
            <v>0</v>
          </cell>
          <cell r="EF83">
            <v>0</v>
          </cell>
          <cell r="EG83">
            <v>0</v>
          </cell>
          <cell r="EI83">
            <v>0</v>
          </cell>
          <cell r="EJ83">
            <v>-0.12903225806451613</v>
          </cell>
          <cell r="EK83">
            <v>-1.2944983818770295E-2</v>
          </cell>
          <cell r="EM83" t="str">
            <v xml:space="preserve"> 1Q</v>
          </cell>
          <cell r="EN83">
            <v>-0.16249999999999998</v>
          </cell>
          <cell r="EO83">
            <v>-5.2631578947368474E-2</v>
          </cell>
          <cell r="EP83">
            <v>-0.1215686274509804</v>
          </cell>
          <cell r="ER83">
            <v>0.125</v>
          </cell>
          <cell r="ES83">
            <v>-6.2992125984251857E-2</v>
          </cell>
          <cell r="ET83">
            <v>5.1987767584097622E-2</v>
          </cell>
          <cell r="EV83">
            <v>0</v>
          </cell>
          <cell r="EW83">
            <v>0.15748031496062986</v>
          </cell>
          <cell r="EX83">
            <v>0.15384615384615374</v>
          </cell>
          <cell r="EZ83">
            <v>-7.092198581560516E-3</v>
          </cell>
          <cell r="FA83">
            <v>2.1897810218978409E-2</v>
          </cell>
          <cell r="FB83">
            <v>1.4492753623188692E-2</v>
          </cell>
          <cell r="FD83">
            <v>2.6578073089700949E-2</v>
          </cell>
          <cell r="FE83">
            <v>4.0830214358625661E-2</v>
          </cell>
          <cell r="FF83">
            <v>3.6003600360036137E-2</v>
          </cell>
          <cell r="FH83">
            <v>0.35552158960641966</v>
          </cell>
          <cell r="FI83">
            <v>0.2062824151091105</v>
          </cell>
          <cell r="FJ83">
            <v>0.29007895640233428</v>
          </cell>
        </row>
        <row r="84">
          <cell r="A84" t="str">
            <v xml:space="preserve"> 2Q</v>
          </cell>
          <cell r="B84">
            <v>0.57461953853706449</v>
          </cell>
          <cell r="C84">
            <v>0.9489633173843699</v>
          </cell>
          <cell r="D84">
            <v>0.66272522522522537</v>
          </cell>
          <cell r="F84">
            <v>-0.24435590969455523</v>
          </cell>
          <cell r="G84">
            <v>1.3333333333333335</v>
          </cell>
          <cell r="H84">
            <v>-0.24226348364279415</v>
          </cell>
          <cell r="I84" t="e">
            <v>#DIV/0!</v>
          </cell>
          <cell r="J84">
            <v>-5.4012345679012363E-2</v>
          </cell>
          <cell r="K84">
            <v>0.19413919413919412</v>
          </cell>
          <cell r="L84">
            <v>5.9463986599664898E-2</v>
          </cell>
          <cell r="M84" t="e">
            <v>#DIV/0!</v>
          </cell>
          <cell r="N84" t="str">
            <v>NM</v>
          </cell>
          <cell r="O84" t="str">
            <v>NM</v>
          </cell>
          <cell r="P84" t="str">
            <v>NM</v>
          </cell>
          <cell r="R84">
            <v>-0.13307240704500989</v>
          </cell>
          <cell r="S84">
            <v>0.18518518518518512</v>
          </cell>
          <cell r="T84">
            <v>-8.9527027027027084E-2</v>
          </cell>
          <cell r="U84" t="e">
            <v>#DIV/0!</v>
          </cell>
          <cell r="V84">
            <v>0.70391595033428844</v>
          </cell>
          <cell r="W84">
            <v>0.62941176470588234</v>
          </cell>
          <cell r="X84">
            <v>0.69350862777321276</v>
          </cell>
          <cell r="Z84">
            <v>6.9128787878788067E-2</v>
          </cell>
          <cell r="AA84">
            <v>0.75000000000000022</v>
          </cell>
          <cell r="AB84">
            <v>0.17936507936507962</v>
          </cell>
          <cell r="AD84" t="str">
            <v>NM</v>
          </cell>
          <cell r="AE84" t="str">
            <v>NM</v>
          </cell>
          <cell r="AF84" t="str">
            <v>NM</v>
          </cell>
          <cell r="AH84" t="str">
            <v xml:space="preserve"> 2Q</v>
          </cell>
          <cell r="AI84" t="str">
            <v>NM</v>
          </cell>
          <cell r="AJ84" t="str">
            <v>NM</v>
          </cell>
          <cell r="AK84" t="str">
            <v>NM</v>
          </cell>
          <cell r="AM84" t="str">
            <v>NM</v>
          </cell>
          <cell r="AN84" t="str">
            <v>NM</v>
          </cell>
          <cell r="AO84" t="str">
            <v>NM</v>
          </cell>
          <cell r="AQ84">
            <v>1.4457831325301207E-2</v>
          </cell>
          <cell r="AR84">
            <v>0.14541832669322696</v>
          </cell>
          <cell r="AS84">
            <v>8.6150490730643403E-2</v>
          </cell>
          <cell r="AT84" t="e">
            <v>#DIV/0!</v>
          </cell>
          <cell r="AX84" t="e">
            <v>#DIV/0!</v>
          </cell>
          <cell r="AY84">
            <v>0.98742138364780474</v>
          </cell>
          <cell r="AZ84">
            <v>0.21357285429141704</v>
          </cell>
          <cell r="BA84">
            <v>0.34870950027457548</v>
          </cell>
          <cell r="BC84">
            <v>0.23128805620608905</v>
          </cell>
          <cell r="BD84">
            <v>0.32286138824028865</v>
          </cell>
          <cell r="BE84">
            <v>0.25932666060054621</v>
          </cell>
          <cell r="BK84" t="str">
            <v>NM</v>
          </cell>
          <cell r="BL84" t="str">
            <v>NM</v>
          </cell>
          <cell r="BM84" t="str">
            <v>NM</v>
          </cell>
          <cell r="BO84">
            <v>0.23128805620608905</v>
          </cell>
          <cell r="BP84">
            <v>0.32286138824028865</v>
          </cell>
          <cell r="BQ84">
            <v>0.25932666060054621</v>
          </cell>
          <cell r="BS84" t="str">
            <v xml:space="preserve"> 2Q</v>
          </cell>
          <cell r="BT84">
            <v>-7.4840764331210119E-2</v>
          </cell>
          <cell r="BU84">
            <v>2.2522522522522515E-2</v>
          </cell>
          <cell r="BV84">
            <v>-8.6734693877551505E-3</v>
          </cell>
          <cell r="BX84">
            <v>4.2713567839196109E-2</v>
          </cell>
          <cell r="BY84">
            <v>0.20987654320987637</v>
          </cell>
          <cell r="BZ84">
            <v>8.1809432146294547E-2</v>
          </cell>
          <cell r="CB84">
            <v>1.9607843137255054E-2</v>
          </cell>
          <cell r="CC84">
            <v>2.4390243902439046E-2</v>
          </cell>
          <cell r="CD84">
            <v>2.2403258655804725E-2</v>
          </cell>
          <cell r="CF84" t="str">
            <v>NM</v>
          </cell>
          <cell r="CG84" t="str">
            <v>NM</v>
          </cell>
          <cell r="CH84" t="str">
            <v>NM</v>
          </cell>
          <cell r="CI84" t="e">
            <v>#DIV/0!</v>
          </cell>
          <cell r="CJ84">
            <v>0.11353711790393017</v>
          </cell>
          <cell r="CK84">
            <v>6.4516129032258007E-2</v>
          </cell>
          <cell r="CL84">
            <v>0.10309278350515472</v>
          </cell>
          <cell r="CN84" t="str">
            <v>NM</v>
          </cell>
          <cell r="CO84" t="str">
            <v>NM</v>
          </cell>
          <cell r="CP84" t="str">
            <v>NM</v>
          </cell>
          <cell r="CR84">
            <v>-0.13402061855670089</v>
          </cell>
          <cell r="CS84">
            <v>0.94736842105263186</v>
          </cell>
          <cell r="CT84">
            <v>-3.7558685446009266E-2</v>
          </cell>
          <cell r="CV84" t="str">
            <v xml:space="preserve"> 2Q</v>
          </cell>
          <cell r="CX84">
            <v>0.14634146341463405</v>
          </cell>
          <cell r="CY84">
            <v>0.31034482758620685</v>
          </cell>
          <cell r="CZ84">
            <v>0.18250950570342206</v>
          </cell>
          <cell r="DB84">
            <v>7.3593073593073655E-2</v>
          </cell>
          <cell r="DC84">
            <v>0.25</v>
          </cell>
          <cell r="DD84">
            <v>8.502024291497956E-2</v>
          </cell>
          <cell r="DF84" t="str">
            <v>NM</v>
          </cell>
          <cell r="DG84" t="str">
            <v>NM</v>
          </cell>
          <cell r="DH84" t="str">
            <v>NM</v>
          </cell>
          <cell r="DJ84">
            <v>0.57554945054945095</v>
          </cell>
          <cell r="DK84">
            <v>0.08</v>
          </cell>
          <cell r="DL84">
            <v>0.25159051474840988</v>
          </cell>
          <cell r="DN84">
            <v>0.12915636163781263</v>
          </cell>
          <cell r="DO84">
            <v>2.4687399807630905E-2</v>
          </cell>
          <cell r="DP84">
            <v>8.0941106836342147E-2</v>
          </cell>
          <cell r="DR84" t="str">
            <v xml:space="preserve"> 2Q</v>
          </cell>
          <cell r="DS84">
            <v>-0.115079365079365</v>
          </cell>
          <cell r="DT84">
            <v>-2.333722287047868E-3</v>
          </cell>
          <cell r="DU84">
            <v>-2.7953110910730494E-2</v>
          </cell>
          <cell r="DW84">
            <v>0.17801047120418834</v>
          </cell>
          <cell r="DX84">
            <v>5.3304904051172608E-2</v>
          </cell>
          <cell r="DY84">
            <v>0.10928319623971805</v>
          </cell>
          <cell r="EA84">
            <v>-5.9999999999999942E-2</v>
          </cell>
          <cell r="EB84">
            <v>-3.5087719298245612E-2</v>
          </cell>
          <cell r="EC84">
            <v>-3.7549407114624511E-2</v>
          </cell>
          <cell r="EE84">
            <v>-6.5217391304347783E-2</v>
          </cell>
          <cell r="EF84">
            <v>-0.16000000000000003</v>
          </cell>
          <cell r="EG84">
            <v>-0.14898989898989912</v>
          </cell>
          <cell r="EI84">
            <v>1.3559322033898313E-2</v>
          </cell>
          <cell r="EJ84">
            <v>-0.11764705882352944</v>
          </cell>
          <cell r="EK84">
            <v>0</v>
          </cell>
          <cell r="EM84" t="str">
            <v xml:space="preserve"> 2Q</v>
          </cell>
          <cell r="EN84">
            <v>-2.4096385542168752E-2</v>
          </cell>
          <cell r="EO84">
            <v>-9.9099099099099086E-2</v>
          </cell>
          <cell r="EP84">
            <v>-5.4151624548736566E-2</v>
          </cell>
          <cell r="ER84">
            <v>0.27830188679245293</v>
          </cell>
          <cell r="ES84">
            <v>-8.6092715231787964E-2</v>
          </cell>
          <cell r="ET84">
            <v>0.12672176308539962</v>
          </cell>
          <cell r="EV84">
            <v>0.49999999999999978</v>
          </cell>
          <cell r="EW84">
            <v>3.7288135593220417E-2</v>
          </cell>
          <cell r="EX84">
            <v>4.347826086956541E-2</v>
          </cell>
          <cell r="EZ84">
            <v>-6.8493150684940662E-3</v>
          </cell>
          <cell r="FA84">
            <v>0.28186274509803688</v>
          </cell>
          <cell r="FB84">
            <v>0.2057761732851966</v>
          </cell>
          <cell r="FD84">
            <v>5.9884095299420403E-2</v>
          </cell>
          <cell r="FE84">
            <v>1.5649952091983277E-2</v>
          </cell>
          <cell r="FF84">
            <v>3.0315969257045161E-2</v>
          </cell>
          <cell r="FH84">
            <v>0.19108842251213209</v>
          </cell>
          <cell r="FI84">
            <v>0.15026001277255752</v>
          </cell>
          <cell r="FJ84">
            <v>0.17440733561950195</v>
          </cell>
        </row>
        <row r="85">
          <cell r="A85" t="str">
            <v xml:space="preserve"> 3Q</v>
          </cell>
          <cell r="B85">
            <v>0.71023658936519096</v>
          </cell>
          <cell r="C85">
            <v>0.76917663617171028</v>
          </cell>
          <cell r="D85">
            <v>0.72495606326889273</v>
          </cell>
          <cell r="F85">
            <v>-0.26368159203980113</v>
          </cell>
          <cell r="G85">
            <v>2.4999999999999996</v>
          </cell>
          <cell r="H85">
            <v>-0.26062948647156281</v>
          </cell>
          <cell r="J85">
            <v>0.13749999999999996</v>
          </cell>
          <cell r="K85">
            <v>0.10714285714285721</v>
          </cell>
          <cell r="L85">
            <v>0.12333333333333352</v>
          </cell>
          <cell r="N85" t="str">
            <v>NM</v>
          </cell>
          <cell r="O85" t="str">
            <v>NM</v>
          </cell>
          <cell r="P85" t="str">
            <v>NM</v>
          </cell>
          <cell r="R85">
            <v>-0.14411247803163441</v>
          </cell>
          <cell r="S85">
            <v>0.14634146341463428</v>
          </cell>
          <cell r="T85">
            <v>-0.10752688172043001</v>
          </cell>
          <cell r="V85">
            <v>0.83939662821650396</v>
          </cell>
          <cell r="W85">
            <v>0.52849740932642475</v>
          </cell>
          <cell r="X85">
            <v>0.79393939393939394</v>
          </cell>
          <cell r="Z85">
            <v>-0.17999999999999994</v>
          </cell>
          <cell r="AA85">
            <v>-9.1666666666666674E-2</v>
          </cell>
          <cell r="AB85">
            <v>-0.16355489171023152</v>
          </cell>
          <cell r="AD85" t="str">
            <v>NM</v>
          </cell>
          <cell r="AE85" t="str">
            <v>NM</v>
          </cell>
          <cell r="AF85" t="str">
            <v>NM</v>
          </cell>
          <cell r="AH85" t="str">
            <v xml:space="preserve"> 3Q</v>
          </cell>
          <cell r="AI85" t="str">
            <v>NM</v>
          </cell>
          <cell r="AJ85" t="str">
            <v>NM</v>
          </cell>
          <cell r="AK85" t="str">
            <v>NM</v>
          </cell>
          <cell r="AM85" t="str">
            <v>NM</v>
          </cell>
          <cell r="AN85" t="str">
            <v>NM</v>
          </cell>
          <cell r="AO85" t="str">
            <v>NM</v>
          </cell>
          <cell r="AQ85">
            <v>9.2307692307692424E-2</v>
          </cell>
          <cell r="AR85">
            <v>0.17735042735042739</v>
          </cell>
          <cell r="AS85">
            <v>0.13869463869463883</v>
          </cell>
          <cell r="AY85">
            <v>1.4598070739549844</v>
          </cell>
          <cell r="AZ85">
            <v>0.14656381486676073</v>
          </cell>
          <cell r="BA85">
            <v>0.3816925734024188</v>
          </cell>
          <cell r="BC85">
            <v>0.33111702127659592</v>
          </cell>
          <cell r="BD85">
            <v>0.23367983367983358</v>
          </cell>
          <cell r="BE85">
            <v>0.30056069891772075</v>
          </cell>
          <cell r="BK85" t="str">
            <v>NM</v>
          </cell>
          <cell r="BL85" t="str">
            <v>NM</v>
          </cell>
          <cell r="BM85" t="str">
            <v>NM</v>
          </cell>
          <cell r="BO85">
            <v>0.33111702127659592</v>
          </cell>
          <cell r="BP85">
            <v>0.23367983367983358</v>
          </cell>
          <cell r="BQ85">
            <v>0.30056069891772075</v>
          </cell>
          <cell r="BS85" t="str">
            <v xml:space="preserve"> 3Q</v>
          </cell>
          <cell r="BT85">
            <v>0.19932998324958118</v>
          </cell>
          <cell r="BU85">
            <v>5.5680963130173122E-2</v>
          </cell>
          <cell r="BV85">
            <v>0.10020768431983385</v>
          </cell>
          <cell r="BX85">
            <v>2.9629629629629672E-2</v>
          </cell>
          <cell r="BY85">
            <v>0.20300751879699241</v>
          </cell>
          <cell r="BZ85">
            <v>7.2490706319702669E-2</v>
          </cell>
          <cell r="CB85">
            <v>3.3175355450236976E-2</v>
          </cell>
          <cell r="CC85">
            <v>-7.0000000000000007E-2</v>
          </cell>
          <cell r="CD85">
            <v>0.1187904967602591</v>
          </cell>
          <cell r="CF85" t="str">
            <v>NM</v>
          </cell>
          <cell r="CG85" t="str">
            <v>NM</v>
          </cell>
          <cell r="CH85" t="str">
            <v>NM</v>
          </cell>
          <cell r="CJ85">
            <v>-1.966292134831471E-2</v>
          </cell>
          <cell r="CK85">
            <v>1.4925373134328401E-2</v>
          </cell>
          <cell r="CL85">
            <v>-1.418439716312081E-2</v>
          </cell>
          <cell r="CN85" t="str">
            <v>NM</v>
          </cell>
          <cell r="CO85" t="str">
            <v>NM</v>
          </cell>
          <cell r="CP85" t="str">
            <v>NM</v>
          </cell>
          <cell r="CR85">
            <v>0.11949685534591192</v>
          </cell>
          <cell r="CS85">
            <v>-5.0000000000000044E-2</v>
          </cell>
          <cell r="CT85">
            <v>0.1005586592178771</v>
          </cell>
          <cell r="CV85" t="str">
            <v xml:space="preserve"> 3Q</v>
          </cell>
          <cell r="CX85">
            <v>9.4240837696334845E-2</v>
          </cell>
          <cell r="CY85">
            <v>-5.2631578947368363E-2</v>
          </cell>
          <cell r="CZ85">
            <v>5.2434456928838857E-2</v>
          </cell>
          <cell r="DB85">
            <v>4.9504950495049549E-2</v>
          </cell>
          <cell r="DC85">
            <v>-0.22222222222222232</v>
          </cell>
          <cell r="DD85">
            <v>3.7914691943127909E-2</v>
          </cell>
          <cell r="DF85" t="str">
            <v>NM</v>
          </cell>
          <cell r="DG85" t="str">
            <v>NM</v>
          </cell>
          <cell r="DH85" t="str">
            <v>NM</v>
          </cell>
          <cell r="DJ85">
            <v>0.52704402515723237</v>
          </cell>
          <cell r="DK85">
            <v>0</v>
          </cell>
          <cell r="DL85">
            <v>0.32040472175379442</v>
          </cell>
          <cell r="DN85">
            <v>0.13038878603544024</v>
          </cell>
          <cell r="DO85">
            <v>7.0535428021801794E-2</v>
          </cell>
          <cell r="DP85">
            <v>0.10333333333333328</v>
          </cell>
          <cell r="DR85" t="str">
            <v xml:space="preserve"> 3Q</v>
          </cell>
          <cell r="DS85">
            <v>-0.10888888888888881</v>
          </cell>
          <cell r="DT85">
            <v>1.8161180476730987E-2</v>
          </cell>
          <cell r="DU85">
            <v>-2.4793388429751984E-2</v>
          </cell>
          <cell r="DW85">
            <v>2.9850746268658135E-3</v>
          </cell>
          <cell r="DX85">
            <v>-2.5114155251141468E-2</v>
          </cell>
          <cell r="DY85">
            <v>-1.2936610608020538E-2</v>
          </cell>
          <cell r="EA85">
            <v>-6.6666666666666652E-2</v>
          </cell>
          <cell r="EB85">
            <v>-1.6317016317016209E-2</v>
          </cell>
          <cell r="EC85">
            <v>-2.1097046413501963E-2</v>
          </cell>
          <cell r="EE85">
            <v>0.13953488372093026</v>
          </cell>
          <cell r="EF85">
            <v>-0.11764705882352944</v>
          </cell>
          <cell r="EG85">
            <v>-8.877284595300261E-2</v>
          </cell>
          <cell r="EI85">
            <v>0.15163934426229519</v>
          </cell>
          <cell r="EJ85">
            <v>-0.16129032258064513</v>
          </cell>
          <cell r="EK85">
            <v>0.11636363636363645</v>
          </cell>
          <cell r="EM85" t="str">
            <v xml:space="preserve"> 3Q</v>
          </cell>
          <cell r="EN85">
            <v>5.6603773584905648E-2</v>
          </cell>
          <cell r="EO85">
            <v>-1.0638297872340385E-2</v>
          </cell>
          <cell r="EP85">
            <v>2.4999999999999911E-2</v>
          </cell>
          <cell r="ER85">
            <v>0.31658291457286447</v>
          </cell>
          <cell r="ES85">
            <v>3.3613445378151363E-2</v>
          </cell>
          <cell r="ET85">
            <v>0.21069182389937113</v>
          </cell>
          <cell r="EV85">
            <v>0.16666666666666674</v>
          </cell>
          <cell r="EW85">
            <v>-9.4462540716612309E-2</v>
          </cell>
          <cell r="EX85">
            <v>-8.9456869009584716E-2</v>
          </cell>
          <cell r="EZ85">
            <v>2.0408163265307033E-2</v>
          </cell>
          <cell r="FA85">
            <v>0.2733485193621854</v>
          </cell>
          <cell r="FB85">
            <v>0.19527559055118049</v>
          </cell>
          <cell r="FD85">
            <v>4.0640394088669929E-2</v>
          </cell>
          <cell r="FE85">
            <v>1.5269655620532729E-2</v>
          </cell>
          <cell r="FF85">
            <v>2.4032326669502169E-2</v>
          </cell>
          <cell r="FH85">
            <v>0.25387560409213572</v>
          </cell>
          <cell r="FI85">
            <v>0.12637412555646388</v>
          </cell>
          <cell r="FJ85">
            <v>0.20178173719376402</v>
          </cell>
        </row>
        <row r="86">
          <cell r="A86" t="str">
            <v xml:space="preserve"> 4Q</v>
          </cell>
          <cell r="B86">
            <v>0.5536983669548512</v>
          </cell>
          <cell r="C86">
            <v>0.65672451193058556</v>
          </cell>
          <cell r="D86">
            <v>0.5806497375514259</v>
          </cell>
          <cell r="F86">
            <v>-0.33134920634920628</v>
          </cell>
          <cell r="G86">
            <v>-0.36363636363636376</v>
          </cell>
          <cell r="H86">
            <v>-0.33152442032560425</v>
          </cell>
          <cell r="J86">
            <v>0.2554991539763114</v>
          </cell>
          <cell r="K86">
            <v>8.4063047285463988E-2</v>
          </cell>
          <cell r="L86">
            <v>0.17125645438898451</v>
          </cell>
          <cell r="N86" t="str">
            <v>NM</v>
          </cell>
          <cell r="O86" t="str">
            <v>NM</v>
          </cell>
          <cell r="P86" t="str">
            <v>NM</v>
          </cell>
          <cell r="R86">
            <v>-0.35606060606060608</v>
          </cell>
          <cell r="S86">
            <v>0.19318181818181812</v>
          </cell>
          <cell r="T86">
            <v>-0.30113636363636365</v>
          </cell>
          <cell r="V86">
            <v>0.79763560500695396</v>
          </cell>
          <cell r="W86">
            <v>0.72815533980582514</v>
          </cell>
          <cell r="X86">
            <v>0.78892944038929458</v>
          </cell>
          <cell r="Z86">
            <v>-0.14400000000000002</v>
          </cell>
          <cell r="AA86">
            <v>-0.51515151515151514</v>
          </cell>
          <cell r="AB86">
            <v>-0.22250316055625785</v>
          </cell>
          <cell r="AD86" t="str">
            <v>NM</v>
          </cell>
          <cell r="AE86" t="str">
            <v>NM</v>
          </cell>
          <cell r="AF86" t="str">
            <v>NM</v>
          </cell>
          <cell r="AH86" t="str">
            <v xml:space="preserve"> 4Q</v>
          </cell>
          <cell r="AI86" t="str">
            <v>NM</v>
          </cell>
          <cell r="AJ86" t="str">
            <v>NM</v>
          </cell>
          <cell r="AK86" t="str">
            <v>NM</v>
          </cell>
          <cell r="AM86" t="str">
            <v>NM</v>
          </cell>
          <cell r="AN86" t="str">
            <v>NM</v>
          </cell>
          <cell r="AO86" t="str">
            <v>NM</v>
          </cell>
          <cell r="AQ86">
            <v>4.8192771084337283E-2</v>
          </cell>
          <cell r="AR86">
            <v>7.6779026217228541E-2</v>
          </cell>
          <cell r="AS86">
            <v>6.427818756585868E-2</v>
          </cell>
          <cell r="AY86">
            <v>0</v>
          </cell>
          <cell r="AZ86">
            <v>0.05</v>
          </cell>
          <cell r="BA86">
            <v>0.35203574975173768</v>
          </cell>
          <cell r="BC86">
            <v>0.25496635693687919</v>
          </cell>
          <cell r="BD86">
            <v>0.16718695802982997</v>
          </cell>
          <cell r="BE86">
            <v>0.22723287671232861</v>
          </cell>
          <cell r="BK86" t="str">
            <v>NM</v>
          </cell>
          <cell r="BL86" t="str">
            <v>NM</v>
          </cell>
          <cell r="BM86" t="str">
            <v>NM</v>
          </cell>
          <cell r="BO86">
            <v>0.25496635693687919</v>
          </cell>
          <cell r="BP86">
            <v>0.16718695802982997</v>
          </cell>
          <cell r="BQ86">
            <v>0.22723287671232861</v>
          </cell>
          <cell r="BS86" t="str">
            <v xml:space="preserve"> 4Q</v>
          </cell>
          <cell r="BT86">
            <v>7.4144486692015121E-2</v>
          </cell>
          <cell r="BU86">
            <v>6.0939794419970772E-2</v>
          </cell>
          <cell r="BV86">
            <v>6.4618644067796716E-2</v>
          </cell>
          <cell r="BX86">
            <v>0.15340253748558252</v>
          </cell>
          <cell r="BY86">
            <v>0.15555555555555545</v>
          </cell>
          <cell r="BZ86">
            <v>0.15391380826737011</v>
          </cell>
          <cell r="CB86">
            <v>1.990049751243772E-2</v>
          </cell>
          <cell r="CC86">
            <v>4.844290657439454E-2</v>
          </cell>
          <cell r="CD86">
            <v>3.6734693877551017E-2</v>
          </cell>
          <cell r="CF86" t="str">
            <v>NM</v>
          </cell>
          <cell r="CG86" t="str">
            <v>NM</v>
          </cell>
          <cell r="CH86" t="str">
            <v>NM</v>
          </cell>
          <cell r="CJ86">
            <v>-6.382978723404209E-3</v>
          </cell>
          <cell r="CK86">
            <v>-5.555555555555558E-2</v>
          </cell>
          <cell r="CL86">
            <v>-1.291512915129156E-2</v>
          </cell>
          <cell r="CN86" t="str">
            <v>NM</v>
          </cell>
          <cell r="CO86" t="str">
            <v>NM</v>
          </cell>
          <cell r="CP86" t="str">
            <v>NM</v>
          </cell>
          <cell r="CR86">
            <v>-0.19999999999999996</v>
          </cell>
          <cell r="CS86">
            <v>0.11111111111111116</v>
          </cell>
          <cell r="CT86">
            <v>-0.17543859649122806</v>
          </cell>
          <cell r="CV86" t="str">
            <v xml:space="preserve"> 4Q</v>
          </cell>
          <cell r="CX86">
            <v>-0.03</v>
          </cell>
          <cell r="CY86">
            <v>0.11</v>
          </cell>
          <cell r="CZ86">
            <v>8.5043988269794646E-2</v>
          </cell>
          <cell r="DB86">
            <v>0.1258278145695364</v>
          </cell>
          <cell r="DC86">
            <v>-0.18181818181818188</v>
          </cell>
          <cell r="DD86">
            <v>0.10493827160493829</v>
          </cell>
          <cell r="DF86" t="str">
            <v>NM</v>
          </cell>
          <cell r="DG86" t="str">
            <v>NM</v>
          </cell>
          <cell r="DH86" t="str">
            <v>NM</v>
          </cell>
          <cell r="DJ86">
            <v>0.4214992927864214</v>
          </cell>
          <cell r="DK86">
            <v>0.02</v>
          </cell>
          <cell r="DL86">
            <v>0.21788341822297652</v>
          </cell>
          <cell r="DN86">
            <v>0.13322759714512289</v>
          </cell>
          <cell r="DO86">
            <v>3.4419738044471515E-2</v>
          </cell>
          <cell r="DP86">
            <v>8.7319558448910151E-2</v>
          </cell>
          <cell r="DR86" t="str">
            <v xml:space="preserve"> 4Q</v>
          </cell>
          <cell r="DS86">
            <v>0.03</v>
          </cell>
          <cell r="DT86">
            <v>0.06</v>
          </cell>
          <cell r="DU86">
            <v>8.4314941103533547E-2</v>
          </cell>
          <cell r="DW86">
            <v>9.59595959595958E-2</v>
          </cell>
          <cell r="DX86">
            <v>4.366812227074357E-3</v>
          </cell>
          <cell r="DY86">
            <v>4.6838407494145251E-2</v>
          </cell>
          <cell r="EA86">
            <v>-4.1666666666666741E-2</v>
          </cell>
          <cell r="EB86">
            <v>2.5404157043879882E-2</v>
          </cell>
          <cell r="EC86">
            <v>1.8711018711018879E-2</v>
          </cell>
          <cell r="EE86">
            <v>-0.17391304347826086</v>
          </cell>
          <cell r="EF86">
            <v>-0.10273972602739723</v>
          </cell>
          <cell r="EG86">
            <v>-0.11242603550295849</v>
          </cell>
          <cell r="EI86">
            <v>1.7064846416382284E-2</v>
          </cell>
          <cell r="EJ86">
            <v>7.6923076923076872E-2</v>
          </cell>
          <cell r="EK86">
            <v>2.1943573667711602E-2</v>
          </cell>
          <cell r="EM86" t="str">
            <v xml:space="preserve"> 4Q</v>
          </cell>
          <cell r="EN86">
            <v>-8.5937500000000111E-2</v>
          </cell>
          <cell r="EO86">
            <v>5.1546391752577359E-2</v>
          </cell>
          <cell r="EP86">
            <v>-2.6666666666666727E-2</v>
          </cell>
          <cell r="ER86">
            <v>0.36279069767441863</v>
          </cell>
          <cell r="ES86">
            <v>8.7591240875912524E-2</v>
          </cell>
          <cell r="ET86">
            <v>0.25568181818181812</v>
          </cell>
          <cell r="EV86">
            <v>0.33333333333333348</v>
          </cell>
          <cell r="EW86">
            <v>-2.6315789473684292E-2</v>
          </cell>
          <cell r="EX86">
            <v>-2.230483271375483E-2</v>
          </cell>
          <cell r="EZ86">
            <v>-0.70063694267516108</v>
          </cell>
          <cell r="FA86">
            <v>0.22883295194508091</v>
          </cell>
          <cell r="FB86">
            <v>-1.6835016835016869E-2</v>
          </cell>
          <cell r="FD86">
            <v>7.571801566579639E-2</v>
          </cell>
          <cell r="FE86">
            <v>2.4600638977635647E-2</v>
          </cell>
          <cell r="FF86">
            <v>4.4003964321110089E-2</v>
          </cell>
          <cell r="FH86">
            <v>0.21075789242107579</v>
          </cell>
          <cell r="FI86">
            <v>9.4753263814763011E-2</v>
          </cell>
          <cell r="FJ86">
            <v>0.16422383979447308</v>
          </cell>
        </row>
        <row r="88">
          <cell r="A88" t="str">
            <v>Year</v>
          </cell>
          <cell r="B88">
            <v>0.65006385696040869</v>
          </cell>
          <cell r="C88">
            <v>0.88635942994632644</v>
          </cell>
          <cell r="D88">
            <v>0.70850498947175677</v>
          </cell>
          <cell r="F88">
            <v>-0.16624246483590088</v>
          </cell>
          <cell r="G88">
            <v>0.5625</v>
          </cell>
          <cell r="H88">
            <v>-0.16468386579334304</v>
          </cell>
          <cell r="J88">
            <v>0.10689948892674606</v>
          </cell>
          <cell r="K88">
            <v>0.15640674874601013</v>
          </cell>
          <cell r="L88">
            <v>0.13080819202818761</v>
          </cell>
          <cell r="N88" t="str">
            <v>NM</v>
          </cell>
          <cell r="O88" t="str">
            <v>NM</v>
          </cell>
          <cell r="P88" t="str">
            <v>NM</v>
          </cell>
          <cell r="R88">
            <v>-0.17755102040816328</v>
          </cell>
          <cell r="S88">
            <v>0.13813813813813813</v>
          </cell>
          <cell r="T88">
            <v>-0.13977721882860228</v>
          </cell>
          <cell r="V88">
            <v>0.79760560198780217</v>
          </cell>
          <cell r="W88">
            <v>0.64095371669004186</v>
          </cell>
          <cell r="X88">
            <v>0.77587548638132309</v>
          </cell>
          <cell r="Z88">
            <v>-2.6072911859713832E-2</v>
          </cell>
          <cell r="AA88">
            <v>0.11283643892339557</v>
          </cell>
          <cell r="AB88">
            <v>-9.4321826070531412E-4</v>
          </cell>
          <cell r="AD88" t="str">
            <v>NM</v>
          </cell>
          <cell r="AE88" t="str">
            <v>NM</v>
          </cell>
          <cell r="AF88" t="str">
            <v>NM</v>
          </cell>
          <cell r="AH88" t="str">
            <v>Year</v>
          </cell>
          <cell r="AI88" t="str">
            <v>NM</v>
          </cell>
          <cell r="AJ88" t="str">
            <v>NM</v>
          </cell>
          <cell r="AK88" t="str">
            <v>NM</v>
          </cell>
          <cell r="AM88" t="str">
            <v>NM</v>
          </cell>
          <cell r="AN88" t="str">
            <v>NM</v>
          </cell>
          <cell r="AO88" t="str">
            <v>NM</v>
          </cell>
          <cell r="AQ88">
            <v>1.6393442622950838E-2</v>
          </cell>
          <cell r="AR88">
            <v>0.11000991080277522</v>
          </cell>
          <cell r="AS88">
            <v>6.79399727148704E-2</v>
          </cell>
          <cell r="AY88">
            <v>1.6838365896980458</v>
          </cell>
          <cell r="AZ88">
            <v>0.18575351316427113</v>
          </cell>
          <cell r="BA88">
            <v>0.41629082957496299</v>
          </cell>
          <cell r="BC88">
            <v>0.31498214414112136</v>
          </cell>
          <cell r="BD88">
            <v>0.27232871125611768</v>
          </cell>
          <cell r="BE88">
            <v>0.30134172386246938</v>
          </cell>
          <cell r="BK88" t="str">
            <v>NM</v>
          </cell>
          <cell r="BL88" t="str">
            <v>NM</v>
          </cell>
          <cell r="BM88" t="str">
            <v>NM</v>
          </cell>
          <cell r="BO88">
            <v>0.31498214414112136</v>
          </cell>
          <cell r="BP88">
            <v>0.27232871125611768</v>
          </cell>
          <cell r="BQ88">
            <v>0.30134172386246938</v>
          </cell>
          <cell r="BS88" t="str">
            <v>Year</v>
          </cell>
          <cell r="BT88">
            <v>5.6587091069849604E-2</v>
          </cell>
          <cell r="BU88">
            <v>6.6525260316236068E-2</v>
          </cell>
          <cell r="BV88">
            <v>6.3506981740064417E-2</v>
          </cell>
          <cell r="BX88">
            <v>0.11299606179945476</v>
          </cell>
          <cell r="BY88">
            <v>0.19519519519519513</v>
          </cell>
          <cell r="BZ88">
            <v>0.13209302325581418</v>
          </cell>
          <cell r="CB88">
            <v>7.2992700729925808E-3</v>
          </cell>
          <cell r="CC88">
            <v>8.4837545126353664E-2</v>
          </cell>
          <cell r="CD88">
            <v>5.1813471502590636E-2</v>
          </cell>
          <cell r="CF88" t="str">
            <v>NM</v>
          </cell>
          <cell r="CG88" t="str">
            <v>NM</v>
          </cell>
          <cell r="CH88" t="str">
            <v>NM</v>
          </cell>
          <cell r="CJ88">
            <v>1.3258897418004123E-2</v>
          </cell>
          <cell r="CK88">
            <v>3.8167938931297218E-3</v>
          </cell>
          <cell r="CL88">
            <v>1.1799410029498469E-2</v>
          </cell>
          <cell r="CN88" t="str">
            <v>NM</v>
          </cell>
          <cell r="CO88" t="str">
            <v>NM</v>
          </cell>
          <cell r="CP88" t="str">
            <v>NM</v>
          </cell>
          <cell r="CR88">
            <v>-8.0821917808219235E-2</v>
          </cell>
          <cell r="CS88">
            <v>-2.5641025641025661E-2</v>
          </cell>
          <cell r="CT88">
            <v>-7.5495049504950451E-2</v>
          </cell>
          <cell r="CV88" t="str">
            <v>Year</v>
          </cell>
          <cell r="CX88">
            <v>0.16724336793540928</v>
          </cell>
          <cell r="CY88">
            <v>0.14015151515151514</v>
          </cell>
          <cell r="CZ88">
            <v>0.16091954022988531</v>
          </cell>
          <cell r="DB88">
            <v>4.7619047619047672E-2</v>
          </cell>
          <cell r="DC88">
            <v>-3.9999999999999813E-2</v>
          </cell>
          <cell r="DD88">
            <v>4.2321644498185984E-2</v>
          </cell>
          <cell r="DF88" t="str">
            <v>NM</v>
          </cell>
          <cell r="DG88" t="str">
            <v>NM</v>
          </cell>
          <cell r="DH88" t="str">
            <v>NM</v>
          </cell>
          <cell r="DJ88">
            <v>0.55000000000000004</v>
          </cell>
          <cell r="DK88">
            <v>0.10475482912332845</v>
          </cell>
          <cell r="DL88">
            <v>0.27581227436823097</v>
          </cell>
          <cell r="DN88">
            <v>0.14070658439004546</v>
          </cell>
          <cell r="DO88">
            <v>5.3319435535599702E-2</v>
          </cell>
          <cell r="DP88">
            <v>0.10066497667070773</v>
          </cell>
          <cell r="DR88" t="str">
            <v>Year</v>
          </cell>
          <cell r="DS88">
            <v>5.006180469715682E-2</v>
          </cell>
          <cell r="DT88">
            <v>9.7792679519419501E-3</v>
          </cell>
          <cell r="DU88">
            <v>2.2320569559360903E-2</v>
          </cell>
          <cell r="DW88">
            <v>0.1029005524861879</v>
          </cell>
          <cell r="DX88">
            <v>1.6620498614958734E-3</v>
          </cell>
          <cell r="DY88">
            <v>4.6726098985552023E-2</v>
          </cell>
          <cell r="EA88">
            <v>-6.6666666666666541E-2</v>
          </cell>
          <cell r="EB88">
            <v>2.9498525073746507E-2</v>
          </cell>
          <cell r="EC88">
            <v>1.9576719576719581E-2</v>
          </cell>
          <cell r="EE88">
            <v>-2.7624309392265345E-2</v>
          </cell>
          <cell r="EF88">
            <v>-9.4808126410835247E-2</v>
          </cell>
          <cell r="EG88">
            <v>-8.6754966887417129E-2</v>
          </cell>
          <cell r="EI88">
            <v>4.1441441441441684E-2</v>
          </cell>
          <cell r="EJ88">
            <v>-9.0163934426229386E-2</v>
          </cell>
          <cell r="EK88">
            <v>2.8409090909090828E-2</v>
          </cell>
          <cell r="EM88" t="str">
            <v>Year</v>
          </cell>
          <cell r="EN88">
            <v>-6.25E-2</v>
          </cell>
          <cell r="EO88">
            <v>-3.0226700251889227E-2</v>
          </cell>
          <cell r="EP88">
            <v>-4.9111807732497459E-2</v>
          </cell>
          <cell r="ER88">
            <v>0.2723970944309928</v>
          </cell>
          <cell r="ES88">
            <v>-9.3632958801497246E-3</v>
          </cell>
          <cell r="ET88">
            <v>0.16176470588235303</v>
          </cell>
          <cell r="EV88">
            <v>0.21052631578947345</v>
          </cell>
          <cell r="EW88">
            <v>1.3368983957219305E-2</v>
          </cell>
          <cell r="EX88">
            <v>1.6652059596844904E-2</v>
          </cell>
          <cell r="EZ88">
            <v>-0.16875000000000051</v>
          </cell>
          <cell r="FA88">
            <v>0.20294985250737407</v>
          </cell>
          <cell r="FB88">
            <v>0.10107066381156238</v>
          </cell>
          <cell r="FD88">
            <v>5.2144914355009897E-2</v>
          </cell>
          <cell r="FE88">
            <v>2.3863821469294777E-2</v>
          </cell>
          <cell r="FF88">
            <v>3.374834437086105E-2</v>
          </cell>
          <cell r="FH88">
            <v>0.24673759652433147</v>
          </cell>
          <cell r="FI88">
            <v>0.14200063111391614</v>
          </cell>
          <cell r="FJ88">
            <v>0.20348496272095162</v>
          </cell>
        </row>
        <row r="90">
          <cell r="A90" t="str">
            <v>1999</v>
          </cell>
          <cell r="E90">
            <v>0</v>
          </cell>
          <cell r="I90">
            <v>0</v>
          </cell>
          <cell r="M90">
            <v>0</v>
          </cell>
          <cell r="Q90">
            <v>0</v>
          </cell>
          <cell r="U90">
            <v>0</v>
          </cell>
          <cell r="Y90">
            <v>0</v>
          </cell>
          <cell r="AH90" t="str">
            <v>1999</v>
          </cell>
          <cell r="AL90">
            <v>0</v>
          </cell>
          <cell r="AP90">
            <v>0</v>
          </cell>
          <cell r="AT90">
            <v>0</v>
          </cell>
          <cell r="AX90">
            <v>0</v>
          </cell>
          <cell r="BB90">
            <v>0</v>
          </cell>
          <cell r="BJ90">
            <v>0</v>
          </cell>
          <cell r="BS90" t="str">
            <v>1999</v>
          </cell>
          <cell r="BW90">
            <v>0</v>
          </cell>
          <cell r="CA90">
            <v>0</v>
          </cell>
          <cell r="CI90">
            <v>0</v>
          </cell>
          <cell r="CM90">
            <v>0</v>
          </cell>
          <cell r="CQ90">
            <v>0</v>
          </cell>
          <cell r="CV90" t="str">
            <v>1999</v>
          </cell>
          <cell r="CW90">
            <v>0</v>
          </cell>
          <cell r="DA90">
            <v>0</v>
          </cell>
          <cell r="DE90">
            <v>0</v>
          </cell>
          <cell r="DI90">
            <v>0</v>
          </cell>
          <cell r="DM90">
            <v>0</v>
          </cell>
          <cell r="DR90" t="str">
            <v>1999</v>
          </cell>
          <cell r="DV90">
            <v>0</v>
          </cell>
          <cell r="DZ90">
            <v>0</v>
          </cell>
          <cell r="ED90">
            <v>0</v>
          </cell>
          <cell r="EH90">
            <v>0</v>
          </cell>
          <cell r="EM90" t="str">
            <v>1999</v>
          </cell>
          <cell r="EQ90">
            <v>0</v>
          </cell>
          <cell r="EU90">
            <v>0</v>
          </cell>
          <cell r="EY90">
            <v>0</v>
          </cell>
          <cell r="FC90">
            <v>0</v>
          </cell>
        </row>
        <row r="91">
          <cell r="A91" t="str">
            <v xml:space="preserve"> 1Q</v>
          </cell>
          <cell r="B91">
            <v>532.9</v>
          </cell>
          <cell r="C91">
            <v>217.9</v>
          </cell>
          <cell r="D91">
            <v>750.8</v>
          </cell>
          <cell r="F91">
            <v>183.7</v>
          </cell>
          <cell r="G91">
            <v>0.4</v>
          </cell>
          <cell r="H91">
            <v>184.1</v>
          </cell>
          <cell r="J91">
            <v>51.6</v>
          </cell>
          <cell r="K91">
            <v>64.5</v>
          </cell>
          <cell r="L91">
            <v>116.1</v>
          </cell>
          <cell r="N91" t="str">
            <v>NM</v>
          </cell>
          <cell r="O91" t="str">
            <v>NM</v>
          </cell>
          <cell r="P91" t="str">
            <v>NM</v>
          </cell>
          <cell r="R91">
            <v>57.5</v>
          </cell>
          <cell r="S91">
            <v>8.4</v>
          </cell>
          <cell r="T91">
            <v>65.900000000000006</v>
          </cell>
          <cell r="V91">
            <v>151.6</v>
          </cell>
          <cell r="W91">
            <v>24.2</v>
          </cell>
          <cell r="X91">
            <v>175.79999999999998</v>
          </cell>
          <cell r="Z91">
            <v>112</v>
          </cell>
          <cell r="AA91">
            <v>34</v>
          </cell>
          <cell r="AB91">
            <v>146</v>
          </cell>
          <cell r="AD91" t="str">
            <v>NM</v>
          </cell>
          <cell r="AE91" t="str">
            <v>NM</v>
          </cell>
          <cell r="AF91" t="str">
            <v>NM</v>
          </cell>
          <cell r="AH91" t="str">
            <v xml:space="preserve"> 1Q</v>
          </cell>
          <cell r="AI91" t="str">
            <v>NM</v>
          </cell>
          <cell r="AJ91" t="str">
            <v>NM</v>
          </cell>
          <cell r="AK91" t="str">
            <v>NM</v>
          </cell>
          <cell r="AM91" t="str">
            <v>NM</v>
          </cell>
          <cell r="AN91" t="str">
            <v>NM</v>
          </cell>
          <cell r="AO91" t="str">
            <v>NM</v>
          </cell>
          <cell r="AQ91">
            <v>39.200000000000003</v>
          </cell>
          <cell r="AR91">
            <v>53.9</v>
          </cell>
          <cell r="AS91">
            <v>93.1</v>
          </cell>
          <cell r="AW91">
            <v>0</v>
          </cell>
          <cell r="AY91">
            <v>75.499999999999886</v>
          </cell>
          <cell r="AZ91">
            <v>202.90000000000012</v>
          </cell>
          <cell r="BA91">
            <v>278.39999999999998</v>
          </cell>
          <cell r="BC91">
            <v>1204</v>
          </cell>
          <cell r="BD91">
            <v>606.20000000000005</v>
          </cell>
          <cell r="BE91">
            <v>1810.2</v>
          </cell>
          <cell r="BK91">
            <v>0</v>
          </cell>
          <cell r="BL91">
            <v>0</v>
          </cell>
          <cell r="BM91">
            <v>0</v>
          </cell>
          <cell r="BO91">
            <v>1204</v>
          </cell>
          <cell r="BP91">
            <v>606.20000000000005</v>
          </cell>
          <cell r="BQ91">
            <v>1810.2</v>
          </cell>
          <cell r="BS91" t="str">
            <v xml:space="preserve"> 1Q</v>
          </cell>
          <cell r="BT91">
            <v>52.8</v>
          </cell>
          <cell r="BU91">
            <v>132.1</v>
          </cell>
          <cell r="BV91">
            <v>184.89999999999998</v>
          </cell>
          <cell r="BX91">
            <v>101</v>
          </cell>
          <cell r="BY91">
            <v>26.8</v>
          </cell>
          <cell r="BZ91">
            <v>127.8</v>
          </cell>
          <cell r="CB91">
            <v>19.7</v>
          </cell>
          <cell r="CC91">
            <v>30.5</v>
          </cell>
          <cell r="CD91">
            <v>50.2</v>
          </cell>
          <cell r="CF91">
            <v>41.3</v>
          </cell>
          <cell r="CG91">
            <v>0</v>
          </cell>
          <cell r="CH91">
            <v>41.3</v>
          </cell>
          <cell r="CJ91">
            <v>38.1</v>
          </cell>
          <cell r="CK91">
            <v>6.1</v>
          </cell>
          <cell r="CL91">
            <v>44.2</v>
          </cell>
          <cell r="CN91" t="str">
            <v>NM</v>
          </cell>
          <cell r="CO91" t="str">
            <v>NM</v>
          </cell>
          <cell r="CP91" t="str">
            <v>NM</v>
          </cell>
          <cell r="CR91">
            <v>15.7</v>
          </cell>
          <cell r="CS91">
            <v>0</v>
          </cell>
          <cell r="CT91">
            <v>15.7</v>
          </cell>
          <cell r="CV91" t="str">
            <v xml:space="preserve"> 1Q</v>
          </cell>
          <cell r="CX91">
            <v>27.4</v>
          </cell>
          <cell r="CY91">
            <v>7.7</v>
          </cell>
          <cell r="CZ91">
            <v>35.1</v>
          </cell>
          <cell r="DB91">
            <v>18.399999999999999</v>
          </cell>
          <cell r="DC91">
            <v>1.2</v>
          </cell>
          <cell r="DD91">
            <v>19.599999999999998</v>
          </cell>
          <cell r="DF91" t="str">
            <v>NM</v>
          </cell>
          <cell r="DG91" t="str">
            <v>NM</v>
          </cell>
          <cell r="DH91" t="str">
            <v>NM</v>
          </cell>
          <cell r="DJ91">
            <v>100.80000000000003</v>
          </cell>
          <cell r="DK91">
            <v>116.20000000000002</v>
          </cell>
          <cell r="DL91">
            <v>217.00000000000006</v>
          </cell>
          <cell r="DN91">
            <v>415.2</v>
          </cell>
          <cell r="DO91">
            <v>320.60000000000002</v>
          </cell>
          <cell r="DP91">
            <v>735.8</v>
          </cell>
          <cell r="DR91" t="str">
            <v xml:space="preserve"> 1Q</v>
          </cell>
          <cell r="DS91">
            <v>29.2</v>
          </cell>
          <cell r="DT91">
            <v>89.6</v>
          </cell>
          <cell r="DU91">
            <v>118.8</v>
          </cell>
          <cell r="DW91">
            <v>37.700000000000003</v>
          </cell>
          <cell r="DX91">
            <v>42.7</v>
          </cell>
          <cell r="DY91">
            <v>80.400000000000006</v>
          </cell>
          <cell r="EA91">
            <v>4.7</v>
          </cell>
          <cell r="EB91">
            <v>43.9</v>
          </cell>
          <cell r="EC91">
            <v>48.6</v>
          </cell>
          <cell r="EE91">
            <v>4.5999999999999996</v>
          </cell>
          <cell r="EF91">
            <v>34.700000000000003</v>
          </cell>
          <cell r="EG91">
            <v>39.300000000000004</v>
          </cell>
          <cell r="EI91">
            <v>27.8</v>
          </cell>
          <cell r="EJ91">
            <v>2.7</v>
          </cell>
          <cell r="EK91">
            <v>30.5</v>
          </cell>
          <cell r="EM91" t="str">
            <v xml:space="preserve"> 1Q</v>
          </cell>
          <cell r="EN91">
            <v>13.4</v>
          </cell>
          <cell r="EO91">
            <v>9</v>
          </cell>
          <cell r="EP91">
            <v>22.4</v>
          </cell>
          <cell r="ER91">
            <v>22.5</v>
          </cell>
          <cell r="ES91">
            <v>11.9</v>
          </cell>
          <cell r="ET91">
            <v>34.4</v>
          </cell>
          <cell r="EV91">
            <v>0.6</v>
          </cell>
          <cell r="EW91">
            <v>29.4</v>
          </cell>
          <cell r="EX91">
            <v>30</v>
          </cell>
          <cell r="EZ91">
            <v>14</v>
          </cell>
          <cell r="FA91">
            <v>42</v>
          </cell>
          <cell r="FB91">
            <v>56</v>
          </cell>
          <cell r="FD91">
            <v>154.5</v>
          </cell>
          <cell r="FE91">
            <v>305.90000000000003</v>
          </cell>
          <cell r="FF91">
            <v>460.40000000000003</v>
          </cell>
          <cell r="FH91">
            <v>1773.7</v>
          </cell>
          <cell r="FI91">
            <v>1232.7</v>
          </cell>
          <cell r="FJ91">
            <v>3006.4</v>
          </cell>
        </row>
        <row r="92">
          <cell r="A92" t="str">
            <v xml:space="preserve"> 2Q</v>
          </cell>
          <cell r="B92">
            <v>641.5</v>
          </cell>
          <cell r="C92">
            <v>244.4</v>
          </cell>
          <cell r="D92">
            <v>885.9</v>
          </cell>
          <cell r="F92">
            <v>170.7</v>
          </cell>
          <cell r="G92">
            <v>0.7</v>
          </cell>
          <cell r="H92">
            <v>171.39999999999998</v>
          </cell>
          <cell r="J92">
            <v>61.3</v>
          </cell>
          <cell r="K92">
            <v>65.2</v>
          </cell>
          <cell r="L92">
            <v>126.5</v>
          </cell>
          <cell r="N92" t="str">
            <v>NM</v>
          </cell>
          <cell r="O92" t="str">
            <v>NM</v>
          </cell>
          <cell r="P92" t="str">
            <v>NM</v>
          </cell>
          <cell r="R92">
            <v>44.3</v>
          </cell>
          <cell r="S92">
            <v>9.6</v>
          </cell>
          <cell r="T92">
            <v>53.9</v>
          </cell>
          <cell r="V92">
            <v>178.4</v>
          </cell>
          <cell r="W92">
            <v>27.7</v>
          </cell>
          <cell r="X92">
            <v>206.1</v>
          </cell>
          <cell r="Z92">
            <v>112.9</v>
          </cell>
          <cell r="AA92">
            <v>35.700000000000003</v>
          </cell>
          <cell r="AB92">
            <v>148.60000000000002</v>
          </cell>
          <cell r="AD92" t="str">
            <v>NM</v>
          </cell>
          <cell r="AE92" t="str">
            <v>NM</v>
          </cell>
          <cell r="AF92" t="str">
            <v>NM</v>
          </cell>
          <cell r="AH92" t="str">
            <v xml:space="preserve"> 2Q</v>
          </cell>
          <cell r="AI92" t="str">
            <v>NM</v>
          </cell>
          <cell r="AJ92" t="str">
            <v>NM</v>
          </cell>
          <cell r="AK92" t="str">
            <v>NM</v>
          </cell>
          <cell r="AM92" t="str">
            <v>NM</v>
          </cell>
          <cell r="AN92" t="str">
            <v>NM</v>
          </cell>
          <cell r="AO92" t="str">
            <v>NM</v>
          </cell>
          <cell r="AQ92">
            <v>42.1</v>
          </cell>
          <cell r="AR92">
            <v>57.5</v>
          </cell>
          <cell r="AS92">
            <v>99.6</v>
          </cell>
          <cell r="AW92">
            <v>0</v>
          </cell>
          <cell r="AY92">
            <v>63.200000000000273</v>
          </cell>
          <cell r="AZ92">
            <v>182.4</v>
          </cell>
          <cell r="BA92">
            <v>245.60000000000028</v>
          </cell>
          <cell r="BC92">
            <v>1314.4</v>
          </cell>
          <cell r="BD92">
            <v>623.20000000000005</v>
          </cell>
          <cell r="BE92">
            <v>1937.6000000000001</v>
          </cell>
          <cell r="BK92">
            <v>0</v>
          </cell>
          <cell r="BL92">
            <v>0</v>
          </cell>
          <cell r="BM92">
            <v>0</v>
          </cell>
          <cell r="BO92">
            <v>1314.4</v>
          </cell>
          <cell r="BP92">
            <v>623.20000000000005</v>
          </cell>
          <cell r="BQ92">
            <v>1937.6000000000001</v>
          </cell>
          <cell r="BS92" t="str">
            <v xml:space="preserve"> 2Q</v>
          </cell>
          <cell r="BT92">
            <v>58.1</v>
          </cell>
          <cell r="BU92">
            <v>136.19999999999999</v>
          </cell>
          <cell r="BV92">
            <v>194.29999999999998</v>
          </cell>
          <cell r="BX92">
            <v>83</v>
          </cell>
          <cell r="BY92">
            <v>29.4</v>
          </cell>
          <cell r="BZ92">
            <v>112.4</v>
          </cell>
          <cell r="CB92">
            <v>20.8</v>
          </cell>
          <cell r="CC92">
            <v>29.4</v>
          </cell>
          <cell r="CD92">
            <v>50.2</v>
          </cell>
          <cell r="CF92">
            <v>43.7</v>
          </cell>
          <cell r="CG92">
            <v>3</v>
          </cell>
          <cell r="CH92">
            <v>46.7</v>
          </cell>
          <cell r="CJ92">
            <v>25.5</v>
          </cell>
          <cell r="CK92">
            <v>6.6</v>
          </cell>
          <cell r="CL92">
            <v>32.1</v>
          </cell>
          <cell r="CN92" t="str">
            <v>NM</v>
          </cell>
          <cell r="CO92" t="str">
            <v>NM</v>
          </cell>
          <cell r="CP92" t="str">
            <v>NM</v>
          </cell>
          <cell r="CR92">
            <v>16.8</v>
          </cell>
          <cell r="CS92">
            <v>3.7</v>
          </cell>
          <cell r="CT92">
            <v>20.5</v>
          </cell>
          <cell r="CV92" t="str">
            <v xml:space="preserve"> 2Q</v>
          </cell>
          <cell r="CX92">
            <v>23.5</v>
          </cell>
          <cell r="CY92">
            <v>7.6</v>
          </cell>
          <cell r="CZ92">
            <v>31.1</v>
          </cell>
          <cell r="DB92">
            <v>24.8</v>
          </cell>
          <cell r="DC92">
            <v>2</v>
          </cell>
          <cell r="DD92">
            <v>26.8</v>
          </cell>
          <cell r="DF92" t="str">
            <v>NM</v>
          </cell>
          <cell r="DG92" t="str">
            <v>NM</v>
          </cell>
          <cell r="DH92" t="str">
            <v>NM</v>
          </cell>
          <cell r="DJ92">
            <v>114.69999999999996</v>
          </cell>
          <cell r="DK92">
            <v>101.70000000000002</v>
          </cell>
          <cell r="DL92">
            <v>216.39999999999998</v>
          </cell>
          <cell r="DN92">
            <v>410.9</v>
          </cell>
          <cell r="DO92">
            <v>319.60000000000002</v>
          </cell>
          <cell r="DP92">
            <v>730.5</v>
          </cell>
          <cell r="DR92" t="str">
            <v xml:space="preserve"> 2Q</v>
          </cell>
          <cell r="DS92">
            <v>22.3</v>
          </cell>
          <cell r="DT92">
            <v>85.5</v>
          </cell>
          <cell r="DU92">
            <v>107.8</v>
          </cell>
          <cell r="DW92">
            <v>45</v>
          </cell>
          <cell r="DX92">
            <v>49.4</v>
          </cell>
          <cell r="DY92">
            <v>94.4</v>
          </cell>
          <cell r="EA92">
            <v>4.7</v>
          </cell>
          <cell r="EB92">
            <v>44</v>
          </cell>
          <cell r="EC92">
            <v>48.7</v>
          </cell>
          <cell r="EE92">
            <v>4.3</v>
          </cell>
          <cell r="EF92">
            <v>29.4</v>
          </cell>
          <cell r="EG92">
            <v>33.699999999999996</v>
          </cell>
          <cell r="EI92">
            <v>29.9</v>
          </cell>
          <cell r="EJ92">
            <v>3</v>
          </cell>
          <cell r="EK92">
            <v>32.9</v>
          </cell>
          <cell r="EM92" t="str">
            <v xml:space="preserve"> 2Q</v>
          </cell>
          <cell r="EN92">
            <v>16.2</v>
          </cell>
          <cell r="EO92">
            <v>10</v>
          </cell>
          <cell r="EP92">
            <v>26.2</v>
          </cell>
          <cell r="ER92">
            <v>27.1</v>
          </cell>
          <cell r="ES92">
            <v>13.8</v>
          </cell>
          <cell r="ET92">
            <v>40.900000000000006</v>
          </cell>
          <cell r="EV92">
            <v>0.6</v>
          </cell>
          <cell r="EW92">
            <v>30.6</v>
          </cell>
          <cell r="EX92">
            <v>31.200000000000003</v>
          </cell>
          <cell r="EZ92">
            <v>14.500000000000011</v>
          </cell>
          <cell r="FA92">
            <v>52.299999999999955</v>
          </cell>
          <cell r="FB92">
            <v>66.799999999999969</v>
          </cell>
          <cell r="FD92">
            <v>164.6</v>
          </cell>
          <cell r="FE92">
            <v>318</v>
          </cell>
          <cell r="FF92">
            <v>482.6</v>
          </cell>
          <cell r="FH92">
            <v>1889.9</v>
          </cell>
          <cell r="FI92">
            <v>1260.8000000000002</v>
          </cell>
          <cell r="FJ92">
            <v>3150.7000000000003</v>
          </cell>
        </row>
        <row r="93">
          <cell r="A93" t="str">
            <v xml:space="preserve"> 3Q</v>
          </cell>
          <cell r="B93">
            <v>730.1</v>
          </cell>
          <cell r="C93">
            <v>251.4</v>
          </cell>
          <cell r="D93">
            <v>981.5</v>
          </cell>
          <cell r="F93">
            <v>133.19999999999999</v>
          </cell>
          <cell r="G93">
            <v>0.7</v>
          </cell>
          <cell r="H93">
            <v>133.89999999999998</v>
          </cell>
          <cell r="J93">
            <v>72.8</v>
          </cell>
          <cell r="K93">
            <v>62</v>
          </cell>
          <cell r="L93">
            <v>134.80000000000001</v>
          </cell>
          <cell r="N93" t="str">
            <v>NM</v>
          </cell>
          <cell r="O93" t="str">
            <v>NM</v>
          </cell>
          <cell r="P93" t="str">
            <v>NM</v>
          </cell>
          <cell r="R93">
            <v>48.7</v>
          </cell>
          <cell r="S93">
            <v>9.4</v>
          </cell>
          <cell r="T93">
            <v>58.1</v>
          </cell>
          <cell r="V93">
            <v>207.3</v>
          </cell>
          <cell r="W93">
            <v>29.5</v>
          </cell>
          <cell r="X93">
            <v>236.8</v>
          </cell>
          <cell r="Z93">
            <v>90.2</v>
          </cell>
          <cell r="AA93">
            <v>21.8</v>
          </cell>
          <cell r="AB93">
            <v>112</v>
          </cell>
          <cell r="AD93" t="str">
            <v>NM</v>
          </cell>
          <cell r="AE93" t="str">
            <v>NM</v>
          </cell>
          <cell r="AF93" t="str">
            <v>NM</v>
          </cell>
          <cell r="AH93" t="str">
            <v xml:space="preserve"> 3Q</v>
          </cell>
          <cell r="AI93" t="str">
            <v>NM</v>
          </cell>
          <cell r="AJ93" t="str">
            <v>NM</v>
          </cell>
          <cell r="AK93" t="str">
            <v>NM</v>
          </cell>
          <cell r="AM93" t="str">
            <v>NM</v>
          </cell>
          <cell r="AN93" t="str">
            <v>NM</v>
          </cell>
          <cell r="AO93" t="str">
            <v>NM</v>
          </cell>
          <cell r="AQ93">
            <v>42.6</v>
          </cell>
          <cell r="AR93">
            <v>55.1</v>
          </cell>
          <cell r="AS93">
            <v>97.7</v>
          </cell>
          <cell r="AW93">
            <v>0</v>
          </cell>
          <cell r="AY93">
            <v>76.500000000000114</v>
          </cell>
          <cell r="AZ93">
            <v>163.50000000000003</v>
          </cell>
          <cell r="BA93">
            <v>240.00000000000014</v>
          </cell>
          <cell r="BC93">
            <v>1401.4</v>
          </cell>
          <cell r="BD93">
            <v>593.4</v>
          </cell>
          <cell r="BE93">
            <v>1994.8000000000002</v>
          </cell>
          <cell r="BK93">
            <v>0</v>
          </cell>
          <cell r="BL93">
            <v>0</v>
          </cell>
          <cell r="BM93">
            <v>0</v>
          </cell>
          <cell r="BO93">
            <v>1401.4</v>
          </cell>
          <cell r="BP93">
            <v>593.4</v>
          </cell>
          <cell r="BQ93">
            <v>1994.8000000000002</v>
          </cell>
          <cell r="BS93" t="str">
            <v xml:space="preserve"> 3Q</v>
          </cell>
          <cell r="BT93">
            <v>71.599999999999994</v>
          </cell>
          <cell r="BU93">
            <v>140.30000000000001</v>
          </cell>
          <cell r="BV93">
            <v>211.9</v>
          </cell>
          <cell r="BX93">
            <v>83.4</v>
          </cell>
          <cell r="BY93">
            <v>32</v>
          </cell>
          <cell r="BZ93">
            <v>115.4</v>
          </cell>
          <cell r="CB93">
            <v>21.8</v>
          </cell>
          <cell r="CC93">
            <v>30</v>
          </cell>
          <cell r="CD93">
            <v>51.8</v>
          </cell>
          <cell r="CF93">
            <v>34.4</v>
          </cell>
          <cell r="CG93">
            <v>1.5</v>
          </cell>
          <cell r="CH93">
            <v>35.9</v>
          </cell>
          <cell r="CJ93">
            <v>34.9</v>
          </cell>
          <cell r="CK93">
            <v>6.8</v>
          </cell>
          <cell r="CL93">
            <v>41.699999999999996</v>
          </cell>
          <cell r="CN93" t="str">
            <v>NM</v>
          </cell>
          <cell r="CO93" t="str">
            <v>NM</v>
          </cell>
          <cell r="CP93" t="str">
            <v>NM</v>
          </cell>
          <cell r="CR93">
            <v>17.8</v>
          </cell>
          <cell r="CS93">
            <v>1.9</v>
          </cell>
          <cell r="CT93">
            <v>19.7</v>
          </cell>
          <cell r="CV93" t="str">
            <v xml:space="preserve"> 3Q</v>
          </cell>
          <cell r="CX93">
            <v>20.9</v>
          </cell>
          <cell r="CY93">
            <v>7.2</v>
          </cell>
          <cell r="CZ93">
            <v>28.099999999999998</v>
          </cell>
          <cell r="DB93">
            <v>21.2</v>
          </cell>
          <cell r="DC93">
            <v>0.7</v>
          </cell>
          <cell r="DD93">
            <v>21.9</v>
          </cell>
          <cell r="DF93" t="str">
            <v>NM</v>
          </cell>
          <cell r="DG93" t="str">
            <v>NM</v>
          </cell>
          <cell r="DH93" t="str">
            <v>NM</v>
          </cell>
          <cell r="DJ93">
            <v>121.40000000000003</v>
          </cell>
          <cell r="DK93">
            <v>113.5</v>
          </cell>
          <cell r="DL93">
            <v>234.90000000000003</v>
          </cell>
          <cell r="DN93">
            <v>427.4</v>
          </cell>
          <cell r="DO93">
            <v>333.9</v>
          </cell>
          <cell r="DP93">
            <v>761.3</v>
          </cell>
          <cell r="DR93" t="str">
            <v xml:space="preserve"> 3Q</v>
          </cell>
          <cell r="DS93">
            <v>40.1</v>
          </cell>
          <cell r="DT93">
            <v>89.7</v>
          </cell>
          <cell r="DU93">
            <v>129.80000000000001</v>
          </cell>
          <cell r="DW93">
            <v>33.6</v>
          </cell>
          <cell r="DX93">
            <v>42.7</v>
          </cell>
          <cell r="DY93">
            <v>76.300000000000011</v>
          </cell>
          <cell r="EA93">
            <v>4.2</v>
          </cell>
          <cell r="EB93">
            <v>42.2</v>
          </cell>
          <cell r="EC93">
            <v>46.400000000000006</v>
          </cell>
          <cell r="EE93">
            <v>4.9000000000000004</v>
          </cell>
          <cell r="EF93">
            <v>30</v>
          </cell>
          <cell r="EG93">
            <v>34.9</v>
          </cell>
          <cell r="EI93">
            <v>28.1</v>
          </cell>
          <cell r="EJ93">
            <v>2.6</v>
          </cell>
          <cell r="EK93">
            <v>30.700000000000003</v>
          </cell>
          <cell r="EM93" t="str">
            <v xml:space="preserve"> 3Q</v>
          </cell>
          <cell r="EN93">
            <v>11.2</v>
          </cell>
          <cell r="EO93">
            <v>9.3000000000000007</v>
          </cell>
          <cell r="EP93">
            <v>20.5</v>
          </cell>
          <cell r="ER93">
            <v>26.2</v>
          </cell>
          <cell r="ES93">
            <v>12.3</v>
          </cell>
          <cell r="ET93">
            <v>38.5</v>
          </cell>
          <cell r="EV93">
            <v>0.7</v>
          </cell>
          <cell r="EW93">
            <v>27.8</v>
          </cell>
          <cell r="EX93">
            <v>28.5</v>
          </cell>
          <cell r="EZ93">
            <v>20.000000000000028</v>
          </cell>
          <cell r="FA93">
            <v>55.899999999999963</v>
          </cell>
          <cell r="FB93">
            <v>75.899999999999991</v>
          </cell>
          <cell r="FD93">
            <v>169</v>
          </cell>
          <cell r="FE93">
            <v>312.5</v>
          </cell>
          <cell r="FF93">
            <v>481.5</v>
          </cell>
          <cell r="FH93">
            <v>1997.8000000000002</v>
          </cell>
          <cell r="FI93">
            <v>1239.8</v>
          </cell>
          <cell r="FJ93">
            <v>3237.6000000000004</v>
          </cell>
        </row>
        <row r="94">
          <cell r="A94" t="str">
            <v xml:space="preserve"> 4Q</v>
          </cell>
          <cell r="B94">
            <v>808.7</v>
          </cell>
          <cell r="C94">
            <v>305.5</v>
          </cell>
          <cell r="D94">
            <v>1114.2</v>
          </cell>
          <cell r="F94">
            <v>134.80000000000001</v>
          </cell>
          <cell r="G94">
            <v>0.7</v>
          </cell>
          <cell r="H94">
            <v>135.5</v>
          </cell>
          <cell r="J94">
            <v>74.2</v>
          </cell>
          <cell r="K94">
            <v>61.9</v>
          </cell>
          <cell r="L94">
            <v>136.1</v>
          </cell>
          <cell r="N94" t="str">
            <v>NM</v>
          </cell>
          <cell r="O94" t="str">
            <v>NM</v>
          </cell>
          <cell r="P94" t="str">
            <v>NM</v>
          </cell>
          <cell r="R94">
            <v>51</v>
          </cell>
          <cell r="S94">
            <v>10.5</v>
          </cell>
          <cell r="T94">
            <v>61.5</v>
          </cell>
          <cell r="V94">
            <v>258.5</v>
          </cell>
          <cell r="W94">
            <v>35.6</v>
          </cell>
          <cell r="X94">
            <v>294.10000000000002</v>
          </cell>
          <cell r="Z94">
            <v>107</v>
          </cell>
          <cell r="AA94">
            <v>16</v>
          </cell>
          <cell r="AB94">
            <v>123</v>
          </cell>
          <cell r="AD94" t="str">
            <v>NM</v>
          </cell>
          <cell r="AE94" t="str">
            <v>NM</v>
          </cell>
          <cell r="AF94" t="str">
            <v>NM</v>
          </cell>
          <cell r="AH94" t="str">
            <v xml:space="preserve"> 4Q</v>
          </cell>
          <cell r="AI94" t="str">
            <v>NM</v>
          </cell>
          <cell r="AJ94" t="str">
            <v>NM</v>
          </cell>
          <cell r="AK94" t="str">
            <v>NM</v>
          </cell>
          <cell r="AM94" t="str">
            <v>NM</v>
          </cell>
          <cell r="AN94" t="str">
            <v>NM</v>
          </cell>
          <cell r="AO94" t="str">
            <v>NM</v>
          </cell>
          <cell r="AQ94">
            <v>43.5</v>
          </cell>
          <cell r="AR94">
            <v>57.5</v>
          </cell>
          <cell r="AS94">
            <v>101</v>
          </cell>
          <cell r="AU94">
            <v>2</v>
          </cell>
          <cell r="AV94">
            <v>0</v>
          </cell>
          <cell r="AW94">
            <v>2</v>
          </cell>
          <cell r="AY94">
            <v>87</v>
          </cell>
          <cell r="AZ94">
            <v>185.3</v>
          </cell>
          <cell r="BA94">
            <v>272.3</v>
          </cell>
          <cell r="BC94">
            <v>1566.7</v>
          </cell>
          <cell r="BD94">
            <v>673</v>
          </cell>
          <cell r="BE94">
            <v>2239.6999999999998</v>
          </cell>
          <cell r="BK94">
            <v>0</v>
          </cell>
          <cell r="BL94">
            <v>0</v>
          </cell>
          <cell r="BM94">
            <v>0</v>
          </cell>
          <cell r="BO94">
            <v>1566.7</v>
          </cell>
          <cell r="BP94">
            <v>673</v>
          </cell>
          <cell r="BQ94">
            <v>2239.6999999999998</v>
          </cell>
          <cell r="BS94" t="str">
            <v xml:space="preserve"> 4Q</v>
          </cell>
          <cell r="BT94">
            <v>56.5</v>
          </cell>
          <cell r="BU94">
            <v>144.5</v>
          </cell>
          <cell r="BV94">
            <v>201</v>
          </cell>
          <cell r="BX94">
            <v>100</v>
          </cell>
          <cell r="BY94">
            <v>31.2</v>
          </cell>
          <cell r="BZ94">
            <v>131.19999999999999</v>
          </cell>
          <cell r="CB94">
            <v>20.5</v>
          </cell>
          <cell r="CC94">
            <v>30.3</v>
          </cell>
          <cell r="CD94">
            <v>50.8</v>
          </cell>
          <cell r="CF94">
            <v>41.3</v>
          </cell>
          <cell r="CG94">
            <v>1.6</v>
          </cell>
          <cell r="CH94">
            <v>42.9</v>
          </cell>
          <cell r="CJ94">
            <v>46.7</v>
          </cell>
          <cell r="CK94">
            <v>6.8</v>
          </cell>
          <cell r="CL94">
            <v>53.5</v>
          </cell>
          <cell r="CN94" t="str">
            <v>NM</v>
          </cell>
          <cell r="CO94" t="str">
            <v>NM</v>
          </cell>
          <cell r="CP94" t="str">
            <v>NM</v>
          </cell>
          <cell r="CR94">
            <v>16.8</v>
          </cell>
          <cell r="CS94">
            <v>2</v>
          </cell>
          <cell r="CT94">
            <v>18.8</v>
          </cell>
          <cell r="CV94" t="str">
            <v xml:space="preserve"> 4Q</v>
          </cell>
          <cell r="CX94">
            <v>29.4</v>
          </cell>
          <cell r="CY94">
            <v>7.6</v>
          </cell>
          <cell r="CZ94">
            <v>37</v>
          </cell>
          <cell r="DB94">
            <v>17</v>
          </cell>
          <cell r="DC94">
            <v>0.9</v>
          </cell>
          <cell r="DD94">
            <v>17.899999999999999</v>
          </cell>
          <cell r="DF94" t="str">
            <v>NM</v>
          </cell>
          <cell r="DG94" t="str">
            <v>NM</v>
          </cell>
          <cell r="DH94" t="str">
            <v>NM</v>
          </cell>
          <cell r="DJ94">
            <v>100.5</v>
          </cell>
          <cell r="DK94">
            <v>114.69999999999999</v>
          </cell>
          <cell r="DL94">
            <v>215.2</v>
          </cell>
          <cell r="DN94">
            <v>428.7</v>
          </cell>
          <cell r="DO94">
            <v>339.6</v>
          </cell>
          <cell r="DP94">
            <v>768.3</v>
          </cell>
          <cell r="DR94" t="str">
            <v xml:space="preserve"> 4Q</v>
          </cell>
          <cell r="DS94">
            <v>78.3</v>
          </cell>
          <cell r="DT94">
            <v>96.6</v>
          </cell>
          <cell r="DU94">
            <v>174.89999999999998</v>
          </cell>
          <cell r="DW94">
            <v>43.4</v>
          </cell>
          <cell r="DX94">
            <v>46</v>
          </cell>
          <cell r="DY94">
            <v>89.4</v>
          </cell>
          <cell r="EA94">
            <v>4.5999999999999996</v>
          </cell>
          <cell r="EB94">
            <v>44.4</v>
          </cell>
          <cell r="EC94">
            <v>49</v>
          </cell>
          <cell r="EE94">
            <v>3.8</v>
          </cell>
          <cell r="EF94">
            <v>26.2</v>
          </cell>
          <cell r="EG94">
            <v>30</v>
          </cell>
          <cell r="EI94">
            <v>29.8</v>
          </cell>
          <cell r="EJ94">
            <v>2.8</v>
          </cell>
          <cell r="EK94">
            <v>32.6</v>
          </cell>
          <cell r="EM94" t="str">
            <v xml:space="preserve"> 4Q</v>
          </cell>
          <cell r="EN94">
            <v>11.7</v>
          </cell>
          <cell r="EO94">
            <v>10.199999999999999</v>
          </cell>
          <cell r="EP94">
            <v>21.9</v>
          </cell>
          <cell r="ER94">
            <v>29.3</v>
          </cell>
          <cell r="ES94">
            <v>14.9</v>
          </cell>
          <cell r="ET94">
            <v>44.2</v>
          </cell>
          <cell r="EV94">
            <v>0.4</v>
          </cell>
          <cell r="EW94">
            <v>25.9</v>
          </cell>
          <cell r="EX94">
            <v>26.299999999999997</v>
          </cell>
          <cell r="EZ94">
            <v>4.6999999999999744</v>
          </cell>
          <cell r="FA94">
            <v>53.700000000000045</v>
          </cell>
          <cell r="FB94">
            <v>58.40000000000002</v>
          </cell>
          <cell r="FD94">
            <v>206</v>
          </cell>
          <cell r="FE94">
            <v>320.7</v>
          </cell>
          <cell r="FF94">
            <v>526.70000000000005</v>
          </cell>
          <cell r="FH94">
            <v>2201.4</v>
          </cell>
          <cell r="FI94">
            <v>1333.3</v>
          </cell>
          <cell r="FJ94">
            <v>3534.7</v>
          </cell>
        </row>
        <row r="96">
          <cell r="A96" t="str">
            <v>Year</v>
          </cell>
          <cell r="B96">
            <v>2713.2</v>
          </cell>
          <cell r="C96">
            <v>1019.2</v>
          </cell>
          <cell r="D96">
            <v>3732.3999999999996</v>
          </cell>
          <cell r="F96">
            <v>622.4</v>
          </cell>
          <cell r="G96">
            <v>2.5</v>
          </cell>
          <cell r="H96">
            <v>624.9</v>
          </cell>
          <cell r="J96">
            <v>259.89999999999998</v>
          </cell>
          <cell r="K96">
            <v>253.6</v>
          </cell>
          <cell r="L96">
            <v>513.5</v>
          </cell>
          <cell r="N96" t="str">
            <v>NM</v>
          </cell>
          <cell r="O96" t="str">
            <v>NM</v>
          </cell>
          <cell r="P96" t="str">
            <v>NM</v>
          </cell>
          <cell r="R96">
            <v>201.5</v>
          </cell>
          <cell r="S96">
            <v>37.9</v>
          </cell>
          <cell r="T96">
            <v>239.4</v>
          </cell>
          <cell r="V96">
            <v>795.8</v>
          </cell>
          <cell r="W96">
            <v>117</v>
          </cell>
          <cell r="X96">
            <v>912.80000000000007</v>
          </cell>
          <cell r="Z96">
            <v>422.1</v>
          </cell>
          <cell r="AA96">
            <v>107.5</v>
          </cell>
          <cell r="AB96">
            <v>529.6</v>
          </cell>
          <cell r="AD96" t="str">
            <v>NM</v>
          </cell>
          <cell r="AE96" t="str">
            <v>NM</v>
          </cell>
          <cell r="AF96" t="str">
            <v>NM</v>
          </cell>
          <cell r="AH96" t="str">
            <v>Year</v>
          </cell>
          <cell r="AI96" t="str">
            <v>NM</v>
          </cell>
          <cell r="AJ96" t="str">
            <v>NM</v>
          </cell>
          <cell r="AK96" t="str">
            <v>NM</v>
          </cell>
          <cell r="AM96" t="str">
            <v>NM</v>
          </cell>
          <cell r="AN96" t="str">
            <v>NM</v>
          </cell>
          <cell r="AO96" t="str">
            <v>NM</v>
          </cell>
          <cell r="AQ96">
            <v>167.4</v>
          </cell>
          <cell r="AR96">
            <v>224</v>
          </cell>
          <cell r="AS96">
            <v>391.4</v>
          </cell>
          <cell r="AU96">
            <v>2</v>
          </cell>
          <cell r="AV96">
            <v>0</v>
          </cell>
          <cell r="AW96">
            <v>2</v>
          </cell>
          <cell r="AY96">
            <v>302.20000000000027</v>
          </cell>
          <cell r="AZ96">
            <v>734.10000000000014</v>
          </cell>
          <cell r="BA96">
            <v>1036.3000000000004</v>
          </cell>
          <cell r="BC96">
            <v>5486.5</v>
          </cell>
          <cell r="BD96">
            <v>2495.8000000000002</v>
          </cell>
          <cell r="BE96">
            <v>7982.3</v>
          </cell>
          <cell r="BK96">
            <v>0</v>
          </cell>
          <cell r="BL96">
            <v>0</v>
          </cell>
          <cell r="BM96">
            <v>0</v>
          </cell>
          <cell r="BO96">
            <v>5486.5</v>
          </cell>
          <cell r="BP96">
            <v>2495.8000000000002</v>
          </cell>
          <cell r="BQ96">
            <v>7982.3</v>
          </cell>
          <cell r="BS96" t="str">
            <v>Year</v>
          </cell>
          <cell r="BT96">
            <v>239</v>
          </cell>
          <cell r="BU96">
            <v>553.09999999999991</v>
          </cell>
          <cell r="BV96">
            <v>792.09999999999991</v>
          </cell>
          <cell r="BX96">
            <v>367.4</v>
          </cell>
          <cell r="BY96">
            <v>119.4</v>
          </cell>
          <cell r="BZ96">
            <v>486.8</v>
          </cell>
          <cell r="CB96">
            <v>82.8</v>
          </cell>
          <cell r="CC96">
            <v>120.2</v>
          </cell>
          <cell r="CD96">
            <v>203</v>
          </cell>
          <cell r="CF96">
            <v>160.69999999999999</v>
          </cell>
          <cell r="CG96">
            <v>6.1</v>
          </cell>
          <cell r="CH96">
            <v>166.8</v>
          </cell>
          <cell r="CJ96">
            <v>145.19999999999999</v>
          </cell>
          <cell r="CK96">
            <v>26.3</v>
          </cell>
          <cell r="CL96">
            <v>171.5</v>
          </cell>
          <cell r="CN96" t="str">
            <v>NM</v>
          </cell>
          <cell r="CO96" t="str">
            <v>NM</v>
          </cell>
          <cell r="CP96" t="str">
            <v>NM</v>
          </cell>
          <cell r="CR96">
            <v>67.099999999999994</v>
          </cell>
          <cell r="CS96">
            <v>7.6</v>
          </cell>
          <cell r="CT96">
            <v>74.7</v>
          </cell>
          <cell r="CV96" t="str">
            <v>Year</v>
          </cell>
          <cell r="CX96">
            <v>101.19999999999999</v>
          </cell>
          <cell r="CY96">
            <v>30.1</v>
          </cell>
          <cell r="CZ96">
            <v>131.30000000000001</v>
          </cell>
          <cell r="DB96">
            <v>81.400000000000006</v>
          </cell>
          <cell r="DC96">
            <v>4.8000000000000007</v>
          </cell>
          <cell r="DD96">
            <v>86.199999999999989</v>
          </cell>
          <cell r="DF96" t="str">
            <v>NM</v>
          </cell>
          <cell r="DG96" t="str">
            <v>NM</v>
          </cell>
          <cell r="DH96" t="str">
            <v>NM</v>
          </cell>
          <cell r="DJ96">
            <v>437.40000000000003</v>
          </cell>
          <cell r="DK96">
            <v>446.1</v>
          </cell>
          <cell r="DL96">
            <v>883.5</v>
          </cell>
          <cell r="DN96">
            <v>1682.2</v>
          </cell>
          <cell r="DO96">
            <v>1313.7</v>
          </cell>
          <cell r="DP96">
            <v>2995.8999999999996</v>
          </cell>
          <cell r="DR96" t="str">
            <v>Year</v>
          </cell>
          <cell r="DS96">
            <v>169.89999999999998</v>
          </cell>
          <cell r="DT96">
            <v>361.4</v>
          </cell>
          <cell r="DU96">
            <v>531.29999999999995</v>
          </cell>
          <cell r="DW96">
            <v>159.70000000000002</v>
          </cell>
          <cell r="DX96">
            <v>180.8</v>
          </cell>
          <cell r="DY96">
            <v>340.5</v>
          </cell>
          <cell r="EA96">
            <v>18.200000000000003</v>
          </cell>
          <cell r="EB96">
            <v>174.50000000000003</v>
          </cell>
          <cell r="EC96">
            <v>192.70000000000002</v>
          </cell>
          <cell r="EE96">
            <v>17.599999999999998</v>
          </cell>
          <cell r="EF96">
            <v>120.3</v>
          </cell>
          <cell r="EG96">
            <v>137.9</v>
          </cell>
          <cell r="EI96">
            <v>115.60000000000001</v>
          </cell>
          <cell r="EJ96">
            <v>11.100000000000001</v>
          </cell>
          <cell r="EK96">
            <v>126.69999999999999</v>
          </cell>
          <cell r="EM96" t="str">
            <v>Year</v>
          </cell>
          <cell r="EN96">
            <v>52.5</v>
          </cell>
          <cell r="EO96">
            <v>38.5</v>
          </cell>
          <cell r="EP96">
            <v>91</v>
          </cell>
          <cell r="ER96">
            <v>105.1</v>
          </cell>
          <cell r="ES96">
            <v>52.9</v>
          </cell>
          <cell r="ET96">
            <v>158</v>
          </cell>
          <cell r="EV96">
            <v>2.2999999999999998</v>
          </cell>
          <cell r="EW96">
            <v>113.69999999999999</v>
          </cell>
          <cell r="EX96">
            <v>116</v>
          </cell>
          <cell r="EZ96">
            <v>53.200000000000017</v>
          </cell>
          <cell r="FA96">
            <v>203.89999999999998</v>
          </cell>
          <cell r="FB96">
            <v>257.09999999999997</v>
          </cell>
          <cell r="FD96">
            <v>694.1</v>
          </cell>
          <cell r="FE96">
            <v>1257.1000000000001</v>
          </cell>
          <cell r="FF96">
            <v>1951.2</v>
          </cell>
          <cell r="FH96">
            <v>7862.8000000000011</v>
          </cell>
          <cell r="FI96">
            <v>5066.6000000000004</v>
          </cell>
          <cell r="FJ96">
            <v>12929.400000000001</v>
          </cell>
        </row>
        <row r="98">
          <cell r="A98" t="str">
            <v>2000E/99</v>
          </cell>
          <cell r="AH98" t="str">
            <v>2000E/99</v>
          </cell>
          <cell r="BS98" t="str">
            <v>2000E/99</v>
          </cell>
          <cell r="CV98" t="str">
            <v>2000E/99</v>
          </cell>
          <cell r="DR98" t="str">
            <v>2000E/99</v>
          </cell>
          <cell r="EM98" t="str">
            <v>2000E/99</v>
          </cell>
        </row>
        <row r="99">
          <cell r="A99" t="str">
            <v xml:space="preserve"> 1QA</v>
          </cell>
          <cell r="B99">
            <v>0.49502720960780655</v>
          </cell>
          <cell r="C99">
            <v>0.37723726480036723</v>
          </cell>
          <cell r="D99">
            <v>0.46084176877996841</v>
          </cell>
          <cell r="F99">
            <v>-0.43984757757212845</v>
          </cell>
          <cell r="G99">
            <v>0.25</v>
          </cell>
          <cell r="H99">
            <v>-0.43834872351982612</v>
          </cell>
          <cell r="J99">
            <v>0.35852713178294549</v>
          </cell>
          <cell r="K99">
            <v>-7.906976744186045E-2</v>
          </cell>
          <cell r="L99">
            <v>0.1154177433247201</v>
          </cell>
          <cell r="R99">
            <v>-0.14086956521739136</v>
          </cell>
          <cell r="S99">
            <v>4.7619047619047672E-2</v>
          </cell>
          <cell r="T99">
            <v>-0.11684370257966614</v>
          </cell>
          <cell r="V99">
            <v>0.74736147757255922</v>
          </cell>
          <cell r="W99">
            <v>0.49173553719008267</v>
          </cell>
          <cell r="X99">
            <v>0.71217292377701957</v>
          </cell>
          <cell r="Z99">
            <v>-9.1071428571428581E-2</v>
          </cell>
          <cell r="AA99">
            <v>-0.7382352941176471</v>
          </cell>
          <cell r="AB99">
            <v>-0.24178082191780825</v>
          </cell>
          <cell r="AH99" t="str">
            <v xml:space="preserve"> 1QA</v>
          </cell>
          <cell r="AQ99">
            <v>8.1632653061224358E-2</v>
          </cell>
          <cell r="AR99">
            <v>8.7198515769944418E-2</v>
          </cell>
          <cell r="AS99">
            <v>8.4854994629430802E-2</v>
          </cell>
          <cell r="AY99">
            <v>0.14304635761589513</v>
          </cell>
          <cell r="AZ99">
            <v>-0.15130606209955666</v>
          </cell>
          <cell r="BA99">
            <v>-7.147988505747116E-2</v>
          </cell>
          <cell r="BC99">
            <v>0.25789036544850497</v>
          </cell>
          <cell r="BD99">
            <v>6.3345430550973303E-2</v>
          </cell>
          <cell r="BE99">
            <v>0.19274113357640021</v>
          </cell>
          <cell r="BK99" t="str">
            <v>NA</v>
          </cell>
          <cell r="BL99" t="str">
            <v>NA</v>
          </cell>
          <cell r="BM99" t="str">
            <v>NA</v>
          </cell>
          <cell r="BO99">
            <v>0.25789036544850497</v>
          </cell>
          <cell r="BP99">
            <v>6.3345430550973303E-2</v>
          </cell>
          <cell r="BQ99">
            <v>0.19274113357640021</v>
          </cell>
          <cell r="BS99" t="str">
            <v xml:space="preserve"> 1QA</v>
          </cell>
          <cell r="BT99">
            <v>-2.6515151515151492E-2</v>
          </cell>
          <cell r="BU99">
            <v>1.2112036336108911E-2</v>
          </cell>
          <cell r="BV99">
            <v>1.0816657652785722E-3</v>
          </cell>
          <cell r="BX99">
            <v>-5.0495049504950429E-2</v>
          </cell>
          <cell r="BY99">
            <v>0.22761194029850729</v>
          </cell>
          <cell r="BZ99">
            <v>7.8247261345854024E-3</v>
          </cell>
          <cell r="CB99">
            <v>5.0761421319796884E-2</v>
          </cell>
          <cell r="CC99">
            <v>0</v>
          </cell>
          <cell r="CD99">
            <v>1.9920318725099584E-2</v>
          </cell>
          <cell r="CF99">
            <v>-0.26876513317191275</v>
          </cell>
          <cell r="CG99" t="str">
            <v>NA</v>
          </cell>
          <cell r="CH99">
            <v>-0.23002421307506049</v>
          </cell>
          <cell r="CJ99">
            <v>8.9238845144356871E-2</v>
          </cell>
          <cell r="CK99">
            <v>-3.2786885245901565E-2</v>
          </cell>
          <cell r="CL99">
            <v>7.2398190045248834E-2</v>
          </cell>
          <cell r="CR99">
            <v>0.11464968152866239</v>
          </cell>
          <cell r="CS99" t="str">
            <v>NA</v>
          </cell>
          <cell r="CT99">
            <v>0.22929936305732501</v>
          </cell>
          <cell r="CV99" t="str">
            <v xml:space="preserve"> 1QA</v>
          </cell>
          <cell r="CX99">
            <v>-5.4744525547445244E-2</v>
          </cell>
          <cell r="CY99">
            <v>1.298701298701288E-2</v>
          </cell>
          <cell r="CZ99">
            <v>-3.9886039886040003E-2</v>
          </cell>
          <cell r="DB99">
            <v>0.17391304347826098</v>
          </cell>
          <cell r="DC99">
            <v>0</v>
          </cell>
          <cell r="DD99">
            <v>0.16326530612244916</v>
          </cell>
          <cell r="DJ99">
            <v>9.5238095238095344E-2</v>
          </cell>
          <cell r="DK99">
            <v>8.6058519793459354E-3</v>
          </cell>
          <cell r="DL99">
            <v>4.8847926267280961E-2</v>
          </cell>
          <cell r="DN99">
            <v>-2.4084778420030428E-4</v>
          </cell>
          <cell r="DO99">
            <v>3.7429819089207728E-2</v>
          </cell>
          <cell r="DP99">
            <v>1.6172873063332593E-2</v>
          </cell>
          <cell r="DR99" t="str">
            <v xml:space="preserve"> 1QA</v>
          </cell>
          <cell r="DS99">
            <v>0.12671232876712324</v>
          </cell>
          <cell r="DT99">
            <v>0.11160714285714279</v>
          </cell>
          <cell r="DU99">
            <v>0.11531986531986527</v>
          </cell>
          <cell r="DW99">
            <v>0.15649867374005311</v>
          </cell>
          <cell r="DX99">
            <v>0.13348946135831374</v>
          </cell>
          <cell r="DY99">
            <v>0.14427860696517403</v>
          </cell>
          <cell r="EA99">
            <v>-0.21276595744680848</v>
          </cell>
          <cell r="EB99">
            <v>2.0501138952163878E-2</v>
          </cell>
          <cell r="EC99">
            <v>-2.057613168724326E-3</v>
          </cell>
          <cell r="EE99">
            <v>0.13043478260869579</v>
          </cell>
          <cell r="EF99">
            <v>-0.12103746397694537</v>
          </cell>
          <cell r="EG99">
            <v>-9.1603053435114545E-2</v>
          </cell>
          <cell r="EI99">
            <v>-0.37410071942446055</v>
          </cell>
          <cell r="EJ99">
            <v>-0.18518518518518512</v>
          </cell>
          <cell r="EK99">
            <v>-0.35737704918032798</v>
          </cell>
          <cell r="EM99" t="str">
            <v xml:space="preserve"> 1QA</v>
          </cell>
          <cell r="EN99">
            <v>-4.4776119402985093E-2</v>
          </cell>
          <cell r="EO99">
            <v>-1.1111111111111072E-2</v>
          </cell>
          <cell r="EP99">
            <v>-3.1249999999999778E-2</v>
          </cell>
          <cell r="ER99">
            <v>0.27555555555555555</v>
          </cell>
          <cell r="ES99">
            <v>0.2100840336134453</v>
          </cell>
          <cell r="ET99">
            <v>0.25290697674418605</v>
          </cell>
          <cell r="EV99">
            <v>0.33333333333333348</v>
          </cell>
          <cell r="EW99">
            <v>9.5238095238095344E-2</v>
          </cell>
          <cell r="EX99">
            <v>0.10000000000000009</v>
          </cell>
          <cell r="EZ99">
            <v>0.17142857142857193</v>
          </cell>
          <cell r="FA99">
            <v>0.37380952380952492</v>
          </cell>
          <cell r="FB99">
            <v>0.32321428571428656</v>
          </cell>
          <cell r="FD99">
            <v>4.5307443365695699E-2</v>
          </cell>
          <cell r="FE99">
            <v>0.10722458319712302</v>
          </cell>
          <cell r="FF99">
            <v>8.6446568201563823E-2</v>
          </cell>
          <cell r="FH99">
            <v>0.17894796188757955</v>
          </cell>
          <cell r="FI99">
            <v>6.7494118601443942E-2</v>
          </cell>
          <cell r="FJ99">
            <v>0.13324906865353903</v>
          </cell>
        </row>
        <row r="100">
          <cell r="A100" t="str">
            <v xml:space="preserve"> 2QE</v>
          </cell>
          <cell r="B100">
            <v>0.35</v>
          </cell>
          <cell r="C100">
            <v>0.53</v>
          </cell>
          <cell r="D100">
            <v>0.39965797494073829</v>
          </cell>
          <cell r="F100" t="str">
            <v>NM</v>
          </cell>
          <cell r="G100">
            <v>0</v>
          </cell>
          <cell r="H100">
            <v>-1</v>
          </cell>
          <cell r="J100">
            <v>0.15</v>
          </cell>
          <cell r="K100">
            <v>0.04</v>
          </cell>
          <cell r="L100">
            <v>9.3304347826086875E-2</v>
          </cell>
          <cell r="R100">
            <v>-0.2</v>
          </cell>
          <cell r="S100">
            <v>0.03</v>
          </cell>
          <cell r="T100">
            <v>-0.15903525046382194</v>
          </cell>
          <cell r="V100">
            <v>0.53</v>
          </cell>
          <cell r="W100">
            <v>0.4</v>
          </cell>
          <cell r="X100">
            <v>0.51252789907811724</v>
          </cell>
          <cell r="Z100">
            <v>0.05</v>
          </cell>
          <cell r="AA100">
            <v>0.15</v>
          </cell>
          <cell r="AB100">
            <v>7.4024226110363411E-2</v>
          </cell>
          <cell r="AH100" t="str">
            <v xml:space="preserve"> 2QE</v>
          </cell>
          <cell r="AQ100">
            <v>0.05</v>
          </cell>
          <cell r="AR100">
            <v>0.03</v>
          </cell>
          <cell r="AS100">
            <v>3.84538152610443E-2</v>
          </cell>
          <cell r="AY100">
            <v>0.12</v>
          </cell>
          <cell r="AZ100">
            <v>3.5000000000000003E-2</v>
          </cell>
          <cell r="BA100">
            <v>5.6872964169381257E-2</v>
          </cell>
          <cell r="BC100">
            <v>0.12480675593426671</v>
          </cell>
          <cell r="BD100">
            <v>0.25075738125802305</v>
          </cell>
          <cell r="BE100">
            <v>0.1653168868703554</v>
          </cell>
          <cell r="BK100" t="str">
            <v>NA</v>
          </cell>
          <cell r="BL100" t="str">
            <v>NA</v>
          </cell>
          <cell r="BM100" t="str">
            <v>NA</v>
          </cell>
          <cell r="BO100">
            <v>0.12480675593426671</v>
          </cell>
          <cell r="BP100">
            <v>0.25075738125802305</v>
          </cell>
          <cell r="BQ100">
            <v>0.1653168868703554</v>
          </cell>
          <cell r="BS100" t="str">
            <v xml:space="preserve"> 2QE</v>
          </cell>
          <cell r="BT100">
            <v>0.05</v>
          </cell>
          <cell r="BU100">
            <v>0.06</v>
          </cell>
          <cell r="BV100">
            <v>5.7009778692743263E-2</v>
          </cell>
          <cell r="BX100">
            <v>0.08</v>
          </cell>
          <cell r="BY100">
            <v>0.1</v>
          </cell>
          <cell r="BZ100">
            <v>8.5231316725978612E-2</v>
          </cell>
          <cell r="CB100">
            <v>0.05</v>
          </cell>
          <cell r="CC100">
            <v>0.05</v>
          </cell>
          <cell r="CD100">
            <v>5.0000000000000044E-2</v>
          </cell>
          <cell r="CF100">
            <v>0.05</v>
          </cell>
          <cell r="CG100">
            <v>0.06</v>
          </cell>
          <cell r="CH100">
            <v>5.0642398286937951E-2</v>
          </cell>
          <cell r="CJ100">
            <v>0.02</v>
          </cell>
          <cell r="CK100">
            <v>0</v>
          </cell>
          <cell r="CL100">
            <v>1.5887850467289688E-2</v>
          </cell>
          <cell r="CR100">
            <v>-0.03</v>
          </cell>
          <cell r="CS100">
            <v>0</v>
          </cell>
          <cell r="CT100">
            <v>-2.4585365853658558E-2</v>
          </cell>
          <cell r="CV100" t="str">
            <v xml:space="preserve"> 2QE</v>
          </cell>
          <cell r="CX100">
            <v>0.15</v>
          </cell>
          <cell r="CY100">
            <v>0.05</v>
          </cell>
          <cell r="CZ100">
            <v>0.12556270096463007</v>
          </cell>
          <cell r="DB100">
            <v>0.06</v>
          </cell>
          <cell r="DC100">
            <v>0</v>
          </cell>
          <cell r="DD100">
            <v>5.5522388059701555E-2</v>
          </cell>
          <cell r="DJ100">
            <v>0.06</v>
          </cell>
          <cell r="DK100">
            <v>0.05</v>
          </cell>
          <cell r="DL100">
            <v>5.5300369685767237E-2</v>
          </cell>
          <cell r="DN100">
            <v>6.0041372596738807E-2</v>
          </cell>
          <cell r="DO100">
            <v>5.7030663329161291E-2</v>
          </cell>
          <cell r="DP100">
            <v>5.8724161533196373E-2</v>
          </cell>
          <cell r="DR100" t="str">
            <v xml:space="preserve"> 2QE</v>
          </cell>
          <cell r="DS100">
            <v>0.05</v>
          </cell>
          <cell r="DT100">
            <v>0.06</v>
          </cell>
          <cell r="DU100">
            <v>5.7931354359926024E-2</v>
          </cell>
          <cell r="DW100">
            <v>7.0000000000000007E-2</v>
          </cell>
          <cell r="DX100">
            <v>0.05</v>
          </cell>
          <cell r="DY100">
            <v>5.953389830508482E-2</v>
          </cell>
          <cell r="EA100">
            <v>-0.01</v>
          </cell>
          <cell r="EB100">
            <v>0.03</v>
          </cell>
          <cell r="EC100">
            <v>2.6139630390143553E-2</v>
          </cell>
          <cell r="EE100">
            <v>0.05</v>
          </cell>
          <cell r="EF100">
            <v>0.08</v>
          </cell>
          <cell r="EG100">
            <v>7.6172106824925923E-2</v>
          </cell>
          <cell r="EI100">
            <v>-0.1</v>
          </cell>
          <cell r="EJ100">
            <v>-0.03</v>
          </cell>
          <cell r="EK100">
            <v>-9.3617021276595658E-2</v>
          </cell>
          <cell r="EM100" t="str">
            <v xml:space="preserve"> 2QE</v>
          </cell>
          <cell r="EN100">
            <v>0.03</v>
          </cell>
          <cell r="EO100">
            <v>0.03</v>
          </cell>
          <cell r="EP100">
            <v>3.0000000000000027E-2</v>
          </cell>
          <cell r="ER100">
            <v>0.2</v>
          </cell>
          <cell r="ES100">
            <v>-0.02</v>
          </cell>
          <cell r="ET100">
            <v>0.12577017114914413</v>
          </cell>
          <cell r="EV100">
            <v>0.26</v>
          </cell>
          <cell r="EW100">
            <v>0.08</v>
          </cell>
          <cell r="EX100">
            <v>8.3461538461538476E-2</v>
          </cell>
          <cell r="EZ100">
            <v>0</v>
          </cell>
          <cell r="FA100">
            <v>0.2</v>
          </cell>
          <cell r="FB100">
            <v>0.15658682634730514</v>
          </cell>
          <cell r="FD100">
            <v>4.5595382746051127E-2</v>
          </cell>
          <cell r="FE100">
            <v>7.5830188679245181E-2</v>
          </cell>
          <cell r="FF100">
            <v>6.551802735184431E-2</v>
          </cell>
          <cell r="FH100">
            <v>0.10382665749510567</v>
          </cell>
          <cell r="FI100">
            <v>0.15752934644670025</v>
          </cell>
          <cell r="FJ100">
            <v>0.12531659631193071</v>
          </cell>
        </row>
        <row r="101">
          <cell r="A101" t="str">
            <v xml:space="preserve"> 3QE</v>
          </cell>
          <cell r="B101">
            <v>0.28000000000000003</v>
          </cell>
          <cell r="C101">
            <v>0.65</v>
          </cell>
          <cell r="D101">
            <v>0.37477126846663267</v>
          </cell>
          <cell r="F101" t="str">
            <v>NM</v>
          </cell>
          <cell r="G101">
            <v>0</v>
          </cell>
          <cell r="H101">
            <v>-1</v>
          </cell>
          <cell r="J101">
            <v>7.0000000000000007E-2</v>
          </cell>
          <cell r="K101">
            <v>0.08</v>
          </cell>
          <cell r="L101">
            <v>7.459940652818986E-2</v>
          </cell>
          <cell r="R101">
            <v>-0.2</v>
          </cell>
          <cell r="S101">
            <v>0.02</v>
          </cell>
          <cell r="T101">
            <v>-0.164406196213425</v>
          </cell>
          <cell r="V101">
            <v>0.5</v>
          </cell>
          <cell r="W101">
            <v>0.4</v>
          </cell>
          <cell r="X101">
            <v>0.48754222972972983</v>
          </cell>
          <cell r="Z101">
            <v>0.05</v>
          </cell>
          <cell r="AA101">
            <v>0.15</v>
          </cell>
          <cell r="AB101">
            <v>6.9464285714285756E-2</v>
          </cell>
          <cell r="AH101" t="str">
            <v xml:space="preserve"> 3QE</v>
          </cell>
          <cell r="AQ101">
            <v>0.05</v>
          </cell>
          <cell r="AR101">
            <v>0.03</v>
          </cell>
          <cell r="AS101">
            <v>3.8720573183213869E-2</v>
          </cell>
          <cell r="AY101">
            <v>0.12</v>
          </cell>
          <cell r="AZ101">
            <v>0.03</v>
          </cell>
          <cell r="BA101">
            <v>5.8687500000000004E-2</v>
          </cell>
          <cell r="BC101">
            <v>0.13276295133437999</v>
          </cell>
          <cell r="BD101">
            <v>0.31932254802831173</v>
          </cell>
          <cell r="BE101">
            <v>0.18825947463404846</v>
          </cell>
          <cell r="BK101" t="str">
            <v>NA</v>
          </cell>
          <cell r="BL101" t="str">
            <v>NA</v>
          </cell>
          <cell r="BM101" t="str">
            <v>NA</v>
          </cell>
          <cell r="BO101">
            <v>0.13847152847152855</v>
          </cell>
          <cell r="BP101">
            <v>0.31932254802831173</v>
          </cell>
          <cell r="BQ101">
            <v>0.19226990174453573</v>
          </cell>
          <cell r="BS101" t="str">
            <v xml:space="preserve"> 3QE</v>
          </cell>
          <cell r="BT101">
            <v>0.05</v>
          </cell>
          <cell r="BU101">
            <v>0.06</v>
          </cell>
          <cell r="BV101">
            <v>5.6621047663992563E-2</v>
          </cell>
          <cell r="BX101">
            <v>0.08</v>
          </cell>
          <cell r="BY101">
            <v>0.1</v>
          </cell>
          <cell r="BZ101">
            <v>8.5545927209705441E-2</v>
          </cell>
          <cell r="CB101">
            <v>0.04</v>
          </cell>
          <cell r="CC101">
            <v>0.05</v>
          </cell>
          <cell r="CD101">
            <v>4.5791505791505704E-2</v>
          </cell>
          <cell r="CF101">
            <v>0.05</v>
          </cell>
          <cell r="CG101">
            <v>0.06</v>
          </cell>
          <cell r="CH101">
            <v>5.0417827298050222E-2</v>
          </cell>
          <cell r="CJ101">
            <v>0.02</v>
          </cell>
          <cell r="CK101">
            <v>0</v>
          </cell>
          <cell r="CL101">
            <v>1.6738609112709746E-2</v>
          </cell>
          <cell r="CR101">
            <v>-0.02</v>
          </cell>
          <cell r="CS101">
            <v>0</v>
          </cell>
          <cell r="CT101">
            <v>-1.8071065989847757E-2</v>
          </cell>
          <cell r="CV101" t="str">
            <v xml:space="preserve"> 3QE</v>
          </cell>
          <cell r="CX101">
            <v>0.1</v>
          </cell>
          <cell r="CY101">
            <v>0.05</v>
          </cell>
          <cell r="CZ101">
            <v>8.7188612099644347E-2</v>
          </cell>
          <cell r="DB101">
            <v>7.0000000000000007E-2</v>
          </cell>
          <cell r="DC101">
            <v>0</v>
          </cell>
          <cell r="DD101">
            <v>6.7762557077625685E-2</v>
          </cell>
          <cell r="DJ101">
            <v>0.06</v>
          </cell>
          <cell r="DK101">
            <v>0.05</v>
          </cell>
          <cell r="DL101">
            <v>5.5168156662409595E-2</v>
          </cell>
          <cell r="DN101">
            <v>5.6256434253626697E-2</v>
          </cell>
          <cell r="DO101">
            <v>5.7631027253668865E-2</v>
          </cell>
          <cell r="DP101">
            <v>5.6859319584920742E-2</v>
          </cell>
          <cell r="DR101" t="str">
            <v xml:space="preserve"> 3QE</v>
          </cell>
          <cell r="DS101">
            <v>0.05</v>
          </cell>
          <cell r="DT101">
            <v>0.06</v>
          </cell>
          <cell r="DU101">
            <v>5.6910631741140305E-2</v>
          </cell>
          <cell r="DW101">
            <v>0.13</v>
          </cell>
          <cell r="DX101">
            <v>0.05</v>
          </cell>
          <cell r="DY101">
            <v>8.5229357798164873E-2</v>
          </cell>
          <cell r="EA101">
            <v>-0.01</v>
          </cell>
          <cell r="EB101">
            <v>0.03</v>
          </cell>
          <cell r="EC101">
            <v>2.6379310344827545E-2</v>
          </cell>
          <cell r="EE101">
            <v>0.05</v>
          </cell>
          <cell r="EF101">
            <v>0.08</v>
          </cell>
          <cell r="EG101">
            <v>7.578796561604606E-2</v>
          </cell>
          <cell r="EI101">
            <v>0.05</v>
          </cell>
          <cell r="EJ101">
            <v>-0.03</v>
          </cell>
          <cell r="EK101">
            <v>4.3224755700325579E-2</v>
          </cell>
          <cell r="EM101" t="str">
            <v xml:space="preserve"> 3QE</v>
          </cell>
          <cell r="EN101">
            <v>0.03</v>
          </cell>
          <cell r="EO101">
            <v>0.03</v>
          </cell>
          <cell r="EP101">
            <v>3.0000000000000027E-2</v>
          </cell>
          <cell r="ER101">
            <v>0.2</v>
          </cell>
          <cell r="ES101">
            <v>-0.02</v>
          </cell>
          <cell r="ET101">
            <v>0.12971428571428567</v>
          </cell>
          <cell r="EV101">
            <v>0.26</v>
          </cell>
          <cell r="EW101">
            <v>0.08</v>
          </cell>
          <cell r="EX101">
            <v>8.4421052631579174E-2</v>
          </cell>
          <cell r="EZ101">
            <v>0</v>
          </cell>
          <cell r="FA101">
            <v>0.2</v>
          </cell>
          <cell r="FB101">
            <v>0.14729907773386031</v>
          </cell>
          <cell r="FD101">
            <v>8.1295857988165965E-2</v>
          </cell>
          <cell r="FE101">
            <v>7.8534400000000115E-2</v>
          </cell>
          <cell r="FF101">
            <v>7.9503634475597273E-2</v>
          </cell>
          <cell r="FH101">
            <v>0.11604615076584235</v>
          </cell>
          <cell r="FI101">
            <v>0.18815212130988912</v>
          </cell>
          <cell r="FJ101">
            <v>0.14365826538176441</v>
          </cell>
        </row>
        <row r="102">
          <cell r="A102" t="str">
            <v xml:space="preserve"> 4QE</v>
          </cell>
          <cell r="B102">
            <v>0.21697910226289108</v>
          </cell>
          <cell r="C102">
            <v>0.60693289689034469</v>
          </cell>
          <cell r="D102">
            <v>0.32389965894812445</v>
          </cell>
          <cell r="F102" t="str">
            <v>NM</v>
          </cell>
          <cell r="G102">
            <v>0</v>
          </cell>
          <cell r="H102">
            <v>-1</v>
          </cell>
          <cell r="J102">
            <v>4.8450134770889886E-2</v>
          </cell>
          <cell r="K102">
            <v>0.12400646203554122</v>
          </cell>
          <cell r="L102">
            <v>8.2814107274063575E-2</v>
          </cell>
          <cell r="R102">
            <v>-0.26666666666666661</v>
          </cell>
          <cell r="S102">
            <v>2.4857142857142467E-2</v>
          </cell>
          <cell r="T102">
            <v>-0.21689430894308936</v>
          </cell>
          <cell r="V102">
            <v>0.33422823984526029</v>
          </cell>
          <cell r="W102">
            <v>0.40567134831460705</v>
          </cell>
          <cell r="X102">
            <v>0.34287623257395361</v>
          </cell>
          <cell r="Z102">
            <v>0.1976635514018692</v>
          </cell>
          <cell r="AA102">
            <v>2.0374999999999992</v>
          </cell>
          <cell r="AB102">
            <v>0.43699186991869921</v>
          </cell>
          <cell r="AH102" t="str">
            <v xml:space="preserve"> 4QE</v>
          </cell>
          <cell r="AQ102">
            <v>2.149425287356288E-2</v>
          </cell>
          <cell r="AR102">
            <v>-2.3617391304347701E-2</v>
          </cell>
          <cell r="AS102">
            <v>-4.1881188118811918E-3</v>
          </cell>
          <cell r="AY102">
            <v>0.37788505747126333</v>
          </cell>
          <cell r="AZ102">
            <v>0.30283864004317373</v>
          </cell>
          <cell r="BA102">
            <v>0.32681601175174446</v>
          </cell>
          <cell r="BC102">
            <v>0.10852428671730396</v>
          </cell>
          <cell r="BD102">
            <v>0.43752585438335867</v>
          </cell>
          <cell r="BE102">
            <v>0.20738487297405928</v>
          </cell>
          <cell r="BK102" t="str">
            <v>NA</v>
          </cell>
          <cell r="BL102" t="str">
            <v>NA</v>
          </cell>
          <cell r="BM102" t="str">
            <v>NA</v>
          </cell>
          <cell r="BO102">
            <v>0.13533222697389413</v>
          </cell>
          <cell r="BP102">
            <v>0.43752585438335867</v>
          </cell>
          <cell r="BQ102">
            <v>0.22613738447113496</v>
          </cell>
          <cell r="BS102" t="str">
            <v xml:space="preserve"> 4QE</v>
          </cell>
          <cell r="BT102">
            <v>0.12150442477876156</v>
          </cell>
          <cell r="BU102">
            <v>0.10377854671280229</v>
          </cell>
          <cell r="BV102">
            <v>0.10876119402985052</v>
          </cell>
          <cell r="BX102">
            <v>0.21179999999999932</v>
          </cell>
          <cell r="BY102">
            <v>-4.7884615384615303E-2</v>
          </cell>
          <cell r="BZ102">
            <v>0.15004573170731672</v>
          </cell>
          <cell r="CB102">
            <v>1.9512195121950571E-2</v>
          </cell>
          <cell r="CC102">
            <v>0.14000000000000012</v>
          </cell>
          <cell r="CD102">
            <v>9.1377952755905545E-2</v>
          </cell>
          <cell r="CF102">
            <v>0.36876513317191284</v>
          </cell>
          <cell r="CG102">
            <v>-0.94000000000000039</v>
          </cell>
          <cell r="CH102">
            <v>0.3199533799533798</v>
          </cell>
          <cell r="CJ102">
            <v>-3.648822269807328E-2</v>
          </cell>
          <cell r="CK102">
            <v>2.9411764705882248E-2</v>
          </cell>
          <cell r="CL102">
            <v>-2.8112149532710684E-2</v>
          </cell>
          <cell r="CR102">
            <v>-0.15580357142857137</v>
          </cell>
          <cell r="CS102">
            <v>-0.90000000000000013</v>
          </cell>
          <cell r="CT102">
            <v>-0.23497340425531921</v>
          </cell>
          <cell r="CV102" t="str">
            <v xml:space="preserve"> 4QE</v>
          </cell>
          <cell r="CX102">
            <v>0.20425170068027176</v>
          </cell>
          <cell r="CY102">
            <v>8.7500000000000355E-2</v>
          </cell>
          <cell r="CZ102">
            <v>0.18027027027026987</v>
          </cell>
          <cell r="DB102">
            <v>-7.57647058823534E-2</v>
          </cell>
          <cell r="DC102">
            <v>0</v>
          </cell>
          <cell r="DD102">
            <v>-7.1955307262570045E-2</v>
          </cell>
          <cell r="DJ102">
            <v>2.4656716417910562E-2</v>
          </cell>
          <cell r="DK102">
            <v>9.1935483870967838E-2</v>
          </cell>
          <cell r="DL102">
            <v>6.0515799256505742E-2</v>
          </cell>
          <cell r="DN102">
            <v>0.1085805924889196</v>
          </cell>
          <cell r="DO102">
            <v>7.6118963486454305E-2</v>
          </cell>
          <cell r="DP102">
            <v>9.4232070805674528E-2</v>
          </cell>
          <cell r="DR102" t="str">
            <v xml:space="preserve"> 4QE</v>
          </cell>
          <cell r="DS102">
            <v>2.1392081736908874E-2</v>
          </cell>
          <cell r="DT102">
            <v>1.2132505175983743E-2</v>
          </cell>
          <cell r="DU102">
            <v>1.6277873070326132E-2</v>
          </cell>
          <cell r="DW102">
            <v>2.2004608294931227E-2</v>
          </cell>
          <cell r="DX102">
            <v>-2.7500000000000302E-2</v>
          </cell>
          <cell r="DY102">
            <v>-3.4675615212528266E-3</v>
          </cell>
          <cell r="EA102">
            <v>0.19717391304347931</v>
          </cell>
          <cell r="EB102">
            <v>4.4397700331911372E-2</v>
          </cell>
          <cell r="EC102">
            <v>5.8739957035446322E-2</v>
          </cell>
          <cell r="EE102">
            <v>-4.7368421052632392E-2</v>
          </cell>
          <cell r="EF102">
            <v>0.34625954198473297</v>
          </cell>
          <cell r="EG102">
            <v>0.2964</v>
          </cell>
          <cell r="EI102">
            <v>-0.17969798657718072</v>
          </cell>
          <cell r="EJ102">
            <v>7.1428571428633347E-4</v>
          </cell>
          <cell r="EK102">
            <v>-0.16420245398772959</v>
          </cell>
          <cell r="EM102" t="str">
            <v xml:space="preserve"> 4QE</v>
          </cell>
          <cell r="EN102">
            <v>9.9118140426551538E-2</v>
          </cell>
          <cell r="EO102">
            <v>5.6949250288351072E-2</v>
          </cell>
          <cell r="EP102">
            <v>7.9477835430677546E-2</v>
          </cell>
          <cell r="ER102">
            <v>0.14197952218429966</v>
          </cell>
          <cell r="ES102">
            <v>-0.20375838926174505</v>
          </cell>
          <cell r="ET102">
            <v>2.5429864253392997E-2</v>
          </cell>
          <cell r="EV102">
            <v>0.15499999999999936</v>
          </cell>
          <cell r="EW102">
            <v>5.5903470977028746E-2</v>
          </cell>
          <cell r="EX102">
            <v>5.7410642521104283E-2</v>
          </cell>
          <cell r="EZ102">
            <v>-0.51063829787234361</v>
          </cell>
          <cell r="FA102">
            <v>6.4059590316573489E-2</v>
          </cell>
          <cell r="FB102">
            <v>1.7808219178081952E-2</v>
          </cell>
          <cell r="FD102">
            <v>4.7751565193718815E-3</v>
          </cell>
          <cell r="FE102">
            <v>4.1736950876155587E-2</v>
          </cell>
          <cell r="FF102">
            <v>2.7280657658958818E-2</v>
          </cell>
          <cell r="FH102">
            <v>0.11790550660624621</v>
          </cell>
          <cell r="FI102">
            <v>0.25027371195228665</v>
          </cell>
          <cell r="FJ102">
            <v>0.16783521158485137</v>
          </cell>
        </row>
        <row r="103">
          <cell r="CS103">
            <v>0</v>
          </cell>
        </row>
        <row r="104">
          <cell r="A104" t="str">
            <v>Year</v>
          </cell>
          <cell r="B104">
            <v>0.32</v>
          </cell>
          <cell r="C104">
            <v>0.55000000000000004</v>
          </cell>
          <cell r="D104">
            <v>0.38280570142535653</v>
          </cell>
          <cell r="F104" t="str">
            <v>NM</v>
          </cell>
          <cell r="G104">
            <v>0</v>
          </cell>
          <cell r="H104">
            <v>-0.83453352536405823</v>
          </cell>
          <cell r="J104">
            <v>0.14000000000000001</v>
          </cell>
          <cell r="K104">
            <v>0.04</v>
          </cell>
          <cell r="L104">
            <v>9.0613437195715685E-2</v>
          </cell>
          <cell r="R104">
            <v>-0.2</v>
          </cell>
          <cell r="S104">
            <v>0.03</v>
          </cell>
          <cell r="T104">
            <v>-0.16358813700918962</v>
          </cell>
          <cell r="V104">
            <v>0.5</v>
          </cell>
          <cell r="W104">
            <v>0.42070000000000002</v>
          </cell>
          <cell r="X104">
            <v>0.48983556091148084</v>
          </cell>
          <cell r="Z104">
            <v>0.05</v>
          </cell>
          <cell r="AA104">
            <v>0.15</v>
          </cell>
          <cell r="AB104">
            <v>7.0298338368580016E-2</v>
          </cell>
          <cell r="AH104" t="str">
            <v>Year</v>
          </cell>
          <cell r="AQ104">
            <v>0.05</v>
          </cell>
          <cell r="AR104">
            <v>0.03</v>
          </cell>
          <cell r="AS104">
            <v>3.8553909044455992E-2</v>
          </cell>
          <cell r="AY104">
            <v>0.2</v>
          </cell>
          <cell r="AZ104">
            <v>0.05</v>
          </cell>
          <cell r="BA104">
            <v>9.3742159606291731E-2</v>
          </cell>
          <cell r="BC104">
            <v>0.15139433154105553</v>
          </cell>
          <cell r="BD104">
            <v>0.2719019552848787</v>
          </cell>
          <cell r="BE104">
            <v>0.18907306164889826</v>
          </cell>
          <cell r="BK104" t="str">
            <v>NA</v>
          </cell>
          <cell r="BL104" t="str">
            <v>NA</v>
          </cell>
          <cell r="BM104" t="str">
            <v>NA</v>
          </cell>
          <cell r="BO104">
            <v>0.1605076095871687</v>
          </cell>
          <cell r="BP104">
            <v>0.2719019552848787</v>
          </cell>
          <cell r="BQ104">
            <v>0.19533692043646589</v>
          </cell>
          <cell r="BS104" t="str">
            <v>Year</v>
          </cell>
          <cell r="BT104">
            <v>0.05</v>
          </cell>
          <cell r="BU104">
            <v>0.06</v>
          </cell>
          <cell r="BV104">
            <v>5.6982704204014745E-2</v>
          </cell>
          <cell r="BX104">
            <v>0.08</v>
          </cell>
          <cell r="BY104">
            <v>0.09</v>
          </cell>
          <cell r="BZ104">
            <v>8.2452752670501228E-2</v>
          </cell>
          <cell r="CB104">
            <v>0.04</v>
          </cell>
          <cell r="CC104">
            <v>0.06</v>
          </cell>
          <cell r="CD104">
            <v>5.1842364532019625E-2</v>
          </cell>
          <cell r="CF104">
            <v>0.05</v>
          </cell>
          <cell r="CG104">
            <v>0.06</v>
          </cell>
          <cell r="CH104">
            <v>5.0365707434052664E-2</v>
          </cell>
          <cell r="CJ104">
            <v>0.02</v>
          </cell>
          <cell r="CK104">
            <v>0</v>
          </cell>
          <cell r="CL104">
            <v>1.6932944606413924E-2</v>
          </cell>
          <cell r="CR104">
            <v>-2.5000000000000001E-2</v>
          </cell>
          <cell r="CS104">
            <v>0</v>
          </cell>
          <cell r="CT104">
            <v>-2.2456492637215608E-2</v>
          </cell>
          <cell r="CV104" t="str">
            <v>Year</v>
          </cell>
          <cell r="CX104">
            <v>0.1</v>
          </cell>
          <cell r="CY104">
            <v>0.05</v>
          </cell>
          <cell r="CZ104">
            <v>8.8537699923838531E-2</v>
          </cell>
          <cell r="DB104">
            <v>0.06</v>
          </cell>
          <cell r="DC104">
            <v>0</v>
          </cell>
          <cell r="DD104">
            <v>5.6658932714617416E-2</v>
          </cell>
          <cell r="DJ104">
            <v>0.06</v>
          </cell>
          <cell r="DK104">
            <v>0.05</v>
          </cell>
          <cell r="DL104">
            <v>5.495076400679122E-2</v>
          </cell>
          <cell r="DN104">
            <v>5.6570859588633837E-2</v>
          </cell>
          <cell r="DO104">
            <v>5.7334246783892873E-2</v>
          </cell>
          <cell r="DP104">
            <v>5.6905604325912185E-2</v>
          </cell>
          <cell r="DR104" t="str">
            <v>Year</v>
          </cell>
          <cell r="DS104">
            <v>0.05</v>
          </cell>
          <cell r="DT104">
            <v>0.06</v>
          </cell>
          <cell r="DU104">
            <v>5.6802183323922728E-2</v>
          </cell>
          <cell r="DW104">
            <v>0.09</v>
          </cell>
          <cell r="DX104">
            <v>0.05</v>
          </cell>
          <cell r="DY104">
            <v>1.5743524229074879E-2</v>
          </cell>
          <cell r="EA104">
            <v>-0.01</v>
          </cell>
          <cell r="EB104">
            <v>3.127368421052612E-2</v>
          </cell>
          <cell r="EC104">
            <v>2.737549504274428E-2</v>
          </cell>
          <cell r="EE104">
            <v>0.05</v>
          </cell>
          <cell r="EF104">
            <v>0.08</v>
          </cell>
          <cell r="EG104">
            <v>7.617113850616386E-2</v>
          </cell>
          <cell r="EI104">
            <v>-0.15</v>
          </cell>
          <cell r="EJ104">
            <v>-0.06</v>
          </cell>
          <cell r="EK104">
            <v>-0.14211523283346483</v>
          </cell>
          <cell r="EM104" t="str">
            <v>Year</v>
          </cell>
          <cell r="EN104">
            <v>2.6317757009345799E-2</v>
          </cell>
          <cell r="EO104">
            <v>2.7529411764706024E-2</v>
          </cell>
          <cell r="EP104">
            <v>2.6830380175075108E-2</v>
          </cell>
          <cell r="ER104">
            <v>0.2</v>
          </cell>
          <cell r="ES104">
            <v>-0.02</v>
          </cell>
          <cell r="ET104">
            <v>0.12634177215189868</v>
          </cell>
          <cell r="EV104">
            <v>0.26086956521739135</v>
          </cell>
          <cell r="EW104">
            <v>7.8451186440677834E-2</v>
          </cell>
          <cell r="EX104">
            <v>8.2068102571595247E-2</v>
          </cell>
          <cell r="EZ104">
            <v>0</v>
          </cell>
          <cell r="FA104">
            <v>0.2</v>
          </cell>
          <cell r="FB104">
            <v>0.15861532477635176</v>
          </cell>
          <cell r="FD104">
            <v>4.2108748369097615E-2</v>
          </cell>
          <cell r="FE104">
            <v>7.5444308444819752E-2</v>
          </cell>
          <cell r="FF104">
            <v>6.3585856082909675E-2</v>
          </cell>
          <cell r="FH104">
            <v>0.12781912070038537</v>
          </cell>
          <cell r="FI104">
            <v>0.16752337665218953</v>
          </cell>
          <cell r="FJ104">
            <v>0.1433778924303506</v>
          </cell>
        </row>
        <row r="106">
          <cell r="A106" t="str">
            <v>2000E</v>
          </cell>
          <cell r="AH106" t="str">
            <v>2000E</v>
          </cell>
          <cell r="BS106" t="str">
            <v>2000E</v>
          </cell>
          <cell r="CV106" t="str">
            <v>2000E</v>
          </cell>
          <cell r="DR106" t="str">
            <v>2000E</v>
          </cell>
          <cell r="EM106" t="str">
            <v>2000E</v>
          </cell>
        </row>
        <row r="107">
          <cell r="A107" t="str">
            <v xml:space="preserve"> 1QA</v>
          </cell>
          <cell r="B107">
            <v>796.7</v>
          </cell>
          <cell r="C107">
            <v>300.10000000000002</v>
          </cell>
          <cell r="D107">
            <v>1096.8000000000002</v>
          </cell>
          <cell r="F107">
            <v>102.9</v>
          </cell>
          <cell r="G107">
            <v>0.5</v>
          </cell>
          <cell r="H107">
            <v>103.4</v>
          </cell>
          <cell r="J107">
            <v>70.099999999999994</v>
          </cell>
          <cell r="K107">
            <v>59.4</v>
          </cell>
          <cell r="L107">
            <v>129.5</v>
          </cell>
          <cell r="R107">
            <v>49.4</v>
          </cell>
          <cell r="S107">
            <v>8.8000000000000007</v>
          </cell>
          <cell r="T107">
            <v>58.2</v>
          </cell>
          <cell r="V107">
            <v>264.89999999999998</v>
          </cell>
          <cell r="W107">
            <v>36.1</v>
          </cell>
          <cell r="X107">
            <v>301</v>
          </cell>
          <cell r="Z107">
            <v>101.8</v>
          </cell>
          <cell r="AA107">
            <v>8.9</v>
          </cell>
          <cell r="AB107">
            <v>110.7</v>
          </cell>
          <cell r="AH107" t="str">
            <v xml:space="preserve"> 1QA</v>
          </cell>
          <cell r="AQ107">
            <v>42.4</v>
          </cell>
          <cell r="AR107">
            <v>58.6</v>
          </cell>
          <cell r="AS107">
            <v>101</v>
          </cell>
          <cell r="AY107">
            <v>86.299999999999955</v>
          </cell>
          <cell r="AZ107">
            <v>172.20000000000005</v>
          </cell>
          <cell r="BA107">
            <v>258.5</v>
          </cell>
          <cell r="BC107">
            <v>1514.5</v>
          </cell>
          <cell r="BD107">
            <v>644.6</v>
          </cell>
          <cell r="BE107">
            <v>2159.1</v>
          </cell>
          <cell r="BK107">
            <v>0</v>
          </cell>
          <cell r="BL107">
            <v>0</v>
          </cell>
          <cell r="BM107">
            <v>0</v>
          </cell>
          <cell r="BO107">
            <v>1514.5</v>
          </cell>
          <cell r="BP107">
            <v>644.6</v>
          </cell>
          <cell r="BQ107">
            <v>2159.1</v>
          </cell>
          <cell r="BS107" t="str">
            <v xml:space="preserve"> 1QA</v>
          </cell>
          <cell r="BT107">
            <v>51.4</v>
          </cell>
          <cell r="BU107">
            <v>133.69999999999999</v>
          </cell>
          <cell r="BV107">
            <v>185.1</v>
          </cell>
          <cell r="BX107">
            <v>95.9</v>
          </cell>
          <cell r="BY107">
            <v>32.9</v>
          </cell>
          <cell r="BZ107">
            <v>128.80000000000001</v>
          </cell>
          <cell r="CB107">
            <v>20.7</v>
          </cell>
          <cell r="CC107">
            <v>30.5</v>
          </cell>
          <cell r="CD107">
            <v>51.2</v>
          </cell>
          <cell r="CF107">
            <v>30.2</v>
          </cell>
          <cell r="CG107">
            <v>1.6</v>
          </cell>
          <cell r="CH107">
            <v>31.8</v>
          </cell>
          <cell r="CJ107">
            <v>41.5</v>
          </cell>
          <cell r="CK107">
            <v>5.9</v>
          </cell>
          <cell r="CL107">
            <v>47.4</v>
          </cell>
          <cell r="CR107">
            <v>17.5</v>
          </cell>
          <cell r="CS107">
            <v>1.8</v>
          </cell>
          <cell r="CT107">
            <v>19.3</v>
          </cell>
          <cell r="CV107" t="str">
            <v xml:space="preserve"> 1QA</v>
          </cell>
          <cell r="CX107">
            <v>25.9</v>
          </cell>
          <cell r="CY107">
            <v>7.8</v>
          </cell>
          <cell r="CZ107">
            <v>33.699999999999996</v>
          </cell>
          <cell r="DB107">
            <v>21.6</v>
          </cell>
          <cell r="DC107">
            <v>1.2</v>
          </cell>
          <cell r="DD107">
            <v>22.8</v>
          </cell>
          <cell r="DJ107">
            <v>110.40000000000003</v>
          </cell>
          <cell r="DK107">
            <v>117.20000000000002</v>
          </cell>
          <cell r="DL107">
            <v>227.60000000000005</v>
          </cell>
          <cell r="DN107">
            <v>415.1</v>
          </cell>
          <cell r="DO107">
            <v>332.6</v>
          </cell>
          <cell r="DP107">
            <v>747.7</v>
          </cell>
          <cell r="DR107" t="str">
            <v xml:space="preserve"> 1QA</v>
          </cell>
          <cell r="DS107">
            <v>32.9</v>
          </cell>
          <cell r="DT107">
            <v>99.6</v>
          </cell>
          <cell r="DU107">
            <v>132.5</v>
          </cell>
          <cell r="DW107">
            <v>43.6</v>
          </cell>
          <cell r="DX107">
            <v>48.4</v>
          </cell>
          <cell r="DY107">
            <v>92</v>
          </cell>
          <cell r="EA107">
            <v>3.7</v>
          </cell>
          <cell r="EB107">
            <v>44.8</v>
          </cell>
          <cell r="EC107">
            <v>48.5</v>
          </cell>
          <cell r="EE107">
            <v>5.2</v>
          </cell>
          <cell r="EF107">
            <v>30.5</v>
          </cell>
          <cell r="EG107">
            <v>35.700000000000003</v>
          </cell>
          <cell r="EI107">
            <v>17.399999999999999</v>
          </cell>
          <cell r="EJ107">
            <v>2.2000000000000002</v>
          </cell>
          <cell r="EK107">
            <v>19.599999999999998</v>
          </cell>
          <cell r="EM107" t="str">
            <v xml:space="preserve"> 1QA</v>
          </cell>
          <cell r="EN107">
            <v>12.8</v>
          </cell>
          <cell r="EO107">
            <v>8.9</v>
          </cell>
          <cell r="EP107">
            <v>21.700000000000003</v>
          </cell>
          <cell r="ER107">
            <v>28.7</v>
          </cell>
          <cell r="ES107">
            <v>14.4</v>
          </cell>
          <cell r="ET107">
            <v>43.1</v>
          </cell>
          <cell r="EV107">
            <v>0.8</v>
          </cell>
          <cell r="EW107">
            <v>32.200000000000003</v>
          </cell>
          <cell r="EX107">
            <v>33</v>
          </cell>
          <cell r="EZ107">
            <v>16.400000000000006</v>
          </cell>
          <cell r="FA107">
            <v>57.700000000000045</v>
          </cell>
          <cell r="FB107">
            <v>74.100000000000051</v>
          </cell>
          <cell r="FD107">
            <v>161.5</v>
          </cell>
          <cell r="FE107">
            <v>338.7</v>
          </cell>
          <cell r="FF107">
            <v>500.2</v>
          </cell>
          <cell r="FH107">
            <v>2091.1</v>
          </cell>
          <cell r="FI107">
            <v>1315.9</v>
          </cell>
          <cell r="FJ107">
            <v>3407</v>
          </cell>
        </row>
        <row r="108">
          <cell r="A108" t="str">
            <v xml:space="preserve"> 2QE</v>
          </cell>
          <cell r="B108">
            <v>866.02500000000009</v>
          </cell>
          <cell r="C108">
            <v>373.93200000000002</v>
          </cell>
          <cell r="D108">
            <v>1239.9570000000001</v>
          </cell>
          <cell r="F108">
            <v>0</v>
          </cell>
          <cell r="G108">
            <v>0</v>
          </cell>
          <cell r="H108">
            <v>0</v>
          </cell>
          <cell r="J108">
            <v>70.49499999999999</v>
          </cell>
          <cell r="K108">
            <v>67.808000000000007</v>
          </cell>
          <cell r="L108">
            <v>138.303</v>
          </cell>
          <cell r="R108">
            <v>35.44</v>
          </cell>
          <cell r="S108">
            <v>9.8879999999999999</v>
          </cell>
          <cell r="T108">
            <v>45.327999999999996</v>
          </cell>
          <cell r="V108">
            <v>272.952</v>
          </cell>
          <cell r="W108">
            <v>38.779999999999994</v>
          </cell>
          <cell r="X108">
            <v>311.73199999999997</v>
          </cell>
          <cell r="Z108">
            <v>118.54500000000002</v>
          </cell>
          <cell r="AA108">
            <v>41.055</v>
          </cell>
          <cell r="AB108">
            <v>159.60000000000002</v>
          </cell>
          <cell r="AH108" t="str">
            <v xml:space="preserve"> 2QE</v>
          </cell>
          <cell r="AQ108">
            <v>44.205000000000005</v>
          </cell>
          <cell r="AR108">
            <v>59.225000000000001</v>
          </cell>
          <cell r="AS108">
            <v>103.43</v>
          </cell>
          <cell r="AY108">
            <v>70.784000000000319</v>
          </cell>
          <cell r="AZ108">
            <v>188.78399999999999</v>
          </cell>
          <cell r="BA108">
            <v>259.56800000000032</v>
          </cell>
          <cell r="BC108">
            <v>1478.4460000000004</v>
          </cell>
          <cell r="BD108">
            <v>779.47199999999998</v>
          </cell>
          <cell r="BE108">
            <v>2257.9180000000006</v>
          </cell>
          <cell r="BK108">
            <v>0</v>
          </cell>
          <cell r="BL108">
            <v>0</v>
          </cell>
          <cell r="BM108">
            <v>0</v>
          </cell>
          <cell r="BO108">
            <v>1478.4460000000004</v>
          </cell>
          <cell r="BP108">
            <v>779.47199999999998</v>
          </cell>
          <cell r="BQ108">
            <v>2257.9180000000006</v>
          </cell>
          <cell r="BS108" t="str">
            <v xml:space="preserve"> 2QE</v>
          </cell>
          <cell r="BT108">
            <v>61.005000000000003</v>
          </cell>
          <cell r="BU108">
            <v>144.37199999999999</v>
          </cell>
          <cell r="BV108">
            <v>205.37699999999998</v>
          </cell>
          <cell r="BX108">
            <v>89.64</v>
          </cell>
          <cell r="BY108">
            <v>32.340000000000003</v>
          </cell>
          <cell r="BZ108">
            <v>121.98</v>
          </cell>
          <cell r="CB108">
            <v>21.840000000000003</v>
          </cell>
          <cell r="CC108">
            <v>30.87</v>
          </cell>
          <cell r="CD108">
            <v>52.710000000000008</v>
          </cell>
          <cell r="CF108">
            <v>45.885000000000005</v>
          </cell>
          <cell r="CG108">
            <v>3.18</v>
          </cell>
          <cell r="CH108">
            <v>49.065000000000005</v>
          </cell>
          <cell r="CJ108">
            <v>26.01</v>
          </cell>
          <cell r="CK108">
            <v>6.6</v>
          </cell>
          <cell r="CL108">
            <v>32.61</v>
          </cell>
          <cell r="CR108">
            <v>16.295999999999999</v>
          </cell>
          <cell r="CS108">
            <v>3.7</v>
          </cell>
          <cell r="CT108">
            <v>19.995999999999999</v>
          </cell>
          <cell r="CV108" t="str">
            <v xml:space="preserve"> 2QE</v>
          </cell>
          <cell r="CX108">
            <v>27.024999999999999</v>
          </cell>
          <cell r="CY108">
            <v>7.9799999999999995</v>
          </cell>
          <cell r="CZ108">
            <v>35.004999999999995</v>
          </cell>
          <cell r="DB108">
            <v>26.288000000000004</v>
          </cell>
          <cell r="DC108">
            <v>2</v>
          </cell>
          <cell r="DD108">
            <v>28.288000000000004</v>
          </cell>
          <cell r="DJ108">
            <v>121.58199999999997</v>
          </cell>
          <cell r="DK108">
            <v>106.78500000000003</v>
          </cell>
          <cell r="DL108">
            <v>228.36699999999999</v>
          </cell>
          <cell r="DN108">
            <v>435.57099999999991</v>
          </cell>
          <cell r="DO108">
            <v>337.827</v>
          </cell>
          <cell r="DP108">
            <v>773.39799999999991</v>
          </cell>
          <cell r="DR108" t="str">
            <v xml:space="preserve"> 2QE</v>
          </cell>
          <cell r="DS108">
            <v>23.415000000000003</v>
          </cell>
          <cell r="DT108">
            <v>90.63000000000001</v>
          </cell>
          <cell r="DU108">
            <v>114.04500000000002</v>
          </cell>
          <cell r="DW108">
            <v>48.150000000000006</v>
          </cell>
          <cell r="DX108">
            <v>51.87</v>
          </cell>
          <cell r="DY108">
            <v>100.02000000000001</v>
          </cell>
          <cell r="EA108">
            <v>4.6530000000000005</v>
          </cell>
          <cell r="EB108">
            <v>45.32</v>
          </cell>
          <cell r="EC108">
            <v>49.972999999999999</v>
          </cell>
          <cell r="EE108">
            <v>4.5149999999999997</v>
          </cell>
          <cell r="EF108">
            <v>31.751999999999999</v>
          </cell>
          <cell r="EG108">
            <v>36.266999999999996</v>
          </cell>
          <cell r="EI108">
            <v>26.91</v>
          </cell>
          <cell r="EJ108">
            <v>2.91</v>
          </cell>
          <cell r="EK108">
            <v>29.82</v>
          </cell>
          <cell r="EM108" t="str">
            <v xml:space="preserve"> 2QE</v>
          </cell>
          <cell r="EN108">
            <v>16.686</v>
          </cell>
          <cell r="EO108">
            <v>10.3</v>
          </cell>
          <cell r="EP108">
            <v>26.986000000000001</v>
          </cell>
          <cell r="ER108">
            <v>32.520000000000003</v>
          </cell>
          <cell r="ES108">
            <v>13.524000000000001</v>
          </cell>
          <cell r="ET108">
            <v>46.044000000000004</v>
          </cell>
          <cell r="EV108">
            <v>0.75600000000000001</v>
          </cell>
          <cell r="EW108">
            <v>33.048000000000002</v>
          </cell>
          <cell r="EX108">
            <v>33.804000000000002</v>
          </cell>
          <cell r="EZ108">
            <v>14.500000000000011</v>
          </cell>
          <cell r="FA108">
            <v>62.759999999999941</v>
          </cell>
          <cell r="FB108">
            <v>77.259999999999948</v>
          </cell>
          <cell r="FD108">
            <v>172.10500000000002</v>
          </cell>
          <cell r="FE108">
            <v>342.11399999999998</v>
          </cell>
          <cell r="FF108">
            <v>514.21900000000005</v>
          </cell>
          <cell r="FH108">
            <v>2086.1220000000003</v>
          </cell>
          <cell r="FI108">
            <v>1459.413</v>
          </cell>
          <cell r="FJ108">
            <v>3545.5350000000003</v>
          </cell>
        </row>
        <row r="109">
          <cell r="A109" t="str">
            <v xml:space="preserve"> 3QE</v>
          </cell>
          <cell r="B109">
            <v>934.52800000000002</v>
          </cell>
          <cell r="C109">
            <v>414.81</v>
          </cell>
          <cell r="D109">
            <v>1349.338</v>
          </cell>
          <cell r="F109">
            <v>0</v>
          </cell>
          <cell r="G109">
            <v>0</v>
          </cell>
          <cell r="H109">
            <v>0</v>
          </cell>
          <cell r="J109">
            <v>77.896000000000001</v>
          </cell>
          <cell r="K109">
            <v>66.960000000000008</v>
          </cell>
          <cell r="L109">
            <v>144.85599999999999</v>
          </cell>
          <cell r="R109">
            <v>38.960000000000008</v>
          </cell>
          <cell r="S109">
            <v>9.588000000000001</v>
          </cell>
          <cell r="T109">
            <v>48.548000000000009</v>
          </cell>
          <cell r="V109">
            <v>310.95000000000005</v>
          </cell>
          <cell r="W109">
            <v>41.3</v>
          </cell>
          <cell r="X109">
            <v>352.25000000000006</v>
          </cell>
          <cell r="Z109">
            <v>94.710000000000008</v>
          </cell>
          <cell r="AA109">
            <v>25.07</v>
          </cell>
          <cell r="AB109">
            <v>119.78</v>
          </cell>
          <cell r="AH109" t="str">
            <v xml:space="preserve"> 3QE</v>
          </cell>
          <cell r="AQ109">
            <v>44.730000000000004</v>
          </cell>
          <cell r="AR109">
            <v>56.753</v>
          </cell>
          <cell r="AS109">
            <v>101.483</v>
          </cell>
          <cell r="AY109">
            <v>85.680000000000135</v>
          </cell>
          <cell r="AZ109">
            <v>168.40500000000003</v>
          </cell>
          <cell r="BA109">
            <v>254.08500000000015</v>
          </cell>
          <cell r="BC109">
            <v>1587.4540000000002</v>
          </cell>
          <cell r="BD109">
            <v>782.88600000000019</v>
          </cell>
          <cell r="BE109">
            <v>2370.34</v>
          </cell>
          <cell r="BK109">
            <v>8</v>
          </cell>
          <cell r="BL109">
            <v>0</v>
          </cell>
          <cell r="BM109">
            <v>8</v>
          </cell>
          <cell r="BO109">
            <v>1595.4540000000002</v>
          </cell>
          <cell r="BP109">
            <v>782.88600000000019</v>
          </cell>
          <cell r="BQ109">
            <v>2378.34</v>
          </cell>
          <cell r="BS109" t="str">
            <v xml:space="preserve"> 3QE</v>
          </cell>
          <cell r="BT109">
            <v>75.179999999999993</v>
          </cell>
          <cell r="BU109">
            <v>148.71800000000002</v>
          </cell>
          <cell r="BV109">
            <v>223.89800000000002</v>
          </cell>
          <cell r="BX109">
            <v>90.072000000000017</v>
          </cell>
          <cell r="BY109">
            <v>35.200000000000003</v>
          </cell>
          <cell r="BZ109">
            <v>125.27200000000002</v>
          </cell>
          <cell r="CB109">
            <v>22.672000000000001</v>
          </cell>
          <cell r="CC109">
            <v>31.5</v>
          </cell>
          <cell r="CD109">
            <v>54.171999999999997</v>
          </cell>
          <cell r="CF109">
            <v>36.119999999999997</v>
          </cell>
          <cell r="CG109">
            <v>1.59</v>
          </cell>
          <cell r="CH109">
            <v>37.71</v>
          </cell>
          <cell r="CJ109">
            <v>35.597999999999999</v>
          </cell>
          <cell r="CK109">
            <v>6.8</v>
          </cell>
          <cell r="CL109">
            <v>42.397999999999996</v>
          </cell>
          <cell r="CR109">
            <v>17.443999999999999</v>
          </cell>
          <cell r="CS109">
            <v>1.9</v>
          </cell>
          <cell r="CT109">
            <v>19.343999999999998</v>
          </cell>
          <cell r="CV109" t="str">
            <v xml:space="preserve"> 3QE</v>
          </cell>
          <cell r="CX109">
            <v>22.990000000000002</v>
          </cell>
          <cell r="CY109">
            <v>7.5600000000000005</v>
          </cell>
          <cell r="CZ109">
            <v>30.550000000000004</v>
          </cell>
          <cell r="DB109">
            <v>22.684000000000001</v>
          </cell>
          <cell r="DC109">
            <v>0.7</v>
          </cell>
          <cell r="DD109">
            <v>23.384</v>
          </cell>
          <cell r="DJ109">
            <v>128.68400000000005</v>
          </cell>
          <cell r="DK109">
            <v>119.17500000000001</v>
          </cell>
          <cell r="DL109">
            <v>247.85900000000007</v>
          </cell>
          <cell r="DN109">
            <v>451.44400000000007</v>
          </cell>
          <cell r="DO109">
            <v>353.14300000000003</v>
          </cell>
          <cell r="DP109">
            <v>804.5870000000001</v>
          </cell>
          <cell r="DR109" t="str">
            <v xml:space="preserve"> 3QE</v>
          </cell>
          <cell r="DS109">
            <v>42.105000000000004</v>
          </cell>
          <cell r="DT109">
            <v>95.082000000000008</v>
          </cell>
          <cell r="DU109">
            <v>137.18700000000001</v>
          </cell>
          <cell r="DW109">
            <v>37.967999999999996</v>
          </cell>
          <cell r="DX109">
            <v>44.835000000000008</v>
          </cell>
          <cell r="DY109">
            <v>82.802999999999997</v>
          </cell>
          <cell r="EA109">
            <v>4.1580000000000004</v>
          </cell>
          <cell r="EB109">
            <v>43.466000000000001</v>
          </cell>
          <cell r="EC109">
            <v>47.624000000000002</v>
          </cell>
          <cell r="EE109">
            <v>5.1450000000000005</v>
          </cell>
          <cell r="EF109">
            <v>32.400000000000006</v>
          </cell>
          <cell r="EG109">
            <v>37.545000000000009</v>
          </cell>
          <cell r="EI109">
            <v>29.505000000000003</v>
          </cell>
          <cell r="EJ109">
            <v>2.5219999999999998</v>
          </cell>
          <cell r="EK109">
            <v>32.027000000000001</v>
          </cell>
          <cell r="EM109" t="str">
            <v xml:space="preserve"> 3QE</v>
          </cell>
          <cell r="EN109">
            <v>11.536</v>
          </cell>
          <cell r="EO109">
            <v>9.5790000000000006</v>
          </cell>
          <cell r="EP109">
            <v>21.115000000000002</v>
          </cell>
          <cell r="ER109">
            <v>31.439999999999998</v>
          </cell>
          <cell r="ES109">
            <v>12.054</v>
          </cell>
          <cell r="ET109">
            <v>43.494</v>
          </cell>
          <cell r="EV109">
            <v>0.8819999999999999</v>
          </cell>
          <cell r="EW109">
            <v>30.024000000000004</v>
          </cell>
          <cell r="EX109">
            <v>30.906000000000006</v>
          </cell>
          <cell r="EZ109">
            <v>20.000000000000028</v>
          </cell>
          <cell r="FA109">
            <v>67.079999999999956</v>
          </cell>
          <cell r="FB109">
            <v>87.079999999999984</v>
          </cell>
          <cell r="FD109">
            <v>182.73900000000003</v>
          </cell>
          <cell r="FE109">
            <v>337.04200000000003</v>
          </cell>
          <cell r="FF109">
            <v>519.78100000000006</v>
          </cell>
          <cell r="FH109">
            <v>2229.6370000000002</v>
          </cell>
          <cell r="FI109">
            <v>1473.0710000000004</v>
          </cell>
          <cell r="FJ109">
            <v>3702.7080000000005</v>
          </cell>
        </row>
        <row r="110">
          <cell r="A110" t="str">
            <v xml:space="preserve"> 4QE</v>
          </cell>
          <cell r="B110">
            <v>984.17100000000005</v>
          </cell>
          <cell r="C110">
            <v>490.91800000000029</v>
          </cell>
          <cell r="D110">
            <v>1475.0890000000004</v>
          </cell>
          <cell r="F110">
            <v>0</v>
          </cell>
          <cell r="G110">
            <v>0</v>
          </cell>
          <cell r="H110">
            <v>0</v>
          </cell>
          <cell r="J110">
            <v>77.79500000000003</v>
          </cell>
          <cell r="K110">
            <v>69.575999999999993</v>
          </cell>
          <cell r="L110">
            <v>147.37100000000004</v>
          </cell>
          <cell r="R110">
            <v>37.400000000000006</v>
          </cell>
          <cell r="S110">
            <v>10.760999999999996</v>
          </cell>
          <cell r="T110">
            <v>48.161000000000001</v>
          </cell>
          <cell r="V110">
            <v>344.8979999999998</v>
          </cell>
          <cell r="W110">
            <v>50.041900000000012</v>
          </cell>
          <cell r="X110">
            <v>394.9398999999998</v>
          </cell>
          <cell r="Z110">
            <v>128.15</v>
          </cell>
          <cell r="AA110">
            <v>48.599999999999987</v>
          </cell>
          <cell r="AB110">
            <v>176.75</v>
          </cell>
          <cell r="AH110" t="str">
            <v xml:space="preserve"> 4QE</v>
          </cell>
          <cell r="AQ110">
            <v>44.434999999999988</v>
          </cell>
          <cell r="AR110">
            <v>56.14200000000001</v>
          </cell>
          <cell r="AS110">
            <v>100.577</v>
          </cell>
          <cell r="AY110">
            <v>119.87599999999991</v>
          </cell>
          <cell r="AZ110">
            <v>241.41600000000011</v>
          </cell>
          <cell r="BA110">
            <v>361.29200000000003</v>
          </cell>
          <cell r="BC110">
            <v>1736.7250000000001</v>
          </cell>
          <cell r="BD110">
            <v>967.45490000000041</v>
          </cell>
          <cell r="BE110">
            <v>2704.1799000000005</v>
          </cell>
          <cell r="BK110">
            <v>42</v>
          </cell>
          <cell r="BL110">
            <v>0</v>
          </cell>
          <cell r="BM110">
            <v>42</v>
          </cell>
          <cell r="BO110">
            <v>1778.7250000000001</v>
          </cell>
          <cell r="BP110">
            <v>967.45490000000041</v>
          </cell>
          <cell r="BQ110">
            <v>2746.1799000000005</v>
          </cell>
          <cell r="BS110" t="str">
            <v xml:space="preserve"> 4QE</v>
          </cell>
          <cell r="BT110">
            <v>63.365000000000023</v>
          </cell>
          <cell r="BU110">
            <v>159.49599999999992</v>
          </cell>
          <cell r="BV110">
            <v>222.86099999999993</v>
          </cell>
          <cell r="BX110">
            <v>121.17999999999994</v>
          </cell>
          <cell r="BY110">
            <v>29.706000000000003</v>
          </cell>
          <cell r="BZ110">
            <v>150.88599999999994</v>
          </cell>
          <cell r="CB110">
            <v>20.899999999999988</v>
          </cell>
          <cell r="CC110">
            <v>34.542000000000002</v>
          </cell>
          <cell r="CD110">
            <v>55.441999999999993</v>
          </cell>
          <cell r="CF110">
            <v>56.529999999999994</v>
          </cell>
          <cell r="CG110">
            <v>9.5999999999999419E-2</v>
          </cell>
          <cell r="CH110">
            <v>56.625999999999991</v>
          </cell>
          <cell r="CJ110">
            <v>44.995999999999981</v>
          </cell>
          <cell r="CK110">
            <v>6.9999999999999991</v>
          </cell>
          <cell r="CL110">
            <v>51.995999999999981</v>
          </cell>
          <cell r="CR110">
            <v>14.182500000000001</v>
          </cell>
          <cell r="CS110">
            <v>0.19999999999999973</v>
          </cell>
          <cell r="CT110">
            <v>14.3825</v>
          </cell>
          <cell r="CV110" t="str">
            <v xml:space="preserve"> 4QE</v>
          </cell>
          <cell r="CX110">
            <v>35.404999999999987</v>
          </cell>
          <cell r="CY110">
            <v>8.2650000000000023</v>
          </cell>
          <cell r="CZ110">
            <v>43.669999999999987</v>
          </cell>
          <cell r="DB110">
            <v>15.711999999999993</v>
          </cell>
          <cell r="DC110">
            <v>0.90000000000000058</v>
          </cell>
          <cell r="DD110">
            <v>16.611999999999995</v>
          </cell>
          <cell r="DJ110">
            <v>102.97800000000001</v>
          </cell>
          <cell r="DK110">
            <v>125.245</v>
          </cell>
          <cell r="DL110">
            <v>228.22300000000001</v>
          </cell>
          <cell r="DN110">
            <v>475.24849999999986</v>
          </cell>
          <cell r="DO110">
            <v>365.44999999999993</v>
          </cell>
          <cell r="DP110">
            <v>840.69849999999974</v>
          </cell>
          <cell r="DR110" t="str">
            <v xml:space="preserve"> 4QE</v>
          </cell>
          <cell r="DS110">
            <v>79.974999999999966</v>
          </cell>
          <cell r="DT110">
            <v>97.772000000000034</v>
          </cell>
          <cell r="DU110">
            <v>177.74700000000001</v>
          </cell>
          <cell r="DW110">
            <v>44.355000000000011</v>
          </cell>
          <cell r="DX110">
            <v>44.734999999999985</v>
          </cell>
          <cell r="DY110">
            <v>89.09</v>
          </cell>
          <cell r="EA110">
            <v>5.5070000000000041</v>
          </cell>
          <cell r="EB110">
            <v>46.371257894736864</v>
          </cell>
          <cell r="EC110">
            <v>51.878257894736869</v>
          </cell>
          <cell r="EE110">
            <v>3.6199999999999966</v>
          </cell>
          <cell r="EF110">
            <v>35.272000000000006</v>
          </cell>
          <cell r="EG110">
            <v>38.892000000000003</v>
          </cell>
          <cell r="EI110">
            <v>24.445000000000014</v>
          </cell>
          <cell r="EJ110">
            <v>2.8020000000000018</v>
          </cell>
          <cell r="EK110">
            <v>27.247000000000018</v>
          </cell>
          <cell r="EM110" t="str">
            <v xml:space="preserve"> 4QE</v>
          </cell>
          <cell r="EN110">
            <v>12.859682242990653</v>
          </cell>
          <cell r="EO110">
            <v>10.78088235294118</v>
          </cell>
          <cell r="EP110">
            <v>23.640564595931835</v>
          </cell>
          <cell r="ER110">
            <v>33.45999999999998</v>
          </cell>
          <cell r="ES110">
            <v>11.863999999999999</v>
          </cell>
          <cell r="ET110">
            <v>45.323999999999977</v>
          </cell>
          <cell r="EV110">
            <v>0.46199999999999974</v>
          </cell>
          <cell r="EW110">
            <v>27.347899898305041</v>
          </cell>
          <cell r="EX110">
            <v>27.809899898305041</v>
          </cell>
          <cell r="EZ110">
            <v>2.2999999999999723</v>
          </cell>
          <cell r="FA110">
            <v>57.140000000000043</v>
          </cell>
          <cell r="FB110">
            <v>59.440000000000012</v>
          </cell>
          <cell r="FD110">
            <v>206.98368224299062</v>
          </cell>
          <cell r="FE110">
            <v>334.0850401459831</v>
          </cell>
          <cell r="FF110">
            <v>541.0687223889737</v>
          </cell>
          <cell r="FH110">
            <v>2460.9571822429907</v>
          </cell>
          <cell r="FI110">
            <v>1666.9899401459836</v>
          </cell>
          <cell r="FJ110">
            <v>4127.9471223889741</v>
          </cell>
        </row>
        <row r="111">
          <cell r="CY111" t="str">
            <v xml:space="preserve"> </v>
          </cell>
        </row>
        <row r="112">
          <cell r="A112" t="str">
            <v>Year</v>
          </cell>
          <cell r="B112">
            <v>3581.424</v>
          </cell>
          <cell r="C112">
            <v>1579.7600000000002</v>
          </cell>
          <cell r="D112">
            <v>5161.1840000000002</v>
          </cell>
          <cell r="F112">
            <v>102.9</v>
          </cell>
          <cell r="G112">
            <v>0.5</v>
          </cell>
          <cell r="H112">
            <v>103.4</v>
          </cell>
          <cell r="J112">
            <v>296.286</v>
          </cell>
          <cell r="K112">
            <v>263.74400000000003</v>
          </cell>
          <cell r="L112">
            <v>560.03</v>
          </cell>
          <cell r="R112">
            <v>161.20000000000002</v>
          </cell>
          <cell r="S112">
            <v>39.036999999999999</v>
          </cell>
          <cell r="T112">
            <v>200.23700000000002</v>
          </cell>
          <cell r="V112">
            <v>1193.6999999999998</v>
          </cell>
          <cell r="W112">
            <v>166.22190000000001</v>
          </cell>
          <cell r="X112">
            <v>1359.9218999999998</v>
          </cell>
          <cell r="Z112">
            <v>443.20500000000004</v>
          </cell>
          <cell r="AA112">
            <v>123.62499999999999</v>
          </cell>
          <cell r="AB112">
            <v>566.83000000000004</v>
          </cell>
          <cell r="AH112" t="str">
            <v>Year</v>
          </cell>
          <cell r="AQ112">
            <v>175.77</v>
          </cell>
          <cell r="AR112">
            <v>230.72</v>
          </cell>
          <cell r="AS112">
            <v>406.49</v>
          </cell>
          <cell r="AY112">
            <v>362.64000000000033</v>
          </cell>
          <cell r="AZ112">
            <v>770.80500000000018</v>
          </cell>
          <cell r="BA112">
            <v>1133.4450000000006</v>
          </cell>
          <cell r="BC112">
            <v>6317.1250000000009</v>
          </cell>
          <cell r="BD112">
            <v>3174.4129000000007</v>
          </cell>
          <cell r="BE112">
            <v>9491.5379000000012</v>
          </cell>
          <cell r="BK112">
            <v>50</v>
          </cell>
          <cell r="BL112">
            <v>0</v>
          </cell>
          <cell r="BM112">
            <v>50</v>
          </cell>
          <cell r="BO112">
            <v>6367.1250000000009</v>
          </cell>
          <cell r="BP112">
            <v>3174.4129000000007</v>
          </cell>
          <cell r="BQ112">
            <v>9541.5379000000012</v>
          </cell>
          <cell r="BS112" t="str">
            <v>Year</v>
          </cell>
          <cell r="BT112">
            <v>250.95000000000002</v>
          </cell>
          <cell r="BU112">
            <v>586.28599999999994</v>
          </cell>
          <cell r="BV112">
            <v>837.23599999999999</v>
          </cell>
          <cell r="BX112">
            <v>396.79199999999997</v>
          </cell>
          <cell r="BY112">
            <v>130.14600000000002</v>
          </cell>
          <cell r="BZ112">
            <v>526.93799999999999</v>
          </cell>
          <cell r="CB112">
            <v>86.111999999999995</v>
          </cell>
          <cell r="CC112">
            <v>127.41200000000001</v>
          </cell>
          <cell r="CD112">
            <v>213.524</v>
          </cell>
          <cell r="CF112">
            <v>168.73499999999999</v>
          </cell>
          <cell r="CG112">
            <v>6.4660000000000002</v>
          </cell>
          <cell r="CH112">
            <v>175.20099999999999</v>
          </cell>
          <cell r="CJ112">
            <v>148.10399999999998</v>
          </cell>
          <cell r="CK112">
            <v>26.3</v>
          </cell>
          <cell r="CL112">
            <v>174.404</v>
          </cell>
          <cell r="CR112">
            <v>65.422499999999999</v>
          </cell>
          <cell r="CS112">
            <v>7.6</v>
          </cell>
          <cell r="CT112">
            <v>73.022499999999994</v>
          </cell>
          <cell r="CV112" t="str">
            <v>Year</v>
          </cell>
          <cell r="CX112">
            <v>111.32</v>
          </cell>
          <cell r="CY112">
            <v>31.605000000000004</v>
          </cell>
          <cell r="CZ112">
            <v>142.92500000000001</v>
          </cell>
          <cell r="DB112">
            <v>86.284000000000006</v>
          </cell>
          <cell r="DC112">
            <v>4.8000000000000007</v>
          </cell>
          <cell r="DD112">
            <v>91.084000000000003</v>
          </cell>
          <cell r="DJ112">
            <v>463.64400000000006</v>
          </cell>
          <cell r="DK112">
            <v>468.40500000000003</v>
          </cell>
          <cell r="DL112">
            <v>932.04900000000009</v>
          </cell>
          <cell r="DN112">
            <v>1777.3634999999999</v>
          </cell>
          <cell r="DO112">
            <v>1389.02</v>
          </cell>
          <cell r="DP112">
            <v>3166.3834999999999</v>
          </cell>
          <cell r="DR112" t="str">
            <v>Year</v>
          </cell>
          <cell r="DS112">
            <v>178.39499999999998</v>
          </cell>
          <cell r="DT112">
            <v>383.084</v>
          </cell>
          <cell r="DU112">
            <v>561.47900000000004</v>
          </cell>
          <cell r="DW112">
            <v>174.07300000000001</v>
          </cell>
          <cell r="DX112">
            <v>189.84</v>
          </cell>
          <cell r="DY112">
            <v>345.86067000000003</v>
          </cell>
          <cell r="EA112">
            <v>18.018000000000004</v>
          </cell>
          <cell r="EB112">
            <v>179.95725789473684</v>
          </cell>
          <cell r="EC112">
            <v>197.97525789473684</v>
          </cell>
          <cell r="EE112">
            <v>18.479999999999997</v>
          </cell>
          <cell r="EF112">
            <v>129.92400000000001</v>
          </cell>
          <cell r="EG112">
            <v>148.404</v>
          </cell>
          <cell r="EI112">
            <v>98.26</v>
          </cell>
          <cell r="EJ112">
            <v>10.434000000000001</v>
          </cell>
          <cell r="EK112">
            <v>108.694</v>
          </cell>
          <cell r="EM112" t="str">
            <v>Year</v>
          </cell>
          <cell r="EN112">
            <v>53.881682242990657</v>
          </cell>
          <cell r="EO112">
            <v>39.55988235294118</v>
          </cell>
          <cell r="EP112">
            <v>93.441564595931837</v>
          </cell>
          <cell r="ER112">
            <v>126.11999999999999</v>
          </cell>
          <cell r="ES112">
            <v>51.841999999999999</v>
          </cell>
          <cell r="ET112">
            <v>177.96199999999999</v>
          </cell>
          <cell r="EV112">
            <v>2.9</v>
          </cell>
          <cell r="EW112">
            <v>122.61989989830505</v>
          </cell>
          <cell r="EX112">
            <v>125.51989989830506</v>
          </cell>
          <cell r="EZ112">
            <v>53.200000000000017</v>
          </cell>
          <cell r="FA112">
            <v>244.67999999999998</v>
          </cell>
          <cell r="FB112">
            <v>297.88</v>
          </cell>
          <cell r="FD112">
            <v>723.3276822429907</v>
          </cell>
          <cell r="FE112">
            <v>1351.9410401459829</v>
          </cell>
          <cell r="FF112">
            <v>2075.2687223889734</v>
          </cell>
          <cell r="FH112">
            <v>8867.816182242992</v>
          </cell>
          <cell r="FI112">
            <v>5915.3739401459834</v>
          </cell>
          <cell r="FJ112">
            <v>14783.190122388976</v>
          </cell>
        </row>
        <row r="113">
          <cell r="X113" t="str">
            <v>adjusted for Neurontin patent</v>
          </cell>
        </row>
        <row r="114">
          <cell r="A114" t="str">
            <v>% Change</v>
          </cell>
          <cell r="AH114" t="str">
            <v>% Change</v>
          </cell>
          <cell r="BS114" t="str">
            <v>% Change</v>
          </cell>
          <cell r="CV114" t="str">
            <v>% Change</v>
          </cell>
          <cell r="DR114" t="str">
            <v>% Change</v>
          </cell>
          <cell r="EM114" t="str">
            <v>% Change</v>
          </cell>
        </row>
        <row r="115">
          <cell r="A115" t="str">
            <v xml:space="preserve">2001E/00E </v>
          </cell>
          <cell r="B115">
            <v>0.22</v>
          </cell>
          <cell r="C115">
            <v>0.38</v>
          </cell>
          <cell r="D115">
            <v>0.2689735688555186</v>
          </cell>
          <cell r="F115">
            <v>0</v>
          </cell>
          <cell r="G115">
            <v>0</v>
          </cell>
          <cell r="H115">
            <v>0</v>
          </cell>
          <cell r="J115">
            <v>0.02</v>
          </cell>
          <cell r="K115">
            <v>0.04</v>
          </cell>
          <cell r="L115">
            <v>2.941892398621504E-2</v>
          </cell>
          <cell r="R115">
            <v>-0.15</v>
          </cell>
          <cell r="S115">
            <v>2.9399999999999999E-2</v>
          </cell>
          <cell r="T115">
            <v>-0.11502525607155523</v>
          </cell>
          <cell r="V115">
            <v>0.2</v>
          </cell>
          <cell r="W115">
            <v>0.12</v>
          </cell>
          <cell r="X115">
            <v>0.19022167964204417</v>
          </cell>
          <cell r="Z115">
            <v>0.05</v>
          </cell>
          <cell r="AA115">
            <v>0.1</v>
          </cell>
          <cell r="AB115">
            <v>6.0904945045251679E-2</v>
          </cell>
          <cell r="AH115" t="str">
            <v xml:space="preserve">2001E/00E </v>
          </cell>
          <cell r="AQ115">
            <v>0</v>
          </cell>
          <cell r="AR115">
            <v>0</v>
          </cell>
          <cell r="AS115">
            <v>0</v>
          </cell>
          <cell r="AY115">
            <v>0.05</v>
          </cell>
          <cell r="AZ115">
            <v>0.03</v>
          </cell>
          <cell r="BA115">
            <v>3.6398898932016976E-2</v>
          </cell>
          <cell r="BC115">
            <v>0.14971862199972286</v>
          </cell>
          <cell r="BD115">
            <v>0.21009854319833443</v>
          </cell>
          <cell r="BE115">
            <v>0.16991248339218035</v>
          </cell>
          <cell r="BK115">
            <v>0.60000000000000009</v>
          </cell>
          <cell r="BL115" t="str">
            <v>NM</v>
          </cell>
          <cell r="BM115">
            <v>0.60000000000000009</v>
          </cell>
          <cell r="BO115">
            <v>0.16503386536309539</v>
          </cell>
          <cell r="BP115">
            <v>0.21009854319833443</v>
          </cell>
          <cell r="BQ115">
            <v>0.18002661560459776</v>
          </cell>
          <cell r="BS115" t="str">
            <v xml:space="preserve">2001E/00E </v>
          </cell>
          <cell r="BT115">
            <v>4.9999999999999822E-2</v>
          </cell>
          <cell r="BU115">
            <v>0.05</v>
          </cell>
          <cell r="BV115">
            <v>4.9999999999999822E-2</v>
          </cell>
          <cell r="BX115">
            <v>0.05</v>
          </cell>
          <cell r="BY115">
            <v>0.05</v>
          </cell>
          <cell r="BZ115">
            <v>5.0000000000000044E-2</v>
          </cell>
          <cell r="CB115">
            <v>0</v>
          </cell>
          <cell r="CC115">
            <v>0.02</v>
          </cell>
          <cell r="CD115">
            <v>1.193420880088425E-2</v>
          </cell>
          <cell r="CF115">
            <v>0.05</v>
          </cell>
          <cell r="CG115">
            <v>0.08</v>
          </cell>
          <cell r="CH115">
            <v>5.1107185461270133E-2</v>
          </cell>
          <cell r="CJ115">
            <v>0.05</v>
          </cell>
          <cell r="CK115">
            <v>0.03</v>
          </cell>
          <cell r="CL115">
            <v>4.6984014128116369E-2</v>
          </cell>
          <cell r="CR115">
            <v>-0.01</v>
          </cell>
          <cell r="CS115">
            <v>-0.01</v>
          </cell>
          <cell r="CT115">
            <v>-9.9999999999998979E-3</v>
          </cell>
          <cell r="CV115" t="str">
            <v xml:space="preserve">2001E/00E </v>
          </cell>
          <cell r="CX115">
            <v>0.03</v>
          </cell>
          <cell r="CY115">
            <v>0.02</v>
          </cell>
          <cell r="CZ115">
            <v>2.7788700367325614E-2</v>
          </cell>
          <cell r="DB115">
            <v>0.02</v>
          </cell>
          <cell r="DC115">
            <v>8.3333333333333259E-2</v>
          </cell>
          <cell r="DD115">
            <v>2.3337578498968004E-2</v>
          </cell>
          <cell r="DJ115">
            <v>0.02</v>
          </cell>
          <cell r="DK115">
            <v>5.6822349641185044E-2</v>
          </cell>
          <cell r="DL115">
            <v>3.8505220952631536E-2</v>
          </cell>
          <cell r="DN115">
            <v>3.4834171513030254E-2</v>
          </cell>
          <cell r="DO115">
            <v>4.8414056445320819E-2</v>
          </cell>
          <cell r="DP115">
            <v>4.0791356348237384E-2</v>
          </cell>
          <cell r="DR115" t="str">
            <v xml:space="preserve">2001E/00E </v>
          </cell>
          <cell r="DS115">
            <v>0.03</v>
          </cell>
          <cell r="DT115">
            <v>0.04</v>
          </cell>
          <cell r="DU115">
            <v>3.6822766301143783E-2</v>
          </cell>
          <cell r="DW115">
            <v>0.02</v>
          </cell>
          <cell r="DX115">
            <v>0</v>
          </cell>
          <cell r="DY115">
            <v>8.7115959151990996E-3</v>
          </cell>
          <cell r="EA115">
            <v>0</v>
          </cell>
          <cell r="EB115">
            <v>0.02</v>
          </cell>
          <cell r="EC115">
            <v>1.8179772544144823E-2</v>
          </cell>
          <cell r="EE115">
            <v>0.02</v>
          </cell>
          <cell r="EF115">
            <v>0.05</v>
          </cell>
          <cell r="EG115">
            <v>4.6264251637422094E-2</v>
          </cell>
          <cell r="EI115">
            <v>0.03</v>
          </cell>
          <cell r="EJ115">
            <v>0.02</v>
          </cell>
          <cell r="EK115">
            <v>2.9040057408872721E-2</v>
          </cell>
          <cell r="EM115" t="str">
            <v xml:space="preserve">2001E/00E </v>
          </cell>
          <cell r="EN115">
            <v>0</v>
          </cell>
          <cell r="EO115">
            <v>0</v>
          </cell>
          <cell r="EP115">
            <v>0</v>
          </cell>
          <cell r="ER115">
            <v>0.03</v>
          </cell>
          <cell r="ES115">
            <v>0.05</v>
          </cell>
          <cell r="ET115">
            <v>3.5826187613085869E-2</v>
          </cell>
          <cell r="EV115" t="str">
            <v>NM</v>
          </cell>
          <cell r="EW115">
            <v>0.04</v>
          </cell>
          <cell r="EX115">
            <v>4.3059275862322277E-2</v>
          </cell>
          <cell r="EZ115">
            <v>0</v>
          </cell>
          <cell r="FA115">
            <v>0</v>
          </cell>
          <cell r="FB115">
            <v>0</v>
          </cell>
          <cell r="FD115">
            <v>2.272042174445521E-2</v>
          </cell>
          <cell r="FE115">
            <v>2.4501276438986253E-2</v>
          </cell>
          <cell r="FF115">
            <v>2.3880565740314053E-2</v>
          </cell>
          <cell r="FH115">
            <v>0.12732994480208082</v>
          </cell>
          <cell r="FI115">
            <v>0.12971485951716022</v>
          </cell>
          <cell r="FJ115">
            <v>0.12828424913276026</v>
          </cell>
        </row>
        <row r="116">
          <cell r="A116" t="str">
            <v xml:space="preserve">2002E/01E </v>
          </cell>
          <cell r="B116">
            <v>0.15</v>
          </cell>
          <cell r="C116">
            <v>0.25</v>
          </cell>
          <cell r="D116">
            <v>0.18328651137783769</v>
          </cell>
          <cell r="F116">
            <v>0</v>
          </cell>
          <cell r="G116">
            <v>0</v>
          </cell>
          <cell r="H116">
            <v>0</v>
          </cell>
          <cell r="J116">
            <v>-0.3</v>
          </cell>
          <cell r="K116">
            <v>0.04</v>
          </cell>
          <cell r="L116">
            <v>-0.13823245114686511</v>
          </cell>
          <cell r="R116">
            <v>-0.1</v>
          </cell>
          <cell r="S116">
            <v>2.86E-2</v>
          </cell>
          <cell r="T116">
            <v>-7.0837391971748986E-2</v>
          </cell>
          <cell r="V116">
            <v>0.1</v>
          </cell>
          <cell r="W116">
            <v>0.1</v>
          </cell>
          <cell r="X116">
            <v>0.10000000000000009</v>
          </cell>
          <cell r="Z116">
            <v>0.05</v>
          </cell>
          <cell r="AA116">
            <v>0.05</v>
          </cell>
          <cell r="AB116">
            <v>5.0000000000000044E-2</v>
          </cell>
          <cell r="AH116" t="str">
            <v xml:space="preserve">2002E/01E </v>
          </cell>
          <cell r="AQ116">
            <v>0</v>
          </cell>
          <cell r="AR116">
            <v>0</v>
          </cell>
          <cell r="AS116">
            <v>0</v>
          </cell>
          <cell r="AY116">
            <v>0.05</v>
          </cell>
          <cell r="AZ116">
            <v>0.03</v>
          </cell>
          <cell r="BA116">
            <v>3.6482874388945818E-2</v>
          </cell>
          <cell r="BC116">
            <v>0.10141738017425173</v>
          </cell>
          <cell r="BD116">
            <v>0.15785386696061798</v>
          </cell>
          <cell r="BE116">
            <v>0.12094072221053564</v>
          </cell>
          <cell r="BI116">
            <v>4.333333333333333</v>
          </cell>
          <cell r="BK116">
            <v>0.75</v>
          </cell>
          <cell r="BL116" t="str">
            <v>NM</v>
          </cell>
          <cell r="BM116">
            <v>1.1875</v>
          </cell>
          <cell r="BO116">
            <v>0.13771872100874694</v>
          </cell>
          <cell r="BP116">
            <v>0.19299773949188781</v>
          </cell>
          <cell r="BQ116">
            <v>0.15657839989734668</v>
          </cell>
          <cell r="BS116" t="str">
            <v xml:space="preserve">2002E/01E </v>
          </cell>
          <cell r="BT116">
            <v>4.9999999999999822E-2</v>
          </cell>
          <cell r="BU116">
            <v>0.05</v>
          </cell>
          <cell r="BV116">
            <v>5.0000000000000044E-2</v>
          </cell>
          <cell r="BX116">
            <v>0.05</v>
          </cell>
          <cell r="BY116">
            <v>0.05</v>
          </cell>
          <cell r="BZ116">
            <v>4.9999999999999822E-2</v>
          </cell>
          <cell r="CB116">
            <v>0</v>
          </cell>
          <cell r="CC116">
            <v>0</v>
          </cell>
          <cell r="CD116">
            <v>0</v>
          </cell>
          <cell r="CF116">
            <v>0.05</v>
          </cell>
          <cell r="CG116">
            <v>0.08</v>
          </cell>
          <cell r="CH116">
            <v>5.1137619754399344E-2</v>
          </cell>
          <cell r="CJ116">
            <v>0.05</v>
          </cell>
          <cell r="CK116">
            <v>0.03</v>
          </cell>
          <cell r="CL116">
            <v>4.7032938988445627E-2</v>
          </cell>
          <cell r="CR116">
            <v>-0.01</v>
          </cell>
          <cell r="CS116">
            <v>-0.01</v>
          </cell>
          <cell r="CT116">
            <v>-9.9999999999998979E-3</v>
          </cell>
          <cell r="CV116" t="str">
            <v xml:space="preserve">2002E/01E </v>
          </cell>
          <cell r="CX116">
            <v>0.03</v>
          </cell>
          <cell r="CY116">
            <v>0.02</v>
          </cell>
          <cell r="CZ116">
            <v>2.7805457848950832E-2</v>
          </cell>
          <cell r="DB116">
            <v>0.02</v>
          </cell>
          <cell r="DC116">
            <v>7.6923076923076872E-2</v>
          </cell>
          <cell r="DD116">
            <v>2.3175635835247954E-2</v>
          </cell>
          <cell r="DJ116">
            <v>0.02</v>
          </cell>
          <cell r="DK116">
            <v>5.4193406331214167E-2</v>
          </cell>
          <cell r="DL116">
            <v>3.748712641404417E-2</v>
          </cell>
          <cell r="DN116">
            <v>3.5150310177537225E-2</v>
          </cell>
          <cell r="DO116">
            <v>4.5857203101053123E-2</v>
          </cell>
          <cell r="DP116">
            <v>3.9881578764186409E-2</v>
          </cell>
          <cell r="DR116" t="str">
            <v xml:space="preserve">2002E/01E </v>
          </cell>
          <cell r="DS116">
            <v>0.03</v>
          </cell>
          <cell r="DT116">
            <v>0.03</v>
          </cell>
          <cell r="DU116">
            <v>3.0000000000000027E-2</v>
          </cell>
          <cell r="DW116">
            <v>0.02</v>
          </cell>
          <cell r="DX116">
            <v>0</v>
          </cell>
          <cell r="DY116">
            <v>8.8090866303969229E-3</v>
          </cell>
          <cell r="EA116">
            <v>0</v>
          </cell>
          <cell r="EB116">
            <v>0.02</v>
          </cell>
          <cell r="EC116">
            <v>1.8212273014119207E-2</v>
          </cell>
          <cell r="EE116">
            <v>0</v>
          </cell>
          <cell r="EF116">
            <v>0.05</v>
          </cell>
          <cell r="EG116">
            <v>4.3930049500933155E-2</v>
          </cell>
          <cell r="EI116">
            <v>0.03</v>
          </cell>
          <cell r="EJ116">
            <v>0.02</v>
          </cell>
          <cell r="EK116">
            <v>2.9048490449035125E-2</v>
          </cell>
          <cell r="EM116" t="str">
            <v xml:space="preserve">2002E/01E </v>
          </cell>
          <cell r="EN116">
            <v>0</v>
          </cell>
          <cell r="EO116">
            <v>0</v>
          </cell>
          <cell r="EP116">
            <v>0</v>
          </cell>
          <cell r="ER116">
            <v>0.03</v>
          </cell>
          <cell r="ES116">
            <v>0.05</v>
          </cell>
          <cell r="ET116">
            <v>3.5905910727973556E-2</v>
          </cell>
          <cell r="EV116" t="str">
            <v>NM</v>
          </cell>
          <cell r="EW116">
            <v>0.04</v>
          </cell>
          <cell r="EX116">
            <v>4.2780224139638667E-2</v>
          </cell>
          <cell r="EZ116">
            <v>0</v>
          </cell>
          <cell r="FA116">
            <v>0</v>
          </cell>
          <cell r="FB116">
            <v>0</v>
          </cell>
          <cell r="FD116">
            <v>2.2300195026214942E-2</v>
          </cell>
          <cell r="FE116">
            <v>2.2006113955851836E-2</v>
          </cell>
          <cell r="FF116">
            <v>2.2108498745950333E-2</v>
          </cell>
          <cell r="FH116">
            <v>0.11030698289999319</v>
          </cell>
          <cell r="FI116">
            <v>0.12549334831380476</v>
          </cell>
          <cell r="FJ116">
            <v>0.11639138913769598</v>
          </cell>
        </row>
        <row r="117">
          <cell r="A117" t="str">
            <v xml:space="preserve">2003E/02E </v>
          </cell>
          <cell r="B117">
            <v>0.12</v>
          </cell>
          <cell r="C117">
            <v>0.17</v>
          </cell>
          <cell r="D117">
            <v>0.13758159956283444</v>
          </cell>
          <cell r="F117">
            <v>0</v>
          </cell>
          <cell r="G117">
            <v>0</v>
          </cell>
          <cell r="H117">
            <v>0</v>
          </cell>
          <cell r="J117">
            <v>-0.25</v>
          </cell>
          <cell r="K117">
            <v>0.04</v>
          </cell>
          <cell r="L117">
            <v>-8.3484874474713089E-2</v>
          </cell>
          <cell r="R117">
            <v>0</v>
          </cell>
          <cell r="S117">
            <v>2.7799999999999998E-2</v>
          </cell>
          <cell r="T117">
            <v>6.9788679923825647E-3</v>
          </cell>
          <cell r="V117">
            <v>-0.5</v>
          </cell>
          <cell r="W117">
            <v>0.1</v>
          </cell>
          <cell r="X117">
            <v>-0.43098941784396672</v>
          </cell>
          <cell r="Z117">
            <v>0.05</v>
          </cell>
          <cell r="AA117">
            <v>0.05</v>
          </cell>
          <cell r="AB117">
            <v>5.0000000000000044E-2</v>
          </cell>
          <cell r="AH117" t="str">
            <v xml:space="preserve">2003E/02E </v>
          </cell>
          <cell r="AQ117">
            <v>0</v>
          </cell>
          <cell r="AR117">
            <v>0</v>
          </cell>
          <cell r="AS117">
            <v>0</v>
          </cell>
          <cell r="AY117">
            <v>0.05</v>
          </cell>
          <cell r="AZ117">
            <v>0.03</v>
          </cell>
          <cell r="BA117">
            <v>3.6567419758291475E-2</v>
          </cell>
          <cell r="BC117">
            <v>-2.4168791529670441E-2</v>
          </cell>
          <cell r="BD117">
            <v>0.11870667493274145</v>
          </cell>
          <cell r="BE117">
            <v>2.6884407103494601E-2</v>
          </cell>
          <cell r="BI117">
            <v>0.5</v>
          </cell>
          <cell r="BK117">
            <v>0.28571428571428581</v>
          </cell>
          <cell r="BL117" t="str">
            <v>NM</v>
          </cell>
          <cell r="BM117">
            <v>0.28571428571428581</v>
          </cell>
          <cell r="BO117">
            <v>-3.9555659332002335E-4</v>
          </cell>
          <cell r="BP117">
            <v>0.12830240698770345</v>
          </cell>
          <cell r="BQ117">
            <v>4.4895263989399359E-2</v>
          </cell>
          <cell r="BS117" t="str">
            <v xml:space="preserve">2003E/02E </v>
          </cell>
          <cell r="BT117">
            <v>0.05</v>
          </cell>
          <cell r="BU117">
            <v>0.05</v>
          </cell>
          <cell r="BV117">
            <v>4.9999999999999822E-2</v>
          </cell>
          <cell r="BX117">
            <v>0.05</v>
          </cell>
          <cell r="BY117">
            <v>0.05</v>
          </cell>
          <cell r="BZ117">
            <v>5.0000000000000044E-2</v>
          </cell>
          <cell r="CB117">
            <v>0</v>
          </cell>
          <cell r="CC117">
            <v>0</v>
          </cell>
          <cell r="CD117">
            <v>0</v>
          </cell>
          <cell r="CF117">
            <v>0.05</v>
          </cell>
          <cell r="CG117">
            <v>0.08</v>
          </cell>
          <cell r="CH117">
            <v>5.1168856781130589E-2</v>
          </cell>
          <cell r="CJ117">
            <v>0.05</v>
          </cell>
          <cell r="CK117">
            <v>0.03</v>
          </cell>
          <cell r="CL117">
            <v>4.7081206590450231E-2</v>
          </cell>
          <cell r="CR117">
            <v>-0.01</v>
          </cell>
          <cell r="CS117">
            <v>-0.01</v>
          </cell>
          <cell r="CT117">
            <v>-1.0000000000000009E-2</v>
          </cell>
          <cell r="CV117" t="str">
            <v xml:space="preserve">2003E/02E </v>
          </cell>
          <cell r="CX117">
            <v>0.03</v>
          </cell>
          <cell r="CY117">
            <v>0.02</v>
          </cell>
          <cell r="CZ117">
            <v>2.7822123849434721E-2</v>
          </cell>
          <cell r="DB117">
            <v>0.02</v>
          </cell>
          <cell r="DC117">
            <v>0</v>
          </cell>
          <cell r="DD117">
            <v>1.8825624950812525E-2</v>
          </cell>
          <cell r="DJ117">
            <v>0.02</v>
          </cell>
          <cell r="DK117">
            <v>6.1452842630641769E-2</v>
          </cell>
          <cell r="DL117">
            <v>4.154110506960107E-2</v>
          </cell>
          <cell r="DN117">
            <v>3.5462065005614329E-2</v>
          </cell>
          <cell r="DO117">
            <v>4.8314874419276066E-2</v>
          </cell>
          <cell r="DP117">
            <v>4.1174229668364593E-2</v>
          </cell>
          <cell r="DR117" t="str">
            <v xml:space="preserve">2003E/02E </v>
          </cell>
          <cell r="DS117">
            <v>0.03</v>
          </cell>
          <cell r="DT117">
            <v>0.03</v>
          </cell>
          <cell r="DU117">
            <v>3.0000000000000027E-2</v>
          </cell>
          <cell r="DW117">
            <v>0.02</v>
          </cell>
          <cell r="DX117">
            <v>0</v>
          </cell>
          <cell r="DY117">
            <v>8.9068075239262523E-3</v>
          </cell>
          <cell r="EA117">
            <v>0</v>
          </cell>
          <cell r="EB117">
            <v>0.02</v>
          </cell>
          <cell r="EC117">
            <v>1.8244249226549991E-2</v>
          </cell>
          <cell r="EE117">
            <v>0</v>
          </cell>
          <cell r="EF117">
            <v>0.05</v>
          </cell>
          <cell r="EG117">
            <v>4.418548158282376E-2</v>
          </cell>
          <cell r="EI117">
            <v>0.03</v>
          </cell>
          <cell r="EJ117">
            <v>0.02</v>
          </cell>
          <cell r="EK117">
            <v>2.9056857134535319E-2</v>
          </cell>
          <cell r="EM117" t="str">
            <v xml:space="preserve">2003E/02E </v>
          </cell>
          <cell r="EN117">
            <v>0</v>
          </cell>
          <cell r="EO117">
            <v>0</v>
          </cell>
          <cell r="EP117">
            <v>0</v>
          </cell>
          <cell r="ER117">
            <v>0.03</v>
          </cell>
          <cell r="ES117">
            <v>0.05</v>
          </cell>
          <cell r="ET117">
            <v>3.5986264003469826E-2</v>
          </cell>
          <cell r="EV117" t="str">
            <v>NM</v>
          </cell>
          <cell r="EW117">
            <v>0.04</v>
          </cell>
          <cell r="EX117">
            <v>4.2519672420614052E-2</v>
          </cell>
          <cell r="EZ117">
            <v>0</v>
          </cell>
          <cell r="FA117">
            <v>0</v>
          </cell>
          <cell r="FB117">
            <v>0</v>
          </cell>
          <cell r="FD117">
            <v>2.2401366120483601E-2</v>
          </cell>
          <cell r="FE117">
            <v>2.2321665336997087E-2</v>
          </cell>
          <cell r="FF117">
            <v>2.2349418495037243E-2</v>
          </cell>
          <cell r="FH117">
            <v>7.308325301845553E-3</v>
          </cell>
          <cell r="FI117">
            <v>9.2159086665294376E-2</v>
          </cell>
          <cell r="FJ117">
            <v>4.1580886092527747E-2</v>
          </cell>
        </row>
        <row r="118">
          <cell r="A118" t="str">
            <v xml:space="preserve">2004E/03E </v>
          </cell>
          <cell r="B118">
            <v>0.09</v>
          </cell>
          <cell r="C118">
            <v>0.12</v>
          </cell>
          <cell r="D118">
            <v>0.10084958028316637</v>
          </cell>
          <cell r="F118">
            <v>0</v>
          </cell>
          <cell r="G118">
            <v>0</v>
          </cell>
          <cell r="H118">
            <v>0</v>
          </cell>
          <cell r="J118">
            <v>-0.15</v>
          </cell>
          <cell r="K118">
            <v>0.04</v>
          </cell>
          <cell r="L118">
            <v>-2.6205031174608817E-2</v>
          </cell>
          <cell r="R118">
            <v>0</v>
          </cell>
          <cell r="S118">
            <v>0.02</v>
          </cell>
          <cell r="T118">
            <v>5.1245819189627007E-3</v>
          </cell>
          <cell r="V118">
            <v>-0.5</v>
          </cell>
          <cell r="W118">
            <v>0.05</v>
          </cell>
          <cell r="X118">
            <v>-0.37770759890439931</v>
          </cell>
          <cell r="Z118">
            <v>0.05</v>
          </cell>
          <cell r="AA118">
            <v>0.05</v>
          </cell>
          <cell r="AB118">
            <v>4.9999999999999822E-2</v>
          </cell>
          <cell r="AH118" t="str">
            <v xml:space="preserve">2004E/03E </v>
          </cell>
          <cell r="AQ118">
            <v>0</v>
          </cell>
          <cell r="AR118">
            <v>0</v>
          </cell>
          <cell r="AS118">
            <v>0</v>
          </cell>
          <cell r="AY118">
            <v>0.05</v>
          </cell>
          <cell r="AZ118">
            <v>0.03</v>
          </cell>
          <cell r="BA118">
            <v>3.6652525069536201E-2</v>
          </cell>
          <cell r="BC118">
            <v>1.7347409355073395E-2</v>
          </cell>
          <cell r="BD118">
            <v>8.8298475708957991E-2</v>
          </cell>
          <cell r="BE118">
            <v>4.4967105277444519E-2</v>
          </cell>
          <cell r="BI118">
            <v>0.33333333333333326</v>
          </cell>
          <cell r="BK118">
            <v>0.25</v>
          </cell>
          <cell r="BL118" t="str">
            <v>NM</v>
          </cell>
          <cell r="BM118">
            <v>0.22222222222222232</v>
          </cell>
          <cell r="BO118">
            <v>3.9166702407601894E-2</v>
          </cell>
          <cell r="BP118">
            <v>9.5605378407290997E-2</v>
          </cell>
          <cell r="BQ118">
            <v>6.0613778135774066E-2</v>
          </cell>
          <cell r="BS118" t="str">
            <v xml:space="preserve">2004E/03E </v>
          </cell>
          <cell r="BT118">
            <v>0.05</v>
          </cell>
          <cell r="BU118">
            <v>0.05</v>
          </cell>
          <cell r="BV118">
            <v>5.0000000000000044E-2</v>
          </cell>
          <cell r="BX118">
            <v>0.05</v>
          </cell>
          <cell r="BY118">
            <v>0.05</v>
          </cell>
          <cell r="BZ118">
            <v>5.0000000000000044E-2</v>
          </cell>
          <cell r="CB118">
            <v>0</v>
          </cell>
          <cell r="CC118">
            <v>0</v>
          </cell>
          <cell r="CD118">
            <v>0</v>
          </cell>
          <cell r="CF118">
            <v>0.05</v>
          </cell>
          <cell r="CG118">
            <v>0.05</v>
          </cell>
          <cell r="CH118">
            <v>4.9999999999999822E-2</v>
          </cell>
          <cell r="CJ118">
            <v>0.05</v>
          </cell>
          <cell r="CK118">
            <v>0.03</v>
          </cell>
          <cell r="CL118">
            <v>4.7128821343641825E-2</v>
          </cell>
          <cell r="CR118">
            <v>-0.01</v>
          </cell>
          <cell r="CS118">
            <v>-0.01</v>
          </cell>
          <cell r="CT118">
            <v>-1.000000000000012E-2</v>
          </cell>
          <cell r="CV118" t="str">
            <v xml:space="preserve">2004E/03E </v>
          </cell>
          <cell r="CX118">
            <v>0.03</v>
          </cell>
          <cell r="CY118">
            <v>0.02</v>
          </cell>
          <cell r="CZ118">
            <v>2.7838698329184952E-2</v>
          </cell>
          <cell r="DB118">
            <v>0.02</v>
          </cell>
          <cell r="DC118">
            <v>0</v>
          </cell>
          <cell r="DD118">
            <v>1.8847324782153896E-2</v>
          </cell>
          <cell r="DJ118">
            <v>0.02</v>
          </cell>
          <cell r="DK118">
            <v>2.900318283582437E-2</v>
          </cell>
          <cell r="DL118">
            <v>2.4767975568278811E-2</v>
          </cell>
          <cell r="DN118">
            <v>3.5769396156146716E-2</v>
          </cell>
          <cell r="DO118">
            <v>3.7203133933188637E-2</v>
          </cell>
          <cell r="DP118">
            <v>3.64109612349377E-2</v>
          </cell>
          <cell r="DR118" t="str">
            <v xml:space="preserve">2004E/03E </v>
          </cell>
          <cell r="DS118">
            <v>0.03</v>
          </cell>
          <cell r="DT118">
            <v>0.03</v>
          </cell>
          <cell r="DU118">
            <v>3.0000000000000027E-2</v>
          </cell>
          <cell r="DW118">
            <v>0.02</v>
          </cell>
          <cell r="DX118">
            <v>0</v>
          </cell>
          <cell r="DY118">
            <v>9.0047401867585641E-3</v>
          </cell>
          <cell r="EA118">
            <v>0</v>
          </cell>
          <cell r="EB118">
            <v>0.02</v>
          </cell>
          <cell r="EC118">
            <v>1.8275707645996064E-2</v>
          </cell>
          <cell r="EE118">
            <v>0</v>
          </cell>
          <cell r="EF118">
            <v>0.05</v>
          </cell>
          <cell r="EG118">
            <v>4.4431527233684376E-2</v>
          </cell>
          <cell r="EI118">
            <v>0.03</v>
          </cell>
          <cell r="EJ118">
            <v>0.02</v>
          </cell>
          <cell r="EK118">
            <v>2.9065157851964951E-2</v>
          </cell>
          <cell r="EM118" t="str">
            <v xml:space="preserve">2004E/03E </v>
          </cell>
          <cell r="EN118">
            <v>0</v>
          </cell>
          <cell r="EO118">
            <v>0</v>
          </cell>
          <cell r="EP118">
            <v>0</v>
          </cell>
          <cell r="ER118">
            <v>0.03</v>
          </cell>
          <cell r="ES118">
            <v>0.05</v>
          </cell>
          <cell r="ET118">
            <v>3.6067239906592219E-2</v>
          </cell>
          <cell r="EV118" t="str">
            <v>NM</v>
          </cell>
          <cell r="EW118">
            <v>3.9999999999999813E-2</v>
          </cell>
          <cell r="EX118">
            <v>4.2276388542874965E-2</v>
          </cell>
          <cell r="EZ118">
            <v>0</v>
          </cell>
          <cell r="FA118">
            <v>0</v>
          </cell>
          <cell r="FB118">
            <v>0</v>
          </cell>
          <cell r="FD118">
            <v>2.2501610682441386E-2</v>
          </cell>
          <cell r="FE118">
            <v>2.2637076921179888E-2</v>
          </cell>
          <cell r="FF118">
            <v>2.2589902893498159E-2</v>
          </cell>
          <cell r="FH118">
            <v>3.7415214464936897E-2</v>
          </cell>
          <cell r="FI118">
            <v>7.1399019090570448E-2</v>
          </cell>
          <cell r="FJ118">
            <v>5.1808359840511242E-2</v>
          </cell>
        </row>
        <row r="119">
          <cell r="A119" t="str">
            <v xml:space="preserve">2005E/04E </v>
          </cell>
          <cell r="B119">
            <v>7.0000000000000007E-2</v>
          </cell>
          <cell r="C119">
            <v>0.1</v>
          </cell>
          <cell r="D119">
            <v>8.1038319980120121E-2</v>
          </cell>
          <cell r="F119">
            <v>0</v>
          </cell>
          <cell r="G119">
            <v>0</v>
          </cell>
          <cell r="H119">
            <v>0</v>
          </cell>
          <cell r="J119">
            <v>-0.1</v>
          </cell>
          <cell r="K119">
            <v>0.04</v>
          </cell>
          <cell r="L119">
            <v>-2.5810952969608225E-3</v>
          </cell>
          <cell r="R119">
            <v>0</v>
          </cell>
          <cell r="S119">
            <v>0.02</v>
          </cell>
          <cell r="T119">
            <v>5.2004235607912008E-3</v>
          </cell>
          <cell r="V119">
            <v>-0.5</v>
          </cell>
          <cell r="W119">
            <v>0.05</v>
          </cell>
          <cell r="X119">
            <v>-0.29365484630005323</v>
          </cell>
          <cell r="Z119">
            <v>0.05</v>
          </cell>
          <cell r="AA119">
            <v>0.05</v>
          </cell>
          <cell r="AB119">
            <v>5.0000000000000044E-2</v>
          </cell>
          <cell r="AH119" t="str">
            <v xml:space="preserve">2005E/04E </v>
          </cell>
          <cell r="AQ119">
            <v>0</v>
          </cell>
          <cell r="AR119">
            <v>0</v>
          </cell>
          <cell r="AS119">
            <v>0</v>
          </cell>
          <cell r="AY119">
            <v>0.05</v>
          </cell>
          <cell r="AZ119">
            <v>0.03</v>
          </cell>
          <cell r="BA119">
            <v>3.6738180011228305E-2</v>
          </cell>
          <cell r="BC119">
            <v>3.3736707653501341E-2</v>
          </cell>
          <cell r="BD119">
            <v>7.6828075667515705E-2</v>
          </cell>
          <cell r="BE119">
            <v>5.1206818040480773E-2</v>
          </cell>
          <cell r="BI119">
            <v>0.25</v>
          </cell>
          <cell r="BK119">
            <v>0.11111111111111116</v>
          </cell>
          <cell r="BL119" t="str">
            <v>NM</v>
          </cell>
          <cell r="BM119">
            <v>0.18181818181818188</v>
          </cell>
          <cell r="BO119">
            <v>5.0524007373062618E-2</v>
          </cell>
          <cell r="BP119">
            <v>8.6676712484369256E-2</v>
          </cell>
          <cell r="BQ119">
            <v>6.4715528821518875E-2</v>
          </cell>
          <cell r="BS119" t="str">
            <v xml:space="preserve">2005E/04E </v>
          </cell>
          <cell r="BT119">
            <v>0.05</v>
          </cell>
          <cell r="BU119">
            <v>0.05</v>
          </cell>
          <cell r="BV119">
            <v>4.9999999999999822E-2</v>
          </cell>
          <cell r="BX119">
            <v>0.05</v>
          </cell>
          <cell r="BY119">
            <v>0.05</v>
          </cell>
          <cell r="BZ119">
            <v>5.0000000000000044E-2</v>
          </cell>
          <cell r="CB119">
            <v>0</v>
          </cell>
          <cell r="CC119">
            <v>0</v>
          </cell>
          <cell r="CD119">
            <v>0</v>
          </cell>
          <cell r="CF119">
            <v>0.05</v>
          </cell>
          <cell r="CG119">
            <v>0.05</v>
          </cell>
          <cell r="CH119">
            <v>5.0000000000000044E-2</v>
          </cell>
          <cell r="CJ119">
            <v>0.05</v>
          </cell>
          <cell r="CK119">
            <v>0.03</v>
          </cell>
          <cell r="CL119">
            <v>4.7175787777234524E-2</v>
          </cell>
          <cell r="CR119">
            <v>-0.01</v>
          </cell>
          <cell r="CS119">
            <v>-0.01</v>
          </cell>
          <cell r="CT119">
            <v>-1.0000000000000009E-2</v>
          </cell>
          <cell r="CV119" t="str">
            <v xml:space="preserve">2005E/04E </v>
          </cell>
          <cell r="CX119">
            <v>0.03</v>
          </cell>
          <cell r="CY119">
            <v>0.02</v>
          </cell>
          <cell r="CZ119">
            <v>2.7855181257705919E-2</v>
          </cell>
          <cell r="DB119">
            <v>0.02</v>
          </cell>
          <cell r="DC119">
            <v>0</v>
          </cell>
          <cell r="DD119">
            <v>1.8868647745536649E-2</v>
          </cell>
          <cell r="DJ119">
            <v>0.02</v>
          </cell>
          <cell r="DK119">
            <v>2.8557690215637255E-2</v>
          </cell>
          <cell r="DL119">
            <v>2.4550778375363791E-2</v>
          </cell>
          <cell r="DN119">
            <v>3.6072268787588513E-2</v>
          </cell>
          <cell r="DO119">
            <v>3.7285224588814003E-2</v>
          </cell>
          <cell r="DP119">
            <v>3.6615453810835419E-2</v>
          </cell>
          <cell r="DR119" t="str">
            <v xml:space="preserve">2005E/04E </v>
          </cell>
          <cell r="DS119">
            <v>0.03</v>
          </cell>
          <cell r="DT119">
            <v>0.03</v>
          </cell>
          <cell r="DU119">
            <v>3.0000000000000027E-2</v>
          </cell>
          <cell r="DW119">
            <v>0.02</v>
          </cell>
          <cell r="DX119">
            <v>0</v>
          </cell>
          <cell r="DY119">
            <v>9.1028660467875611E-3</v>
          </cell>
          <cell r="EA119">
            <v>0</v>
          </cell>
          <cell r="EB119">
            <v>0.02</v>
          </cell>
          <cell r="EC119">
            <v>1.8306654729110416E-2</v>
          </cell>
          <cell r="EE119">
            <v>0</v>
          </cell>
          <cell r="EF119">
            <v>0.05</v>
          </cell>
          <cell r="EG119">
            <v>4.4668417583042075E-2</v>
          </cell>
          <cell r="EI119">
            <v>0.03</v>
          </cell>
          <cell r="EJ119">
            <v>0.02</v>
          </cell>
          <cell r="EK119">
            <v>2.9073392988072655E-2</v>
          </cell>
          <cell r="EM119" t="str">
            <v xml:space="preserve">2005E/04E </v>
          </cell>
          <cell r="EN119">
            <v>0</v>
          </cell>
          <cell r="EO119">
            <v>0</v>
          </cell>
          <cell r="EP119">
            <v>0</v>
          </cell>
          <cell r="ER119">
            <v>0.03</v>
          </cell>
          <cell r="ES119">
            <v>0.05</v>
          </cell>
          <cell r="ET119">
            <v>3.6148830555144285E-2</v>
          </cell>
          <cell r="EV119" t="str">
            <v>NM</v>
          </cell>
          <cell r="EW119">
            <v>0.04</v>
          </cell>
          <cell r="EX119">
            <v>4.2049236416621394E-2</v>
          </cell>
          <cell r="EZ119">
            <v>0</v>
          </cell>
          <cell r="FA119">
            <v>0</v>
          </cell>
          <cell r="FB119">
            <v>0</v>
          </cell>
          <cell r="FD119">
            <v>2.26009193891612E-2</v>
          </cell>
          <cell r="FE119">
            <v>2.2952221361577818E-2</v>
          </cell>
          <cell r="FF119">
            <v>2.2829896432196017E-2</v>
          </cell>
          <cell r="FH119">
            <v>4.6076622029444181E-2</v>
          </cell>
          <cell r="FI119">
            <v>6.6667584743925756E-2</v>
          </cell>
          <cell r="FJ119">
            <v>5.4959935589752984E-2</v>
          </cell>
        </row>
        <row r="121">
          <cell r="A121" t="str">
            <v>2001E</v>
          </cell>
          <cell r="B121">
            <v>4369.3372799999997</v>
          </cell>
          <cell r="C121">
            <v>2180.0688000000005</v>
          </cell>
          <cell r="D121">
            <v>6549.4060800000007</v>
          </cell>
          <cell r="F121">
            <v>0</v>
          </cell>
          <cell r="G121">
            <v>0</v>
          </cell>
          <cell r="H121">
            <v>0</v>
          </cell>
          <cell r="J121">
            <v>302.21172000000001</v>
          </cell>
          <cell r="K121">
            <v>274.29376000000002</v>
          </cell>
          <cell r="L121">
            <v>576.50548000000003</v>
          </cell>
          <cell r="R121">
            <v>137.02000000000001</v>
          </cell>
          <cell r="S121">
            <v>40.184687799999999</v>
          </cell>
          <cell r="T121">
            <v>177.20468780000002</v>
          </cell>
          <cell r="V121">
            <v>1432.4399999999998</v>
          </cell>
          <cell r="W121">
            <v>186.16852800000001</v>
          </cell>
          <cell r="X121">
            <v>1618.6085279999998</v>
          </cell>
          <cell r="Z121">
            <v>465.36525000000006</v>
          </cell>
          <cell r="AA121">
            <v>135.98749999999998</v>
          </cell>
          <cell r="AB121">
            <v>601.35275000000001</v>
          </cell>
          <cell r="AH121" t="str">
            <v>2001E</v>
          </cell>
          <cell r="AQ121">
            <v>175.77</v>
          </cell>
          <cell r="AR121">
            <v>230.72</v>
          </cell>
          <cell r="AS121">
            <v>406.49</v>
          </cell>
          <cell r="AY121">
            <v>380.77200000000033</v>
          </cell>
          <cell r="AZ121">
            <v>793.92915000000016</v>
          </cell>
          <cell r="BA121">
            <v>1174.7011500000006</v>
          </cell>
          <cell r="BC121">
            <v>7262.9162500000002</v>
          </cell>
          <cell r="BD121">
            <v>3841.3524258000007</v>
          </cell>
          <cell r="BE121">
            <v>11104.268675800002</v>
          </cell>
          <cell r="BG121">
            <v>75</v>
          </cell>
          <cell r="BH121">
            <v>0</v>
          </cell>
          <cell r="BI121">
            <v>75</v>
          </cell>
          <cell r="BK121">
            <v>80</v>
          </cell>
          <cell r="BL121">
            <v>0</v>
          </cell>
          <cell r="BM121">
            <v>80</v>
          </cell>
          <cell r="BO121">
            <v>7417.9162500000002</v>
          </cell>
          <cell r="BP121">
            <v>3841.3524258000007</v>
          </cell>
          <cell r="BQ121">
            <v>11259.268675800002</v>
          </cell>
          <cell r="BS121" t="str">
            <v>2001E</v>
          </cell>
          <cell r="BT121">
            <v>263.49749999999995</v>
          </cell>
          <cell r="BU121">
            <v>615.60029999999995</v>
          </cell>
          <cell r="BV121">
            <v>879.09779999999989</v>
          </cell>
          <cell r="BX121">
            <v>416.63159999999999</v>
          </cell>
          <cell r="BY121">
            <v>136.6533</v>
          </cell>
          <cell r="BZ121">
            <v>553.28489999999999</v>
          </cell>
          <cell r="CB121">
            <v>86.111999999999995</v>
          </cell>
          <cell r="CC121">
            <v>129.96024</v>
          </cell>
          <cell r="CD121">
            <v>216.07223999999999</v>
          </cell>
          <cell r="CF121">
            <v>177.17174999999997</v>
          </cell>
          <cell r="CG121">
            <v>6.9832800000000006</v>
          </cell>
          <cell r="CH121">
            <v>184.15502999999998</v>
          </cell>
          <cell r="CJ121">
            <v>155.50919999999999</v>
          </cell>
          <cell r="CK121">
            <v>27.089000000000002</v>
          </cell>
          <cell r="CL121">
            <v>182.59819999999999</v>
          </cell>
          <cell r="CR121">
            <v>64.768275000000003</v>
          </cell>
          <cell r="CS121">
            <v>7.524</v>
          </cell>
          <cell r="CT121">
            <v>72.292275000000004</v>
          </cell>
          <cell r="CV121" t="str">
            <v>2001E</v>
          </cell>
          <cell r="CX121">
            <v>114.6596</v>
          </cell>
          <cell r="CY121">
            <v>32.237100000000005</v>
          </cell>
          <cell r="CZ121">
            <v>146.89670000000001</v>
          </cell>
          <cell r="DB121">
            <v>88.009680000000003</v>
          </cell>
          <cell r="DC121">
            <v>5.2</v>
          </cell>
          <cell r="DD121">
            <v>93.209680000000006</v>
          </cell>
          <cell r="DJ121">
            <v>472.91688000000005</v>
          </cell>
          <cell r="DK121">
            <v>495.02087268367933</v>
          </cell>
          <cell r="DL121">
            <v>967.93775268367938</v>
          </cell>
          <cell r="DN121">
            <v>1839.2764849999996</v>
          </cell>
          <cell r="DO121">
            <v>1456.2680926836795</v>
          </cell>
          <cell r="DP121">
            <v>3295.5445776836791</v>
          </cell>
          <cell r="DR121" t="str">
            <v>2001E</v>
          </cell>
          <cell r="DS121">
            <v>183.74684999999999</v>
          </cell>
          <cell r="DT121">
            <v>398.40735999999998</v>
          </cell>
          <cell r="DU121">
            <v>582.15420999999992</v>
          </cell>
          <cell r="DW121">
            <v>177.55446000000001</v>
          </cell>
          <cell r="DX121">
            <v>189.84</v>
          </cell>
          <cell r="DY121">
            <v>348.87366840000004</v>
          </cell>
          <cell r="EA121">
            <v>18.018000000000004</v>
          </cell>
          <cell r="EB121">
            <v>183.55640305263157</v>
          </cell>
          <cell r="EC121">
            <v>201.57440305263157</v>
          </cell>
          <cell r="EE121">
            <v>18.849599999999995</v>
          </cell>
          <cell r="EF121">
            <v>136.42019999999999</v>
          </cell>
          <cell r="EG121">
            <v>155.26979999999998</v>
          </cell>
          <cell r="EI121">
            <v>101.20780000000001</v>
          </cell>
          <cell r="EJ121">
            <v>10.64268</v>
          </cell>
          <cell r="EK121">
            <v>111.85048</v>
          </cell>
          <cell r="EM121" t="str">
            <v>2001E</v>
          </cell>
          <cell r="EN121">
            <v>53.881682242990657</v>
          </cell>
          <cell r="EO121">
            <v>39.55988235294118</v>
          </cell>
          <cell r="EP121">
            <v>93.441564595931837</v>
          </cell>
          <cell r="ER121">
            <v>129.90359999999998</v>
          </cell>
          <cell r="ES121">
            <v>54.434100000000001</v>
          </cell>
          <cell r="ET121">
            <v>184.33769999999998</v>
          </cell>
          <cell r="EV121">
            <v>3.4</v>
          </cell>
          <cell r="EW121">
            <v>127.52469589423725</v>
          </cell>
          <cell r="EX121">
            <v>130.92469589423726</v>
          </cell>
          <cell r="EZ121">
            <v>53.200000000000017</v>
          </cell>
          <cell r="FA121">
            <v>244.67999999999998</v>
          </cell>
          <cell r="FB121">
            <v>297.88</v>
          </cell>
          <cell r="FD121">
            <v>739.76199224299069</v>
          </cell>
          <cell r="FE121">
            <v>1385.0653212998102</v>
          </cell>
          <cell r="FF121">
            <v>2124.8273135428008</v>
          </cell>
          <cell r="FH121">
            <v>9996.9547272429918</v>
          </cell>
          <cell r="FI121">
            <v>6682.6858397834903</v>
          </cell>
          <cell r="FJ121">
            <v>16679.640567026483</v>
          </cell>
        </row>
        <row r="122">
          <cell r="A122" t="str">
            <v>2002E</v>
          </cell>
          <cell r="B122">
            <v>5024.7378719999997</v>
          </cell>
          <cell r="C122">
            <v>2725.0860000000007</v>
          </cell>
          <cell r="D122">
            <v>7749.8238720000008</v>
          </cell>
          <cell r="F122">
            <v>0</v>
          </cell>
          <cell r="G122">
            <v>0</v>
          </cell>
          <cell r="H122">
            <v>0</v>
          </cell>
          <cell r="J122">
            <v>211.548204</v>
          </cell>
          <cell r="K122">
            <v>285.26551040000004</v>
          </cell>
          <cell r="L122">
            <v>496.81371440000004</v>
          </cell>
          <cell r="R122">
            <v>123.31800000000001</v>
          </cell>
          <cell r="S122">
            <v>41.333969871080001</v>
          </cell>
          <cell r="T122">
            <v>164.65196987108001</v>
          </cell>
          <cell r="V122">
            <v>1575.6839999999997</v>
          </cell>
          <cell r="W122">
            <v>204.78538080000001</v>
          </cell>
          <cell r="X122">
            <v>1780.4693807999997</v>
          </cell>
          <cell r="Z122">
            <v>488.63351250000005</v>
          </cell>
          <cell r="AA122">
            <v>142.78687499999998</v>
          </cell>
          <cell r="AB122">
            <v>631.42038750000006</v>
          </cell>
          <cell r="AH122" t="str">
            <v>2002E</v>
          </cell>
          <cell r="AQ122">
            <v>175.77</v>
          </cell>
          <cell r="AR122">
            <v>230.72</v>
          </cell>
          <cell r="AS122">
            <v>406.49</v>
          </cell>
          <cell r="AY122">
            <v>399.81060000000036</v>
          </cell>
          <cell r="AZ122">
            <v>817.74702450000018</v>
          </cell>
          <cell r="BA122">
            <v>1217.5576245000007</v>
          </cell>
          <cell r="BC122">
            <v>7999.5021885000006</v>
          </cell>
          <cell r="BD122">
            <v>4447.7247605710809</v>
          </cell>
          <cell r="BE122">
            <v>12447.226949071082</v>
          </cell>
          <cell r="BG122">
            <v>300</v>
          </cell>
          <cell r="BH122">
            <v>100</v>
          </cell>
          <cell r="BI122">
            <v>400</v>
          </cell>
          <cell r="BK122">
            <v>140</v>
          </cell>
          <cell r="BL122">
            <v>35</v>
          </cell>
          <cell r="BM122">
            <v>175</v>
          </cell>
          <cell r="BO122">
            <v>8439.5021885000006</v>
          </cell>
          <cell r="BP122">
            <v>4582.7247605710809</v>
          </cell>
          <cell r="BQ122">
            <v>13022.226949071082</v>
          </cell>
          <cell r="BS122" t="str">
            <v>2002E</v>
          </cell>
          <cell r="BT122">
            <v>276.67237499999987</v>
          </cell>
          <cell r="BU122">
            <v>646.380315</v>
          </cell>
          <cell r="BV122">
            <v>923.05268999999987</v>
          </cell>
          <cell r="BX122">
            <v>437.46317999999997</v>
          </cell>
          <cell r="BY122">
            <v>143.48596499999999</v>
          </cell>
          <cell r="BZ122">
            <v>580.94914499999993</v>
          </cell>
          <cell r="CB122">
            <v>86.111999999999995</v>
          </cell>
          <cell r="CC122">
            <v>129.96024</v>
          </cell>
          <cell r="CD122">
            <v>216.07223999999999</v>
          </cell>
          <cell r="CF122">
            <v>186.03033749999997</v>
          </cell>
          <cell r="CG122">
            <v>7.5419424000000008</v>
          </cell>
          <cell r="CH122">
            <v>193.57227989999998</v>
          </cell>
          <cell r="CJ122">
            <v>163.28466</v>
          </cell>
          <cell r="CK122">
            <v>27.901670000000003</v>
          </cell>
          <cell r="CL122">
            <v>191.18633</v>
          </cell>
          <cell r="CR122">
            <v>64.120592250000001</v>
          </cell>
          <cell r="CS122">
            <v>7.44876</v>
          </cell>
          <cell r="CT122">
            <v>71.569352250000009</v>
          </cell>
          <cell r="CV122" t="str">
            <v>2002E</v>
          </cell>
          <cell r="CX122">
            <v>118.09938799999999</v>
          </cell>
          <cell r="CY122">
            <v>32.881842000000006</v>
          </cell>
          <cell r="CZ122">
            <v>150.98122999999998</v>
          </cell>
          <cell r="DB122">
            <v>89.769873599999997</v>
          </cell>
          <cell r="DC122">
            <v>5.6</v>
          </cell>
          <cell r="DD122">
            <v>95.369873599999991</v>
          </cell>
          <cell r="DJ122">
            <v>482.37521760000004</v>
          </cell>
          <cell r="DK122">
            <v>521.8477399794582</v>
          </cell>
          <cell r="DL122">
            <v>1004.2229575794582</v>
          </cell>
          <cell r="DN122">
            <v>1903.92762395</v>
          </cell>
          <cell r="DO122">
            <v>1523.0484743794582</v>
          </cell>
          <cell r="DP122">
            <v>3426.9760983294582</v>
          </cell>
          <cell r="DR122" t="str">
            <v>2002E</v>
          </cell>
          <cell r="DS122">
            <v>189.25925549999999</v>
          </cell>
          <cell r="DT122">
            <v>410.3595808</v>
          </cell>
          <cell r="DU122">
            <v>599.6188363</v>
          </cell>
          <cell r="DW122">
            <v>181.10554920000001</v>
          </cell>
          <cell r="DX122">
            <v>189.84</v>
          </cell>
          <cell r="DY122">
            <v>351.94692676800003</v>
          </cell>
          <cell r="EA122">
            <v>18.018000000000004</v>
          </cell>
          <cell r="EB122">
            <v>187.22753111368419</v>
          </cell>
          <cell r="EC122">
            <v>205.24553111368419</v>
          </cell>
          <cell r="EE122">
            <v>18.849599999999995</v>
          </cell>
          <cell r="EF122">
            <v>143.24121</v>
          </cell>
          <cell r="EG122">
            <v>162.09080999999998</v>
          </cell>
          <cell r="EI122">
            <v>104.244034</v>
          </cell>
          <cell r="EJ122">
            <v>10.855533600000001</v>
          </cell>
          <cell r="EK122">
            <v>115.0995676</v>
          </cell>
          <cell r="EM122" t="str">
            <v>2002E</v>
          </cell>
          <cell r="EN122">
            <v>53.881682242990657</v>
          </cell>
          <cell r="EO122">
            <v>39.55988235294118</v>
          </cell>
          <cell r="EP122">
            <v>93.441564595931837</v>
          </cell>
          <cell r="ER122">
            <v>133.80070799999999</v>
          </cell>
          <cell r="ES122">
            <v>57.155805000000001</v>
          </cell>
          <cell r="ET122">
            <v>190.95651299999997</v>
          </cell>
          <cell r="EV122">
            <v>3.9</v>
          </cell>
          <cell r="EW122">
            <v>132.62568373000676</v>
          </cell>
          <cell r="EX122">
            <v>136.52568373000676</v>
          </cell>
          <cell r="EZ122">
            <v>53.200000000000017</v>
          </cell>
          <cell r="FA122">
            <v>244.67999999999998</v>
          </cell>
          <cell r="FB122">
            <v>297.88</v>
          </cell>
          <cell r="FD122">
            <v>756.2588289429907</v>
          </cell>
          <cell r="FE122">
            <v>1415.5452265966323</v>
          </cell>
          <cell r="FF122">
            <v>2171.8040555396228</v>
          </cell>
          <cell r="FH122">
            <v>11099.688641392991</v>
          </cell>
          <cell r="FI122">
            <v>7521.318461547171</v>
          </cell>
          <cell r="FJ122">
            <v>18621.007102940162</v>
          </cell>
        </row>
        <row r="123">
          <cell r="A123" t="str">
            <v>2003E</v>
          </cell>
          <cell r="B123">
            <v>5627.7064166399996</v>
          </cell>
          <cell r="C123">
            <v>3188.3506200000011</v>
          </cell>
          <cell r="D123">
            <v>8816.0570366400007</v>
          </cell>
          <cell r="F123">
            <v>0</v>
          </cell>
          <cell r="G123">
            <v>0</v>
          </cell>
          <cell r="H123">
            <v>0</v>
          </cell>
          <cell r="J123">
            <v>158.66115300000001</v>
          </cell>
          <cell r="K123">
            <v>296.67613081600007</v>
          </cell>
          <cell r="L123">
            <v>455.33728381600008</v>
          </cell>
          <cell r="R123">
            <v>123.31800000000001</v>
          </cell>
          <cell r="S123">
            <v>42.483054233496027</v>
          </cell>
          <cell r="T123">
            <v>165.80105423349605</v>
          </cell>
          <cell r="V123">
            <v>787.84199999999987</v>
          </cell>
          <cell r="W123">
            <v>225.26391888000001</v>
          </cell>
          <cell r="X123">
            <v>1013.1059188799999</v>
          </cell>
          <cell r="Z123">
            <v>513.06518812500008</v>
          </cell>
          <cell r="AA123">
            <v>149.92621874999998</v>
          </cell>
          <cell r="AB123">
            <v>662.99140687500005</v>
          </cell>
          <cell r="AH123" t="str">
            <v>2003E</v>
          </cell>
          <cell r="AQ123">
            <v>175.77</v>
          </cell>
          <cell r="AR123">
            <v>230.72</v>
          </cell>
          <cell r="AS123">
            <v>406.49</v>
          </cell>
          <cell r="AY123">
            <v>419.8011300000004</v>
          </cell>
          <cell r="AZ123">
            <v>842.27943523500016</v>
          </cell>
          <cell r="BA123">
            <v>1262.0805652350004</v>
          </cell>
          <cell r="BC123">
            <v>7806.1638877650012</v>
          </cell>
          <cell r="BD123">
            <v>4975.6993779144977</v>
          </cell>
          <cell r="BE123">
            <v>12781.863265679498</v>
          </cell>
          <cell r="BG123">
            <v>450</v>
          </cell>
          <cell r="BH123">
            <v>150</v>
          </cell>
          <cell r="BI123">
            <v>600</v>
          </cell>
          <cell r="BK123">
            <v>180</v>
          </cell>
          <cell r="BL123">
            <v>45</v>
          </cell>
          <cell r="BM123">
            <v>225</v>
          </cell>
          <cell r="BO123">
            <v>8436.1638877650003</v>
          </cell>
          <cell r="BP123">
            <v>5170.6993779144977</v>
          </cell>
          <cell r="BQ123">
            <v>13606.863265679498</v>
          </cell>
          <cell r="BS123" t="str">
            <v>2003E</v>
          </cell>
          <cell r="BT123">
            <v>290.50599374999985</v>
          </cell>
          <cell r="BU123">
            <v>678.69933074999994</v>
          </cell>
          <cell r="BV123">
            <v>969.20532449999973</v>
          </cell>
          <cell r="BX123">
            <v>459.33633899999995</v>
          </cell>
          <cell r="BY123">
            <v>150.66026324999999</v>
          </cell>
          <cell r="BZ123">
            <v>609.99660224999991</v>
          </cell>
          <cell r="CB123">
            <v>86.111999999999995</v>
          </cell>
          <cell r="CC123">
            <v>129.96024</v>
          </cell>
          <cell r="CD123">
            <v>216.07223999999999</v>
          </cell>
          <cell r="CF123">
            <v>195.33185437499998</v>
          </cell>
          <cell r="CG123">
            <v>8.1452977920000009</v>
          </cell>
          <cell r="CH123">
            <v>203.47715216699999</v>
          </cell>
          <cell r="CJ123">
            <v>171.448893</v>
          </cell>
          <cell r="CK123">
            <v>28.738720100000002</v>
          </cell>
          <cell r="CL123">
            <v>200.18761309999999</v>
          </cell>
          <cell r="CR123">
            <v>63.479386327500002</v>
          </cell>
          <cell r="CS123">
            <v>7.3742723999999997</v>
          </cell>
          <cell r="CT123">
            <v>70.853658727500004</v>
          </cell>
          <cell r="CV123" t="str">
            <v>2003E</v>
          </cell>
          <cell r="CX123">
            <v>121.64236963999998</v>
          </cell>
          <cell r="CY123">
            <v>33.539478840000008</v>
          </cell>
          <cell r="CZ123">
            <v>155.18184847999999</v>
          </cell>
          <cell r="DB123">
            <v>91.565271072000002</v>
          </cell>
          <cell r="DC123">
            <v>5.6</v>
          </cell>
          <cell r="DD123">
            <v>97.165271071999996</v>
          </cell>
          <cell r="DJ123">
            <v>492.02272195200004</v>
          </cell>
          <cell r="DK123">
            <v>553.9167670215719</v>
          </cell>
          <cell r="DL123">
            <v>1045.939488973572</v>
          </cell>
          <cell r="DN123">
            <v>1971.4448291164997</v>
          </cell>
          <cell r="DO123">
            <v>1596.6343701535716</v>
          </cell>
          <cell r="DP123">
            <v>3568.0791992700715</v>
          </cell>
          <cell r="DR123" t="str">
            <v>2003E</v>
          </cell>
          <cell r="DS123">
            <v>194.937033165</v>
          </cell>
          <cell r="DT123">
            <v>422.67036822400001</v>
          </cell>
          <cell r="DU123">
            <v>617.60740138899996</v>
          </cell>
          <cell r="DW123">
            <v>184.727660184</v>
          </cell>
          <cell r="DX123">
            <v>189.84</v>
          </cell>
          <cell r="DY123">
            <v>355.08165030335999</v>
          </cell>
          <cell r="EA123">
            <v>18.018000000000004</v>
          </cell>
          <cell r="EB123">
            <v>190.97208173595789</v>
          </cell>
          <cell r="EC123">
            <v>208.99008173595789</v>
          </cell>
          <cell r="EE123">
            <v>18.849599999999995</v>
          </cell>
          <cell r="EF123">
            <v>150.40327049999999</v>
          </cell>
          <cell r="EG123">
            <v>169.25287049999997</v>
          </cell>
          <cell r="EI123">
            <v>107.37135502</v>
          </cell>
          <cell r="EJ123">
            <v>11.072644272000002</v>
          </cell>
          <cell r="EK123">
            <v>118.443999292</v>
          </cell>
          <cell r="EM123" t="str">
            <v>2003E</v>
          </cell>
          <cell r="EN123">
            <v>53.881682242990657</v>
          </cell>
          <cell r="EO123">
            <v>39.55988235294118</v>
          </cell>
          <cell r="EP123">
            <v>93.441564595931837</v>
          </cell>
          <cell r="ER123">
            <v>137.81472923999999</v>
          </cell>
          <cell r="ES123">
            <v>60.013595250000002</v>
          </cell>
          <cell r="ET123">
            <v>197.82832449</v>
          </cell>
          <cell r="EV123">
            <v>4.4000000000000004</v>
          </cell>
          <cell r="EW123">
            <v>137.93071107920701</v>
          </cell>
          <cell r="EX123">
            <v>142.33071107920702</v>
          </cell>
          <cell r="EZ123">
            <v>53.200000000000017</v>
          </cell>
          <cell r="FA123">
            <v>244.67999999999998</v>
          </cell>
          <cell r="FB123">
            <v>297.88</v>
          </cell>
          <cell r="FD123">
            <v>773.20005985199077</v>
          </cell>
          <cell r="FE123">
            <v>1447.142553414106</v>
          </cell>
          <cell r="FF123">
            <v>2220.342613266097</v>
          </cell>
          <cell r="FH123">
            <v>11180.808776733491</v>
          </cell>
          <cell r="FI123">
            <v>8214.4763014821747</v>
          </cell>
          <cell r="FJ123">
            <v>19395.285078215667</v>
          </cell>
        </row>
        <row r="124">
          <cell r="A124" t="str">
            <v>2004E</v>
          </cell>
          <cell r="B124">
            <v>6134.1999941375998</v>
          </cell>
          <cell r="C124">
            <v>3570.9526944000013</v>
          </cell>
          <cell r="D124">
            <v>9705.1526885376006</v>
          </cell>
          <cell r="F124">
            <v>0</v>
          </cell>
          <cell r="G124">
            <v>0</v>
          </cell>
          <cell r="H124">
            <v>0</v>
          </cell>
          <cell r="J124">
            <v>134.86198005</v>
          </cell>
          <cell r="K124">
            <v>308.54317604864008</v>
          </cell>
          <cell r="L124">
            <v>443.40515609864008</v>
          </cell>
          <cell r="R124">
            <v>123.31800000000001</v>
          </cell>
          <cell r="S124">
            <v>43.332715318165945</v>
          </cell>
          <cell r="T124">
            <v>166.65071531816596</v>
          </cell>
          <cell r="V124">
            <v>393.92099999999994</v>
          </cell>
          <cell r="W124">
            <v>236.52711482399999</v>
          </cell>
          <cell r="X124">
            <v>630.44811482399996</v>
          </cell>
          <cell r="Z124">
            <v>538.71844753125004</v>
          </cell>
          <cell r="AA124">
            <v>157.42252968749997</v>
          </cell>
          <cell r="AB124">
            <v>696.14097721874998</v>
          </cell>
          <cell r="AH124" t="str">
            <v>2004E</v>
          </cell>
          <cell r="AQ124">
            <v>175.77</v>
          </cell>
          <cell r="AR124">
            <v>230.72</v>
          </cell>
          <cell r="AS124">
            <v>406.49</v>
          </cell>
          <cell r="AY124">
            <v>440.79118650000044</v>
          </cell>
          <cell r="AZ124">
            <v>867.54781829205024</v>
          </cell>
          <cell r="BA124">
            <v>1308.3390047920507</v>
          </cell>
          <cell r="BC124">
            <v>7941.580608218851</v>
          </cell>
          <cell r="BD124">
            <v>5415.0460485703579</v>
          </cell>
          <cell r="BE124">
            <v>13356.626656789209</v>
          </cell>
          <cell r="BG124">
            <v>600</v>
          </cell>
          <cell r="BH124">
            <v>200</v>
          </cell>
          <cell r="BI124">
            <v>800</v>
          </cell>
          <cell r="BK124">
            <v>225</v>
          </cell>
          <cell r="BL124">
            <v>50</v>
          </cell>
          <cell r="BM124">
            <v>275</v>
          </cell>
          <cell r="BO124">
            <v>8766.5806082188501</v>
          </cell>
          <cell r="BP124">
            <v>5665.0460485703579</v>
          </cell>
          <cell r="BQ124">
            <v>14431.626656789209</v>
          </cell>
          <cell r="BS124" t="str">
            <v>2004E</v>
          </cell>
          <cell r="BT124">
            <v>305.03129343749981</v>
          </cell>
          <cell r="BU124">
            <v>712.63429728749998</v>
          </cell>
          <cell r="BV124">
            <v>1017.6655907249998</v>
          </cell>
          <cell r="BX124">
            <v>482.30315594999996</v>
          </cell>
          <cell r="BY124">
            <v>158.19327641249998</v>
          </cell>
          <cell r="BZ124">
            <v>640.49643236249995</v>
          </cell>
          <cell r="CB124">
            <v>86.111999999999995</v>
          </cell>
          <cell r="CC124">
            <v>129.96024</v>
          </cell>
          <cell r="CD124">
            <v>216.07223999999999</v>
          </cell>
          <cell r="CF124">
            <v>205.09844709374997</v>
          </cell>
          <cell r="CG124">
            <v>8.5525626816000013</v>
          </cell>
          <cell r="CH124">
            <v>213.65100977534996</v>
          </cell>
          <cell r="CJ124">
            <v>180.02133764999999</v>
          </cell>
          <cell r="CK124">
            <v>29.600881703000002</v>
          </cell>
          <cell r="CL124">
            <v>209.62221935299999</v>
          </cell>
          <cell r="CR124">
            <v>62.844592464225002</v>
          </cell>
          <cell r="CS124">
            <v>7.300529676</v>
          </cell>
          <cell r="CT124">
            <v>70.145122140224998</v>
          </cell>
          <cell r="CV124" t="str">
            <v>2004E</v>
          </cell>
          <cell r="CX124">
            <v>125.29164072919998</v>
          </cell>
          <cell r="CY124">
            <v>34.210268416800005</v>
          </cell>
          <cell r="CZ124">
            <v>159.501909146</v>
          </cell>
          <cell r="DB124">
            <v>93.396576493440008</v>
          </cell>
          <cell r="DC124">
            <v>5.6</v>
          </cell>
          <cell r="DD124">
            <v>98.996576493440003</v>
          </cell>
          <cell r="DJ124">
            <v>501.86317639104004</v>
          </cell>
          <cell r="DK124">
            <v>569.98211629132732</v>
          </cell>
          <cell r="DL124">
            <v>1071.8452926823675</v>
          </cell>
          <cell r="DN124">
            <v>2041.9622202091548</v>
          </cell>
          <cell r="DO124">
            <v>1656.0341724687273</v>
          </cell>
          <cell r="DP124">
            <v>3697.9963926778819</v>
          </cell>
          <cell r="DR124" t="str">
            <v>2004E</v>
          </cell>
          <cell r="DS124">
            <v>200.78514415994999</v>
          </cell>
          <cell r="DT124">
            <v>435.35047927072003</v>
          </cell>
          <cell r="DU124">
            <v>636.13562343066997</v>
          </cell>
          <cell r="DW124">
            <v>188.42221338767999</v>
          </cell>
          <cell r="DX124">
            <v>189.84</v>
          </cell>
          <cell r="DY124">
            <v>358.2790683094272</v>
          </cell>
          <cell r="EA124">
            <v>18.018000000000004</v>
          </cell>
          <cell r="EB124">
            <v>194.79152337067706</v>
          </cell>
          <cell r="EC124">
            <v>212.80952337067706</v>
          </cell>
          <cell r="EE124">
            <v>18.849599999999995</v>
          </cell>
          <cell r="EF124">
            <v>157.92343402499998</v>
          </cell>
          <cell r="EG124">
            <v>176.77303402499996</v>
          </cell>
          <cell r="EI124">
            <v>110.5924956706</v>
          </cell>
          <cell r="EJ124">
            <v>11.294097157440001</v>
          </cell>
          <cell r="EK124">
            <v>121.88659282804001</v>
          </cell>
          <cell r="EM124" t="str">
            <v>2004E</v>
          </cell>
          <cell r="EN124">
            <v>53.881682242990657</v>
          </cell>
          <cell r="EO124">
            <v>39.55988235294118</v>
          </cell>
          <cell r="EP124">
            <v>93.441564595931837</v>
          </cell>
          <cell r="ER124">
            <v>141.9491711172</v>
          </cell>
          <cell r="ES124">
            <v>63.014275012500001</v>
          </cell>
          <cell r="ET124">
            <v>204.9634461297</v>
          </cell>
          <cell r="EV124">
            <v>4.9000000000000004</v>
          </cell>
          <cell r="EW124">
            <v>143.44793952237526</v>
          </cell>
          <cell r="EX124">
            <v>148.34793952237527</v>
          </cell>
          <cell r="EZ124">
            <v>53.200000000000017</v>
          </cell>
          <cell r="FA124">
            <v>244.67999999999998</v>
          </cell>
          <cell r="FB124">
            <v>297.88</v>
          </cell>
          <cell r="FD124">
            <v>790.59830657842065</v>
          </cell>
          <cell r="FE124">
            <v>1479.9016307116538</v>
          </cell>
          <cell r="FF124">
            <v>2270.4999372900743</v>
          </cell>
          <cell r="FH124">
            <v>11599.141135006425</v>
          </cell>
          <cell r="FI124">
            <v>8800.9818517507392</v>
          </cell>
          <cell r="FJ124">
            <v>20400.122986757164</v>
          </cell>
        </row>
        <row r="125">
          <cell r="A125" t="str">
            <v>2005E</v>
          </cell>
          <cell r="B125">
            <v>6563.5939937272315</v>
          </cell>
          <cell r="C125">
            <v>3928.0479638400016</v>
          </cell>
          <cell r="D125">
            <v>10491.641957567233</v>
          </cell>
          <cell r="F125">
            <v>0</v>
          </cell>
          <cell r="G125">
            <v>0</v>
          </cell>
          <cell r="H125">
            <v>0</v>
          </cell>
          <cell r="J125">
            <v>121.37578204499999</v>
          </cell>
          <cell r="K125">
            <v>320.88490309058568</v>
          </cell>
          <cell r="L125">
            <v>442.26068513558567</v>
          </cell>
          <cell r="R125">
            <v>123.31800000000001</v>
          </cell>
          <cell r="S125">
            <v>44.199369624529261</v>
          </cell>
          <cell r="T125">
            <v>167.51736962452927</v>
          </cell>
          <cell r="V125">
            <v>196.96049999999997</v>
          </cell>
          <cell r="W125">
            <v>248.35347056519998</v>
          </cell>
          <cell r="X125">
            <v>445.31397056519995</v>
          </cell>
          <cell r="Z125">
            <v>565.65436990781257</v>
          </cell>
          <cell r="AA125">
            <v>165.29365617187497</v>
          </cell>
          <cell r="AB125">
            <v>730.94802607968757</v>
          </cell>
          <cell r="AH125" t="str">
            <v>2005E</v>
          </cell>
          <cell r="AQ125">
            <v>175.77</v>
          </cell>
          <cell r="AR125">
            <v>230.72</v>
          </cell>
          <cell r="AS125">
            <v>406.49</v>
          </cell>
          <cell r="AY125">
            <v>462.83074582500046</v>
          </cell>
          <cell r="AZ125">
            <v>893.57425284081182</v>
          </cell>
          <cell r="BA125">
            <v>1356.4049986658124</v>
          </cell>
          <cell r="BC125">
            <v>8209.5033915050462</v>
          </cell>
          <cell r="BD125">
            <v>5831.0736161330033</v>
          </cell>
          <cell r="BE125">
            <v>14040.57700763805</v>
          </cell>
          <cell r="BG125">
            <v>750</v>
          </cell>
          <cell r="BH125">
            <v>250</v>
          </cell>
          <cell r="BI125">
            <v>1000</v>
          </cell>
          <cell r="BK125">
            <v>250</v>
          </cell>
          <cell r="BL125">
            <v>75</v>
          </cell>
          <cell r="BM125">
            <v>325</v>
          </cell>
          <cell r="BO125">
            <v>9209.5033915050462</v>
          </cell>
          <cell r="BP125">
            <v>6156.0736161330033</v>
          </cell>
          <cell r="BQ125">
            <v>15365.57700763805</v>
          </cell>
          <cell r="BS125" t="str">
            <v>2005E</v>
          </cell>
          <cell r="BT125">
            <v>320.28285810937479</v>
          </cell>
          <cell r="BU125">
            <v>748.26601215187497</v>
          </cell>
          <cell r="BV125">
            <v>1068.5488702612497</v>
          </cell>
          <cell r="BX125">
            <v>506.41831374749995</v>
          </cell>
          <cell r="BY125">
            <v>166.10294023312497</v>
          </cell>
          <cell r="BZ125">
            <v>672.52125398062492</v>
          </cell>
          <cell r="CB125">
            <v>86.111999999999995</v>
          </cell>
          <cell r="CC125">
            <v>129.96024</v>
          </cell>
          <cell r="CD125">
            <v>216.07223999999999</v>
          </cell>
          <cell r="CF125">
            <v>215.35336944843746</v>
          </cell>
          <cell r="CG125">
            <v>8.9801908156800021</v>
          </cell>
          <cell r="CH125">
            <v>224.33356026411747</v>
          </cell>
          <cell r="CJ125">
            <v>189.02240453249999</v>
          </cell>
          <cell r="CK125">
            <v>30.488908154090002</v>
          </cell>
          <cell r="CL125">
            <v>219.51131268659</v>
          </cell>
          <cell r="CR125">
            <v>62.216146539582752</v>
          </cell>
          <cell r="CS125">
            <v>7.2275243792400001</v>
          </cell>
          <cell r="CT125">
            <v>69.443670918822747</v>
          </cell>
          <cell r="CV125" t="str">
            <v>2005E</v>
          </cell>
          <cell r="CX125">
            <v>129.05038995107597</v>
          </cell>
          <cell r="CY125">
            <v>34.894473785136007</v>
          </cell>
          <cell r="CZ125">
            <v>163.94486373621197</v>
          </cell>
          <cell r="DB125">
            <v>95.264508023308807</v>
          </cell>
          <cell r="DC125">
            <v>5.6</v>
          </cell>
          <cell r="DD125">
            <v>100.8645080233088</v>
          </cell>
          <cell r="DJ125">
            <v>511.90043991886085</v>
          </cell>
          <cell r="DK125">
            <v>586.2594889968284</v>
          </cell>
          <cell r="DL125">
            <v>1098.1599289156893</v>
          </cell>
          <cell r="DN125">
            <v>2115.6204302706406</v>
          </cell>
          <cell r="DO125">
            <v>1717.7797785159744</v>
          </cell>
          <cell r="DP125">
            <v>3833.4002087866147</v>
          </cell>
          <cell r="DR125" t="str">
            <v>2005E</v>
          </cell>
          <cell r="DS125">
            <v>206.8086984847485</v>
          </cell>
          <cell r="DT125">
            <v>448.41099364884161</v>
          </cell>
          <cell r="DU125">
            <v>655.21969213359012</v>
          </cell>
          <cell r="DW125">
            <v>192.1906576554336</v>
          </cell>
          <cell r="DX125">
            <v>189.84</v>
          </cell>
          <cell r="DY125">
            <v>361.54043467561576</v>
          </cell>
          <cell r="EA125">
            <v>18.018000000000004</v>
          </cell>
          <cell r="EB125">
            <v>198.68735383809059</v>
          </cell>
          <cell r="EC125">
            <v>216.70535383809059</v>
          </cell>
          <cell r="EE125">
            <v>18.849599999999995</v>
          </cell>
          <cell r="EF125">
            <v>165.81960572624999</v>
          </cell>
          <cell r="EG125">
            <v>184.66920572624997</v>
          </cell>
          <cell r="EI125">
            <v>113.910270540718</v>
          </cell>
          <cell r="EJ125">
            <v>11.519979100588801</v>
          </cell>
          <cell r="EK125">
            <v>125.4302496413068</v>
          </cell>
          <cell r="EM125" t="str">
            <v>2005E</v>
          </cell>
          <cell r="EN125">
            <v>53.881682242990657</v>
          </cell>
          <cell r="EO125">
            <v>39.55988235294118</v>
          </cell>
          <cell r="EP125">
            <v>93.441564595931837</v>
          </cell>
          <cell r="ER125">
            <v>146.20764625071598</v>
          </cell>
          <cell r="ES125">
            <v>66.164988763124995</v>
          </cell>
          <cell r="ET125">
            <v>212.37263501384098</v>
          </cell>
          <cell r="EV125">
            <v>5.4</v>
          </cell>
          <cell r="EW125">
            <v>149.18585710327028</v>
          </cell>
          <cell r="EX125">
            <v>154.58585710327029</v>
          </cell>
          <cell r="EZ125">
            <v>53.200000000000017</v>
          </cell>
          <cell r="FA125">
            <v>244.67999999999998</v>
          </cell>
          <cell r="FB125">
            <v>297.88</v>
          </cell>
          <cell r="FD125">
            <v>808.46655517460692</v>
          </cell>
          <cell r="FE125">
            <v>1513.8686605331075</v>
          </cell>
          <cell r="FF125">
            <v>2322.3352157077143</v>
          </cell>
          <cell r="FH125">
            <v>12133.590376950295</v>
          </cell>
          <cell r="FI125">
            <v>9387.7220551820847</v>
          </cell>
          <cell r="FJ125">
            <v>21521.312432132378</v>
          </cell>
        </row>
        <row r="127">
          <cell r="A127" t="str">
            <v>E = Morgan Stanley Dean Witter Research Estimates             NM = Not Meaningful             A = Actual</v>
          </cell>
          <cell r="AH127" t="str">
            <v>E = Morgan Stanley Dean Witter Research Estimates             NM = Not Meaningful             A = Actual</v>
          </cell>
          <cell r="BS127" t="str">
            <v>E = Morgan Stanley Dean Witter Research Estimates       A = Actual          NM = Not Meaningful</v>
          </cell>
          <cell r="CV127" t="str">
            <v>E = Morgan Stanley Dean Witter Research Estimates             NM = Not Meaningful             A = Actual</v>
          </cell>
          <cell r="DR127" t="str">
            <v>E = Morgan Stanley Dean Witter Research Estimates             NM = Not Meaningful             A = Actual</v>
          </cell>
          <cell r="EM127" t="str">
            <v>E = Morgan Stanley Dean Witter Research Estimates             NM = Not Meaningful             A = Actual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c1"/>
    </sheetNames>
    <sheetDataSet>
      <sheetData sheetId="0" refreshError="1">
        <row r="1">
          <cell r="A1" t="str">
            <v>Exhibit 12</v>
          </cell>
        </row>
        <row r="2">
          <cell r="A2" t="str">
            <v>U.S. Androgen Market</v>
          </cell>
        </row>
        <row r="3">
          <cell r="A3" t="str">
            <v xml:space="preserve">($ Million) </v>
          </cell>
        </row>
        <row r="4">
          <cell r="B4">
            <v>1997</v>
          </cell>
          <cell r="C4">
            <v>1998</v>
          </cell>
          <cell r="D4">
            <v>1999</v>
          </cell>
          <cell r="E4" t="str">
            <v>2000E</v>
          </cell>
          <cell r="F4" t="str">
            <v>2001E</v>
          </cell>
          <cell r="G4" t="str">
            <v>2002E</v>
          </cell>
          <cell r="H4" t="str">
            <v>2003E</v>
          </cell>
          <cell r="I4" t="str">
            <v>2004E</v>
          </cell>
          <cell r="J4" t="str">
            <v>2005E</v>
          </cell>
        </row>
        <row r="6">
          <cell r="A6" t="str">
            <v xml:space="preserve">Patient Population </v>
          </cell>
          <cell r="B6">
            <v>5000000</v>
          </cell>
          <cell r="C6">
            <v>5000000</v>
          </cell>
          <cell r="D6">
            <v>5000000</v>
          </cell>
          <cell r="E6">
            <v>5000000</v>
          </cell>
          <cell r="F6">
            <v>5000000</v>
          </cell>
          <cell r="G6">
            <v>5000000</v>
          </cell>
          <cell r="H6">
            <v>5000000</v>
          </cell>
          <cell r="I6">
            <v>5000000</v>
          </cell>
          <cell r="J6">
            <v>5000000</v>
          </cell>
        </row>
        <row r="7">
          <cell r="A7" t="str">
            <v xml:space="preserve">  % Treated</v>
          </cell>
          <cell r="B7">
            <v>0.03</v>
          </cell>
          <cell r="C7">
            <v>0.05</v>
          </cell>
          <cell r="D7">
            <v>7.0000000000000007E-2</v>
          </cell>
          <cell r="E7">
            <v>8.5300000000000001E-2</v>
          </cell>
          <cell r="F7">
            <v>9.1700000000000004E-2</v>
          </cell>
          <cell r="G7">
            <v>9.5799999999999996E-2</v>
          </cell>
          <cell r="H7">
            <v>0.1</v>
          </cell>
          <cell r="I7">
            <v>0.1</v>
          </cell>
          <cell r="J7">
            <v>0.1</v>
          </cell>
        </row>
        <row r="8">
          <cell r="A8" t="str">
            <v xml:space="preserve">  Patients Treated</v>
          </cell>
          <cell r="B8">
            <v>150000</v>
          </cell>
          <cell r="C8">
            <v>250000</v>
          </cell>
          <cell r="D8">
            <v>350000.00000000006</v>
          </cell>
          <cell r="E8">
            <v>426500</v>
          </cell>
          <cell r="F8">
            <v>458500</v>
          </cell>
          <cell r="G8">
            <v>479000</v>
          </cell>
          <cell r="H8">
            <v>500000</v>
          </cell>
          <cell r="I8">
            <v>500000</v>
          </cell>
          <cell r="J8">
            <v>500000</v>
          </cell>
        </row>
        <row r="10">
          <cell r="A10" t="str">
            <v>% of Population Treated</v>
          </cell>
          <cell r="B10">
            <v>0.03</v>
          </cell>
          <cell r="C10">
            <v>0.05</v>
          </cell>
          <cell r="D10">
            <v>7.0000000000000007E-2</v>
          </cell>
          <cell r="E10">
            <v>8.5300000000000001E-2</v>
          </cell>
          <cell r="F10">
            <v>9.1700000000000004E-2</v>
          </cell>
          <cell r="G10">
            <v>9.5799999999999996E-2</v>
          </cell>
          <cell r="H10">
            <v>0.1</v>
          </cell>
          <cell r="I10">
            <v>0.1</v>
          </cell>
          <cell r="J10">
            <v>0.1</v>
          </cell>
        </row>
        <row r="12">
          <cell r="A12" t="str">
            <v>Rx Per Person Per Year</v>
          </cell>
          <cell r="B12">
            <v>1.6466666666666667</v>
          </cell>
          <cell r="C12">
            <v>1.0720000000000001</v>
          </cell>
          <cell r="D12">
            <v>1.0720000000000001</v>
          </cell>
          <cell r="E12">
            <v>1.0720000000000001</v>
          </cell>
          <cell r="F12">
            <v>1.0720000000000001</v>
          </cell>
          <cell r="G12">
            <v>1.0720000000000001</v>
          </cell>
          <cell r="H12">
            <v>1.0720000000000001</v>
          </cell>
          <cell r="I12">
            <v>1.0720000000000001</v>
          </cell>
          <cell r="J12">
            <v>1.0720000000000001</v>
          </cell>
        </row>
        <row r="14">
          <cell r="A14" t="str">
            <v>Testoderm - Alza</v>
          </cell>
        </row>
        <row r="15">
          <cell r="A15" t="str">
            <v xml:space="preserve">  Sales</v>
          </cell>
          <cell r="B15">
            <v>5.4839999999999982</v>
          </cell>
          <cell r="C15">
            <v>7.2289999999999992</v>
          </cell>
          <cell r="D15">
            <v>17.483999999999998</v>
          </cell>
          <cell r="E15">
            <v>26.393325117037719</v>
          </cell>
          <cell r="F15">
            <v>31.484185089853447</v>
          </cell>
          <cell r="G15">
            <v>35.822775934485414</v>
          </cell>
          <cell r="H15">
            <v>40.010824895510851</v>
          </cell>
          <cell r="I15">
            <v>42.811582638196612</v>
          </cell>
          <cell r="J15">
            <v>45.808393422870381</v>
          </cell>
        </row>
        <row r="16">
          <cell r="A16" t="str">
            <v xml:space="preserve">  TRx</v>
          </cell>
          <cell r="B16">
            <v>72</v>
          </cell>
          <cell r="C16">
            <v>84</v>
          </cell>
          <cell r="D16">
            <v>175</v>
          </cell>
          <cell r="E16">
            <v>246.89232000000004</v>
          </cell>
          <cell r="F16">
            <v>275.24672000000004</v>
          </cell>
          <cell r="G16">
            <v>292.68815999999998</v>
          </cell>
          <cell r="H16">
            <v>305.52</v>
          </cell>
          <cell r="I16">
            <v>305.52</v>
          </cell>
          <cell r="J16">
            <v>305.52</v>
          </cell>
        </row>
        <row r="17">
          <cell r="A17" t="str">
            <v xml:space="preserve">  Price</v>
          </cell>
          <cell r="B17">
            <v>76.166666666666643</v>
          </cell>
          <cell r="C17">
            <v>86.059523809523796</v>
          </cell>
          <cell r="D17">
            <v>99.908571428571435</v>
          </cell>
          <cell r="E17">
            <v>106.90217142857144</v>
          </cell>
          <cell r="F17">
            <v>114.38532342857144</v>
          </cell>
          <cell r="G17">
            <v>122.39229606857145</v>
          </cell>
          <cell r="H17">
            <v>130.95975679337147</v>
          </cell>
          <cell r="I17">
            <v>140.12693976890748</v>
          </cell>
          <cell r="J17">
            <v>149.93582555273102</v>
          </cell>
        </row>
        <row r="18">
          <cell r="A18" t="str">
            <v xml:space="preserve">  Price from Redbook - </v>
          </cell>
        </row>
        <row r="20">
          <cell r="A20" t="str">
            <v>Androderm - Watson</v>
          </cell>
        </row>
        <row r="21">
          <cell r="A21" t="str">
            <v xml:space="preserve">  Sales</v>
          </cell>
          <cell r="B21">
            <v>16.524000000000001</v>
          </cell>
          <cell r="C21">
            <v>18.571000000000002</v>
          </cell>
          <cell r="D21">
            <v>19.523</v>
          </cell>
          <cell r="E21">
            <v>22.811072336888888</v>
          </cell>
          <cell r="F21">
            <v>24.629191191733334</v>
          </cell>
          <cell r="G21">
            <v>26.402886067460006</v>
          </cell>
          <cell r="H21">
            <v>28.938445063500005</v>
          </cell>
          <cell r="I21">
            <v>30.385367316675005</v>
          </cell>
          <cell r="J21">
            <v>31.904635682508758</v>
          </cell>
        </row>
        <row r="22">
          <cell r="A22" t="str">
            <v xml:space="preserve">  TRx</v>
          </cell>
          <cell r="B22">
            <v>175</v>
          </cell>
          <cell r="C22">
            <v>184</v>
          </cell>
          <cell r="D22">
            <v>189</v>
          </cell>
          <cell r="E22">
            <v>210.31567999999999</v>
          </cell>
          <cell r="F22">
            <v>216.26527999999999</v>
          </cell>
          <cell r="G22">
            <v>220.79984000000005</v>
          </cell>
          <cell r="H22">
            <v>230.48000000000002</v>
          </cell>
          <cell r="I22">
            <v>230.48000000000002</v>
          </cell>
          <cell r="J22">
            <v>230.48000000000002</v>
          </cell>
        </row>
        <row r="23">
          <cell r="A23" t="str">
            <v xml:space="preserve">  Price</v>
          </cell>
          <cell r="B23">
            <v>94.42285714285714</v>
          </cell>
          <cell r="C23">
            <v>100.92934782608695</v>
          </cell>
          <cell r="D23">
            <v>103.29629629629629</v>
          </cell>
          <cell r="E23">
            <v>108.46111111111111</v>
          </cell>
          <cell r="F23">
            <v>113.88416666666667</v>
          </cell>
          <cell r="G23">
            <v>119.57837500000001</v>
          </cell>
          <cell r="H23">
            <v>125.55729375000001</v>
          </cell>
          <cell r="I23">
            <v>131.83515843750001</v>
          </cell>
          <cell r="J23">
            <v>138.42691635937501</v>
          </cell>
        </row>
        <row r="24">
          <cell r="A24" t="str">
            <v xml:space="preserve">  Price from Redbook - </v>
          </cell>
        </row>
        <row r="26">
          <cell r="A26" t="str">
            <v>Total</v>
          </cell>
        </row>
        <row r="27">
          <cell r="A27" t="str">
            <v xml:space="preserve">  Sales</v>
          </cell>
          <cell r="B27">
            <v>22.007999999999999</v>
          </cell>
          <cell r="C27">
            <v>25.8</v>
          </cell>
          <cell r="D27">
            <v>37.006999999999998</v>
          </cell>
          <cell r="E27">
            <v>49.204397453926603</v>
          </cell>
          <cell r="F27">
            <v>56.113376281586781</v>
          </cell>
          <cell r="G27">
            <v>62.225662001945423</v>
          </cell>
          <cell r="H27">
            <v>68.949269959010849</v>
          </cell>
          <cell r="I27">
            <v>73.196949954871613</v>
          </cell>
          <cell r="J27">
            <v>77.713029105379135</v>
          </cell>
        </row>
        <row r="28">
          <cell r="A28" t="str">
            <v xml:space="preserve">  TRx</v>
          </cell>
          <cell r="B28">
            <v>247</v>
          </cell>
          <cell r="C28">
            <v>268</v>
          </cell>
          <cell r="D28">
            <v>364</v>
          </cell>
          <cell r="E28">
            <v>457.20800000000003</v>
          </cell>
          <cell r="F28">
            <v>491.51200000000006</v>
          </cell>
          <cell r="G28">
            <v>513.48800000000006</v>
          </cell>
          <cell r="H28">
            <v>536</v>
          </cell>
          <cell r="I28">
            <v>536</v>
          </cell>
          <cell r="J28">
            <v>536</v>
          </cell>
        </row>
        <row r="29">
          <cell r="A29" t="str">
            <v xml:space="preserve">  Price</v>
          </cell>
          <cell r="B29">
            <v>89.10121457489879</v>
          </cell>
          <cell r="C29">
            <v>96.268656716417908</v>
          </cell>
          <cell r="D29">
            <v>101.66758241758242</v>
          </cell>
          <cell r="E29">
            <v>107.61928368253969</v>
          </cell>
          <cell r="F29">
            <v>114.16481445333334</v>
          </cell>
          <cell r="G29">
            <v>121.18231000908573</v>
          </cell>
          <cell r="H29">
            <v>128.63669768472175</v>
          </cell>
          <cell r="I29">
            <v>136.56147379640225</v>
          </cell>
          <cell r="J29">
            <v>144.98699459958792</v>
          </cell>
        </row>
        <row r="31">
          <cell r="A31" t="str">
            <v>Total Rxs</v>
          </cell>
        </row>
        <row r="32">
          <cell r="A32" t="str">
            <v>Testoderm/TTS</v>
          </cell>
          <cell r="B32">
            <v>72</v>
          </cell>
          <cell r="C32">
            <v>84</v>
          </cell>
          <cell r="D32">
            <v>175</v>
          </cell>
          <cell r="E32">
            <v>246.89232000000004</v>
          </cell>
          <cell r="F32">
            <v>275.24672000000004</v>
          </cell>
          <cell r="G32">
            <v>292.68815999999998</v>
          </cell>
          <cell r="H32">
            <v>305.52</v>
          </cell>
          <cell r="I32">
            <v>305.52</v>
          </cell>
          <cell r="J32">
            <v>305.52</v>
          </cell>
        </row>
        <row r="33">
          <cell r="A33" t="str">
            <v>Androderm</v>
          </cell>
          <cell r="B33">
            <v>175</v>
          </cell>
          <cell r="C33">
            <v>184</v>
          </cell>
          <cell r="D33">
            <v>189</v>
          </cell>
          <cell r="E33">
            <v>210.31567999999999</v>
          </cell>
          <cell r="F33">
            <v>216.26527999999999</v>
          </cell>
          <cell r="G33">
            <v>220.79984000000005</v>
          </cell>
          <cell r="H33">
            <v>230.48000000000002</v>
          </cell>
          <cell r="I33">
            <v>230.48000000000002</v>
          </cell>
          <cell r="J33">
            <v>230.48000000000002</v>
          </cell>
        </row>
        <row r="34">
          <cell r="A34" t="str">
            <v xml:space="preserve">  Total</v>
          </cell>
          <cell r="B34">
            <v>247</v>
          </cell>
          <cell r="C34">
            <v>268</v>
          </cell>
          <cell r="D34">
            <v>364</v>
          </cell>
          <cell r="E34">
            <v>457.20800000000003</v>
          </cell>
          <cell r="F34">
            <v>491.51200000000006</v>
          </cell>
          <cell r="G34">
            <v>513.48800000000006</v>
          </cell>
          <cell r="H34">
            <v>536</v>
          </cell>
          <cell r="I34">
            <v>536</v>
          </cell>
          <cell r="J34">
            <v>536</v>
          </cell>
        </row>
        <row r="35">
          <cell r="A35" t="str">
            <v xml:space="preserve">    % Growth</v>
          </cell>
          <cell r="C35">
            <v>8.5020242914979782E-2</v>
          </cell>
          <cell r="D35">
            <v>0.35820895522388052</v>
          </cell>
          <cell r="E35">
            <v>0.25606593406593414</v>
          </cell>
          <cell r="F35">
            <v>7.5029308323564026E-2</v>
          </cell>
          <cell r="G35">
            <v>4.4711014176663122E-2</v>
          </cell>
          <cell r="H35">
            <v>4.3841336116910101E-2</v>
          </cell>
          <cell r="I35">
            <v>0</v>
          </cell>
          <cell r="J35">
            <v>0</v>
          </cell>
        </row>
        <row r="37">
          <cell r="A37" t="str">
            <v>% of Total Rx</v>
          </cell>
        </row>
        <row r="38">
          <cell r="A38" t="str">
            <v>Testoderm/TTS</v>
          </cell>
          <cell r="B38">
            <v>0.291497975708502</v>
          </cell>
          <cell r="C38">
            <v>0.31343283582089554</v>
          </cell>
          <cell r="D38">
            <v>0.48076923076923078</v>
          </cell>
          <cell r="E38">
            <v>0.54</v>
          </cell>
          <cell r="F38">
            <v>0.56000000000000005</v>
          </cell>
          <cell r="G38">
            <v>0.56999999999999995</v>
          </cell>
          <cell r="H38">
            <v>0.56999999999999995</v>
          </cell>
          <cell r="I38">
            <v>0.56999999999999995</v>
          </cell>
          <cell r="J38">
            <v>0.56999999999999995</v>
          </cell>
        </row>
        <row r="39">
          <cell r="A39" t="str">
            <v>Androderm</v>
          </cell>
          <cell r="B39">
            <v>0.708502024291498</v>
          </cell>
          <cell r="C39">
            <v>0.68656716417910446</v>
          </cell>
          <cell r="D39">
            <v>0.51923076923076927</v>
          </cell>
          <cell r="E39">
            <v>0.45999999999999996</v>
          </cell>
          <cell r="F39">
            <v>0.43999999999999995</v>
          </cell>
          <cell r="G39">
            <v>0.43000000000000005</v>
          </cell>
          <cell r="H39">
            <v>0.43000000000000005</v>
          </cell>
          <cell r="I39">
            <v>0.43000000000000005</v>
          </cell>
          <cell r="J39">
            <v>0.43000000000000005</v>
          </cell>
        </row>
        <row r="40">
          <cell r="A40" t="str">
            <v xml:space="preserve">  Total</v>
          </cell>
          <cell r="B40">
            <v>1</v>
          </cell>
          <cell r="C40">
            <v>1</v>
          </cell>
          <cell r="D40">
            <v>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J40">
            <v>1</v>
          </cell>
        </row>
        <row r="42">
          <cell r="A42" t="str">
            <v>Total Sales - ($millions)</v>
          </cell>
        </row>
        <row r="43">
          <cell r="A43" t="str">
            <v>Testoderm/TTS</v>
          </cell>
          <cell r="B43">
            <v>6.3</v>
          </cell>
          <cell r="C43">
            <v>10</v>
          </cell>
          <cell r="D43">
            <v>20.8</v>
          </cell>
          <cell r="E43">
            <v>26.393325117037719</v>
          </cell>
          <cell r="F43">
            <v>31.484185089853447</v>
          </cell>
          <cell r="G43">
            <v>35.822775934485414</v>
          </cell>
          <cell r="H43">
            <v>40.010824895510851</v>
          </cell>
          <cell r="I43">
            <v>42.811582638196612</v>
          </cell>
          <cell r="J43">
            <v>45.808393422870381</v>
          </cell>
        </row>
        <row r="44">
          <cell r="A44" t="str">
            <v>Androderm</v>
          </cell>
          <cell r="B44">
            <v>16.524000000000001</v>
          </cell>
          <cell r="C44">
            <v>18.571000000000002</v>
          </cell>
          <cell r="D44">
            <v>19.523</v>
          </cell>
          <cell r="E44">
            <v>22.811072336888888</v>
          </cell>
          <cell r="F44">
            <v>24.629191191733334</v>
          </cell>
          <cell r="G44">
            <v>26.402886067460006</v>
          </cell>
          <cell r="H44">
            <v>28.938445063500005</v>
          </cell>
          <cell r="I44">
            <v>30.385367316675005</v>
          </cell>
          <cell r="J44">
            <v>31.904635682508758</v>
          </cell>
        </row>
        <row r="45">
          <cell r="A45" t="str">
            <v xml:space="preserve">  Total</v>
          </cell>
          <cell r="B45">
            <v>22.824000000000002</v>
          </cell>
          <cell r="C45">
            <v>28.571000000000002</v>
          </cell>
          <cell r="D45">
            <v>40.323</v>
          </cell>
          <cell r="E45">
            <v>49.204397453926603</v>
          </cell>
          <cell r="F45">
            <v>56.113376281586781</v>
          </cell>
          <cell r="G45">
            <v>62.225662001945423</v>
          </cell>
          <cell r="H45">
            <v>68.949269959010849</v>
          </cell>
          <cell r="I45">
            <v>73.196949954871613</v>
          </cell>
          <cell r="J45">
            <v>77.713029105379135</v>
          </cell>
        </row>
        <row r="46">
          <cell r="A46" t="str">
            <v xml:space="preserve">    % Growth</v>
          </cell>
          <cell r="C46">
            <v>0.25179635471433581</v>
          </cell>
          <cell r="D46">
            <v>0.41132616989254833</v>
          </cell>
          <cell r="E46">
            <v>0.22025636619117139</v>
          </cell>
          <cell r="F46">
            <v>0.1404138488664457</v>
          </cell>
          <cell r="G46">
            <v>0.10892742738711925</v>
          </cell>
          <cell r="H46">
            <v>0.10805201167414213</v>
          </cell>
          <cell r="I46">
            <v>6.1605873396280098E-2</v>
          </cell>
          <cell r="J46">
            <v>6.1697641135209036E-2</v>
          </cell>
        </row>
        <row r="48">
          <cell r="A48" t="str">
            <v>% of Total Sales</v>
          </cell>
        </row>
        <row r="49">
          <cell r="A49" t="str">
            <v>Testoderm/TTS</v>
          </cell>
          <cell r="B49">
            <v>0.27602523659305989</v>
          </cell>
          <cell r="C49">
            <v>0.35000525007875116</v>
          </cell>
          <cell r="D49">
            <v>0.51583463531979268</v>
          </cell>
          <cell r="E49">
            <v>0.53640175437066517</v>
          </cell>
          <cell r="F49">
            <v>0.56108163821510715</v>
          </cell>
          <cell r="G49">
            <v>0.5756913591914129</v>
          </cell>
          <cell r="H49">
            <v>0.58029366981400377</v>
          </cell>
          <cell r="I49">
            <v>0.58488205676044414</v>
          </cell>
          <cell r="J49">
            <v>0.58945577016119188</v>
          </cell>
        </row>
        <row r="50">
          <cell r="A50" t="str">
            <v>Androderm</v>
          </cell>
          <cell r="B50">
            <v>0.72397476340694</v>
          </cell>
          <cell r="C50">
            <v>0.64999474992124884</v>
          </cell>
          <cell r="D50">
            <v>0.48416536468020732</v>
          </cell>
          <cell r="E50">
            <v>0.46359824562933494</v>
          </cell>
          <cell r="F50">
            <v>0.43891836178489285</v>
          </cell>
          <cell r="G50">
            <v>0.4243086408085871</v>
          </cell>
          <cell r="H50">
            <v>0.41970633018599635</v>
          </cell>
          <cell r="I50">
            <v>0.41511794323955586</v>
          </cell>
          <cell r="J50">
            <v>0.41054422983880812</v>
          </cell>
        </row>
        <row r="51">
          <cell r="A51" t="str">
            <v xml:space="preserve">  Total</v>
          </cell>
          <cell r="B51">
            <v>1</v>
          </cell>
          <cell r="C51">
            <v>1</v>
          </cell>
          <cell r="D51">
            <v>1</v>
          </cell>
          <cell r="E51">
            <v>1</v>
          </cell>
          <cell r="F51">
            <v>1</v>
          </cell>
          <cell r="G51">
            <v>1</v>
          </cell>
          <cell r="H51">
            <v>1</v>
          </cell>
          <cell r="I51">
            <v>1</v>
          </cell>
          <cell r="J51">
            <v>1</v>
          </cell>
        </row>
        <row r="53">
          <cell r="A53" t="str">
            <v xml:space="preserve">Source: IMS America, Company Reports, and Morgan Stanley Dean Witter Research Estimates 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ndout"/>
      <sheetName val="Chart Data"/>
      <sheetName val="QTRINC"/>
      <sheetName val="MARGIN"/>
      <sheetName val="QTR-SALES"/>
      <sheetName val="ANN-SALES"/>
      <sheetName val="CASHFLOW"/>
      <sheetName val="FEES-R&amp;D"/>
      <sheetName val="NEWPRODS"/>
      <sheetName val="IS-COMPS"/>
      <sheetName val="BALANCE-SHEET"/>
      <sheetName val="QTRINC-SEQ"/>
      <sheetName val="TESTODERM"/>
      <sheetName val="MARGIN-SEQ"/>
      <sheetName val="mStartup"/>
      <sheetName val="NY UPLOAD"/>
      <sheetName val="NY UPLOAD shadow"/>
    </sheetNames>
    <sheetDataSet>
      <sheetData sheetId="0" refreshError="1"/>
      <sheetData sheetId="1" refreshError="1"/>
      <sheetData sheetId="2" refreshError="1">
        <row r="4">
          <cell r="I4" t="str">
            <v xml:space="preserve">Sales </v>
          </cell>
          <cell r="K4" t="str">
            <v>R&amp;D</v>
          </cell>
          <cell r="R4" t="str">
            <v>Non-</v>
          </cell>
          <cell r="W4" t="str">
            <v>AT</v>
          </cell>
          <cell r="X4" t="str">
            <v>Adj.</v>
          </cell>
        </row>
        <row r="5">
          <cell r="B5" t="str">
            <v xml:space="preserve">               Revenues</v>
          </cell>
          <cell r="E5" t="str">
            <v>Contract</v>
          </cell>
          <cell r="I5" t="str">
            <v>Gross</v>
          </cell>
          <cell r="K5" t="str">
            <v>Cresc./</v>
          </cell>
          <cell r="L5" t="str">
            <v xml:space="preserve">Ex- </v>
          </cell>
          <cell r="M5" t="str">
            <v xml:space="preserve">In- </v>
          </cell>
          <cell r="O5" t="str">
            <v xml:space="preserve"> Oper.</v>
          </cell>
          <cell r="P5" t="str">
            <v>Int.</v>
          </cell>
          <cell r="Q5" t="str">
            <v>Int.</v>
          </cell>
          <cell r="R5" t="str">
            <v>Oper.</v>
          </cell>
          <cell r="S5" t="str">
            <v>Pretax</v>
          </cell>
          <cell r="T5" t="str">
            <v xml:space="preserve">    Tax</v>
          </cell>
          <cell r="V5" t="str">
            <v xml:space="preserve">   Net</v>
          </cell>
          <cell r="W5" t="str">
            <v>Conv.</v>
          </cell>
          <cell r="X5" t="str">
            <v xml:space="preserve">   Net</v>
          </cell>
          <cell r="Y5" t="str">
            <v xml:space="preserve">Avg. </v>
          </cell>
          <cell r="Z5" t="str">
            <v>EPS</v>
          </cell>
        </row>
        <row r="6">
          <cell r="B6" t="str">
            <v>Alza</v>
          </cell>
          <cell r="C6" t="str">
            <v>Fees</v>
          </cell>
          <cell r="D6" t="str">
            <v>R&amp;D</v>
          </cell>
          <cell r="E6" t="str">
            <v>Mfg.</v>
          </cell>
          <cell r="F6" t="str">
            <v>Other</v>
          </cell>
          <cell r="G6" t="str">
            <v>Total</v>
          </cell>
          <cell r="H6" t="str">
            <v>COGS</v>
          </cell>
          <cell r="I6" t="str">
            <v>Profit(g)</v>
          </cell>
          <cell r="J6" t="str">
            <v>SG&amp;A</v>
          </cell>
          <cell r="K6" t="str">
            <v>TDC</v>
          </cell>
          <cell r="L6" t="str">
            <v>ternal</v>
          </cell>
          <cell r="M6" t="str">
            <v>ternal</v>
          </cell>
          <cell r="N6" t="str">
            <v>Total</v>
          </cell>
          <cell r="O6" t="str">
            <v>Inc.</v>
          </cell>
          <cell r="P6" t="str">
            <v>Inc.</v>
          </cell>
          <cell r="Q6" t="str">
            <v>Exp.</v>
          </cell>
          <cell r="R6" t="str">
            <v>Items</v>
          </cell>
          <cell r="S6" t="str">
            <v>Inc.</v>
          </cell>
          <cell r="T6" t="str">
            <v xml:space="preserve">   Rate</v>
          </cell>
          <cell r="U6" t="str">
            <v>Tax</v>
          </cell>
          <cell r="V6" t="str">
            <v>Inc.</v>
          </cell>
          <cell r="W6" t="str">
            <v>Int.</v>
          </cell>
          <cell r="X6" t="str">
            <v>Inc.</v>
          </cell>
          <cell r="Y6" t="str">
            <v xml:space="preserve">Shs. </v>
          </cell>
          <cell r="Z6" t="str">
            <v>Oper.</v>
          </cell>
          <cell r="AA6" t="str">
            <v>Rep.</v>
          </cell>
        </row>
        <row r="8">
          <cell r="A8" t="str">
            <v>1995 (a)</v>
          </cell>
        </row>
        <row r="9">
          <cell r="A9" t="str">
            <v xml:space="preserve"> 1Q</v>
          </cell>
          <cell r="B9">
            <v>3.5</v>
          </cell>
          <cell r="C9">
            <v>33.962000000000003</v>
          </cell>
          <cell r="D9">
            <v>21.7</v>
          </cell>
          <cell r="E9">
            <v>15.326000000000001</v>
          </cell>
          <cell r="F9">
            <v>70.988</v>
          </cell>
          <cell r="G9">
            <v>74.488</v>
          </cell>
          <cell r="H9">
            <v>16.422000000000001</v>
          </cell>
          <cell r="I9">
            <v>2.4039999999999999</v>
          </cell>
          <cell r="J9">
            <v>8.5020000000000007</v>
          </cell>
          <cell r="K9">
            <v>14.1</v>
          </cell>
          <cell r="L9">
            <v>7.6</v>
          </cell>
          <cell r="M9">
            <v>0.54200000000000159</v>
          </cell>
          <cell r="N9">
            <v>22.242000000000001</v>
          </cell>
          <cell r="O9">
            <v>27.321999999999999</v>
          </cell>
          <cell r="P9">
            <v>5.7519999999999998</v>
          </cell>
          <cell r="Q9">
            <v>5.5949999999999998</v>
          </cell>
          <cell r="R9">
            <v>0.15700000000000003</v>
          </cell>
          <cell r="S9">
            <v>27.478999999999999</v>
          </cell>
          <cell r="T9">
            <v>0.37999927217147644</v>
          </cell>
          <cell r="U9">
            <v>10.442</v>
          </cell>
          <cell r="V9">
            <v>17.036999999999999</v>
          </cell>
          <cell r="W9">
            <v>0</v>
          </cell>
          <cell r="X9">
            <v>17.036999999999999</v>
          </cell>
          <cell r="Y9">
            <v>164.77799999999999</v>
          </cell>
          <cell r="Z9">
            <v>0.10339365692021993</v>
          </cell>
          <cell r="AA9">
            <v>0.1</v>
          </cell>
        </row>
        <row r="10">
          <cell r="A10" t="str">
            <v xml:space="preserve"> 2Q</v>
          </cell>
          <cell r="B10">
            <v>3.2</v>
          </cell>
          <cell r="C10">
            <v>34.229999999999997</v>
          </cell>
          <cell r="D10">
            <v>23.484999999999999</v>
          </cell>
          <cell r="E10">
            <v>15.98</v>
          </cell>
          <cell r="F10">
            <v>73.694999999999993</v>
          </cell>
          <cell r="G10">
            <v>76.894999999999996</v>
          </cell>
          <cell r="H10">
            <v>16.738</v>
          </cell>
          <cell r="I10">
            <v>2.4420000000000002</v>
          </cell>
          <cell r="J10">
            <v>8.3979999999999997</v>
          </cell>
          <cell r="K10">
            <v>14.5</v>
          </cell>
          <cell r="L10">
            <v>8.9849999999999994</v>
          </cell>
          <cell r="M10">
            <v>0.65899999999999892</v>
          </cell>
          <cell r="N10">
            <v>24.143999999999998</v>
          </cell>
          <cell r="O10">
            <v>27.615000000000002</v>
          </cell>
          <cell r="P10">
            <v>6.11</v>
          </cell>
          <cell r="Q10">
            <v>5.58</v>
          </cell>
          <cell r="R10">
            <v>0.53000000000000025</v>
          </cell>
          <cell r="S10">
            <v>28.145000000000003</v>
          </cell>
          <cell r="T10">
            <v>0.37999644697104279</v>
          </cell>
          <cell r="U10">
            <v>10.695</v>
          </cell>
          <cell r="V10">
            <v>17.450000000000003</v>
          </cell>
          <cell r="W10">
            <v>0</v>
          </cell>
          <cell r="X10">
            <v>17.450000000000003</v>
          </cell>
          <cell r="Y10">
            <v>164.82599999999999</v>
          </cell>
          <cell r="Z10">
            <v>0.10586921966194655</v>
          </cell>
          <cell r="AA10">
            <v>0.11</v>
          </cell>
        </row>
        <row r="11">
          <cell r="A11" t="str">
            <v xml:space="preserve"> 3Q</v>
          </cell>
          <cell r="B11">
            <v>3.2</v>
          </cell>
          <cell r="C11">
            <v>35.506</v>
          </cell>
          <cell r="D11">
            <v>27.524999999999999</v>
          </cell>
          <cell r="E11">
            <v>13.177</v>
          </cell>
          <cell r="F11">
            <v>76.207999999999998</v>
          </cell>
          <cell r="G11">
            <v>79.408000000000001</v>
          </cell>
          <cell r="H11">
            <v>15.422000000000001</v>
          </cell>
          <cell r="I11">
            <v>0.95499999999999829</v>
          </cell>
          <cell r="J11">
            <v>7.8620000000000001</v>
          </cell>
          <cell r="K11">
            <v>18.399999999999999</v>
          </cell>
          <cell r="L11">
            <v>9.125</v>
          </cell>
          <cell r="M11">
            <v>-1.3780000000000001</v>
          </cell>
          <cell r="N11">
            <v>26.146999999999998</v>
          </cell>
          <cell r="O11">
            <v>29.977000000000004</v>
          </cell>
          <cell r="P11">
            <v>6.19</v>
          </cell>
          <cell r="Q11">
            <v>6.774</v>
          </cell>
          <cell r="R11">
            <v>-0.58399999999999963</v>
          </cell>
          <cell r="S11">
            <v>29.393000000000004</v>
          </cell>
          <cell r="T11">
            <v>0.38002245432585985</v>
          </cell>
          <cell r="U11">
            <v>11.17</v>
          </cell>
          <cell r="V11">
            <v>18.223000000000006</v>
          </cell>
          <cell r="W11">
            <v>0</v>
          </cell>
          <cell r="X11">
            <v>18.223000000000006</v>
          </cell>
          <cell r="Y11">
            <v>165.68600000000001</v>
          </cell>
          <cell r="Z11">
            <v>0.10998515263812275</v>
          </cell>
          <cell r="AA11">
            <v>0.11</v>
          </cell>
        </row>
        <row r="12">
          <cell r="A12" t="str">
            <v xml:space="preserve"> 4Q</v>
          </cell>
          <cell r="B12">
            <v>3.7</v>
          </cell>
          <cell r="C12">
            <v>41.758999999999986</v>
          </cell>
          <cell r="D12">
            <v>31.261999999999993</v>
          </cell>
          <cell r="E12">
            <v>18.795000000000002</v>
          </cell>
          <cell r="F12">
            <v>91.815999999999988</v>
          </cell>
          <cell r="G12">
            <v>95.515999999999991</v>
          </cell>
          <cell r="H12">
            <v>16.812999999999999</v>
          </cell>
          <cell r="I12">
            <v>5.6820000000000022</v>
          </cell>
          <cell r="J12">
            <v>16.323</v>
          </cell>
          <cell r="K12">
            <v>23.1</v>
          </cell>
          <cell r="L12">
            <v>8.1619999999999919</v>
          </cell>
          <cell r="M12">
            <v>-0.37699999999999179</v>
          </cell>
          <cell r="N12">
            <v>30.885000000000002</v>
          </cell>
          <cell r="O12">
            <v>31.494999999999987</v>
          </cell>
          <cell r="P12">
            <v>6.2649999999999997</v>
          </cell>
          <cell r="Q12">
            <v>5.99</v>
          </cell>
          <cell r="R12">
            <v>0.27499999999999947</v>
          </cell>
          <cell r="S12">
            <v>31.769999999999985</v>
          </cell>
          <cell r="T12">
            <v>0.37998111425873476</v>
          </cell>
          <cell r="U12">
            <v>12.071999999999997</v>
          </cell>
          <cell r="V12">
            <v>19.697999999999986</v>
          </cell>
          <cell r="W12">
            <v>0</v>
          </cell>
          <cell r="X12">
            <v>19.697999999999986</v>
          </cell>
          <cell r="Y12">
            <v>165.58</v>
          </cell>
          <cell r="Z12">
            <v>0.11896364295204725</v>
          </cell>
          <cell r="AA12">
            <v>0.12</v>
          </cell>
        </row>
        <row r="14">
          <cell r="A14" t="str">
            <v>1995 (a)</v>
          </cell>
          <cell r="B14">
            <v>13.600000000000001</v>
          </cell>
          <cell r="C14">
            <v>145.45699999999999</v>
          </cell>
          <cell r="D14">
            <v>103.97200000000001</v>
          </cell>
          <cell r="E14">
            <v>63.278000000000006</v>
          </cell>
          <cell r="F14">
            <v>312.70699999999999</v>
          </cell>
          <cell r="G14">
            <v>326.30700000000002</v>
          </cell>
          <cell r="H14">
            <v>65.394999999999996</v>
          </cell>
          <cell r="I14">
            <v>11.483000000000001</v>
          </cell>
          <cell r="J14">
            <v>41.085000000000001</v>
          </cell>
          <cell r="K14">
            <v>70.099999999999994</v>
          </cell>
          <cell r="L14">
            <v>33.871999999999993</v>
          </cell>
          <cell r="M14">
            <v>-0.55399999999999139</v>
          </cell>
          <cell r="N14">
            <v>103.41799999999999</v>
          </cell>
          <cell r="O14">
            <v>116.40899999999999</v>
          </cell>
          <cell r="P14">
            <v>24.317</v>
          </cell>
          <cell r="Q14">
            <v>23.939</v>
          </cell>
          <cell r="R14">
            <v>0.37800000000000011</v>
          </cell>
          <cell r="S14">
            <v>116.78699999999999</v>
          </cell>
          <cell r="T14">
            <v>0.37999948624418817</v>
          </cell>
          <cell r="U14">
            <v>44.378999999999998</v>
          </cell>
          <cell r="V14">
            <v>72.407999999999987</v>
          </cell>
          <cell r="W14">
            <v>0</v>
          </cell>
          <cell r="X14">
            <v>72.407999999999987</v>
          </cell>
          <cell r="Y14">
            <v>165.2175</v>
          </cell>
          <cell r="Z14">
            <v>0.43821167217233647</v>
          </cell>
          <cell r="AA14">
            <v>0.44</v>
          </cell>
        </row>
        <row r="16">
          <cell r="A16" t="str">
            <v>1996 (b)</v>
          </cell>
        </row>
        <row r="17">
          <cell r="A17" t="str">
            <v xml:space="preserve"> 1Q</v>
          </cell>
          <cell r="B17">
            <v>6</v>
          </cell>
          <cell r="C17">
            <v>37.5</v>
          </cell>
          <cell r="D17">
            <v>30.3</v>
          </cell>
          <cell r="E17">
            <v>14.7</v>
          </cell>
          <cell r="F17">
            <v>82.5</v>
          </cell>
          <cell r="G17">
            <v>88.5</v>
          </cell>
          <cell r="H17">
            <v>16</v>
          </cell>
          <cell r="I17">
            <v>4.6999999999999993</v>
          </cell>
          <cell r="J17">
            <v>10.199999999999999</v>
          </cell>
          <cell r="K17">
            <v>22.9</v>
          </cell>
          <cell r="L17">
            <v>7.4000000000000021</v>
          </cell>
          <cell r="M17">
            <v>1</v>
          </cell>
          <cell r="N17">
            <v>31.3</v>
          </cell>
          <cell r="O17">
            <v>30.999999999999996</v>
          </cell>
          <cell r="P17">
            <v>8.2999999999999989</v>
          </cell>
          <cell r="Q17">
            <v>6.4</v>
          </cell>
          <cell r="R17">
            <v>1.8999999999999986</v>
          </cell>
          <cell r="S17">
            <v>32.899999999999991</v>
          </cell>
          <cell r="T17">
            <v>0.37993920972644385</v>
          </cell>
          <cell r="U17">
            <v>12.5</v>
          </cell>
          <cell r="V17">
            <v>20.399999999999991</v>
          </cell>
          <cell r="W17">
            <v>0</v>
          </cell>
          <cell r="X17">
            <v>20.399999999999991</v>
          </cell>
          <cell r="Y17">
            <v>169.2</v>
          </cell>
          <cell r="Z17">
            <v>0.12</v>
          </cell>
          <cell r="AA17">
            <v>0.12</v>
          </cell>
        </row>
        <row r="18">
          <cell r="A18" t="str">
            <v xml:space="preserve"> 2Q (c)</v>
          </cell>
          <cell r="B18">
            <v>3.8</v>
          </cell>
          <cell r="C18">
            <v>49.1</v>
          </cell>
          <cell r="D18">
            <v>35.1</v>
          </cell>
          <cell r="E18">
            <v>29.8</v>
          </cell>
          <cell r="F18">
            <v>114</v>
          </cell>
          <cell r="G18">
            <v>117.8</v>
          </cell>
          <cell r="H18">
            <v>29.6</v>
          </cell>
          <cell r="I18">
            <v>4</v>
          </cell>
          <cell r="J18">
            <v>11.9</v>
          </cell>
          <cell r="K18">
            <v>26.5</v>
          </cell>
          <cell r="L18">
            <v>8.6000000000000014</v>
          </cell>
          <cell r="M18">
            <v>3.1000000000000014</v>
          </cell>
          <cell r="N18">
            <v>38.200000000000003</v>
          </cell>
          <cell r="O18">
            <v>38.09999999999998</v>
          </cell>
          <cell r="P18">
            <v>10.199999999999999</v>
          </cell>
          <cell r="Q18">
            <v>10.9</v>
          </cell>
          <cell r="R18">
            <v>-0.70000000000000107</v>
          </cell>
          <cell r="S18">
            <v>37.399999999999977</v>
          </cell>
          <cell r="T18">
            <v>0.37967914438502692</v>
          </cell>
          <cell r="U18">
            <v>14.2</v>
          </cell>
          <cell r="V18">
            <v>23.199999999999978</v>
          </cell>
          <cell r="W18">
            <v>3</v>
          </cell>
          <cell r="X18">
            <v>26.199999999999978</v>
          </cell>
          <cell r="Y18">
            <v>194.8</v>
          </cell>
          <cell r="Z18">
            <v>0.13500000000000001</v>
          </cell>
          <cell r="AA18">
            <v>0.13500000000000001</v>
          </cell>
        </row>
        <row r="19">
          <cell r="A19" t="str">
            <v xml:space="preserve"> 3Q</v>
          </cell>
          <cell r="B19">
            <v>5.7</v>
          </cell>
          <cell r="C19">
            <v>39.5</v>
          </cell>
          <cell r="D19">
            <v>29.4</v>
          </cell>
          <cell r="E19">
            <v>23.8</v>
          </cell>
          <cell r="F19">
            <v>92.7</v>
          </cell>
          <cell r="G19">
            <v>98.4</v>
          </cell>
          <cell r="H19">
            <v>21.4</v>
          </cell>
          <cell r="I19">
            <v>8.1000000000000014</v>
          </cell>
          <cell r="J19">
            <v>11.6</v>
          </cell>
          <cell r="K19">
            <v>22.4</v>
          </cell>
          <cell r="L19">
            <v>7</v>
          </cell>
          <cell r="M19">
            <v>2.3000000000000007</v>
          </cell>
          <cell r="N19">
            <v>31.7</v>
          </cell>
          <cell r="O19">
            <v>33.700000000000003</v>
          </cell>
          <cell r="P19">
            <v>16.5</v>
          </cell>
          <cell r="Q19">
            <v>12.9</v>
          </cell>
          <cell r="R19">
            <v>3.5999999999999996</v>
          </cell>
          <cell r="S19">
            <v>37.300000000000004</v>
          </cell>
          <cell r="T19">
            <v>0.38069705093833772</v>
          </cell>
          <cell r="U19">
            <v>14.2</v>
          </cell>
          <cell r="V19">
            <v>23.100000000000005</v>
          </cell>
          <cell r="W19">
            <v>3.1</v>
          </cell>
          <cell r="X19">
            <v>26.200000000000006</v>
          </cell>
          <cell r="Y19">
            <v>194.6</v>
          </cell>
          <cell r="Z19">
            <v>0.13500000000000001</v>
          </cell>
          <cell r="AA19">
            <v>0.13500000000000001</v>
          </cell>
        </row>
        <row r="20">
          <cell r="A20" t="str">
            <v xml:space="preserve"> 4Q</v>
          </cell>
          <cell r="B20">
            <v>7.6</v>
          </cell>
          <cell r="C20">
            <v>47.2</v>
          </cell>
          <cell r="D20">
            <v>36.4</v>
          </cell>
          <cell r="E20">
            <v>17.2</v>
          </cell>
          <cell r="F20">
            <v>100.8</v>
          </cell>
          <cell r="G20">
            <v>108.39999999999999</v>
          </cell>
          <cell r="H20">
            <v>18.2</v>
          </cell>
          <cell r="I20">
            <v>6.5999999999999979</v>
          </cell>
          <cell r="J20">
            <v>13.4</v>
          </cell>
          <cell r="K20">
            <v>26.8</v>
          </cell>
          <cell r="L20">
            <v>9.5999999999999979</v>
          </cell>
          <cell r="M20">
            <v>4</v>
          </cell>
          <cell r="N20">
            <v>40.4</v>
          </cell>
          <cell r="O20">
            <v>36.399999999999984</v>
          </cell>
          <cell r="P20">
            <v>17.899999999999999</v>
          </cell>
          <cell r="Q20">
            <v>12.8</v>
          </cell>
          <cell r="R20">
            <v>5.0999999999999979</v>
          </cell>
          <cell r="S20">
            <v>41.499999999999986</v>
          </cell>
          <cell r="T20">
            <v>0.38072289156626521</v>
          </cell>
          <cell r="U20">
            <v>15.8</v>
          </cell>
          <cell r="V20">
            <v>25.699999999999985</v>
          </cell>
          <cell r="W20">
            <v>3.1</v>
          </cell>
          <cell r="X20">
            <v>28.799999999999986</v>
          </cell>
          <cell r="Y20">
            <v>195</v>
          </cell>
          <cell r="Z20">
            <v>0.15</v>
          </cell>
          <cell r="AA20">
            <v>0.15</v>
          </cell>
        </row>
        <row r="22">
          <cell r="A22" t="str">
            <v>1996 (b,c)</v>
          </cell>
          <cell r="B22">
            <v>23.1</v>
          </cell>
          <cell r="C22">
            <v>173.3</v>
          </cell>
          <cell r="D22">
            <v>131.20000000000002</v>
          </cell>
          <cell r="E22">
            <v>85.5</v>
          </cell>
          <cell r="F22">
            <v>390</v>
          </cell>
          <cell r="G22">
            <v>413.1</v>
          </cell>
          <cell r="H22">
            <v>85.2</v>
          </cell>
          <cell r="I22">
            <v>23.4</v>
          </cell>
          <cell r="J22">
            <v>47.1</v>
          </cell>
          <cell r="K22">
            <v>98.6</v>
          </cell>
          <cell r="L22">
            <v>32.6</v>
          </cell>
          <cell r="M22">
            <v>10.400000000000002</v>
          </cell>
          <cell r="N22">
            <v>141.6</v>
          </cell>
          <cell r="O22">
            <v>139.19999999999996</v>
          </cell>
          <cell r="P22">
            <v>52.9</v>
          </cell>
          <cell r="Q22">
            <v>43</v>
          </cell>
          <cell r="R22">
            <v>9.899999999999995</v>
          </cell>
          <cell r="S22">
            <v>149.09999999999997</v>
          </cell>
          <cell r="T22">
            <v>0.38028169014084517</v>
          </cell>
          <cell r="U22">
            <v>56.7</v>
          </cell>
          <cell r="V22">
            <v>92.399999999999963</v>
          </cell>
          <cell r="W22">
            <v>9.1999999999999993</v>
          </cell>
          <cell r="X22">
            <v>101.59999999999997</v>
          </cell>
          <cell r="Y22">
            <v>188.4</v>
          </cell>
          <cell r="Z22">
            <v>0.54</v>
          </cell>
          <cell r="AA22">
            <v>0.54</v>
          </cell>
        </row>
        <row r="24">
          <cell r="A24" t="str">
            <v>1997</v>
          </cell>
        </row>
        <row r="25">
          <cell r="A25" t="str">
            <v xml:space="preserve"> 1Q</v>
          </cell>
          <cell r="B25">
            <v>6.9</v>
          </cell>
          <cell r="C25">
            <v>44.2</v>
          </cell>
          <cell r="D25">
            <v>33.799999999999997</v>
          </cell>
          <cell r="E25">
            <v>20.6</v>
          </cell>
          <cell r="F25">
            <v>98.6</v>
          </cell>
          <cell r="G25">
            <v>105.5</v>
          </cell>
          <cell r="H25">
            <v>19.7</v>
          </cell>
          <cell r="I25">
            <v>7.8000000000000007</v>
          </cell>
          <cell r="J25">
            <v>11.6</v>
          </cell>
          <cell r="K25">
            <v>23.4</v>
          </cell>
          <cell r="L25">
            <v>10.399999999999999</v>
          </cell>
          <cell r="M25">
            <v>1.2000000000000028</v>
          </cell>
          <cell r="N25">
            <v>35</v>
          </cell>
          <cell r="O25">
            <v>39.200000000000003</v>
          </cell>
          <cell r="P25">
            <v>16.899999999999999</v>
          </cell>
          <cell r="Q25">
            <v>13.7</v>
          </cell>
          <cell r="R25">
            <v>3.1999999999999993</v>
          </cell>
          <cell r="S25">
            <v>42.400000000000006</v>
          </cell>
          <cell r="T25">
            <v>0.37971698113207547</v>
          </cell>
          <cell r="U25">
            <v>16.100000000000001</v>
          </cell>
          <cell r="V25">
            <v>26.300000000000004</v>
          </cell>
          <cell r="W25">
            <v>3.2</v>
          </cell>
          <cell r="X25">
            <v>29.500000000000004</v>
          </cell>
          <cell r="Y25">
            <v>195.6</v>
          </cell>
          <cell r="Z25">
            <v>0.15081799591002049</v>
          </cell>
          <cell r="AA25">
            <v>0.15</v>
          </cell>
        </row>
        <row r="26">
          <cell r="A26" t="str">
            <v xml:space="preserve"> 2Q</v>
          </cell>
          <cell r="B26">
            <v>8.5</v>
          </cell>
          <cell r="C26">
            <v>45.7</v>
          </cell>
          <cell r="D26">
            <v>36.1</v>
          </cell>
          <cell r="E26">
            <v>27.9</v>
          </cell>
          <cell r="F26">
            <v>109.70000000000002</v>
          </cell>
          <cell r="G26">
            <v>118.20000000000002</v>
          </cell>
          <cell r="H26">
            <v>23.1</v>
          </cell>
          <cell r="I26">
            <v>13.299999999999997</v>
          </cell>
          <cell r="J26">
            <v>12.6</v>
          </cell>
          <cell r="K26">
            <v>25.9</v>
          </cell>
          <cell r="L26">
            <v>10.200000000000003</v>
          </cell>
          <cell r="M26">
            <v>3.5</v>
          </cell>
          <cell r="N26">
            <v>39.6</v>
          </cell>
          <cell r="O26">
            <v>42.900000000000027</v>
          </cell>
          <cell r="P26">
            <v>13.5</v>
          </cell>
          <cell r="Q26">
            <v>13.7</v>
          </cell>
          <cell r="R26">
            <v>-0.19999999999999929</v>
          </cell>
          <cell r="S26">
            <v>42.700000000000031</v>
          </cell>
          <cell r="T26">
            <v>0.38173302107728313</v>
          </cell>
          <cell r="U26">
            <v>16.3</v>
          </cell>
          <cell r="V26">
            <v>26.400000000000031</v>
          </cell>
          <cell r="W26">
            <v>3.2</v>
          </cell>
          <cell r="X26">
            <v>29.60000000000003</v>
          </cell>
          <cell r="Y26">
            <v>196</v>
          </cell>
          <cell r="Z26">
            <v>0.15102040816326545</v>
          </cell>
          <cell r="AA26">
            <v>0.15</v>
          </cell>
        </row>
        <row r="27">
          <cell r="A27" t="str">
            <v xml:space="preserve"> 3Q (d)</v>
          </cell>
          <cell r="B27">
            <v>14.1</v>
          </cell>
          <cell r="C27">
            <v>41.9</v>
          </cell>
          <cell r="D27">
            <v>36.1</v>
          </cell>
          <cell r="E27">
            <v>22.4</v>
          </cell>
          <cell r="F27">
            <v>100.4</v>
          </cell>
          <cell r="G27">
            <v>114.5</v>
          </cell>
          <cell r="H27">
            <v>22</v>
          </cell>
          <cell r="I27">
            <v>14.5</v>
          </cell>
          <cell r="J27">
            <v>11</v>
          </cell>
          <cell r="K27">
            <v>26.6</v>
          </cell>
          <cell r="L27">
            <v>9.5</v>
          </cell>
          <cell r="M27">
            <v>5.7999999999999972</v>
          </cell>
          <cell r="N27">
            <v>41.9</v>
          </cell>
          <cell r="O27">
            <v>39.6</v>
          </cell>
          <cell r="P27">
            <v>17.8</v>
          </cell>
          <cell r="Q27">
            <v>13.8</v>
          </cell>
          <cell r="R27">
            <v>4</v>
          </cell>
          <cell r="S27">
            <v>43.6</v>
          </cell>
          <cell r="T27">
            <v>0.38073394495412843</v>
          </cell>
          <cell r="U27">
            <v>16.600000000000001</v>
          </cell>
          <cell r="V27">
            <v>27</v>
          </cell>
          <cell r="W27">
            <v>3.2</v>
          </cell>
          <cell r="X27">
            <v>30.2</v>
          </cell>
          <cell r="Y27">
            <v>196.8</v>
          </cell>
          <cell r="Z27">
            <v>0.15345528455284552</v>
          </cell>
          <cell r="AA27">
            <v>-1.915</v>
          </cell>
        </row>
        <row r="28">
          <cell r="A28" t="str">
            <v xml:space="preserve"> 4Q</v>
          </cell>
          <cell r="B28">
            <v>23.4</v>
          </cell>
          <cell r="C28">
            <v>51.6</v>
          </cell>
          <cell r="D28">
            <v>29</v>
          </cell>
          <cell r="E28">
            <v>22.2</v>
          </cell>
          <cell r="F28">
            <v>102.8</v>
          </cell>
          <cell r="G28">
            <v>126.19999999999999</v>
          </cell>
          <cell r="H28">
            <v>27.9</v>
          </cell>
          <cell r="I28">
            <v>17.699999999999996</v>
          </cell>
          <cell r="J28">
            <v>16.300000000000004</v>
          </cell>
          <cell r="K28">
            <v>21.6</v>
          </cell>
          <cell r="L28">
            <v>7.3999999999999986</v>
          </cell>
          <cell r="M28">
            <v>9.8999999999999986</v>
          </cell>
          <cell r="N28">
            <v>38.9</v>
          </cell>
          <cell r="O28">
            <v>43.099999999999973</v>
          </cell>
          <cell r="P28">
            <v>7.3</v>
          </cell>
          <cell r="Q28">
            <v>13.7</v>
          </cell>
          <cell r="R28">
            <v>-6.3999999999999995</v>
          </cell>
          <cell r="S28">
            <v>36.699999999999974</v>
          </cell>
          <cell r="T28">
            <v>0.24250681198910096</v>
          </cell>
          <cell r="U28">
            <v>8.8999999999999986</v>
          </cell>
          <cell r="V28">
            <v>27.799999999999976</v>
          </cell>
          <cell r="W28">
            <v>3.2</v>
          </cell>
          <cell r="X28">
            <v>30.999999999999975</v>
          </cell>
          <cell r="Y28">
            <v>196.6</v>
          </cell>
          <cell r="Z28">
            <v>0.15768056968463873</v>
          </cell>
          <cell r="AA28">
            <v>0.15</v>
          </cell>
        </row>
        <row r="30">
          <cell r="A30" t="str">
            <v>1997 (d)</v>
          </cell>
          <cell r="B30">
            <v>52.9</v>
          </cell>
          <cell r="C30">
            <v>183.4</v>
          </cell>
          <cell r="D30">
            <v>135</v>
          </cell>
          <cell r="E30">
            <v>93.100000000000009</v>
          </cell>
          <cell r="F30">
            <v>411.50000000000006</v>
          </cell>
          <cell r="G30">
            <v>464.40000000000003</v>
          </cell>
          <cell r="H30">
            <v>92.699999999999989</v>
          </cell>
          <cell r="I30">
            <v>53.29999999999999</v>
          </cell>
          <cell r="J30">
            <v>51.500000000000007</v>
          </cell>
          <cell r="K30">
            <v>97.5</v>
          </cell>
          <cell r="L30">
            <v>37.5</v>
          </cell>
          <cell r="M30">
            <v>20.399999999999999</v>
          </cell>
          <cell r="N30">
            <v>155.4</v>
          </cell>
          <cell r="O30">
            <v>164.79999999999998</v>
          </cell>
          <cell r="P30">
            <v>55.5</v>
          </cell>
          <cell r="Q30">
            <v>54.900000000000006</v>
          </cell>
          <cell r="R30">
            <v>0.60000000000000053</v>
          </cell>
          <cell r="S30">
            <v>165.40000000000003</v>
          </cell>
          <cell r="T30">
            <v>0.35006045949214021</v>
          </cell>
          <cell r="U30">
            <v>57.900000000000006</v>
          </cell>
          <cell r="V30">
            <v>107.5</v>
          </cell>
          <cell r="W30">
            <v>12.8</v>
          </cell>
          <cell r="X30">
            <v>120.30000000000001</v>
          </cell>
          <cell r="Y30">
            <v>196.25000000000003</v>
          </cell>
          <cell r="Z30">
            <v>0.61297425831077024</v>
          </cell>
          <cell r="AA30">
            <v>-1.4650000000000001</v>
          </cell>
        </row>
        <row r="32">
          <cell r="A32" t="str">
            <v>1998 (e)</v>
          </cell>
        </row>
        <row r="33">
          <cell r="A33" t="str">
            <v xml:space="preserve"> 1Q</v>
          </cell>
          <cell r="B33">
            <v>41.8</v>
          </cell>
          <cell r="C33">
            <v>50.4</v>
          </cell>
          <cell r="D33">
            <v>26.3</v>
          </cell>
          <cell r="E33">
            <v>25</v>
          </cell>
          <cell r="F33">
            <v>101.7</v>
          </cell>
          <cell r="G33">
            <v>143.5</v>
          </cell>
          <cell r="H33">
            <v>31.3</v>
          </cell>
          <cell r="I33">
            <v>35.5</v>
          </cell>
          <cell r="J33">
            <v>24.4</v>
          </cell>
          <cell r="K33">
            <v>19.940000000000001</v>
          </cell>
          <cell r="L33">
            <v>6.3599999999999994</v>
          </cell>
          <cell r="M33">
            <v>13.900000000000002</v>
          </cell>
          <cell r="N33">
            <v>40.200000000000003</v>
          </cell>
          <cell r="O33">
            <v>47.600000000000009</v>
          </cell>
          <cell r="P33">
            <v>6.9</v>
          </cell>
          <cell r="Q33">
            <v>14.2</v>
          </cell>
          <cell r="R33">
            <v>-7.2999999999999989</v>
          </cell>
          <cell r="S33">
            <v>40.300000000000011</v>
          </cell>
          <cell r="T33">
            <v>0.3424317617866004</v>
          </cell>
          <cell r="U33">
            <v>13.8</v>
          </cell>
          <cell r="V33">
            <v>26.500000000000011</v>
          </cell>
          <cell r="W33">
            <v>0</v>
          </cell>
          <cell r="X33">
            <v>26.500000000000011</v>
          </cell>
          <cell r="Y33">
            <v>200.2</v>
          </cell>
          <cell r="Z33">
            <v>0.13500000000000001</v>
          </cell>
          <cell r="AA33">
            <v>0.13500000000000001</v>
          </cell>
        </row>
        <row r="34">
          <cell r="A34" t="str">
            <v xml:space="preserve"> 2Q</v>
          </cell>
          <cell r="B34">
            <v>41.8</v>
          </cell>
          <cell r="C34">
            <v>53.4</v>
          </cell>
          <cell r="D34">
            <v>32.6</v>
          </cell>
          <cell r="E34">
            <v>30.5</v>
          </cell>
          <cell r="F34">
            <v>116.5</v>
          </cell>
          <cell r="G34">
            <v>158.30000000000001</v>
          </cell>
          <cell r="H34">
            <v>35.200000000000003</v>
          </cell>
          <cell r="I34">
            <v>37.099999999999994</v>
          </cell>
          <cell r="J34">
            <v>25.2</v>
          </cell>
          <cell r="K34">
            <v>24.94</v>
          </cell>
          <cell r="L34">
            <v>7.66</v>
          </cell>
          <cell r="M34">
            <v>12.199999999999996</v>
          </cell>
          <cell r="N34">
            <v>44.8</v>
          </cell>
          <cell r="O34">
            <v>53.100000000000009</v>
          </cell>
          <cell r="P34">
            <v>6.5</v>
          </cell>
          <cell r="Q34">
            <v>14.3</v>
          </cell>
          <cell r="R34">
            <v>-7.8000000000000007</v>
          </cell>
          <cell r="S34">
            <v>45.300000000000011</v>
          </cell>
          <cell r="T34">
            <v>0.35099337748344361</v>
          </cell>
          <cell r="U34">
            <v>15.899999999999999</v>
          </cell>
          <cell r="V34">
            <v>29.400000000000013</v>
          </cell>
          <cell r="W34">
            <v>3.5</v>
          </cell>
          <cell r="X34">
            <v>32.900000000000013</v>
          </cell>
          <cell r="Y34">
            <v>227.2</v>
          </cell>
          <cell r="Z34">
            <v>0.14499999999999999</v>
          </cell>
          <cell r="AA34">
            <v>0.14499999999999999</v>
          </cell>
        </row>
        <row r="35">
          <cell r="A35" t="str">
            <v xml:space="preserve"> 3Q</v>
          </cell>
          <cell r="B35">
            <v>43.9</v>
          </cell>
          <cell r="C35">
            <v>65.3</v>
          </cell>
          <cell r="D35">
            <v>32.799999999999997</v>
          </cell>
          <cell r="E35">
            <v>30.8</v>
          </cell>
          <cell r="F35">
            <v>128.9</v>
          </cell>
          <cell r="G35">
            <v>172.8</v>
          </cell>
          <cell r="H35">
            <v>32.6</v>
          </cell>
          <cell r="I35">
            <v>42.1</v>
          </cell>
          <cell r="J35">
            <v>38</v>
          </cell>
          <cell r="K35">
            <v>24.7</v>
          </cell>
          <cell r="L35">
            <v>8.0999999999999979</v>
          </cell>
          <cell r="M35">
            <v>18.900000000000006</v>
          </cell>
          <cell r="N35">
            <v>51.7</v>
          </cell>
          <cell r="O35">
            <v>50.500000000000014</v>
          </cell>
          <cell r="P35">
            <v>6.3</v>
          </cell>
          <cell r="Q35">
            <v>14.2</v>
          </cell>
          <cell r="R35">
            <v>-7.8999999999999995</v>
          </cell>
          <cell r="S35">
            <v>42.600000000000016</v>
          </cell>
          <cell r="T35">
            <v>0.34976525821596233</v>
          </cell>
          <cell r="U35">
            <v>14.9</v>
          </cell>
          <cell r="V35">
            <v>27.700000000000017</v>
          </cell>
          <cell r="W35">
            <v>0</v>
          </cell>
          <cell r="X35">
            <v>27.700000000000017</v>
          </cell>
          <cell r="Y35">
            <v>202.4</v>
          </cell>
          <cell r="Z35">
            <v>0.13500000000000001</v>
          </cell>
          <cell r="AA35">
            <v>0.13500000000000001</v>
          </cell>
        </row>
        <row r="36">
          <cell r="A36" t="str">
            <v xml:space="preserve"> 4Q</v>
          </cell>
          <cell r="B36">
            <v>48.3</v>
          </cell>
          <cell r="C36">
            <v>64</v>
          </cell>
          <cell r="D36">
            <v>32.700000000000003</v>
          </cell>
          <cell r="E36">
            <v>27.3</v>
          </cell>
          <cell r="F36">
            <v>124</v>
          </cell>
          <cell r="G36">
            <v>172.3</v>
          </cell>
          <cell r="H36">
            <v>26.6</v>
          </cell>
          <cell r="I36">
            <v>48.999999999999993</v>
          </cell>
          <cell r="J36">
            <v>46.7</v>
          </cell>
          <cell r="K36">
            <v>25.2</v>
          </cell>
          <cell r="L36">
            <v>7.5000000000000036</v>
          </cell>
          <cell r="M36">
            <v>21</v>
          </cell>
          <cell r="N36">
            <v>53.7</v>
          </cell>
          <cell r="O36">
            <v>45.300000000000011</v>
          </cell>
          <cell r="P36">
            <v>6.7</v>
          </cell>
          <cell r="Q36">
            <v>14</v>
          </cell>
          <cell r="R36">
            <v>-7.3</v>
          </cell>
          <cell r="S36">
            <v>38.000000000000014</v>
          </cell>
          <cell r="T36">
            <v>0.34999999999999987</v>
          </cell>
          <cell r="U36">
            <v>13.3</v>
          </cell>
          <cell r="V36">
            <v>24.700000000000014</v>
          </cell>
          <cell r="W36">
            <v>0</v>
          </cell>
          <cell r="X36">
            <v>24.700000000000014</v>
          </cell>
          <cell r="Y36">
            <v>205.8</v>
          </cell>
          <cell r="Z36">
            <v>0.12</v>
          </cell>
          <cell r="AA36">
            <v>0.12</v>
          </cell>
        </row>
        <row r="38">
          <cell r="A38" t="str">
            <v>Year</v>
          </cell>
          <cell r="B38">
            <v>175.8</v>
          </cell>
          <cell r="C38">
            <v>233.1</v>
          </cell>
          <cell r="D38">
            <v>124.4</v>
          </cell>
          <cell r="E38">
            <v>113.6</v>
          </cell>
          <cell r="F38">
            <v>471.1</v>
          </cell>
          <cell r="G38">
            <v>646.90000000000009</v>
          </cell>
          <cell r="H38">
            <v>125.69999999999999</v>
          </cell>
          <cell r="I38">
            <v>163.69999999999999</v>
          </cell>
          <cell r="J38">
            <v>134.30000000000001</v>
          </cell>
          <cell r="K38">
            <v>94.78</v>
          </cell>
          <cell r="L38">
            <v>29.62</v>
          </cell>
          <cell r="M38">
            <v>66</v>
          </cell>
          <cell r="N38">
            <v>190.39999999999998</v>
          </cell>
          <cell r="O38">
            <v>196.50000000000006</v>
          </cell>
          <cell r="P38">
            <v>26.4</v>
          </cell>
          <cell r="Q38">
            <v>56.7</v>
          </cell>
          <cell r="R38">
            <v>-30.3</v>
          </cell>
          <cell r="S38">
            <v>166.20000000000005</v>
          </cell>
          <cell r="T38">
            <v>0.34837545126353786</v>
          </cell>
          <cell r="U38">
            <v>57.900000000000006</v>
          </cell>
          <cell r="V38">
            <v>108.30000000000005</v>
          </cell>
          <cell r="W38">
            <v>3.5</v>
          </cell>
          <cell r="X38">
            <v>111.80000000000005</v>
          </cell>
          <cell r="Y38">
            <v>203</v>
          </cell>
          <cell r="Z38">
            <v>0.53500000000000003</v>
          </cell>
          <cell r="AA38">
            <v>0.53500000000000003</v>
          </cell>
        </row>
        <row r="40">
          <cell r="A40" t="str">
            <v>1999</v>
          </cell>
        </row>
        <row r="41">
          <cell r="A41" t="str">
            <v xml:space="preserve"> 1Q (f)</v>
          </cell>
          <cell r="B41">
            <v>67.900000000000006</v>
          </cell>
          <cell r="C41">
            <v>58.9</v>
          </cell>
          <cell r="D41">
            <v>30.4</v>
          </cell>
          <cell r="E41">
            <v>28.3</v>
          </cell>
          <cell r="F41">
            <v>117.6</v>
          </cell>
          <cell r="G41">
            <v>185.5</v>
          </cell>
          <cell r="H41">
            <v>34.299999999999997</v>
          </cell>
          <cell r="I41">
            <v>61.900000000000006</v>
          </cell>
          <cell r="J41">
            <v>55.2</v>
          </cell>
          <cell r="K41">
            <v>23.3</v>
          </cell>
          <cell r="L41">
            <v>7.0999999999999979</v>
          </cell>
          <cell r="M41">
            <v>13.700000000000003</v>
          </cell>
          <cell r="N41">
            <v>44.1</v>
          </cell>
          <cell r="O41">
            <v>51.899999999999984</v>
          </cell>
          <cell r="P41">
            <v>5</v>
          </cell>
          <cell r="Q41">
            <v>14.9</v>
          </cell>
          <cell r="R41">
            <v>-9.9</v>
          </cell>
          <cell r="S41">
            <v>41.999999999999986</v>
          </cell>
          <cell r="T41">
            <v>0.32380952380952394</v>
          </cell>
          <cell r="U41">
            <v>13.600000000000001</v>
          </cell>
          <cell r="V41">
            <v>28.399999999999984</v>
          </cell>
          <cell r="W41">
            <v>0</v>
          </cell>
          <cell r="X41">
            <v>28.399999999999984</v>
          </cell>
          <cell r="Y41">
            <v>206.4</v>
          </cell>
          <cell r="Z41">
            <v>0.14000000000000001</v>
          </cell>
          <cell r="AA41">
            <v>0.02</v>
          </cell>
        </row>
        <row r="42">
          <cell r="A42" t="str">
            <v xml:space="preserve"> 2Q</v>
          </cell>
          <cell r="B42">
            <v>68.8</v>
          </cell>
          <cell r="C42">
            <v>54.8</v>
          </cell>
          <cell r="D42">
            <v>37.200000000000003</v>
          </cell>
          <cell r="E42">
            <v>34.4</v>
          </cell>
          <cell r="F42">
            <v>126.4</v>
          </cell>
          <cell r="G42">
            <v>195.2</v>
          </cell>
          <cell r="H42">
            <v>40.299999999999997</v>
          </cell>
          <cell r="I42">
            <v>62.899999999999991</v>
          </cell>
          <cell r="J42">
            <v>60.4</v>
          </cell>
          <cell r="K42">
            <v>28.5</v>
          </cell>
          <cell r="L42">
            <v>8.7000000000000028</v>
          </cell>
          <cell r="M42">
            <v>10.599999999999994</v>
          </cell>
          <cell r="N42">
            <v>47.8</v>
          </cell>
          <cell r="O42">
            <v>46.699999999999974</v>
          </cell>
          <cell r="P42">
            <v>18.399999999999999</v>
          </cell>
          <cell r="Q42">
            <v>14.8</v>
          </cell>
          <cell r="R42">
            <v>3.5999999999999979</v>
          </cell>
          <cell r="S42">
            <v>50.299999999999969</v>
          </cell>
          <cell r="T42">
            <v>0.32007952286282326</v>
          </cell>
          <cell r="U42">
            <v>16.100000000000001</v>
          </cell>
          <cell r="V42">
            <v>34.199999999999967</v>
          </cell>
          <cell r="W42">
            <v>3.8</v>
          </cell>
          <cell r="X42">
            <v>37.999999999999964</v>
          </cell>
          <cell r="Y42">
            <v>229.8</v>
          </cell>
          <cell r="Z42">
            <v>0.16500000000000001</v>
          </cell>
          <cell r="AA42">
            <v>0.16500000000000001</v>
          </cell>
        </row>
        <row r="43">
          <cell r="A43" t="str">
            <v xml:space="preserve"> 3Q</v>
          </cell>
          <cell r="B43">
            <v>106.3</v>
          </cell>
          <cell r="C43">
            <v>58</v>
          </cell>
          <cell r="D43">
            <v>27.2</v>
          </cell>
          <cell r="E43">
            <v>30.6</v>
          </cell>
          <cell r="F43">
            <v>115.80000000000001</v>
          </cell>
          <cell r="G43">
            <v>222.10000000000002</v>
          </cell>
          <cell r="H43">
            <v>45.2</v>
          </cell>
          <cell r="I43">
            <v>91.7</v>
          </cell>
          <cell r="J43">
            <v>65.900000000000006</v>
          </cell>
          <cell r="K43">
            <v>21</v>
          </cell>
          <cell r="L43">
            <v>6.1999999999999993</v>
          </cell>
          <cell r="M43">
            <v>14.099999999999998</v>
          </cell>
          <cell r="N43">
            <v>41.3</v>
          </cell>
          <cell r="O43">
            <v>69.700000000000031</v>
          </cell>
          <cell r="P43">
            <v>7.3</v>
          </cell>
          <cell r="Q43">
            <v>14.1</v>
          </cell>
          <cell r="R43">
            <v>-6.8</v>
          </cell>
          <cell r="S43">
            <v>62.900000000000034</v>
          </cell>
          <cell r="T43">
            <v>0.31955484896661351</v>
          </cell>
          <cell r="U43">
            <v>20.100000000000001</v>
          </cell>
          <cell r="V43">
            <v>42.800000000000033</v>
          </cell>
          <cell r="W43">
            <v>8.4</v>
          </cell>
          <cell r="X43">
            <v>51.200000000000031</v>
          </cell>
          <cell r="Y43">
            <v>258.8</v>
          </cell>
          <cell r="Z43">
            <v>0.2</v>
          </cell>
          <cell r="AA43">
            <v>0.2</v>
          </cell>
        </row>
        <row r="44">
          <cell r="A44" t="str">
            <v xml:space="preserve"> 4Q (g)</v>
          </cell>
          <cell r="B44">
            <v>80.400000000000006</v>
          </cell>
          <cell r="C44">
            <v>55.4</v>
          </cell>
          <cell r="D44">
            <v>26</v>
          </cell>
          <cell r="E44">
            <v>31.3</v>
          </cell>
          <cell r="F44">
            <v>112.7</v>
          </cell>
          <cell r="G44">
            <v>193.10000000000002</v>
          </cell>
          <cell r="H44">
            <v>38.6</v>
          </cell>
          <cell r="I44">
            <v>73.099999999999994</v>
          </cell>
          <cell r="J44">
            <v>72.2</v>
          </cell>
          <cell r="K44">
            <v>18</v>
          </cell>
          <cell r="L44">
            <v>8</v>
          </cell>
          <cell r="M44">
            <v>24.4</v>
          </cell>
          <cell r="N44">
            <v>50.4</v>
          </cell>
          <cell r="O44">
            <v>31.900000000000027</v>
          </cell>
          <cell r="P44">
            <v>10.9</v>
          </cell>
          <cell r="Q44">
            <v>14.3</v>
          </cell>
          <cell r="R44">
            <v>-3.4000000000000004</v>
          </cell>
          <cell r="S44">
            <v>28.500000000000028</v>
          </cell>
          <cell r="T44">
            <v>4.2105263157894694E-2</v>
          </cell>
          <cell r="U44">
            <v>1.2</v>
          </cell>
          <cell r="V44">
            <v>27.300000000000029</v>
          </cell>
          <cell r="W44">
            <v>0</v>
          </cell>
          <cell r="X44">
            <v>27.300000000000029</v>
          </cell>
          <cell r="Y44">
            <v>207.8</v>
          </cell>
          <cell r="Z44">
            <v>0.13137632338787308</v>
          </cell>
          <cell r="AA44">
            <v>0.1</v>
          </cell>
        </row>
        <row r="46">
          <cell r="A46" t="str">
            <v>Year</v>
          </cell>
          <cell r="B46">
            <v>323.39999999999998</v>
          </cell>
          <cell r="C46">
            <v>227.1</v>
          </cell>
          <cell r="D46">
            <v>120.8</v>
          </cell>
          <cell r="E46">
            <v>124.60000000000001</v>
          </cell>
          <cell r="F46">
            <v>472.5</v>
          </cell>
          <cell r="G46">
            <v>795.9</v>
          </cell>
          <cell r="H46">
            <v>158.4</v>
          </cell>
          <cell r="I46">
            <v>289.60000000000002</v>
          </cell>
          <cell r="J46">
            <v>253.7</v>
          </cell>
          <cell r="K46">
            <v>90.8</v>
          </cell>
          <cell r="L46">
            <v>30</v>
          </cell>
          <cell r="M46">
            <v>62.79999999999999</v>
          </cell>
          <cell r="N46">
            <v>183.6</v>
          </cell>
          <cell r="O46">
            <v>200.20000000000005</v>
          </cell>
          <cell r="P46">
            <v>41.6</v>
          </cell>
          <cell r="Q46">
            <v>58.100000000000009</v>
          </cell>
          <cell r="R46">
            <v>-16.5</v>
          </cell>
          <cell r="S46">
            <v>183.70000000000002</v>
          </cell>
          <cell r="T46">
            <v>0.27762656505171479</v>
          </cell>
          <cell r="U46">
            <v>51.000000000000007</v>
          </cell>
          <cell r="V46">
            <v>132.70000000000002</v>
          </cell>
          <cell r="W46">
            <v>15.6</v>
          </cell>
          <cell r="X46">
            <v>148.30000000000001</v>
          </cell>
          <cell r="Y46">
            <v>231.4</v>
          </cell>
          <cell r="Z46">
            <v>0.64088159031979264</v>
          </cell>
          <cell r="AA46">
            <v>0.48499999999999999</v>
          </cell>
        </row>
        <row r="48">
          <cell r="A48" t="str">
            <v>2000E</v>
          </cell>
        </row>
        <row r="49">
          <cell r="A49" t="str">
            <v xml:space="preserve"> 1QA</v>
          </cell>
          <cell r="B49">
            <v>79.8</v>
          </cell>
          <cell r="C49">
            <v>67.099999999999994</v>
          </cell>
          <cell r="D49">
            <v>25.4</v>
          </cell>
          <cell r="E49">
            <v>29</v>
          </cell>
          <cell r="F49">
            <v>121.5</v>
          </cell>
          <cell r="G49">
            <v>201.3</v>
          </cell>
          <cell r="H49">
            <v>34.700000000000003</v>
          </cell>
          <cell r="I49">
            <v>74.099999999999994</v>
          </cell>
          <cell r="J49">
            <v>67.2</v>
          </cell>
          <cell r="K49">
            <v>20</v>
          </cell>
          <cell r="L49">
            <v>5.3999999999999986</v>
          </cell>
          <cell r="M49">
            <v>19.399999999999999</v>
          </cell>
          <cell r="N49">
            <v>44.8</v>
          </cell>
          <cell r="O49">
            <v>54.600000000000023</v>
          </cell>
          <cell r="P49">
            <v>5.4</v>
          </cell>
          <cell r="Q49">
            <v>15.4</v>
          </cell>
          <cell r="R49">
            <v>-10</v>
          </cell>
          <cell r="S49">
            <v>44.600000000000023</v>
          </cell>
          <cell r="T49">
            <v>0.30941704035874423</v>
          </cell>
          <cell r="U49">
            <v>13.8</v>
          </cell>
          <cell r="V49">
            <v>30.800000000000022</v>
          </cell>
          <cell r="W49">
            <v>0</v>
          </cell>
          <cell r="X49">
            <v>30.800000000000022</v>
          </cell>
          <cell r="Y49">
            <v>207.4</v>
          </cell>
          <cell r="Z49">
            <v>0.15</v>
          </cell>
          <cell r="AA49">
            <v>0.15</v>
          </cell>
        </row>
        <row r="50">
          <cell r="A50" t="str">
            <v xml:space="preserve"> 2QA</v>
          </cell>
          <cell r="B50">
            <v>100</v>
          </cell>
          <cell r="C50">
            <v>72.2</v>
          </cell>
          <cell r="D50">
            <v>32</v>
          </cell>
          <cell r="E50">
            <v>34.6</v>
          </cell>
          <cell r="F50">
            <v>138.80000000000001</v>
          </cell>
          <cell r="G50">
            <v>238.8</v>
          </cell>
          <cell r="H50">
            <v>42</v>
          </cell>
          <cell r="I50">
            <v>92.6</v>
          </cell>
          <cell r="J50">
            <v>85.6</v>
          </cell>
          <cell r="K50">
            <v>23</v>
          </cell>
          <cell r="L50">
            <v>9</v>
          </cell>
          <cell r="M50">
            <v>15.899999999999999</v>
          </cell>
          <cell r="N50">
            <v>47.9</v>
          </cell>
          <cell r="O50">
            <v>63.300000000000018</v>
          </cell>
          <cell r="P50">
            <v>7.2</v>
          </cell>
          <cell r="Q50">
            <v>15.3</v>
          </cell>
          <cell r="R50">
            <v>-8.1000000000000014</v>
          </cell>
          <cell r="S50">
            <v>55.200000000000017</v>
          </cell>
          <cell r="T50">
            <v>0.31159420289855067</v>
          </cell>
          <cell r="U50">
            <v>17.200000000000003</v>
          </cell>
          <cell r="V50">
            <v>38.000000000000014</v>
          </cell>
          <cell r="W50">
            <v>8.3254076086956523</v>
          </cell>
          <cell r="X50">
            <v>46.32540760869567</v>
          </cell>
          <cell r="Y50">
            <v>260.8</v>
          </cell>
          <cell r="Z50">
            <v>0.18</v>
          </cell>
          <cell r="AA50">
            <v>0.22</v>
          </cell>
        </row>
        <row r="51">
          <cell r="A51" t="str">
            <v xml:space="preserve"> 3QA</v>
          </cell>
          <cell r="B51">
            <v>135.69999999999999</v>
          </cell>
          <cell r="C51">
            <v>71.599999999999994</v>
          </cell>
          <cell r="D51">
            <v>35.1</v>
          </cell>
          <cell r="E51">
            <v>29.1</v>
          </cell>
          <cell r="F51">
            <v>135.79999999999998</v>
          </cell>
          <cell r="G51">
            <v>271.5</v>
          </cell>
          <cell r="H51">
            <v>48.6</v>
          </cell>
          <cell r="I51">
            <v>116.19999999999999</v>
          </cell>
          <cell r="J51">
            <v>93.3</v>
          </cell>
          <cell r="K51">
            <v>24.9</v>
          </cell>
          <cell r="L51">
            <v>10.200000000000003</v>
          </cell>
          <cell r="M51">
            <v>16.399999999999999</v>
          </cell>
          <cell r="N51">
            <v>51.5</v>
          </cell>
          <cell r="O51">
            <v>78.100000000000023</v>
          </cell>
          <cell r="P51">
            <v>18.100000000000001</v>
          </cell>
          <cell r="Q51">
            <v>13.5</v>
          </cell>
          <cell r="R51">
            <v>4.6000000000000014</v>
          </cell>
          <cell r="S51">
            <v>82.700000000000017</v>
          </cell>
          <cell r="T51">
            <v>0.30955259975816196</v>
          </cell>
          <cell r="U51">
            <v>25.6</v>
          </cell>
          <cell r="V51">
            <v>57.100000000000016</v>
          </cell>
          <cell r="W51">
            <v>7.6420444377267245</v>
          </cell>
          <cell r="X51">
            <v>64.742044437726747</v>
          </cell>
          <cell r="Y51">
            <v>277.2</v>
          </cell>
          <cell r="Z51">
            <v>0.23</v>
          </cell>
          <cell r="AA51">
            <v>0.23</v>
          </cell>
        </row>
        <row r="52">
          <cell r="A52" t="str">
            <v xml:space="preserve"> 4Q</v>
          </cell>
          <cell r="B52">
            <v>147.04999999999998</v>
          </cell>
          <cell r="C52">
            <v>71.37178918124998</v>
          </cell>
          <cell r="D52">
            <v>10</v>
          </cell>
          <cell r="E52">
            <v>33</v>
          </cell>
          <cell r="F52">
            <v>114.37178918124998</v>
          </cell>
          <cell r="G52">
            <v>261.42178918124995</v>
          </cell>
          <cell r="H52">
            <v>46.728415492957751</v>
          </cell>
          <cell r="I52">
            <v>133.32158450704225</v>
          </cell>
          <cell r="J52">
            <v>87.85</v>
          </cell>
          <cell r="K52">
            <v>0</v>
          </cell>
          <cell r="L52">
            <v>10</v>
          </cell>
          <cell r="M52">
            <v>35</v>
          </cell>
          <cell r="N52">
            <v>45</v>
          </cell>
          <cell r="O52">
            <v>81.843373688292189</v>
          </cell>
          <cell r="P52">
            <v>17.7</v>
          </cell>
          <cell r="Q52">
            <v>13.749000000000001</v>
          </cell>
          <cell r="R52">
            <v>3.9509999999999987</v>
          </cell>
          <cell r="S52">
            <v>85.794373688292183</v>
          </cell>
          <cell r="T52">
            <v>0.31</v>
          </cell>
          <cell r="U52">
            <v>26.596255843370578</v>
          </cell>
          <cell r="V52">
            <v>59.198117844921605</v>
          </cell>
          <cell r="W52">
            <v>7.274497499999999</v>
          </cell>
          <cell r="X52">
            <v>66.472615344921607</v>
          </cell>
          <cell r="Y52">
            <v>277.8</v>
          </cell>
          <cell r="Z52">
            <v>0.23928227265990498</v>
          </cell>
          <cell r="AA52">
            <v>0.23928227265990498</v>
          </cell>
        </row>
        <row r="54">
          <cell r="A54" t="str">
            <v>Year</v>
          </cell>
          <cell r="B54">
            <v>462.54999999999995</v>
          </cell>
          <cell r="C54">
            <v>282.27178918124997</v>
          </cell>
          <cell r="D54">
            <v>102.5</v>
          </cell>
          <cell r="E54">
            <v>125.7</v>
          </cell>
          <cell r="F54">
            <v>510.47178918125002</v>
          </cell>
          <cell r="G54">
            <v>973.02178918124991</v>
          </cell>
          <cell r="H54">
            <v>172.02841549295778</v>
          </cell>
          <cell r="I54">
            <v>416.22158450704222</v>
          </cell>
          <cell r="J54">
            <v>333.95000000000005</v>
          </cell>
          <cell r="K54">
            <v>67.900000000000006</v>
          </cell>
          <cell r="L54">
            <v>34.6</v>
          </cell>
          <cell r="M54">
            <v>86.699999999999989</v>
          </cell>
          <cell r="N54">
            <v>189.2</v>
          </cell>
          <cell r="O54">
            <v>277.84337368829222</v>
          </cell>
          <cell r="P54">
            <v>48.400000000000006</v>
          </cell>
          <cell r="Q54">
            <v>57.949000000000005</v>
          </cell>
          <cell r="R54">
            <v>-9.5490000000000013</v>
          </cell>
          <cell r="S54">
            <v>268.29437368829224</v>
          </cell>
          <cell r="T54">
            <v>0.31009318123096025</v>
          </cell>
          <cell r="U54">
            <v>83.196255843370579</v>
          </cell>
          <cell r="V54">
            <v>185.09811784492166</v>
          </cell>
          <cell r="W54">
            <v>23.241949546422376</v>
          </cell>
          <cell r="X54">
            <v>208.34006739134406</v>
          </cell>
          <cell r="Y54">
            <v>255.8</v>
          </cell>
          <cell r="Z54">
            <v>0.79928227265990492</v>
          </cell>
          <cell r="AA54">
            <v>0.83928227265990496</v>
          </cell>
        </row>
        <row r="56">
          <cell r="A56" t="str">
            <v>2001E</v>
          </cell>
          <cell r="B56">
            <v>629.49850000000004</v>
          </cell>
          <cell r="C56">
            <v>313.39161170174998</v>
          </cell>
          <cell r="D56">
            <v>37.022000000000006</v>
          </cell>
          <cell r="E56">
            <v>150</v>
          </cell>
          <cell r="F56">
            <v>500.41361170174997</v>
          </cell>
          <cell r="G56">
            <v>1129.9121117017501</v>
          </cell>
          <cell r="H56">
            <v>200.87665250000001</v>
          </cell>
          <cell r="I56">
            <v>578.62184750000006</v>
          </cell>
          <cell r="J56">
            <v>388.68000000000006</v>
          </cell>
          <cell r="K56">
            <v>0</v>
          </cell>
          <cell r="L56">
            <v>37.022000000000006</v>
          </cell>
          <cell r="M56">
            <v>155.06305898929753</v>
          </cell>
          <cell r="N56">
            <v>192.08505898929752</v>
          </cell>
          <cell r="O56">
            <v>348.2704002124525</v>
          </cell>
          <cell r="P56">
            <v>62</v>
          </cell>
          <cell r="Q56">
            <v>55.518625000000007</v>
          </cell>
          <cell r="R56">
            <v>6.4813749999999928</v>
          </cell>
          <cell r="S56">
            <v>354.75177521245251</v>
          </cell>
          <cell r="T56">
            <v>0.31</v>
          </cell>
          <cell r="U56">
            <v>109.97305031586028</v>
          </cell>
          <cell r="V56">
            <v>244.77872489659222</v>
          </cell>
          <cell r="W56">
            <v>29.286359999999995</v>
          </cell>
          <cell r="X56">
            <v>274.06508489659223</v>
          </cell>
          <cell r="Y56">
            <v>282.8</v>
          </cell>
          <cell r="Z56">
            <v>0.96911274715909557</v>
          </cell>
          <cell r="AA56">
            <v>0.96911274715909557</v>
          </cell>
        </row>
        <row r="57">
          <cell r="A57" t="str">
            <v>2002E</v>
          </cell>
          <cell r="B57">
            <v>749.14550499999996</v>
          </cell>
          <cell r="C57">
            <v>355.62063268624695</v>
          </cell>
          <cell r="D57">
            <v>39.613540000000008</v>
          </cell>
          <cell r="E57">
            <v>168.00000000000003</v>
          </cell>
          <cell r="F57">
            <v>563.23417268624701</v>
          </cell>
          <cell r="G57">
            <v>1312.3796776862469</v>
          </cell>
          <cell r="H57">
            <v>227.34815607500002</v>
          </cell>
          <cell r="I57">
            <v>689.79734892499994</v>
          </cell>
          <cell r="J57">
            <v>439.14160000000004</v>
          </cell>
          <cell r="K57">
            <v>0</v>
          </cell>
          <cell r="L57">
            <v>39.613540000000008</v>
          </cell>
          <cell r="M57">
            <v>176.92910681823074</v>
          </cell>
          <cell r="N57">
            <v>216.54264681823074</v>
          </cell>
          <cell r="O57">
            <v>429.34727479301591</v>
          </cell>
          <cell r="P57">
            <v>70</v>
          </cell>
          <cell r="Q57">
            <v>56.673625000000001</v>
          </cell>
          <cell r="R57">
            <v>13.326374999999999</v>
          </cell>
          <cell r="S57">
            <v>442.6736497930159</v>
          </cell>
          <cell r="T57">
            <v>0.31</v>
          </cell>
          <cell r="U57">
            <v>137.22883143583493</v>
          </cell>
          <cell r="V57">
            <v>305.44481835718096</v>
          </cell>
          <cell r="W57">
            <v>30.083309999999994</v>
          </cell>
          <cell r="X57">
            <v>335.52812835718095</v>
          </cell>
          <cell r="Y57">
            <v>283.60000000000002</v>
          </cell>
          <cell r="Z57">
            <v>1.1831034145175632</v>
          </cell>
          <cell r="AA57">
            <v>1.1831034145175632</v>
          </cell>
        </row>
        <row r="58">
          <cell r="A58" t="str">
            <v>2003E</v>
          </cell>
          <cell r="B58">
            <v>891.47431174999997</v>
          </cell>
          <cell r="C58">
            <v>395.89894337545786</v>
          </cell>
          <cell r="D58">
            <v>42.386487800000012</v>
          </cell>
          <cell r="E58">
            <v>184.80000000000004</v>
          </cell>
          <cell r="F58">
            <v>623.08543117545787</v>
          </cell>
          <cell r="G58">
            <v>1514.5597429254578</v>
          </cell>
          <cell r="H58">
            <v>262.70983027625005</v>
          </cell>
          <cell r="I58">
            <v>813.56448147374988</v>
          </cell>
          <cell r="J58">
            <v>489.36881600000015</v>
          </cell>
          <cell r="K58">
            <v>0</v>
          </cell>
          <cell r="L58">
            <v>42.386487800000012</v>
          </cell>
          <cell r="M58">
            <v>199.94307106807327</v>
          </cell>
          <cell r="N58">
            <v>242.32955886807326</v>
          </cell>
          <cell r="O58">
            <v>520.15153778113449</v>
          </cell>
          <cell r="P58">
            <v>90</v>
          </cell>
          <cell r="Q58">
            <v>57.828625000000002</v>
          </cell>
          <cell r="R58">
            <v>32.171374999999998</v>
          </cell>
          <cell r="S58">
            <v>552.32291278113451</v>
          </cell>
          <cell r="T58">
            <v>0.31</v>
          </cell>
          <cell r="U58">
            <v>171.22010296215169</v>
          </cell>
          <cell r="V58">
            <v>381.10280981898279</v>
          </cell>
          <cell r="W58">
            <v>30.880259999999996</v>
          </cell>
          <cell r="X58">
            <v>411.98306981898281</v>
          </cell>
          <cell r="Y58">
            <v>284.40000000000003</v>
          </cell>
          <cell r="Z58">
            <v>1.4486043242580267</v>
          </cell>
          <cell r="AA58">
            <v>1.4486043242580267</v>
          </cell>
        </row>
        <row r="59">
          <cell r="A59" t="str">
            <v>2004E</v>
          </cell>
          <cell r="B59">
            <v>1055.9133003625002</v>
          </cell>
          <cell r="C59">
            <v>437.78694837234127</v>
          </cell>
          <cell r="D59">
            <v>45.353541946000014</v>
          </cell>
          <cell r="E59">
            <v>199.58400000000006</v>
          </cell>
          <cell r="F59">
            <v>682.7244903183414</v>
          </cell>
          <cell r="G59">
            <v>1738.6377906808416</v>
          </cell>
          <cell r="H59">
            <v>298.19956731168759</v>
          </cell>
          <cell r="I59">
            <v>957.29773305081267</v>
          </cell>
          <cell r="J59">
            <v>538.97771511106089</v>
          </cell>
          <cell r="K59">
            <v>0</v>
          </cell>
          <cell r="L59">
            <v>45.353541946000014</v>
          </cell>
          <cell r="M59">
            <v>224.13531560953044</v>
          </cell>
          <cell r="N59">
            <v>269.48885755553044</v>
          </cell>
          <cell r="O59">
            <v>631.97165070256267</v>
          </cell>
          <cell r="P59">
            <v>115</v>
          </cell>
          <cell r="Q59">
            <v>58.983624999999996</v>
          </cell>
          <cell r="R59">
            <v>56.016375000000004</v>
          </cell>
          <cell r="S59">
            <v>687.98802570256271</v>
          </cell>
          <cell r="T59">
            <v>0.31</v>
          </cell>
          <cell r="U59">
            <v>213.27628796779445</v>
          </cell>
          <cell r="V59">
            <v>474.71173773476823</v>
          </cell>
          <cell r="W59">
            <v>31.677209999999995</v>
          </cell>
          <cell r="X59">
            <v>506.38894773476824</v>
          </cell>
          <cell r="Y59">
            <v>285.20000000000005</v>
          </cell>
          <cell r="Z59">
            <v>1.7755573202481352</v>
          </cell>
          <cell r="AA59">
            <v>1.7755573202481352</v>
          </cell>
        </row>
        <row r="60">
          <cell r="A60" t="str">
            <v>2005E</v>
          </cell>
          <cell r="B60">
            <v>1236.408128684375</v>
          </cell>
          <cell r="C60">
            <v>461.52606448515519</v>
          </cell>
          <cell r="D60">
            <v>48.528289882220015</v>
          </cell>
          <cell r="E60">
            <v>215.55072000000007</v>
          </cell>
          <cell r="F60">
            <v>725.60507436737521</v>
          </cell>
          <cell r="G60">
            <v>1962.0132030517502</v>
          </cell>
          <cell r="H60">
            <v>338.55585705371573</v>
          </cell>
          <cell r="I60">
            <v>1113.4029916306592</v>
          </cell>
          <cell r="J60">
            <v>608.22409294604256</v>
          </cell>
          <cell r="K60">
            <v>0</v>
          </cell>
          <cell r="L60">
            <v>48.528289882220015</v>
          </cell>
          <cell r="M60">
            <v>245.7736905755425</v>
          </cell>
          <cell r="N60">
            <v>294.30198045776251</v>
          </cell>
          <cell r="O60">
            <v>720.93127259422943</v>
          </cell>
          <cell r="P60">
            <v>145</v>
          </cell>
          <cell r="Q60">
            <v>60.138624999999998</v>
          </cell>
          <cell r="R60">
            <v>84.86137500000001</v>
          </cell>
          <cell r="S60">
            <v>805.79264759422949</v>
          </cell>
          <cell r="T60">
            <v>0.31</v>
          </cell>
          <cell r="U60">
            <v>249.79572075421115</v>
          </cell>
          <cell r="V60">
            <v>555.99692684001832</v>
          </cell>
          <cell r="W60">
            <v>32.474159999999991</v>
          </cell>
          <cell r="X60">
            <v>588.4710868400183</v>
          </cell>
          <cell r="Y60">
            <v>286.00000000000006</v>
          </cell>
          <cell r="Z60">
            <v>2.0575912127273361</v>
          </cell>
          <cell r="AA60">
            <v>2.0575912127273361</v>
          </cell>
        </row>
        <row r="62">
          <cell r="A62" t="str">
            <v>CAGR</v>
          </cell>
        </row>
        <row r="63">
          <cell r="A63" t="str">
            <v>1999-2003</v>
          </cell>
          <cell r="B63">
            <v>28.85230871200082</v>
          </cell>
          <cell r="C63" t="e">
            <v>#DIV/0!</v>
          </cell>
          <cell r="D63" t="e">
            <v>#DIV/0!</v>
          </cell>
          <cell r="E63" t="e">
            <v>#DIV/0!</v>
          </cell>
          <cell r="G63">
            <v>17.451069583945245</v>
          </cell>
          <cell r="O63">
            <v>26.959865426590035</v>
          </cell>
          <cell r="S63">
            <v>31.68035113103269</v>
          </cell>
          <cell r="V63">
            <v>30.179562296772367</v>
          </cell>
          <cell r="X63">
            <v>29.102470972824811</v>
          </cell>
          <cell r="Z63">
            <v>22.614828553341269</v>
          </cell>
          <cell r="AA63">
            <v>31.462537155125879</v>
          </cell>
        </row>
        <row r="64">
          <cell r="A64" t="str">
            <v>2000-2005</v>
          </cell>
          <cell r="B64">
            <v>21.730844038082786</v>
          </cell>
          <cell r="G64">
            <v>15.057748677570926</v>
          </cell>
          <cell r="O64">
            <v>21.009304324561718</v>
          </cell>
          <cell r="S64">
            <v>24.601235030063041</v>
          </cell>
          <cell r="V64">
            <v>24.604600664068244</v>
          </cell>
          <cell r="X64">
            <v>23.080844057889195</v>
          </cell>
          <cell r="Z64">
            <v>20.818039203367089</v>
          </cell>
          <cell r="AA64">
            <v>19.64380306276967</v>
          </cell>
        </row>
        <row r="66">
          <cell r="A66" t="str">
            <v>% Change</v>
          </cell>
        </row>
        <row r="67">
          <cell r="A67" t="str">
            <v>Table 2</v>
          </cell>
        </row>
        <row r="68">
          <cell r="A68" t="str">
            <v>Alza</v>
          </cell>
        </row>
        <row r="69">
          <cell r="A69" t="str">
            <v>Quarterly Income Statement Analysis 1995-2004E % Change</v>
          </cell>
        </row>
        <row r="71">
          <cell r="I71" t="str">
            <v>Sales</v>
          </cell>
          <cell r="K71" t="str">
            <v>R&amp;D</v>
          </cell>
          <cell r="R71" t="str">
            <v>Non-</v>
          </cell>
          <cell r="W71" t="str">
            <v>AT</v>
          </cell>
          <cell r="X71" t="str">
            <v>Adj.</v>
          </cell>
          <cell r="Z71" t="str">
            <v>EPS</v>
          </cell>
        </row>
        <row r="72">
          <cell r="B72" t="str">
            <v xml:space="preserve">               Revenues</v>
          </cell>
          <cell r="E72" t="str">
            <v>Contract</v>
          </cell>
          <cell r="I72" t="str">
            <v xml:space="preserve">  Gross</v>
          </cell>
          <cell r="K72" t="str">
            <v>Cresc./</v>
          </cell>
          <cell r="L72" t="str">
            <v>Exter-</v>
          </cell>
          <cell r="M72" t="str">
            <v>Inter-</v>
          </cell>
          <cell r="O72" t="str">
            <v xml:space="preserve"> Oper.</v>
          </cell>
          <cell r="P72" t="str">
            <v>Int.</v>
          </cell>
          <cell r="Q72" t="str">
            <v>Int.</v>
          </cell>
          <cell r="R72" t="str">
            <v>Oper.</v>
          </cell>
          <cell r="S72" t="str">
            <v>Pretax</v>
          </cell>
          <cell r="T72" t="str">
            <v xml:space="preserve">    Tax</v>
          </cell>
          <cell r="V72" t="str">
            <v xml:space="preserve">   Net</v>
          </cell>
          <cell r="W72" t="str">
            <v>Conv.</v>
          </cell>
          <cell r="X72" t="str">
            <v xml:space="preserve">   Net</v>
          </cell>
          <cell r="Y72" t="str">
            <v xml:space="preserve">Avg. </v>
          </cell>
        </row>
        <row r="73">
          <cell r="B73" t="str">
            <v>Alza</v>
          </cell>
          <cell r="C73" t="str">
            <v>Fees</v>
          </cell>
          <cell r="D73" t="str">
            <v>R&amp;D</v>
          </cell>
          <cell r="E73" t="str">
            <v>Manuf.</v>
          </cell>
          <cell r="F73" t="str">
            <v>Other</v>
          </cell>
          <cell r="G73" t="str">
            <v>Total</v>
          </cell>
          <cell r="H73" t="str">
            <v>COGS</v>
          </cell>
          <cell r="I73" t="str">
            <v>Profit</v>
          </cell>
          <cell r="J73" t="str">
            <v>SG&amp;A</v>
          </cell>
          <cell r="K73" t="str">
            <v>TDC</v>
          </cell>
          <cell r="L73" t="str">
            <v>nal</v>
          </cell>
          <cell r="M73" t="str">
            <v>nal</v>
          </cell>
          <cell r="N73" t="str">
            <v>Total</v>
          </cell>
          <cell r="O73" t="str">
            <v>Inc.</v>
          </cell>
          <cell r="P73" t="str">
            <v>Inc.</v>
          </cell>
          <cell r="Q73" t="str">
            <v>Exp.</v>
          </cell>
          <cell r="R73" t="str">
            <v>Items</v>
          </cell>
          <cell r="S73" t="str">
            <v>Inc.</v>
          </cell>
          <cell r="T73" t="str">
            <v xml:space="preserve">   Rate</v>
          </cell>
          <cell r="U73" t="str">
            <v>Tax</v>
          </cell>
          <cell r="V73" t="str">
            <v>Inc.</v>
          </cell>
          <cell r="W73" t="str">
            <v>Int.</v>
          </cell>
          <cell r="X73" t="str">
            <v>Inc.</v>
          </cell>
          <cell r="Y73" t="str">
            <v xml:space="preserve">Shs. </v>
          </cell>
          <cell r="Z73" t="str">
            <v>Oper.</v>
          </cell>
          <cell r="AA73" t="str">
            <v>Rep.</v>
          </cell>
        </row>
        <row r="75">
          <cell r="A75" t="str">
            <v>1996/95</v>
          </cell>
        </row>
        <row r="76">
          <cell r="A76" t="str">
            <v xml:space="preserve"> 1Q</v>
          </cell>
          <cell r="B76">
            <v>0.7142857142857143</v>
          </cell>
          <cell r="C76">
            <v>0.10417525469642532</v>
          </cell>
          <cell r="D76">
            <v>0.3963133640552996</v>
          </cell>
          <cell r="E76">
            <v>-4.084562181913097E-2</v>
          </cell>
          <cell r="F76">
            <v>0.16216825378937286</v>
          </cell>
          <cell r="G76">
            <v>0.18811083664482869</v>
          </cell>
          <cell r="H76">
            <v>-2.5697235415905528E-2</v>
          </cell>
          <cell r="I76">
            <v>0.95507487520798651</v>
          </cell>
          <cell r="J76">
            <v>0.19971771347918119</v>
          </cell>
          <cell r="K76">
            <v>0.62411347517730487</v>
          </cell>
          <cell r="L76">
            <v>-2.6315789473683883E-2</v>
          </cell>
          <cell r="M76" t="str">
            <v xml:space="preserve">  NM</v>
          </cell>
          <cell r="N76">
            <v>0.40724754968078408</v>
          </cell>
          <cell r="O76">
            <v>0.13461679232852636</v>
          </cell>
          <cell r="P76">
            <v>0.44297635605006941</v>
          </cell>
          <cell r="Q76">
            <v>0.14387846291331557</v>
          </cell>
          <cell r="R76" t="str">
            <v xml:space="preserve">  NM</v>
          </cell>
          <cell r="S76">
            <v>0.19727792132173633</v>
          </cell>
          <cell r="T76">
            <v>-1.5805936861239636E-4</v>
          </cell>
          <cell r="U76">
            <v>0.1970886803294388</v>
          </cell>
          <cell r="V76">
            <v>0.19739390737805909</v>
          </cell>
          <cell r="W76" t="str">
            <v xml:space="preserve">  NM</v>
          </cell>
          <cell r="X76">
            <v>0.19739390737805909</v>
          </cell>
          <cell r="Y76">
            <v>2.6836106761824984E-2</v>
          </cell>
          <cell r="Z76">
            <v>0.16061278394083464</v>
          </cell>
          <cell r="AA76">
            <v>0.1999999999999999</v>
          </cell>
        </row>
        <row r="77">
          <cell r="A77" t="str">
            <v xml:space="preserve"> 2Q</v>
          </cell>
          <cell r="B77">
            <v>0.18749999999999989</v>
          </cell>
          <cell r="C77">
            <v>0.43441425650014626</v>
          </cell>
          <cell r="D77">
            <v>0.4945710027677242</v>
          </cell>
          <cell r="E77">
            <v>0.8648310387984981</v>
          </cell>
          <cell r="F77">
            <v>0.54691634439242842</v>
          </cell>
          <cell r="G77">
            <v>0.53195916509525987</v>
          </cell>
          <cell r="H77">
            <v>0.76843111482853399</v>
          </cell>
          <cell r="I77">
            <v>0.63800163800163789</v>
          </cell>
          <cell r="J77">
            <v>0.41700404858299606</v>
          </cell>
          <cell r="K77">
            <v>0.82758620689655171</v>
          </cell>
          <cell r="L77">
            <v>-4.2849193099610244E-2</v>
          </cell>
          <cell r="M77" t="str">
            <v xml:space="preserve">  NM</v>
          </cell>
          <cell r="N77">
            <v>0.58217362491716396</v>
          </cell>
          <cell r="O77">
            <v>0.37968495382943968</v>
          </cell>
          <cell r="P77">
            <v>0.66939443535188192</v>
          </cell>
          <cell r="Q77">
            <v>0.95340501792114696</v>
          </cell>
          <cell r="R77" t="str">
            <v xml:space="preserve">  NM</v>
          </cell>
          <cell r="S77">
            <v>0.32883282998756347</v>
          </cell>
          <cell r="T77">
            <v>-8.3501461275517117E-4</v>
          </cell>
          <cell r="U77">
            <v>0.32772323515661511</v>
          </cell>
          <cell r="V77">
            <v>0.32951289398280653</v>
          </cell>
          <cell r="W77" t="str">
            <v xml:space="preserve">  NM</v>
          </cell>
          <cell r="X77">
            <v>0.50143266475644543</v>
          </cell>
          <cell r="Y77">
            <v>0.18185237765886461</v>
          </cell>
          <cell r="Z77">
            <v>0.27515816618911165</v>
          </cell>
          <cell r="AA77">
            <v>0.22727272727272735</v>
          </cell>
        </row>
        <row r="78">
          <cell r="A78" t="str">
            <v xml:space="preserve"> 3Q</v>
          </cell>
          <cell r="B78">
            <v>0.78125</v>
          </cell>
          <cell r="C78">
            <v>0.1124880301920802</v>
          </cell>
          <cell r="D78">
            <v>6.8119891008174394E-2</v>
          </cell>
          <cell r="E78">
            <v>0.80617743037110123</v>
          </cell>
          <cell r="F78">
            <v>0.21640772622296878</v>
          </cell>
          <cell r="G78">
            <v>0.23916985694136617</v>
          </cell>
          <cell r="H78">
            <v>0.38762806380495379</v>
          </cell>
          <cell r="I78">
            <v>7.4816753926701738</v>
          </cell>
          <cell r="J78">
            <v>0.47545153904858806</v>
          </cell>
          <cell r="K78">
            <v>0.21739130434782611</v>
          </cell>
          <cell r="L78">
            <v>-0.23287671232876711</v>
          </cell>
          <cell r="M78" t="str">
            <v xml:space="preserve">  NM</v>
          </cell>
          <cell r="N78">
            <v>0.21237618082380391</v>
          </cell>
          <cell r="O78">
            <v>0.12419521633252155</v>
          </cell>
          <cell r="P78">
            <v>1.6655896607431337</v>
          </cell>
          <cell r="Q78">
            <v>0.90434012400354302</v>
          </cell>
          <cell r="R78" t="str">
            <v xml:space="preserve">  NM</v>
          </cell>
          <cell r="S78">
            <v>0.26900962814275503</v>
          </cell>
          <cell r="T78">
            <v>1.7751493491998333E-3</v>
          </cell>
          <cell r="U78">
            <v>0.27126230975828103</v>
          </cell>
          <cell r="V78">
            <v>0.26762882072106664</v>
          </cell>
          <cell r="W78" t="str">
            <v xml:space="preserve">  NM</v>
          </cell>
          <cell r="X78">
            <v>0.43774351094770331</v>
          </cell>
          <cell r="Y78">
            <v>0.17451082167473406</v>
          </cell>
          <cell r="Z78">
            <v>0.22743840201942567</v>
          </cell>
          <cell r="AA78">
            <v>0.22727272727272735</v>
          </cell>
        </row>
        <row r="79">
          <cell r="A79" t="str">
            <v xml:space="preserve"> 4Q</v>
          </cell>
          <cell r="B79">
            <v>1.0540540540540539</v>
          </cell>
          <cell r="C79">
            <v>0.13029526569122868</v>
          </cell>
          <cell r="D79">
            <v>0.16435288849081972</v>
          </cell>
          <cell r="E79">
            <v>-8.4862995477520742E-2</v>
          </cell>
          <cell r="F79">
            <v>9.784786965234829E-2</v>
          </cell>
          <cell r="G79">
            <v>0.13488839566145988</v>
          </cell>
          <cell r="H79">
            <v>8.2495687860584102E-2</v>
          </cell>
          <cell r="I79">
            <v>0.16156282998943952</v>
          </cell>
          <cell r="J79">
            <v>-0.17907247442259389</v>
          </cell>
          <cell r="K79">
            <v>0.16017316017316013</v>
          </cell>
          <cell r="L79">
            <v>0.17618230825778086</v>
          </cell>
          <cell r="M79" t="str">
            <v xml:space="preserve">  NM</v>
          </cell>
          <cell r="N79">
            <v>0.30807835518860277</v>
          </cell>
          <cell r="O79">
            <v>0.15573900619145895</v>
          </cell>
          <cell r="P79">
            <v>1.857142857142857</v>
          </cell>
          <cell r="Q79">
            <v>1.1368948247078465</v>
          </cell>
          <cell r="R79" t="str">
            <v xml:space="preserve">  NM</v>
          </cell>
          <cell r="S79">
            <v>0.30626377085300616</v>
          </cell>
          <cell r="T79">
            <v>1.9521425662891168E-3</v>
          </cell>
          <cell r="U79">
            <v>0.30881378396288967</v>
          </cell>
          <cell r="V79">
            <v>0.30470098487156072</v>
          </cell>
          <cell r="W79" t="str">
            <v xml:space="preserve">  NM</v>
          </cell>
          <cell r="X79">
            <v>0.46207736826073748</v>
          </cell>
          <cell r="Y79">
            <v>0.1776784635825582</v>
          </cell>
          <cell r="Z79">
            <v>0.26088943039902623</v>
          </cell>
          <cell r="AA79">
            <v>0.25</v>
          </cell>
        </row>
        <row r="81">
          <cell r="A81" t="str">
            <v>1996/95</v>
          </cell>
          <cell r="B81">
            <v>0.69852941176470584</v>
          </cell>
          <cell r="C81">
            <v>0.19141739483146236</v>
          </cell>
          <cell r="D81">
            <v>0.26187819797637829</v>
          </cell>
          <cell r="E81">
            <v>0.35118050507285298</v>
          </cell>
          <cell r="F81">
            <v>0.24717387202716923</v>
          </cell>
          <cell r="G81">
            <v>0.26598571284097494</v>
          </cell>
          <cell r="H81">
            <v>0.30285189999235429</v>
          </cell>
          <cell r="I81">
            <v>1.0377950013062787</v>
          </cell>
          <cell r="J81">
            <v>0.14640379700620665</v>
          </cell>
          <cell r="K81">
            <v>0.4065620542082739</v>
          </cell>
          <cell r="L81">
            <v>-3.7553141237600132E-2</v>
          </cell>
          <cell r="M81" t="str">
            <v xml:space="preserve">  NM</v>
          </cell>
          <cell r="N81">
            <v>0.36920071941054755</v>
          </cell>
          <cell r="O81">
            <v>0.19578383114707601</v>
          </cell>
          <cell r="P81">
            <v>1.1754328247727925</v>
          </cell>
          <cell r="Q81">
            <v>0.79623208989515015</v>
          </cell>
          <cell r="R81" t="str">
            <v xml:space="preserve">  NM</v>
          </cell>
          <cell r="S81">
            <v>0.27668319247861473</v>
          </cell>
          <cell r="T81">
            <v>7.42642837352845E-4</v>
          </cell>
          <cell r="U81">
            <v>0.27763131210707781</v>
          </cell>
          <cell r="V81">
            <v>0.27610208816705306</v>
          </cell>
          <cell r="W81" t="str">
            <v xml:space="preserve">  NM</v>
          </cell>
          <cell r="X81">
            <v>0.40315987183736579</v>
          </cell>
          <cell r="Y81">
            <v>0.14031503926642155</v>
          </cell>
          <cell r="Z81">
            <v>0.23228118804565534</v>
          </cell>
          <cell r="AA81">
            <v>0.22727272727272735</v>
          </cell>
        </row>
        <row r="83">
          <cell r="A83" t="str">
            <v>1997/96</v>
          </cell>
        </row>
        <row r="84">
          <cell r="A84" t="str">
            <v xml:space="preserve"> 1Q</v>
          </cell>
          <cell r="B84">
            <v>0.15000000000000005</v>
          </cell>
          <cell r="C84">
            <v>0.17866666666666675</v>
          </cell>
          <cell r="D84">
            <v>0.1155115511551154</v>
          </cell>
          <cell r="E84">
            <v>0.40136054421768724</v>
          </cell>
          <cell r="F84">
            <v>0.19515151515151508</v>
          </cell>
          <cell r="G84">
            <v>0.19209039548022599</v>
          </cell>
          <cell r="H84">
            <v>0.23124999999999996</v>
          </cell>
          <cell r="I84">
            <v>0.65957446808510678</v>
          </cell>
          <cell r="J84">
            <v>0.13725490196078435</v>
          </cell>
          <cell r="K84">
            <v>2.1834061135371181E-2</v>
          </cell>
          <cell r="L84">
            <v>0.40540540540540482</v>
          </cell>
          <cell r="M84">
            <v>0.20000000000000284</v>
          </cell>
          <cell r="N84">
            <v>0.11821086261980829</v>
          </cell>
          <cell r="O84">
            <v>0.2645161290322583</v>
          </cell>
          <cell r="P84">
            <v>1.036144578313253</v>
          </cell>
          <cell r="Q84">
            <v>1.1406249999999998</v>
          </cell>
          <cell r="R84" t="str">
            <v xml:space="preserve">  NM</v>
          </cell>
          <cell r="S84">
            <v>0.28875379939209778</v>
          </cell>
          <cell r="T84">
            <v>-5.8490566037757298E-4</v>
          </cell>
          <cell r="U84">
            <v>0.28800000000000009</v>
          </cell>
          <cell r="V84">
            <v>0.28921568627451055</v>
          </cell>
          <cell r="W84" t="str">
            <v xml:space="preserve">  NM</v>
          </cell>
          <cell r="X84">
            <v>0.44607843137254982</v>
          </cell>
          <cell r="Y84">
            <v>0.15602836879432627</v>
          </cell>
          <cell r="Z84">
            <v>0.25681663258350412</v>
          </cell>
          <cell r="AA84">
            <v>0.25</v>
          </cell>
        </row>
        <row r="85">
          <cell r="A85" t="str">
            <v xml:space="preserve"> 2Q</v>
          </cell>
          <cell r="B85">
            <v>1.236842105263158</v>
          </cell>
          <cell r="C85">
            <v>-6.9246435845213825E-2</v>
          </cell>
          <cell r="D85">
            <v>2.8490028490028491E-2</v>
          </cell>
          <cell r="E85">
            <v>-6.3758389261745041E-2</v>
          </cell>
          <cell r="F85">
            <v>-3.7719298245613889E-2</v>
          </cell>
          <cell r="G85">
            <v>3.3955857385400672E-3</v>
          </cell>
          <cell r="H85">
            <v>-0.21959459459459457</v>
          </cell>
          <cell r="I85">
            <v>2.3249999999999993</v>
          </cell>
          <cell r="J85">
            <v>5.8823529411764643E-2</v>
          </cell>
          <cell r="K85">
            <v>-2.2641509433962318E-2</v>
          </cell>
          <cell r="L85">
            <v>0.18604651162790711</v>
          </cell>
          <cell r="M85">
            <v>0.1290322580645156</v>
          </cell>
          <cell r="N85">
            <v>3.6649214659685826E-2</v>
          </cell>
          <cell r="O85">
            <v>0.12598425196850524</v>
          </cell>
          <cell r="P85">
            <v>0.32352941176470595</v>
          </cell>
          <cell r="Q85">
            <v>0.25688073394495403</v>
          </cell>
          <cell r="R85" t="str">
            <v xml:space="preserve">  NM</v>
          </cell>
          <cell r="S85">
            <v>0.1417112299465256</v>
          </cell>
          <cell r="T85">
            <v>5.4095062176325419E-3</v>
          </cell>
          <cell r="U85">
            <v>0.14788732394366208</v>
          </cell>
          <cell r="V85">
            <v>0.13793103448276101</v>
          </cell>
          <cell r="W85">
            <v>6.6666666666666721E-2</v>
          </cell>
          <cell r="X85">
            <v>0.12977099236641429</v>
          </cell>
          <cell r="Y85">
            <v>6.1601642710471692E-3</v>
          </cell>
          <cell r="Z85">
            <v>0.11866969009826253</v>
          </cell>
          <cell r="AA85">
            <v>0.11111111111111099</v>
          </cell>
        </row>
        <row r="86">
          <cell r="A86" t="str">
            <v xml:space="preserve"> 3Q</v>
          </cell>
          <cell r="B86">
            <v>1.4736842105263155</v>
          </cell>
          <cell r="C86">
            <v>6.0759493670886039E-2</v>
          </cell>
          <cell r="D86">
            <v>0.22789115646258515</v>
          </cell>
          <cell r="E86">
            <v>-5.8823529411764795E-2</v>
          </cell>
          <cell r="F86">
            <v>8.3063646170442318E-2</v>
          </cell>
          <cell r="G86">
            <v>0.16361788617886172</v>
          </cell>
          <cell r="H86">
            <v>2.8037383177570162E-2</v>
          </cell>
          <cell r="I86">
            <v>0.79012345679012319</v>
          </cell>
          <cell r="J86">
            <v>-5.1724137931034454E-2</v>
          </cell>
          <cell r="K86">
            <v>0.18750000000000014</v>
          </cell>
          <cell r="L86">
            <v>0.35714285714285715</v>
          </cell>
          <cell r="M86">
            <v>1.5217391304347805</v>
          </cell>
          <cell r="N86">
            <v>0.32176656151419558</v>
          </cell>
          <cell r="O86">
            <v>0.17507418397626107</v>
          </cell>
          <cell r="P86">
            <v>7.8787878787878837E-2</v>
          </cell>
          <cell r="Q86">
            <v>6.9767441860465143E-2</v>
          </cell>
          <cell r="R86" t="str">
            <v xml:space="preserve">  NM</v>
          </cell>
          <cell r="S86">
            <v>0.16890080428954415</v>
          </cell>
          <cell r="T86">
            <v>9.6911745703770659E-5</v>
          </cell>
          <cell r="U86">
            <v>0.16901408450704242</v>
          </cell>
          <cell r="V86">
            <v>0.16883116883116858</v>
          </cell>
          <cell r="W86">
            <v>3.2258064516129059E-2</v>
          </cell>
          <cell r="X86">
            <v>0.15267175572519054</v>
          </cell>
          <cell r="Y86">
            <v>1.1305241521068947E-2</v>
          </cell>
          <cell r="Z86">
            <v>0.13670581150255931</v>
          </cell>
          <cell r="AA86" t="str">
            <v xml:space="preserve">  NM</v>
          </cell>
        </row>
        <row r="87">
          <cell r="A87" t="str">
            <v xml:space="preserve"> 4Q</v>
          </cell>
          <cell r="B87">
            <v>2.0789473684210527</v>
          </cell>
          <cell r="C87">
            <v>9.3220338983050807E-2</v>
          </cell>
          <cell r="D87">
            <v>-0.20329670329670327</v>
          </cell>
          <cell r="E87">
            <v>0.29069767441860467</v>
          </cell>
          <cell r="F87">
            <v>1.984126984126984E-2</v>
          </cell>
          <cell r="G87">
            <v>0.16420664206642066</v>
          </cell>
          <cell r="H87">
            <v>0.53296703296703296</v>
          </cell>
          <cell r="I87">
            <v>1.6818181818181821</v>
          </cell>
          <cell r="J87">
            <v>0.21641791044776149</v>
          </cell>
          <cell r="K87">
            <v>-0.19402985074626863</v>
          </cell>
          <cell r="L87">
            <v>-0.22916666666666663</v>
          </cell>
          <cell r="M87">
            <v>1.4749999999999996</v>
          </cell>
          <cell r="N87">
            <v>-3.7128712871287127E-2</v>
          </cell>
          <cell r="O87">
            <v>0.18406593406593383</v>
          </cell>
          <cell r="P87">
            <v>-0.5921787709497206</v>
          </cell>
          <cell r="Q87">
            <v>7.0312499999999889E-2</v>
          </cell>
          <cell r="R87" t="str">
            <v xml:space="preserve">  NM</v>
          </cell>
          <cell r="S87">
            <v>-0.11566265060240995</v>
          </cell>
          <cell r="T87">
            <v>-0.36303590521850088</v>
          </cell>
          <cell r="U87">
            <v>-0.43670886075949378</v>
          </cell>
          <cell r="V87">
            <v>8.171206225680902E-2</v>
          </cell>
          <cell r="W87">
            <v>3.2258064516129059E-2</v>
          </cell>
          <cell r="X87">
            <v>7.6388888888888534E-2</v>
          </cell>
          <cell r="Y87">
            <v>8.2051282051281756E-3</v>
          </cell>
          <cell r="Z87">
            <v>5.1203797897591552E-2</v>
          </cell>
          <cell r="AA87">
            <v>0</v>
          </cell>
        </row>
        <row r="89">
          <cell r="A89" t="str">
            <v>1997/96</v>
          </cell>
          <cell r="B89">
            <v>1.2900432900432899</v>
          </cell>
          <cell r="C89">
            <v>5.8280438545874169E-2</v>
          </cell>
          <cell r="D89">
            <v>2.8963414634146208E-2</v>
          </cell>
          <cell r="E89">
            <v>8.8888888888888989E-2</v>
          </cell>
          <cell r="F89">
            <v>5.5128205128205272E-2</v>
          </cell>
          <cell r="G89">
            <v>0.12418300653594773</v>
          </cell>
          <cell r="H89">
            <v>8.8028169014084334E-2</v>
          </cell>
          <cell r="I89">
            <v>1.2777777777777775</v>
          </cell>
          <cell r="J89">
            <v>9.3418259023354683E-2</v>
          </cell>
          <cell r="K89">
            <v>-1.1156186612576008E-2</v>
          </cell>
          <cell r="L89">
            <v>0.15030674846625761</v>
          </cell>
          <cell r="M89">
            <v>0.96153846153846101</v>
          </cell>
          <cell r="N89">
            <v>9.7457627118644155E-2</v>
          </cell>
          <cell r="O89">
            <v>0.18390804597701171</v>
          </cell>
          <cell r="P89">
            <v>4.914933837429114E-2</v>
          </cell>
          <cell r="Q89">
            <v>0.27674418604651174</v>
          </cell>
          <cell r="R89" t="str">
            <v xml:space="preserve">  NM</v>
          </cell>
          <cell r="S89">
            <v>0.10932260228034925</v>
          </cell>
          <cell r="T89">
            <v>-7.9470643557705625E-2</v>
          </cell>
          <cell r="U89">
            <v>2.1164021164021211E-2</v>
          </cell>
          <cell r="V89">
            <v>0.16341991341991388</v>
          </cell>
          <cell r="W89">
            <v>0.39130434782608714</v>
          </cell>
          <cell r="X89">
            <v>0.18405511811023673</v>
          </cell>
          <cell r="Y89">
            <v>4.1666666666666789E-2</v>
          </cell>
          <cell r="Z89">
            <v>0.13513751539031518</v>
          </cell>
          <cell r="AA89">
            <v>-3.7129629629629624</v>
          </cell>
        </row>
        <row r="91">
          <cell r="A91" t="str">
            <v>1998/97</v>
          </cell>
        </row>
        <row r="92">
          <cell r="A92" t="str">
            <v xml:space="preserve"> 1Q</v>
          </cell>
          <cell r="B92">
            <v>5.057971014492753</v>
          </cell>
          <cell r="C92">
            <v>0.14027149321266957</v>
          </cell>
          <cell r="D92">
            <v>-0.22189349112426027</v>
          </cell>
          <cell r="E92">
            <v>0.21359223300970864</v>
          </cell>
          <cell r="F92">
            <v>3.1440162271805364E-2</v>
          </cell>
          <cell r="G92">
            <v>0.36018957345971564</v>
          </cell>
          <cell r="H92">
            <v>0.58883248730964477</v>
          </cell>
          <cell r="I92">
            <v>3.5512820512820507</v>
          </cell>
          <cell r="J92">
            <v>1.103448275862069</v>
          </cell>
          <cell r="K92">
            <v>-0.14786324786324775</v>
          </cell>
          <cell r="L92">
            <v>-0.38846153846153841</v>
          </cell>
          <cell r="M92" t="str">
            <v xml:space="preserve">  NM</v>
          </cell>
          <cell r="N92">
            <v>0.14857142857142866</v>
          </cell>
          <cell r="O92">
            <v>0.21428571428571441</v>
          </cell>
          <cell r="P92">
            <v>-0.59171597633136086</v>
          </cell>
          <cell r="Q92">
            <v>3.6496350364963508E-2</v>
          </cell>
          <cell r="R92" t="str">
            <v xml:space="preserve">  NM</v>
          </cell>
          <cell r="S92">
            <v>-4.952830188679231E-2</v>
          </cell>
          <cell r="T92">
            <v>-9.8192130450195231E-2</v>
          </cell>
          <cell r="U92">
            <v>-0.14285714285714288</v>
          </cell>
          <cell r="V92">
            <v>7.6045627376428275E-3</v>
          </cell>
          <cell r="W92" t="str">
            <v>NM</v>
          </cell>
          <cell r="X92">
            <v>-0.10169491525423703</v>
          </cell>
          <cell r="Y92">
            <v>2.3517382413087908E-2</v>
          </cell>
          <cell r="Z92">
            <v>-0.10488135593220355</v>
          </cell>
          <cell r="AA92">
            <v>-9.9999999999999908E-2</v>
          </cell>
        </row>
        <row r="93">
          <cell r="A93" t="str">
            <v xml:space="preserve"> 2Q</v>
          </cell>
          <cell r="B93">
            <v>3.9176470588235293</v>
          </cell>
          <cell r="C93">
            <v>0.16849015317286642</v>
          </cell>
          <cell r="D93">
            <v>-9.6952908587257608E-2</v>
          </cell>
          <cell r="E93">
            <v>9.3189964157706154E-2</v>
          </cell>
          <cell r="F93">
            <v>6.198723792160421E-2</v>
          </cell>
          <cell r="G93">
            <v>0.33925549915397624</v>
          </cell>
          <cell r="H93">
            <v>0.52380952380952384</v>
          </cell>
          <cell r="I93">
            <v>1.7894736842105265</v>
          </cell>
          <cell r="J93">
            <v>1</v>
          </cell>
          <cell r="K93">
            <v>-3.7065637065636967E-2</v>
          </cell>
          <cell r="L93">
            <v>-0.24901960784313745</v>
          </cell>
          <cell r="M93" t="str">
            <v xml:space="preserve">  NM</v>
          </cell>
          <cell r="N93">
            <v>0.13131313131313119</v>
          </cell>
          <cell r="O93">
            <v>0.23776223776223718</v>
          </cell>
          <cell r="P93">
            <v>-0.51851851851851849</v>
          </cell>
          <cell r="Q93">
            <v>4.379562043795631E-2</v>
          </cell>
          <cell r="R93" t="str">
            <v xml:space="preserve">  NM</v>
          </cell>
          <cell r="S93">
            <v>6.088992974238825E-2</v>
          </cell>
          <cell r="T93">
            <v>-8.0526551009628716E-2</v>
          </cell>
          <cell r="U93">
            <v>-2.4539877300613626E-2</v>
          </cell>
          <cell r="V93">
            <v>0.11363636363636283</v>
          </cell>
          <cell r="W93">
            <v>9.3749999999999944E-2</v>
          </cell>
          <cell r="X93">
            <v>0.11148648648648579</v>
          </cell>
          <cell r="Y93">
            <v>0.15918367346938769</v>
          </cell>
          <cell r="Z93">
            <v>-3.9864864864865852E-2</v>
          </cell>
          <cell r="AA93">
            <v>-3.3333333333333368E-2</v>
          </cell>
        </row>
        <row r="94">
          <cell r="A94" t="str">
            <v xml:space="preserve"> 3Q</v>
          </cell>
          <cell r="B94">
            <v>2.1134751773049643</v>
          </cell>
          <cell r="C94">
            <v>0.55847255369928395</v>
          </cell>
          <cell r="D94">
            <v>-9.1412742382271581E-2</v>
          </cell>
          <cell r="E94">
            <v>0.37500000000000011</v>
          </cell>
          <cell r="F94">
            <v>0.28386454183266929</v>
          </cell>
          <cell r="G94">
            <v>0.50917030567685595</v>
          </cell>
          <cell r="H94">
            <v>0.48181818181818187</v>
          </cell>
          <cell r="I94">
            <v>1.903448275862069</v>
          </cell>
          <cell r="J94">
            <v>2.4545454545454546</v>
          </cell>
          <cell r="K94">
            <v>-7.1428571428571508E-2</v>
          </cell>
          <cell r="L94">
            <v>-0.14736842105263182</v>
          </cell>
          <cell r="M94" t="str">
            <v xml:space="preserve">  NM</v>
          </cell>
          <cell r="N94">
            <v>0.23389021479713615</v>
          </cell>
          <cell r="O94">
            <v>0.27525252525252558</v>
          </cell>
          <cell r="P94">
            <v>-0.6460674157303371</v>
          </cell>
          <cell r="Q94">
            <v>2.8985507246376708E-2</v>
          </cell>
          <cell r="R94" t="str">
            <v xml:space="preserve">  NM</v>
          </cell>
          <cell r="S94">
            <v>-2.2935779816513433E-2</v>
          </cell>
          <cell r="T94">
            <v>-8.1339442276147131E-2</v>
          </cell>
          <cell r="U94">
            <v>-0.10240963855421692</v>
          </cell>
          <cell r="V94">
            <v>2.5925925925926557E-2</v>
          </cell>
          <cell r="W94" t="str">
            <v>NM</v>
          </cell>
          <cell r="X94">
            <v>-8.2781456953641794E-2</v>
          </cell>
          <cell r="Y94">
            <v>2.8455284552845499E-2</v>
          </cell>
          <cell r="Z94">
            <v>-0.12026490066225153</v>
          </cell>
          <cell r="AA94">
            <v>-1.0704960835509136</v>
          </cell>
        </row>
        <row r="95">
          <cell r="A95" t="str">
            <v xml:space="preserve"> 4Q</v>
          </cell>
          <cell r="B95">
            <v>1.0641025641025641</v>
          </cell>
          <cell r="C95">
            <v>0.2403100775193798</v>
          </cell>
          <cell r="D95">
            <v>0.12758620689655181</v>
          </cell>
          <cell r="E95">
            <v>0.2297297297297298</v>
          </cell>
          <cell r="F95">
            <v>0.20622568093385218</v>
          </cell>
          <cell r="G95">
            <v>0.36529318541996852</v>
          </cell>
          <cell r="H95">
            <v>-4.6594982078852945E-2</v>
          </cell>
          <cell r="I95">
            <v>1.7683615819209042</v>
          </cell>
          <cell r="J95">
            <v>1.8650306748466252</v>
          </cell>
          <cell r="K95">
            <v>0.16666666666666655</v>
          </cell>
          <cell r="L95">
            <v>1.3513513513514189E-2</v>
          </cell>
          <cell r="M95" t="str">
            <v xml:space="preserve">  NM</v>
          </cell>
          <cell r="N95">
            <v>0.3804627249357328</v>
          </cell>
          <cell r="O95">
            <v>5.1044083526683055E-2</v>
          </cell>
          <cell r="P95">
            <v>-8.2191780821917762E-2</v>
          </cell>
          <cell r="Q95">
            <v>2.1897810218978155E-2</v>
          </cell>
          <cell r="R95" t="str">
            <v xml:space="preserve">  NM</v>
          </cell>
          <cell r="S95">
            <v>3.5422343324251787E-2</v>
          </cell>
          <cell r="T95">
            <v>0.44325842696629075</v>
          </cell>
          <cell r="U95">
            <v>0.49438202247191043</v>
          </cell>
          <cell r="V95">
            <v>-0.11151079136690521</v>
          </cell>
          <cell r="W95" t="str">
            <v>NM</v>
          </cell>
          <cell r="X95">
            <v>-0.20322580645161184</v>
          </cell>
          <cell r="Y95">
            <v>4.6795523906409044E-2</v>
          </cell>
          <cell r="Z95">
            <v>-0.23896774193548326</v>
          </cell>
          <cell r="AA95">
            <v>-0.2</v>
          </cell>
        </row>
        <row r="97">
          <cell r="A97" t="str">
            <v>Year</v>
          </cell>
          <cell r="B97">
            <v>2.3232514177693764</v>
          </cell>
          <cell r="C97">
            <v>0.27099236641221369</v>
          </cell>
          <cell r="D97">
            <v>-7.8518518518518474E-2</v>
          </cell>
          <cell r="E97">
            <v>0.2201933404940922</v>
          </cell>
          <cell r="F97">
            <v>0.1448359659781287</v>
          </cell>
          <cell r="G97">
            <v>0.39298018949181751</v>
          </cell>
          <cell r="H97">
            <v>0.35598705501618128</v>
          </cell>
          <cell r="I97">
            <v>2.0712945590994378</v>
          </cell>
          <cell r="J97">
            <v>1.6077669902912621</v>
          </cell>
          <cell r="K97">
            <v>-2.7897435897435884E-2</v>
          </cell>
          <cell r="L97">
            <v>-0.21013333333333331</v>
          </cell>
          <cell r="M97" t="str">
            <v xml:space="preserve">  NM</v>
          </cell>
          <cell r="N97">
            <v>0.22522522522522503</v>
          </cell>
          <cell r="O97">
            <v>0.1923543689320393</v>
          </cell>
          <cell r="P97">
            <v>-0.5243243243243243</v>
          </cell>
          <cell r="Q97">
            <v>3.2786885245901586E-2</v>
          </cell>
          <cell r="R97" t="str">
            <v xml:space="preserve">  NM</v>
          </cell>
          <cell r="S97">
            <v>4.8367593712213492E-3</v>
          </cell>
          <cell r="T97">
            <v>-4.8134777376654279E-3</v>
          </cell>
          <cell r="U97">
            <v>0</v>
          </cell>
          <cell r="V97">
            <v>7.4418604651167817E-3</v>
          </cell>
          <cell r="W97">
            <v>-0.7265625</v>
          </cell>
          <cell r="X97">
            <v>-7.0656691604322169E-2</v>
          </cell>
          <cell r="Y97">
            <v>3.439490445859858E-2</v>
          </cell>
          <cell r="Z97">
            <v>-0.12720641569133925</v>
          </cell>
          <cell r="AA97">
            <v>-1.3651877133105801</v>
          </cell>
        </row>
        <row r="99">
          <cell r="A99" t="str">
            <v>1999/98</v>
          </cell>
        </row>
        <row r="100">
          <cell r="A100" t="str">
            <v xml:space="preserve"> 1Q</v>
          </cell>
          <cell r="B100">
            <v>0.62440191387559829</v>
          </cell>
          <cell r="C100">
            <v>0.16865079365079366</v>
          </cell>
          <cell r="D100">
            <v>0.15589353612167292</v>
          </cell>
          <cell r="E100">
            <v>0.13200000000000003</v>
          </cell>
          <cell r="F100">
            <v>0.15634218289085536</v>
          </cell>
          <cell r="G100">
            <v>0.29268292682926828</v>
          </cell>
          <cell r="H100">
            <v>9.5846645367412026E-2</v>
          </cell>
          <cell r="I100">
            <v>0.74366197183098603</v>
          </cell>
          <cell r="J100">
            <v>1.2622950819672134</v>
          </cell>
          <cell r="K100">
            <v>0.1685055165496489</v>
          </cell>
          <cell r="L100">
            <v>0.1163522012578614</v>
          </cell>
          <cell r="M100">
            <v>-1.438848920863304E-2</v>
          </cell>
          <cell r="N100">
            <v>9.7014925373134289E-2</v>
          </cell>
          <cell r="O100">
            <v>9.0336134453780983E-2</v>
          </cell>
          <cell r="P100">
            <v>-0.27536231884057977</v>
          </cell>
          <cell r="Q100">
            <v>4.9295774647887404E-2</v>
          </cell>
          <cell r="R100" t="str">
            <v xml:space="preserve">  NM</v>
          </cell>
          <cell r="S100">
            <v>4.2183622828783469E-2</v>
          </cell>
          <cell r="T100">
            <v>-5.4382332643201567E-2</v>
          </cell>
          <cell r="U100">
            <v>-1.4492753623188354E-2</v>
          </cell>
          <cell r="V100">
            <v>7.1698113207546155E-2</v>
          </cell>
          <cell r="W100" t="str">
            <v>NM</v>
          </cell>
          <cell r="X100">
            <v>7.1698113207546155E-2</v>
          </cell>
          <cell r="Y100">
            <v>3.0969030969031055E-2</v>
          </cell>
          <cell r="Z100">
            <v>3.703703703703707E-2</v>
          </cell>
          <cell r="AA100">
            <v>-0.85185185185185186</v>
          </cell>
        </row>
        <row r="101">
          <cell r="A101" t="str">
            <v xml:space="preserve"> 2Q</v>
          </cell>
          <cell r="B101">
            <v>0.64593301435406703</v>
          </cell>
          <cell r="C101">
            <v>2.6217228464419449E-2</v>
          </cell>
          <cell r="D101">
            <v>0.14110429447852765</v>
          </cell>
          <cell r="E101">
            <v>0.12786885245901636</v>
          </cell>
          <cell r="F101">
            <v>8.4978540772532238E-2</v>
          </cell>
          <cell r="G101">
            <v>0.23310170562223609</v>
          </cell>
          <cell r="H101">
            <v>0.14488636363636345</v>
          </cell>
          <cell r="I101">
            <v>0.69541778975741242</v>
          </cell>
          <cell r="J101">
            <v>1.396825396825397</v>
          </cell>
          <cell r="K101">
            <v>0.1427425821972734</v>
          </cell>
          <cell r="L101">
            <v>0.13577023498694551</v>
          </cell>
          <cell r="M101">
            <v>-0.13114754098360673</v>
          </cell>
          <cell r="N101">
            <v>6.6964285714285712E-2</v>
          </cell>
          <cell r="O101">
            <v>-0.12052730696798555</v>
          </cell>
          <cell r="P101">
            <v>1.8307692307692305</v>
          </cell>
          <cell r="Q101">
            <v>3.4965034965034961E-2</v>
          </cell>
          <cell r="R101" t="str">
            <v xml:space="preserve">  NM</v>
          </cell>
          <cell r="S101">
            <v>0.11037527593818888</v>
          </cell>
          <cell r="T101">
            <v>-8.8075321654974989E-2</v>
          </cell>
          <cell r="U101">
            <v>1.2578616352201437E-2</v>
          </cell>
          <cell r="V101">
            <v>0.16326530612244736</v>
          </cell>
          <cell r="W101">
            <v>8.571428571428566E-2</v>
          </cell>
          <cell r="X101">
            <v>0.15501519756838752</v>
          </cell>
          <cell r="Y101">
            <v>1.1443661971831087E-2</v>
          </cell>
          <cell r="Z101">
            <v>0.13793103448275876</v>
          </cell>
          <cell r="AA101">
            <v>0.13793103448275876</v>
          </cell>
        </row>
        <row r="102">
          <cell r="A102" t="str">
            <v xml:space="preserve"> 3Q</v>
          </cell>
          <cell r="B102">
            <v>1.4214123006833712</v>
          </cell>
          <cell r="C102">
            <v>-0.11179173047473197</v>
          </cell>
          <cell r="D102">
            <v>-0.17073170731707313</v>
          </cell>
          <cell r="E102">
            <v>-6.4935064935064705E-3</v>
          </cell>
          <cell r="F102">
            <v>-0.10162916989914658</v>
          </cell>
          <cell r="G102">
            <v>0.28530092592592599</v>
          </cell>
          <cell r="H102">
            <v>0.38650306748466262</v>
          </cell>
          <cell r="I102">
            <v>1.178147268408551</v>
          </cell>
          <cell r="J102">
            <v>0.73421052631578965</v>
          </cell>
          <cell r="K102">
            <v>-0.1497975708502024</v>
          </cell>
          <cell r="L102">
            <v>-0.23456790123456778</v>
          </cell>
          <cell r="M102">
            <v>-0.25396825396825429</v>
          </cell>
          <cell r="N102">
            <v>-0.2011605415860736</v>
          </cell>
          <cell r="O102">
            <v>0.38019801980198042</v>
          </cell>
          <cell r="P102">
            <v>0.15873015873015872</v>
          </cell>
          <cell r="Q102">
            <v>-7.0422535211267356E-3</v>
          </cell>
          <cell r="R102" t="str">
            <v xml:space="preserve">  NM</v>
          </cell>
          <cell r="S102">
            <v>0.4765258215962444</v>
          </cell>
          <cell r="T102">
            <v>-8.6373384833708711E-2</v>
          </cell>
          <cell r="U102">
            <v>0.34899328859060408</v>
          </cell>
          <cell r="V102">
            <v>0.54512635379061392</v>
          </cell>
          <cell r="W102" t="str">
            <v>NM</v>
          </cell>
          <cell r="X102">
            <v>0.84837545126353786</v>
          </cell>
          <cell r="Y102">
            <v>0.27865612648221344</v>
          </cell>
          <cell r="Z102">
            <v>0.48148148148148145</v>
          </cell>
          <cell r="AA102">
            <v>0.48148148148148145</v>
          </cell>
        </row>
        <row r="103">
          <cell r="A103" t="str">
            <v xml:space="preserve"> 4Q</v>
          </cell>
          <cell r="B103">
            <v>0.66459627329192572</v>
          </cell>
          <cell r="C103">
            <v>-0.13437500000000002</v>
          </cell>
          <cell r="D103">
            <v>-0.20489296636085633</v>
          </cell>
          <cell r="E103">
            <v>0.14652014652014653</v>
          </cell>
          <cell r="F103">
            <v>-9.1129032258064499E-2</v>
          </cell>
          <cell r="G103">
            <v>0.12071967498549048</v>
          </cell>
          <cell r="H103">
            <v>0.45112781954887216</v>
          </cell>
          <cell r="I103">
            <v>0.49183673469387768</v>
          </cell>
          <cell r="J103">
            <v>0.54603854389721629</v>
          </cell>
          <cell r="K103">
            <v>-0.2857142857142857</v>
          </cell>
          <cell r="L103">
            <v>6.6666666666666166E-2</v>
          </cell>
          <cell r="M103">
            <v>0.16190476190476183</v>
          </cell>
          <cell r="N103">
            <v>-6.1452513966480521E-2</v>
          </cell>
          <cell r="O103">
            <v>-0.29580573951434835</v>
          </cell>
          <cell r="P103">
            <v>0.62686567164179108</v>
          </cell>
          <cell r="Q103">
            <v>2.1428571428571481E-2</v>
          </cell>
          <cell r="R103" t="str">
            <v xml:space="preserve">  NM</v>
          </cell>
          <cell r="S103">
            <v>-0.24999999999999953</v>
          </cell>
          <cell r="T103">
            <v>-0.87969924812030076</v>
          </cell>
          <cell r="U103">
            <v>-0.90977443609022557</v>
          </cell>
          <cell r="V103">
            <v>0.10526315789473742</v>
          </cell>
          <cell r="W103" t="str">
            <v>NM</v>
          </cell>
          <cell r="X103">
            <v>0.10526315789473742</v>
          </cell>
          <cell r="Y103">
            <v>9.7181729834791061E-3</v>
          </cell>
          <cell r="Z103">
            <v>9.4802694898942413E-2</v>
          </cell>
          <cell r="AA103">
            <v>-0.1666666666666666</v>
          </cell>
        </row>
        <row r="105">
          <cell r="A105" t="str">
            <v>Year</v>
          </cell>
          <cell r="B105">
            <v>0.83959044368600655</v>
          </cell>
          <cell r="C105">
            <v>-2.5740025740025742E-2</v>
          </cell>
          <cell r="D105">
            <v>-2.8938906752411644E-2</v>
          </cell>
          <cell r="E105">
            <v>9.6830985915493092E-2</v>
          </cell>
          <cell r="F105">
            <v>2.9717682020801895E-3</v>
          </cell>
          <cell r="G105">
            <v>0.23032926263719256</v>
          </cell>
          <cell r="H105">
            <v>0.26014319809069231</v>
          </cell>
          <cell r="I105">
            <v>0.76908979841172909</v>
          </cell>
          <cell r="J105">
            <v>0.88905435591958282</v>
          </cell>
          <cell r="K105">
            <v>-4.199198143068162E-2</v>
          </cell>
          <cell r="L105">
            <v>1.2829169480080992E-2</v>
          </cell>
          <cell r="M105">
            <v>-4.8484848484848637E-2</v>
          </cell>
          <cell r="N105">
            <v>-3.5714285714285629E-2</v>
          </cell>
          <cell r="O105">
            <v>1.8829516539440139E-2</v>
          </cell>
          <cell r="P105">
            <v>0.57575757575757591</v>
          </cell>
          <cell r="Q105">
            <v>2.4691358024691457E-2</v>
          </cell>
          <cell r="R105" t="str">
            <v xml:space="preserve">  NM</v>
          </cell>
          <cell r="S105">
            <v>0.10529482551143181</v>
          </cell>
          <cell r="T105">
            <v>-0.20308229513652842</v>
          </cell>
          <cell r="U105">
            <v>-0.11917098445595851</v>
          </cell>
          <cell r="V105">
            <v>0.22530009233610296</v>
          </cell>
          <cell r="W105" t="str">
            <v>NM</v>
          </cell>
          <cell r="X105">
            <v>0.32647584973166316</v>
          </cell>
          <cell r="Y105">
            <v>0.13990147783251233</v>
          </cell>
          <cell r="Z105">
            <v>0.19790951461643477</v>
          </cell>
          <cell r="AA105">
            <v>-9.3457943925233725E-2</v>
          </cell>
        </row>
        <row r="107">
          <cell r="A107" t="str">
            <v>2000E/99</v>
          </cell>
        </row>
        <row r="108">
          <cell r="A108" t="str">
            <v xml:space="preserve"> 1QA</v>
          </cell>
          <cell r="B108">
            <v>0.17525773195876274</v>
          </cell>
          <cell r="C108">
            <v>0.13921901528013575</v>
          </cell>
          <cell r="D108">
            <v>-0.16447368421052633</v>
          </cell>
          <cell r="E108">
            <v>2.4734982332155452E-2</v>
          </cell>
          <cell r="F108">
            <v>3.31632653061225E-2</v>
          </cell>
          <cell r="G108">
            <v>8.5175202156334298E-2</v>
          </cell>
          <cell r="H108">
            <v>1.1661807580175093E-2</v>
          </cell>
          <cell r="I108">
            <v>0.19709208400646183</v>
          </cell>
          <cell r="J108">
            <v>0.21739130434782608</v>
          </cell>
          <cell r="K108">
            <v>-0.14163090128755368</v>
          </cell>
          <cell r="L108">
            <v>-0.23943661971830982</v>
          </cell>
          <cell r="M108">
            <v>0.41605839416058354</v>
          </cell>
          <cell r="N108">
            <v>1.5873015873015775E-2</v>
          </cell>
          <cell r="O108">
            <v>5.2023121387283995E-2</v>
          </cell>
          <cell r="P108">
            <v>8.0000000000000071E-2</v>
          </cell>
          <cell r="Q108">
            <v>3.3557046979865772E-2</v>
          </cell>
          <cell r="R108" t="str">
            <v xml:space="preserve">  NM</v>
          </cell>
          <cell r="S108">
            <v>6.1904761904762802E-2</v>
          </cell>
          <cell r="T108">
            <v>-4.4447375362702005E-2</v>
          </cell>
          <cell r="U108">
            <v>1.4705882352941122E-2</v>
          </cell>
          <cell r="V108">
            <v>8.4507042253522499E-2</v>
          </cell>
          <cell r="W108" t="str">
            <v>NM</v>
          </cell>
          <cell r="X108">
            <v>8.4507042253522499E-2</v>
          </cell>
          <cell r="Y108">
            <v>4.8449612403100775E-3</v>
          </cell>
          <cell r="Z108">
            <v>7.1428571428571286E-2</v>
          </cell>
          <cell r="AA108">
            <v>6.5</v>
          </cell>
        </row>
        <row r="109">
          <cell r="A109" t="str">
            <v xml:space="preserve"> 2QA</v>
          </cell>
          <cell r="B109">
            <v>0.45348837209302334</v>
          </cell>
          <cell r="C109">
            <v>0.31751824817518259</v>
          </cell>
          <cell r="D109">
            <v>-0.13978494623655921</v>
          </cell>
          <cell r="E109">
            <v>5.8139534883721762E-3</v>
          </cell>
          <cell r="F109">
            <v>9.8101265822784847E-2</v>
          </cell>
          <cell r="G109">
            <v>0.22336065573770505</v>
          </cell>
          <cell r="H109">
            <v>4.2183622828784191E-2</v>
          </cell>
          <cell r="I109">
            <v>0.47217806041335464</v>
          </cell>
          <cell r="J109">
            <v>0.41721854304635758</v>
          </cell>
          <cell r="K109">
            <v>-0.19298245614035087</v>
          </cell>
          <cell r="L109">
            <v>3.4482758620689315E-2</v>
          </cell>
          <cell r="M109">
            <v>0.50000000000000067</v>
          </cell>
          <cell r="N109">
            <v>2.0920502092050507E-3</v>
          </cell>
          <cell r="O109">
            <v>0.35546038543897329</v>
          </cell>
          <cell r="P109">
            <v>-0.60869565217391308</v>
          </cell>
          <cell r="Q109">
            <v>3.3783783783783779E-2</v>
          </cell>
          <cell r="R109" t="str">
            <v xml:space="preserve">  NM</v>
          </cell>
          <cell r="S109">
            <v>9.7415506958251519E-2</v>
          </cell>
          <cell r="T109">
            <v>-2.6510036907013129E-2</v>
          </cell>
          <cell r="U109">
            <v>6.8322981366459715E-2</v>
          </cell>
          <cell r="V109">
            <v>0.11111111111111259</v>
          </cell>
          <cell r="W109">
            <v>1.190896739130435</v>
          </cell>
          <cell r="X109">
            <v>0.2190896739130451</v>
          </cell>
          <cell r="Y109">
            <v>0.13489991296779807</v>
          </cell>
          <cell r="Z109">
            <v>9.0909090909090814E-2</v>
          </cell>
          <cell r="AA109">
            <v>0.33333333333333326</v>
          </cell>
        </row>
        <row r="110">
          <cell r="A110" t="str">
            <v xml:space="preserve"> 3QA</v>
          </cell>
          <cell r="B110">
            <v>0.2765757290686735</v>
          </cell>
          <cell r="C110">
            <v>0.23448275862068957</v>
          </cell>
          <cell r="D110">
            <v>0.29044117647058831</v>
          </cell>
          <cell r="E110">
            <v>-4.9019607843137254E-2</v>
          </cell>
          <cell r="F110">
            <v>0.17271157167530199</v>
          </cell>
          <cell r="G110">
            <v>0.2224223322827554</v>
          </cell>
          <cell r="H110">
            <v>7.5221238938053062E-2</v>
          </cell>
          <cell r="I110">
            <v>0.2671755725190838</v>
          </cell>
          <cell r="J110">
            <v>0.41578148710166901</v>
          </cell>
          <cell r="K110">
            <v>0.18571428571428564</v>
          </cell>
          <cell r="L110">
            <v>0.64516129032258129</v>
          </cell>
          <cell r="M110">
            <v>0.16312056737588659</v>
          </cell>
          <cell r="N110">
            <v>0.24697336561743349</v>
          </cell>
          <cell r="O110">
            <v>0.1205164992826397</v>
          </cell>
          <cell r="P110">
            <v>1.4794520547945207</v>
          </cell>
          <cell r="Q110">
            <v>-4.255319148936168E-2</v>
          </cell>
          <cell r="R110" t="str">
            <v xml:space="preserve">  NM</v>
          </cell>
          <cell r="S110">
            <v>0.31478537360890257</v>
          </cell>
          <cell r="T110">
            <v>-3.1300570906049902E-2</v>
          </cell>
          <cell r="U110">
            <v>0.27363184079601988</v>
          </cell>
          <cell r="V110">
            <v>0.33411214953270962</v>
          </cell>
          <cell r="W110" t="str">
            <v>NM</v>
          </cell>
          <cell r="X110">
            <v>0.26449305542434975</v>
          </cell>
          <cell r="Y110">
            <v>7.1097372488407945E-2</v>
          </cell>
          <cell r="Z110">
            <v>0.15</v>
          </cell>
          <cell r="AA110">
            <v>0.15</v>
          </cell>
        </row>
        <row r="111">
          <cell r="A111" t="str">
            <v xml:space="preserve"> 4Q</v>
          </cell>
          <cell r="B111">
            <v>0.82898009950248719</v>
          </cell>
          <cell r="C111">
            <v>0.28829944370487331</v>
          </cell>
          <cell r="D111">
            <v>-0.61538461538461542</v>
          </cell>
          <cell r="E111">
            <v>5.4313099041533523E-2</v>
          </cell>
          <cell r="F111">
            <v>1.4833976763531298E-2</v>
          </cell>
          <cell r="G111">
            <v>0.35381558353832171</v>
          </cell>
          <cell r="H111">
            <v>0.21058071225279143</v>
          </cell>
          <cell r="I111">
            <v>0.82382468545885434</v>
          </cell>
          <cell r="J111">
            <v>0.21675900277008298</v>
          </cell>
          <cell r="K111" t="str">
            <v xml:space="preserve">  NM</v>
          </cell>
          <cell r="L111">
            <v>0.25</v>
          </cell>
          <cell r="M111">
            <v>0.43442622950819682</v>
          </cell>
          <cell r="N111">
            <v>-0.10714285714285712</v>
          </cell>
          <cell r="O111">
            <v>1.5656229996329818</v>
          </cell>
          <cell r="P111">
            <v>0.62385321100917424</v>
          </cell>
          <cell r="Q111">
            <v>-3.8531468531468542E-2</v>
          </cell>
          <cell r="R111" t="str">
            <v xml:space="preserve">  NM</v>
          </cell>
          <cell r="S111">
            <v>2.0103289013435823</v>
          </cell>
          <cell r="T111">
            <v>6.3625000000000069</v>
          </cell>
          <cell r="U111">
            <v>21.16354653614215</v>
          </cell>
          <cell r="V111">
            <v>1.1684292250887012</v>
          </cell>
          <cell r="W111" t="str">
            <v>NM</v>
          </cell>
          <cell r="X111">
            <v>1.434894334978811</v>
          </cell>
          <cell r="Y111">
            <v>0.33686236766121269</v>
          </cell>
          <cell r="Z111">
            <v>0.82135004610726026</v>
          </cell>
          <cell r="AA111">
            <v>1.3928227265990496</v>
          </cell>
        </row>
        <row r="113">
          <cell r="A113" t="str">
            <v>Year</v>
          </cell>
          <cell r="B113">
            <v>0.43027210884353739</v>
          </cell>
          <cell r="C113">
            <v>0.24294050718295895</v>
          </cell>
          <cell r="D113">
            <v>-0.15149006622516553</v>
          </cell>
          <cell r="E113">
            <v>8.8282504012840626E-3</v>
          </cell>
          <cell r="F113">
            <v>8.0363574986772518E-2</v>
          </cell>
          <cell r="G113">
            <v>0.22254276816339985</v>
          </cell>
          <cell r="H113">
            <v>8.6037976596955626E-2</v>
          </cell>
          <cell r="I113">
            <v>0.4372292282701733</v>
          </cell>
          <cell r="J113">
            <v>0.31631848640126159</v>
          </cell>
          <cell r="K113">
            <v>-0.25220264317180607</v>
          </cell>
          <cell r="L113">
            <v>0.15333333333333338</v>
          </cell>
          <cell r="M113">
            <v>0.38057324840764334</v>
          </cell>
          <cell r="N113">
            <v>3.0501089324618706E-2</v>
          </cell>
          <cell r="O113">
            <v>0.38782903940205871</v>
          </cell>
          <cell r="P113">
            <v>0.16346153846153855</v>
          </cell>
          <cell r="Q113">
            <v>-2.5989672977625358E-3</v>
          </cell>
          <cell r="R113" t="str">
            <v xml:space="preserve">  NM</v>
          </cell>
          <cell r="S113">
            <v>0.46050285078003383</v>
          </cell>
          <cell r="T113">
            <v>0.11694347827700763</v>
          </cell>
          <cell r="U113">
            <v>0.63129913418373662</v>
          </cell>
          <cell r="V113">
            <v>0.39486147584718639</v>
          </cell>
          <cell r="W113" t="str">
            <v>NM</v>
          </cell>
          <cell r="X113">
            <v>0.40485547802659505</v>
          </cell>
          <cell r="Y113">
            <v>0.10544511668107176</v>
          </cell>
          <cell r="Z113">
            <v>0.24716060615982455</v>
          </cell>
          <cell r="AA113">
            <v>0.73047891270083498</v>
          </cell>
        </row>
        <row r="115">
          <cell r="A115" t="str">
            <v>2001E/00E</v>
          </cell>
          <cell r="B115">
            <v>0.36093071019349282</v>
          </cell>
          <cell r="C115">
            <v>0.11024772475763638</v>
          </cell>
          <cell r="D115">
            <v>-0.63880975609756097</v>
          </cell>
          <cell r="E115">
            <v>0.1933174224343675</v>
          </cell>
          <cell r="F115">
            <v>-1.9703689200205248E-2</v>
          </cell>
          <cell r="G115">
            <v>0.16124029725224925</v>
          </cell>
          <cell r="H115">
            <v>0.16769460396630331</v>
          </cell>
          <cell r="I115">
            <v>0.39017741760148944</v>
          </cell>
          <cell r="J115">
            <v>0.16388680940260522</v>
          </cell>
          <cell r="K115" t="str">
            <v xml:space="preserve">  NM</v>
          </cell>
          <cell r="L115">
            <v>7.0000000000000118E-2</v>
          </cell>
          <cell r="M115">
            <v>0.78850125708532359</v>
          </cell>
          <cell r="N115">
            <v>1.5248726159077875E-2</v>
          </cell>
          <cell r="O115">
            <v>0.25347743798695438</v>
          </cell>
          <cell r="P115">
            <v>0.28099173553718992</v>
          </cell>
          <cell r="Q115">
            <v>-4.1939895425287713E-2</v>
          </cell>
          <cell r="R115" t="str">
            <v xml:space="preserve">  NM</v>
          </cell>
          <cell r="S115">
            <v>0.32224828398603528</v>
          </cell>
          <cell r="T115">
            <v>-3.0049429203941901E-4</v>
          </cell>
          <cell r="U115">
            <v>0.32185095592403856</v>
          </cell>
          <cell r="V115">
            <v>0.32242687146971416</v>
          </cell>
          <cell r="W115">
            <v>0.26006469214231787</v>
          </cell>
          <cell r="X115">
            <v>0.31546988694109851</v>
          </cell>
          <cell r="Y115">
            <v>0.1055512118842846</v>
          </cell>
          <cell r="Z115">
            <v>0.21247872035747453</v>
          </cell>
          <cell r="AA115">
            <v>0.1546922635309857</v>
          </cell>
        </row>
        <row r="116">
          <cell r="A116" t="str">
            <v>2002E/01E</v>
          </cell>
          <cell r="B116">
            <v>0.19006718046190724</v>
          </cell>
          <cell r="C116">
            <v>0.13474840872475452</v>
          </cell>
          <cell r="D116">
            <v>7.0000000000000048E-2</v>
          </cell>
          <cell r="E116">
            <v>0.12000000000000019</v>
          </cell>
          <cell r="F116">
            <v>0.12553727459743547</v>
          </cell>
          <cell r="G116">
            <v>0.16148828222549461</v>
          </cell>
          <cell r="H116">
            <v>0.13177989201607196</v>
          </cell>
          <cell r="I116">
            <v>0.19213844396879581</v>
          </cell>
          <cell r="J116">
            <v>0.12982813625604603</v>
          </cell>
          <cell r="K116" t="str">
            <v xml:space="preserve">  NM</v>
          </cell>
          <cell r="L116">
            <v>7.0000000000000048E-2</v>
          </cell>
          <cell r="M116">
            <v>0.14101390731910171</v>
          </cell>
          <cell r="N116">
            <v>0.12732686216003883</v>
          </cell>
          <cell r="O116">
            <v>0.23279863729764216</v>
          </cell>
          <cell r="P116" t="str">
            <v xml:space="preserve">  NM</v>
          </cell>
          <cell r="Q116">
            <v>2.0803829345557349E-2</v>
          </cell>
          <cell r="R116" t="str">
            <v xml:space="preserve">  NM</v>
          </cell>
          <cell r="S116">
            <v>0.24784054858614601</v>
          </cell>
          <cell r="T116">
            <v>0</v>
          </cell>
          <cell r="U116">
            <v>0.24784054858614607</v>
          </cell>
          <cell r="V116">
            <v>0.24784054858614604</v>
          </cell>
          <cell r="W116">
            <v>2.721232683064741E-2</v>
          </cell>
          <cell r="X116">
            <v>0.22426440596685054</v>
          </cell>
          <cell r="Y116">
            <v>2.8288543140028688E-3</v>
          </cell>
          <cell r="Z116">
            <v>0.22081090975819925</v>
          </cell>
          <cell r="AA116">
            <v>0.22081090975819925</v>
          </cell>
        </row>
        <row r="117">
          <cell r="A117" t="str">
            <v>2003E/02E</v>
          </cell>
          <cell r="B117">
            <v>0.18998820095703572</v>
          </cell>
          <cell r="C117">
            <v>0.11326201853070549</v>
          </cell>
          <cell r="D117">
            <v>7.000000000000009E-2</v>
          </cell>
          <cell r="E117">
            <v>0.10000000000000005</v>
          </cell>
          <cell r="F117">
            <v>0.10626354257548107</v>
          </cell>
          <cell r="G117">
            <v>0.15405607742696742</v>
          </cell>
          <cell r="H117">
            <v>0.15553974490817749</v>
          </cell>
          <cell r="I117">
            <v>0.17942535259323947</v>
          </cell>
          <cell r="J117">
            <v>0.11437590062066565</v>
          </cell>
          <cell r="K117" t="str">
            <v xml:space="preserve">  NM</v>
          </cell>
          <cell r="L117">
            <v>7.000000000000009E-2</v>
          </cell>
          <cell r="M117">
            <v>0.13007449516763839</v>
          </cell>
          <cell r="N117">
            <v>0.11908468114130175</v>
          </cell>
          <cell r="O117">
            <v>0.21149374485233294</v>
          </cell>
          <cell r="P117">
            <v>0.2857142857142857</v>
          </cell>
          <cell r="Q117">
            <v>2.0379850415426948E-2</v>
          </cell>
          <cell r="R117" t="str">
            <v xml:space="preserve">  NM</v>
          </cell>
          <cell r="S117">
            <v>0.24769774085127522</v>
          </cell>
          <cell r="T117">
            <v>0</v>
          </cell>
          <cell r="U117">
            <v>0.24769774085127508</v>
          </cell>
          <cell r="V117">
            <v>0.24769774085127516</v>
          </cell>
          <cell r="W117">
            <v>2.6491433289754441E-2</v>
          </cell>
          <cell r="X117">
            <v>0.22786447692520437</v>
          </cell>
          <cell r="Y117">
            <v>2.8208744710860765E-3</v>
          </cell>
          <cell r="Z117">
            <v>0.22441056841064683</v>
          </cell>
          <cell r="AA117">
            <v>0.22441056841064683</v>
          </cell>
        </row>
        <row r="118">
          <cell r="A118" t="str">
            <v>2004E/03E</v>
          </cell>
          <cell r="B118">
            <v>0.18445734940999015</v>
          </cell>
          <cell r="C118">
            <v>0.10580479109073593</v>
          </cell>
          <cell r="D118">
            <v>7.0000000000000034E-2</v>
          </cell>
          <cell r="E118">
            <v>8.0000000000000099E-2</v>
          </cell>
          <cell r="F118">
            <v>9.5715701505608555E-2</v>
          </cell>
          <cell r="G118">
            <v>0.14794929602616028</v>
          </cell>
          <cell r="H118">
            <v>0.13509101276537175</v>
          </cell>
          <cell r="I118">
            <v>0.17667100131595459</v>
          </cell>
          <cell r="J118">
            <v>0.10137323321202535</v>
          </cell>
          <cell r="K118" t="str">
            <v xml:space="preserve">  NM</v>
          </cell>
          <cell r="L118">
            <v>7.0000000000000034E-2</v>
          </cell>
          <cell r="M118">
            <v>0.12099566347673334</v>
          </cell>
          <cell r="N118">
            <v>0.1120758805253427</v>
          </cell>
          <cell r="O118">
            <v>0.21497603063605478</v>
          </cell>
          <cell r="P118">
            <v>0.27777777777777779</v>
          </cell>
          <cell r="Q118">
            <v>1.9972807584479037E-2</v>
          </cell>
          <cell r="R118" t="str">
            <v xml:space="preserve">  NM</v>
          </cell>
          <cell r="S118">
            <v>0.2456264438466042</v>
          </cell>
          <cell r="T118">
            <v>0</v>
          </cell>
          <cell r="U118">
            <v>0.24562644384660431</v>
          </cell>
          <cell r="V118">
            <v>0.24562644384660418</v>
          </cell>
          <cell r="W118">
            <v>2.580774902801981E-2</v>
          </cell>
          <cell r="X118">
            <v>0.22914989675975156</v>
          </cell>
          <cell r="Y118">
            <v>2.8129395218003208E-3</v>
          </cell>
          <cell r="Z118">
            <v>0.22570207096238887</v>
          </cell>
          <cell r="AA118">
            <v>0.22570207096238887</v>
          </cell>
        </row>
        <row r="119">
          <cell r="A119" t="str">
            <v>2005E/04E</v>
          </cell>
          <cell r="B119">
            <v>0.17093716715180127</v>
          </cell>
          <cell r="C119">
            <v>5.4225271450129231E-2</v>
          </cell>
          <cell r="D119">
            <v>7.0000000000000007E-2</v>
          </cell>
          <cell r="E119">
            <v>8.0000000000000029E-2</v>
          </cell>
          <cell r="F119">
            <v>6.2808035535739187E-2</v>
          </cell>
          <cell r="G119">
            <v>0.12847725591161571</v>
          </cell>
          <cell r="H119">
            <v>0.13533315995675632</v>
          </cell>
          <cell r="I119">
            <v>0.16306866003156056</v>
          </cell>
          <cell r="J119">
            <v>0.12847725591161571</v>
          </cell>
          <cell r="K119" t="str">
            <v xml:space="preserve">  NM</v>
          </cell>
          <cell r="L119">
            <v>7.0000000000000007E-2</v>
          </cell>
          <cell r="M119">
            <v>9.65415686821465E-2</v>
          </cell>
          <cell r="N119">
            <v>9.2074763785434485E-2</v>
          </cell>
          <cell r="O119">
            <v>0.14076520963048006</v>
          </cell>
          <cell r="P119">
            <v>0.2608695652173913</v>
          </cell>
          <cell r="Q119">
            <v>1.9581705939572234E-2</v>
          </cell>
          <cell r="R119" t="str">
            <v xml:space="preserve">  NM</v>
          </cell>
          <cell r="S119">
            <v>0.17123062828218052</v>
          </cell>
          <cell r="T119">
            <v>0</v>
          </cell>
          <cell r="U119">
            <v>0.17123062828218052</v>
          </cell>
          <cell r="V119">
            <v>0.17123062828218055</v>
          </cell>
          <cell r="W119">
            <v>2.5158465660327898E-2</v>
          </cell>
          <cell r="X119">
            <v>0.16209306990689357</v>
          </cell>
          <cell r="Y119">
            <v>2.8050490883590857E-3</v>
          </cell>
          <cell r="Z119">
            <v>0.15884245992113991</v>
          </cell>
          <cell r="AA119">
            <v>0.15884245992113991</v>
          </cell>
        </row>
        <row r="121">
          <cell r="A121" t="str">
            <v>See footnotes on "Exhibit 3".</v>
          </cell>
        </row>
        <row r="122">
          <cell r="A122" t="str">
            <v>E = Morgan Stanley Dean Witter Research Estimates       NM = Not Meaningful</v>
          </cell>
        </row>
      </sheetData>
      <sheetData sheetId="3" refreshError="1"/>
      <sheetData sheetId="4" refreshError="1">
        <row r="68">
          <cell r="A68" t="str">
            <v>Table 3</v>
          </cell>
        </row>
        <row r="69">
          <cell r="A69" t="str">
            <v>Alza</v>
          </cell>
        </row>
        <row r="70">
          <cell r="A70" t="str">
            <v xml:space="preserve">Quarterly Sales Comparisons 1995-2004E % Change </v>
          </cell>
        </row>
        <row r="71">
          <cell r="A71" t="str">
            <v>($ Millions)</v>
          </cell>
        </row>
        <row r="74">
          <cell r="L74" t="str">
            <v>Other</v>
          </cell>
        </row>
        <row r="75">
          <cell r="B75" t="str">
            <v>Ditropan</v>
          </cell>
          <cell r="I75" t="str">
            <v>Testo-</v>
          </cell>
          <cell r="L75" t="str">
            <v>New</v>
          </cell>
          <cell r="N75" t="str">
            <v>Contract</v>
          </cell>
        </row>
        <row r="76">
          <cell r="B76" t="str">
            <v>XL</v>
          </cell>
          <cell r="F76" t="str">
            <v>Ethyol</v>
          </cell>
          <cell r="G76" t="str">
            <v>Mycelex</v>
          </cell>
          <cell r="H76" t="str">
            <v>Elmiron</v>
          </cell>
          <cell r="I76" t="str">
            <v>derm</v>
          </cell>
          <cell r="L76" t="str">
            <v>Products</v>
          </cell>
          <cell r="M76" t="str">
            <v>Total</v>
          </cell>
          <cell r="N76" t="str">
            <v>Manuf.</v>
          </cell>
          <cell r="O76" t="str">
            <v>Total</v>
          </cell>
        </row>
        <row r="78">
          <cell r="A78" t="str">
            <v>1996/95</v>
          </cell>
        </row>
        <row r="79">
          <cell r="A79" t="str">
            <v xml:space="preserve"> 1Q</v>
          </cell>
          <cell r="B79" t="str">
            <v>NM</v>
          </cell>
          <cell r="F79" t="str">
            <v>NM</v>
          </cell>
          <cell r="G79" t="str">
            <v>NM</v>
          </cell>
          <cell r="H79" t="str">
            <v>NM</v>
          </cell>
          <cell r="I79" t="str">
            <v>NM</v>
          </cell>
          <cell r="K79" t="str">
            <v>NM</v>
          </cell>
          <cell r="L79" t="str">
            <v>NM</v>
          </cell>
          <cell r="M79">
            <v>1.3852645985401459</v>
          </cell>
          <cell r="N79">
            <v>-4.084562181913097E-2</v>
          </cell>
          <cell r="O79">
            <v>0.27635717909690505</v>
          </cell>
        </row>
        <row r="80">
          <cell r="A80" t="str">
            <v xml:space="preserve"> 2Q</v>
          </cell>
          <cell r="B80" t="str">
            <v>NM</v>
          </cell>
          <cell r="F80" t="str">
            <v>NM</v>
          </cell>
          <cell r="G80" t="str">
            <v>NM</v>
          </cell>
          <cell r="H80" t="str">
            <v>NM</v>
          </cell>
          <cell r="I80" t="str">
            <v>NM</v>
          </cell>
          <cell r="K80" t="str">
            <v>NM</v>
          </cell>
          <cell r="L80" t="str">
            <v>NM</v>
          </cell>
          <cell r="M80">
            <v>1.7666865315852205</v>
          </cell>
          <cell r="N80">
            <v>0.86483103879849832</v>
          </cell>
          <cell r="O80">
            <v>1.0213591228796031</v>
          </cell>
        </row>
        <row r="81">
          <cell r="A81" t="str">
            <v xml:space="preserve"> 3Q</v>
          </cell>
          <cell r="B81" t="str">
            <v>NM</v>
          </cell>
          <cell r="F81" t="str">
            <v>NM</v>
          </cell>
          <cell r="G81" t="str">
            <v>NM</v>
          </cell>
          <cell r="H81" t="str">
            <v>NM</v>
          </cell>
          <cell r="I81" t="str">
            <v>NM</v>
          </cell>
          <cell r="K81" t="str">
            <v>NM</v>
          </cell>
          <cell r="L81" t="str">
            <v>NM</v>
          </cell>
          <cell r="M81">
            <v>2.6885245901639343</v>
          </cell>
          <cell r="N81">
            <v>0.80617743037110123</v>
          </cell>
          <cell r="O81">
            <v>1.1770262035344303</v>
          </cell>
        </row>
        <row r="82">
          <cell r="A82" t="str">
            <v xml:space="preserve"> 4Q</v>
          </cell>
          <cell r="B82" t="str">
            <v>NM</v>
          </cell>
          <cell r="F82" t="str">
            <v>NM</v>
          </cell>
          <cell r="G82" t="str">
            <v>NM</v>
          </cell>
          <cell r="H82" t="str">
            <v>NM</v>
          </cell>
          <cell r="I82" t="str">
            <v>NM</v>
          </cell>
          <cell r="K82" t="str">
            <v>NM</v>
          </cell>
          <cell r="L82" t="str">
            <v>NM</v>
          </cell>
          <cell r="M82">
            <v>2.7262902514336131</v>
          </cell>
          <cell r="N82">
            <v>-8.4862995477520742E-2</v>
          </cell>
          <cell r="O82">
            <v>0.46148570448797627</v>
          </cell>
        </row>
        <row r="84">
          <cell r="A84" t="str">
            <v>1996/95</v>
          </cell>
          <cell r="B84" t="str">
            <v>NM</v>
          </cell>
          <cell r="C84" t="str">
            <v>NM</v>
          </cell>
          <cell r="D84" t="str">
            <v>NM</v>
          </cell>
          <cell r="E84" t="str">
            <v>NM</v>
          </cell>
          <cell r="F84" t="str">
            <v>NM</v>
          </cell>
          <cell r="G84" t="str">
            <v>NM</v>
          </cell>
          <cell r="H84" t="str">
            <v>NM</v>
          </cell>
          <cell r="I84" t="str">
            <v>NM</v>
          </cell>
          <cell r="J84">
            <v>0.49903512157468161</v>
          </cell>
          <cell r="K84" t="str">
            <v>NM</v>
          </cell>
          <cell r="L84" t="str">
            <v>NM</v>
          </cell>
          <cell r="M84">
            <v>2.1316179789772356</v>
          </cell>
          <cell r="N84">
            <v>0.35118050507285314</v>
          </cell>
          <cell r="O84">
            <v>0.70161832836199811</v>
          </cell>
        </row>
        <row r="86">
          <cell r="A86" t="str">
            <v>1997/96</v>
          </cell>
        </row>
        <row r="87">
          <cell r="A87" t="str">
            <v xml:space="preserve"> 1Q</v>
          </cell>
          <cell r="B87" t="str">
            <v>NM</v>
          </cell>
          <cell r="C87" t="str">
            <v>NM</v>
          </cell>
          <cell r="D87" t="str">
            <v>NM</v>
          </cell>
          <cell r="E87">
            <v>0.35802469135802473</v>
          </cell>
          <cell r="F87" t="str">
            <v>NM</v>
          </cell>
          <cell r="G87" t="str">
            <v>NM</v>
          </cell>
          <cell r="H87" t="str">
            <v>NM</v>
          </cell>
          <cell r="I87">
            <v>-7.6923076923076983E-2</v>
          </cell>
          <cell r="J87">
            <v>0.23436900652090542</v>
          </cell>
          <cell r="K87" t="str">
            <v>NM</v>
          </cell>
          <cell r="L87" t="str">
            <v>NM</v>
          </cell>
          <cell r="M87">
            <v>0.28029071435402131</v>
          </cell>
          <cell r="N87">
            <v>0.40136054421768702</v>
          </cell>
          <cell r="O87">
            <v>0.35103549707834797</v>
          </cell>
        </row>
        <row r="88">
          <cell r="A88" t="str">
            <v xml:space="preserve"> 2Q</v>
          </cell>
          <cell r="B88" t="str">
            <v>NM</v>
          </cell>
          <cell r="C88" t="str">
            <v>NM</v>
          </cell>
          <cell r="D88" t="str">
            <v>NM</v>
          </cell>
          <cell r="E88">
            <v>0.31889763779527563</v>
          </cell>
          <cell r="F88" t="str">
            <v>NM</v>
          </cell>
          <cell r="G88" t="str">
            <v>NM</v>
          </cell>
          <cell r="H88" t="str">
            <v>NM</v>
          </cell>
          <cell r="I88">
            <v>1.2500000000000011E-2</v>
          </cell>
          <cell r="J88">
            <v>0.47405541561712805</v>
          </cell>
          <cell r="K88" t="str">
            <v>NM</v>
          </cell>
          <cell r="L88" t="str">
            <v>NM</v>
          </cell>
          <cell r="M88">
            <v>0.76801292407108246</v>
          </cell>
          <cell r="N88">
            <v>-6.3758389261744916E-2</v>
          </cell>
          <cell r="O88">
            <v>0.13383651017014203</v>
          </cell>
        </row>
        <row r="89">
          <cell r="A89" t="str">
            <v xml:space="preserve"> 3Q</v>
          </cell>
          <cell r="B89" t="str">
            <v>NM</v>
          </cell>
          <cell r="C89" t="str">
            <v>NM</v>
          </cell>
          <cell r="D89" t="str">
            <v>NM</v>
          </cell>
          <cell r="E89">
            <v>0.35506003430531735</v>
          </cell>
          <cell r="F89" t="str">
            <v>NM</v>
          </cell>
          <cell r="G89" t="str">
            <v>NM</v>
          </cell>
          <cell r="H89" t="str">
            <v>NM</v>
          </cell>
          <cell r="I89">
            <v>-0.17837837837837842</v>
          </cell>
          <cell r="J89">
            <v>0.41276595744680816</v>
          </cell>
          <cell r="K89" t="str">
            <v>NM</v>
          </cell>
          <cell r="L89" t="str">
            <v>NM</v>
          </cell>
          <cell r="M89">
            <v>0.95454926624737935</v>
          </cell>
          <cell r="N89">
            <v>-5.8823529411764795E-2</v>
          </cell>
          <cell r="O89">
            <v>0.27944016794961501</v>
          </cell>
        </row>
        <row r="90">
          <cell r="A90" t="str">
            <v xml:space="preserve"> 4Q</v>
          </cell>
          <cell r="B90" t="str">
            <v>NM</v>
          </cell>
          <cell r="C90" t="str">
            <v>NM</v>
          </cell>
          <cell r="D90" t="str">
            <v>NM</v>
          </cell>
          <cell r="E90">
            <v>0.16949152542372881</v>
          </cell>
          <cell r="F90" t="str">
            <v>NM</v>
          </cell>
          <cell r="G90" t="str">
            <v>NM</v>
          </cell>
          <cell r="H90" t="str">
            <v>NM</v>
          </cell>
          <cell r="I90">
            <v>-1.5384615384615399E-2</v>
          </cell>
          <cell r="J90">
            <v>0.87381193124368151</v>
          </cell>
          <cell r="K90" t="str">
            <v>NM</v>
          </cell>
          <cell r="L90" t="str">
            <v>NM</v>
          </cell>
          <cell r="M90">
            <v>1.058952352767091</v>
          </cell>
          <cell r="N90">
            <v>0.29069767441860489</v>
          </cell>
          <cell r="O90">
            <v>0.67138876668133174</v>
          </cell>
        </row>
        <row r="92">
          <cell r="A92" t="str">
            <v>1997/96</v>
          </cell>
          <cell r="B92" t="str">
            <v>NM</v>
          </cell>
          <cell r="C92" t="str">
            <v>NM</v>
          </cell>
          <cell r="D92" t="str">
            <v>NM</v>
          </cell>
          <cell r="E92">
            <v>0.29434324065196554</v>
          </cell>
          <cell r="F92" t="str">
            <v>NM</v>
          </cell>
          <cell r="G92" t="str">
            <v>NM</v>
          </cell>
          <cell r="H92" t="str">
            <v>NM</v>
          </cell>
          <cell r="I92">
            <v>-6.567164179104483E-2</v>
          </cell>
          <cell r="J92">
            <v>0.5789564023343633</v>
          </cell>
          <cell r="K92" t="str">
            <v>NM</v>
          </cell>
          <cell r="L92" t="str">
            <v>NM</v>
          </cell>
          <cell r="M92">
            <v>0.81001606194143572</v>
          </cell>
          <cell r="N92">
            <v>8.8888888888888989E-2</v>
          </cell>
          <cell r="O92">
            <v>0.35010666706449234</v>
          </cell>
        </row>
        <row r="94">
          <cell r="A94" t="str">
            <v>1998/97</v>
          </cell>
        </row>
        <row r="95">
          <cell r="A95" t="str">
            <v xml:space="preserve"> 1Q</v>
          </cell>
          <cell r="B95" t="str">
            <v>NM</v>
          </cell>
          <cell r="C95" t="str">
            <v>NM</v>
          </cell>
          <cell r="D95" t="str">
            <v>NM</v>
          </cell>
          <cell r="E95">
            <v>0.92727272727272725</v>
          </cell>
          <cell r="F95">
            <v>1.3342939481268008</v>
          </cell>
          <cell r="G95" t="str">
            <v>NM</v>
          </cell>
          <cell r="H95" t="str">
            <v>NM</v>
          </cell>
          <cell r="I95">
            <v>0.66666666666666674</v>
          </cell>
          <cell r="J95">
            <v>1.5481665630826573</v>
          </cell>
          <cell r="K95" t="str">
            <v>NM</v>
          </cell>
          <cell r="L95" t="str">
            <v>NM</v>
          </cell>
          <cell r="M95">
            <v>2.1221989841649234</v>
          </cell>
          <cell r="N95">
            <v>0.21359223300970887</v>
          </cell>
          <cell r="O95">
            <v>0.96539955278333522</v>
          </cell>
        </row>
        <row r="96">
          <cell r="A96" t="str">
            <v xml:space="preserve"> 2Q</v>
          </cell>
          <cell r="B96" t="str">
            <v>NM</v>
          </cell>
          <cell r="C96" t="str">
            <v>NM</v>
          </cell>
          <cell r="D96" t="str">
            <v>NM</v>
          </cell>
          <cell r="E96">
            <v>0.76119402985074636</v>
          </cell>
          <cell r="F96">
            <v>0.12185686653771759</v>
          </cell>
          <cell r="G96" t="str">
            <v>NM</v>
          </cell>
          <cell r="H96" t="str">
            <v>NM</v>
          </cell>
          <cell r="I96">
            <v>0.35802469135802473</v>
          </cell>
          <cell r="J96">
            <v>1.9049897470950095</v>
          </cell>
          <cell r="K96" t="str">
            <v>NM</v>
          </cell>
          <cell r="L96" t="str">
            <v>NM</v>
          </cell>
          <cell r="M96">
            <v>1.5462962962962961</v>
          </cell>
          <cell r="N96">
            <v>9.3189964157706015E-2</v>
          </cell>
          <cell r="O96">
            <v>0.63146493365827228</v>
          </cell>
        </row>
        <row r="97">
          <cell r="A97" t="str">
            <v xml:space="preserve"> 3Q</v>
          </cell>
          <cell r="B97" t="str">
            <v>NM</v>
          </cell>
          <cell r="C97" t="str">
            <v>NM</v>
          </cell>
          <cell r="D97" t="str">
            <v>NM</v>
          </cell>
          <cell r="E97">
            <v>0.721518987341772</v>
          </cell>
          <cell r="F97">
            <v>0.66666666666666663</v>
          </cell>
          <cell r="G97">
            <v>0.13461538461538464</v>
          </cell>
          <cell r="H97" t="str">
            <v>NM</v>
          </cell>
          <cell r="I97">
            <v>0.38157894736842107</v>
          </cell>
          <cell r="J97">
            <v>1.4431057563587679</v>
          </cell>
          <cell r="K97" t="str">
            <v>NM</v>
          </cell>
          <cell r="L97" t="str">
            <v>NM</v>
          </cell>
          <cell r="M97">
            <v>0.88347348549854121</v>
          </cell>
          <cell r="N97">
            <v>0.37500000000000011</v>
          </cell>
          <cell r="O97">
            <v>0.63428721449199277</v>
          </cell>
        </row>
        <row r="98">
          <cell r="A98" t="str">
            <v xml:space="preserve"> 4Q</v>
          </cell>
          <cell r="B98" t="str">
            <v>NM</v>
          </cell>
          <cell r="C98" t="str">
            <v>NM</v>
          </cell>
          <cell r="D98" t="str">
            <v>NM</v>
          </cell>
          <cell r="E98">
            <v>0.30434782608695643</v>
          </cell>
          <cell r="F98">
            <v>0.46031746031746024</v>
          </cell>
          <cell r="G98">
            <v>-0.23214285714285712</v>
          </cell>
          <cell r="H98">
            <v>0.41666666666666669</v>
          </cell>
          <cell r="I98">
            <v>0.92708333333333348</v>
          </cell>
          <cell r="J98">
            <v>0.65119792790848141</v>
          </cell>
          <cell r="K98" t="str">
            <v>NM</v>
          </cell>
          <cell r="L98" t="str">
            <v>NM</v>
          </cell>
          <cell r="M98">
            <v>0.38848962226182931</v>
          </cell>
          <cell r="N98">
            <v>0.2297297297297296</v>
          </cell>
          <cell r="O98">
            <v>0.3266416312778575</v>
          </cell>
        </row>
        <row r="100">
          <cell r="A100" t="str">
            <v>1998/97</v>
          </cell>
          <cell r="B100" t="str">
            <v>NM</v>
          </cell>
          <cell r="C100" t="str">
            <v>NM</v>
          </cell>
          <cell r="D100" t="str">
            <v>NM</v>
          </cell>
          <cell r="E100">
            <v>0.66666666666666663</v>
          </cell>
          <cell r="F100">
            <v>0.57945736434108497</v>
          </cell>
          <cell r="G100">
            <v>1.3981481481481481</v>
          </cell>
          <cell r="H100" t="str">
            <v>NM</v>
          </cell>
          <cell r="I100">
            <v>0.59744408945686911</v>
          </cell>
          <cell r="J100">
            <v>1.1361017501902368</v>
          </cell>
          <cell r="K100" t="str">
            <v>NM</v>
          </cell>
          <cell r="L100" t="str">
            <v>NM</v>
          </cell>
          <cell r="M100">
            <v>1.0000455072925438</v>
          </cell>
          <cell r="N100">
            <v>0.2201933404940922</v>
          </cell>
          <cell r="O100">
            <v>0.59891269516790235</v>
          </cell>
        </row>
        <row r="102">
          <cell r="A102" t="str">
            <v>1999/1998</v>
          </cell>
        </row>
        <row r="103">
          <cell r="A103" t="str">
            <v xml:space="preserve"> 1Q</v>
          </cell>
          <cell r="B103" t="str">
            <v>NM</v>
          </cell>
          <cell r="C103" t="str">
            <v>NM</v>
          </cell>
          <cell r="D103" t="str">
            <v>NM</v>
          </cell>
          <cell r="E103">
            <v>0.34905660377358499</v>
          </cell>
          <cell r="F103">
            <v>4.9382716049382762E-2</v>
          </cell>
          <cell r="G103">
            <v>-0.15254237288135597</v>
          </cell>
          <cell r="H103">
            <v>-0.29999999999999993</v>
          </cell>
          <cell r="I103">
            <v>1.25</v>
          </cell>
          <cell r="J103">
            <v>6.0975609756099329E-2</v>
          </cell>
          <cell r="K103" t="str">
            <v>NM</v>
          </cell>
          <cell r="L103" t="str">
            <v>NM</v>
          </cell>
          <cell r="M103">
            <v>0.62440191387559829</v>
          </cell>
          <cell r="N103">
            <v>0.13200000000000003</v>
          </cell>
          <cell r="O103">
            <v>0.440119760479042</v>
          </cell>
        </row>
        <row r="104">
          <cell r="A104" t="str">
            <v xml:space="preserve"> 2Q</v>
          </cell>
          <cell r="B104" t="str">
            <v>NM</v>
          </cell>
          <cell r="C104" t="str">
            <v>NM</v>
          </cell>
          <cell r="D104" t="str">
            <v>NM</v>
          </cell>
          <cell r="E104">
            <v>0.18644067796610161</v>
          </cell>
          <cell r="F104">
            <v>0.48275862068965514</v>
          </cell>
          <cell r="G104">
            <v>-0.21428571428571433</v>
          </cell>
          <cell r="H104">
            <v>1.0810810810810809</v>
          </cell>
          <cell r="I104">
            <v>1.3636363636363635</v>
          </cell>
          <cell r="J104">
            <v>0.31764705882352917</v>
          </cell>
          <cell r="K104" t="str">
            <v>NM</v>
          </cell>
          <cell r="L104" t="str">
            <v>NM</v>
          </cell>
          <cell r="M104">
            <v>0.64593301435406703</v>
          </cell>
          <cell r="N104">
            <v>0.12786885245901636</v>
          </cell>
          <cell r="O104">
            <v>0.4273858921161825</v>
          </cell>
        </row>
        <row r="105">
          <cell r="A105" t="str">
            <v xml:space="preserve"> 3Q</v>
          </cell>
          <cell r="B105" t="str">
            <v>NM</v>
          </cell>
          <cell r="C105" t="str">
            <v>NM</v>
          </cell>
          <cell r="D105" t="str">
            <v>NM</v>
          </cell>
          <cell r="E105">
            <v>0.76470588235294124</v>
          </cell>
          <cell r="F105">
            <v>0.86315789473684201</v>
          </cell>
          <cell r="G105">
            <v>0.96610169491525411</v>
          </cell>
          <cell r="H105">
            <v>0.81818181818181823</v>
          </cell>
          <cell r="I105">
            <v>1.3809523809523809</v>
          </cell>
          <cell r="J105">
            <v>0.72602739726027576</v>
          </cell>
          <cell r="K105" t="str">
            <v>NM</v>
          </cell>
          <cell r="L105" t="str">
            <v>NM</v>
          </cell>
          <cell r="M105">
            <v>1.4214123006833712</v>
          </cell>
          <cell r="N105">
            <v>-6.4935064935064705E-3</v>
          </cell>
          <cell r="O105">
            <v>0.83266398929049534</v>
          </cell>
        </row>
        <row r="106">
          <cell r="A106" t="str">
            <v xml:space="preserve"> 4Q</v>
          </cell>
          <cell r="B106" t="str">
            <v>NM</v>
          </cell>
          <cell r="C106" t="str">
            <v>NM</v>
          </cell>
          <cell r="D106" t="str">
            <v>NM</v>
          </cell>
          <cell r="E106">
            <v>0.54444444444444451</v>
          </cell>
          <cell r="F106">
            <v>0.46739130434782622</v>
          </cell>
          <cell r="G106">
            <v>0.13953488372093037</v>
          </cell>
          <cell r="H106">
            <v>7.3529411764705885E-2</v>
          </cell>
          <cell r="I106">
            <v>0.64864864864864846</v>
          </cell>
          <cell r="J106">
            <v>-0.37254901960784664</v>
          </cell>
          <cell r="K106" t="str">
            <v>NM</v>
          </cell>
          <cell r="L106" t="str">
            <v>NM</v>
          </cell>
          <cell r="M106">
            <v>0.66459627329192572</v>
          </cell>
          <cell r="N106">
            <v>0.14652014652014653</v>
          </cell>
          <cell r="O106">
            <v>0.47751322751322767</v>
          </cell>
        </row>
        <row r="108">
          <cell r="A108" t="str">
            <v>Year</v>
          </cell>
          <cell r="B108" t="str">
            <v>NM</v>
          </cell>
          <cell r="C108" t="str">
            <v>NM</v>
          </cell>
          <cell r="D108" t="str">
            <v>NM</v>
          </cell>
          <cell r="E108">
            <v>0.47111111111111115</v>
          </cell>
          <cell r="F108">
            <v>0.48159509202454004</v>
          </cell>
          <cell r="G108">
            <v>0.12741312741312716</v>
          </cell>
          <cell r="H108">
            <v>0.3000000000000001</v>
          </cell>
          <cell r="I108">
            <v>1.0799999999999996</v>
          </cell>
          <cell r="J108">
            <v>7.1246819338421627E-2</v>
          </cell>
          <cell r="K108" t="str">
            <v>NM</v>
          </cell>
          <cell r="L108" t="str">
            <v>NM</v>
          </cell>
          <cell r="M108">
            <v>0.83959044368600655</v>
          </cell>
          <cell r="N108">
            <v>9.6830985915493092E-2</v>
          </cell>
          <cell r="O108">
            <v>0.54803040774015199</v>
          </cell>
        </row>
        <row r="110">
          <cell r="A110" t="str">
            <v>2000E/1999</v>
          </cell>
        </row>
        <row r="111">
          <cell r="A111" t="str">
            <v xml:space="preserve"> 1QA</v>
          </cell>
          <cell r="B111">
            <v>0.4909090909090908</v>
          </cell>
          <cell r="C111" t="str">
            <v>NM</v>
          </cell>
          <cell r="D111">
            <v>0.4909090909090908</v>
          </cell>
          <cell r="E111">
            <v>-9.0909090909090953E-2</v>
          </cell>
          <cell r="F111">
            <v>0.623529411764706</v>
          </cell>
          <cell r="G111">
            <v>-0.27999999999999997</v>
          </cell>
          <cell r="H111">
            <v>2.0408163265306048E-2</v>
          </cell>
          <cell r="I111">
            <v>0</v>
          </cell>
          <cell r="J111">
            <v>-0.18390804597701144</v>
          </cell>
          <cell r="K111" t="str">
            <v>NM</v>
          </cell>
          <cell r="L111" t="str">
            <v>NM</v>
          </cell>
          <cell r="M111">
            <v>0.17525773195876274</v>
          </cell>
          <cell r="N111">
            <v>2.4734982332155452E-2</v>
          </cell>
          <cell r="O111">
            <v>0.1309771309771309</v>
          </cell>
        </row>
        <row r="112">
          <cell r="A112" t="str">
            <v xml:space="preserve"> 2QA</v>
          </cell>
          <cell r="B112">
            <v>2.1736111111111112</v>
          </cell>
          <cell r="C112" t="str">
            <v>NM</v>
          </cell>
          <cell r="D112">
            <v>2.1736111111111112</v>
          </cell>
          <cell r="E112">
            <v>7.8571428571428542E-2</v>
          </cell>
          <cell r="F112">
            <v>-0.11627906976744186</v>
          </cell>
          <cell r="G112">
            <v>0.29870129870129869</v>
          </cell>
          <cell r="H112">
            <v>0.14285714285714293</v>
          </cell>
          <cell r="I112">
            <v>0.17307692307692296</v>
          </cell>
          <cell r="J112">
            <v>-0.40178571428571341</v>
          </cell>
          <cell r="K112" t="str">
            <v>NM</v>
          </cell>
          <cell r="L112" t="str">
            <v>NM</v>
          </cell>
          <cell r="M112">
            <v>0.45348837209302334</v>
          </cell>
          <cell r="N112">
            <v>5.8139534883721762E-3</v>
          </cell>
          <cell r="O112">
            <v>0.30426356589147296</v>
          </cell>
        </row>
        <row r="113">
          <cell r="A113" t="str">
            <v xml:space="preserve"> 3QA</v>
          </cell>
          <cell r="B113">
            <v>0.8858267716535434</v>
          </cell>
          <cell r="C113" t="str">
            <v>NM</v>
          </cell>
          <cell r="D113">
            <v>0.8858267716535434</v>
          </cell>
          <cell r="E113">
            <v>2.500000000000006E-2</v>
          </cell>
          <cell r="F113">
            <v>-0.30508474576271177</v>
          </cell>
          <cell r="G113">
            <v>-0.75</v>
          </cell>
          <cell r="H113">
            <v>0.10999999999999996</v>
          </cell>
          <cell r="I113">
            <v>-0.27999999999999997</v>
          </cell>
          <cell r="J113">
            <v>-0.29365079365079422</v>
          </cell>
          <cell r="K113" t="str">
            <v>NM</v>
          </cell>
          <cell r="L113" t="str">
            <v>NM</v>
          </cell>
          <cell r="M113">
            <v>0.2765757290686735</v>
          </cell>
          <cell r="N113">
            <v>-4.9019607843137254E-2</v>
          </cell>
          <cell r="O113">
            <v>0.20379839298758201</v>
          </cell>
        </row>
        <row r="114">
          <cell r="A114" t="str">
            <v xml:space="preserve"> 4Q</v>
          </cell>
          <cell r="B114">
            <v>1.0318725099601593</v>
          </cell>
          <cell r="C114" t="str">
            <v>NM</v>
          </cell>
          <cell r="D114">
            <v>1.0717131474103585</v>
          </cell>
          <cell r="E114">
            <v>1.014388489208633</v>
          </cell>
          <cell r="F114">
            <v>0.14814814814814814</v>
          </cell>
          <cell r="G114">
            <v>0.22448979591836726</v>
          </cell>
          <cell r="H114">
            <v>0.64383561643835618</v>
          </cell>
          <cell r="I114">
            <v>-0.26229508196721307</v>
          </cell>
          <cell r="J114">
            <v>-0.16145833333332954</v>
          </cell>
          <cell r="K114" t="str">
            <v>NM</v>
          </cell>
          <cell r="L114" t="str">
            <v>NM</v>
          </cell>
          <cell r="M114">
            <v>0.82898009950248719</v>
          </cell>
          <cell r="N114">
            <v>5.4313099041533523E-2</v>
          </cell>
          <cell r="O114">
            <v>0.61190689346463722</v>
          </cell>
        </row>
        <row r="116">
          <cell r="A116" t="str">
            <v>Year</v>
          </cell>
          <cell r="B116">
            <v>1.0414269275028769</v>
          </cell>
          <cell r="C116" t="str">
            <v>NM</v>
          </cell>
          <cell r="D116">
            <v>1.0529344073647871</v>
          </cell>
          <cell r="E116">
            <v>0.21903323262839877</v>
          </cell>
          <cell r="F116">
            <v>1.8633540372670926E-2</v>
          </cell>
          <cell r="G116">
            <v>-0.22945205479452044</v>
          </cell>
          <cell r="H116">
            <v>0.23411371237458181</v>
          </cell>
          <cell r="I116">
            <v>-0.10096153846153837</v>
          </cell>
          <cell r="J116">
            <v>-0.26959619952493979</v>
          </cell>
          <cell r="K116" t="str">
            <v>NM</v>
          </cell>
          <cell r="L116" t="str">
            <v>NM</v>
          </cell>
          <cell r="M116">
            <v>0.43027210884353739</v>
          </cell>
          <cell r="N116">
            <v>8.8282504012840626E-3</v>
          </cell>
          <cell r="O116">
            <v>0.31305803571428564</v>
          </cell>
        </row>
        <row r="118">
          <cell r="A118" t="str">
            <v>2001E/2000E</v>
          </cell>
          <cell r="B118">
            <v>0.29650507328072151</v>
          </cell>
          <cell r="C118">
            <v>5</v>
          </cell>
          <cell r="D118">
            <v>0.32286995515695061</v>
          </cell>
          <cell r="E118">
            <v>0.17999999999999994</v>
          </cell>
          <cell r="F118">
            <v>0.10000000000000003</v>
          </cell>
          <cell r="G118">
            <v>0.05</v>
          </cell>
          <cell r="H118">
            <v>0.14999999999999991</v>
          </cell>
          <cell r="I118">
            <v>6.9518716577540149E-2</v>
          </cell>
          <cell r="J118">
            <v>-8.6422764227642238E-2</v>
          </cell>
          <cell r="K118">
            <v>1.8634361233480174</v>
          </cell>
          <cell r="L118" t="str">
            <v>NM</v>
          </cell>
          <cell r="M118">
            <v>0.36093071019349282</v>
          </cell>
          <cell r="N118">
            <v>0.1933174224343675</v>
          </cell>
          <cell r="O118">
            <v>0.32511432214194674</v>
          </cell>
        </row>
        <row r="119">
          <cell r="A119" t="str">
            <v>2002E/2001E</v>
          </cell>
          <cell r="B119">
            <v>0.10000000000000013</v>
          </cell>
          <cell r="C119">
            <v>1</v>
          </cell>
          <cell r="D119">
            <v>0.1228813559322034</v>
          </cell>
          <cell r="E119">
            <v>0.12999999999999984</v>
          </cell>
          <cell r="F119" t="str">
            <v>NM</v>
          </cell>
          <cell r="G119">
            <v>5.0000000000000093E-2</v>
          </cell>
          <cell r="H119">
            <v>0.10000000000000012</v>
          </cell>
          <cell r="I119">
            <v>7.0000000000000104E-2</v>
          </cell>
          <cell r="J119">
            <v>2.4201299279167005E-2</v>
          </cell>
          <cell r="K119">
            <v>0.53846153846153844</v>
          </cell>
          <cell r="L119" t="str">
            <v>NM</v>
          </cell>
          <cell r="M119">
            <v>0.19006718046190724</v>
          </cell>
          <cell r="N119">
            <v>0.12000000000000019</v>
          </cell>
          <cell r="O119">
            <v>0.1765840537217197</v>
          </cell>
        </row>
        <row r="120">
          <cell r="A120" t="str">
            <v>2003E/2002E</v>
          </cell>
          <cell r="B120">
            <v>0.10000000000000014</v>
          </cell>
          <cell r="C120">
            <v>0.66666666666666663</v>
          </cell>
          <cell r="D120">
            <v>0.12566037735849081</v>
          </cell>
          <cell r="E120">
            <v>0.10000000000000012</v>
          </cell>
          <cell r="F120" t="str">
            <v>NM</v>
          </cell>
          <cell r="G120">
            <v>5.0000000000000065E-2</v>
          </cell>
          <cell r="H120">
            <v>0.10000000000000003</v>
          </cell>
          <cell r="I120">
            <v>7.0000000000000048E-2</v>
          </cell>
          <cell r="J120">
            <v>2.5896584831804906E-2</v>
          </cell>
          <cell r="K120">
            <v>0.27500000000000002</v>
          </cell>
          <cell r="L120">
            <v>1.25</v>
          </cell>
          <cell r="M120">
            <v>0.18998820095703572</v>
          </cell>
          <cell r="N120">
            <v>0.10000000000000005</v>
          </cell>
          <cell r="O120">
            <v>0.17350442855847609</v>
          </cell>
        </row>
        <row r="121">
          <cell r="A121" t="str">
            <v>2004E/2003E</v>
          </cell>
          <cell r="B121">
            <v>8.0000000000000016E-2</v>
          </cell>
          <cell r="C121">
            <v>0.35</v>
          </cell>
          <cell r="D121">
            <v>9.8102581293999347E-2</v>
          </cell>
          <cell r="E121">
            <v>0.10000000000000007</v>
          </cell>
          <cell r="F121" t="str">
            <v>NM</v>
          </cell>
          <cell r="G121">
            <v>5.0000000000000086E-2</v>
          </cell>
          <cell r="H121">
            <v>9.0000000000000052E-2</v>
          </cell>
          <cell r="I121">
            <v>7.0000000000000132E-2</v>
          </cell>
          <cell r="J121">
            <v>2.7510382089257806E-2</v>
          </cell>
          <cell r="K121">
            <v>0.21568627450980393</v>
          </cell>
          <cell r="L121">
            <v>0.66666666666666663</v>
          </cell>
          <cell r="M121">
            <v>0.18445734940999015</v>
          </cell>
          <cell r="N121">
            <v>8.0000000000000099E-2</v>
          </cell>
          <cell r="O121">
            <v>0.16652166334908378</v>
          </cell>
        </row>
        <row r="122">
          <cell r="A122" t="str">
            <v>2005E/2004E</v>
          </cell>
          <cell r="B122">
            <v>5.9999999999999977E-2</v>
          </cell>
          <cell r="C122">
            <v>0.22222222222222221</v>
          </cell>
          <cell r="D122">
            <v>7.3371432758178534E-2</v>
          </cell>
          <cell r="E122">
            <v>0.1000000000000001</v>
          </cell>
          <cell r="F122" t="str">
            <v>NM</v>
          </cell>
          <cell r="G122">
            <v>5.0000000000000031E-2</v>
          </cell>
          <cell r="H122">
            <v>8.0000000000000057E-2</v>
          </cell>
          <cell r="I122">
            <v>7.0000000000000118E-2</v>
          </cell>
          <cell r="J122">
            <v>2.9042033504096874E-2</v>
          </cell>
          <cell r="K122">
            <v>0.16129032258064516</v>
          </cell>
          <cell r="L122">
            <v>0.56666666666666665</v>
          </cell>
          <cell r="M122">
            <v>0.17093716715180127</v>
          </cell>
          <cell r="N122">
            <v>8.0000000000000029E-2</v>
          </cell>
          <cell r="O122">
            <v>0.15648105994744099</v>
          </cell>
        </row>
        <row r="124">
          <cell r="A124" t="str">
            <v>Notes:</v>
          </cell>
        </row>
        <row r="125">
          <cell r="A125" t="str">
            <v>(a) 1995-1998 sales are pro-forma for Sequus acquisition in early 1999.</v>
          </cell>
        </row>
        <row r="126">
          <cell r="A126" t="str">
            <v xml:space="preserve">E = Morgan Stanley Dean Witter Research Estimates       NM = Not Meaningful </v>
          </cell>
        </row>
      </sheetData>
      <sheetData sheetId="5" refreshError="1">
        <row r="47">
          <cell r="A47" t="str">
            <v>Table 4</v>
          </cell>
        </row>
        <row r="48">
          <cell r="A48" t="str">
            <v>Alza</v>
          </cell>
        </row>
        <row r="49">
          <cell r="A49" t="str">
            <v>Annual Sales Comparisons 1995-2005E</v>
          </cell>
        </row>
        <row r="50">
          <cell r="A50" t="str">
            <v>($ Millions)</v>
          </cell>
          <cell r="O50" t="str">
            <v>% Change</v>
          </cell>
        </row>
        <row r="51">
          <cell r="O51" t="str">
            <v>1996/</v>
          </cell>
          <cell r="P51" t="str">
            <v>1997/</v>
          </cell>
          <cell r="Q51" t="str">
            <v>1998/</v>
          </cell>
          <cell r="R51" t="str">
            <v>1999E/</v>
          </cell>
          <cell r="S51" t="str">
            <v>2000E/</v>
          </cell>
          <cell r="T51" t="str">
            <v>2001E/</v>
          </cell>
          <cell r="U51" t="str">
            <v>2002E/</v>
          </cell>
          <cell r="V51" t="str">
            <v>2003E/</v>
          </cell>
          <cell r="W51" t="str">
            <v>2004E/</v>
          </cell>
          <cell r="X51" t="str">
            <v>2005E/</v>
          </cell>
          <cell r="Y51" t="str">
            <v>CAGR</v>
          </cell>
        </row>
        <row r="52">
          <cell r="A52" t="str">
            <v xml:space="preserve"> </v>
          </cell>
          <cell r="B52">
            <v>1994</v>
          </cell>
          <cell r="C52">
            <v>1995</v>
          </cell>
          <cell r="D52">
            <v>1996</v>
          </cell>
          <cell r="E52">
            <v>1997</v>
          </cell>
          <cell r="F52">
            <v>1998</v>
          </cell>
          <cell r="G52" t="str">
            <v>1999E</v>
          </cell>
          <cell r="H52" t="str">
            <v>2000E</v>
          </cell>
          <cell r="I52" t="str">
            <v>2001E</v>
          </cell>
          <cell r="J52" t="str">
            <v>2002E</v>
          </cell>
          <cell r="K52" t="str">
            <v>2003E</v>
          </cell>
          <cell r="L52" t="str">
            <v>2004E</v>
          </cell>
          <cell r="M52" t="str">
            <v>2005E</v>
          </cell>
          <cell r="O52">
            <v>1995</v>
          </cell>
          <cell r="P52">
            <v>1996</v>
          </cell>
          <cell r="Q52">
            <v>1997</v>
          </cell>
          <cell r="R52">
            <v>1998</v>
          </cell>
          <cell r="S52" t="str">
            <v>1999E</v>
          </cell>
          <cell r="T52" t="str">
            <v>2000E</v>
          </cell>
          <cell r="U52" t="str">
            <v>2001E</v>
          </cell>
          <cell r="V52" t="str">
            <v>2002E</v>
          </cell>
          <cell r="W52" t="str">
            <v>2003E</v>
          </cell>
          <cell r="X52" t="str">
            <v>2004E</v>
          </cell>
          <cell r="Y52" t="str">
            <v>'00-'05E</v>
          </cell>
        </row>
        <row r="54">
          <cell r="A54" t="str">
            <v>Net Sales</v>
          </cell>
        </row>
        <row r="55">
          <cell r="A55" t="str">
            <v>Ditropan XL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86.9</v>
          </cell>
          <cell r="H55">
            <v>0</v>
          </cell>
          <cell r="I55">
            <v>230</v>
          </cell>
          <cell r="J55">
            <v>253.00000000000003</v>
          </cell>
          <cell r="K55">
            <v>278.30000000000007</v>
          </cell>
          <cell r="L55">
            <v>300.56400000000008</v>
          </cell>
          <cell r="M55">
            <v>318.59784000000008</v>
          </cell>
          <cell r="O55" t="str">
            <v>NM</v>
          </cell>
          <cell r="P55" t="str">
            <v>NM</v>
          </cell>
          <cell r="Q55" t="str">
            <v>NM</v>
          </cell>
          <cell r="R55" t="str">
            <v>NM</v>
          </cell>
          <cell r="S55">
            <v>-1</v>
          </cell>
          <cell r="T55" t="e">
            <v>#DIV/0!</v>
          </cell>
          <cell r="U55">
            <v>0.10000000000000009</v>
          </cell>
          <cell r="V55">
            <v>0.10000000000000009</v>
          </cell>
          <cell r="W55">
            <v>8.0000000000000071E-2</v>
          </cell>
          <cell r="X55">
            <v>6.0000000000000053E-2</v>
          </cell>
          <cell r="Y55" t="e">
            <v>#DIV/0!</v>
          </cell>
        </row>
        <row r="56">
          <cell r="A56" t="str">
            <v>Doxil/Caelyx</v>
          </cell>
          <cell r="C56">
            <v>0.93400000000000005</v>
          </cell>
          <cell r="D56">
            <v>20.86</v>
          </cell>
          <cell r="E56">
            <v>27</v>
          </cell>
          <cell r="F56">
            <v>45</v>
          </cell>
          <cell r="G56">
            <v>66.2</v>
          </cell>
          <cell r="H56">
            <v>0</v>
          </cell>
          <cell r="I56">
            <v>95.225999999999999</v>
          </cell>
          <cell r="J56">
            <v>107.60537999999998</v>
          </cell>
          <cell r="K56">
            <v>118.36591799999999</v>
          </cell>
          <cell r="L56">
            <v>130.2025098</v>
          </cell>
          <cell r="M56">
            <v>143.22276078000002</v>
          </cell>
          <cell r="O56" t="str">
            <v>NM</v>
          </cell>
          <cell r="P56">
            <v>0.29434324065196549</v>
          </cell>
          <cell r="Q56">
            <v>0.66666666666666674</v>
          </cell>
          <cell r="R56">
            <v>0.47111111111111126</v>
          </cell>
          <cell r="S56">
            <v>-1</v>
          </cell>
          <cell r="T56" t="e">
            <v>#DIV/0!</v>
          </cell>
          <cell r="U56">
            <v>0.12999999999999989</v>
          </cell>
          <cell r="V56">
            <v>0.10000000000000009</v>
          </cell>
          <cell r="W56">
            <v>0.10000000000000009</v>
          </cell>
          <cell r="X56">
            <v>0.10000000000000009</v>
          </cell>
          <cell r="Y56" t="e">
            <v>#DIV/0!</v>
          </cell>
        </row>
        <row r="57">
          <cell r="A57" t="str">
            <v xml:space="preserve">Ethyol </v>
          </cell>
          <cell r="B57" t="str">
            <v>-</v>
          </cell>
          <cell r="C57">
            <v>0</v>
          </cell>
          <cell r="D57">
            <v>9.35</v>
          </cell>
          <cell r="E57">
            <v>20.64</v>
          </cell>
          <cell r="F57">
            <v>32.599999999999994</v>
          </cell>
          <cell r="G57">
            <v>48.3</v>
          </cell>
          <cell r="H57">
            <v>0</v>
          </cell>
          <cell r="I57">
            <v>54.120000000000005</v>
          </cell>
          <cell r="J57">
            <v>14.883000000000003</v>
          </cell>
          <cell r="K57">
            <v>0</v>
          </cell>
          <cell r="L57">
            <v>0</v>
          </cell>
          <cell r="M57">
            <v>0</v>
          </cell>
          <cell r="O57" t="str">
            <v>NM</v>
          </cell>
          <cell r="P57">
            <v>1.2074866310160428</v>
          </cell>
          <cell r="Q57">
            <v>0.57945736434108497</v>
          </cell>
          <cell r="R57">
            <v>0.48159509202453998</v>
          </cell>
          <cell r="S57">
            <v>-1</v>
          </cell>
          <cell r="T57" t="e">
            <v>#DIV/0!</v>
          </cell>
          <cell r="U57" t="str">
            <v>NM</v>
          </cell>
          <cell r="V57" t="str">
            <v>NM</v>
          </cell>
          <cell r="W57" t="str">
            <v>NM</v>
          </cell>
          <cell r="X57" t="str">
            <v>NM</v>
          </cell>
          <cell r="Y57" t="str">
            <v>NM</v>
          </cell>
        </row>
        <row r="58">
          <cell r="A58" t="str">
            <v>Mycelex</v>
          </cell>
          <cell r="B58" t="str">
            <v>-</v>
          </cell>
          <cell r="C58">
            <v>0</v>
          </cell>
          <cell r="D58">
            <v>0</v>
          </cell>
          <cell r="E58">
            <v>10.8</v>
          </cell>
          <cell r="F58">
            <v>25.900000000000002</v>
          </cell>
          <cell r="G58">
            <v>29.199999999999996</v>
          </cell>
          <cell r="H58">
            <v>0</v>
          </cell>
          <cell r="I58">
            <v>23.625</v>
          </cell>
          <cell r="J58">
            <v>24.806250000000002</v>
          </cell>
          <cell r="K58">
            <v>26.046562500000004</v>
          </cell>
          <cell r="L58">
            <v>27.348890625000006</v>
          </cell>
          <cell r="M58">
            <v>28.716335156250008</v>
          </cell>
          <cell r="O58" t="str">
            <v>NM</v>
          </cell>
          <cell r="P58" t="str">
            <v>NM</v>
          </cell>
          <cell r="Q58">
            <v>1.3981481481481484</v>
          </cell>
          <cell r="R58">
            <v>0.12741312741312716</v>
          </cell>
          <cell r="S58">
            <v>-1</v>
          </cell>
          <cell r="T58" t="e">
            <v>#DIV/0!</v>
          </cell>
          <cell r="U58">
            <v>5.0000000000000044E-2</v>
          </cell>
          <cell r="V58">
            <v>5.0000000000000044E-2</v>
          </cell>
          <cell r="W58">
            <v>5.0000000000000044E-2</v>
          </cell>
          <cell r="X58">
            <v>5.0000000000000044E-2</v>
          </cell>
          <cell r="Y58" t="e">
            <v>#DIV/0!</v>
          </cell>
        </row>
        <row r="59">
          <cell r="A59" t="str">
            <v>Elmiron</v>
          </cell>
          <cell r="B59" t="str">
            <v>-</v>
          </cell>
          <cell r="C59">
            <v>0</v>
          </cell>
          <cell r="D59">
            <v>0</v>
          </cell>
          <cell r="E59">
            <v>4.8</v>
          </cell>
          <cell r="F59">
            <v>23</v>
          </cell>
          <cell r="G59">
            <v>29.900000000000002</v>
          </cell>
          <cell r="H59">
            <v>0</v>
          </cell>
          <cell r="I59">
            <v>42.434999999999995</v>
          </cell>
          <cell r="J59">
            <v>46.6785</v>
          </cell>
          <cell r="K59">
            <v>51.346350000000001</v>
          </cell>
          <cell r="L59">
            <v>55.967521500000004</v>
          </cell>
          <cell r="M59">
            <v>60.444923220000007</v>
          </cell>
          <cell r="O59" t="str">
            <v>NM</v>
          </cell>
          <cell r="P59" t="str">
            <v>NM</v>
          </cell>
          <cell r="Q59">
            <v>3.791666666666667</v>
          </cell>
          <cell r="R59">
            <v>0.30000000000000004</v>
          </cell>
          <cell r="S59">
            <v>-1</v>
          </cell>
          <cell r="T59" t="e">
            <v>#DIV/0!</v>
          </cell>
          <cell r="U59">
            <v>0.10000000000000009</v>
          </cell>
          <cell r="V59">
            <v>0.10000000000000009</v>
          </cell>
          <cell r="W59">
            <v>9.000000000000008E-2</v>
          </cell>
          <cell r="X59">
            <v>8.0000000000000071E-2</v>
          </cell>
          <cell r="Y59" t="e">
            <v>#DIV/0!</v>
          </cell>
        </row>
        <row r="60">
          <cell r="A60" t="str">
            <v>Testoderm/TTS</v>
          </cell>
          <cell r="B60">
            <v>5</v>
          </cell>
          <cell r="C60">
            <v>7</v>
          </cell>
          <cell r="D60">
            <v>7</v>
          </cell>
          <cell r="E60">
            <v>6</v>
          </cell>
          <cell r="F60">
            <v>10</v>
          </cell>
          <cell r="G60">
            <v>21</v>
          </cell>
          <cell r="H60">
            <v>26</v>
          </cell>
          <cell r="I60">
            <v>31</v>
          </cell>
          <cell r="J60">
            <v>35</v>
          </cell>
          <cell r="K60">
            <v>39</v>
          </cell>
          <cell r="L60">
            <v>42</v>
          </cell>
          <cell r="M60">
            <v>44</v>
          </cell>
          <cell r="O60">
            <v>-0.01</v>
          </cell>
          <cell r="P60">
            <v>-7.0000000000000007E-2</v>
          </cell>
          <cell r="Q60">
            <v>0.6</v>
          </cell>
          <cell r="R60">
            <v>1.05</v>
          </cell>
          <cell r="S60">
            <v>0.25</v>
          </cell>
          <cell r="T60">
            <v>0.2</v>
          </cell>
          <cell r="U60">
            <v>0.15</v>
          </cell>
          <cell r="V60">
            <v>0.1</v>
          </cell>
          <cell r="W60">
            <v>0.08</v>
          </cell>
          <cell r="X60">
            <v>0.05</v>
          </cell>
          <cell r="Y60">
            <v>11.5</v>
          </cell>
        </row>
        <row r="61">
          <cell r="A61" t="str">
            <v>Ditropan</v>
          </cell>
          <cell r="B61" t="str">
            <v>-</v>
          </cell>
          <cell r="C61">
            <v>0</v>
          </cell>
          <cell r="D61">
            <v>0</v>
          </cell>
          <cell r="E61">
            <v>2</v>
          </cell>
          <cell r="F61">
            <v>7</v>
          </cell>
          <cell r="G61">
            <v>2</v>
          </cell>
          <cell r="H61">
            <v>1</v>
          </cell>
          <cell r="I61">
            <v>1</v>
          </cell>
          <cell r="J61">
            <v>1</v>
          </cell>
          <cell r="K61">
            <v>1</v>
          </cell>
          <cell r="L61">
            <v>1</v>
          </cell>
          <cell r="M61">
            <v>1</v>
          </cell>
          <cell r="O61" t="str">
            <v>NM</v>
          </cell>
          <cell r="P61" t="str">
            <v>NM</v>
          </cell>
          <cell r="Q61">
            <v>1.98</v>
          </cell>
          <cell r="R61">
            <v>-0.7</v>
          </cell>
          <cell r="S61">
            <v>-0.5</v>
          </cell>
          <cell r="T61">
            <v>-0.5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-12.9</v>
          </cell>
        </row>
        <row r="62">
          <cell r="A62" t="str">
            <v>Bicitra/Polycitra/Neutra-Phos</v>
          </cell>
          <cell r="C62">
            <v>0</v>
          </cell>
          <cell r="D62">
            <v>0</v>
          </cell>
          <cell r="E62">
            <v>2.5</v>
          </cell>
          <cell r="F62">
            <v>11</v>
          </cell>
          <cell r="G62">
            <v>11.770000000000001</v>
          </cell>
          <cell r="H62">
            <v>11</v>
          </cell>
          <cell r="I62">
            <v>11</v>
          </cell>
          <cell r="J62">
            <v>11</v>
          </cell>
          <cell r="K62">
            <v>11</v>
          </cell>
          <cell r="L62">
            <v>11</v>
          </cell>
          <cell r="M62">
            <v>11</v>
          </cell>
          <cell r="O62" t="str">
            <v>NM</v>
          </cell>
          <cell r="P62" t="str">
            <v>NM</v>
          </cell>
          <cell r="Q62">
            <v>3.48</v>
          </cell>
          <cell r="R62">
            <v>7.0000000000000007E-2</v>
          </cell>
          <cell r="S62">
            <v>-0.05</v>
          </cell>
          <cell r="T62">
            <v>-0.02</v>
          </cell>
          <cell r="U62">
            <v>-0.02</v>
          </cell>
          <cell r="V62">
            <v>0</v>
          </cell>
          <cell r="W62">
            <v>0</v>
          </cell>
          <cell r="X62">
            <v>0</v>
          </cell>
          <cell r="Y62">
            <v>-0.8</v>
          </cell>
        </row>
        <row r="63">
          <cell r="A63" t="str">
            <v>Amphotec/Other Sequus</v>
          </cell>
          <cell r="C63">
            <v>1</v>
          </cell>
          <cell r="D63">
            <v>4.5999999999999996</v>
          </cell>
          <cell r="E63">
            <v>8</v>
          </cell>
          <cell r="F63">
            <v>11.5</v>
          </cell>
          <cell r="G63">
            <v>11.5</v>
          </cell>
          <cell r="H63">
            <v>11.5</v>
          </cell>
          <cell r="I63">
            <v>11.5</v>
          </cell>
          <cell r="J63">
            <v>11.5</v>
          </cell>
          <cell r="K63">
            <v>11.5</v>
          </cell>
          <cell r="L63">
            <v>11.5</v>
          </cell>
          <cell r="M63">
            <v>11.5</v>
          </cell>
          <cell r="O63">
            <v>3.69</v>
          </cell>
          <cell r="P63">
            <v>0.75</v>
          </cell>
          <cell r="Q63">
            <v>0.44</v>
          </cell>
          <cell r="R63">
            <v>0.04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</row>
        <row r="64">
          <cell r="A64" t="str">
            <v>Ocuset/Progestasert/Alzet</v>
          </cell>
          <cell r="C64">
            <v>7</v>
          </cell>
          <cell r="D64">
            <v>7</v>
          </cell>
          <cell r="E64">
            <v>6</v>
          </cell>
          <cell r="F64">
            <v>10</v>
          </cell>
          <cell r="G64">
            <v>12</v>
          </cell>
          <cell r="H64">
            <v>12</v>
          </cell>
          <cell r="I64">
            <v>12</v>
          </cell>
          <cell r="J64">
            <v>12</v>
          </cell>
          <cell r="K64">
            <v>12</v>
          </cell>
          <cell r="L64">
            <v>12</v>
          </cell>
          <cell r="M64">
            <v>12</v>
          </cell>
          <cell r="O64">
            <v>0.04</v>
          </cell>
          <cell r="P64">
            <v>-0.2</v>
          </cell>
          <cell r="Q64">
            <v>0.73</v>
          </cell>
          <cell r="R64">
            <v>0.23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</row>
        <row r="65">
          <cell r="A65" t="str">
            <v>DUROS Leuprolide</v>
          </cell>
          <cell r="B65" t="str">
            <v>-</v>
          </cell>
          <cell r="C65" t="e">
            <v>#REF!</v>
          </cell>
          <cell r="D65" t="e">
            <v>#REF!</v>
          </cell>
          <cell r="E65" t="e">
            <v>#REF!</v>
          </cell>
          <cell r="F65" t="e">
            <v>#REF!</v>
          </cell>
          <cell r="G65" t="e">
            <v>#REF!</v>
          </cell>
          <cell r="H65" t="e">
            <v>#REF!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O65" t="str">
            <v>NM</v>
          </cell>
          <cell r="P65" t="str">
            <v>NM</v>
          </cell>
          <cell r="Q65" t="str">
            <v>NM</v>
          </cell>
          <cell r="R65" t="str">
            <v>NM</v>
          </cell>
          <cell r="S65" t="str">
            <v>NM</v>
          </cell>
          <cell r="T65" t="e">
            <v>#REF!</v>
          </cell>
          <cell r="U65" t="e">
            <v>#REF!</v>
          </cell>
          <cell r="V65" t="e">
            <v>#REF!</v>
          </cell>
          <cell r="W65" t="e">
            <v>#REF!</v>
          </cell>
          <cell r="X65" t="e">
            <v>#REF!</v>
          </cell>
          <cell r="Y65" t="e">
            <v>#REF!</v>
          </cell>
        </row>
        <row r="66">
          <cell r="A66" t="str">
            <v>OROS Methylphenidate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130</v>
          </cell>
          <cell r="J66">
            <v>200</v>
          </cell>
          <cell r="K66">
            <v>255</v>
          </cell>
          <cell r="L66">
            <v>310</v>
          </cell>
          <cell r="M66">
            <v>360</v>
          </cell>
          <cell r="O66" t="str">
            <v>NM</v>
          </cell>
          <cell r="P66" t="str">
            <v>NM</v>
          </cell>
          <cell r="Q66" t="str">
            <v>NM</v>
          </cell>
          <cell r="R66" t="str">
            <v>NM</v>
          </cell>
          <cell r="S66" t="str">
            <v>NM</v>
          </cell>
          <cell r="T66">
            <v>5</v>
          </cell>
          <cell r="U66">
            <v>0.67</v>
          </cell>
          <cell r="V66">
            <v>0.4</v>
          </cell>
          <cell r="W66">
            <v>0.25</v>
          </cell>
          <cell r="X66">
            <v>0.14000000000000001</v>
          </cell>
          <cell r="Y66">
            <v>82.1</v>
          </cell>
        </row>
        <row r="67">
          <cell r="A67" t="str">
            <v>Other New Products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40</v>
          </cell>
          <cell r="K67">
            <v>90</v>
          </cell>
          <cell r="L67">
            <v>150</v>
          </cell>
          <cell r="M67">
            <v>235</v>
          </cell>
          <cell r="O67" t="str">
            <v>NM</v>
          </cell>
          <cell r="P67" t="str">
            <v>NM</v>
          </cell>
          <cell r="Q67" t="str">
            <v>NM</v>
          </cell>
          <cell r="R67" t="str">
            <v>NM</v>
          </cell>
          <cell r="S67" t="str">
            <v>NM</v>
          </cell>
          <cell r="T67" t="str">
            <v>NM</v>
          </cell>
          <cell r="U67" t="str">
            <v>NM</v>
          </cell>
          <cell r="V67">
            <v>1.25</v>
          </cell>
          <cell r="W67">
            <v>0.66666666666666674</v>
          </cell>
          <cell r="X67">
            <v>0.56666666666666665</v>
          </cell>
          <cell r="Y67" t="str">
            <v>NM</v>
          </cell>
        </row>
        <row r="68">
          <cell r="A68" t="str">
            <v>Total Net Sales</v>
          </cell>
          <cell r="B68">
            <v>2248.4650000000001</v>
          </cell>
          <cell r="C68">
            <v>15</v>
          </cell>
          <cell r="D68">
            <v>28</v>
          </cell>
          <cell r="E68">
            <v>61</v>
          </cell>
          <cell r="F68">
            <v>131</v>
          </cell>
          <cell r="G68">
            <v>184</v>
          </cell>
          <cell r="H68">
            <v>244</v>
          </cell>
          <cell r="I68">
            <v>369</v>
          </cell>
          <cell r="J68">
            <v>423</v>
          </cell>
          <cell r="K68">
            <v>525</v>
          </cell>
          <cell r="L68">
            <v>625</v>
          </cell>
          <cell r="M68">
            <v>716</v>
          </cell>
          <cell r="O68">
            <v>0.9</v>
          </cell>
          <cell r="P68">
            <v>1.2</v>
          </cell>
          <cell r="Q68">
            <v>1.1475409836065573</v>
          </cell>
          <cell r="R68">
            <v>0.40458015267175562</v>
          </cell>
          <cell r="S68">
            <v>0.32608695652173902</v>
          </cell>
          <cell r="T68">
            <v>0.51229508196721318</v>
          </cell>
          <cell r="U68">
            <v>0.14634146341463405</v>
          </cell>
          <cell r="V68">
            <v>0.24113475177304955</v>
          </cell>
          <cell r="W68">
            <v>0.19047619047619047</v>
          </cell>
          <cell r="X68">
            <v>0.14559999999999995</v>
          </cell>
          <cell r="Y68">
            <v>24.023687343023848</v>
          </cell>
        </row>
        <row r="69">
          <cell r="A69" t="str">
            <v>Contract Manufacturing</v>
          </cell>
          <cell r="B69">
            <v>58</v>
          </cell>
          <cell r="C69">
            <v>63</v>
          </cell>
          <cell r="D69">
            <v>86</v>
          </cell>
          <cell r="E69">
            <v>93.100000000000009</v>
          </cell>
          <cell r="F69">
            <v>113.6</v>
          </cell>
          <cell r="G69">
            <v>124.60000000000001</v>
          </cell>
          <cell r="H69">
            <v>0</v>
          </cell>
          <cell r="I69">
            <v>150</v>
          </cell>
          <cell r="J69">
            <v>168.00000000000003</v>
          </cell>
          <cell r="K69">
            <v>184.80000000000004</v>
          </cell>
          <cell r="L69">
            <v>199.58400000000006</v>
          </cell>
          <cell r="M69">
            <v>215.55072000000007</v>
          </cell>
          <cell r="O69">
            <v>0.35</v>
          </cell>
          <cell r="P69">
            <v>0.09</v>
          </cell>
          <cell r="Q69">
            <v>0.22019334049409212</v>
          </cell>
          <cell r="R69">
            <v>9.6830985915492995E-2</v>
          </cell>
          <cell r="S69">
            <v>-1</v>
          </cell>
          <cell r="T69" t="e">
            <v>#DIV/0!</v>
          </cell>
          <cell r="U69">
            <v>0.12000000000000011</v>
          </cell>
          <cell r="V69">
            <v>0.10000000000000009</v>
          </cell>
          <cell r="W69">
            <v>8.0000000000000071E-2</v>
          </cell>
          <cell r="X69">
            <v>8.0000000000000071E-2</v>
          </cell>
          <cell r="Y69" t="e">
            <v>#DIV/0!</v>
          </cell>
        </row>
        <row r="70">
          <cell r="A70" t="str">
            <v>Total Net Sales</v>
          </cell>
          <cell r="B70">
            <v>2306.4650000000001</v>
          </cell>
          <cell r="C70">
            <v>78</v>
          </cell>
          <cell r="D70">
            <v>113</v>
          </cell>
          <cell r="E70">
            <v>154</v>
          </cell>
          <cell r="F70">
            <v>244</v>
          </cell>
          <cell r="G70">
            <v>308.60000000000002</v>
          </cell>
          <cell r="H70">
            <v>244</v>
          </cell>
          <cell r="I70">
            <v>531</v>
          </cell>
          <cell r="J70">
            <v>599</v>
          </cell>
          <cell r="K70">
            <v>714</v>
          </cell>
          <cell r="L70">
            <v>829</v>
          </cell>
          <cell r="M70">
            <v>934</v>
          </cell>
          <cell r="O70">
            <v>0.45</v>
          </cell>
          <cell r="P70">
            <v>0.36</v>
          </cell>
          <cell r="Q70">
            <v>0.59</v>
          </cell>
          <cell r="R70">
            <v>0.26</v>
          </cell>
          <cell r="S70">
            <v>0.26</v>
          </cell>
          <cell r="T70">
            <v>0.36</v>
          </cell>
          <cell r="U70">
            <v>0.13</v>
          </cell>
          <cell r="V70">
            <v>0.19</v>
          </cell>
          <cell r="W70">
            <v>0.16</v>
          </cell>
          <cell r="X70">
            <v>0.13</v>
          </cell>
          <cell r="Y70">
            <v>19.100000000000001</v>
          </cell>
        </row>
        <row r="71">
          <cell r="A71" t="str">
            <v>Royalties &amp; Fees</v>
          </cell>
          <cell r="B71" t="e">
            <v>#REF!</v>
          </cell>
          <cell r="C71">
            <v>146</v>
          </cell>
          <cell r="D71">
            <v>181</v>
          </cell>
          <cell r="E71">
            <v>188.35400000000004</v>
          </cell>
          <cell r="F71">
            <v>233.1</v>
          </cell>
          <cell r="G71">
            <v>245</v>
          </cell>
          <cell r="H71">
            <v>258</v>
          </cell>
          <cell r="I71">
            <v>288</v>
          </cell>
          <cell r="J71">
            <v>361</v>
          </cell>
          <cell r="K71">
            <v>394</v>
          </cell>
          <cell r="L71">
            <v>432</v>
          </cell>
          <cell r="M71">
            <v>474</v>
          </cell>
          <cell r="O71">
            <v>0.23972602739726034</v>
          </cell>
          <cell r="P71">
            <v>4.0629834254143793E-2</v>
          </cell>
          <cell r="Q71">
            <v>0.23756331163659894</v>
          </cell>
          <cell r="R71">
            <v>5.1051051051051122E-2</v>
          </cell>
          <cell r="S71">
            <v>0.06</v>
          </cell>
          <cell r="T71">
            <v>0.11</v>
          </cell>
          <cell r="U71">
            <v>0.25347222222222232</v>
          </cell>
          <cell r="V71">
            <v>9.1412742382271484E-2</v>
          </cell>
          <cell r="W71">
            <v>9.6446700507614169E-2</v>
          </cell>
          <cell r="X71">
            <v>9.7222222222222321E-2</v>
          </cell>
          <cell r="Y71">
            <v>12.935824583523491</v>
          </cell>
        </row>
        <row r="72">
          <cell r="A72" t="str">
            <v>Research Revenues</v>
          </cell>
          <cell r="B72">
            <v>68.7</v>
          </cell>
          <cell r="C72">
            <v>104</v>
          </cell>
          <cell r="D72">
            <v>131</v>
          </cell>
          <cell r="E72">
            <v>135</v>
          </cell>
          <cell r="F72">
            <v>124.4</v>
          </cell>
          <cell r="G72">
            <v>120.8</v>
          </cell>
          <cell r="H72">
            <v>0</v>
          </cell>
          <cell r="I72">
            <v>37.022000000000006</v>
          </cell>
          <cell r="J72">
            <v>39.613540000000008</v>
          </cell>
          <cell r="K72">
            <v>42.386487800000012</v>
          </cell>
          <cell r="L72">
            <v>45.353541946000014</v>
          </cell>
          <cell r="M72">
            <v>48.528289882220015</v>
          </cell>
          <cell r="O72">
            <v>0.25961538461538458</v>
          </cell>
          <cell r="P72">
            <v>3.0534351145038219E-2</v>
          </cell>
          <cell r="Q72">
            <v>-7.8518518518518432E-2</v>
          </cell>
          <cell r="R72">
            <v>-2.8938906752411619E-2</v>
          </cell>
          <cell r="S72">
            <v>-1</v>
          </cell>
          <cell r="T72" t="e">
            <v>#DIV/0!</v>
          </cell>
          <cell r="U72">
            <v>7.0000000000000062E-2</v>
          </cell>
          <cell r="V72">
            <v>7.0000000000000062E-2</v>
          </cell>
          <cell r="W72">
            <v>7.0000000000000062E-2</v>
          </cell>
          <cell r="X72">
            <v>7.0000000000000062E-2</v>
          </cell>
          <cell r="Y72" t="e">
            <v>#DIV/0!</v>
          </cell>
        </row>
        <row r="73">
          <cell r="A73" t="str">
            <v>Total Revenues</v>
          </cell>
          <cell r="B73" t="e">
            <v>#REF!</v>
          </cell>
          <cell r="C73">
            <v>328</v>
          </cell>
          <cell r="D73">
            <v>425</v>
          </cell>
          <cell r="E73">
            <v>477.35400000000004</v>
          </cell>
          <cell r="F73">
            <v>602</v>
          </cell>
          <cell r="G73">
            <v>701</v>
          </cell>
          <cell r="H73">
            <v>786</v>
          </cell>
          <cell r="I73">
            <v>875</v>
          </cell>
          <cell r="J73">
            <v>1021</v>
          </cell>
          <cell r="K73">
            <v>1172</v>
          </cell>
          <cell r="L73">
            <v>1329</v>
          </cell>
          <cell r="M73">
            <v>1482</v>
          </cell>
          <cell r="O73">
            <v>0.2957317073170731</v>
          </cell>
          <cell r="P73">
            <v>0.12318588235294126</v>
          </cell>
          <cell r="Q73">
            <v>0.26111858285465273</v>
          </cell>
          <cell r="R73">
            <v>0.16445182724252483</v>
          </cell>
          <cell r="S73">
            <v>0.12125534950071337</v>
          </cell>
          <cell r="T73">
            <v>0.11323155216284997</v>
          </cell>
          <cell r="U73">
            <v>0.16685714285714282</v>
          </cell>
          <cell r="V73">
            <v>0.14789422135161612</v>
          </cell>
          <cell r="W73">
            <v>0.13395904436860073</v>
          </cell>
          <cell r="X73">
            <v>0.1151241534988714</v>
          </cell>
          <cell r="Y73">
            <v>13.52333252179012</v>
          </cell>
        </row>
        <row r="75">
          <cell r="A75" t="str">
            <v>E = Morgan Stanley Dean Witter Research Estimates        NM = Not Meaningful</v>
          </cell>
        </row>
      </sheetData>
      <sheetData sheetId="6" refreshError="1"/>
      <sheetData sheetId="7" refreshError="1">
        <row r="1">
          <cell r="A1" t="str">
            <v>Exhibit 5</v>
          </cell>
        </row>
        <row r="2">
          <cell r="A2" t="str">
            <v>Alza - Annual Royalties &amp; Fees Model 1995-2005E</v>
          </cell>
        </row>
        <row r="3">
          <cell r="A3" t="str">
            <v>($ Millions)</v>
          </cell>
        </row>
        <row r="4">
          <cell r="B4">
            <v>1995</v>
          </cell>
          <cell r="C4">
            <v>1996</v>
          </cell>
          <cell r="D4" t="str">
            <v>1997</v>
          </cell>
          <cell r="E4" t="str">
            <v>1998</v>
          </cell>
          <cell r="F4" t="str">
            <v>1999</v>
          </cell>
          <cell r="G4" t="str">
            <v>2000E</v>
          </cell>
          <cell r="H4" t="str">
            <v xml:space="preserve"> 2001E</v>
          </cell>
          <cell r="I4" t="str">
            <v xml:space="preserve"> 2002E</v>
          </cell>
          <cell r="J4" t="str">
            <v xml:space="preserve"> 2003E</v>
          </cell>
          <cell r="K4" t="str">
            <v xml:space="preserve"> 2004E</v>
          </cell>
          <cell r="L4" t="str">
            <v xml:space="preserve"> 2005E</v>
          </cell>
        </row>
        <row r="5">
          <cell r="A5" t="str">
            <v>Procardia XL (nifedipine) - Pfizer</v>
          </cell>
        </row>
        <row r="6">
          <cell r="A6" t="str">
            <v xml:space="preserve">  Client's Alza Product Sales</v>
          </cell>
          <cell r="B6">
            <v>1134</v>
          </cell>
          <cell r="C6">
            <v>1004.9</v>
          </cell>
          <cell r="D6">
            <v>822</v>
          </cell>
          <cell r="E6">
            <v>713</v>
          </cell>
          <cell r="F6">
            <v>550</v>
          </cell>
          <cell r="G6">
            <v>272</v>
          </cell>
          <cell r="H6">
            <v>163.19999999999999</v>
          </cell>
          <cell r="I6">
            <v>114.23999999999998</v>
          </cell>
          <cell r="J6">
            <v>91.391999999999996</v>
          </cell>
          <cell r="K6">
            <v>77.683199999999999</v>
          </cell>
          <cell r="L6">
            <v>66.030720000000002</v>
          </cell>
        </row>
        <row r="7">
          <cell r="A7" t="str">
            <v xml:space="preserve">  Royalty Rate</v>
          </cell>
          <cell r="B7">
            <v>5.8000000000000003E-2</v>
          </cell>
          <cell r="C7">
            <v>6.3899999999999998E-2</v>
          </cell>
          <cell r="D7">
            <v>7.0000000000000007E-2</v>
          </cell>
          <cell r="E7">
            <v>7.0000000000000007E-2</v>
          </cell>
          <cell r="F7">
            <v>7.0000000000000007E-2</v>
          </cell>
          <cell r="G7">
            <v>7.0000000000000007E-2</v>
          </cell>
          <cell r="H7">
            <v>7.0000000000000007E-2</v>
          </cell>
          <cell r="I7">
            <v>7.0000000000000007E-2</v>
          </cell>
          <cell r="J7">
            <v>7.0000000000000007E-2</v>
          </cell>
          <cell r="K7">
            <v>7.0000000000000007E-2</v>
          </cell>
          <cell r="L7">
            <v>7.0000000000000007E-2</v>
          </cell>
        </row>
        <row r="8">
          <cell r="A8" t="str">
            <v xml:space="preserve">    Total Royalties</v>
          </cell>
          <cell r="B8">
            <v>65.772000000000006</v>
          </cell>
          <cell r="C8">
            <v>64.21311</v>
          </cell>
          <cell r="D8">
            <v>57.540000000000006</v>
          </cell>
          <cell r="E8">
            <v>49.910000000000004</v>
          </cell>
          <cell r="F8">
            <v>38.5</v>
          </cell>
          <cell r="G8">
            <v>19.040000000000003</v>
          </cell>
          <cell r="H8">
            <v>11.423999999999999</v>
          </cell>
          <cell r="I8">
            <v>7.9967999999999995</v>
          </cell>
          <cell r="J8">
            <v>6.3974400000000005</v>
          </cell>
          <cell r="K8">
            <v>5.4378240000000009</v>
          </cell>
          <cell r="L8">
            <v>4.6221504000000007</v>
          </cell>
        </row>
        <row r="10">
          <cell r="A10" t="str">
            <v>Glucotrol XL (glipizide) - Pfizer</v>
          </cell>
        </row>
        <row r="11">
          <cell r="A11" t="str">
            <v xml:space="preserve">  Client's Alza Product Sales</v>
          </cell>
          <cell r="B11">
            <v>81.800000000000011</v>
          </cell>
          <cell r="C11">
            <v>132.80000000000001</v>
          </cell>
          <cell r="D11">
            <v>175</v>
          </cell>
          <cell r="E11">
            <v>225</v>
          </cell>
          <cell r="F11">
            <v>256</v>
          </cell>
          <cell r="G11">
            <v>275.39999999999998</v>
          </cell>
          <cell r="H11">
            <v>291.92399999999998</v>
          </cell>
          <cell r="I11">
            <v>300.68171999999998</v>
          </cell>
          <cell r="J11">
            <v>309.70217159999999</v>
          </cell>
          <cell r="K11">
            <v>309.70217159999999</v>
          </cell>
          <cell r="L11">
            <v>309.70217159999999</v>
          </cell>
        </row>
        <row r="12">
          <cell r="A12" t="str">
            <v xml:space="preserve">  Royalty Rate</v>
          </cell>
          <cell r="B12">
            <v>7.0000000000000007E-2</v>
          </cell>
          <cell r="C12">
            <v>7.0000000000000007E-2</v>
          </cell>
          <cell r="D12">
            <v>7.0000000000000007E-2</v>
          </cell>
          <cell r="E12">
            <v>7.0000000000000007E-2</v>
          </cell>
          <cell r="F12">
            <v>7.0000000000000007E-2</v>
          </cell>
          <cell r="G12">
            <v>7.0000000000000021E-2</v>
          </cell>
          <cell r="H12">
            <v>7.0000000000000007E-2</v>
          </cell>
          <cell r="I12">
            <v>7.0000000000000007E-2</v>
          </cell>
          <cell r="J12">
            <v>7.0000000000000007E-2</v>
          </cell>
          <cell r="K12">
            <v>7.0000000000000007E-2</v>
          </cell>
          <cell r="L12">
            <v>7.0000000000000007E-2</v>
          </cell>
        </row>
        <row r="13">
          <cell r="A13" t="str">
            <v xml:space="preserve">    Total Royalties</v>
          </cell>
          <cell r="B13">
            <v>5.7260000000000018</v>
          </cell>
          <cell r="C13">
            <v>9.2960000000000012</v>
          </cell>
          <cell r="D13">
            <v>12.250000000000002</v>
          </cell>
          <cell r="E13">
            <v>15.750000000000002</v>
          </cell>
          <cell r="F13">
            <v>17.920000000000002</v>
          </cell>
          <cell r="G13">
            <v>19.278000000000002</v>
          </cell>
          <cell r="H13">
            <v>20.43468</v>
          </cell>
          <cell r="I13">
            <v>21.047720399999999</v>
          </cell>
          <cell r="J13">
            <v>21.679152011999999</v>
          </cell>
          <cell r="K13">
            <v>21.679152011999999</v>
          </cell>
          <cell r="L13">
            <v>21.679152011999999</v>
          </cell>
        </row>
        <row r="15">
          <cell r="A15" t="str">
            <v>Adalat CC (nifedipine) - Bayer</v>
          </cell>
        </row>
        <row r="16">
          <cell r="A16" t="str">
            <v xml:space="preserve">  Client's Alza Product Sales</v>
          </cell>
          <cell r="B16">
            <v>300</v>
          </cell>
          <cell r="C16">
            <v>300</v>
          </cell>
          <cell r="D16">
            <v>300</v>
          </cell>
          <cell r="E16">
            <v>300</v>
          </cell>
          <cell r="F16">
            <v>300</v>
          </cell>
          <cell r="G16">
            <v>120</v>
          </cell>
          <cell r="H16">
            <v>90</v>
          </cell>
          <cell r="I16">
            <v>76.5</v>
          </cell>
          <cell r="J16">
            <v>65.024999999999991</v>
          </cell>
          <cell r="K16">
            <v>55.271249999999988</v>
          </cell>
          <cell r="L16">
            <v>46.980562499999991</v>
          </cell>
        </row>
        <row r="17">
          <cell r="A17" t="str">
            <v xml:space="preserve">  Royalty Rate</v>
          </cell>
          <cell r="B17">
            <v>7.0000000000000007E-2</v>
          </cell>
          <cell r="C17">
            <v>7.0000000000000007E-2</v>
          </cell>
          <cell r="D17">
            <v>7.0000000000000007E-2</v>
          </cell>
          <cell r="E17">
            <v>7.0000000000000007E-2</v>
          </cell>
          <cell r="F17">
            <v>7.0000000000000007E-2</v>
          </cell>
          <cell r="G17">
            <v>7.0000000000000007E-2</v>
          </cell>
          <cell r="H17">
            <v>7.0000000000000007E-2</v>
          </cell>
          <cell r="I17">
            <v>7.0000000000000007E-2</v>
          </cell>
          <cell r="J17">
            <v>7.0000000000000007E-2</v>
          </cell>
          <cell r="K17">
            <v>7.0000000000000007E-2</v>
          </cell>
          <cell r="L17">
            <v>7.0000000000000007E-2</v>
          </cell>
        </row>
        <row r="18">
          <cell r="A18" t="str">
            <v xml:space="preserve">    Total Royalties</v>
          </cell>
          <cell r="B18">
            <v>21.000000000000004</v>
          </cell>
          <cell r="C18">
            <v>21.000000000000004</v>
          </cell>
          <cell r="D18">
            <v>21.000000000000004</v>
          </cell>
          <cell r="E18">
            <v>21.000000000000004</v>
          </cell>
          <cell r="F18">
            <v>21.000000000000004</v>
          </cell>
          <cell r="G18">
            <v>8.4</v>
          </cell>
          <cell r="H18">
            <v>6.3000000000000007</v>
          </cell>
          <cell r="I18">
            <v>5.3550000000000004</v>
          </cell>
          <cell r="J18">
            <v>4.5517500000000002</v>
          </cell>
          <cell r="K18">
            <v>3.8689874999999994</v>
          </cell>
          <cell r="L18">
            <v>3.2886393749999998</v>
          </cell>
        </row>
        <row r="20">
          <cell r="A20" t="str">
            <v>Duragesic - JNJ</v>
          </cell>
        </row>
        <row r="21">
          <cell r="A21" t="str">
            <v xml:space="preserve">  Client's Alza Product Sales</v>
          </cell>
          <cell r="B21">
            <v>125</v>
          </cell>
          <cell r="C21">
            <v>170</v>
          </cell>
          <cell r="D21">
            <v>250</v>
          </cell>
          <cell r="E21">
            <v>350</v>
          </cell>
          <cell r="F21">
            <v>450</v>
          </cell>
          <cell r="G21">
            <v>585</v>
          </cell>
          <cell r="H21">
            <v>731.25</v>
          </cell>
          <cell r="I21">
            <v>840.93749999999989</v>
          </cell>
          <cell r="J21">
            <v>941.84999999999991</v>
          </cell>
          <cell r="K21">
            <v>1036.0350000000001</v>
          </cell>
          <cell r="L21">
            <v>828.82800000000009</v>
          </cell>
        </row>
        <row r="22">
          <cell r="A22" t="str">
            <v xml:space="preserve">  Royalty Rate</v>
          </cell>
          <cell r="B22">
            <v>7.0000000000000007E-2</v>
          </cell>
          <cell r="C22">
            <v>7.0000000000000007E-2</v>
          </cell>
          <cell r="D22">
            <v>7.0000000000000007E-2</v>
          </cell>
          <cell r="E22">
            <v>9.8000000000000004E-2</v>
          </cell>
          <cell r="F22">
            <v>0.11</v>
          </cell>
          <cell r="G22">
            <v>0.11</v>
          </cell>
          <cell r="H22">
            <v>0.11</v>
          </cell>
          <cell r="I22">
            <v>0.11</v>
          </cell>
          <cell r="J22">
            <v>0.11</v>
          </cell>
          <cell r="K22">
            <v>0.11</v>
          </cell>
          <cell r="L22">
            <v>0.11</v>
          </cell>
        </row>
        <row r="23">
          <cell r="A23" t="str">
            <v xml:space="preserve">    Total Royalties</v>
          </cell>
          <cell r="B23">
            <v>8.75</v>
          </cell>
          <cell r="C23">
            <v>11.9</v>
          </cell>
          <cell r="D23">
            <v>17.5</v>
          </cell>
          <cell r="E23">
            <v>34.300000000000004</v>
          </cell>
          <cell r="F23">
            <v>49.5</v>
          </cell>
          <cell r="G23">
            <v>64.349999999999994</v>
          </cell>
          <cell r="H23">
            <v>80.4375</v>
          </cell>
          <cell r="I23">
            <v>92.503124999999983</v>
          </cell>
          <cell r="J23">
            <v>103.6035</v>
          </cell>
          <cell r="K23">
            <v>113.96385000000001</v>
          </cell>
          <cell r="L23">
            <v>91.171080000000003</v>
          </cell>
        </row>
        <row r="25">
          <cell r="A25" t="str">
            <v>Nicoderm CQ - SmithKline Beecham</v>
          </cell>
        </row>
        <row r="26">
          <cell r="A26" t="str">
            <v xml:space="preserve">  Client's Alza Product Sales</v>
          </cell>
          <cell r="B26">
            <v>0</v>
          </cell>
          <cell r="C26">
            <v>100</v>
          </cell>
          <cell r="D26">
            <v>200</v>
          </cell>
          <cell r="E26">
            <v>225</v>
          </cell>
          <cell r="F26">
            <v>236.25</v>
          </cell>
          <cell r="G26">
            <v>248.0625</v>
          </cell>
          <cell r="H26">
            <v>260.46562499999999</v>
          </cell>
          <cell r="I26">
            <v>273.48890625000001</v>
          </cell>
          <cell r="J26">
            <v>287.16335156250005</v>
          </cell>
          <cell r="K26">
            <v>301.52151914062506</v>
          </cell>
          <cell r="L26">
            <v>316.59759509765632</v>
          </cell>
        </row>
        <row r="27">
          <cell r="A27" t="str">
            <v xml:space="preserve">  Royalty Rate</v>
          </cell>
          <cell r="B27">
            <v>0.09</v>
          </cell>
          <cell r="C27">
            <v>0.09</v>
          </cell>
          <cell r="D27">
            <v>0.09</v>
          </cell>
          <cell r="E27">
            <v>0.06</v>
          </cell>
          <cell r="F27">
            <v>0.06</v>
          </cell>
          <cell r="G27">
            <v>0.06</v>
          </cell>
          <cell r="H27">
            <v>0.06</v>
          </cell>
          <cell r="I27">
            <v>0.06</v>
          </cell>
          <cell r="J27">
            <v>0.06</v>
          </cell>
          <cell r="K27">
            <v>0.06</v>
          </cell>
          <cell r="L27">
            <v>0.06</v>
          </cell>
        </row>
        <row r="28">
          <cell r="A28" t="str">
            <v xml:space="preserve">    Total Royalties</v>
          </cell>
          <cell r="B28">
            <v>0</v>
          </cell>
          <cell r="C28">
            <v>9</v>
          </cell>
          <cell r="D28">
            <v>18</v>
          </cell>
          <cell r="E28">
            <v>13.5</v>
          </cell>
          <cell r="F28">
            <v>14.174999999999999</v>
          </cell>
          <cell r="G28">
            <v>14.883749999999999</v>
          </cell>
          <cell r="H28">
            <v>15.627937499999998</v>
          </cell>
          <cell r="I28">
            <v>16.409334375</v>
          </cell>
          <cell r="J28">
            <v>17.229801093750002</v>
          </cell>
          <cell r="K28">
            <v>18.091291148437502</v>
          </cell>
          <cell r="L28">
            <v>18.99585570585938</v>
          </cell>
        </row>
        <row r="30">
          <cell r="A30" t="str">
            <v>Covera-HS (verapamil) - Searle</v>
          </cell>
        </row>
        <row r="31">
          <cell r="A31" t="str">
            <v xml:space="preserve">  Client's Alza Product Sales</v>
          </cell>
          <cell r="B31">
            <v>0</v>
          </cell>
          <cell r="C31">
            <v>21</v>
          </cell>
          <cell r="D31">
            <v>55</v>
          </cell>
          <cell r="E31">
            <v>81</v>
          </cell>
          <cell r="F31">
            <v>93.149999999999991</v>
          </cell>
          <cell r="G31">
            <v>102.465</v>
          </cell>
          <cell r="H31">
            <v>110.66220000000001</v>
          </cell>
          <cell r="I31">
            <v>116.19531000000002</v>
          </cell>
          <cell r="J31">
            <v>122.00507550000003</v>
          </cell>
          <cell r="K31">
            <v>128.10532927500003</v>
          </cell>
          <cell r="L31">
            <v>134.51059573875003</v>
          </cell>
        </row>
        <row r="32">
          <cell r="A32" t="str">
            <v xml:space="preserve">  Royalty Rate</v>
          </cell>
          <cell r="B32">
            <v>7.0000000000000007E-2</v>
          </cell>
          <cell r="C32">
            <v>7.0000000000000007E-2</v>
          </cell>
          <cell r="D32">
            <v>7.0000000000000007E-2</v>
          </cell>
          <cell r="E32">
            <v>7.0000000000000007E-2</v>
          </cell>
          <cell r="F32">
            <v>7.0000000000000007E-2</v>
          </cell>
          <cell r="G32">
            <v>7.0000000000000007E-2</v>
          </cell>
          <cell r="H32">
            <v>7.0000000000000007E-2</v>
          </cell>
          <cell r="I32">
            <v>7.0000000000000007E-2</v>
          </cell>
          <cell r="J32">
            <v>7.0000000000000007E-2</v>
          </cell>
          <cell r="K32">
            <v>7.0000000000000007E-2</v>
          </cell>
          <cell r="L32">
            <v>7.0000000000000007E-2</v>
          </cell>
        </row>
        <row r="33">
          <cell r="A33" t="str">
            <v xml:space="preserve">    Total Royalties</v>
          </cell>
          <cell r="B33">
            <v>0</v>
          </cell>
          <cell r="C33">
            <v>1.4700000000000002</v>
          </cell>
          <cell r="D33">
            <v>3.8500000000000005</v>
          </cell>
          <cell r="E33">
            <v>5.6700000000000008</v>
          </cell>
          <cell r="F33">
            <v>6.5205000000000002</v>
          </cell>
          <cell r="G33">
            <v>7.1725500000000011</v>
          </cell>
          <cell r="H33">
            <v>7.746354000000002</v>
          </cell>
          <cell r="I33">
            <v>8.1336717000000025</v>
          </cell>
          <cell r="J33">
            <v>8.5403552850000022</v>
          </cell>
          <cell r="K33">
            <v>8.9673730492500034</v>
          </cell>
          <cell r="L33">
            <v>9.415741701712502</v>
          </cell>
        </row>
        <row r="35">
          <cell r="A35" t="str">
            <v>DynaCirc CR (isradipine) - Novartis</v>
          </cell>
        </row>
        <row r="36">
          <cell r="A36" t="str">
            <v xml:space="preserve">  Client's Product Sales</v>
          </cell>
          <cell r="B36">
            <v>231</v>
          </cell>
          <cell r="C36">
            <v>260</v>
          </cell>
          <cell r="D36">
            <v>280</v>
          </cell>
          <cell r="E36">
            <v>285</v>
          </cell>
          <cell r="F36">
            <v>290.7</v>
          </cell>
          <cell r="G36">
            <v>296.51400000000001</v>
          </cell>
          <cell r="H36">
            <v>302.44427999999999</v>
          </cell>
          <cell r="I36">
            <v>308.4931656</v>
          </cell>
          <cell r="J36">
            <v>314.66302891200002</v>
          </cell>
          <cell r="K36">
            <v>320.95628949024001</v>
          </cell>
          <cell r="L36">
            <v>327.37541528004482</v>
          </cell>
        </row>
        <row r="37">
          <cell r="A37" t="str">
            <v xml:space="preserve">  Penetration Rate</v>
          </cell>
          <cell r="B37">
            <v>0</v>
          </cell>
          <cell r="C37">
            <v>0</v>
          </cell>
          <cell r="D37">
            <v>0.03</v>
          </cell>
          <cell r="E37">
            <v>0.05</v>
          </cell>
          <cell r="F37">
            <v>7.0000000000000007E-2</v>
          </cell>
          <cell r="G37">
            <v>0.1</v>
          </cell>
          <cell r="H37">
            <v>0.12000000000000001</v>
          </cell>
          <cell r="I37">
            <v>0.14000000000000001</v>
          </cell>
          <cell r="J37">
            <v>0.16</v>
          </cell>
          <cell r="K37">
            <v>0.18</v>
          </cell>
          <cell r="L37">
            <v>0.19999999999999998</v>
          </cell>
        </row>
        <row r="38">
          <cell r="A38" t="str">
            <v xml:space="preserve">  Client's Alza Product Sales</v>
          </cell>
          <cell r="B38">
            <v>0</v>
          </cell>
          <cell r="C38">
            <v>0</v>
          </cell>
          <cell r="D38">
            <v>8.4</v>
          </cell>
          <cell r="E38">
            <v>14.25</v>
          </cell>
          <cell r="F38">
            <v>20.349</v>
          </cell>
          <cell r="G38">
            <v>29.651400000000002</v>
          </cell>
          <cell r="H38">
            <v>36.293313600000005</v>
          </cell>
          <cell r="I38">
            <v>43.189043184000006</v>
          </cell>
          <cell r="J38">
            <v>50.346084625920007</v>
          </cell>
          <cell r="K38">
            <v>57.772132108243198</v>
          </cell>
          <cell r="L38">
            <v>65.475083056008955</v>
          </cell>
        </row>
        <row r="39">
          <cell r="A39" t="str">
            <v xml:space="preserve">  Royalty Rate</v>
          </cell>
          <cell r="B39">
            <v>0.04</v>
          </cell>
          <cell r="C39">
            <v>0.04</v>
          </cell>
          <cell r="D39">
            <v>0.04</v>
          </cell>
          <cell r="E39">
            <v>0.04</v>
          </cell>
          <cell r="F39">
            <v>0.04</v>
          </cell>
          <cell r="G39">
            <v>0.04</v>
          </cell>
          <cell r="H39">
            <v>0.04</v>
          </cell>
          <cell r="I39">
            <v>0.04</v>
          </cell>
          <cell r="J39">
            <v>0.04</v>
          </cell>
          <cell r="K39">
            <v>0.04</v>
          </cell>
          <cell r="L39">
            <v>0.04</v>
          </cell>
        </row>
        <row r="40">
          <cell r="A40" t="str">
            <v xml:space="preserve">    Total Royalties</v>
          </cell>
          <cell r="B40">
            <v>0</v>
          </cell>
          <cell r="C40">
            <v>0</v>
          </cell>
          <cell r="D40">
            <v>0.33600000000000002</v>
          </cell>
          <cell r="E40">
            <v>0.57000000000000006</v>
          </cell>
          <cell r="F40">
            <v>0.81396000000000002</v>
          </cell>
          <cell r="G40">
            <v>1.1860560000000002</v>
          </cell>
          <cell r="H40">
            <v>1.4517325440000002</v>
          </cell>
          <cell r="I40">
            <v>1.7275617273600004</v>
          </cell>
          <cell r="J40">
            <v>2.0138433850368003</v>
          </cell>
          <cell r="K40">
            <v>2.3108852843297281</v>
          </cell>
          <cell r="L40">
            <v>2.6190033222403581</v>
          </cell>
        </row>
        <row r="42">
          <cell r="A42" t="str">
            <v>Transderm Nitro (nitroglycerin) - Novartis</v>
          </cell>
        </row>
        <row r="43">
          <cell r="A43" t="str">
            <v xml:space="preserve">  Client's Alza Product Sales</v>
          </cell>
          <cell r="B43">
            <v>0</v>
          </cell>
          <cell r="C43">
            <v>300</v>
          </cell>
          <cell r="D43">
            <v>275</v>
          </cell>
          <cell r="E43">
            <v>250</v>
          </cell>
          <cell r="F43">
            <v>212.5</v>
          </cell>
          <cell r="G43">
            <v>180.625</v>
          </cell>
          <cell r="H43">
            <v>153.53125</v>
          </cell>
          <cell r="I43">
            <v>130.50156250000001</v>
          </cell>
          <cell r="J43">
            <v>110.926328125</v>
          </cell>
          <cell r="K43">
            <v>94.287378906249998</v>
          </cell>
          <cell r="L43">
            <v>80.144272070312496</v>
          </cell>
        </row>
        <row r="44">
          <cell r="A44" t="str">
            <v xml:space="preserve">  Royalty Rate</v>
          </cell>
          <cell r="B44">
            <v>0.04</v>
          </cell>
          <cell r="C44">
            <v>0.04</v>
          </cell>
          <cell r="D44">
            <v>0.04</v>
          </cell>
          <cell r="E44">
            <v>0.04</v>
          </cell>
          <cell r="F44">
            <v>0.04</v>
          </cell>
          <cell r="G44">
            <v>0.04</v>
          </cell>
          <cell r="H44">
            <v>0.04</v>
          </cell>
          <cell r="I44">
            <v>0.04</v>
          </cell>
          <cell r="J44">
            <v>0.04</v>
          </cell>
          <cell r="K44">
            <v>0.04</v>
          </cell>
          <cell r="L44">
            <v>0.04</v>
          </cell>
        </row>
        <row r="45">
          <cell r="A45" t="str">
            <v xml:space="preserve">    Total Royalties</v>
          </cell>
          <cell r="B45">
            <v>0</v>
          </cell>
          <cell r="C45">
            <v>12</v>
          </cell>
          <cell r="D45">
            <v>11</v>
          </cell>
          <cell r="E45">
            <v>10</v>
          </cell>
          <cell r="F45">
            <v>8.5</v>
          </cell>
          <cell r="G45">
            <v>7.2250000000000005</v>
          </cell>
          <cell r="H45">
            <v>6.1412500000000003</v>
          </cell>
          <cell r="I45">
            <v>5.2200625</v>
          </cell>
          <cell r="J45">
            <v>4.4370531250000003</v>
          </cell>
          <cell r="K45">
            <v>3.7714951562499999</v>
          </cell>
          <cell r="L45">
            <v>3.2057708828124998</v>
          </cell>
        </row>
        <row r="47">
          <cell r="A47" t="str">
            <v>Transderm Scop (scopolamine) - Novartis</v>
          </cell>
        </row>
        <row r="48">
          <cell r="A48" t="str">
            <v xml:space="preserve">  Client's Alza Product Sales</v>
          </cell>
          <cell r="B48">
            <v>0</v>
          </cell>
          <cell r="C48">
            <v>0</v>
          </cell>
          <cell r="D48">
            <v>20</v>
          </cell>
          <cell r="E48">
            <v>20</v>
          </cell>
          <cell r="F48">
            <v>20</v>
          </cell>
          <cell r="G48">
            <v>20</v>
          </cell>
          <cell r="H48">
            <v>20</v>
          </cell>
          <cell r="I48">
            <v>20</v>
          </cell>
          <cell r="J48">
            <v>20</v>
          </cell>
          <cell r="K48">
            <v>20</v>
          </cell>
          <cell r="L48">
            <v>20</v>
          </cell>
        </row>
        <row r="49">
          <cell r="A49" t="str">
            <v xml:space="preserve">  Royalty Rate</v>
          </cell>
          <cell r="B49">
            <v>0.05</v>
          </cell>
          <cell r="C49">
            <v>0.05</v>
          </cell>
          <cell r="D49">
            <v>0.05</v>
          </cell>
          <cell r="E49">
            <v>0.05</v>
          </cell>
          <cell r="F49">
            <v>0.05</v>
          </cell>
          <cell r="G49">
            <v>0.05</v>
          </cell>
          <cell r="H49">
            <v>0.05</v>
          </cell>
          <cell r="I49">
            <v>0.05</v>
          </cell>
          <cell r="J49">
            <v>0.05</v>
          </cell>
          <cell r="K49">
            <v>0.05</v>
          </cell>
          <cell r="L49">
            <v>0.05</v>
          </cell>
        </row>
        <row r="50">
          <cell r="A50" t="str">
            <v xml:space="preserve">    Total Royalties</v>
          </cell>
          <cell r="B50">
            <v>0</v>
          </cell>
          <cell r="C50">
            <v>0</v>
          </cell>
          <cell r="D50">
            <v>1</v>
          </cell>
          <cell r="E50">
            <v>1</v>
          </cell>
          <cell r="F50">
            <v>1</v>
          </cell>
          <cell r="G50">
            <v>1</v>
          </cell>
          <cell r="H50">
            <v>1</v>
          </cell>
          <cell r="I50">
            <v>1</v>
          </cell>
          <cell r="J50">
            <v>1</v>
          </cell>
          <cell r="K50">
            <v>1</v>
          </cell>
          <cell r="L50">
            <v>1</v>
          </cell>
        </row>
        <row r="52">
          <cell r="A52" t="str">
            <v>IVOMEC SR Bolus (ivermectin) - Merial</v>
          </cell>
        </row>
        <row r="53">
          <cell r="A53" t="str">
            <v xml:space="preserve">  Client's Product Sales (U.S.)</v>
          </cell>
          <cell r="B53">
            <v>330</v>
          </cell>
          <cell r="C53">
            <v>330</v>
          </cell>
          <cell r="D53">
            <v>330</v>
          </cell>
          <cell r="E53">
            <v>330</v>
          </cell>
          <cell r="F53">
            <v>330</v>
          </cell>
          <cell r="G53">
            <v>330</v>
          </cell>
          <cell r="H53">
            <v>330</v>
          </cell>
          <cell r="I53">
            <v>330</v>
          </cell>
          <cell r="J53">
            <v>330</v>
          </cell>
          <cell r="K53">
            <v>330</v>
          </cell>
          <cell r="L53">
            <v>330</v>
          </cell>
        </row>
        <row r="54">
          <cell r="A54" t="str">
            <v xml:space="preserve">  Penetration Rate</v>
          </cell>
          <cell r="B54">
            <v>0</v>
          </cell>
          <cell r="C54">
            <v>0</v>
          </cell>
          <cell r="D54">
            <v>0.05</v>
          </cell>
          <cell r="E54">
            <v>0.1</v>
          </cell>
          <cell r="F54">
            <v>0.15000000000000002</v>
          </cell>
          <cell r="G54">
            <v>0.2</v>
          </cell>
          <cell r="H54">
            <v>0.25</v>
          </cell>
          <cell r="I54">
            <v>0.3</v>
          </cell>
          <cell r="J54">
            <v>0.35</v>
          </cell>
          <cell r="K54">
            <v>0.39999999999999997</v>
          </cell>
          <cell r="L54">
            <v>0.44999999999999996</v>
          </cell>
        </row>
        <row r="55">
          <cell r="A55" t="str">
            <v xml:space="preserve">  Client's Alza Product Sales</v>
          </cell>
          <cell r="B55">
            <v>0</v>
          </cell>
          <cell r="C55">
            <v>0</v>
          </cell>
          <cell r="D55">
            <v>16.5</v>
          </cell>
          <cell r="E55">
            <v>33</v>
          </cell>
          <cell r="F55">
            <v>49.500000000000007</v>
          </cell>
          <cell r="G55">
            <v>66</v>
          </cell>
          <cell r="H55">
            <v>82.5</v>
          </cell>
          <cell r="I55">
            <v>99</v>
          </cell>
          <cell r="J55">
            <v>115.49999999999999</v>
          </cell>
          <cell r="K55">
            <v>132</v>
          </cell>
          <cell r="L55">
            <v>148.49999999999997</v>
          </cell>
        </row>
        <row r="56">
          <cell r="A56" t="str">
            <v xml:space="preserve">  Royalty Rate</v>
          </cell>
          <cell r="B56">
            <v>0.02</v>
          </cell>
          <cell r="C56">
            <v>0.02</v>
          </cell>
          <cell r="D56">
            <v>0.02</v>
          </cell>
          <cell r="E56">
            <v>0.02</v>
          </cell>
          <cell r="F56">
            <v>0.02</v>
          </cell>
          <cell r="G56">
            <v>0.02</v>
          </cell>
          <cell r="H56">
            <v>0.02</v>
          </cell>
          <cell r="I56">
            <v>0.02</v>
          </cell>
          <cell r="J56">
            <v>0.02</v>
          </cell>
          <cell r="K56">
            <v>0.02</v>
          </cell>
          <cell r="L56">
            <v>0.02</v>
          </cell>
        </row>
        <row r="57">
          <cell r="A57" t="str">
            <v xml:space="preserve">    Total Royalties</v>
          </cell>
          <cell r="B57">
            <v>0</v>
          </cell>
          <cell r="C57">
            <v>0</v>
          </cell>
          <cell r="D57">
            <v>0.33</v>
          </cell>
          <cell r="E57">
            <v>0.66</v>
          </cell>
          <cell r="F57">
            <v>0.99000000000000021</v>
          </cell>
          <cell r="G57">
            <v>1.32</v>
          </cell>
          <cell r="H57">
            <v>1.6500000000000001</v>
          </cell>
          <cell r="I57">
            <v>1.98</v>
          </cell>
          <cell r="J57">
            <v>2.3099999999999996</v>
          </cell>
          <cell r="K57">
            <v>2.64</v>
          </cell>
          <cell r="L57">
            <v>2.9699999999999993</v>
          </cell>
        </row>
        <row r="59">
          <cell r="A59" t="str">
            <v xml:space="preserve">E = Morgan Stanley Dean Witter Research Estimates </v>
          </cell>
        </row>
        <row r="62">
          <cell r="A62" t="str">
            <v>Table 5 (continued)</v>
          </cell>
        </row>
        <row r="63">
          <cell r="A63" t="str">
            <v>Alza - Annual Royalties &amp; Fees Model 1995-2005E</v>
          </cell>
        </row>
        <row r="64">
          <cell r="A64" t="str">
            <v>($ Millions)</v>
          </cell>
        </row>
        <row r="65">
          <cell r="B65">
            <v>1995</v>
          </cell>
          <cell r="C65">
            <v>1996</v>
          </cell>
          <cell r="D65" t="str">
            <v>1997</v>
          </cell>
          <cell r="E65" t="str">
            <v>1998</v>
          </cell>
          <cell r="F65" t="str">
            <v>1999</v>
          </cell>
          <cell r="G65" t="str">
            <v>2000E</v>
          </cell>
          <cell r="H65" t="str">
            <v xml:space="preserve"> 2001E</v>
          </cell>
          <cell r="I65" t="str">
            <v xml:space="preserve"> 2002E</v>
          </cell>
          <cell r="J65" t="str">
            <v xml:space="preserve"> 2003E</v>
          </cell>
          <cell r="K65" t="str">
            <v xml:space="preserve"> 2004E</v>
          </cell>
          <cell r="L65" t="str">
            <v xml:space="preserve"> 2005E</v>
          </cell>
        </row>
        <row r="66">
          <cell r="A66" t="str">
            <v>Catapres-TTS (clonidine) - Boehringer Ingel.</v>
          </cell>
        </row>
        <row r="67">
          <cell r="A67" t="str">
            <v xml:space="preserve">  Client's Alza Product Sales</v>
          </cell>
          <cell r="B67">
            <v>70</v>
          </cell>
          <cell r="C67">
            <v>90</v>
          </cell>
          <cell r="D67">
            <v>105</v>
          </cell>
          <cell r="E67">
            <v>113.4</v>
          </cell>
          <cell r="F67">
            <v>121.33800000000001</v>
          </cell>
          <cell r="G67">
            <v>129.83166000000003</v>
          </cell>
          <cell r="H67">
            <v>137.62155960000004</v>
          </cell>
          <cell r="I67">
            <v>145.87885317600006</v>
          </cell>
          <cell r="J67">
            <v>153.17279583480007</v>
          </cell>
          <cell r="K67">
            <v>160.83143562654007</v>
          </cell>
          <cell r="L67">
            <v>168.87300740786708</v>
          </cell>
        </row>
        <row r="68">
          <cell r="A68" t="str">
            <v xml:space="preserve">  Royalty Rate</v>
          </cell>
          <cell r="B68">
            <v>0.09</v>
          </cell>
          <cell r="C68">
            <v>0.09</v>
          </cell>
          <cell r="D68">
            <v>0.09</v>
          </cell>
          <cell r="E68">
            <v>0.09</v>
          </cell>
          <cell r="F68">
            <v>0.09</v>
          </cell>
          <cell r="G68">
            <v>0.09</v>
          </cell>
          <cell r="H68">
            <v>0.09</v>
          </cell>
          <cell r="I68">
            <v>0.09</v>
          </cell>
          <cell r="J68">
            <v>0.09</v>
          </cell>
          <cell r="K68">
            <v>0.09</v>
          </cell>
          <cell r="L68">
            <v>0.09</v>
          </cell>
        </row>
        <row r="69">
          <cell r="A69" t="str">
            <v xml:space="preserve">    Total Royalties</v>
          </cell>
          <cell r="B69">
            <v>6.3</v>
          </cell>
          <cell r="C69">
            <v>8.1</v>
          </cell>
          <cell r="D69">
            <v>9.4499999999999993</v>
          </cell>
          <cell r="E69">
            <v>10.206</v>
          </cell>
          <cell r="F69">
            <v>10.92042</v>
          </cell>
          <cell r="G69">
            <v>11.684849400000003</v>
          </cell>
          <cell r="H69">
            <v>12.385940364000003</v>
          </cell>
          <cell r="I69">
            <v>13.129096785840005</v>
          </cell>
          <cell r="J69">
            <v>13.785551625132006</v>
          </cell>
          <cell r="K69">
            <v>14.474829206388605</v>
          </cell>
          <cell r="L69">
            <v>15.198570666708036</v>
          </cell>
        </row>
        <row r="71">
          <cell r="A71" t="str">
            <v>Efidac (24 Hr. Sudafed) - WLA</v>
          </cell>
        </row>
        <row r="72">
          <cell r="A72" t="str">
            <v xml:space="preserve">  Client's Product Sales (U.S.)</v>
          </cell>
          <cell r="B72">
            <v>122</v>
          </cell>
          <cell r="C72">
            <v>134</v>
          </cell>
          <cell r="D72">
            <v>140.70000000000002</v>
          </cell>
          <cell r="E72">
            <v>147.73500000000001</v>
          </cell>
          <cell r="F72">
            <v>155.12175000000002</v>
          </cell>
          <cell r="G72">
            <v>162.87783750000003</v>
          </cell>
          <cell r="H72">
            <v>171.02172937500004</v>
          </cell>
          <cell r="I72">
            <v>179.57281584375005</v>
          </cell>
          <cell r="J72">
            <v>188.55145663593757</v>
          </cell>
          <cell r="K72">
            <v>197.97902946773445</v>
          </cell>
          <cell r="L72">
            <v>207.87798094112119</v>
          </cell>
        </row>
        <row r="73">
          <cell r="A73" t="str">
            <v xml:space="preserve">  Penetration Rate</v>
          </cell>
          <cell r="B73">
            <v>0</v>
          </cell>
          <cell r="C73">
            <v>0</v>
          </cell>
          <cell r="D73">
            <v>0</v>
          </cell>
          <cell r="E73">
            <v>0.05</v>
          </cell>
          <cell r="F73">
            <v>0.1</v>
          </cell>
          <cell r="G73">
            <v>0.15000000000000002</v>
          </cell>
          <cell r="H73">
            <v>0.2</v>
          </cell>
          <cell r="I73">
            <v>0.25</v>
          </cell>
          <cell r="J73">
            <v>0.3</v>
          </cell>
          <cell r="K73">
            <v>0.35</v>
          </cell>
          <cell r="L73">
            <v>0.39999999999999997</v>
          </cell>
        </row>
        <row r="74">
          <cell r="A74" t="str">
            <v xml:space="preserve">  Client's Alza Product Sales</v>
          </cell>
          <cell r="B74">
            <v>0</v>
          </cell>
          <cell r="C74">
            <v>0</v>
          </cell>
          <cell r="D74">
            <v>0</v>
          </cell>
          <cell r="E74">
            <v>7.386750000000001</v>
          </cell>
          <cell r="F74">
            <v>15.512175000000003</v>
          </cell>
          <cell r="G74">
            <v>24.431675625000008</v>
          </cell>
          <cell r="H74">
            <v>34.204345875000008</v>
          </cell>
          <cell r="I74">
            <v>44.893203960937512</v>
          </cell>
          <cell r="J74">
            <v>56.565436990781272</v>
          </cell>
          <cell r="K74">
            <v>69.292660313707046</v>
          </cell>
          <cell r="L74">
            <v>83.151192376448478</v>
          </cell>
        </row>
        <row r="75">
          <cell r="A75" t="str">
            <v xml:space="preserve">  Royalty Rate</v>
          </cell>
          <cell r="B75">
            <v>0.05</v>
          </cell>
          <cell r="C75">
            <v>0.05</v>
          </cell>
          <cell r="D75">
            <v>0.05</v>
          </cell>
          <cell r="E75">
            <v>0.05</v>
          </cell>
          <cell r="F75">
            <v>0.05</v>
          </cell>
          <cell r="G75">
            <v>0.05</v>
          </cell>
          <cell r="H75">
            <v>0.05</v>
          </cell>
          <cell r="I75">
            <v>0.05</v>
          </cell>
          <cell r="J75">
            <v>0.05</v>
          </cell>
          <cell r="K75">
            <v>0.05</v>
          </cell>
          <cell r="L75">
            <v>0.05</v>
          </cell>
        </row>
        <row r="76">
          <cell r="A76" t="str">
            <v xml:space="preserve">    Total Royalties</v>
          </cell>
          <cell r="B76">
            <v>0</v>
          </cell>
          <cell r="C76">
            <v>0</v>
          </cell>
          <cell r="D76">
            <v>0</v>
          </cell>
          <cell r="E76">
            <v>0.3693375000000001</v>
          </cell>
          <cell r="F76">
            <v>0.77560875000000018</v>
          </cell>
          <cell r="G76">
            <v>1.2215837812500006</v>
          </cell>
          <cell r="H76">
            <v>1.7102172937500004</v>
          </cell>
          <cell r="I76">
            <v>2.2446601980468759</v>
          </cell>
          <cell r="J76">
            <v>2.828271849539064</v>
          </cell>
          <cell r="K76">
            <v>3.4646330156853526</v>
          </cell>
          <cell r="L76">
            <v>4.1575596188224244</v>
          </cell>
        </row>
        <row r="78">
          <cell r="A78" t="str">
            <v>Alpress LP (prazosin) - Pfizer (Fr)</v>
          </cell>
        </row>
        <row r="79">
          <cell r="A79" t="str">
            <v xml:space="preserve">  Client's Alza Product Sales</v>
          </cell>
          <cell r="B79">
            <v>8</v>
          </cell>
          <cell r="C79">
            <v>8</v>
          </cell>
          <cell r="D79">
            <v>8</v>
          </cell>
          <cell r="E79">
            <v>8</v>
          </cell>
          <cell r="F79">
            <v>8</v>
          </cell>
          <cell r="G79">
            <v>8</v>
          </cell>
          <cell r="H79">
            <v>8</v>
          </cell>
          <cell r="I79">
            <v>8</v>
          </cell>
          <cell r="J79">
            <v>8</v>
          </cell>
          <cell r="K79">
            <v>8</v>
          </cell>
          <cell r="L79">
            <v>8</v>
          </cell>
        </row>
        <row r="80">
          <cell r="A80" t="str">
            <v xml:space="preserve">  Royalty Rate</v>
          </cell>
          <cell r="B80">
            <v>7.0000000000000007E-2</v>
          </cell>
          <cell r="C80">
            <v>7.0000000000000007E-2</v>
          </cell>
          <cell r="D80">
            <v>7.0000000000000007E-2</v>
          </cell>
          <cell r="E80">
            <v>7.0000000000000007E-2</v>
          </cell>
          <cell r="F80">
            <v>7.0000000000000007E-2</v>
          </cell>
          <cell r="G80">
            <v>7.0000000000000007E-2</v>
          </cell>
          <cell r="H80">
            <v>7.0000000000000007E-2</v>
          </cell>
          <cell r="I80">
            <v>7.0000000000000007E-2</v>
          </cell>
          <cell r="J80">
            <v>7.0000000000000007E-2</v>
          </cell>
          <cell r="K80">
            <v>7.0000000000000007E-2</v>
          </cell>
          <cell r="L80">
            <v>7.0000000000000007E-2</v>
          </cell>
        </row>
        <row r="81">
          <cell r="A81" t="str">
            <v xml:space="preserve">    Total Royalties</v>
          </cell>
          <cell r="B81">
            <v>0.56000000000000005</v>
          </cell>
          <cell r="C81">
            <v>0.56000000000000005</v>
          </cell>
          <cell r="D81">
            <v>0.56000000000000005</v>
          </cell>
          <cell r="E81">
            <v>0.56000000000000005</v>
          </cell>
          <cell r="F81">
            <v>0.56000000000000005</v>
          </cell>
          <cell r="G81">
            <v>0.56000000000000005</v>
          </cell>
          <cell r="H81">
            <v>0.56000000000000005</v>
          </cell>
          <cell r="I81">
            <v>0.56000000000000005</v>
          </cell>
          <cell r="J81">
            <v>0.56000000000000005</v>
          </cell>
          <cell r="K81">
            <v>0.56000000000000005</v>
          </cell>
          <cell r="L81">
            <v>0.56000000000000005</v>
          </cell>
        </row>
        <row r="83">
          <cell r="A83" t="str">
            <v>Teczem - Hoechst (U.S.)</v>
          </cell>
        </row>
        <row r="84">
          <cell r="A84" t="str">
            <v xml:space="preserve">  Client's Alza Product Sales</v>
          </cell>
          <cell r="B84">
            <v>0</v>
          </cell>
          <cell r="C84">
            <v>0</v>
          </cell>
          <cell r="D84">
            <v>0</v>
          </cell>
          <cell r="E84">
            <v>5</v>
          </cell>
          <cell r="F84">
            <v>10</v>
          </cell>
          <cell r="G84">
            <v>15</v>
          </cell>
          <cell r="H84">
            <v>20</v>
          </cell>
          <cell r="I84">
            <v>25</v>
          </cell>
          <cell r="J84">
            <v>30</v>
          </cell>
          <cell r="K84">
            <v>30</v>
          </cell>
          <cell r="L84">
            <v>30</v>
          </cell>
        </row>
        <row r="85">
          <cell r="A85" t="str">
            <v xml:space="preserve">  Royalty Rate</v>
          </cell>
          <cell r="B85">
            <v>0.03</v>
          </cell>
          <cell r="C85">
            <v>0.03</v>
          </cell>
          <cell r="D85">
            <v>0.03</v>
          </cell>
          <cell r="E85">
            <v>0.03</v>
          </cell>
          <cell r="F85">
            <v>0.03</v>
          </cell>
          <cell r="G85">
            <v>0.03</v>
          </cell>
          <cell r="H85">
            <v>0.03</v>
          </cell>
          <cell r="I85">
            <v>0.03</v>
          </cell>
          <cell r="J85">
            <v>0.03</v>
          </cell>
          <cell r="K85">
            <v>0.03</v>
          </cell>
          <cell r="L85">
            <v>0.03</v>
          </cell>
        </row>
        <row r="86">
          <cell r="A86" t="str">
            <v xml:space="preserve">    Total Royalties</v>
          </cell>
          <cell r="B86">
            <v>0</v>
          </cell>
          <cell r="C86">
            <v>0</v>
          </cell>
          <cell r="D86">
            <v>0</v>
          </cell>
          <cell r="E86">
            <v>0.15</v>
          </cell>
          <cell r="F86">
            <v>0.3</v>
          </cell>
          <cell r="G86">
            <v>0.44999999999999996</v>
          </cell>
          <cell r="H86">
            <v>0.6</v>
          </cell>
          <cell r="I86">
            <v>0.75</v>
          </cell>
          <cell r="J86">
            <v>0.89999999999999991</v>
          </cell>
          <cell r="K86">
            <v>0.89999999999999991</v>
          </cell>
          <cell r="L86">
            <v>0.89999999999999991</v>
          </cell>
        </row>
        <row r="88">
          <cell r="A88" t="str">
            <v>Cardura XL - Pfizer</v>
          </cell>
        </row>
        <row r="89">
          <cell r="A89" t="str">
            <v xml:space="preserve">  Client's Alza Product Sales</v>
          </cell>
          <cell r="B89">
            <v>0</v>
          </cell>
          <cell r="C89">
            <v>0</v>
          </cell>
          <cell r="D89">
            <v>0</v>
          </cell>
          <cell r="E89">
            <v>3</v>
          </cell>
          <cell r="F89">
            <v>6</v>
          </cell>
          <cell r="G89">
            <v>8</v>
          </cell>
          <cell r="H89">
            <v>8.8000000000000007</v>
          </cell>
          <cell r="I89">
            <v>9.6800000000000015</v>
          </cell>
          <cell r="J89">
            <v>10.648000000000003</v>
          </cell>
          <cell r="K89">
            <v>11.712800000000005</v>
          </cell>
          <cell r="L89">
            <v>12.884080000000006</v>
          </cell>
        </row>
        <row r="90">
          <cell r="A90" t="str">
            <v xml:space="preserve">  Royalty Rate</v>
          </cell>
          <cell r="B90">
            <v>0.09</v>
          </cell>
          <cell r="C90">
            <v>0.09</v>
          </cell>
          <cell r="D90">
            <v>0.09</v>
          </cell>
          <cell r="E90">
            <v>0.09</v>
          </cell>
          <cell r="F90">
            <v>0.09</v>
          </cell>
          <cell r="G90">
            <v>0.09</v>
          </cell>
          <cell r="H90">
            <v>0.09</v>
          </cell>
          <cell r="I90">
            <v>0.09</v>
          </cell>
          <cell r="J90">
            <v>0.09</v>
          </cell>
          <cell r="K90">
            <v>0.09</v>
          </cell>
          <cell r="L90">
            <v>0.09</v>
          </cell>
        </row>
        <row r="91">
          <cell r="A91" t="str">
            <v xml:space="preserve">    Total Royalties</v>
          </cell>
          <cell r="B91">
            <v>0</v>
          </cell>
          <cell r="C91">
            <v>0</v>
          </cell>
          <cell r="D91">
            <v>0</v>
          </cell>
          <cell r="E91">
            <v>0.27</v>
          </cell>
          <cell r="F91">
            <v>0.54</v>
          </cell>
          <cell r="G91">
            <v>0.72</v>
          </cell>
          <cell r="H91">
            <v>0.79200000000000004</v>
          </cell>
          <cell r="I91">
            <v>0.87120000000000009</v>
          </cell>
          <cell r="J91">
            <v>0.95832000000000028</v>
          </cell>
          <cell r="K91">
            <v>1.0541520000000004</v>
          </cell>
          <cell r="L91">
            <v>1.1595672000000006</v>
          </cell>
        </row>
        <row r="93">
          <cell r="A93" t="str">
            <v>Volmax (albuterol) - Glaxo</v>
          </cell>
        </row>
        <row r="94">
          <cell r="A94" t="str">
            <v xml:space="preserve">  Client's Alza Product Sales</v>
          </cell>
          <cell r="B94">
            <v>40</v>
          </cell>
          <cell r="C94">
            <v>40</v>
          </cell>
          <cell r="D94">
            <v>45</v>
          </cell>
          <cell r="E94">
            <v>50</v>
          </cell>
          <cell r="F94">
            <v>52</v>
          </cell>
          <cell r="G94">
            <v>54</v>
          </cell>
          <cell r="H94">
            <v>54</v>
          </cell>
          <cell r="I94">
            <v>54</v>
          </cell>
          <cell r="J94">
            <v>54</v>
          </cell>
          <cell r="K94">
            <v>54</v>
          </cell>
          <cell r="L94">
            <v>54</v>
          </cell>
        </row>
        <row r="95">
          <cell r="A95" t="str">
            <v xml:space="preserve">  Royalty Rate</v>
          </cell>
          <cell r="B95">
            <v>7.0000000000000007E-2</v>
          </cell>
          <cell r="C95">
            <v>7.0000000000000007E-2</v>
          </cell>
          <cell r="D95">
            <v>7.0000000000000007E-2</v>
          </cell>
          <cell r="E95">
            <v>7.0000000000000007E-2</v>
          </cell>
          <cell r="F95">
            <v>7.0000000000000007E-2</v>
          </cell>
          <cell r="G95">
            <v>7.0000000000000007E-2</v>
          </cell>
          <cell r="H95">
            <v>7.0000000000000007E-2</v>
          </cell>
          <cell r="I95">
            <v>7.0000000000000007E-2</v>
          </cell>
          <cell r="J95">
            <v>7.0000000000000007E-2</v>
          </cell>
          <cell r="K95">
            <v>7.0000000000000007E-2</v>
          </cell>
          <cell r="L95">
            <v>7.0000000000000007E-2</v>
          </cell>
        </row>
        <row r="96">
          <cell r="A96" t="str">
            <v xml:space="preserve">    Total Royalties</v>
          </cell>
          <cell r="B96">
            <v>2.8000000000000003</v>
          </cell>
          <cell r="C96">
            <v>2.8000000000000003</v>
          </cell>
          <cell r="D96">
            <v>3.1500000000000004</v>
          </cell>
          <cell r="E96">
            <v>3.5000000000000004</v>
          </cell>
          <cell r="F96">
            <v>3.6400000000000006</v>
          </cell>
          <cell r="G96">
            <v>3.7800000000000002</v>
          </cell>
          <cell r="H96">
            <v>3.7800000000000002</v>
          </cell>
          <cell r="I96">
            <v>3.7800000000000002</v>
          </cell>
          <cell r="J96">
            <v>3.7800000000000002</v>
          </cell>
          <cell r="K96">
            <v>3.7800000000000002</v>
          </cell>
          <cell r="L96">
            <v>3.7800000000000002</v>
          </cell>
        </row>
        <row r="98">
          <cell r="A98" t="str">
            <v>OROS hydromorphone - Knoll (BASF)</v>
          </cell>
        </row>
        <row r="99">
          <cell r="A99" t="str">
            <v xml:space="preserve">  Client's Product Sales (U.S. Dilaudid)</v>
          </cell>
          <cell r="B99">
            <v>0</v>
          </cell>
          <cell r="C99">
            <v>0</v>
          </cell>
          <cell r="D99">
            <v>17</v>
          </cell>
          <cell r="E99">
            <v>19</v>
          </cell>
          <cell r="F99">
            <v>15</v>
          </cell>
          <cell r="G99">
            <v>15</v>
          </cell>
          <cell r="H99">
            <v>5</v>
          </cell>
          <cell r="I99">
            <v>4</v>
          </cell>
          <cell r="J99">
            <v>3</v>
          </cell>
          <cell r="K99">
            <v>2</v>
          </cell>
          <cell r="L99">
            <v>1</v>
          </cell>
        </row>
        <row r="100">
          <cell r="A100" t="str">
            <v xml:space="preserve">  Penetration Rate</v>
          </cell>
          <cell r="B100" t="str">
            <v>NM</v>
          </cell>
          <cell r="C100" t="str">
            <v>NM</v>
          </cell>
          <cell r="D100" t="str">
            <v>NM</v>
          </cell>
          <cell r="E100" t="str">
            <v>NM</v>
          </cell>
          <cell r="F100" t="str">
            <v>NM</v>
          </cell>
          <cell r="G100" t="str">
            <v>NM</v>
          </cell>
          <cell r="H100" t="str">
            <v>NM</v>
          </cell>
          <cell r="I100" t="str">
            <v>NM</v>
          </cell>
          <cell r="J100" t="str">
            <v>NM</v>
          </cell>
          <cell r="K100" t="str">
            <v>NM</v>
          </cell>
          <cell r="L100" t="str">
            <v>NM</v>
          </cell>
        </row>
        <row r="101">
          <cell r="A101" t="str">
            <v xml:space="preserve">  Client's Alza Product Sales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18</v>
          </cell>
          <cell r="I101">
            <v>35</v>
          </cell>
          <cell r="J101">
            <v>50</v>
          </cell>
          <cell r="K101">
            <v>65</v>
          </cell>
          <cell r="L101">
            <v>80</v>
          </cell>
        </row>
        <row r="102">
          <cell r="A102" t="str">
            <v xml:space="preserve">  Royalty Rate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0.2</v>
          </cell>
          <cell r="I102">
            <v>0.2</v>
          </cell>
          <cell r="J102">
            <v>0.2</v>
          </cell>
          <cell r="K102">
            <v>0.2</v>
          </cell>
          <cell r="L102">
            <v>0.2</v>
          </cell>
        </row>
        <row r="103">
          <cell r="A103" t="str">
            <v xml:space="preserve">    Total Royalties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3.6</v>
          </cell>
          <cell r="I103">
            <v>7</v>
          </cell>
          <cell r="J103">
            <v>10</v>
          </cell>
          <cell r="K103">
            <v>13</v>
          </cell>
          <cell r="L103">
            <v>16</v>
          </cell>
        </row>
        <row r="105">
          <cell r="A105" t="str">
            <v>Ethyol - U.S. Bioscience</v>
          </cell>
        </row>
        <row r="106">
          <cell r="A106" t="str">
            <v xml:space="preserve">  Client's Alza Product Sales</v>
          </cell>
          <cell r="B106">
            <v>0</v>
          </cell>
          <cell r="C106">
            <v>9.35</v>
          </cell>
          <cell r="D106">
            <v>20.64</v>
          </cell>
          <cell r="E106">
            <v>32.599999999999994</v>
          </cell>
          <cell r="F106">
            <v>48.3</v>
          </cell>
          <cell r="G106">
            <v>49.2</v>
          </cell>
          <cell r="H106">
            <v>54.120000000000005</v>
          </cell>
          <cell r="I106">
            <v>48.707999999999998</v>
          </cell>
          <cell r="J106">
            <v>56.014199999999995</v>
          </cell>
          <cell r="K106">
            <v>62.735903999999998</v>
          </cell>
          <cell r="L106">
            <v>69.009494400000008</v>
          </cell>
        </row>
        <row r="107">
          <cell r="A107" t="str">
            <v xml:space="preserve">  Royalty Rate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0.3</v>
          </cell>
          <cell r="J107">
            <v>0.27500000000000002</v>
          </cell>
          <cell r="K107">
            <v>0.25</v>
          </cell>
          <cell r="L107">
            <v>0.25</v>
          </cell>
        </row>
        <row r="108">
          <cell r="A108" t="str">
            <v xml:space="preserve">    Total Royalties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14.612399999999999</v>
          </cell>
          <cell r="J108">
            <v>15.403905</v>
          </cell>
          <cell r="K108">
            <v>15.683975999999999</v>
          </cell>
          <cell r="L108">
            <v>17.252373600000002</v>
          </cell>
        </row>
        <row r="110">
          <cell r="A110" t="str">
            <v>Viadur - Bayer</v>
          </cell>
        </row>
        <row r="111">
          <cell r="A111" t="str">
            <v xml:space="preserve">  Client's Alza Product Sales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25</v>
          </cell>
          <cell r="I111">
            <v>50</v>
          </cell>
          <cell r="J111">
            <v>75</v>
          </cell>
          <cell r="K111">
            <v>93.8</v>
          </cell>
          <cell r="L111">
            <v>110.6</v>
          </cell>
        </row>
        <row r="112">
          <cell r="A112" t="str">
            <v xml:space="preserve">  Royalty Rate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0.11</v>
          </cell>
          <cell r="I112">
            <v>0.11</v>
          </cell>
          <cell r="J112">
            <v>0.11</v>
          </cell>
          <cell r="K112">
            <v>0.11</v>
          </cell>
          <cell r="L112">
            <v>0.11</v>
          </cell>
        </row>
        <row r="113">
          <cell r="A113" t="str">
            <v xml:space="preserve">    Total Royalties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2.75</v>
          </cell>
          <cell r="I113">
            <v>5.5</v>
          </cell>
          <cell r="J113">
            <v>8.25</v>
          </cell>
          <cell r="K113">
            <v>10.318</v>
          </cell>
          <cell r="L113">
            <v>12.165999999999999</v>
          </cell>
        </row>
        <row r="115">
          <cell r="A115" t="str">
            <v>Other (a)</v>
          </cell>
          <cell r="B115">
            <v>27.391999999999982</v>
          </cell>
          <cell r="C115">
            <v>30.960889999999978</v>
          </cell>
          <cell r="D115">
            <v>28.433999999999969</v>
          </cell>
          <cell r="E115">
            <v>51.484662500000013</v>
          </cell>
          <cell r="F115">
            <v>44.244511249999988</v>
          </cell>
          <cell r="G115">
            <v>118</v>
          </cell>
          <cell r="H115">
            <v>135</v>
          </cell>
          <cell r="I115">
            <v>145.80000000000001</v>
          </cell>
          <cell r="J115">
            <v>167.67</v>
          </cell>
          <cell r="K115">
            <v>192.82049999999998</v>
          </cell>
          <cell r="L115">
            <v>231.38459999999998</v>
          </cell>
        </row>
        <row r="116">
          <cell r="A116" t="str">
            <v>Nonrecurring/Crescendo</v>
          </cell>
          <cell r="B116">
            <v>7.4</v>
          </cell>
          <cell r="C116">
            <v>9.5</v>
          </cell>
          <cell r="D116">
            <v>4</v>
          </cell>
          <cell r="E116">
            <v>14.2</v>
          </cell>
          <cell r="F116">
            <v>7.2</v>
          </cell>
          <cell r="G116">
            <v>2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</row>
        <row r="118">
          <cell r="A118" t="str">
            <v>Total - Reported</v>
          </cell>
          <cell r="B118">
            <v>145.69999999999999</v>
          </cell>
          <cell r="C118">
            <v>180.8</v>
          </cell>
          <cell r="D118">
            <v>188.4</v>
          </cell>
          <cell r="E118">
            <v>233.1</v>
          </cell>
          <cell r="F118">
            <v>227.1</v>
          </cell>
          <cell r="G118">
            <v>282.27178918124997</v>
          </cell>
          <cell r="H118">
            <v>313.39161170174998</v>
          </cell>
          <cell r="I118">
            <v>355.62063268624695</v>
          </cell>
          <cell r="J118">
            <v>395.89894337545786</v>
          </cell>
          <cell r="K118">
            <v>437.78694837234121</v>
          </cell>
          <cell r="L118">
            <v>461.52606448515519</v>
          </cell>
        </row>
        <row r="120">
          <cell r="A120" t="str">
            <v>Notes:</v>
          </cell>
        </row>
        <row r="121">
          <cell r="A121" t="str">
            <v xml:space="preserve">(a) Other includes milestone payments and royalties on Muro, Baxter Infusor, and ENACT AirWatch as well as Hexalen and </v>
          </cell>
        </row>
        <row r="122">
          <cell r="A122" t="str">
            <v xml:space="preserve">NeuTrexin, until the two products were sent back to U.S. Bioscience in mid-1999. </v>
          </cell>
        </row>
        <row r="124">
          <cell r="A124" t="str">
            <v xml:space="preserve">E = Morgan Stanley Dean Witter Research Estimates 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"/>
      <sheetName val="Quarterly"/>
      <sheetName val="__FDSCACHE__"/>
      <sheetName val="Annual"/>
      <sheetName val="Angiomax-US"/>
      <sheetName val="Angiomax-Europe"/>
      <sheetName val="Balance Sheet"/>
      <sheetName val="Cash Flow"/>
      <sheetName val="Calc"/>
      <sheetName val="Milestones"/>
      <sheetName val="Pipeline"/>
      <sheetName val="Valuation"/>
      <sheetName val="Sheet1"/>
      <sheetName val="NY UPLOAD shadow"/>
    </sheetNames>
    <sheetDataSet>
      <sheetData sheetId="0"/>
      <sheetData sheetId="1"/>
      <sheetData sheetId="2"/>
      <sheetData sheetId="3" refreshError="1">
        <row r="27">
          <cell r="F27">
            <v>-1.211421003900645</v>
          </cell>
          <cell r="H27">
            <v>-0.12541776215182754</v>
          </cell>
          <cell r="J27">
            <v>0.97941985249809671</v>
          </cell>
        </row>
        <row r="28">
          <cell r="D28">
            <v>-1.6673097078972552</v>
          </cell>
          <cell r="L28">
            <v>1.742116905925265</v>
          </cell>
        </row>
      </sheetData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v2"/>
      <sheetName val="UPDATE"/>
    </sheetNames>
    <definedNames>
      <definedName name="cmdOK2_click"/>
    </definedNames>
    <sheetDataSet>
      <sheetData sheetId="0" refreshError="1"/>
      <sheetData sheetId="1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 Convert"/>
      <sheetName val="ImportantDisclosures"/>
      <sheetName val="summary"/>
      <sheetName val="COVER SHEET"/>
      <sheetName val="consensus"/>
      <sheetName val="IS-ANNUAL"/>
      <sheetName val="IS-QTRLY"/>
      <sheetName val="REV-ANNUAL"/>
      <sheetName val="REV-QTRLY"/>
      <sheetName val="CFBS"/>
      <sheetName val="DCF"/>
      <sheetName val="MGMT PROJECTIONS"/>
      <sheetName val="PIV CHALLENGES"/>
      <sheetName val="FOOTNOTES"/>
      <sheetName val="AGREEMENTS"/>
      <sheetName val="PIPELINE"/>
      <sheetName val="CNS FRANCHISE"/>
      <sheetName val="patents"/>
      <sheetName val="launches"/>
      <sheetName val="PIPELINE_UNADJ"/>
      <sheetName val="DEBT"/>
      <sheetName val="Var-YOY"/>
      <sheetName val="Var-Seq"/>
      <sheetName val="calendar"/>
      <sheetName val="patent expirations"/>
      <sheetName val="SOTP"/>
      <sheetName val="revenue snapshot"/>
      <sheetName val="Gaap Adj"/>
      <sheetName val="rev contribution analysis"/>
      <sheetName val="rev change analysis"/>
      <sheetName val="MW-Cache"/>
      <sheetName val="mwareDates"/>
      <sheetName val="MWA RR"/>
      <sheetName val="mwareSettings"/>
      <sheetName val="__FDSCACHE__"/>
      <sheetName val="IndexInformation"/>
    </sheetNames>
    <sheetDataSet>
      <sheetData sheetId="0"/>
      <sheetData sheetId="1"/>
      <sheetData sheetId="2">
        <row r="7">
          <cell r="J7" t="str">
            <v>Cephalon Inc.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s"/>
      <sheetName val="P&amp;L"/>
      <sheetName val="P&amp;L 2-12-00"/>
      <sheetName val="Glance"/>
      <sheetName val="P&amp;L 4Q99E"/>
      <sheetName val="P&amp;L 3Q99E"/>
      <sheetName val="P&amp;L 9-10-99"/>
      <sheetName val="P&amp;L 2Q99E"/>
      <sheetName val="P&amp;L 1Q99E"/>
      <sheetName val="Qrtrly Var."/>
      <sheetName val="Valuation"/>
      <sheetName val="MS_Model"/>
      <sheetName val="Tables"/>
      <sheetName val="Market"/>
      <sheetName val="IMS"/>
      <sheetName val="Compare"/>
      <sheetName val="Patents"/>
      <sheetName val="IS-Comps"/>
      <sheetName val="Sheet16"/>
      <sheetName val="Disclaimer"/>
      <sheetName val="P&amp;L 2Q98E"/>
      <sheetName val="P&amp;L 6-18-98"/>
      <sheetName val="P&amp;L 1Q98E"/>
      <sheetName val="P&amp;L 4Q97"/>
      <sheetName val="P&amp;L 1-6-98"/>
      <sheetName val="P&amp;L 10-8-97"/>
      <sheetName val="P&amp;L 9-9-97"/>
      <sheetName val="P&amp;L 2Q97E"/>
      <sheetName val="Sheet14"/>
      <sheetName val="Sheet15"/>
      <sheetName val="IndexInformation"/>
      <sheetName val="MainCode"/>
      <sheetName val="P&amp;L 9-2-98"/>
      <sheetName val="P&amp;L 9-10-98"/>
      <sheetName val="P&amp;L 9-21-98"/>
      <sheetName val="P&amp;L 9-11-98"/>
      <sheetName val="Pipeline"/>
      <sheetName val="P&amp;L 1Q00E"/>
      <sheetName val="P&amp;L 2Q00E"/>
      <sheetName val="BGEN"/>
      <sheetName val="P&amp;L3Q00E"/>
      <sheetName val="P&amp;L8-17-00E"/>
      <sheetName val="NY UPLOAD"/>
      <sheetName val="mStartup"/>
      <sheetName val="NY UPLOAD Shadow"/>
      <sheetName val="RED P&amp;L"/>
      <sheetName val="P&amp;L1Q01E"/>
      <sheetName val="P&amp;L3-27-01E"/>
      <sheetName val="P&amp;L4Q00E"/>
      <sheetName val="guidance"/>
      <sheetName val="P&amp;L RED"/>
      <sheetName val="Annu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1">
          <cell r="A1" t="str">
            <v>Psoriasis: Amevive Potential Competitors</v>
          </cell>
        </row>
        <row r="3">
          <cell r="A3" t="str">
            <v>Company</v>
          </cell>
          <cell r="B3" t="str">
            <v>Product</v>
          </cell>
          <cell r="C3" t="str">
            <v>Description</v>
          </cell>
          <cell r="D3" t="str">
            <v>Stage</v>
          </cell>
        </row>
        <row r="4">
          <cell r="A4" t="str">
            <v>Vertex</v>
          </cell>
          <cell r="B4" t="str">
            <v>VX-497</v>
          </cell>
          <cell r="C4" t="str">
            <v>IMDPH inhibitor</v>
          </cell>
          <cell r="D4" t="str">
            <v>Phase II</v>
          </cell>
        </row>
        <row r="5">
          <cell r="A5" t="str">
            <v>Johnson &amp; Johnson</v>
          </cell>
          <cell r="B5" t="str">
            <v>Prograf</v>
          </cell>
          <cell r="C5" t="str">
            <v>IL-2 antagonist</v>
          </cell>
          <cell r="D5" t="str">
            <v>Phase II</v>
          </cell>
        </row>
        <row r="6">
          <cell r="A6" t="str">
            <v>Bristol Meyers</v>
          </cell>
          <cell r="B6" t="str">
            <v>BMS-188667</v>
          </cell>
          <cell r="C6" t="str">
            <v>monoclonal antibody; CD28 antagonist</v>
          </cell>
          <cell r="D6" t="str">
            <v>Phase II</v>
          </cell>
        </row>
        <row r="7">
          <cell r="A7" t="str">
            <v>Xoma/Genentech</v>
          </cell>
          <cell r="B7" t="str">
            <v>hu1124</v>
          </cell>
          <cell r="C7" t="str">
            <v>humanized monoclonal antibody; CD11a antagonist</v>
          </cell>
          <cell r="D7" t="str">
            <v>Phase II</v>
          </cell>
        </row>
        <row r="8">
          <cell r="A8" t="str">
            <v>Ligand</v>
          </cell>
          <cell r="B8" t="str">
            <v>Ontak</v>
          </cell>
          <cell r="C8" t="str">
            <v>IL-2 fusion protein; IL-2 antagonist</v>
          </cell>
          <cell r="D8" t="str">
            <v>Phase II</v>
          </cell>
        </row>
        <row r="9">
          <cell r="A9" t="str">
            <v>Abgenix</v>
          </cell>
          <cell r="B9" t="str">
            <v>ABX-IL8</v>
          </cell>
          <cell r="C9" t="str">
            <v>human antibody; interleukin-8 antagonist</v>
          </cell>
          <cell r="D9" t="str">
            <v>Phase I/II</v>
          </cell>
        </row>
        <row r="10">
          <cell r="A10" t="str">
            <v>ICOS</v>
          </cell>
          <cell r="B10" t="str">
            <v>ICM3</v>
          </cell>
          <cell r="C10" t="str">
            <v>humanized monoclonal antibody; integrin (LFA-1, Alpha-D) antagonist</v>
          </cell>
          <cell r="D10" t="str">
            <v>Phase I/II</v>
          </cell>
        </row>
        <row r="11">
          <cell r="A11" t="str">
            <v>Protein Design Labs</v>
          </cell>
          <cell r="B11" t="str">
            <v>Zenapax</v>
          </cell>
          <cell r="C11" t="str">
            <v>humanized monoclonal antibody; IL-2 antagonist</v>
          </cell>
          <cell r="D11" t="str">
            <v>Phase I/II</v>
          </cell>
        </row>
        <row r="12">
          <cell r="A12" t="str">
            <v>MedImmune</v>
          </cell>
          <cell r="B12" t="str">
            <v>MEDI-507</v>
          </cell>
          <cell r="C12" t="str">
            <v>humanized monoclonal antibody; CD2 agonist</v>
          </cell>
          <cell r="D12" t="str">
            <v>Phase I</v>
          </cell>
        </row>
        <row r="13">
          <cell r="A13" t="str">
            <v>IDEC Pharmaceuticals</v>
          </cell>
          <cell r="B13" t="str">
            <v>anti-B7 antibody</v>
          </cell>
          <cell r="C13" t="str">
            <v>PRIMATIZED monoclonal antibody; B7 agonist</v>
          </cell>
          <cell r="D13" t="str">
            <v>Preclinical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Menu"/>
      <sheetName val="Print Menu"/>
      <sheetName val="Input"/>
      <sheetName val="Coverage Univers (NEW RATINGS)"/>
      <sheetName val="Life Science Tools Valuation"/>
      <sheetName val="Spec. Distr Valuation"/>
      <sheetName val="Disclosure (w. ACDO)"/>
      <sheetName val="ROC"/>
      <sheetName val="Coverage Univers (w acdo)"/>
      <sheetName val="Reagents &amp; Tools"/>
      <sheetName val="Reagents"/>
      <sheetName val="Reagents (2)"/>
      <sheetName val="Tools"/>
      <sheetName val="STREET vs. Our estimates"/>
      <sheetName val="Distr "/>
      <sheetName val="Summary (3)"/>
      <sheetName val="Showcase"/>
      <sheetName val="Summary"/>
      <sheetName val="Summary2"/>
      <sheetName val="Summary (2)"/>
      <sheetName val="Coverage Univers"/>
      <sheetName val="Summary2 (2)"/>
      <sheetName val="NonProfitable_Sum"/>
      <sheetName val="NonProfitable_Sum2"/>
      <sheetName val="Profile - Profitable"/>
      <sheetName val="Profile - Profitable 2"/>
      <sheetName val="Profile - NonProfitable"/>
      <sheetName val="Profile - NonProfitable 2"/>
      <sheetName val="Val Input"/>
      <sheetName val="Price Matx"/>
      <sheetName val="Public Val1"/>
      <sheetName val="Public Val Calc"/>
      <sheetName val="Public Val2"/>
      <sheetName val="Public Grph1"/>
      <sheetName val="Public Grph2"/>
      <sheetName val="MA Val1"/>
      <sheetName val="MA Val Calc"/>
      <sheetName val="MA Val2"/>
      <sheetName val="MA Grph1"/>
      <sheetName val="MA Grph2"/>
      <sheetName val="Estm"/>
      <sheetName val="__FDSCACHE__"/>
      <sheetName val="Rev_Estm"/>
      <sheetName val="Rank Menu"/>
      <sheetName val="Macros"/>
      <sheetName val="Macro-Print"/>
      <sheetName val="Macro-Rank"/>
      <sheetName val="Rank1"/>
      <sheetName val="Rank2"/>
      <sheetName val="Rank3"/>
      <sheetName val="Rank4"/>
      <sheetName val="Rank Work"/>
      <sheetName val="Graph_Ranker_Main"/>
      <sheetName val="Graphs_1,2"/>
      <sheetName val="CheckWork"/>
    </sheetNames>
    <sheetDataSet>
      <sheetData sheetId="0" refreshError="1"/>
      <sheetData sheetId="1" refreshError="1"/>
      <sheetData sheetId="2" refreshError="1">
        <row r="6">
          <cell r="H6" t="str">
            <v>IVGN</v>
          </cell>
          <cell r="I6" t="str">
            <v>QGENF</v>
          </cell>
          <cell r="J6" t="str">
            <v>TECH</v>
          </cell>
          <cell r="K6" t="str">
            <v>BIO</v>
          </cell>
          <cell r="L6" t="str">
            <v>AFFX</v>
          </cell>
          <cell r="M6" t="str">
            <v>ABI</v>
          </cell>
          <cell r="N6" t="str">
            <v>MTD</v>
          </cell>
          <cell r="O6" t="str">
            <v>MDCC</v>
          </cell>
          <cell r="P6" t="str">
            <v>PKI</v>
          </cell>
          <cell r="Q6" t="str">
            <v>TMO</v>
          </cell>
          <cell r="R6" t="str">
            <v>VARI</v>
          </cell>
          <cell r="S6" t="str">
            <v>WAT</v>
          </cell>
          <cell r="U6" t="str">
            <v>VMSI</v>
          </cell>
          <cell r="V6" t="str">
            <v>ACDO</v>
          </cell>
          <cell r="W6" t="str">
            <v>IVGN</v>
          </cell>
          <cell r="X6" t="str">
            <v>MIL</v>
          </cell>
          <cell r="Y6" t="str">
            <v>PHCC</v>
          </cell>
          <cell r="AB6" t="str">
            <v>ABC</v>
          </cell>
          <cell r="AC6" t="str">
            <v>OMI</v>
          </cell>
          <cell r="AD6" t="str">
            <v>LOOKUP</v>
          </cell>
          <cell r="AE6" t="str">
            <v>PSSI</v>
          </cell>
          <cell r="AF6" t="str">
            <v>HSIC</v>
          </cell>
          <cell r="AG6" t="str">
            <v>SCOR</v>
          </cell>
          <cell r="AK6" t="str">
            <v>FSH</v>
          </cell>
          <cell r="AL6" t="str">
            <v>MCK</v>
          </cell>
          <cell r="AM6" t="str">
            <v>SIAL</v>
          </cell>
          <cell r="AN6" t="str">
            <v>CHMD</v>
          </cell>
          <cell r="AO6" t="str">
            <v>LOOKUP</v>
          </cell>
          <cell r="AR6" t="str">
            <v>PDCO</v>
          </cell>
          <cell r="AV6" t="str">
            <v>CAH</v>
          </cell>
        </row>
        <row r="7">
          <cell r="H7" t="str">
            <v>IVGN</v>
          </cell>
          <cell r="I7" t="str">
            <v>QGENF</v>
          </cell>
          <cell r="J7" t="str">
            <v>TECH</v>
          </cell>
          <cell r="K7" t="str">
            <v>BIO</v>
          </cell>
          <cell r="L7" t="str">
            <v>AFFX</v>
          </cell>
          <cell r="M7" t="str">
            <v>ABI</v>
          </cell>
          <cell r="N7" t="str">
            <v>MTD</v>
          </cell>
          <cell r="O7" t="str">
            <v>MDCC</v>
          </cell>
          <cell r="P7" t="str">
            <v>PKI</v>
          </cell>
          <cell r="Q7" t="str">
            <v>TMO</v>
          </cell>
          <cell r="R7" t="str">
            <v>VARI</v>
          </cell>
          <cell r="S7" t="str">
            <v>WAT</v>
          </cell>
          <cell r="U7" t="str">
            <v>VMSI</v>
          </cell>
          <cell r="V7" t="str">
            <v>ACDO</v>
          </cell>
          <cell r="W7" t="str">
            <v>IVGN</v>
          </cell>
          <cell r="X7" t="str">
            <v>MIL</v>
          </cell>
          <cell r="Y7" t="str">
            <v>PHCC</v>
          </cell>
          <cell r="Z7" t="str">
            <v>BBC</v>
          </cell>
          <cell r="AA7" t="str">
            <v>AAS</v>
          </cell>
          <cell r="AB7" t="str">
            <v>ABC</v>
          </cell>
          <cell r="AC7" t="str">
            <v>OMI</v>
          </cell>
          <cell r="AD7" t="str">
            <v>TICKER</v>
          </cell>
          <cell r="AE7" t="str">
            <v>PSSI</v>
          </cell>
          <cell r="AF7" t="str">
            <v>HSIC</v>
          </cell>
          <cell r="AG7" t="str">
            <v>SCOR</v>
          </cell>
          <cell r="AH7" t="str">
            <v>ACDO</v>
          </cell>
          <cell r="AI7" t="str">
            <v>GTIV</v>
          </cell>
          <cell r="AK7" t="str">
            <v>FSH</v>
          </cell>
          <cell r="AL7" t="str">
            <v>MCK</v>
          </cell>
          <cell r="AM7" t="str">
            <v>SIAL</v>
          </cell>
          <cell r="AN7" t="str">
            <v>CHMD</v>
          </cell>
          <cell r="AO7" t="str">
            <v>TICKER</v>
          </cell>
          <cell r="AP7" t="str">
            <v>PDCO</v>
          </cell>
          <cell r="AR7" t="str">
            <v>PDCO</v>
          </cell>
          <cell r="AS7" t="str">
            <v>SCOR</v>
          </cell>
          <cell r="AT7" t="str">
            <v>BLPG</v>
          </cell>
          <cell r="AU7" t="str">
            <v>CAH</v>
          </cell>
          <cell r="AV7" t="str">
            <v>CAH</v>
          </cell>
        </row>
        <row r="8">
          <cell r="H8" t="str">
            <v>Invitrogen</v>
          </cell>
          <cell r="I8" t="str">
            <v>QIAGEN NV</v>
          </cell>
          <cell r="J8" t="str">
            <v>TECHNE</v>
          </cell>
          <cell r="K8" t="str">
            <v>Bio-Rad Laboratories</v>
          </cell>
          <cell r="L8" t="str">
            <v>Affymetrix</v>
          </cell>
          <cell r="M8" t="str">
            <v>Applied Biosystems*</v>
          </cell>
          <cell r="N8" t="str">
            <v>Mettler Toledo*</v>
          </cell>
          <cell r="O8" t="str">
            <v>Molecular Devices*</v>
          </cell>
          <cell r="P8" t="str">
            <v>PerkinElmer</v>
          </cell>
          <cell r="Q8" t="str">
            <v>Thermo Electron</v>
          </cell>
          <cell r="R8" t="str">
            <v>Varian</v>
          </cell>
          <cell r="S8" t="str">
            <v>Waters*</v>
          </cell>
          <cell r="U8" t="str">
            <v>Ventana Medical Systems, Inc.</v>
          </cell>
          <cell r="V8" t="str">
            <v>Accredo Health, Inc.*</v>
          </cell>
          <cell r="W8" t="str">
            <v>Invitrogen Corporation</v>
          </cell>
          <cell r="X8" t="str">
            <v>Millipore Corporation</v>
          </cell>
          <cell r="Y8" t="str">
            <v>Priority Healthcare Corporation</v>
          </cell>
          <cell r="Z8" t="str">
            <v>Bergen Brunswig Corporation</v>
          </cell>
          <cell r="AA8" t="str">
            <v>AmeriSource Health Corporation</v>
          </cell>
          <cell r="AB8" t="str">
            <v>AmerisourceBergen Corporation</v>
          </cell>
          <cell r="AC8" t="str">
            <v>Owens &amp; Minor, Inc.</v>
          </cell>
          <cell r="AD8" t="str">
            <v>Full Name, Inc.</v>
          </cell>
          <cell r="AE8" t="str">
            <v>PSS World Medical, Inc.</v>
          </cell>
          <cell r="AF8" t="str">
            <v>Henry Schein, Inc.</v>
          </cell>
          <cell r="AG8" t="str">
            <v>Syncor International Corporation</v>
          </cell>
          <cell r="AH8" t="str">
            <v>Accredo Health, Incorporated</v>
          </cell>
          <cell r="AI8" t="str">
            <v>Gentiva Health Services, Inc.</v>
          </cell>
          <cell r="AK8" t="str">
            <v>Fisher Scientific International Inc.*</v>
          </cell>
          <cell r="AL8" t="str">
            <v>McKesson Corporation</v>
          </cell>
          <cell r="AM8" t="str">
            <v>Sigma-Aldrich Corp.</v>
          </cell>
          <cell r="AN8" t="str">
            <v>Chronimed Inc.</v>
          </cell>
          <cell r="AO8" t="str">
            <v>Full Name, Inc.</v>
          </cell>
          <cell r="AP8" t="str">
            <v>Patterson Dental Company</v>
          </cell>
          <cell r="AQ8" t="str">
            <v>Webster</v>
          </cell>
          <cell r="AR8" t="str">
            <v>Patterson Dental Company</v>
          </cell>
          <cell r="AS8" t="str">
            <v>Syncor International Corporation</v>
          </cell>
          <cell r="AT8" t="str">
            <v>Boron, LePore &amp; Associates, Inc.</v>
          </cell>
          <cell r="AU8" t="str">
            <v>Cardinal Health, Inc.</v>
          </cell>
          <cell r="AV8" t="str">
            <v>Cardinal Health, Inc.</v>
          </cell>
        </row>
        <row r="9">
          <cell r="H9" t="str">
            <v>Invitrogen</v>
          </cell>
          <cell r="I9" t="str">
            <v>QIAGEN NV</v>
          </cell>
          <cell r="J9" t="str">
            <v>TECHNE</v>
          </cell>
          <cell r="K9" t="str">
            <v>Bio-Rad Laboratories</v>
          </cell>
          <cell r="L9" t="str">
            <v>Affymetrix</v>
          </cell>
          <cell r="M9" t="str">
            <v>Applied Biosystems*</v>
          </cell>
          <cell r="N9" t="str">
            <v>Mettler Toledo*</v>
          </cell>
          <cell r="O9" t="str">
            <v>Molecular Devices*</v>
          </cell>
          <cell r="P9" t="str">
            <v>PerkinElmer</v>
          </cell>
          <cell r="Q9" t="str">
            <v>Thermo Electron</v>
          </cell>
          <cell r="R9" t="str">
            <v>Varian</v>
          </cell>
          <cell r="S9" t="str">
            <v>Waters*</v>
          </cell>
          <cell r="T9" t="str">
            <v>Fisher Scientific*</v>
          </cell>
          <cell r="U9" t="str">
            <v>Ventana Medical Systems, Inc.</v>
          </cell>
          <cell r="V9" t="str">
            <v>Accredo Health*</v>
          </cell>
          <cell r="W9" t="str">
            <v>Invitrogen</v>
          </cell>
          <cell r="X9" t="str">
            <v>Millipore</v>
          </cell>
          <cell r="Y9" t="str">
            <v>Priority Healthcare</v>
          </cell>
          <cell r="Z9" t="str">
            <v>Bergen Brunswig</v>
          </cell>
          <cell r="AA9" t="str">
            <v>AmeriSource</v>
          </cell>
          <cell r="AB9" t="str">
            <v>AmerisourceBergen</v>
          </cell>
          <cell r="AC9" t="str">
            <v>Owens &amp; Minor</v>
          </cell>
          <cell r="AD9" t="str">
            <v>Short Name</v>
          </cell>
          <cell r="AE9" t="str">
            <v>PSS World Medical, Inc.</v>
          </cell>
          <cell r="AF9" t="str">
            <v>Henry Schein</v>
          </cell>
          <cell r="AG9" t="str">
            <v>Syncor</v>
          </cell>
          <cell r="AH9" t="str">
            <v>Accredo</v>
          </cell>
          <cell r="AI9" t="str">
            <v>Gentiva</v>
          </cell>
          <cell r="AJ9" t="str">
            <v>Accredo*</v>
          </cell>
          <cell r="AK9" t="str">
            <v>Fisher Scientific*</v>
          </cell>
          <cell r="AL9" t="str">
            <v>McKesson Corporation</v>
          </cell>
          <cell r="AM9" t="str">
            <v>Sigma-Aldrich</v>
          </cell>
          <cell r="AN9" t="str">
            <v>Chronimed</v>
          </cell>
          <cell r="AO9" t="str">
            <v>Short Name</v>
          </cell>
          <cell r="AP9" t="str">
            <v>Patterson Dental</v>
          </cell>
          <cell r="AQ9" t="str">
            <v>Short Name</v>
          </cell>
          <cell r="AR9" t="str">
            <v>Patterson Dental</v>
          </cell>
          <cell r="AS9" t="str">
            <v>Syncor</v>
          </cell>
          <cell r="AT9" t="str">
            <v>Boron, LePore</v>
          </cell>
          <cell r="AU9" t="str">
            <v>Cardinal Health</v>
          </cell>
          <cell r="AV9" t="str">
            <v>Cardinal Health</v>
          </cell>
          <cell r="AW9" t="str">
            <v>Short Name</v>
          </cell>
          <cell r="AX9" t="str">
            <v>Short Name</v>
          </cell>
          <cell r="AY9" t="str">
            <v>Short Name</v>
          </cell>
          <cell r="AZ9" t="str">
            <v>Short Name</v>
          </cell>
          <cell r="BA9" t="str">
            <v>Short Name</v>
          </cell>
          <cell r="BB9" t="str">
            <v>Short Name</v>
          </cell>
          <cell r="BC9" t="str">
            <v>Short Name</v>
          </cell>
          <cell r="BD9" t="str">
            <v>Short Name</v>
          </cell>
          <cell r="BE9" t="str">
            <v>Short Name</v>
          </cell>
        </row>
        <row r="10">
          <cell r="H10">
            <v>37256</v>
          </cell>
          <cell r="I10">
            <v>37256</v>
          </cell>
          <cell r="J10">
            <v>37072</v>
          </cell>
          <cell r="K10">
            <v>37256</v>
          </cell>
          <cell r="L10">
            <v>37256</v>
          </cell>
          <cell r="M10">
            <v>37256</v>
          </cell>
          <cell r="N10">
            <v>37256</v>
          </cell>
          <cell r="O10">
            <v>37256</v>
          </cell>
          <cell r="P10">
            <v>37256</v>
          </cell>
          <cell r="Q10">
            <v>37256</v>
          </cell>
          <cell r="R10">
            <v>37256</v>
          </cell>
          <cell r="S10">
            <v>37256</v>
          </cell>
          <cell r="T10">
            <v>37256</v>
          </cell>
          <cell r="U10">
            <v>37256</v>
          </cell>
          <cell r="V10" t="str">
            <v>6/31/01</v>
          </cell>
          <cell r="W10">
            <v>37256</v>
          </cell>
          <cell r="X10">
            <v>36891</v>
          </cell>
          <cell r="Y10">
            <v>37254</v>
          </cell>
          <cell r="Z10">
            <v>36799</v>
          </cell>
          <cell r="AA10">
            <v>36799</v>
          </cell>
          <cell r="AB10">
            <v>37164</v>
          </cell>
          <cell r="AC10">
            <v>37256</v>
          </cell>
          <cell r="AD10">
            <v>36891</v>
          </cell>
          <cell r="AE10">
            <v>36980</v>
          </cell>
          <cell r="AF10">
            <v>37254</v>
          </cell>
          <cell r="AG10">
            <v>37256</v>
          </cell>
          <cell r="AH10">
            <v>36678</v>
          </cell>
          <cell r="AI10">
            <v>37256</v>
          </cell>
          <cell r="AJ10">
            <v>37072</v>
          </cell>
          <cell r="AK10">
            <v>37256</v>
          </cell>
          <cell r="AL10">
            <v>36981</v>
          </cell>
          <cell r="AM10">
            <v>37256</v>
          </cell>
          <cell r="AN10">
            <v>37071</v>
          </cell>
          <cell r="AO10">
            <v>36891</v>
          </cell>
          <cell r="AP10">
            <v>37009</v>
          </cell>
          <cell r="AQ10">
            <v>37009</v>
          </cell>
          <cell r="AR10">
            <v>37009</v>
          </cell>
          <cell r="AS10">
            <v>37256</v>
          </cell>
          <cell r="AT10">
            <v>37256</v>
          </cell>
          <cell r="AU10">
            <v>37072</v>
          </cell>
          <cell r="AV10">
            <v>37072</v>
          </cell>
          <cell r="AW10">
            <v>36891</v>
          </cell>
          <cell r="AX10">
            <v>36891</v>
          </cell>
          <cell r="AY10">
            <v>36891</v>
          </cell>
          <cell r="AZ10">
            <v>36891</v>
          </cell>
          <cell r="BA10">
            <v>36891</v>
          </cell>
          <cell r="BB10">
            <v>36891</v>
          </cell>
          <cell r="BC10">
            <v>36891</v>
          </cell>
          <cell r="BD10">
            <v>36891</v>
          </cell>
          <cell r="BE10">
            <v>36891</v>
          </cell>
        </row>
        <row r="11">
          <cell r="H11" t="str">
            <v>PAYTON</v>
          </cell>
          <cell r="I11" t="str">
            <v>PAYTON</v>
          </cell>
          <cell r="J11" t="str">
            <v>PAYTON</v>
          </cell>
          <cell r="K11" t="str">
            <v>PAYTON</v>
          </cell>
          <cell r="L11" t="str">
            <v>PAYTON</v>
          </cell>
          <cell r="M11" t="str">
            <v>PAYTON</v>
          </cell>
          <cell r="N11" t="str">
            <v>PAYTON</v>
          </cell>
          <cell r="O11" t="str">
            <v>PAYTON</v>
          </cell>
          <cell r="P11" t="str">
            <v>PAYTON</v>
          </cell>
          <cell r="Q11" t="str">
            <v>PAYTON</v>
          </cell>
          <cell r="R11" t="str">
            <v>PAYTON</v>
          </cell>
          <cell r="S11" t="str">
            <v>PAYTON</v>
          </cell>
          <cell r="T11" t="str">
            <v>PAYTON</v>
          </cell>
          <cell r="U11" t="str">
            <v>Trap</v>
          </cell>
          <cell r="V11" t="str">
            <v>PAYTON</v>
          </cell>
          <cell r="W11" t="str">
            <v>Kaitlin</v>
          </cell>
          <cell r="X11" t="str">
            <v>Stanwick</v>
          </cell>
          <cell r="Y11" t="str">
            <v>Michael Min</v>
          </cell>
          <cell r="AB11" t="str">
            <v>Francesca</v>
          </cell>
          <cell r="AC11" t="str">
            <v>Francesca</v>
          </cell>
          <cell r="AD11" t="str">
            <v>Name</v>
          </cell>
          <cell r="AE11" t="str">
            <v>Michael Min</v>
          </cell>
          <cell r="AF11" t="str">
            <v>Dun</v>
          </cell>
          <cell r="AG11" t="str">
            <v>Michael Min</v>
          </cell>
          <cell r="AH11" t="str">
            <v>Francesca</v>
          </cell>
          <cell r="AJ11" t="str">
            <v>Francesca</v>
          </cell>
          <cell r="AK11" t="str">
            <v>Payton</v>
          </cell>
          <cell r="AL11" t="str">
            <v>Dun</v>
          </cell>
          <cell r="AM11" t="str">
            <v>Wilson</v>
          </cell>
          <cell r="AN11" t="str">
            <v>Payton</v>
          </cell>
          <cell r="AO11" t="str">
            <v>Name</v>
          </cell>
          <cell r="AP11" t="str">
            <v>PAYTON</v>
          </cell>
          <cell r="AQ11" t="str">
            <v>PAYTON</v>
          </cell>
          <cell r="AR11" t="str">
            <v>Michael Min</v>
          </cell>
          <cell r="AS11" t="str">
            <v>Francesca</v>
          </cell>
          <cell r="AT11" t="str">
            <v>Francesca</v>
          </cell>
          <cell r="AU11" t="str">
            <v>Francesca</v>
          </cell>
          <cell r="AV11" t="str">
            <v>Francesca</v>
          </cell>
          <cell r="AW11" t="str">
            <v>Name</v>
          </cell>
          <cell r="AX11" t="str">
            <v>Name</v>
          </cell>
          <cell r="AY11" t="str">
            <v>Name</v>
          </cell>
          <cell r="AZ11" t="str">
            <v>Name</v>
          </cell>
          <cell r="BA11" t="str">
            <v>Name</v>
          </cell>
          <cell r="BB11" t="str">
            <v>Name</v>
          </cell>
          <cell r="BC11" t="str">
            <v>Name</v>
          </cell>
          <cell r="BD11" t="str">
            <v>Name</v>
          </cell>
          <cell r="BE11" t="str">
            <v>Name</v>
          </cell>
        </row>
        <row r="12">
          <cell r="H12" t="str">
            <v>Y</v>
          </cell>
          <cell r="I12" t="str">
            <v>Y</v>
          </cell>
          <cell r="J12" t="str">
            <v>Y</v>
          </cell>
          <cell r="K12" t="str">
            <v>Y</v>
          </cell>
          <cell r="L12" t="str">
            <v>Y</v>
          </cell>
          <cell r="M12" t="str">
            <v>Y</v>
          </cell>
          <cell r="N12" t="str">
            <v>Y</v>
          </cell>
          <cell r="O12" t="str">
            <v>Y</v>
          </cell>
          <cell r="P12" t="str">
            <v>Y</v>
          </cell>
          <cell r="Q12" t="str">
            <v>Y</v>
          </cell>
          <cell r="R12" t="str">
            <v>Y</v>
          </cell>
          <cell r="S12" t="str">
            <v>Y</v>
          </cell>
          <cell r="T12" t="str">
            <v>Y</v>
          </cell>
          <cell r="U12" t="str">
            <v>Y</v>
          </cell>
          <cell r="V12" t="str">
            <v>Y</v>
          </cell>
          <cell r="W12" t="str">
            <v>Y</v>
          </cell>
          <cell r="X12" t="str">
            <v>Y</v>
          </cell>
          <cell r="Y12" t="str">
            <v>Y</v>
          </cell>
          <cell r="Z12" t="str">
            <v>Y</v>
          </cell>
          <cell r="AA12" t="str">
            <v>Y</v>
          </cell>
          <cell r="AB12" t="str">
            <v>Y</v>
          </cell>
          <cell r="AC12" t="str">
            <v>Y</v>
          </cell>
          <cell r="AD12" t="str">
            <v>Y</v>
          </cell>
          <cell r="AE12" t="str">
            <v>Y</v>
          </cell>
          <cell r="AF12" t="str">
            <v>Y</v>
          </cell>
          <cell r="AG12" t="str">
            <v>Y</v>
          </cell>
          <cell r="AH12" t="str">
            <v>Y</v>
          </cell>
          <cell r="AI12" t="str">
            <v>Y</v>
          </cell>
          <cell r="AJ12" t="str">
            <v>Y</v>
          </cell>
          <cell r="AK12" t="str">
            <v>Y</v>
          </cell>
          <cell r="AL12" t="str">
            <v>Y</v>
          </cell>
          <cell r="AM12" t="str">
            <v>Y</v>
          </cell>
          <cell r="AN12" t="str">
            <v>Y</v>
          </cell>
          <cell r="AO12" t="str">
            <v>Y</v>
          </cell>
          <cell r="AP12" t="str">
            <v>Y</v>
          </cell>
          <cell r="AQ12" t="str">
            <v>Y</v>
          </cell>
          <cell r="AR12" t="str">
            <v>Y</v>
          </cell>
          <cell r="AS12" t="str">
            <v>Y</v>
          </cell>
          <cell r="AT12" t="str">
            <v>Y</v>
          </cell>
          <cell r="AU12" t="str">
            <v>Y</v>
          </cell>
          <cell r="AV12" t="str">
            <v>Y</v>
          </cell>
          <cell r="AW12" t="str">
            <v>Y</v>
          </cell>
          <cell r="AX12" t="str">
            <v>Y</v>
          </cell>
          <cell r="AY12" t="str">
            <v>Y</v>
          </cell>
          <cell r="AZ12" t="str">
            <v>Y</v>
          </cell>
          <cell r="BA12" t="str">
            <v>Y</v>
          </cell>
          <cell r="BB12" t="str">
            <v>Y</v>
          </cell>
          <cell r="BC12" t="str">
            <v>Y</v>
          </cell>
          <cell r="BD12" t="str">
            <v>Y</v>
          </cell>
          <cell r="BE12" t="str">
            <v>Y</v>
          </cell>
        </row>
        <row r="13">
          <cell r="W13">
            <v>37207</v>
          </cell>
          <cell r="X13">
            <v>36891</v>
          </cell>
          <cell r="Y13">
            <v>37399</v>
          </cell>
          <cell r="AB13">
            <v>37393</v>
          </cell>
          <cell r="AC13">
            <v>37393</v>
          </cell>
          <cell r="AD13">
            <v>36891</v>
          </cell>
          <cell r="AE13">
            <v>37346</v>
          </cell>
          <cell r="AF13">
            <v>37393</v>
          </cell>
          <cell r="AG13">
            <v>37399</v>
          </cell>
          <cell r="AH13">
            <v>37347</v>
          </cell>
          <cell r="AJ13">
            <v>37393</v>
          </cell>
          <cell r="AK13">
            <v>37215</v>
          </cell>
          <cell r="AL13">
            <v>37341</v>
          </cell>
          <cell r="AM13">
            <v>37349</v>
          </cell>
          <cell r="AN13">
            <v>37207</v>
          </cell>
          <cell r="AO13">
            <v>36891</v>
          </cell>
          <cell r="AP13">
            <v>37089</v>
          </cell>
          <cell r="AQ13">
            <v>37089</v>
          </cell>
          <cell r="AR13">
            <v>37346</v>
          </cell>
          <cell r="AS13">
            <v>37427</v>
          </cell>
          <cell r="AT13">
            <v>37413</v>
          </cell>
          <cell r="AU13">
            <v>37393</v>
          </cell>
          <cell r="AV13">
            <v>37413</v>
          </cell>
          <cell r="AW13">
            <v>36891</v>
          </cell>
          <cell r="AX13">
            <v>36891</v>
          </cell>
          <cell r="AY13">
            <v>36891</v>
          </cell>
          <cell r="AZ13">
            <v>36891</v>
          </cell>
          <cell r="BA13">
            <v>36891</v>
          </cell>
          <cell r="BB13">
            <v>36891</v>
          </cell>
          <cell r="BC13">
            <v>36891</v>
          </cell>
          <cell r="BD13">
            <v>36891</v>
          </cell>
          <cell r="BE13">
            <v>36891</v>
          </cell>
        </row>
        <row r="14">
          <cell r="Y14" t="str">
            <v>JWT</v>
          </cell>
          <cell r="AB14" t="str">
            <v>JWT</v>
          </cell>
          <cell r="AC14" t="str">
            <v>JWT</v>
          </cell>
          <cell r="AE14" t="str">
            <v>JWT</v>
          </cell>
          <cell r="AF14" t="str">
            <v>JWT</v>
          </cell>
          <cell r="AG14" t="str">
            <v>JWT</v>
          </cell>
          <cell r="AJ14" t="str">
            <v>JWT</v>
          </cell>
          <cell r="AK14" t="str">
            <v>JWT</v>
          </cell>
          <cell r="AL14" t="str">
            <v>JWT</v>
          </cell>
          <cell r="AM14" t="str">
            <v>OZ</v>
          </cell>
          <cell r="AN14" t="str">
            <v>NO</v>
          </cell>
          <cell r="AP14" t="str">
            <v>JWT</v>
          </cell>
          <cell r="AQ14" t="str">
            <v>JWT</v>
          </cell>
          <cell r="AR14" t="str">
            <v>JWT</v>
          </cell>
          <cell r="AV14" t="str">
            <v>JWT</v>
          </cell>
        </row>
        <row r="15">
          <cell r="H15" t="str">
            <v>Lab products</v>
          </cell>
          <cell r="I15" t="str">
            <v>Lab products</v>
          </cell>
          <cell r="J15" t="str">
            <v>Lab products</v>
          </cell>
          <cell r="K15" t="str">
            <v>Lab products</v>
          </cell>
          <cell r="L15" t="str">
            <v>Lab products</v>
          </cell>
          <cell r="M15" t="str">
            <v>Lab products</v>
          </cell>
          <cell r="N15" t="str">
            <v>Company Description</v>
          </cell>
          <cell r="O15" t="str">
            <v>Lab products</v>
          </cell>
          <cell r="P15" t="str">
            <v>Lab products</v>
          </cell>
          <cell r="Q15" t="str">
            <v>Lab products</v>
          </cell>
          <cell r="R15" t="str">
            <v>Lab products</v>
          </cell>
          <cell r="S15" t="str">
            <v>Lab products</v>
          </cell>
          <cell r="T15" t="str">
            <v>Lab products</v>
          </cell>
          <cell r="U15" t="str">
            <v>Lab products</v>
          </cell>
          <cell r="V15" t="str">
            <v>Lab products</v>
          </cell>
          <cell r="W15" t="str">
            <v>Lab products</v>
          </cell>
          <cell r="X15" t="str">
            <v>Lab products</v>
          </cell>
          <cell r="Z15" t="str">
            <v>Warehouse adjusted</v>
          </cell>
          <cell r="AA15" t="str">
            <v xml:space="preserve"> </v>
          </cell>
          <cell r="AD15" t="str">
            <v>Company Description</v>
          </cell>
          <cell r="AE15" t="str">
            <v xml:space="preserve"> </v>
          </cell>
          <cell r="AK15" t="str">
            <v xml:space="preserve"> </v>
          </cell>
          <cell r="AM15" t="str">
            <v>Lab products</v>
          </cell>
          <cell r="AN15" t="str">
            <v>No warehouse disclosure</v>
          </cell>
          <cell r="AO15" t="str">
            <v>Company Description</v>
          </cell>
          <cell r="AP15" t="str">
            <v>Dental supply distributors</v>
          </cell>
          <cell r="AQ15" t="str">
            <v>Veterinary supplies distributors</v>
          </cell>
          <cell r="AR15" t="str">
            <v>Dental supply distributors</v>
          </cell>
          <cell r="AW15" t="str">
            <v>Company Description</v>
          </cell>
          <cell r="AX15" t="str">
            <v>Company Description</v>
          </cell>
          <cell r="AY15" t="str">
            <v>Company Description</v>
          </cell>
          <cell r="AZ15" t="str">
            <v>Company Description</v>
          </cell>
          <cell r="BA15" t="str">
            <v>Company Description</v>
          </cell>
          <cell r="BB15" t="str">
            <v>Company Description</v>
          </cell>
          <cell r="BC15" t="str">
            <v>Company Description</v>
          </cell>
          <cell r="BD15" t="str">
            <v>Company Description</v>
          </cell>
          <cell r="BE15" t="str">
            <v>Company Description</v>
          </cell>
        </row>
        <row r="16">
          <cell r="H16" t="str">
            <v>notes</v>
          </cell>
          <cell r="I16" t="str">
            <v>notes</v>
          </cell>
          <cell r="J16" t="str">
            <v>notes</v>
          </cell>
          <cell r="K16" t="str">
            <v>notes</v>
          </cell>
          <cell r="L16" t="str">
            <v>notes</v>
          </cell>
          <cell r="M16" t="str">
            <v>notes</v>
          </cell>
          <cell r="N16" t="str">
            <v>notes</v>
          </cell>
          <cell r="O16" t="str">
            <v>LTM EPS and proj. EPS are trending correctly per IBES.</v>
          </cell>
          <cell r="P16" t="str">
            <v>Not PF for acquisition of the Filtration and Separtions business, NS</v>
          </cell>
          <cell r="Q16" t="str">
            <v>Not proforma for acquisitions in 2001 b/c it's not material</v>
          </cell>
          <cell r="R16" t="str">
            <v>Engaged in share repurchase program by issuing additional debt; check news for adjustments</v>
          </cell>
          <cell r="S16" t="str">
            <v>notes</v>
          </cell>
          <cell r="T16" t="str">
            <v>notes</v>
          </cell>
          <cell r="U16" t="str">
            <v>notes</v>
          </cell>
          <cell r="W16" t="str">
            <v>pro forma for Dexter purchase on 9/00 - PLEASE NOTE ASSUMPTIONS</v>
          </cell>
          <cell r="X16" t="str">
            <v>Pro forma for IPO spinoff of sub-division</v>
          </cell>
          <cell r="Y16" t="str">
            <v>notes</v>
          </cell>
          <cell r="Z16" t="str">
            <v>notes</v>
          </cell>
          <cell r="AA16" t="str">
            <v>notes</v>
          </cell>
          <cell r="AB16" t="str">
            <v>PRO FORMA FOR BBC ACQUISITION 3/19/01</v>
          </cell>
          <cell r="AC16" t="str">
            <v>notes</v>
          </cell>
          <cell r="AD16" t="str">
            <v>notes</v>
          </cell>
          <cell r="AE16" t="str">
            <v>notes</v>
          </cell>
          <cell r="AF16" t="str">
            <v>notes</v>
          </cell>
          <cell r="AH16" t="str">
            <v>notes</v>
          </cell>
          <cell r="AI16" t="str">
            <v>notes</v>
          </cell>
          <cell r="AJ16" t="str">
            <v>notes</v>
          </cell>
          <cell r="AK16" t="str">
            <v>Note</v>
          </cell>
          <cell r="AL16" t="str">
            <v>Pro forma for the $400 million debt offering on Jan. 29 2002</v>
          </cell>
          <cell r="AM16" t="str">
            <v>Engaged in share repurchase program by issuing additional debt; check news for adjustments</v>
          </cell>
          <cell r="AN16" t="str">
            <v>PF for diagnostic product spinoff effective 6/30/00 and Home Services Medical subsidiary</v>
          </cell>
          <cell r="AO16" t="str">
            <v>notes</v>
          </cell>
          <cell r="AP16" t="str">
            <v>Pro forma for acquisition of Webster</v>
          </cell>
          <cell r="AS16" t="str">
            <v>notes</v>
          </cell>
          <cell r="AT16" t="str">
            <v>notes</v>
          </cell>
          <cell r="AU16" t="str">
            <v>notes</v>
          </cell>
          <cell r="AW16" t="str">
            <v>notes</v>
          </cell>
          <cell r="AX16" t="str">
            <v>notes</v>
          </cell>
          <cell r="AY16" t="str">
            <v>notes</v>
          </cell>
          <cell r="AZ16" t="str">
            <v>notes</v>
          </cell>
          <cell r="BA16" t="str">
            <v>notes</v>
          </cell>
          <cell r="BB16" t="str">
            <v>notes</v>
          </cell>
          <cell r="BC16" t="str">
            <v>notes</v>
          </cell>
          <cell r="BD16" t="str">
            <v>notes</v>
          </cell>
          <cell r="BE16" t="str">
            <v>notes</v>
          </cell>
        </row>
        <row r="17">
          <cell r="S17" t="str">
            <v xml:space="preserve"> </v>
          </cell>
          <cell r="W17" t="str">
            <v>EXCLUDES AMORTIZATION to match Wall Street research</v>
          </cell>
          <cell r="X17" t="str">
            <v>Decreasing EPS is consistent with IBES estimates for 2000/LTM to 2001</v>
          </cell>
        </row>
        <row r="19"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7.4999999999999997E-2</v>
          </cell>
          <cell r="Z19">
            <v>8.5000000000000006E-2</v>
          </cell>
          <cell r="AA19">
            <v>0</v>
          </cell>
          <cell r="AB19">
            <v>7.0000000000000007E-2</v>
          </cell>
          <cell r="AC19">
            <v>0.08</v>
          </cell>
          <cell r="AD19">
            <v>8.5000000000000006E-2</v>
          </cell>
          <cell r="AE19">
            <v>8.5000000000000006E-2</v>
          </cell>
          <cell r="AF19">
            <v>6.5000000000000002E-2</v>
          </cell>
          <cell r="AG19">
            <v>0</v>
          </cell>
          <cell r="AH19">
            <v>0.08</v>
          </cell>
          <cell r="AI19">
            <v>8.5000000000000006E-2</v>
          </cell>
          <cell r="AJ19">
            <v>0.08</v>
          </cell>
          <cell r="AK19">
            <v>0.08</v>
          </cell>
          <cell r="AL19">
            <v>6.5000000000000002E-2</v>
          </cell>
          <cell r="AM19">
            <v>0</v>
          </cell>
          <cell r="AN19">
            <v>8.5000000000000006E-2</v>
          </cell>
          <cell r="AO19">
            <v>8.5000000000000006E-2</v>
          </cell>
          <cell r="AP19">
            <v>0.09</v>
          </cell>
          <cell r="AQ19">
            <v>8.5000000000000006E-2</v>
          </cell>
          <cell r="AR19">
            <v>7.4999999999999997E-2</v>
          </cell>
          <cell r="AS19">
            <v>8.5000000000000006E-2</v>
          </cell>
          <cell r="AT19">
            <v>8.5000000000000006E-2</v>
          </cell>
          <cell r="AU19">
            <v>6.5000000000000002E-2</v>
          </cell>
          <cell r="AV19">
            <v>6.5000000000000002E-2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2.5000000000000001E-2</v>
          </cell>
          <cell r="Z20">
            <v>2.5000000000000001E-2</v>
          </cell>
          <cell r="AA20">
            <v>2.5000000000000001E-2</v>
          </cell>
          <cell r="AB20">
            <v>2.5000000000000001E-2</v>
          </cell>
          <cell r="AC20">
            <v>2.5000000000000001E-2</v>
          </cell>
          <cell r="AD20">
            <v>2.5000000000000001E-2</v>
          </cell>
          <cell r="AE20">
            <v>2.5000000000000001E-2</v>
          </cell>
          <cell r="AF20">
            <v>2.5000000000000001E-2</v>
          </cell>
          <cell r="AG20">
            <v>0</v>
          </cell>
          <cell r="AH20">
            <v>2.5000000000000001E-2</v>
          </cell>
          <cell r="AI20">
            <v>2.5000000000000001E-2</v>
          </cell>
          <cell r="AJ20">
            <v>2.5000000000000001E-2</v>
          </cell>
          <cell r="AK20">
            <v>2.5000000000000001E-2</v>
          </cell>
          <cell r="AL20">
            <v>2.5000000000000001E-2</v>
          </cell>
          <cell r="AM20">
            <v>0</v>
          </cell>
          <cell r="AN20">
            <v>2.5000000000000001E-2</v>
          </cell>
          <cell r="AO20">
            <v>2.5000000000000001E-2</v>
          </cell>
          <cell r="AP20">
            <v>2.5000000000000001E-2</v>
          </cell>
          <cell r="AQ20">
            <v>2.5000000000000001E-2</v>
          </cell>
          <cell r="AR20">
            <v>2.5000000000000001E-2</v>
          </cell>
          <cell r="AS20">
            <v>2.5000000000000001E-2</v>
          </cell>
          <cell r="AT20">
            <v>2.5000000000000001E-2</v>
          </cell>
          <cell r="AU20">
            <v>2.5000000000000001E-2</v>
          </cell>
          <cell r="AV20">
            <v>2.5000000000000001E-2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1</v>
          </cell>
          <cell r="Z21">
            <v>1</v>
          </cell>
          <cell r="AA21">
            <v>0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0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0</v>
          </cell>
          <cell r="AN21">
            <v>1</v>
          </cell>
          <cell r="AO21">
            <v>1</v>
          </cell>
          <cell r="AP21">
            <v>20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20</v>
          </cell>
          <cell r="Z22">
            <v>20</v>
          </cell>
          <cell r="AA22">
            <v>0</v>
          </cell>
          <cell r="AB22">
            <v>20</v>
          </cell>
          <cell r="AC22">
            <v>20</v>
          </cell>
          <cell r="AD22">
            <v>20</v>
          </cell>
          <cell r="AE22">
            <v>20</v>
          </cell>
          <cell r="AF22">
            <v>20</v>
          </cell>
          <cell r="AG22">
            <v>0</v>
          </cell>
          <cell r="AH22">
            <v>20</v>
          </cell>
          <cell r="AI22">
            <v>20</v>
          </cell>
          <cell r="AJ22">
            <v>20</v>
          </cell>
          <cell r="AK22">
            <v>20</v>
          </cell>
          <cell r="AL22">
            <v>20</v>
          </cell>
          <cell r="AM22">
            <v>0</v>
          </cell>
          <cell r="AN22">
            <v>20</v>
          </cell>
          <cell r="AO22">
            <v>20</v>
          </cell>
          <cell r="AP22">
            <v>0</v>
          </cell>
          <cell r="AQ22">
            <v>20</v>
          </cell>
          <cell r="AR22">
            <v>20</v>
          </cell>
          <cell r="AS22">
            <v>20</v>
          </cell>
          <cell r="AT22">
            <v>20</v>
          </cell>
          <cell r="AU22">
            <v>20</v>
          </cell>
          <cell r="AV22">
            <v>20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0.4</v>
          </cell>
          <cell r="Z23">
            <v>0.4</v>
          </cell>
          <cell r="AA23">
            <v>0</v>
          </cell>
          <cell r="AB23">
            <v>0.4</v>
          </cell>
          <cell r="AC23">
            <v>0.4</v>
          </cell>
          <cell r="AD23">
            <v>0.4</v>
          </cell>
          <cell r="AE23">
            <v>0.4</v>
          </cell>
          <cell r="AF23">
            <v>0.4</v>
          </cell>
          <cell r="AG23">
            <v>0</v>
          </cell>
          <cell r="AH23">
            <v>0.4</v>
          </cell>
          <cell r="AI23">
            <v>0.4</v>
          </cell>
          <cell r="AJ23">
            <v>0.4</v>
          </cell>
          <cell r="AK23">
            <v>0.4</v>
          </cell>
          <cell r="AL23">
            <v>0.4</v>
          </cell>
          <cell r="AM23">
            <v>0</v>
          </cell>
          <cell r="AN23">
            <v>0.4</v>
          </cell>
          <cell r="AO23">
            <v>0.4</v>
          </cell>
          <cell r="AP23">
            <v>0</v>
          </cell>
          <cell r="AQ23">
            <v>0.4</v>
          </cell>
          <cell r="AR23">
            <v>0.4</v>
          </cell>
          <cell r="AS23">
            <v>0.4</v>
          </cell>
          <cell r="AT23">
            <v>0.4</v>
          </cell>
          <cell r="AU23">
            <v>0.4</v>
          </cell>
          <cell r="AV23">
            <v>0.4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7">
          <cell r="V27">
            <v>1000</v>
          </cell>
        </row>
        <row r="30"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H32" t="str">
            <v>MODEL</v>
          </cell>
          <cell r="I32">
            <v>37437</v>
          </cell>
          <cell r="J32">
            <v>37437</v>
          </cell>
          <cell r="L32">
            <v>37437</v>
          </cell>
          <cell r="P32">
            <v>37437</v>
          </cell>
          <cell r="Q32">
            <v>37437</v>
          </cell>
          <cell r="R32">
            <v>37437</v>
          </cell>
        </row>
        <row r="33">
          <cell r="J33" t="str">
            <v>MODEL</v>
          </cell>
          <cell r="L33" t="str">
            <v>PRESS RELEASE</v>
          </cell>
          <cell r="P33" t="str">
            <v>PRESS RELEASE</v>
          </cell>
          <cell r="Q33" t="str">
            <v>PRESS RELEASE</v>
          </cell>
          <cell r="R33" t="str">
            <v>PRESS RELEASE</v>
          </cell>
        </row>
        <row r="34">
          <cell r="H34">
            <v>37256</v>
          </cell>
          <cell r="I34">
            <v>37256</v>
          </cell>
          <cell r="J34">
            <v>37437</v>
          </cell>
          <cell r="K34">
            <v>37256</v>
          </cell>
          <cell r="L34">
            <v>37256</v>
          </cell>
          <cell r="M34">
            <v>37256</v>
          </cell>
          <cell r="N34">
            <v>37256</v>
          </cell>
          <cell r="O34">
            <v>37256</v>
          </cell>
          <cell r="P34">
            <v>37256</v>
          </cell>
          <cell r="Q34">
            <v>37256</v>
          </cell>
          <cell r="R34">
            <v>37256</v>
          </cell>
          <cell r="S34">
            <v>37256</v>
          </cell>
          <cell r="T34">
            <v>37256</v>
          </cell>
          <cell r="U34">
            <v>37256</v>
          </cell>
          <cell r="V34">
            <v>37437</v>
          </cell>
          <cell r="W34">
            <v>37256</v>
          </cell>
          <cell r="X34">
            <v>37256</v>
          </cell>
          <cell r="Y34">
            <v>37345</v>
          </cell>
          <cell r="AB34">
            <v>37346</v>
          </cell>
          <cell r="AC34">
            <v>37346</v>
          </cell>
          <cell r="AD34">
            <v>36891</v>
          </cell>
          <cell r="AE34">
            <v>37253</v>
          </cell>
          <cell r="AF34">
            <v>37345</v>
          </cell>
          <cell r="AG34">
            <v>37346</v>
          </cell>
          <cell r="AJ34">
            <v>37256</v>
          </cell>
          <cell r="AK34">
            <v>37437</v>
          </cell>
          <cell r="AL34">
            <v>37256</v>
          </cell>
          <cell r="AM34">
            <v>37256</v>
          </cell>
          <cell r="AN34">
            <v>37162</v>
          </cell>
          <cell r="AO34">
            <v>36891</v>
          </cell>
          <cell r="AP34">
            <v>37009</v>
          </cell>
          <cell r="AQ34">
            <v>37009</v>
          </cell>
          <cell r="AR34">
            <v>37434</v>
          </cell>
          <cell r="AV34">
            <v>37346</v>
          </cell>
          <cell r="AW34">
            <v>36891</v>
          </cell>
          <cell r="AX34">
            <v>36891</v>
          </cell>
          <cell r="AY34">
            <v>36891</v>
          </cell>
          <cell r="AZ34">
            <v>36891</v>
          </cell>
          <cell r="BA34">
            <v>36891</v>
          </cell>
          <cell r="BB34">
            <v>36891</v>
          </cell>
          <cell r="BC34">
            <v>36891</v>
          </cell>
          <cell r="BD34">
            <v>36891</v>
          </cell>
          <cell r="BE34">
            <v>36891</v>
          </cell>
        </row>
        <row r="36">
          <cell r="Q36" t="str">
            <v xml:space="preserve">GAAP </v>
          </cell>
          <cell r="AJ36">
            <v>27145.618999999999</v>
          </cell>
        </row>
        <row r="37">
          <cell r="Q37" t="str">
            <v>REPORTED</v>
          </cell>
          <cell r="AB37" t="str">
            <v>x</v>
          </cell>
          <cell r="AV37" t="str">
            <v>x</v>
          </cell>
          <cell r="AX37">
            <v>112891000</v>
          </cell>
        </row>
        <row r="38">
          <cell r="H38">
            <v>59.207999999999998</v>
          </cell>
          <cell r="I38">
            <v>145.916</v>
          </cell>
          <cell r="J38">
            <v>42.494525000000003</v>
          </cell>
          <cell r="K38">
            <v>26.085000000000001</v>
          </cell>
          <cell r="L38">
            <v>60.100999999999999</v>
          </cell>
          <cell r="M38">
            <v>213.28299999999999</v>
          </cell>
          <cell r="N38">
            <v>45.409689999999998</v>
          </cell>
          <cell r="O38">
            <v>15.414</v>
          </cell>
          <cell r="P38">
            <v>125.556</v>
          </cell>
          <cell r="Q38">
            <v>186.74</v>
          </cell>
          <cell r="R38">
            <v>35.048999999999999</v>
          </cell>
          <cell r="S38">
            <v>136.77799999999999</v>
          </cell>
          <cell r="T38">
            <v>57.9</v>
          </cell>
          <cell r="U38">
            <v>16.077313</v>
          </cell>
          <cell r="V38">
            <v>28.199946000000001</v>
          </cell>
          <cell r="W38">
            <v>52.961227999999998</v>
          </cell>
          <cell r="X38">
            <v>47.744526999999998</v>
          </cell>
          <cell r="Y38">
            <v>44.61</v>
          </cell>
          <cell r="Z38">
            <v>135.58958899999999</v>
          </cell>
          <cell r="AA38">
            <v>53.001061999999997</v>
          </cell>
          <cell r="AB38">
            <v>112.89100000000001</v>
          </cell>
          <cell r="AC38">
            <v>40.850999999999999</v>
          </cell>
          <cell r="AD38">
            <v>0</v>
          </cell>
          <cell r="AE38">
            <v>71.217195000000004</v>
          </cell>
          <cell r="AF38">
            <v>44.747</v>
          </cell>
          <cell r="AG38">
            <v>24.778272999999999</v>
          </cell>
          <cell r="AH38">
            <v>26.098680000000002</v>
          </cell>
          <cell r="AI38">
            <v>0</v>
          </cell>
          <cell r="AJ38">
            <v>31.284690000000001</v>
          </cell>
          <cell r="AK38">
            <v>57.9</v>
          </cell>
          <cell r="AL38">
            <v>301</v>
          </cell>
          <cell r="AM38">
            <v>73.771000000000001</v>
          </cell>
          <cell r="AN38">
            <v>12.315314000000001</v>
          </cell>
          <cell r="AR38">
            <v>68.506</v>
          </cell>
          <cell r="AS38">
            <v>12.884701959999999</v>
          </cell>
          <cell r="AT38">
            <v>0</v>
          </cell>
          <cell r="AU38">
            <v>0</v>
          </cell>
          <cell r="AV38">
            <v>460</v>
          </cell>
          <cell r="AW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2.5030000000000001</v>
          </cell>
          <cell r="V39">
            <v>0</v>
          </cell>
          <cell r="W39">
            <v>5.6609999999999996</v>
          </cell>
          <cell r="X39">
            <v>5.0519999999999996</v>
          </cell>
          <cell r="Y39">
            <v>5.1552319999999998</v>
          </cell>
          <cell r="Z39">
            <v>8.721584</v>
          </cell>
          <cell r="AA39">
            <v>3.6339999999999999</v>
          </cell>
          <cell r="AC39">
            <v>2.2189999999999999</v>
          </cell>
          <cell r="AD39">
            <v>0</v>
          </cell>
          <cell r="AE39">
            <v>6.3520000000000012</v>
          </cell>
          <cell r="AG39">
            <v>7.7510000000000003</v>
          </cell>
          <cell r="AH39">
            <v>1.796775</v>
          </cell>
          <cell r="AI39">
            <v>0</v>
          </cell>
          <cell r="AJ39">
            <v>1.796775</v>
          </cell>
          <cell r="AL39">
            <v>60.732304999999997</v>
          </cell>
          <cell r="AM39">
            <v>3.5651830000000002</v>
          </cell>
          <cell r="AN39">
            <v>2.4042520000000001</v>
          </cell>
          <cell r="AO39">
            <v>0</v>
          </cell>
          <cell r="AR39">
            <v>0.95021299999999997</v>
          </cell>
          <cell r="AS39">
            <v>4.0305200000000001</v>
          </cell>
          <cell r="AT39">
            <v>0</v>
          </cell>
          <cell r="AU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18.14</v>
          </cell>
          <cell r="V40">
            <v>0</v>
          </cell>
          <cell r="W40">
            <v>46.72</v>
          </cell>
          <cell r="X40">
            <v>36.450000000000003</v>
          </cell>
          <cell r="Y40">
            <v>22.4</v>
          </cell>
          <cell r="Z40">
            <v>13.83</v>
          </cell>
          <cell r="AA40">
            <v>24</v>
          </cell>
          <cell r="AB40">
            <v>42</v>
          </cell>
          <cell r="AC40">
            <v>13.46</v>
          </cell>
          <cell r="AD40">
            <v>0</v>
          </cell>
          <cell r="AE40">
            <v>10.304480478589419</v>
          </cell>
          <cell r="AF40">
            <v>26.04</v>
          </cell>
          <cell r="AG40">
            <v>18.55</v>
          </cell>
          <cell r="AH40">
            <v>13.52</v>
          </cell>
          <cell r="AI40">
            <v>0</v>
          </cell>
          <cell r="AJ40">
            <v>13.52</v>
          </cell>
          <cell r="AL40">
            <v>39.36</v>
          </cell>
          <cell r="AM40">
            <v>32.39</v>
          </cell>
          <cell r="AN40">
            <v>9.9</v>
          </cell>
          <cell r="AO40">
            <v>0</v>
          </cell>
          <cell r="AR40">
            <v>20.514070571545538</v>
          </cell>
          <cell r="AS40">
            <v>9.6460000000000008</v>
          </cell>
          <cell r="AT40">
            <v>0</v>
          </cell>
          <cell r="AU40">
            <v>0</v>
          </cell>
          <cell r="AV40">
            <v>34.83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0.44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0.78749999999999998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5.82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14.8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Z43">
            <v>3.3</v>
          </cell>
          <cell r="AA43">
            <v>3.6339999999999999</v>
          </cell>
        </row>
        <row r="44">
          <cell r="Z44">
            <v>23.29</v>
          </cell>
          <cell r="AA44">
            <v>24</v>
          </cell>
        </row>
        <row r="45">
          <cell r="AB45" t="b">
            <v>0</v>
          </cell>
        </row>
        <row r="46">
          <cell r="H46" t="str">
            <v>N</v>
          </cell>
          <cell r="I46" t="str">
            <v>N</v>
          </cell>
          <cell r="J46" t="str">
            <v>N</v>
          </cell>
          <cell r="K46" t="str">
            <v>N</v>
          </cell>
          <cell r="L46" t="str">
            <v>N</v>
          </cell>
          <cell r="M46" t="str">
            <v>N</v>
          </cell>
          <cell r="N46" t="str">
            <v>N</v>
          </cell>
          <cell r="O46" t="str">
            <v>N</v>
          </cell>
          <cell r="P46" t="str">
            <v>N</v>
          </cell>
          <cell r="Q46" t="str">
            <v>N</v>
          </cell>
          <cell r="R46" t="str">
            <v>N</v>
          </cell>
          <cell r="S46" t="str">
            <v>N</v>
          </cell>
          <cell r="T46" t="str">
            <v>N</v>
          </cell>
          <cell r="U46" t="str">
            <v>N</v>
          </cell>
          <cell r="V46" t="str">
            <v>N</v>
          </cell>
          <cell r="W46" t="str">
            <v>Y</v>
          </cell>
          <cell r="X46" t="str">
            <v>N</v>
          </cell>
          <cell r="Y46" t="str">
            <v>N</v>
          </cell>
          <cell r="Z46" t="str">
            <v>N</v>
          </cell>
          <cell r="AA46" t="str">
            <v>Y</v>
          </cell>
          <cell r="AB46" t="str">
            <v>Y</v>
          </cell>
          <cell r="AC46" t="str">
            <v>N</v>
          </cell>
          <cell r="AD46" t="str">
            <v>N</v>
          </cell>
          <cell r="AE46" t="str">
            <v>N</v>
          </cell>
          <cell r="AF46" t="str">
            <v>N</v>
          </cell>
          <cell r="AG46" t="str">
            <v>N</v>
          </cell>
          <cell r="AH46" t="str">
            <v>N</v>
          </cell>
          <cell r="AI46" t="str">
            <v>N</v>
          </cell>
          <cell r="AJ46" t="str">
            <v>N</v>
          </cell>
          <cell r="AK46" t="str">
            <v>N</v>
          </cell>
          <cell r="AL46" t="str">
            <v>N</v>
          </cell>
          <cell r="AM46" t="str">
            <v>N</v>
          </cell>
          <cell r="AN46" t="str">
            <v>N</v>
          </cell>
          <cell r="AO46" t="str">
            <v>N</v>
          </cell>
          <cell r="AP46" t="str">
            <v>N</v>
          </cell>
          <cell r="AQ46" t="str">
            <v>N</v>
          </cell>
          <cell r="AR46" t="str">
            <v>N</v>
          </cell>
          <cell r="AS46" t="str">
            <v>N</v>
          </cell>
          <cell r="AT46" t="str">
            <v>N</v>
          </cell>
          <cell r="AU46" t="str">
            <v>N</v>
          </cell>
          <cell r="AV46" t="str">
            <v>N</v>
          </cell>
          <cell r="AW46" t="str">
            <v>N</v>
          </cell>
          <cell r="AX46" t="str">
            <v>N</v>
          </cell>
          <cell r="AY46" t="str">
            <v>N</v>
          </cell>
          <cell r="AZ46" t="str">
            <v>N</v>
          </cell>
          <cell r="BA46" t="str">
            <v>N</v>
          </cell>
          <cell r="BB46" t="str">
            <v>N</v>
          </cell>
          <cell r="BC46" t="str">
            <v>N</v>
          </cell>
          <cell r="BD46" t="str">
            <v>N</v>
          </cell>
          <cell r="BE46" t="str">
            <v>N</v>
          </cell>
        </row>
        <row r="47"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172.5</v>
          </cell>
          <cell r="X47">
            <v>0</v>
          </cell>
          <cell r="Y47">
            <v>0</v>
          </cell>
          <cell r="Z47">
            <v>0</v>
          </cell>
          <cell r="AA47">
            <v>300</v>
          </cell>
          <cell r="AB47">
            <v>300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5.5E-2</v>
          </cell>
          <cell r="X48">
            <v>0</v>
          </cell>
          <cell r="Y48">
            <v>0</v>
          </cell>
          <cell r="Z48">
            <v>0</v>
          </cell>
          <cell r="AA48">
            <v>0.05</v>
          </cell>
          <cell r="AB48">
            <v>0.05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H49">
            <v>36526</v>
          </cell>
          <cell r="I49">
            <v>36526</v>
          </cell>
          <cell r="J49">
            <v>36526</v>
          </cell>
          <cell r="K49">
            <v>36526</v>
          </cell>
          <cell r="L49">
            <v>36526</v>
          </cell>
          <cell r="M49">
            <v>36526</v>
          </cell>
          <cell r="N49">
            <v>36526</v>
          </cell>
          <cell r="O49">
            <v>36526</v>
          </cell>
          <cell r="P49">
            <v>36526</v>
          </cell>
          <cell r="Q49">
            <v>36526</v>
          </cell>
          <cell r="R49">
            <v>36526</v>
          </cell>
          <cell r="S49">
            <v>36526</v>
          </cell>
          <cell r="T49">
            <v>36526</v>
          </cell>
          <cell r="U49">
            <v>0</v>
          </cell>
          <cell r="V49">
            <v>0</v>
          </cell>
          <cell r="W49">
            <v>36892</v>
          </cell>
          <cell r="X49">
            <v>36526</v>
          </cell>
          <cell r="Y49">
            <v>0</v>
          </cell>
          <cell r="Z49">
            <v>0</v>
          </cell>
          <cell r="AA49">
            <v>36861</v>
          </cell>
          <cell r="AB49">
            <v>36861</v>
          </cell>
          <cell r="AC49">
            <v>0</v>
          </cell>
          <cell r="AD49">
            <v>36526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36526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36526</v>
          </cell>
          <cell r="AP49">
            <v>0</v>
          </cell>
          <cell r="AQ49">
            <v>36526</v>
          </cell>
          <cell r="AR49">
            <v>36526</v>
          </cell>
          <cell r="AS49">
            <v>36526</v>
          </cell>
          <cell r="AT49">
            <v>36526</v>
          </cell>
          <cell r="AU49">
            <v>0</v>
          </cell>
          <cell r="AV49">
            <v>0</v>
          </cell>
          <cell r="AW49">
            <v>36526</v>
          </cell>
          <cell r="AX49">
            <v>36526</v>
          </cell>
          <cell r="AY49">
            <v>36526</v>
          </cell>
          <cell r="AZ49">
            <v>36526</v>
          </cell>
          <cell r="BA49">
            <v>36526</v>
          </cell>
          <cell r="BB49">
            <v>36526</v>
          </cell>
          <cell r="BC49">
            <v>36526</v>
          </cell>
          <cell r="BD49">
            <v>36526</v>
          </cell>
          <cell r="BE49">
            <v>36526</v>
          </cell>
        </row>
        <row r="50"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85.2</v>
          </cell>
          <cell r="X50">
            <v>0</v>
          </cell>
          <cell r="Y50">
            <v>0</v>
          </cell>
          <cell r="Z50">
            <v>0</v>
          </cell>
          <cell r="AA50">
            <v>52.968800000000002</v>
          </cell>
          <cell r="AB50">
            <v>52.97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4">
          <cell r="H54" t="str">
            <v>N</v>
          </cell>
          <cell r="I54" t="str">
            <v>N</v>
          </cell>
          <cell r="J54" t="str">
            <v>N</v>
          </cell>
          <cell r="K54" t="str">
            <v>N</v>
          </cell>
          <cell r="L54" t="str">
            <v>N</v>
          </cell>
          <cell r="M54" t="str">
            <v>N</v>
          </cell>
          <cell r="N54" t="str">
            <v>N</v>
          </cell>
          <cell r="O54" t="str">
            <v>N</v>
          </cell>
          <cell r="P54" t="str">
            <v>N</v>
          </cell>
          <cell r="Q54" t="str">
            <v>N</v>
          </cell>
          <cell r="R54" t="str">
            <v>N</v>
          </cell>
          <cell r="S54" t="str">
            <v>N</v>
          </cell>
          <cell r="T54" t="str">
            <v>N</v>
          </cell>
          <cell r="U54" t="str">
            <v>N</v>
          </cell>
          <cell r="V54" t="str">
            <v>N</v>
          </cell>
          <cell r="W54" t="str">
            <v>N</v>
          </cell>
          <cell r="X54" t="str">
            <v>N</v>
          </cell>
          <cell r="Y54" t="str">
            <v>N</v>
          </cell>
          <cell r="Z54" t="str">
            <v>Y</v>
          </cell>
          <cell r="AA54" t="str">
            <v>N</v>
          </cell>
          <cell r="AB54" t="str">
            <v>N</v>
          </cell>
          <cell r="AC54" t="str">
            <v>Y</v>
          </cell>
          <cell r="AD54" t="str">
            <v>N</v>
          </cell>
          <cell r="AE54" t="str">
            <v>N</v>
          </cell>
          <cell r="AF54" t="str">
            <v>N</v>
          </cell>
          <cell r="AG54" t="str">
            <v>N</v>
          </cell>
          <cell r="AH54" t="str">
            <v>N</v>
          </cell>
          <cell r="AI54" t="str">
            <v>N</v>
          </cell>
          <cell r="AJ54" t="str">
            <v>N</v>
          </cell>
          <cell r="AK54" t="str">
            <v>N</v>
          </cell>
          <cell r="AL54" t="str">
            <v>Y</v>
          </cell>
          <cell r="AM54" t="str">
            <v>N</v>
          </cell>
          <cell r="AN54" t="str">
            <v>N</v>
          </cell>
          <cell r="AO54" t="str">
            <v>N</v>
          </cell>
          <cell r="AP54" t="str">
            <v>N</v>
          </cell>
          <cell r="AQ54" t="str">
            <v>N</v>
          </cell>
          <cell r="AR54" t="str">
            <v>N</v>
          </cell>
          <cell r="AS54" t="str">
            <v>N</v>
          </cell>
          <cell r="AT54" t="str">
            <v>N</v>
          </cell>
          <cell r="AU54" t="str">
            <v>N</v>
          </cell>
          <cell r="AV54" t="str">
            <v>N</v>
          </cell>
          <cell r="AW54" t="str">
            <v>N</v>
          </cell>
          <cell r="AX54" t="str">
            <v>N</v>
          </cell>
          <cell r="AY54" t="str">
            <v>N</v>
          </cell>
          <cell r="AZ54" t="str">
            <v>N</v>
          </cell>
          <cell r="BA54" t="str">
            <v>N</v>
          </cell>
          <cell r="BB54" t="str">
            <v>N</v>
          </cell>
          <cell r="BC54" t="str">
            <v>N</v>
          </cell>
          <cell r="BD54" t="str">
            <v>N</v>
          </cell>
          <cell r="BE54" t="str">
            <v>N</v>
          </cell>
        </row>
        <row r="55"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300</v>
          </cell>
          <cell r="AA55">
            <v>0</v>
          </cell>
          <cell r="AB55">
            <v>0</v>
          </cell>
          <cell r="AC55">
            <v>132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196.1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7.8E-2</v>
          </cell>
          <cell r="AA56">
            <v>0</v>
          </cell>
          <cell r="AB56">
            <v>0</v>
          </cell>
          <cell r="AC56">
            <v>5.3749999999999999E-2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0.05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H57">
            <v>36526</v>
          </cell>
          <cell r="I57">
            <v>36526</v>
          </cell>
          <cell r="J57">
            <v>36526</v>
          </cell>
          <cell r="K57">
            <v>36526</v>
          </cell>
          <cell r="L57">
            <v>36526</v>
          </cell>
          <cell r="M57">
            <v>36526</v>
          </cell>
          <cell r="N57">
            <v>36526</v>
          </cell>
          <cell r="O57">
            <v>36526</v>
          </cell>
          <cell r="P57">
            <v>36526</v>
          </cell>
          <cell r="Q57">
            <v>36526</v>
          </cell>
          <cell r="R57">
            <v>36526</v>
          </cell>
          <cell r="S57">
            <v>36526</v>
          </cell>
          <cell r="T57">
            <v>36526</v>
          </cell>
          <cell r="U57">
            <v>0</v>
          </cell>
          <cell r="V57">
            <v>0</v>
          </cell>
          <cell r="W57">
            <v>0</v>
          </cell>
          <cell r="X57">
            <v>36526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36526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36526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36526</v>
          </cell>
          <cell r="AP57">
            <v>0</v>
          </cell>
          <cell r="AQ57">
            <v>36526</v>
          </cell>
          <cell r="AR57">
            <v>36526</v>
          </cell>
          <cell r="AS57">
            <v>36526</v>
          </cell>
          <cell r="AT57">
            <v>36526</v>
          </cell>
          <cell r="AU57">
            <v>0</v>
          </cell>
          <cell r="AV57">
            <v>0</v>
          </cell>
          <cell r="AW57">
            <v>36526</v>
          </cell>
          <cell r="AX57">
            <v>36526</v>
          </cell>
          <cell r="AY57">
            <v>36526</v>
          </cell>
          <cell r="AZ57">
            <v>36526</v>
          </cell>
          <cell r="BA57">
            <v>36526</v>
          </cell>
          <cell r="BB57">
            <v>36526</v>
          </cell>
          <cell r="BC57">
            <v>36526</v>
          </cell>
          <cell r="BD57">
            <v>36526</v>
          </cell>
          <cell r="BE57">
            <v>36526</v>
          </cell>
        </row>
        <row r="58"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25</v>
          </cell>
          <cell r="AA58">
            <v>0</v>
          </cell>
          <cell r="AB58">
            <v>0</v>
          </cell>
          <cell r="AC58">
            <v>20.625360943816517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36.536741690266801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60">
          <cell r="AJ60" t="str">
            <v>See p.79</v>
          </cell>
          <cell r="AS60">
            <v>201.66200000000001</v>
          </cell>
        </row>
        <row r="61">
          <cell r="V61">
            <v>37346</v>
          </cell>
          <cell r="AJ61" t="str">
            <v>PF BS as of 9/30/01</v>
          </cell>
        </row>
        <row r="62"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143.34299999999999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20.766999999999999</v>
          </cell>
          <cell r="V62">
            <v>42.912999999999997</v>
          </cell>
          <cell r="W62">
            <v>572.90300000000002</v>
          </cell>
          <cell r="X62">
            <v>70.257999999999996</v>
          </cell>
          <cell r="Y62">
            <v>91.347999999999999</v>
          </cell>
          <cell r="Z62">
            <v>60.804000000000002</v>
          </cell>
          <cell r="AA62">
            <v>94.298000000000002</v>
          </cell>
          <cell r="AB62">
            <v>463.815</v>
          </cell>
          <cell r="AC62">
            <v>0.68799999999999994</v>
          </cell>
          <cell r="AD62">
            <v>0</v>
          </cell>
          <cell r="AE62">
            <v>40.206000000000003</v>
          </cell>
          <cell r="AF62">
            <v>93.421000000000006</v>
          </cell>
          <cell r="AG62">
            <v>24.074999999999999</v>
          </cell>
          <cell r="AH62">
            <v>0</v>
          </cell>
          <cell r="AI62">
            <v>0</v>
          </cell>
          <cell r="AJ62">
            <v>58.841999999999999</v>
          </cell>
          <cell r="AK62">
            <v>45.2</v>
          </cell>
          <cell r="AL62">
            <v>385.5</v>
          </cell>
          <cell r="AM62">
            <v>33.501829999999998</v>
          </cell>
          <cell r="AN62">
            <v>3.6070000000000002</v>
          </cell>
          <cell r="AO62">
            <v>0</v>
          </cell>
          <cell r="AR62">
            <v>132.43700000000001</v>
          </cell>
          <cell r="AS62">
            <v>24.074999999999999</v>
          </cell>
          <cell r="AT62">
            <v>14.052</v>
          </cell>
          <cell r="AU62">
            <v>869.2</v>
          </cell>
          <cell r="AV62">
            <v>703.32700000000011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284.63099999999997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16.481999999999999</v>
          </cell>
          <cell r="V63">
            <v>335.25299999999999</v>
          </cell>
          <cell r="W63">
            <v>102.568</v>
          </cell>
          <cell r="X63">
            <v>147.79900000000001</v>
          </cell>
          <cell r="Y63">
            <v>138.79300000000001</v>
          </cell>
          <cell r="Z63">
            <v>1620.6289999999999</v>
          </cell>
          <cell r="AA63">
            <v>677.18</v>
          </cell>
          <cell r="AB63">
            <v>2061.3310000000001</v>
          </cell>
          <cell r="AC63">
            <v>364.21499999999997</v>
          </cell>
          <cell r="AD63">
            <v>0</v>
          </cell>
          <cell r="AE63">
            <v>226.47300000000001</v>
          </cell>
          <cell r="AF63">
            <v>356.45299999999997</v>
          </cell>
          <cell r="AG63">
            <v>167.529</v>
          </cell>
          <cell r="AH63">
            <v>0</v>
          </cell>
          <cell r="AI63">
            <v>0</v>
          </cell>
          <cell r="AJ63">
            <v>317.221</v>
          </cell>
          <cell r="AK63">
            <v>0</v>
          </cell>
          <cell r="AL63">
            <v>3604.2</v>
          </cell>
          <cell r="AM63">
            <v>181.45</v>
          </cell>
          <cell r="AN63">
            <v>41.622</v>
          </cell>
          <cell r="AO63">
            <v>0</v>
          </cell>
          <cell r="AR63">
            <v>218.86</v>
          </cell>
          <cell r="AS63">
            <v>167.529</v>
          </cell>
          <cell r="AT63">
            <v>66.616</v>
          </cell>
          <cell r="AU63">
            <v>2536</v>
          </cell>
          <cell r="AV63">
            <v>2770.145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0.29299999999999998</v>
          </cell>
          <cell r="W64">
            <v>13.491</v>
          </cell>
          <cell r="X64">
            <v>0</v>
          </cell>
          <cell r="Y64">
            <v>0</v>
          </cell>
          <cell r="Z64">
            <v>21.030999999999999</v>
          </cell>
          <cell r="AA64">
            <v>4.266</v>
          </cell>
          <cell r="AB64">
            <v>17.831</v>
          </cell>
          <cell r="AC64">
            <v>0</v>
          </cell>
          <cell r="AD64">
            <v>0</v>
          </cell>
          <cell r="AE64">
            <v>41.978000000000002</v>
          </cell>
          <cell r="AF64">
            <v>57.145000000000003</v>
          </cell>
          <cell r="AG64">
            <v>27.484999999999999</v>
          </cell>
          <cell r="AH64">
            <v>0</v>
          </cell>
          <cell r="AI64">
            <v>0</v>
          </cell>
          <cell r="AJ64">
            <v>3.7240000000000002</v>
          </cell>
          <cell r="AK64">
            <v>0</v>
          </cell>
          <cell r="AL64">
            <v>160.69999999999999</v>
          </cell>
          <cell r="AM64">
            <v>0</v>
          </cell>
          <cell r="AN64">
            <v>0</v>
          </cell>
          <cell r="AO64">
            <v>0</v>
          </cell>
          <cell r="AR64">
            <v>12.637</v>
          </cell>
          <cell r="AS64">
            <v>27.484999999999999</v>
          </cell>
          <cell r="AT64">
            <v>7.806</v>
          </cell>
          <cell r="AU64">
            <v>870.8</v>
          </cell>
          <cell r="AV64">
            <v>906.09100000000001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206.36099999999999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10.364000000000001</v>
          </cell>
          <cell r="W65">
            <v>86.736999999999995</v>
          </cell>
          <cell r="X65">
            <v>86.697000000000003</v>
          </cell>
          <cell r="Y65">
            <v>71.028000000000006</v>
          </cell>
          <cell r="Z65">
            <v>2619.4949999999999</v>
          </cell>
          <cell r="AA65">
            <v>1955.385</v>
          </cell>
          <cell r="AB65">
            <v>5295.924</v>
          </cell>
          <cell r="AC65">
            <v>345.50200000000001</v>
          </cell>
          <cell r="AD65">
            <v>0</v>
          </cell>
          <cell r="AE65">
            <v>171.381</v>
          </cell>
          <cell r="AF65">
            <v>293.76400000000001</v>
          </cell>
          <cell r="AG65">
            <v>28.338999999999999</v>
          </cell>
          <cell r="AH65">
            <v>0</v>
          </cell>
          <cell r="AI65">
            <v>0</v>
          </cell>
          <cell r="AJ65">
            <v>81.48</v>
          </cell>
          <cell r="AK65">
            <v>0</v>
          </cell>
          <cell r="AL65">
            <v>6259.3</v>
          </cell>
          <cell r="AM65">
            <v>468.92599999999999</v>
          </cell>
          <cell r="AN65">
            <v>10.763</v>
          </cell>
          <cell r="AO65">
            <v>0</v>
          </cell>
          <cell r="AR65">
            <v>156.03800000000001</v>
          </cell>
          <cell r="AS65">
            <v>28.338999999999999</v>
          </cell>
          <cell r="AT65">
            <v>0</v>
          </cell>
          <cell r="AU65">
            <v>7902</v>
          </cell>
          <cell r="AV65">
            <v>7930.3389999999999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53.353999999999999</v>
          </cell>
          <cell r="W66">
            <v>815.16499999999996</v>
          </cell>
          <cell r="X66">
            <v>348.99099999999999</v>
          </cell>
          <cell r="Y66">
            <v>313.72699999999998</v>
          </cell>
          <cell r="Z66">
            <v>4335.01</v>
          </cell>
          <cell r="AA66">
            <v>2731.1289999999999</v>
          </cell>
          <cell r="AB66">
            <v>7838.9009999999998</v>
          </cell>
          <cell r="AC66">
            <v>727.40599999999995</v>
          </cell>
          <cell r="AD66">
            <v>0</v>
          </cell>
          <cell r="AE66">
            <v>480.49</v>
          </cell>
          <cell r="AF66">
            <v>827.40899999999999</v>
          </cell>
          <cell r="AG66">
            <v>247.428</v>
          </cell>
          <cell r="AH66">
            <v>0</v>
          </cell>
          <cell r="AI66">
            <v>0</v>
          </cell>
          <cell r="AJ66">
            <v>482.88600000000002</v>
          </cell>
          <cell r="AK66">
            <v>0</v>
          </cell>
          <cell r="AL66">
            <v>10409.700000000001</v>
          </cell>
          <cell r="AM66">
            <v>727.31100000000004</v>
          </cell>
          <cell r="AN66">
            <v>67.548000000000002</v>
          </cell>
          <cell r="AO66">
            <v>0</v>
          </cell>
          <cell r="AR66">
            <v>519.97199999999998</v>
          </cell>
          <cell r="AS66">
            <v>247.428</v>
          </cell>
          <cell r="AT66">
            <v>89.408000000000001</v>
          </cell>
          <cell r="AU66">
            <v>12382.6</v>
          </cell>
          <cell r="AV66">
            <v>12719.436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37.055</v>
          </cell>
          <cell r="W67">
            <v>115.32899999999999</v>
          </cell>
          <cell r="X67">
            <v>185.268</v>
          </cell>
          <cell r="Y67">
            <v>11.090999999999999</v>
          </cell>
          <cell r="Z67">
            <v>195.58099999999999</v>
          </cell>
          <cell r="AA67">
            <v>71.009</v>
          </cell>
          <cell r="AB67">
            <v>277.47500000000002</v>
          </cell>
          <cell r="AC67">
            <v>24.536000000000001</v>
          </cell>
          <cell r="AD67">
            <v>0</v>
          </cell>
          <cell r="AE67">
            <v>82.016999999999996</v>
          </cell>
          <cell r="AF67">
            <v>129.49799999999999</v>
          </cell>
          <cell r="AG67">
            <v>180.89599999999999</v>
          </cell>
          <cell r="AH67">
            <v>0</v>
          </cell>
          <cell r="AI67">
            <v>0</v>
          </cell>
          <cell r="AJ67">
            <v>23.617000000000001</v>
          </cell>
          <cell r="AK67">
            <v>0</v>
          </cell>
          <cell r="AL67">
            <v>579.79999999999995</v>
          </cell>
          <cell r="AM67">
            <v>542.04999999999995</v>
          </cell>
          <cell r="AN67">
            <v>6.7640000000000002</v>
          </cell>
          <cell r="AO67">
            <v>0</v>
          </cell>
          <cell r="AR67">
            <v>56.646999999999998</v>
          </cell>
          <cell r="AS67">
            <v>180.89599999999999</v>
          </cell>
          <cell r="AT67">
            <v>10.311</v>
          </cell>
          <cell r="AU67">
            <v>1823.8</v>
          </cell>
          <cell r="AV67">
            <v>2015.0069999999998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10.677</v>
          </cell>
          <cell r="W68">
            <v>1241.213</v>
          </cell>
          <cell r="X68">
            <v>28.251999999999999</v>
          </cell>
          <cell r="Y68">
            <v>83.563000000000002</v>
          </cell>
          <cell r="Z68">
            <v>663.26800000000003</v>
          </cell>
          <cell r="AA68">
            <v>85.805999999999997</v>
          </cell>
          <cell r="AB68">
            <v>2126.1210000000001</v>
          </cell>
          <cell r="AC68">
            <v>198.32400000000001</v>
          </cell>
          <cell r="AD68">
            <v>0</v>
          </cell>
          <cell r="AE68">
            <v>77.122</v>
          </cell>
          <cell r="AF68">
            <v>293.10599999999999</v>
          </cell>
          <cell r="AG68">
            <v>143.16</v>
          </cell>
          <cell r="AH68">
            <v>0</v>
          </cell>
          <cell r="AI68">
            <v>0</v>
          </cell>
          <cell r="AJ68">
            <v>281.48500000000001</v>
          </cell>
          <cell r="AK68">
            <v>0</v>
          </cell>
          <cell r="AL68">
            <v>974.3</v>
          </cell>
          <cell r="AM68">
            <v>127.602</v>
          </cell>
          <cell r="AN68">
            <v>30.233000000000001</v>
          </cell>
          <cell r="AO68">
            <v>0</v>
          </cell>
          <cell r="AR68">
            <v>131.012</v>
          </cell>
          <cell r="AS68">
            <v>143.16</v>
          </cell>
          <cell r="AT68">
            <v>52.091000000000001</v>
          </cell>
          <cell r="AU68">
            <v>1178.3</v>
          </cell>
          <cell r="AV68">
            <v>1373.5509999999999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107.86799999999999</v>
          </cell>
          <cell r="V69">
            <v>924.82899999999995</v>
          </cell>
          <cell r="W69">
            <v>2225.9009999999998</v>
          </cell>
          <cell r="X69">
            <v>922.84900000000005</v>
          </cell>
          <cell r="Y69">
            <v>409.322</v>
          </cell>
          <cell r="Z69">
            <v>5350.3729999999996</v>
          </cell>
          <cell r="AA69">
            <v>2887.944</v>
          </cell>
          <cell r="AB69">
            <v>10600.218999999999</v>
          </cell>
          <cell r="AC69">
            <v>997.43799999999999</v>
          </cell>
          <cell r="AD69">
            <v>0</v>
          </cell>
          <cell r="AE69">
            <v>670.19</v>
          </cell>
          <cell r="AF69">
            <v>1309.519</v>
          </cell>
          <cell r="AG69">
            <v>594.37099999999998</v>
          </cell>
          <cell r="AH69">
            <v>0</v>
          </cell>
          <cell r="AI69">
            <v>0</v>
          </cell>
          <cell r="AJ69">
            <v>793.13599999999997</v>
          </cell>
          <cell r="AK69">
            <v>0</v>
          </cell>
          <cell r="AL69">
            <v>12888.9</v>
          </cell>
          <cell r="AM69">
            <v>1439.8019999999999</v>
          </cell>
          <cell r="AN69">
            <v>105.80200000000001</v>
          </cell>
          <cell r="AO69">
            <v>0</v>
          </cell>
          <cell r="AR69">
            <v>720.822</v>
          </cell>
          <cell r="AS69">
            <v>594.37099999999998</v>
          </cell>
          <cell r="AT69">
            <v>153.495</v>
          </cell>
          <cell r="AU69">
            <v>16256.5</v>
          </cell>
          <cell r="AV69">
            <v>17004.365999999998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5.34</v>
          </cell>
          <cell r="W70">
            <v>22.13</v>
          </cell>
          <cell r="X70">
            <v>44.152000000000001</v>
          </cell>
          <cell r="Y70">
            <v>108.21299999999999</v>
          </cell>
          <cell r="Z70">
            <v>2428.002</v>
          </cell>
          <cell r="AA70">
            <v>1639.876</v>
          </cell>
          <cell r="AB70">
            <v>5076.7669999999998</v>
          </cell>
          <cell r="AC70">
            <v>293.06200000000001</v>
          </cell>
          <cell r="AD70">
            <v>0</v>
          </cell>
          <cell r="AE70">
            <v>148.376</v>
          </cell>
          <cell r="AF70">
            <v>205.71700000000001</v>
          </cell>
          <cell r="AG70">
            <v>65.893000000000001</v>
          </cell>
          <cell r="AH70">
            <v>0</v>
          </cell>
          <cell r="AI70">
            <v>0</v>
          </cell>
          <cell r="AJ70">
            <v>141.47499999999999</v>
          </cell>
          <cell r="AK70">
            <v>0</v>
          </cell>
          <cell r="AL70">
            <v>6249.1</v>
          </cell>
          <cell r="AM70">
            <v>59.509</v>
          </cell>
          <cell r="AN70">
            <v>15.701000000000001</v>
          </cell>
          <cell r="AO70">
            <v>0</v>
          </cell>
          <cell r="AR70">
            <v>112.02500000000001</v>
          </cell>
          <cell r="AS70">
            <v>65.893000000000001</v>
          </cell>
          <cell r="AT70">
            <v>4.5720000000000001</v>
          </cell>
          <cell r="AU70">
            <v>5266.9</v>
          </cell>
          <cell r="AV70">
            <v>5337.3649999999998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13.272</v>
          </cell>
          <cell r="W71">
            <v>143.131</v>
          </cell>
          <cell r="X71">
            <v>123.297</v>
          </cell>
          <cell r="Y71">
            <v>137.387</v>
          </cell>
          <cell r="Z71">
            <v>2818.442</v>
          </cell>
          <cell r="AA71">
            <v>1833.835</v>
          </cell>
          <cell r="AB71">
            <v>5723.3919999999998</v>
          </cell>
          <cell r="AC71">
            <v>362.14100000000002</v>
          </cell>
          <cell r="AD71">
            <v>0</v>
          </cell>
          <cell r="AE71">
            <v>211.059</v>
          </cell>
          <cell r="AF71">
            <v>334.41300000000001</v>
          </cell>
          <cell r="AG71">
            <v>133.71899999999999</v>
          </cell>
          <cell r="AH71">
            <v>0</v>
          </cell>
          <cell r="AI71">
            <v>0</v>
          </cell>
          <cell r="AJ71">
            <v>155.59200000000001</v>
          </cell>
          <cell r="AK71">
            <v>0</v>
          </cell>
          <cell r="AL71">
            <v>7643.8</v>
          </cell>
          <cell r="AM71">
            <v>397.56299999999999</v>
          </cell>
          <cell r="AN71">
            <v>30.297000000000001</v>
          </cell>
          <cell r="AO71">
            <v>0</v>
          </cell>
          <cell r="AR71">
            <v>175.06899999999999</v>
          </cell>
          <cell r="AS71">
            <v>133.71899999999999</v>
          </cell>
          <cell r="AT71">
            <v>47.113999999999997</v>
          </cell>
          <cell r="AU71">
            <v>6770.7</v>
          </cell>
          <cell r="AV71">
            <v>6951.5329999999994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W72">
            <v>4.3860000000000001</v>
          </cell>
          <cell r="X72">
            <v>0</v>
          </cell>
          <cell r="Y72">
            <v>0</v>
          </cell>
          <cell r="Z72">
            <v>55.506999999999998</v>
          </cell>
          <cell r="AA72">
            <v>0</v>
          </cell>
          <cell r="AB72">
            <v>30</v>
          </cell>
          <cell r="AC72">
            <v>0</v>
          </cell>
          <cell r="AD72">
            <v>0</v>
          </cell>
          <cell r="AE72">
            <v>0</v>
          </cell>
          <cell r="AF72">
            <v>7.2430000000000003</v>
          </cell>
          <cell r="AG72">
            <v>12.371</v>
          </cell>
          <cell r="AH72">
            <v>0</v>
          </cell>
          <cell r="AI72">
            <v>0</v>
          </cell>
          <cell r="AJ72">
            <v>0</v>
          </cell>
          <cell r="AK72">
            <v>27.8</v>
          </cell>
          <cell r="AL72">
            <v>33.4</v>
          </cell>
          <cell r="AM72">
            <v>270.38200000000001</v>
          </cell>
          <cell r="AN72">
            <v>10.4</v>
          </cell>
          <cell r="AO72">
            <v>0</v>
          </cell>
          <cell r="AR72">
            <v>0</v>
          </cell>
          <cell r="AS72">
            <v>12.371</v>
          </cell>
          <cell r="AT72">
            <v>0</v>
          </cell>
          <cell r="AU72">
            <v>17.2</v>
          </cell>
          <cell r="AV72">
            <v>29.570999999999998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W73">
            <v>172.5</v>
          </cell>
          <cell r="X73">
            <v>0</v>
          </cell>
          <cell r="Y73">
            <v>0</v>
          </cell>
          <cell r="Z73">
            <v>0</v>
          </cell>
          <cell r="AA73">
            <v>300</v>
          </cell>
          <cell r="AB73">
            <v>300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3.028</v>
          </cell>
          <cell r="V74">
            <v>224.68799999999999</v>
          </cell>
          <cell r="W74">
            <v>14.313000000000001</v>
          </cell>
          <cell r="X74">
            <v>332</v>
          </cell>
          <cell r="Y74">
            <v>0</v>
          </cell>
          <cell r="Z74">
            <v>1398.4649999999999</v>
          </cell>
          <cell r="AA74">
            <v>340.93399999999997</v>
          </cell>
          <cell r="AB74">
            <v>1208.8889999999999</v>
          </cell>
          <cell r="AC74">
            <v>242.01499999999999</v>
          </cell>
          <cell r="AD74">
            <v>0</v>
          </cell>
          <cell r="AE74">
            <v>125</v>
          </cell>
          <cell r="AF74">
            <v>241.96799999999999</v>
          </cell>
          <cell r="AG74">
            <v>203.97300000000001</v>
          </cell>
          <cell r="AH74">
            <v>0</v>
          </cell>
          <cell r="AI74">
            <v>0</v>
          </cell>
          <cell r="AJ74">
            <v>227.2</v>
          </cell>
          <cell r="AK74">
            <v>929.7</v>
          </cell>
          <cell r="AL74">
            <v>1293.4000000000001</v>
          </cell>
          <cell r="AM74">
            <v>177.7</v>
          </cell>
          <cell r="AN74">
            <v>0</v>
          </cell>
          <cell r="AO74">
            <v>0</v>
          </cell>
          <cell r="AR74">
            <v>0</v>
          </cell>
          <cell r="AS74">
            <v>203.97300000000001</v>
          </cell>
          <cell r="AT74">
            <v>0</v>
          </cell>
          <cell r="AU74">
            <v>2464</v>
          </cell>
          <cell r="AV74">
            <v>2667.973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W75">
            <v>0</v>
          </cell>
          <cell r="X75">
            <v>0</v>
          </cell>
          <cell r="Y75">
            <v>0</v>
          </cell>
          <cell r="Z75">
            <v>300</v>
          </cell>
          <cell r="AA75">
            <v>0</v>
          </cell>
          <cell r="AB75">
            <v>0</v>
          </cell>
          <cell r="AC75">
            <v>132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196.1</v>
          </cell>
          <cell r="AM75">
            <v>0</v>
          </cell>
          <cell r="AN75">
            <v>0</v>
          </cell>
          <cell r="AO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W77">
            <v>2.4550000000000001</v>
          </cell>
          <cell r="X77">
            <v>45.417000000000002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7.5389999999999997</v>
          </cell>
          <cell r="AG77">
            <v>0</v>
          </cell>
          <cell r="AH77">
            <v>0</v>
          </cell>
          <cell r="AI77">
            <v>0</v>
          </cell>
          <cell r="AJ77">
            <v>1.321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91.567999999999998</v>
          </cell>
          <cell r="V78">
            <v>471.05399999999997</v>
          </cell>
          <cell r="W78">
            <v>1703.2080000000001</v>
          </cell>
          <cell r="X78">
            <v>375.39800000000002</v>
          </cell>
          <cell r="Y78">
            <v>271.21300000000002</v>
          </cell>
          <cell r="Z78">
            <v>809.50900000000001</v>
          </cell>
          <cell r="AA78">
            <v>402.92500000000001</v>
          </cell>
          <cell r="AB78">
            <v>3049.7260000000001</v>
          </cell>
          <cell r="AC78">
            <v>246.459</v>
          </cell>
          <cell r="AD78">
            <v>0</v>
          </cell>
          <cell r="AE78">
            <v>324.77800000000002</v>
          </cell>
          <cell r="AF78">
            <v>707.42499999999995</v>
          </cell>
          <cell r="AG78">
            <v>245.49199999999999</v>
          </cell>
          <cell r="AH78">
            <v>0</v>
          </cell>
          <cell r="AI78">
            <v>0</v>
          </cell>
          <cell r="AJ78">
            <v>404.96600000000001</v>
          </cell>
          <cell r="AK78">
            <v>45.4</v>
          </cell>
          <cell r="AL78">
            <v>3783.1</v>
          </cell>
          <cell r="AM78">
            <v>805.57983000000002</v>
          </cell>
          <cell r="AN78">
            <v>75.504999999999995</v>
          </cell>
          <cell r="AO78">
            <v>0</v>
          </cell>
          <cell r="AR78">
            <v>543.28300000000002</v>
          </cell>
          <cell r="AS78">
            <v>245.49199999999999</v>
          </cell>
          <cell r="AT78">
            <v>103.72</v>
          </cell>
          <cell r="AU78">
            <v>6209</v>
          </cell>
          <cell r="AV78">
            <v>6209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80">
          <cell r="Z80" t="str">
            <v>Purchase price</v>
          </cell>
          <cell r="AA80">
            <v>2427.7871613734401</v>
          </cell>
          <cell r="AK80">
            <v>1025.9000000000001</v>
          </cell>
        </row>
        <row r="81">
          <cell r="Z81" t="str">
            <v>Goodwill created</v>
          </cell>
          <cell r="AA81">
            <v>1618.2781613734401</v>
          </cell>
          <cell r="AQ81">
            <v>0.01</v>
          </cell>
        </row>
        <row r="83"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21.657</v>
          </cell>
          <cell r="V83">
            <v>248.679</v>
          </cell>
          <cell r="W83">
            <v>156.005</v>
          </cell>
          <cell r="X83">
            <v>157.667</v>
          </cell>
          <cell r="Y83">
            <v>266.45699999999999</v>
          </cell>
          <cell r="Z83">
            <v>5476.2640000000001</v>
          </cell>
          <cell r="AA83">
            <v>3518.8519999999999</v>
          </cell>
          <cell r="AB83">
            <v>9918.6090000000004</v>
          </cell>
          <cell r="AC83">
            <v>966.68299999999999</v>
          </cell>
          <cell r="AD83">
            <v>0</v>
          </cell>
          <cell r="AE83">
            <v>455.31200000000001</v>
          </cell>
          <cell r="AF83">
            <v>647.09299999999996</v>
          </cell>
          <cell r="AG83">
            <v>215.48400000000001</v>
          </cell>
          <cell r="AH83">
            <v>178.49700000000001</v>
          </cell>
          <cell r="AI83">
            <v>172.74</v>
          </cell>
          <cell r="AJ83">
            <v>351.23700000000002</v>
          </cell>
          <cell r="AK83">
            <v>809.9</v>
          </cell>
          <cell r="AL83">
            <v>9629</v>
          </cell>
          <cell r="AM83">
            <v>292.33499999999998</v>
          </cell>
          <cell r="AN83">
            <v>93.427999999999997</v>
          </cell>
          <cell r="AO83">
            <v>0</v>
          </cell>
          <cell r="AP83">
            <v>305.11900000000003</v>
          </cell>
          <cell r="AQ83">
            <v>37.41225</v>
          </cell>
          <cell r="AR83">
            <v>357.39400000000001</v>
          </cell>
          <cell r="AS83">
            <v>215.48400000000001</v>
          </cell>
          <cell r="AT83">
            <v>50.173999999999999</v>
          </cell>
          <cell r="AU83">
            <v>11541.3</v>
          </cell>
          <cell r="AV83">
            <v>11806.958000000001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17.899000000000001</v>
          </cell>
          <cell r="V84">
            <v>225.50800000000001</v>
          </cell>
          <cell r="W84">
            <v>141.75</v>
          </cell>
          <cell r="X84">
            <v>148.267</v>
          </cell>
          <cell r="Y84">
            <v>168.346</v>
          </cell>
          <cell r="Z84">
            <v>4805.4430000000002</v>
          </cell>
          <cell r="AA84">
            <v>2921.424</v>
          </cell>
          <cell r="AB84">
            <v>8467.9760000000006</v>
          </cell>
          <cell r="AC84">
            <v>924.50800000000004</v>
          </cell>
          <cell r="AD84">
            <v>0</v>
          </cell>
          <cell r="AE84">
            <v>449.39400000000001</v>
          </cell>
          <cell r="AF84">
            <v>593.89499999999998</v>
          </cell>
          <cell r="AG84">
            <v>181.416</v>
          </cell>
          <cell r="AH84">
            <v>124.28</v>
          </cell>
          <cell r="AI84">
            <v>174.83175</v>
          </cell>
          <cell r="AJ84">
            <v>299.11175000000003</v>
          </cell>
          <cell r="AK84">
            <v>708.8</v>
          </cell>
          <cell r="AL84">
            <v>8002.7</v>
          </cell>
          <cell r="AM84">
            <v>262.61099999999999</v>
          </cell>
          <cell r="AN84">
            <v>62.843999999999994</v>
          </cell>
          <cell r="AO84">
            <v>0</v>
          </cell>
          <cell r="AP84">
            <v>270.04000000000002</v>
          </cell>
          <cell r="AQ84">
            <v>33.266723499999998</v>
          </cell>
          <cell r="AR84">
            <v>326.089</v>
          </cell>
          <cell r="AS84">
            <v>181.416</v>
          </cell>
          <cell r="AT84">
            <v>46.067</v>
          </cell>
          <cell r="AU84">
            <v>10334.200000000001</v>
          </cell>
          <cell r="AV84">
            <v>10561.682999999999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1.7278360343183984E-2</v>
          </cell>
          <cell r="V85">
            <v>0.43128503980766286</v>
          </cell>
          <cell r="W85">
            <v>0.42099100438629095</v>
          </cell>
          <cell r="X85">
            <v>0.3300802249607146</v>
          </cell>
          <cell r="Y85">
            <v>0.21561950471758168</v>
          </cell>
          <cell r="Z85">
            <v>0.31872743830702677</v>
          </cell>
          <cell r="AA85">
            <v>0.29031699628740149</v>
          </cell>
          <cell r="AB85">
            <v>0.84</v>
          </cell>
          <cell r="AC85">
            <v>0.29162740478994892</v>
          </cell>
          <cell r="AD85">
            <v>0</v>
          </cell>
          <cell r="AE85">
            <v>6.0223542610213163E-2</v>
          </cell>
          <cell r="AF85">
            <v>0.44770700492409626</v>
          </cell>
          <cell r="AG85">
            <v>0.40808768517133026</v>
          </cell>
          <cell r="AH85">
            <v>0</v>
          </cell>
          <cell r="AI85">
            <v>0</v>
          </cell>
          <cell r="AJ85">
            <v>0.45888117014543139</v>
          </cell>
          <cell r="AK85">
            <v>0.4525043177892919</v>
          </cell>
          <cell r="AL85">
            <v>0.37332887700534761</v>
          </cell>
          <cell r="AM85">
            <v>0.45</v>
          </cell>
          <cell r="AN85">
            <v>7.0000000000000007E-2</v>
          </cell>
          <cell r="AO85">
            <v>0</v>
          </cell>
          <cell r="AP85">
            <v>0.30981640291161994</v>
          </cell>
          <cell r="AQ85">
            <v>0.15012607013017476</v>
          </cell>
          <cell r="AR85">
            <v>0.36397215097105173</v>
          </cell>
          <cell r="AS85">
            <v>10.909000000000001</v>
          </cell>
          <cell r="AT85">
            <v>1.883</v>
          </cell>
          <cell r="AU85">
            <v>0</v>
          </cell>
          <cell r="AV85">
            <v>0.71137334829321408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-1.5869880152772291E-2</v>
          </cell>
          <cell r="V86">
            <v>0.37235744721740821</v>
          </cell>
          <cell r="W86">
            <v>0.38252283498449885</v>
          </cell>
          <cell r="X86">
            <v>0.32712136578769435</v>
          </cell>
          <cell r="Y86">
            <v>0.19861669236299087</v>
          </cell>
          <cell r="Z86">
            <v>0.19353407875648096</v>
          </cell>
          <cell r="AA86">
            <v>0.24000267823754298</v>
          </cell>
          <cell r="AB86">
            <v>0.86386163431927232</v>
          </cell>
          <cell r="AC86">
            <v>0.25331095131911907</v>
          </cell>
          <cell r="AD86">
            <v>0</v>
          </cell>
          <cell r="AE86">
            <v>-5.3598091495930367E-2</v>
          </cell>
          <cell r="AF86">
            <v>0.36981411950122839</v>
          </cell>
          <cell r="AG86">
            <v>0.41052728681598466</v>
          </cell>
          <cell r="AH86">
            <v>0</v>
          </cell>
          <cell r="AI86">
            <v>0</v>
          </cell>
          <cell r="AJ86">
            <v>0.27767711258448685</v>
          </cell>
          <cell r="AK86">
            <v>0.29782807151007989</v>
          </cell>
          <cell r="AL86">
            <v>0.2348356489325652</v>
          </cell>
          <cell r="AM86">
            <v>0.41</v>
          </cell>
          <cell r="AN86">
            <v>-0.04</v>
          </cell>
          <cell r="AO86">
            <v>0</v>
          </cell>
          <cell r="AP86">
            <v>0.26646511352184482</v>
          </cell>
          <cell r="AQ86">
            <v>0.1235437885176776</v>
          </cell>
          <cell r="AR86">
            <v>0.31</v>
          </cell>
          <cell r="AS86">
            <v>11.1257</v>
          </cell>
          <cell r="AT86">
            <v>1.389</v>
          </cell>
          <cell r="AU86">
            <v>0</v>
          </cell>
          <cell r="AV86">
            <v>0.59019103295155451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8">
          <cell r="AK88">
            <v>1000</v>
          </cell>
        </row>
        <row r="90"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62.274999999999999</v>
          </cell>
          <cell r="W90">
            <v>476.03399999999999</v>
          </cell>
          <cell r="X90">
            <v>488.137</v>
          </cell>
          <cell r="Y90">
            <v>266.45699999999999</v>
          </cell>
          <cell r="Z90">
            <v>15240.338</v>
          </cell>
          <cell r="AA90">
            <v>10306.288</v>
          </cell>
          <cell r="AB90">
            <v>19604.884999999998</v>
          </cell>
          <cell r="AC90">
            <v>966.68299999999999</v>
          </cell>
          <cell r="AD90">
            <v>0</v>
          </cell>
          <cell r="AE90">
            <v>1350.422</v>
          </cell>
          <cell r="AF90">
            <v>647.09299999999996</v>
          </cell>
          <cell r="AG90">
            <v>215.48400000000001</v>
          </cell>
          <cell r="AH90">
            <v>465.33100000000002</v>
          </cell>
          <cell r="AI90">
            <v>518.22</v>
          </cell>
          <cell r="AJ90">
            <v>983.55100000000004</v>
          </cell>
          <cell r="AK90">
            <v>1585.4</v>
          </cell>
          <cell r="AL90">
            <v>27094.2</v>
          </cell>
          <cell r="AM90">
            <v>0</v>
          </cell>
          <cell r="AN90">
            <v>93.427999999999997</v>
          </cell>
          <cell r="AO90">
            <v>0</v>
          </cell>
          <cell r="AP90">
            <v>0</v>
          </cell>
          <cell r="AQ90">
            <v>0</v>
          </cell>
          <cell r="AR90">
            <v>1049.2940000000001</v>
          </cell>
          <cell r="AS90">
            <v>621.09399999999994</v>
          </cell>
          <cell r="AT90">
            <v>161.69800000000001</v>
          </cell>
          <cell r="AU90">
            <v>32628.400000000001</v>
          </cell>
          <cell r="AV90">
            <v>33411.191999999995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53.747999999999998</v>
          </cell>
          <cell r="W91">
            <v>425.25</v>
          </cell>
          <cell r="X91">
            <v>449.28500000000003</v>
          </cell>
          <cell r="Y91">
            <v>168.346</v>
          </cell>
          <cell r="Z91">
            <v>13888.268</v>
          </cell>
          <cell r="AA91">
            <v>8582.2189999999991</v>
          </cell>
          <cell r="AB91">
            <v>16551.510999999999</v>
          </cell>
          <cell r="AC91">
            <v>924.50800000000004</v>
          </cell>
          <cell r="AD91">
            <v>0</v>
          </cell>
          <cell r="AE91">
            <v>1367.192</v>
          </cell>
          <cell r="AF91">
            <v>593.89499999999998</v>
          </cell>
          <cell r="AG91">
            <v>181.416</v>
          </cell>
          <cell r="AH91">
            <v>337.72699999999998</v>
          </cell>
          <cell r="AI91">
            <v>524.49524999999994</v>
          </cell>
          <cell r="AJ91">
            <v>862.22224999999992</v>
          </cell>
          <cell r="AK91">
            <v>1395.8</v>
          </cell>
          <cell r="AL91">
            <v>22885.200000000001</v>
          </cell>
          <cell r="AM91">
            <v>0</v>
          </cell>
          <cell r="AN91">
            <v>62.844000000000001</v>
          </cell>
          <cell r="AO91">
            <v>0</v>
          </cell>
          <cell r="AP91">
            <v>270.04000000000002</v>
          </cell>
          <cell r="AQ91">
            <v>0</v>
          </cell>
          <cell r="AR91">
            <v>965.88300000000004</v>
          </cell>
          <cell r="AS91">
            <v>507.48599999999999</v>
          </cell>
          <cell r="AT91">
            <v>135.73500000000001</v>
          </cell>
          <cell r="AU91">
            <v>28405.8</v>
          </cell>
          <cell r="AV91">
            <v>29049.021000000001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71.149000000000001</v>
          </cell>
          <cell r="V92">
            <v>859.20799999999997</v>
          </cell>
          <cell r="W92">
            <v>567</v>
          </cell>
          <cell r="X92">
            <v>598.23099999999999</v>
          </cell>
          <cell r="Y92">
            <v>805.12</v>
          </cell>
          <cell r="Z92">
            <v>18725.611000000001</v>
          </cell>
          <cell r="AA92">
            <v>11609.995000000001</v>
          </cell>
          <cell r="AB92">
            <v>34599.31</v>
          </cell>
          <cell r="AC92">
            <v>3814.9940000000001</v>
          </cell>
          <cell r="AD92">
            <v>0</v>
          </cell>
          <cell r="AE92">
            <v>1794.932</v>
          </cell>
          <cell r="AF92">
            <v>2558.2429999999999</v>
          </cell>
          <cell r="AG92">
            <v>774.71799999999996</v>
          </cell>
          <cell r="AH92">
            <v>0</v>
          </cell>
          <cell r="AI92">
            <v>0</v>
          </cell>
          <cell r="AJ92">
            <v>1192.922</v>
          </cell>
          <cell r="AK92">
            <v>2880</v>
          </cell>
          <cell r="AL92">
            <v>31280.2</v>
          </cell>
          <cell r="AM92">
            <v>1179.4469999999999</v>
          </cell>
          <cell r="AN92">
            <v>297.92500000000001</v>
          </cell>
          <cell r="AO92">
            <v>0</v>
          </cell>
          <cell r="AP92">
            <v>1156.4549999999999</v>
          </cell>
          <cell r="AQ92">
            <v>149.649</v>
          </cell>
          <cell r="AR92">
            <v>1306.1039999999998</v>
          </cell>
          <cell r="AS92">
            <v>695.178</v>
          </cell>
          <cell r="AT92">
            <v>189.06200000000001</v>
          </cell>
          <cell r="AU92">
            <v>38660.1</v>
          </cell>
          <cell r="AV92">
            <v>39544.339999999997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Z93">
            <v>20077.681</v>
          </cell>
          <cell r="AA93">
            <v>13334.064000000004</v>
          </cell>
        </row>
        <row r="94">
          <cell r="AA94" t="str">
            <v>Gross profit margin</v>
          </cell>
          <cell r="AB94">
            <v>0.94488973862334935</v>
          </cell>
          <cell r="AP94" t="str">
            <v>Webster 2 mos. 2002 rev Stub</v>
          </cell>
          <cell r="AR94">
            <v>33.628000000000043</v>
          </cell>
        </row>
        <row r="95">
          <cell r="AP95" t="str">
            <v>Webster 9 mos. 2001 rev Stub</v>
          </cell>
          <cell r="AR95">
            <v>114.54700000000003</v>
          </cell>
        </row>
        <row r="97"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19.698</v>
          </cell>
          <cell r="W97">
            <v>216.41900000000001</v>
          </cell>
          <cell r="X97">
            <v>216.59299999999999</v>
          </cell>
          <cell r="Y97">
            <v>236.62700000000001</v>
          </cell>
          <cell r="Z97">
            <v>14275.785999999998</v>
          </cell>
          <cell r="AA97">
            <v>9872.7469999999994</v>
          </cell>
          <cell r="AB97">
            <v>18618.958999999999</v>
          </cell>
          <cell r="AC97">
            <v>863.65200000000004</v>
          </cell>
          <cell r="AD97">
            <v>0</v>
          </cell>
          <cell r="AE97">
            <v>1038.3720000000001</v>
          </cell>
          <cell r="AF97">
            <v>468.70299999999997</v>
          </cell>
          <cell r="AG97">
            <v>133.029</v>
          </cell>
          <cell r="AH97">
            <v>391.76600000000002</v>
          </cell>
          <cell r="AI97">
            <v>360.16800000000001</v>
          </cell>
          <cell r="AJ97">
            <v>751.93399999999997</v>
          </cell>
          <cell r="AK97">
            <v>1166.8</v>
          </cell>
          <cell r="AL97">
            <v>25081.3</v>
          </cell>
          <cell r="AM97">
            <v>0</v>
          </cell>
          <cell r="AN97">
            <v>81.884</v>
          </cell>
          <cell r="AO97">
            <v>0</v>
          </cell>
          <cell r="AR97">
            <v>686.7298876000001</v>
          </cell>
          <cell r="AS97">
            <v>384.524</v>
          </cell>
          <cell r="AT97">
            <v>112.71599999999999</v>
          </cell>
          <cell r="AU97">
            <v>29644.7</v>
          </cell>
          <cell r="AV97">
            <v>30141.94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18.738</v>
          </cell>
          <cell r="W98">
            <v>181.52725172831819</v>
          </cell>
          <cell r="X98">
            <v>198.11799999999999</v>
          </cell>
          <cell r="Y98">
            <v>146.73599999999999</v>
          </cell>
          <cell r="Z98">
            <v>12953.74</v>
          </cell>
          <cell r="AA98">
            <v>8201.2559999999994</v>
          </cell>
          <cell r="AB98">
            <v>15629.226999999999</v>
          </cell>
          <cell r="AC98">
            <v>825.625</v>
          </cell>
          <cell r="AD98">
            <v>0</v>
          </cell>
          <cell r="AE98">
            <v>1046.492</v>
          </cell>
          <cell r="AF98">
            <v>434.53800000000001</v>
          </cell>
          <cell r="AG98">
            <v>112.727</v>
          </cell>
          <cell r="AH98">
            <v>289.32</v>
          </cell>
          <cell r="AI98">
            <v>365.86500000000001</v>
          </cell>
          <cell r="AJ98">
            <v>655.18499999999995</v>
          </cell>
          <cell r="AK98">
            <v>1040.5999999999999</v>
          </cell>
          <cell r="AL98">
            <v>21145.200000000001</v>
          </cell>
          <cell r="AM98">
            <v>0</v>
          </cell>
          <cell r="AN98">
            <v>54.695999999999998</v>
          </cell>
          <cell r="AO98">
            <v>0</v>
          </cell>
          <cell r="AP98">
            <v>176.94499999999999</v>
          </cell>
          <cell r="AQ98">
            <v>0</v>
          </cell>
          <cell r="AR98">
            <v>636.44850990000009</v>
          </cell>
          <cell r="AS98">
            <v>320.38800000000003</v>
          </cell>
          <cell r="AT98">
            <v>96.327999999999989</v>
          </cell>
          <cell r="AU98">
            <v>25771.1</v>
          </cell>
          <cell r="AV98">
            <v>26187.815999999999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24.577000000000002</v>
          </cell>
          <cell r="V99">
            <v>311.23200000000003</v>
          </cell>
          <cell r="W99">
            <v>242.03633563775759</v>
          </cell>
          <cell r="X99">
            <v>265.58699999999999</v>
          </cell>
          <cell r="Y99">
            <v>712.971</v>
          </cell>
          <cell r="Z99">
            <v>17486.464</v>
          </cell>
          <cell r="AA99">
            <v>11090.414000000001</v>
          </cell>
          <cell r="AB99">
            <v>32718.568999999996</v>
          </cell>
          <cell r="AC99">
            <v>3406.7579999999998</v>
          </cell>
          <cell r="AD99">
            <v>0</v>
          </cell>
          <cell r="AE99">
            <v>1384.3860000000002</v>
          </cell>
          <cell r="AF99">
            <v>1858.9190000000001</v>
          </cell>
          <cell r="AG99">
            <v>479.73500000000001</v>
          </cell>
          <cell r="AH99">
            <v>0</v>
          </cell>
          <cell r="AI99">
            <v>0</v>
          </cell>
          <cell r="AJ99">
            <v>914.89700000000005</v>
          </cell>
          <cell r="AK99">
            <v>2142.8000000000002</v>
          </cell>
          <cell r="AL99">
            <v>28849.200000000001</v>
          </cell>
          <cell r="AM99">
            <v>613.04200000000003</v>
          </cell>
          <cell r="AN99">
            <v>262.23200000000003</v>
          </cell>
          <cell r="AO99">
            <v>0</v>
          </cell>
          <cell r="AP99">
            <v>747.30100000000004</v>
          </cell>
          <cell r="AQ99">
            <v>110.994</v>
          </cell>
          <cell r="AR99">
            <v>858.29499999999996</v>
          </cell>
          <cell r="AS99">
            <v>435.90100000000001</v>
          </cell>
          <cell r="AT99">
            <v>133.524</v>
          </cell>
          <cell r="AU99">
            <v>35050.199999999997</v>
          </cell>
          <cell r="AV99">
            <v>35619.624999999993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Z100">
            <v>18808.509999999998</v>
          </cell>
          <cell r="AA100">
            <v>12761.905000000001</v>
          </cell>
        </row>
        <row r="101">
          <cell r="AA101" t="str">
            <v>SG&amp;A margin</v>
          </cell>
          <cell r="AB101">
            <v>3.5396086017057772E-2</v>
          </cell>
        </row>
        <row r="104"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31.42</v>
          </cell>
          <cell r="W104">
            <v>132.999</v>
          </cell>
          <cell r="X104">
            <v>150.18799999999999</v>
          </cell>
          <cell r="Y104">
            <v>14.661</v>
          </cell>
          <cell r="Z104">
            <v>700.26400000000001</v>
          </cell>
          <cell r="AA104">
            <v>241.745</v>
          </cell>
          <cell r="AB104">
            <v>602.16800000000001</v>
          </cell>
          <cell r="AC104">
            <v>75.724000000000004</v>
          </cell>
          <cell r="AD104">
            <v>0</v>
          </cell>
          <cell r="AE104">
            <v>290.37700000000001</v>
          </cell>
          <cell r="AF104">
            <v>143.19200000000001</v>
          </cell>
          <cell r="AG104">
            <v>51.006999999999998</v>
          </cell>
          <cell r="AH104">
            <v>31.154</v>
          </cell>
          <cell r="AI104">
            <v>102.20399999999999</v>
          </cell>
          <cell r="AJ104">
            <v>133.358</v>
          </cell>
          <cell r="AK104">
            <v>303.60000000000002</v>
          </cell>
          <cell r="AL104">
            <v>1518.1</v>
          </cell>
          <cell r="AM104">
            <v>0</v>
          </cell>
          <cell r="AN104">
            <v>10.985999999999999</v>
          </cell>
          <cell r="AO104">
            <v>0</v>
          </cell>
          <cell r="AR104">
            <v>256.42146035999997</v>
          </cell>
          <cell r="AS104">
            <v>150.73399999999998</v>
          </cell>
          <cell r="AT104">
            <v>39.524999999999999</v>
          </cell>
          <cell r="AU104">
            <v>1552.4</v>
          </cell>
          <cell r="AV104">
            <v>1742.6590000000001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27.006000000000004</v>
          </cell>
          <cell r="W105">
            <v>156.1768782149995</v>
          </cell>
          <cell r="X105">
            <v>144.71100000000001</v>
          </cell>
          <cell r="Y105">
            <v>8.9809999999999999</v>
          </cell>
          <cell r="Z105">
            <v>717.07899999999995</v>
          </cell>
          <cell r="AA105">
            <v>224.512</v>
          </cell>
          <cell r="AB105">
            <v>597.33799999999997</v>
          </cell>
          <cell r="AC105">
            <v>72.700999999999993</v>
          </cell>
          <cell r="AD105">
            <v>0</v>
          </cell>
          <cell r="AE105">
            <v>325.358</v>
          </cell>
          <cell r="AF105">
            <v>129.94999999999999</v>
          </cell>
          <cell r="AG105">
            <v>39.011000000000003</v>
          </cell>
          <cell r="AH105">
            <v>21.861000000000001</v>
          </cell>
          <cell r="AI105">
            <v>112.542</v>
          </cell>
          <cell r="AJ105">
            <v>134.40299999999999</v>
          </cell>
          <cell r="AK105">
            <v>258.39999999999998</v>
          </cell>
          <cell r="AL105">
            <v>1369.4</v>
          </cell>
          <cell r="AM105">
            <v>0</v>
          </cell>
          <cell r="AN105">
            <v>8.2260000000000009</v>
          </cell>
          <cell r="AO105">
            <v>0</v>
          </cell>
          <cell r="AP105">
            <v>68.897000000000006</v>
          </cell>
          <cell r="AQ105">
            <v>0</v>
          </cell>
          <cell r="AR105">
            <v>238.47122689000003</v>
          </cell>
          <cell r="AS105">
            <v>116.28100000000001</v>
          </cell>
          <cell r="AT105">
            <v>33.345999999999997</v>
          </cell>
          <cell r="AU105">
            <v>1431.9</v>
          </cell>
          <cell r="AV105">
            <v>1581.527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33.099999999999994</v>
          </cell>
          <cell r="V106">
            <v>269.70600000000002</v>
          </cell>
          <cell r="W106">
            <v>208.23583761999933</v>
          </cell>
          <cell r="X106">
            <v>181.56799999999998</v>
          </cell>
          <cell r="Y106">
            <v>48.348999999999997</v>
          </cell>
          <cell r="Z106">
            <v>879.18899999999996</v>
          </cell>
          <cell r="AA106">
            <v>303.03800000000001</v>
          </cell>
          <cell r="AB106">
            <v>1197.5029999999999</v>
          </cell>
          <cell r="AC106">
            <v>296.80700000000002</v>
          </cell>
          <cell r="AD106">
            <v>0</v>
          </cell>
          <cell r="AE106">
            <v>384.77600000000001</v>
          </cell>
          <cell r="AF106">
            <v>544.27799999999991</v>
          </cell>
          <cell r="AG106">
            <v>180.54499999999999</v>
          </cell>
          <cell r="AH106">
            <v>0</v>
          </cell>
          <cell r="AI106">
            <v>0</v>
          </cell>
          <cell r="AJ106">
            <v>172.601</v>
          </cell>
          <cell r="AK106">
            <v>0</v>
          </cell>
          <cell r="AL106">
            <v>2075.5</v>
          </cell>
          <cell r="AM106">
            <v>347.03</v>
          </cell>
          <cell r="AN106">
            <v>34.326999999999998</v>
          </cell>
          <cell r="AO106">
            <v>0</v>
          </cell>
          <cell r="AP106">
            <v>294.03899999999999</v>
          </cell>
          <cell r="AQ106">
            <v>28.146000000000001</v>
          </cell>
          <cell r="AR106">
            <v>322.185</v>
          </cell>
          <cell r="AS106">
            <v>158.08800000000002</v>
          </cell>
          <cell r="AT106">
            <v>46.335999999999999</v>
          </cell>
          <cell r="AU106">
            <v>1999.6</v>
          </cell>
          <cell r="AV106">
            <v>2204.0239999999999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Z107">
            <v>862.37400000000002</v>
          </cell>
          <cell r="AA107">
            <v>320.27100000000002</v>
          </cell>
        </row>
        <row r="108">
          <cell r="AB108">
            <v>683.23800000000188</v>
          </cell>
        </row>
        <row r="111"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11.292999999999999</v>
          </cell>
          <cell r="W111">
            <v>29.094999999999999</v>
          </cell>
          <cell r="X111">
            <v>33.395000000000003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8.11</v>
          </cell>
          <cell r="W112">
            <v>31.519609449231673</v>
          </cell>
          <cell r="X112">
            <v>30.375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11.116</v>
          </cell>
          <cell r="V113">
            <v>46.601999999999997</v>
          </cell>
          <cell r="W113">
            <v>42.0261459323089</v>
          </cell>
          <cell r="X113">
            <v>39.486000000000004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147.5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6">
          <cell r="AF116">
            <v>29.406999999999982</v>
          </cell>
        </row>
        <row r="117">
          <cell r="AF117">
            <v>155.04599999999994</v>
          </cell>
        </row>
        <row r="119"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-0.1359999999999999</v>
          </cell>
          <cell r="W119">
            <v>97.520999999999987</v>
          </cell>
          <cell r="X119">
            <v>87.960999999999999</v>
          </cell>
          <cell r="Y119">
            <v>14.523</v>
          </cell>
          <cell r="Z119">
            <v>264.28800000000001</v>
          </cell>
          <cell r="AA119">
            <v>179.416</v>
          </cell>
          <cell r="AB119">
            <v>354.30900000000003</v>
          </cell>
          <cell r="AC119">
            <v>23.326000000000001</v>
          </cell>
          <cell r="AD119">
            <v>0</v>
          </cell>
          <cell r="AE119">
            <v>25.34</v>
          </cell>
          <cell r="AF119">
            <v>35.198</v>
          </cell>
          <cell r="AG119">
            <v>21.308</v>
          </cell>
          <cell r="AH119">
            <v>36.216000000000001</v>
          </cell>
          <cell r="AI119">
            <v>28.707000000000001</v>
          </cell>
          <cell r="AJ119">
            <v>64.923000000000002</v>
          </cell>
          <cell r="AK119">
            <v>115</v>
          </cell>
          <cell r="AL119">
            <v>552.70000000000005</v>
          </cell>
          <cell r="AM119">
            <v>0</v>
          </cell>
          <cell r="AN119">
            <v>11.609</v>
          </cell>
          <cell r="AO119">
            <v>0</v>
          </cell>
          <cell r="AR119">
            <v>110.62633092</v>
          </cell>
          <cell r="AS119">
            <v>53.835000000000001</v>
          </cell>
          <cell r="AT119">
            <v>9.4570000000000007</v>
          </cell>
          <cell r="AU119">
            <v>1431.3</v>
          </cell>
          <cell r="AV119">
            <v>1494.5920000000001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-0.10600000000000165</v>
          </cell>
          <cell r="W120">
            <v>53.954883522820339</v>
          </cell>
          <cell r="X120">
            <v>76.080999999999989</v>
          </cell>
          <cell r="Y120">
            <v>12.225</v>
          </cell>
          <cell r="Z120">
            <v>217.44900000000001</v>
          </cell>
          <cell r="AA120">
            <v>144.625</v>
          </cell>
          <cell r="AB120">
            <v>294.02499999999998</v>
          </cell>
          <cell r="AC120">
            <v>20.574999999999999</v>
          </cell>
          <cell r="AD120">
            <v>0</v>
          </cell>
          <cell r="AE120">
            <v>34.225999999999999</v>
          </cell>
          <cell r="AF120">
            <v>29.407</v>
          </cell>
          <cell r="AG120">
            <v>21.936999999999998</v>
          </cell>
          <cell r="AH120">
            <v>19.831</v>
          </cell>
          <cell r="AI120">
            <v>26.346000000000004</v>
          </cell>
          <cell r="AJ120">
            <v>46.177000000000007</v>
          </cell>
          <cell r="AK120">
            <v>96.8</v>
          </cell>
          <cell r="AL120">
            <v>410.5</v>
          </cell>
          <cell r="AM120">
            <v>0</v>
          </cell>
          <cell r="AN120">
            <v>9.3010000000000002</v>
          </cell>
          <cell r="AO120">
            <v>0</v>
          </cell>
          <cell r="AP120">
            <v>24.198</v>
          </cell>
          <cell r="AQ120">
            <v>0</v>
          </cell>
          <cell r="AR120">
            <v>96.873057330000009</v>
          </cell>
          <cell r="AS120">
            <v>48.537999999999997</v>
          </cell>
          <cell r="AT120">
            <v>6.46</v>
          </cell>
          <cell r="AU120">
            <v>1203.8</v>
          </cell>
          <cell r="AV120">
            <v>1258.7979999999998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0.8819999999999979</v>
          </cell>
          <cell r="V121">
            <v>231.66800000000001</v>
          </cell>
          <cell r="W121">
            <v>71.93984469709379</v>
          </cell>
          <cell r="X121">
            <v>111.59</v>
          </cell>
          <cell r="Y121">
            <v>45.207000000000001</v>
          </cell>
          <cell r="Z121">
            <v>283.30200000000002</v>
          </cell>
          <cell r="AA121">
            <v>200.434</v>
          </cell>
          <cell r="AB121">
            <v>620.68299999999999</v>
          </cell>
          <cell r="AC121">
            <v>88.96</v>
          </cell>
          <cell r="AD121">
            <v>0</v>
          </cell>
          <cell r="AE121">
            <v>25.77</v>
          </cell>
          <cell r="AF121">
            <v>155.04599999999999</v>
          </cell>
          <cell r="AG121">
            <v>74.876999999999995</v>
          </cell>
          <cell r="AH121">
            <v>0</v>
          </cell>
          <cell r="AI121">
            <v>0</v>
          </cell>
          <cell r="AJ121">
            <v>56.185000000000002</v>
          </cell>
          <cell r="AK121">
            <v>209</v>
          </cell>
          <cell r="AL121">
            <v>576.79999999999995</v>
          </cell>
          <cell r="AM121">
            <v>219.375</v>
          </cell>
          <cell r="AN121">
            <v>-5.774</v>
          </cell>
          <cell r="AO121">
            <v>0</v>
          </cell>
          <cell r="AP121">
            <v>115.11499999999999</v>
          </cell>
          <cell r="AQ121">
            <v>10.509</v>
          </cell>
          <cell r="AR121">
            <v>122.532</v>
          </cell>
          <cell r="AS121">
            <v>68.950999999999993</v>
          </cell>
          <cell r="AT121">
            <v>9.202</v>
          </cell>
          <cell r="AU121">
            <v>1612</v>
          </cell>
          <cell r="AV121">
            <v>1690.153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Z122">
            <v>330.14100000000002</v>
          </cell>
          <cell r="AA122">
            <v>235.22499999999999</v>
          </cell>
        </row>
        <row r="123">
          <cell r="AA123" t="str">
            <v>EBIT margin</v>
          </cell>
          <cell r="AB123">
            <v>1.6921175472876377E-2</v>
          </cell>
        </row>
        <row r="126"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-0.76</v>
          </cell>
          <cell r="W126">
            <v>7.9530000000000003</v>
          </cell>
          <cell r="X126">
            <v>19.346</v>
          </cell>
          <cell r="Y126">
            <v>0</v>
          </cell>
          <cell r="Z126">
            <v>112.25200000000001</v>
          </cell>
          <cell r="AA126">
            <v>20.698333333333334</v>
          </cell>
          <cell r="AB126">
            <v>75.745000000000005</v>
          </cell>
          <cell r="AC126">
            <v>3.367</v>
          </cell>
          <cell r="AD126">
            <v>0</v>
          </cell>
          <cell r="AE126">
            <v>9.7590000000000003</v>
          </cell>
          <cell r="AF126">
            <v>4.8280000000000003</v>
          </cell>
          <cell r="AG126">
            <v>0</v>
          </cell>
          <cell r="AH126">
            <v>0</v>
          </cell>
          <cell r="AI126">
            <v>0.11</v>
          </cell>
          <cell r="AJ126">
            <v>7.6979999999999995</v>
          </cell>
          <cell r="AK126">
            <v>47.4</v>
          </cell>
          <cell r="AL126">
            <v>81.2</v>
          </cell>
          <cell r="AM126">
            <v>0</v>
          </cell>
          <cell r="AN126">
            <v>8.6999999999999994E-2</v>
          </cell>
          <cell r="AO126">
            <v>0</v>
          </cell>
          <cell r="AP126">
            <v>0</v>
          </cell>
          <cell r="AQ126">
            <v>0</v>
          </cell>
          <cell r="AR126">
            <v>8.3000000000000004E-2</v>
          </cell>
          <cell r="AS126">
            <v>5.7580000000000009</v>
          </cell>
          <cell r="AT126">
            <v>0</v>
          </cell>
          <cell r="AU126">
            <v>107</v>
          </cell>
          <cell r="AV126">
            <v>112.758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-0.91200000000000003</v>
          </cell>
          <cell r="W127">
            <v>10.056750000000001</v>
          </cell>
          <cell r="X127">
            <v>20.728999999999999</v>
          </cell>
          <cell r="Y127">
            <v>0</v>
          </cell>
          <cell r="Z127">
            <v>91.204999999999998</v>
          </cell>
          <cell r="AA127">
            <v>31.202999999999999</v>
          </cell>
          <cell r="AB127">
            <v>91.802999999999997</v>
          </cell>
          <cell r="AC127">
            <v>5.032</v>
          </cell>
          <cell r="AD127">
            <v>0</v>
          </cell>
          <cell r="AE127">
            <v>14.395</v>
          </cell>
          <cell r="AF127">
            <v>5.3680000000000003</v>
          </cell>
          <cell r="AG127">
            <v>0</v>
          </cell>
          <cell r="AH127">
            <v>0</v>
          </cell>
          <cell r="AI127">
            <v>5.109</v>
          </cell>
          <cell r="AJ127">
            <v>7.6979999999999995</v>
          </cell>
          <cell r="AK127">
            <v>52.5</v>
          </cell>
          <cell r="AL127">
            <v>84.4</v>
          </cell>
          <cell r="AM127">
            <v>0</v>
          </cell>
          <cell r="AN127">
            <v>4.8000000000000001E-2</v>
          </cell>
          <cell r="AO127">
            <v>0</v>
          </cell>
          <cell r="AP127">
            <v>0</v>
          </cell>
          <cell r="AQ127">
            <v>0</v>
          </cell>
          <cell r="AR127">
            <v>9.8000000000000004E-2</v>
          </cell>
          <cell r="AS127">
            <v>8.14</v>
          </cell>
          <cell r="AT127">
            <v>0</v>
          </cell>
          <cell r="AU127">
            <v>116.9</v>
          </cell>
          <cell r="AV127">
            <v>125.04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-1.3460000000000001</v>
          </cell>
          <cell r="V128">
            <v>1.258</v>
          </cell>
          <cell r="W128">
            <v>13.409000000000002</v>
          </cell>
          <cell r="X128">
            <v>26.922000000000001</v>
          </cell>
          <cell r="Y128">
            <v>0</v>
          </cell>
          <cell r="Z128">
            <v>159.06666666666669</v>
          </cell>
          <cell r="AA128">
            <v>41.856999999999999</v>
          </cell>
          <cell r="AB128">
            <v>200.92366666666669</v>
          </cell>
          <cell r="AC128">
            <v>17.692999999999998</v>
          </cell>
          <cell r="AD128">
            <v>0</v>
          </cell>
          <cell r="AE128">
            <v>19.670000000000002</v>
          </cell>
          <cell r="AF128">
            <v>17.324000000000002</v>
          </cell>
          <cell r="AG128">
            <v>13.374000000000001</v>
          </cell>
          <cell r="AH128">
            <v>0</v>
          </cell>
          <cell r="AI128">
            <v>0</v>
          </cell>
          <cell r="AJ128">
            <v>8.6509999999999998</v>
          </cell>
          <cell r="AK128">
            <v>100.8</v>
          </cell>
          <cell r="AL128">
            <v>111.6</v>
          </cell>
          <cell r="AM128">
            <v>16.542000000000002</v>
          </cell>
          <cell r="AN128">
            <v>0</v>
          </cell>
          <cell r="AO128">
            <v>0</v>
          </cell>
          <cell r="AP128">
            <v>7.0810000000000004</v>
          </cell>
          <cell r="AQ128">
            <v>0.13100000000000001</v>
          </cell>
          <cell r="AR128">
            <v>4.6910000000000007</v>
          </cell>
          <cell r="AS128">
            <v>15.755999999999998</v>
          </cell>
          <cell r="AT128">
            <v>0</v>
          </cell>
          <cell r="AU128">
            <v>154.9</v>
          </cell>
          <cell r="AV128">
            <v>170.65600000000001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33"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W133">
            <v>16.024000000000001</v>
          </cell>
          <cell r="X133">
            <v>2.1579999999999999</v>
          </cell>
          <cell r="Y133">
            <v>0.86699999999999999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0.32600000000000001</v>
          </cell>
          <cell r="AF133">
            <v>2.4390000000000001</v>
          </cell>
          <cell r="AG133">
            <v>0</v>
          </cell>
          <cell r="AH133">
            <v>0.83799999999999997</v>
          </cell>
          <cell r="AI133">
            <v>0</v>
          </cell>
          <cell r="AJ133">
            <v>0.83799999999999997</v>
          </cell>
          <cell r="AL133">
            <v>0</v>
          </cell>
          <cell r="AM133">
            <v>0</v>
          </cell>
          <cell r="AN133">
            <v>0.112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2.2650000000000001</v>
          </cell>
          <cell r="AT133">
            <v>0.22300000000000003</v>
          </cell>
          <cell r="AU133">
            <v>0</v>
          </cell>
          <cell r="AV133">
            <v>2.488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W134">
            <v>11.177</v>
          </cell>
          <cell r="X134">
            <v>2.5390000000000001</v>
          </cell>
          <cell r="Y134">
            <v>1.873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1.8080000000000001</v>
          </cell>
          <cell r="AF134">
            <v>1.2410000000000001</v>
          </cell>
          <cell r="AG134">
            <v>0</v>
          </cell>
          <cell r="AH134">
            <v>2.1259999999999999</v>
          </cell>
          <cell r="AI134">
            <v>0</v>
          </cell>
          <cell r="AJ134">
            <v>2.1259999999999999</v>
          </cell>
          <cell r="AL134">
            <v>0</v>
          </cell>
          <cell r="AM134">
            <v>0</v>
          </cell>
          <cell r="AN134">
            <v>0.05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2.298</v>
          </cell>
          <cell r="AT134">
            <v>1.3530000000000002</v>
          </cell>
          <cell r="AU134">
            <v>0</v>
          </cell>
          <cell r="AV134">
            <v>3.6510000000000002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6.2229999999999999</v>
          </cell>
          <cell r="W135">
            <v>14.902666666666667</v>
          </cell>
          <cell r="X135">
            <v>3.4860000000000002</v>
          </cell>
          <cell r="Y135">
            <v>5.9720000000000004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2.706</v>
          </cell>
          <cell r="AF135">
            <v>10.077999999999999</v>
          </cell>
          <cell r="AG135">
            <v>2.2650000000000001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0.56799999999999995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2.298</v>
          </cell>
          <cell r="AT135">
            <v>1.542</v>
          </cell>
          <cell r="AU135">
            <v>0</v>
          </cell>
          <cell r="AV135">
            <v>3.84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41"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W141">
            <v>0.98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0.56899999999999995</v>
          </cell>
          <cell r="AG141">
            <v>0</v>
          </cell>
          <cell r="AH141">
            <v>0.5796</v>
          </cell>
          <cell r="AI141">
            <v>0</v>
          </cell>
          <cell r="AJ141">
            <v>0.5796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W142">
            <v>0.06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0.53100000000000003</v>
          </cell>
          <cell r="AG142">
            <v>0</v>
          </cell>
          <cell r="AH142">
            <v>0.28559999999999997</v>
          </cell>
          <cell r="AI142">
            <v>0</v>
          </cell>
          <cell r="AJ142">
            <v>0.28559999999999997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1.462</v>
          </cell>
          <cell r="AG143">
            <v>0</v>
          </cell>
          <cell r="AH143">
            <v>0</v>
          </cell>
          <cell r="AI143">
            <v>0</v>
          </cell>
          <cell r="AJ143">
            <v>0.41519999999999996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9"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-0.82199999999999995</v>
          </cell>
          <cell r="W149">
            <v>72.207999999999998</v>
          </cell>
          <cell r="X149">
            <v>54.305199999999999</v>
          </cell>
          <cell r="Y149">
            <v>9.6189999999999998</v>
          </cell>
          <cell r="Z149">
            <v>0</v>
          </cell>
          <cell r="AA149">
            <v>0</v>
          </cell>
          <cell r="AB149">
            <v>167.09980000000002</v>
          </cell>
          <cell r="AC149">
            <v>11.884399999999999</v>
          </cell>
          <cell r="AD149">
            <v>0</v>
          </cell>
          <cell r="AE149">
            <v>11.396800000000001</v>
          </cell>
          <cell r="AF149">
            <v>19.73</v>
          </cell>
          <cell r="AG149">
            <v>10.909000000000001</v>
          </cell>
          <cell r="AH149">
            <v>22.082000000000001</v>
          </cell>
          <cell r="AI149">
            <v>17.373000000000001</v>
          </cell>
          <cell r="AJ149">
            <v>39.454999999999998</v>
          </cell>
          <cell r="AK149">
            <v>46</v>
          </cell>
          <cell r="AL149">
            <v>301.89999999999998</v>
          </cell>
          <cell r="AM149">
            <v>0</v>
          </cell>
          <cell r="AN149">
            <v>0.85399999999999998</v>
          </cell>
          <cell r="AO149">
            <v>0</v>
          </cell>
          <cell r="AP149">
            <v>0</v>
          </cell>
          <cell r="AQ149">
            <v>0</v>
          </cell>
          <cell r="AS149">
            <v>27.588999999999999</v>
          </cell>
          <cell r="AT149">
            <v>5.6859999999999999</v>
          </cell>
          <cell r="AU149">
            <v>872.6</v>
          </cell>
          <cell r="AV149">
            <v>905.875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-9.4015999999999984</v>
          </cell>
          <cell r="W150">
            <v>15.532500000000001</v>
          </cell>
          <cell r="X150">
            <v>45.239400000000003</v>
          </cell>
          <cell r="Y150">
            <v>8.8580000000000005</v>
          </cell>
          <cell r="Z150">
            <v>0</v>
          </cell>
          <cell r="AA150">
            <v>0</v>
          </cell>
          <cell r="AB150">
            <v>115.86057699999999</v>
          </cell>
          <cell r="AC150">
            <v>10.110399999999998</v>
          </cell>
          <cell r="AD150">
            <v>0</v>
          </cell>
          <cell r="AE150">
            <v>5.8875999999999991</v>
          </cell>
          <cell r="AF150">
            <v>15.956</v>
          </cell>
          <cell r="AG150">
            <v>11.125</v>
          </cell>
          <cell r="AH150">
            <v>13.395</v>
          </cell>
          <cell r="AI150">
            <v>12.120750000000001</v>
          </cell>
          <cell r="AJ150">
            <v>25.515750000000001</v>
          </cell>
          <cell r="AK150">
            <v>28.086200000000002</v>
          </cell>
          <cell r="AL150">
            <v>198.9</v>
          </cell>
          <cell r="AM150">
            <v>0</v>
          </cell>
          <cell r="AN150">
            <v>-0.53300000000000003</v>
          </cell>
          <cell r="AO150">
            <v>0</v>
          </cell>
          <cell r="AP150">
            <v>9.6159999999999997</v>
          </cell>
          <cell r="AQ150">
            <v>2.5602499999999999</v>
          </cell>
          <cell r="AS150">
            <v>24.225000000000001</v>
          </cell>
          <cell r="AT150">
            <v>4.8570000000000002</v>
          </cell>
          <cell r="AU150">
            <v>518.79999999999995</v>
          </cell>
          <cell r="AV150">
            <v>547.88199999999995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-8.9296000000000042</v>
          </cell>
          <cell r="V151">
            <v>177.45399930934306</v>
          </cell>
          <cell r="W151">
            <v>20.71</v>
          </cell>
          <cell r="X151">
            <v>84.511600000000001</v>
          </cell>
          <cell r="Y151">
            <v>31.986000000000001</v>
          </cell>
          <cell r="Z151">
            <v>80.3</v>
          </cell>
          <cell r="AA151">
            <v>98.340199999999996</v>
          </cell>
          <cell r="AB151">
            <v>251.047</v>
          </cell>
          <cell r="AC151">
            <v>34.117000000000004</v>
          </cell>
          <cell r="AD151">
            <v>0</v>
          </cell>
          <cell r="AE151">
            <v>5.2836000000000007</v>
          </cell>
          <cell r="AF151">
            <v>94.669000000000011</v>
          </cell>
          <cell r="AG151">
            <v>37.869</v>
          </cell>
          <cell r="AH151">
            <v>0</v>
          </cell>
          <cell r="AI151">
            <v>0</v>
          </cell>
          <cell r="AJ151">
            <v>28.309000000000001</v>
          </cell>
          <cell r="AK151">
            <v>69.412600000000012</v>
          </cell>
          <cell r="AL151">
            <v>289.2</v>
          </cell>
          <cell r="AM151">
            <v>141.5</v>
          </cell>
          <cell r="AN151">
            <v>-4.4580000000000002</v>
          </cell>
          <cell r="AO151">
            <v>0</v>
          </cell>
          <cell r="AP151">
            <v>76.474999999999994</v>
          </cell>
          <cell r="AQ151">
            <v>10.241</v>
          </cell>
          <cell r="AR151">
            <v>79.626999999999995</v>
          </cell>
          <cell r="AS151">
            <v>34.289000000000001</v>
          </cell>
          <cell r="AT151">
            <v>6.4554</v>
          </cell>
          <cell r="AU151">
            <v>942.7</v>
          </cell>
          <cell r="AV151">
            <v>983.44439999999997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Z152">
            <v>80.3</v>
          </cell>
          <cell r="AA152">
            <v>98.340199999999996</v>
          </cell>
        </row>
        <row r="157">
          <cell r="AU157" t="str">
            <v>CAH stand alone</v>
          </cell>
          <cell r="AV157" t="str">
            <v>Pro forma</v>
          </cell>
        </row>
        <row r="158"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-5.1920161697827177E-2</v>
          </cell>
          <cell r="W158">
            <v>1.3420563526875324</v>
          </cell>
          <cell r="X158">
            <v>1.1336729155358858</v>
          </cell>
          <cell r="Y158">
            <v>0.21561950471758168</v>
          </cell>
          <cell r="Z158">
            <v>0</v>
          </cell>
          <cell r="AA158">
            <v>0</v>
          </cell>
          <cell r="AB158">
            <v>1.4994194341501936</v>
          </cell>
          <cell r="AC158">
            <v>0.29162740478994892</v>
          </cell>
          <cell r="AD158">
            <v>0</v>
          </cell>
          <cell r="AE158">
            <v>0.15865688471872261</v>
          </cell>
          <cell r="AF158">
            <v>0.44770700492409626</v>
          </cell>
          <cell r="AG158">
            <v>0.40808768517133026</v>
          </cell>
          <cell r="AH158">
            <v>0</v>
          </cell>
          <cell r="AI158">
            <v>0</v>
          </cell>
          <cell r="AJ158">
            <v>1.2316604187202145</v>
          </cell>
          <cell r="AK158">
            <v>0.7962543177892919</v>
          </cell>
          <cell r="AL158">
            <v>1.0096989966555185</v>
          </cell>
          <cell r="AM158">
            <v>0</v>
          </cell>
          <cell r="AN158">
            <v>7.0000000000000007E-2</v>
          </cell>
          <cell r="AO158">
            <v>0</v>
          </cell>
          <cell r="AS158">
            <v>0</v>
          </cell>
          <cell r="AT158">
            <v>0</v>
          </cell>
          <cell r="AU158">
            <v>1.8977816441931274</v>
          </cell>
          <cell r="AV158">
            <v>1.9049200553432737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-0.64575863726904315</v>
          </cell>
          <cell r="W159">
            <v>0.28868671474239832</v>
          </cell>
          <cell r="X159">
            <v>0.9604764230058811</v>
          </cell>
          <cell r="Y159">
            <v>0.19861669236299087</v>
          </cell>
          <cell r="Z159">
            <v>0</v>
          </cell>
          <cell r="AA159">
            <v>0</v>
          </cell>
          <cell r="AB159">
            <v>1.1103661353240726</v>
          </cell>
          <cell r="AC159">
            <v>0.25331095131911907</v>
          </cell>
          <cell r="AD159">
            <v>0</v>
          </cell>
          <cell r="AE159">
            <v>8.2608634648033544E-2</v>
          </cell>
          <cell r="AF159">
            <v>0.36981411950122839</v>
          </cell>
          <cell r="AG159">
            <v>0.41050145751079298</v>
          </cell>
          <cell r="AH159">
            <v>0</v>
          </cell>
          <cell r="AI159">
            <v>0</v>
          </cell>
          <cell r="AJ159">
            <v>0.82418229323443903</v>
          </cell>
          <cell r="AK159">
            <v>0.58024625332826174</v>
          </cell>
          <cell r="AL159">
            <v>0.6804652754019842</v>
          </cell>
          <cell r="AM159">
            <v>0</v>
          </cell>
          <cell r="AN159">
            <v>-0.04</v>
          </cell>
          <cell r="AO159">
            <v>0</v>
          </cell>
          <cell r="AP159">
            <v>0.14214968882581636</v>
          </cell>
          <cell r="AQ159">
            <v>0</v>
          </cell>
          <cell r="AS159">
            <v>0</v>
          </cell>
          <cell r="AT159">
            <v>0</v>
          </cell>
          <cell r="AU159">
            <v>1.1429830359109936</v>
          </cell>
          <cell r="AV159">
            <v>1.1665877997386225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-0.60457684495599218</v>
          </cell>
          <cell r="V160">
            <v>1.2918271786108628</v>
          </cell>
          <cell r="W160">
            <v>0.38491561965653109</v>
          </cell>
          <cell r="X160">
            <v>1.7966283296838792</v>
          </cell>
          <cell r="Y160">
            <v>0.71788978378603308</v>
          </cell>
          <cell r="Z160">
            <v>0.78890634591155917</v>
          </cell>
          <cell r="AA160">
            <v>0.96614206523302504</v>
          </cell>
          <cell r="AB160">
            <v>2.37</v>
          </cell>
          <cell r="AC160">
            <v>0.84475202416619222</v>
          </cell>
          <cell r="AD160">
            <v>0</v>
          </cell>
          <cell r="AE160">
            <v>7.409443408265437E-2</v>
          </cell>
          <cell r="AF160">
            <v>2.1740498335055691</v>
          </cell>
          <cell r="AG160">
            <v>1.4010507232971994</v>
          </cell>
          <cell r="AH160">
            <v>0</v>
          </cell>
          <cell r="AI160">
            <v>0</v>
          </cell>
          <cell r="AJ160">
            <v>0.90773236693242798</v>
          </cell>
          <cell r="AK160">
            <v>1.3104134415707005</v>
          </cell>
          <cell r="AL160">
            <v>0.98736770228747017</v>
          </cell>
          <cell r="AM160">
            <v>2.0301291248206601</v>
          </cell>
          <cell r="AN160">
            <v>-0.36523021464853356</v>
          </cell>
          <cell r="AO160">
            <v>0</v>
          </cell>
          <cell r="AP160">
            <v>1.1322249200521142</v>
          </cell>
          <cell r="AQ160">
            <v>0</v>
          </cell>
          <cell r="AR160">
            <v>1.1690426203514748</v>
          </cell>
          <cell r="AS160">
            <v>0</v>
          </cell>
          <cell r="AT160">
            <v>0</v>
          </cell>
          <cell r="AU160">
            <v>2.0695938529088913</v>
          </cell>
          <cell r="AV160">
            <v>2.0869072935790371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3">
          <cell r="AK163">
            <v>1000</v>
          </cell>
        </row>
        <row r="166"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5.0110000000000001</v>
          </cell>
          <cell r="W166">
            <v>15.741</v>
          </cell>
          <cell r="X166">
            <v>23.265000000000001</v>
          </cell>
          <cell r="Y166">
            <v>0.64600000000000002</v>
          </cell>
          <cell r="Z166">
            <v>0</v>
          </cell>
          <cell r="AA166">
            <v>0</v>
          </cell>
          <cell r="AB166">
            <v>32.15</v>
          </cell>
          <cell r="AC166">
            <v>3.9809999999999999</v>
          </cell>
          <cell r="AD166">
            <v>0</v>
          </cell>
          <cell r="AE166">
            <v>13.801</v>
          </cell>
          <cell r="AF166">
            <v>5.798</v>
          </cell>
          <cell r="AG166">
            <v>10.14</v>
          </cell>
          <cell r="AH166">
            <v>2.3690000000000002</v>
          </cell>
          <cell r="AI166">
            <v>5.5410000000000004</v>
          </cell>
          <cell r="AJ166">
            <v>7.91</v>
          </cell>
          <cell r="AK166">
            <v>37.6</v>
          </cell>
          <cell r="AL166">
            <v>153.5</v>
          </cell>
          <cell r="AM166">
            <v>0</v>
          </cell>
          <cell r="AN166">
            <v>0.73099999999999998</v>
          </cell>
          <cell r="AO166">
            <v>0</v>
          </cell>
          <cell r="AS166">
            <v>32.001000000000005</v>
          </cell>
          <cell r="AT166">
            <v>4.2259999999999991</v>
          </cell>
          <cell r="AU166">
            <v>181.5</v>
          </cell>
          <cell r="AV166">
            <v>217.727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4.0979999999999999</v>
          </cell>
          <cell r="W167">
            <v>18.335250000000002</v>
          </cell>
          <cell r="X167">
            <v>22.844000000000001</v>
          </cell>
          <cell r="Y167">
            <v>0.40400000000000003</v>
          </cell>
          <cell r="Z167">
            <v>0</v>
          </cell>
          <cell r="AA167">
            <v>0</v>
          </cell>
          <cell r="AB167">
            <v>30.920999999999999</v>
          </cell>
          <cell r="AC167">
            <v>4.2720000000000002</v>
          </cell>
          <cell r="AD167">
            <v>0</v>
          </cell>
          <cell r="AE167">
            <v>17.189</v>
          </cell>
          <cell r="AF167">
            <v>7.6419999999999995</v>
          </cell>
          <cell r="AG167">
            <v>7.7410000000000005</v>
          </cell>
          <cell r="AH167">
            <v>1.986</v>
          </cell>
          <cell r="AI167">
            <v>7.2164999999999999</v>
          </cell>
          <cell r="AJ167">
            <v>9.2025000000000006</v>
          </cell>
          <cell r="AK167">
            <v>39</v>
          </cell>
          <cell r="AL167">
            <v>177.8</v>
          </cell>
          <cell r="AM167">
            <v>0</v>
          </cell>
          <cell r="AN167">
            <v>0.7</v>
          </cell>
          <cell r="AO167">
            <v>0</v>
          </cell>
          <cell r="AP167">
            <v>2.7509999999999999</v>
          </cell>
          <cell r="AQ167">
            <v>0.1998675</v>
          </cell>
          <cell r="AS167">
            <v>22.279</v>
          </cell>
          <cell r="AT167">
            <v>3.6370000000000005</v>
          </cell>
          <cell r="AU167">
            <v>175.2</v>
          </cell>
          <cell r="AV167">
            <v>201.11599999999999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5.4969999999999999</v>
          </cell>
          <cell r="V168">
            <v>30.077000000000002</v>
          </cell>
          <cell r="W168">
            <v>24.447000000000003</v>
          </cell>
          <cell r="X168">
            <v>32.134</v>
          </cell>
          <cell r="Y168">
            <v>3.4</v>
          </cell>
          <cell r="Z168">
            <v>82.698000000000008</v>
          </cell>
          <cell r="AA168">
            <v>17.420000000000002</v>
          </cell>
          <cell r="AB168">
            <v>62.555</v>
          </cell>
          <cell r="AC168">
            <v>22.469000000000001</v>
          </cell>
          <cell r="AD168">
            <v>0</v>
          </cell>
          <cell r="AE168">
            <v>24.97</v>
          </cell>
          <cell r="AF168">
            <v>28.346000000000004</v>
          </cell>
          <cell r="AG168">
            <v>39.561</v>
          </cell>
          <cell r="AH168">
            <v>0</v>
          </cell>
          <cell r="AI168">
            <v>0</v>
          </cell>
          <cell r="AJ168">
            <v>16.257000000000001</v>
          </cell>
          <cell r="AK168">
            <v>82</v>
          </cell>
          <cell r="AL168">
            <v>246.1</v>
          </cell>
          <cell r="AM168">
            <v>71.373000000000005</v>
          </cell>
          <cell r="AN168">
            <v>4.056</v>
          </cell>
          <cell r="AO168">
            <v>0</v>
          </cell>
          <cell r="AP168">
            <v>10.19</v>
          </cell>
          <cell r="AQ168">
            <v>0.79947000000000001</v>
          </cell>
          <cell r="AR168">
            <v>10.989469999999999</v>
          </cell>
          <cell r="AS168">
            <v>32.238</v>
          </cell>
          <cell r="AT168">
            <v>5.5010000000000003</v>
          </cell>
          <cell r="AU168">
            <v>280.60000000000002</v>
          </cell>
          <cell r="AV168">
            <v>318.339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74"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18.178999999999998</v>
          </cell>
          <cell r="W174">
            <v>25.146999999999998</v>
          </cell>
          <cell r="X174">
            <v>49.847000000000001</v>
          </cell>
          <cell r="Y174">
            <v>1.849</v>
          </cell>
          <cell r="Z174">
            <v>0</v>
          </cell>
          <cell r="AA174">
            <v>0</v>
          </cell>
          <cell r="AB174">
            <v>20.998999999999999</v>
          </cell>
          <cell r="AC174">
            <v>1.3320000000000001</v>
          </cell>
          <cell r="AD174">
            <v>0</v>
          </cell>
          <cell r="AE174">
            <v>16.545999999999999</v>
          </cell>
          <cell r="AF174">
            <v>17.59</v>
          </cell>
          <cell r="AG174">
            <v>8.9949999999999992</v>
          </cell>
          <cell r="AH174">
            <v>4.4660000000000002</v>
          </cell>
          <cell r="AI174">
            <v>2.999333333333333</v>
          </cell>
          <cell r="AJ174">
            <v>7.4653333333333336</v>
          </cell>
          <cell r="AK174">
            <v>15.9</v>
          </cell>
          <cell r="AL174">
            <v>74.8</v>
          </cell>
          <cell r="AM174">
            <v>0</v>
          </cell>
          <cell r="AN174">
            <v>0.46</v>
          </cell>
          <cell r="AO174">
            <v>0</v>
          </cell>
          <cell r="AS174">
            <v>46.41</v>
          </cell>
          <cell r="AT174">
            <v>2.23</v>
          </cell>
          <cell r="AU174">
            <v>186.1</v>
          </cell>
          <cell r="AV174">
            <v>234.74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10.798</v>
          </cell>
          <cell r="W175">
            <v>26.192250000000001</v>
          </cell>
          <cell r="X175">
            <v>17.690000000000001</v>
          </cell>
          <cell r="Y175">
            <v>0.121</v>
          </cell>
          <cell r="Z175">
            <v>0</v>
          </cell>
          <cell r="AA175">
            <v>0</v>
          </cell>
          <cell r="AB175">
            <v>26.433</v>
          </cell>
          <cell r="AC175">
            <v>5.0129999999999999</v>
          </cell>
          <cell r="AD175">
            <v>0</v>
          </cell>
          <cell r="AE175">
            <v>16.494</v>
          </cell>
          <cell r="AF175">
            <v>6.157</v>
          </cell>
          <cell r="AG175">
            <v>10.218999999999999</v>
          </cell>
          <cell r="AH175">
            <v>1.419</v>
          </cell>
          <cell r="AI175">
            <v>2.8485</v>
          </cell>
          <cell r="AJ175">
            <v>4.2675000000000001</v>
          </cell>
          <cell r="AK175">
            <v>14</v>
          </cell>
          <cell r="AL175">
            <v>96</v>
          </cell>
          <cell r="AM175">
            <v>0</v>
          </cell>
          <cell r="AN175">
            <v>0.56599999999999995</v>
          </cell>
          <cell r="AO175">
            <v>0</v>
          </cell>
          <cell r="AP175">
            <v>2.3980000000000001</v>
          </cell>
          <cell r="AQ175">
            <v>0.12210275</v>
          </cell>
          <cell r="AS175">
            <v>28.722999999999999</v>
          </cell>
          <cell r="AT175">
            <v>4.9450000000000003</v>
          </cell>
          <cell r="AU175">
            <v>234.8</v>
          </cell>
          <cell r="AV175">
            <v>268.46800000000002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15.15</v>
          </cell>
          <cell r="V176">
            <v>37.673000000000002</v>
          </cell>
          <cell r="W176">
            <v>34.923000000000002</v>
          </cell>
          <cell r="X176">
            <v>40.412000000000006</v>
          </cell>
          <cell r="Y176">
            <v>7.4459999999999997</v>
          </cell>
          <cell r="Z176">
            <v>69.308999999999997</v>
          </cell>
          <cell r="AA176">
            <v>16.619</v>
          </cell>
          <cell r="AB176">
            <v>55.454999999999998</v>
          </cell>
          <cell r="AC176">
            <v>10.147</v>
          </cell>
          <cell r="AD176">
            <v>0</v>
          </cell>
          <cell r="AE176">
            <v>22.856999999999999</v>
          </cell>
          <cell r="AF176">
            <v>46.127000000000002</v>
          </cell>
          <cell r="AG176">
            <v>64.891999999999996</v>
          </cell>
          <cell r="AH176">
            <v>2.6349999999999998</v>
          </cell>
          <cell r="AI176">
            <v>3.798</v>
          </cell>
          <cell r="AJ176">
            <v>6.4329999999999998</v>
          </cell>
          <cell r="AK176">
            <v>40.1</v>
          </cell>
          <cell r="AL176">
            <v>158.9</v>
          </cell>
          <cell r="AM176">
            <v>109.76300000000001</v>
          </cell>
          <cell r="AN176">
            <v>2.85</v>
          </cell>
          <cell r="AO176">
            <v>0</v>
          </cell>
          <cell r="AP176">
            <v>15.372999999999999</v>
          </cell>
          <cell r="AQ176">
            <v>0.48841099999999998</v>
          </cell>
          <cell r="AR176">
            <v>15.861410999999999</v>
          </cell>
          <cell r="AS176">
            <v>45.980999999999995</v>
          </cell>
          <cell r="AT176">
            <v>6.8949999999999996</v>
          </cell>
          <cell r="AU176">
            <v>341.2</v>
          </cell>
          <cell r="AV176">
            <v>394.07599999999996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80"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4"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90"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Z193" t="str">
            <v>B</v>
          </cell>
        </row>
        <row r="196"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204"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Y207">
            <v>0</v>
          </cell>
          <cell r="Z207">
            <v>0</v>
          </cell>
        </row>
        <row r="212"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254.59899999999999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22.143000000000001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2.4900000000000002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14.489000000000001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0.42934186742525265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</row>
        <row r="221"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9">
          <cell r="H229" t="str">
            <v>Spare</v>
          </cell>
          <cell r="I229" t="str">
            <v>Spare</v>
          </cell>
          <cell r="J229" t="str">
            <v>Spare</v>
          </cell>
          <cell r="K229" t="str">
            <v>Spare</v>
          </cell>
          <cell r="L229" t="str">
            <v>Spare</v>
          </cell>
          <cell r="M229" t="str">
            <v>Spare</v>
          </cell>
          <cell r="N229" t="str">
            <v>Spare</v>
          </cell>
          <cell r="O229" t="str">
            <v>Spare</v>
          </cell>
          <cell r="P229" t="str">
            <v>Spare</v>
          </cell>
          <cell r="Q229" t="str">
            <v>Spare</v>
          </cell>
          <cell r="R229" t="str">
            <v>Spare</v>
          </cell>
          <cell r="S229" t="str">
            <v>Spare</v>
          </cell>
          <cell r="T229" t="str">
            <v>Spare</v>
          </cell>
          <cell r="U229" t="str">
            <v>Spare</v>
          </cell>
          <cell r="V229" t="str">
            <v>Spare</v>
          </cell>
          <cell r="W229" t="str">
            <v>Spare</v>
          </cell>
          <cell r="X229" t="str">
            <v>Spare</v>
          </cell>
          <cell r="Y229" t="str">
            <v>Spare</v>
          </cell>
          <cell r="Z229" t="str">
            <v>Spare</v>
          </cell>
          <cell r="AA229" t="str">
            <v>Spare</v>
          </cell>
          <cell r="AB229" t="str">
            <v>Spare</v>
          </cell>
          <cell r="AC229" t="str">
            <v>Spare</v>
          </cell>
          <cell r="AD229" t="str">
            <v>Spare</v>
          </cell>
          <cell r="AE229" t="str">
            <v>Spare</v>
          </cell>
          <cell r="AF229" t="str">
            <v>Spare</v>
          </cell>
          <cell r="AG229" t="str">
            <v>Spare</v>
          </cell>
          <cell r="AH229">
            <v>0.13140653897996923</v>
          </cell>
          <cell r="AI229" t="str">
            <v>Spare</v>
          </cell>
          <cell r="AJ229" t="str">
            <v>Spare</v>
          </cell>
          <cell r="AK229" t="str">
            <v>Spare</v>
          </cell>
          <cell r="AL229" t="str">
            <v>Spare</v>
          </cell>
          <cell r="AM229" t="str">
            <v>Spare</v>
          </cell>
          <cell r="AN229" t="str">
            <v>Spare</v>
          </cell>
          <cell r="AO229" t="str">
            <v>Spare</v>
          </cell>
          <cell r="AP229" t="str">
            <v>Spare</v>
          </cell>
          <cell r="AQ229" t="str">
            <v>Spare</v>
          </cell>
          <cell r="AR229" t="str">
            <v>Spare</v>
          </cell>
          <cell r="AS229" t="str">
            <v>Spare</v>
          </cell>
          <cell r="AT229" t="str">
            <v>Spare</v>
          </cell>
          <cell r="AU229" t="str">
            <v>Spare</v>
          </cell>
          <cell r="AV229" t="str">
            <v>Spare</v>
          </cell>
          <cell r="AW229" t="str">
            <v>Spare</v>
          </cell>
          <cell r="AX229" t="str">
            <v>Spare</v>
          </cell>
          <cell r="AY229" t="str">
            <v>Spare</v>
          </cell>
          <cell r="AZ229" t="str">
            <v>Spare</v>
          </cell>
          <cell r="BA229" t="str">
            <v>Spare</v>
          </cell>
          <cell r="BB229" t="str">
            <v>Spare</v>
          </cell>
          <cell r="BC229" t="str">
            <v>Spare</v>
          </cell>
          <cell r="BD229" t="str">
            <v>Spare</v>
          </cell>
          <cell r="BE229" t="str">
            <v>Spare</v>
          </cell>
        </row>
        <row r="230">
          <cell r="H230" t="str">
            <v>Spare</v>
          </cell>
          <cell r="I230" t="str">
            <v>Spare</v>
          </cell>
          <cell r="J230" t="str">
            <v>Spare</v>
          </cell>
          <cell r="K230" t="str">
            <v>Spare</v>
          </cell>
          <cell r="L230" t="str">
            <v>Spare</v>
          </cell>
          <cell r="M230" t="str">
            <v>Spare</v>
          </cell>
          <cell r="N230" t="str">
            <v>Spare</v>
          </cell>
          <cell r="O230" t="str">
            <v>Spare</v>
          </cell>
          <cell r="P230" t="str">
            <v>Spare</v>
          </cell>
          <cell r="Q230" t="str">
            <v>Spare</v>
          </cell>
          <cell r="R230" t="str">
            <v>Spare</v>
          </cell>
          <cell r="S230" t="str">
            <v>Spare</v>
          </cell>
          <cell r="T230" t="str">
            <v>Spare</v>
          </cell>
          <cell r="U230" t="str">
            <v>Spare</v>
          </cell>
          <cell r="V230" t="str">
            <v>Spare</v>
          </cell>
          <cell r="W230" t="str">
            <v>Spare</v>
          </cell>
          <cell r="X230" t="str">
            <v>Spare</v>
          </cell>
          <cell r="Y230" t="str">
            <v>Spare</v>
          </cell>
          <cell r="Z230" t="str">
            <v>Spare</v>
          </cell>
          <cell r="AA230" t="str">
            <v>Spare</v>
          </cell>
          <cell r="AB230" t="str">
            <v>Spare</v>
          </cell>
          <cell r="AC230" t="str">
            <v>Spare</v>
          </cell>
          <cell r="AD230" t="str">
            <v>Spare</v>
          </cell>
          <cell r="AE230" t="str">
            <v>Spare</v>
          </cell>
          <cell r="AF230" t="str">
            <v>Spare</v>
          </cell>
          <cell r="AG230" t="str">
            <v>Spare</v>
          </cell>
          <cell r="AH230" t="str">
            <v>Spare</v>
          </cell>
          <cell r="AI230" t="str">
            <v>Spare</v>
          </cell>
          <cell r="AJ230" t="str">
            <v>Spare</v>
          </cell>
          <cell r="AK230" t="str">
            <v>Spare</v>
          </cell>
          <cell r="AL230" t="str">
            <v>Spare</v>
          </cell>
          <cell r="AM230" t="str">
            <v>Spare</v>
          </cell>
          <cell r="AN230" t="str">
            <v>Spare</v>
          </cell>
          <cell r="AO230" t="str">
            <v>Spare</v>
          </cell>
          <cell r="AP230" t="str">
            <v>Spare</v>
          </cell>
          <cell r="AQ230" t="str">
            <v>Spare</v>
          </cell>
          <cell r="AR230" t="str">
            <v>Spare</v>
          </cell>
          <cell r="AS230" t="str">
            <v>Spare</v>
          </cell>
          <cell r="AT230" t="str">
            <v>Spare</v>
          </cell>
          <cell r="AU230" t="str">
            <v>Spare</v>
          </cell>
          <cell r="AV230" t="str">
            <v>Spare</v>
          </cell>
          <cell r="AW230" t="str">
            <v>Spare</v>
          </cell>
          <cell r="AX230" t="str">
            <v>Spare</v>
          </cell>
          <cell r="AY230" t="str">
            <v>Spare</v>
          </cell>
          <cell r="AZ230" t="str">
            <v>Spare</v>
          </cell>
          <cell r="BA230" t="str">
            <v>Spare</v>
          </cell>
          <cell r="BB230" t="str">
            <v>Spare</v>
          </cell>
          <cell r="BC230" t="str">
            <v>Spare</v>
          </cell>
          <cell r="BD230" t="str">
            <v>Spare</v>
          </cell>
          <cell r="BE230" t="str">
            <v>Spare</v>
          </cell>
        </row>
        <row r="231">
          <cell r="H231" t="str">
            <v>Spare</v>
          </cell>
          <cell r="I231" t="str">
            <v>Spare</v>
          </cell>
          <cell r="J231" t="str">
            <v>Spare</v>
          </cell>
          <cell r="K231" t="str">
            <v>Spare</v>
          </cell>
          <cell r="L231" t="str">
            <v>Spare</v>
          </cell>
          <cell r="M231" t="str">
            <v>Spare</v>
          </cell>
          <cell r="N231" t="str">
            <v>Spare</v>
          </cell>
          <cell r="O231" t="str">
            <v>Spare</v>
          </cell>
          <cell r="P231" t="str">
            <v>Spare</v>
          </cell>
          <cell r="Q231" t="str">
            <v>Spare</v>
          </cell>
          <cell r="R231" t="str">
            <v>Spare</v>
          </cell>
          <cell r="S231" t="str">
            <v>Spare</v>
          </cell>
          <cell r="T231" t="str">
            <v>Spare</v>
          </cell>
          <cell r="U231" t="str">
            <v>Spare</v>
          </cell>
          <cell r="V231" t="str">
            <v>Spare</v>
          </cell>
          <cell r="W231" t="str">
            <v>Spare</v>
          </cell>
          <cell r="X231" t="str">
            <v>Spare</v>
          </cell>
          <cell r="Y231" t="str">
            <v>Spare</v>
          </cell>
          <cell r="Z231" t="str">
            <v>Spare</v>
          </cell>
          <cell r="AA231" t="str">
            <v>Spare</v>
          </cell>
          <cell r="AB231" t="str">
            <v>Spare</v>
          </cell>
          <cell r="AC231" t="str">
            <v>Spare</v>
          </cell>
          <cell r="AD231" t="str">
            <v>Spare</v>
          </cell>
          <cell r="AE231" t="str">
            <v>Spare</v>
          </cell>
          <cell r="AF231" t="str">
            <v>Spare</v>
          </cell>
          <cell r="AG231" t="str">
            <v>Spare</v>
          </cell>
          <cell r="AH231" t="str">
            <v>Spare</v>
          </cell>
          <cell r="AI231" t="str">
            <v>Spare</v>
          </cell>
          <cell r="AJ231" t="str">
            <v>Spare</v>
          </cell>
          <cell r="AK231" t="str">
            <v>Spare</v>
          </cell>
          <cell r="AL231" t="str">
            <v>Spare</v>
          </cell>
          <cell r="AM231" t="str">
            <v>Spare</v>
          </cell>
          <cell r="AN231" t="str">
            <v>Spare</v>
          </cell>
          <cell r="AO231" t="str">
            <v>Spare</v>
          </cell>
          <cell r="AP231" t="str">
            <v>Spare</v>
          </cell>
          <cell r="AQ231" t="str">
            <v>Spare</v>
          </cell>
          <cell r="AR231" t="str">
            <v>Spare</v>
          </cell>
          <cell r="AS231" t="str">
            <v>Spare</v>
          </cell>
          <cell r="AT231" t="str">
            <v>Spare</v>
          </cell>
          <cell r="AU231" t="str">
            <v>Spare</v>
          </cell>
          <cell r="AV231" t="str">
            <v>Spare</v>
          </cell>
          <cell r="AW231" t="str">
            <v>Spare</v>
          </cell>
          <cell r="AX231" t="str">
            <v>Spare</v>
          </cell>
          <cell r="AY231" t="str">
            <v>Spare</v>
          </cell>
          <cell r="AZ231" t="str">
            <v>Spare</v>
          </cell>
          <cell r="BA231" t="str">
            <v>Spare</v>
          </cell>
          <cell r="BB231" t="str">
            <v>Spare</v>
          </cell>
          <cell r="BC231" t="str">
            <v>Spare</v>
          </cell>
          <cell r="BD231" t="str">
            <v>Spare</v>
          </cell>
          <cell r="BE231" t="str">
            <v>Spare</v>
          </cell>
        </row>
        <row r="232">
          <cell r="H232" t="str">
            <v>Spare</v>
          </cell>
          <cell r="I232" t="str">
            <v>Spare</v>
          </cell>
          <cell r="J232" t="str">
            <v>Spare</v>
          </cell>
          <cell r="K232" t="str">
            <v>Spare</v>
          </cell>
          <cell r="L232" t="str">
            <v>Spare</v>
          </cell>
          <cell r="M232" t="str">
            <v>Spare</v>
          </cell>
          <cell r="N232" t="str">
            <v>Spare</v>
          </cell>
          <cell r="O232" t="str">
            <v>Spare</v>
          </cell>
          <cell r="P232" t="str">
            <v>Spare</v>
          </cell>
          <cell r="Q232" t="str">
            <v>Spare</v>
          </cell>
          <cell r="R232" t="str">
            <v>Spare</v>
          </cell>
          <cell r="S232" t="str">
            <v>Spare</v>
          </cell>
          <cell r="T232" t="str">
            <v>Spare</v>
          </cell>
          <cell r="U232" t="str">
            <v>Spare</v>
          </cell>
          <cell r="V232" t="str">
            <v>Spare</v>
          </cell>
          <cell r="W232" t="str">
            <v>Spare</v>
          </cell>
          <cell r="X232" t="str">
            <v>Spare</v>
          </cell>
          <cell r="Y232" t="str">
            <v>Spare</v>
          </cell>
          <cell r="Z232" t="str">
            <v>Spare</v>
          </cell>
          <cell r="AA232" t="str">
            <v>Spare</v>
          </cell>
          <cell r="AB232" t="str">
            <v>Spare</v>
          </cell>
          <cell r="AC232" t="str">
            <v>Spare</v>
          </cell>
          <cell r="AD232" t="str">
            <v>Spare</v>
          </cell>
          <cell r="AE232" t="str">
            <v>Spare</v>
          </cell>
          <cell r="AF232" t="str">
            <v>Spare</v>
          </cell>
          <cell r="AG232" t="str">
            <v>Spare</v>
          </cell>
          <cell r="AH232" t="str">
            <v>Spare</v>
          </cell>
          <cell r="AI232" t="str">
            <v>Spare</v>
          </cell>
          <cell r="AJ232" t="str">
            <v>Spare</v>
          </cell>
          <cell r="AK232" t="str">
            <v>Spare</v>
          </cell>
          <cell r="AL232" t="str">
            <v>Spare</v>
          </cell>
          <cell r="AM232" t="str">
            <v>Spare</v>
          </cell>
          <cell r="AN232" t="str">
            <v>Spare</v>
          </cell>
          <cell r="AO232" t="str">
            <v>Spare</v>
          </cell>
          <cell r="AP232" t="str">
            <v>Spare</v>
          </cell>
          <cell r="AQ232" t="str">
            <v>Spare</v>
          </cell>
          <cell r="AR232" t="str">
            <v>Spare</v>
          </cell>
          <cell r="AS232" t="str">
            <v>Spare</v>
          </cell>
          <cell r="AT232" t="str">
            <v>Spare</v>
          </cell>
          <cell r="AU232" t="str">
            <v>Spare</v>
          </cell>
          <cell r="AV232" t="str">
            <v>Spare</v>
          </cell>
          <cell r="AW232" t="str">
            <v>Spare</v>
          </cell>
          <cell r="AX232" t="str">
            <v>Spare</v>
          </cell>
          <cell r="AY232" t="str">
            <v>Spare</v>
          </cell>
          <cell r="AZ232" t="str">
            <v>Spare</v>
          </cell>
          <cell r="BA232" t="str">
            <v>Spare</v>
          </cell>
          <cell r="BB232" t="str">
            <v>Spare</v>
          </cell>
          <cell r="BC232" t="str">
            <v>Spare</v>
          </cell>
          <cell r="BD232" t="str">
            <v>Spare</v>
          </cell>
          <cell r="BE232" t="str">
            <v>Spare</v>
          </cell>
        </row>
        <row r="233">
          <cell r="H233" t="str">
            <v>Spare</v>
          </cell>
          <cell r="I233" t="str">
            <v>Spare</v>
          </cell>
          <cell r="J233" t="str">
            <v>Spare</v>
          </cell>
          <cell r="K233" t="str">
            <v>Spare</v>
          </cell>
          <cell r="L233" t="str">
            <v>Spare</v>
          </cell>
          <cell r="M233" t="str">
            <v>Spare</v>
          </cell>
          <cell r="N233" t="str">
            <v>Spare</v>
          </cell>
          <cell r="O233" t="str">
            <v>Spare</v>
          </cell>
          <cell r="P233" t="str">
            <v>Spare</v>
          </cell>
          <cell r="Q233" t="str">
            <v>Spare</v>
          </cell>
          <cell r="R233" t="str">
            <v>Spare</v>
          </cell>
          <cell r="S233" t="str">
            <v>Spare</v>
          </cell>
          <cell r="T233" t="str">
            <v>Spare</v>
          </cell>
          <cell r="U233" t="str">
            <v>Spare</v>
          </cell>
          <cell r="V233" t="str">
            <v>Spare</v>
          </cell>
          <cell r="W233" t="str">
            <v>Spare</v>
          </cell>
          <cell r="X233" t="str">
            <v>Spare</v>
          </cell>
          <cell r="Y233" t="str">
            <v>Spare</v>
          </cell>
          <cell r="Z233" t="str">
            <v>Spare</v>
          </cell>
          <cell r="AA233" t="str">
            <v>Spare</v>
          </cell>
          <cell r="AB233" t="str">
            <v>Spare</v>
          </cell>
          <cell r="AC233" t="str">
            <v>Spare</v>
          </cell>
          <cell r="AD233" t="str">
            <v>Spare</v>
          </cell>
          <cell r="AE233" t="str">
            <v>Spare</v>
          </cell>
          <cell r="AF233" t="str">
            <v>Spare</v>
          </cell>
          <cell r="AG233" t="str">
            <v>Spare</v>
          </cell>
          <cell r="AH233" t="str">
            <v>Spare</v>
          </cell>
          <cell r="AI233" t="str">
            <v>Spare</v>
          </cell>
          <cell r="AJ233" t="str">
            <v>Spare</v>
          </cell>
          <cell r="AK233" t="str">
            <v>Spare</v>
          </cell>
          <cell r="AL233" t="str">
            <v>Spare</v>
          </cell>
          <cell r="AM233" t="str">
            <v>Spare</v>
          </cell>
          <cell r="AN233" t="str">
            <v>Spare</v>
          </cell>
          <cell r="AO233" t="str">
            <v>Spare</v>
          </cell>
          <cell r="AP233" t="str">
            <v>Spare</v>
          </cell>
          <cell r="AQ233" t="str">
            <v>Spare</v>
          </cell>
          <cell r="AR233" t="str">
            <v>Spare</v>
          </cell>
          <cell r="AS233" t="str">
            <v>Spare</v>
          </cell>
          <cell r="AT233" t="str">
            <v>Spare</v>
          </cell>
          <cell r="AU233" t="str">
            <v>Spare</v>
          </cell>
          <cell r="AV233" t="str">
            <v>Spare</v>
          </cell>
          <cell r="AW233" t="str">
            <v>Spare</v>
          </cell>
          <cell r="AX233" t="str">
            <v>Spare</v>
          </cell>
          <cell r="AY233" t="str">
            <v>Spare</v>
          </cell>
          <cell r="AZ233" t="str">
            <v>Spare</v>
          </cell>
          <cell r="BA233" t="str">
            <v>Spare</v>
          </cell>
          <cell r="BB233" t="str">
            <v>Spare</v>
          </cell>
          <cell r="BC233" t="str">
            <v>Spare</v>
          </cell>
          <cell r="BD233" t="str">
            <v>Spare</v>
          </cell>
          <cell r="BE233" t="str">
            <v>Spare</v>
          </cell>
        </row>
        <row r="238">
          <cell r="H238">
            <v>34.51</v>
          </cell>
          <cell r="I238">
            <v>5.66</v>
          </cell>
          <cell r="J238">
            <v>29.09</v>
          </cell>
          <cell r="K238">
            <v>44.25</v>
          </cell>
          <cell r="L238">
            <v>18.05</v>
          </cell>
          <cell r="M238">
            <v>19</v>
          </cell>
          <cell r="N238">
            <v>30.01</v>
          </cell>
          <cell r="O238">
            <v>12.27</v>
          </cell>
          <cell r="P238">
            <v>5.52</v>
          </cell>
          <cell r="Q238">
            <v>17.329999999999998</v>
          </cell>
          <cell r="R238">
            <v>33.479999999999997</v>
          </cell>
          <cell r="S238">
            <v>24.02</v>
          </cell>
          <cell r="T238" t="e">
            <v>#VALUE!</v>
          </cell>
          <cell r="U238">
            <v>21.26</v>
          </cell>
          <cell r="V238">
            <v>52.05</v>
          </cell>
          <cell r="W238">
            <v>34.51</v>
          </cell>
          <cell r="X238">
            <v>34.64</v>
          </cell>
          <cell r="Y238">
            <v>24.38</v>
          </cell>
          <cell r="Z238" t="e">
            <v>#N/A</v>
          </cell>
          <cell r="AA238">
            <v>72.7</v>
          </cell>
          <cell r="AB238">
            <v>72.7</v>
          </cell>
          <cell r="AC238">
            <v>14.75</v>
          </cell>
          <cell r="AD238" t="e">
            <v>#N/A</v>
          </cell>
          <cell r="AE238">
            <v>7.84</v>
          </cell>
          <cell r="AF238">
            <v>53.25</v>
          </cell>
          <cell r="AG238">
            <v>33.58</v>
          </cell>
          <cell r="AH238">
            <v>52.05</v>
          </cell>
          <cell r="AI238">
            <v>8.26</v>
          </cell>
          <cell r="AJ238" t="e">
            <v>#VALUE!</v>
          </cell>
          <cell r="AK238">
            <v>28.9</v>
          </cell>
          <cell r="AL238">
            <v>31.81</v>
          </cell>
          <cell r="AM238">
            <v>50.35</v>
          </cell>
          <cell r="AN238">
            <v>4.99</v>
          </cell>
          <cell r="AO238" t="e">
            <v>#N/A</v>
          </cell>
          <cell r="AP238">
            <v>47.72</v>
          </cell>
          <cell r="AQ238" t="e">
            <v>#VALUE!</v>
          </cell>
          <cell r="AR238">
            <v>47.72</v>
          </cell>
          <cell r="AS238">
            <v>33.58</v>
          </cell>
          <cell r="AT238" t="e">
            <v>#N/A</v>
          </cell>
          <cell r="AU238">
            <v>64.69</v>
          </cell>
          <cell r="AV238">
            <v>64.69</v>
          </cell>
          <cell r="AW238" t="e">
            <v>#VALUE!</v>
          </cell>
          <cell r="AX238" t="e">
            <v>#VALUE!</v>
          </cell>
          <cell r="AY238" t="e">
            <v>#VALUE!</v>
          </cell>
          <cell r="AZ238" t="e">
            <v>#VALUE!</v>
          </cell>
          <cell r="BA238" t="e">
            <v>#VALUE!</v>
          </cell>
          <cell r="BB238" t="e">
            <v>#VALUE!</v>
          </cell>
          <cell r="BC238" t="e">
            <v>#VALUE!</v>
          </cell>
          <cell r="BD238" t="e">
            <v>#VALUE!</v>
          </cell>
          <cell r="BE238" t="e">
            <v>#VALUE!</v>
          </cell>
        </row>
        <row r="239">
          <cell r="H239">
            <v>69.5</v>
          </cell>
          <cell r="I239">
            <v>18.05</v>
          </cell>
          <cell r="J239">
            <v>29.95</v>
          </cell>
          <cell r="K239">
            <v>27.125</v>
          </cell>
          <cell r="L239">
            <v>19.95</v>
          </cell>
          <cell r="M239">
            <v>24.14</v>
          </cell>
          <cell r="N239">
            <v>46</v>
          </cell>
          <cell r="O239">
            <v>23.66</v>
          </cell>
          <cell r="P239">
            <v>30.43</v>
          </cell>
          <cell r="Q239">
            <v>21.14</v>
          </cell>
          <cell r="R239">
            <v>28.14</v>
          </cell>
          <cell r="S239">
            <v>35.51</v>
          </cell>
          <cell r="T239" t="e">
            <v>#VALUE!</v>
          </cell>
          <cell r="U239">
            <v>26.86</v>
          </cell>
          <cell r="V239">
            <v>34.4</v>
          </cell>
          <cell r="W239">
            <v>69.5</v>
          </cell>
          <cell r="X239">
            <v>58.88</v>
          </cell>
          <cell r="Y239">
            <v>26.65</v>
          </cell>
          <cell r="Z239" t="e">
            <v>#N/A</v>
          </cell>
          <cell r="AA239">
            <v>66.709999999999994</v>
          </cell>
          <cell r="AB239">
            <v>66.709999999999994</v>
          </cell>
          <cell r="AC239">
            <v>20.3</v>
          </cell>
          <cell r="AD239" t="e">
            <v>#N/A</v>
          </cell>
          <cell r="AE239">
            <v>8.2100000000000009</v>
          </cell>
          <cell r="AF239">
            <v>35.46</v>
          </cell>
          <cell r="AG239">
            <v>34.25</v>
          </cell>
          <cell r="AH239">
            <v>34.4</v>
          </cell>
          <cell r="AI239">
            <v>19.5</v>
          </cell>
          <cell r="AJ239" t="e">
            <v>#VALUE!</v>
          </cell>
          <cell r="AK239">
            <v>25.25</v>
          </cell>
          <cell r="AL239">
            <v>40.130000000000003</v>
          </cell>
          <cell r="AM239">
            <v>45.96</v>
          </cell>
          <cell r="AN239">
            <v>4.66</v>
          </cell>
          <cell r="AO239" t="e">
            <v>#N/A</v>
          </cell>
          <cell r="AP239">
            <v>35.25</v>
          </cell>
          <cell r="AQ239" t="e">
            <v>#VALUE!</v>
          </cell>
          <cell r="AR239">
            <v>35.25</v>
          </cell>
          <cell r="AS239">
            <v>34.25</v>
          </cell>
          <cell r="AT239" t="e">
            <v>#N/A</v>
          </cell>
          <cell r="AU239">
            <v>73.319999999999993</v>
          </cell>
          <cell r="AV239">
            <v>73.319999999999993</v>
          </cell>
          <cell r="AW239" t="e">
            <v>#VALUE!</v>
          </cell>
          <cell r="AX239" t="e">
            <v>#VALUE!</v>
          </cell>
          <cell r="AY239" t="e">
            <v>#VALUE!</v>
          </cell>
          <cell r="AZ239" t="e">
            <v>#VALUE!</v>
          </cell>
          <cell r="BA239" t="e">
            <v>#VALUE!</v>
          </cell>
          <cell r="BB239" t="e">
            <v>#VALUE!</v>
          </cell>
          <cell r="BC239" t="e">
            <v>#VALUE!</v>
          </cell>
          <cell r="BD239" t="e">
            <v>#VALUE!</v>
          </cell>
          <cell r="BE239" t="e">
            <v>#VALUE!</v>
          </cell>
        </row>
        <row r="240">
          <cell r="H240">
            <v>34.5</v>
          </cell>
          <cell r="I240">
            <v>6.9</v>
          </cell>
          <cell r="J240">
            <v>26.74</v>
          </cell>
          <cell r="K240">
            <v>40.51</v>
          </cell>
          <cell r="L240">
            <v>16.59</v>
          </cell>
          <cell r="M240">
            <v>17.079999999999998</v>
          </cell>
          <cell r="N240">
            <v>27.38</v>
          </cell>
          <cell r="O240">
            <v>13.84</v>
          </cell>
          <cell r="P240">
            <v>7.31</v>
          </cell>
          <cell r="Q240">
            <v>16.579999999999998</v>
          </cell>
          <cell r="R240">
            <v>32.35</v>
          </cell>
          <cell r="S240">
            <v>21.6</v>
          </cell>
          <cell r="T240" t="e">
            <v>#VALUE!</v>
          </cell>
          <cell r="U240">
            <v>22</v>
          </cell>
          <cell r="V240">
            <v>44.89</v>
          </cell>
          <cell r="W240">
            <v>34.5</v>
          </cell>
          <cell r="X240">
            <v>32.450000000000003</v>
          </cell>
          <cell r="Y240">
            <v>20.95</v>
          </cell>
          <cell r="Z240" t="e">
            <v>#N/A</v>
          </cell>
          <cell r="AA240">
            <v>63.64</v>
          </cell>
          <cell r="AB240">
            <v>63.64</v>
          </cell>
          <cell r="AC240">
            <v>14.5</v>
          </cell>
          <cell r="AD240" t="e">
            <v>#N/A</v>
          </cell>
          <cell r="AE240">
            <v>7.17</v>
          </cell>
          <cell r="AF240">
            <v>42.92</v>
          </cell>
          <cell r="AG240">
            <v>28.85</v>
          </cell>
          <cell r="AH240">
            <v>44.89</v>
          </cell>
          <cell r="AI240">
            <v>8.26</v>
          </cell>
          <cell r="AJ240" t="e">
            <v>#VALUE!</v>
          </cell>
          <cell r="AK240">
            <v>26.75</v>
          </cell>
          <cell r="AL240">
            <v>31.14</v>
          </cell>
          <cell r="AM240">
            <v>48.32</v>
          </cell>
          <cell r="AN240">
            <v>4.6500000000000004</v>
          </cell>
          <cell r="AO240" t="e">
            <v>#N/A</v>
          </cell>
          <cell r="AP240">
            <v>45.19</v>
          </cell>
          <cell r="AQ240" t="e">
            <v>#VALUE!</v>
          </cell>
          <cell r="AR240">
            <v>45.19</v>
          </cell>
          <cell r="AS240">
            <v>28.85</v>
          </cell>
          <cell r="AT240" t="e">
            <v>#N/A</v>
          </cell>
          <cell r="AU240">
            <v>55.71</v>
          </cell>
          <cell r="AV240">
            <v>55.71</v>
          </cell>
          <cell r="AW240" t="e">
            <v>#VALUE!</v>
          </cell>
          <cell r="AX240" t="e">
            <v>#VALUE!</v>
          </cell>
          <cell r="AY240" t="e">
            <v>#VALUE!</v>
          </cell>
          <cell r="AZ240" t="e">
            <v>#VALUE!</v>
          </cell>
          <cell r="BA240" t="e">
            <v>#VALUE!</v>
          </cell>
          <cell r="BB240" t="e">
            <v>#VALUE!</v>
          </cell>
          <cell r="BC240" t="e">
            <v>#VALUE!</v>
          </cell>
          <cell r="BD240" t="e">
            <v>#VALUE!</v>
          </cell>
          <cell r="BE240" t="e">
            <v>#VALUE!</v>
          </cell>
        </row>
        <row r="241">
          <cell r="H241">
            <v>32.119999999999997</v>
          </cell>
          <cell r="I241">
            <v>13.81</v>
          </cell>
          <cell r="J241">
            <v>29</v>
          </cell>
          <cell r="K241">
            <v>40.159999999999997</v>
          </cell>
          <cell r="L241">
            <v>22.86</v>
          </cell>
          <cell r="M241">
            <v>18.36</v>
          </cell>
          <cell r="N241">
            <v>38.94</v>
          </cell>
          <cell r="O241">
            <v>18.78</v>
          </cell>
          <cell r="P241">
            <v>13.35</v>
          </cell>
          <cell r="Q241">
            <v>17.7</v>
          </cell>
          <cell r="R241">
            <v>31.84</v>
          </cell>
          <cell r="S241">
            <v>24.29</v>
          </cell>
          <cell r="T241" t="e">
            <v>#VALUE!</v>
          </cell>
          <cell r="U241">
            <v>20.350000000000001</v>
          </cell>
          <cell r="V241">
            <v>49.47</v>
          </cell>
          <cell r="W241">
            <v>32.119999999999997</v>
          </cell>
          <cell r="X241">
            <v>37.880000000000003</v>
          </cell>
          <cell r="Y241">
            <v>24.17</v>
          </cell>
          <cell r="Z241" t="e">
            <v>#N/A</v>
          </cell>
          <cell r="AA241">
            <v>76.25</v>
          </cell>
          <cell r="AB241">
            <v>76.25</v>
          </cell>
          <cell r="AC241">
            <v>18.23</v>
          </cell>
          <cell r="AD241" t="e">
            <v>#N/A</v>
          </cell>
          <cell r="AE241">
            <v>7.92</v>
          </cell>
          <cell r="AF241">
            <v>47.86</v>
          </cell>
          <cell r="AG241">
            <v>30.01</v>
          </cell>
          <cell r="AH241">
            <v>49.47</v>
          </cell>
          <cell r="AI241">
            <v>24.56</v>
          </cell>
          <cell r="AJ241" t="e">
            <v>#VALUE!</v>
          </cell>
          <cell r="AK241">
            <v>29.4</v>
          </cell>
          <cell r="AL241">
            <v>36.29</v>
          </cell>
          <cell r="AM241">
            <v>47.98</v>
          </cell>
          <cell r="AN241">
            <v>4.8</v>
          </cell>
          <cell r="AO241" t="e">
            <v>#N/A</v>
          </cell>
          <cell r="AP241">
            <v>49.25</v>
          </cell>
          <cell r="AQ241" t="e">
            <v>#VALUE!</v>
          </cell>
          <cell r="AR241">
            <v>49.25</v>
          </cell>
          <cell r="AS241">
            <v>30.01</v>
          </cell>
          <cell r="AT241" t="e">
            <v>#N/A</v>
          </cell>
          <cell r="AU241">
            <v>63.03</v>
          </cell>
          <cell r="AV241">
            <v>63.03</v>
          </cell>
          <cell r="AW241" t="e">
            <v>#VALUE!</v>
          </cell>
          <cell r="AX241" t="e">
            <v>#VALUE!</v>
          </cell>
          <cell r="AY241" t="e">
            <v>#VALUE!</v>
          </cell>
          <cell r="AZ241" t="e">
            <v>#VALUE!</v>
          </cell>
          <cell r="BA241" t="e">
            <v>#VALUE!</v>
          </cell>
          <cell r="BB241" t="e">
            <v>#VALUE!</v>
          </cell>
          <cell r="BC241" t="e">
            <v>#VALUE!</v>
          </cell>
          <cell r="BD241" t="e">
            <v>#VALUE!</v>
          </cell>
          <cell r="BE241" t="e">
            <v>#VALUE!</v>
          </cell>
        </row>
        <row r="242">
          <cell r="H242">
            <v>37</v>
          </cell>
          <cell r="I242">
            <v>15.6</v>
          </cell>
          <cell r="J242">
            <v>27.42</v>
          </cell>
          <cell r="K242">
            <v>33.5</v>
          </cell>
          <cell r="L242">
            <v>26.99</v>
          </cell>
          <cell r="M242">
            <v>23.94</v>
          </cell>
          <cell r="N242">
            <v>45.24</v>
          </cell>
          <cell r="O242">
            <v>20.14</v>
          </cell>
          <cell r="P242">
            <v>17</v>
          </cell>
          <cell r="Q242">
            <v>20.88</v>
          </cell>
          <cell r="R242">
            <v>32.049999999999997</v>
          </cell>
          <cell r="S242">
            <v>30.4</v>
          </cell>
          <cell r="T242" t="e">
            <v>#VALUE!</v>
          </cell>
          <cell r="U242">
            <v>18.3</v>
          </cell>
          <cell r="V242">
            <v>53.69</v>
          </cell>
          <cell r="W242">
            <v>37</v>
          </cell>
          <cell r="X242">
            <v>47</v>
          </cell>
          <cell r="Y242">
            <v>24.6</v>
          </cell>
          <cell r="Z242" t="e">
            <v>#N/A</v>
          </cell>
          <cell r="AA242">
            <v>66.260000000000005</v>
          </cell>
          <cell r="AB242">
            <v>66.260000000000005</v>
          </cell>
          <cell r="AC242">
            <v>19.13</v>
          </cell>
          <cell r="AD242" t="e">
            <v>#N/A</v>
          </cell>
          <cell r="AE242">
            <v>9.33</v>
          </cell>
          <cell r="AF242">
            <v>42.92</v>
          </cell>
          <cell r="AG242">
            <v>27.22</v>
          </cell>
          <cell r="AH242">
            <v>53.69</v>
          </cell>
          <cell r="AI242">
            <v>24.25</v>
          </cell>
          <cell r="AJ242" t="e">
            <v>#VALUE!</v>
          </cell>
          <cell r="AK242">
            <v>27.2</v>
          </cell>
          <cell r="AL242">
            <v>32.07</v>
          </cell>
          <cell r="AM242">
            <v>46.62</v>
          </cell>
          <cell r="AN242">
            <v>6.7</v>
          </cell>
          <cell r="AO242" t="e">
            <v>#N/A</v>
          </cell>
          <cell r="AP242">
            <v>39.909999999999997</v>
          </cell>
          <cell r="AQ242" t="e">
            <v>#VALUE!</v>
          </cell>
          <cell r="AR242">
            <v>39.909999999999997</v>
          </cell>
          <cell r="AS242">
            <v>27.22</v>
          </cell>
          <cell r="AT242" t="e">
            <v>#N/A</v>
          </cell>
          <cell r="AU242">
            <v>65.650000000000006</v>
          </cell>
          <cell r="AV242">
            <v>65.650000000000006</v>
          </cell>
          <cell r="AW242" t="e">
            <v>#VALUE!</v>
          </cell>
          <cell r="AX242" t="e">
            <v>#VALUE!</v>
          </cell>
          <cell r="AY242" t="e">
            <v>#VALUE!</v>
          </cell>
          <cell r="AZ242" t="e">
            <v>#VALUE!</v>
          </cell>
          <cell r="BA242" t="e">
            <v>#VALUE!</v>
          </cell>
          <cell r="BB242" t="e">
            <v>#VALUE!</v>
          </cell>
          <cell r="BC242" t="e">
            <v>#VALUE!</v>
          </cell>
          <cell r="BD242" t="e">
            <v>#VALUE!</v>
          </cell>
          <cell r="BE242" t="e">
            <v>#VALUE!</v>
          </cell>
        </row>
        <row r="243">
          <cell r="H243">
            <v>1.72</v>
          </cell>
          <cell r="I243">
            <v>0.25</v>
          </cell>
          <cell r="J243">
            <v>0.96</v>
          </cell>
          <cell r="K243">
            <v>2.1800000000000002</v>
          </cell>
          <cell r="L243">
            <v>-0.2</v>
          </cell>
          <cell r="M243">
            <v>0.91</v>
          </cell>
          <cell r="N243">
            <v>2.02</v>
          </cell>
          <cell r="O243">
            <v>0.45</v>
          </cell>
          <cell r="P243">
            <v>1.0900000000000001</v>
          </cell>
          <cell r="Q243">
            <v>0.91</v>
          </cell>
          <cell r="R243">
            <v>1.4475</v>
          </cell>
          <cell r="S243">
            <v>1.27</v>
          </cell>
          <cell r="T243" t="e">
            <v>#VALUE!</v>
          </cell>
          <cell r="U243">
            <v>0.09</v>
          </cell>
          <cell r="V243">
            <v>0.88</v>
          </cell>
          <cell r="W243">
            <v>1.72</v>
          </cell>
          <cell r="X243">
            <v>1.56</v>
          </cell>
          <cell r="Y243">
            <v>0.72</v>
          </cell>
          <cell r="Z243" t="e">
            <v>#N/A</v>
          </cell>
          <cell r="AA243">
            <v>2.5150000000000001</v>
          </cell>
          <cell r="AB243">
            <v>2.5150000000000001</v>
          </cell>
          <cell r="AC243">
            <v>1.03</v>
          </cell>
          <cell r="AD243" t="e">
            <v>#N/A</v>
          </cell>
          <cell r="AE243">
            <v>0.40749999999999997</v>
          </cell>
          <cell r="AF243">
            <v>2.0099999999999998</v>
          </cell>
          <cell r="AG243">
            <v>1.4</v>
          </cell>
          <cell r="AH243">
            <v>1.0900000000000001</v>
          </cell>
          <cell r="AI243">
            <v>0.89</v>
          </cell>
          <cell r="AJ243" t="e">
            <v>#VALUE!</v>
          </cell>
          <cell r="AK243">
            <v>1.31</v>
          </cell>
          <cell r="AL243">
            <v>1.3674999999999999</v>
          </cell>
          <cell r="AM243">
            <v>1.88</v>
          </cell>
          <cell r="AN243">
            <v>0.64500000000000002</v>
          </cell>
          <cell r="AO243" t="e">
            <v>#N/A</v>
          </cell>
          <cell r="AP243">
            <v>1.2666666666666666</v>
          </cell>
          <cell r="AQ243" t="e">
            <v>#VALUE!</v>
          </cell>
          <cell r="AR243">
            <v>1.2666666666666666</v>
          </cell>
          <cell r="AS243">
            <v>1.4</v>
          </cell>
          <cell r="AT243" t="e">
            <v>#N/A</v>
          </cell>
          <cell r="AU243">
            <v>1.82</v>
          </cell>
          <cell r="AV243">
            <v>1.82</v>
          </cell>
          <cell r="AW243" t="e">
            <v>#VALUE!</v>
          </cell>
          <cell r="AX243" t="e">
            <v>#VALUE!</v>
          </cell>
          <cell r="AY243" t="e">
            <v>#VALUE!</v>
          </cell>
          <cell r="AZ243" t="e">
            <v>#VALUE!</v>
          </cell>
          <cell r="BA243" t="e">
            <v>#VALUE!</v>
          </cell>
          <cell r="BB243" t="e">
            <v>#VALUE!</v>
          </cell>
          <cell r="BC243" t="e">
            <v>#VALUE!</v>
          </cell>
          <cell r="BD243" t="e">
            <v>#VALUE!</v>
          </cell>
          <cell r="BE243" t="e">
            <v>#VALUE!</v>
          </cell>
        </row>
        <row r="244">
          <cell r="H244">
            <v>1.9</v>
          </cell>
          <cell r="I244">
            <v>0.23</v>
          </cell>
          <cell r="J244">
            <v>1.05</v>
          </cell>
          <cell r="K244">
            <v>2.77</v>
          </cell>
          <cell r="L244">
            <v>0.1</v>
          </cell>
          <cell r="M244">
            <v>0.83</v>
          </cell>
          <cell r="N244">
            <v>2.16</v>
          </cell>
          <cell r="O244">
            <v>0.51</v>
          </cell>
          <cell r="P244">
            <v>0.33</v>
          </cell>
          <cell r="Q244">
            <v>0.95</v>
          </cell>
          <cell r="R244">
            <v>1.53</v>
          </cell>
          <cell r="S244">
            <v>1.34</v>
          </cell>
          <cell r="T244">
            <v>1.76</v>
          </cell>
          <cell r="U244">
            <v>0.32</v>
          </cell>
          <cell r="V244">
            <v>1.54</v>
          </cell>
          <cell r="W244">
            <v>1.88</v>
          </cell>
          <cell r="X244">
            <v>1.78</v>
          </cell>
          <cell r="Y244">
            <v>1.01</v>
          </cell>
          <cell r="Z244" t="e">
            <v>#N/A</v>
          </cell>
          <cell r="AA244">
            <v>3.41</v>
          </cell>
          <cell r="AB244">
            <v>3.41</v>
          </cell>
          <cell r="AC244">
            <v>1.28</v>
          </cell>
          <cell r="AD244" t="e">
            <v>#N/A</v>
          </cell>
          <cell r="AE244">
            <v>0.26250000000000001</v>
          </cell>
          <cell r="AF244">
            <v>2.56</v>
          </cell>
          <cell r="AG244">
            <v>1.82</v>
          </cell>
          <cell r="AH244">
            <v>1.5649999999999999</v>
          </cell>
          <cell r="AI244">
            <v>0.24</v>
          </cell>
          <cell r="AJ244" t="e">
            <v>#VALUE!</v>
          </cell>
          <cell r="AK244">
            <v>1.76</v>
          </cell>
          <cell r="AL244">
            <v>1.7825</v>
          </cell>
          <cell r="AM244">
            <v>2.2799999999999998</v>
          </cell>
          <cell r="AN244">
            <v>0.33500000000000002</v>
          </cell>
          <cell r="AO244" t="e">
            <v>#N/A</v>
          </cell>
          <cell r="AP244">
            <v>1.5933333333333333</v>
          </cell>
          <cell r="AQ244" t="e">
            <v>#VALUE!</v>
          </cell>
          <cell r="AR244">
            <v>1.5933333333333333</v>
          </cell>
          <cell r="AS244">
            <v>1.82</v>
          </cell>
          <cell r="AT244" t="e">
            <v>#N/A</v>
          </cell>
          <cell r="AU244">
            <v>2.91</v>
          </cell>
          <cell r="AV244">
            <v>2.91</v>
          </cell>
          <cell r="AW244" t="e">
            <v>#VALUE!</v>
          </cell>
          <cell r="AX244" t="e">
            <v>#VALUE!</v>
          </cell>
          <cell r="AY244" t="e">
            <v>#VALUE!</v>
          </cell>
          <cell r="AZ244" t="e">
            <v>#VALUE!</v>
          </cell>
          <cell r="BA244" t="e">
            <v>#VALUE!</v>
          </cell>
          <cell r="BB244" t="e">
            <v>#VALUE!</v>
          </cell>
          <cell r="BC244" t="e">
            <v>#VALUE!</v>
          </cell>
          <cell r="BD244" t="e">
            <v>#VALUE!</v>
          </cell>
          <cell r="BE244" t="e">
            <v>#VALUE!</v>
          </cell>
        </row>
        <row r="245">
          <cell r="H245">
            <v>2.14</v>
          </cell>
          <cell r="I245">
            <v>0.34</v>
          </cell>
          <cell r="J245">
            <v>1.19</v>
          </cell>
          <cell r="K245">
            <v>3.12</v>
          </cell>
          <cell r="L245">
            <v>0.45</v>
          </cell>
          <cell r="M245">
            <v>1.02</v>
          </cell>
          <cell r="N245">
            <v>2.39</v>
          </cell>
          <cell r="O245">
            <v>0.73</v>
          </cell>
          <cell r="P245">
            <v>0.7</v>
          </cell>
          <cell r="Q245">
            <v>1.1100000000000001</v>
          </cell>
          <cell r="R245">
            <v>1.78083675</v>
          </cell>
          <cell r="S245">
            <v>1.55</v>
          </cell>
          <cell r="T245">
            <v>2.0299999999999998</v>
          </cell>
          <cell r="U245">
            <v>0.65</v>
          </cell>
          <cell r="V245">
            <v>2.2799999999999998</v>
          </cell>
          <cell r="W245">
            <v>2.14</v>
          </cell>
          <cell r="X245">
            <v>2.06</v>
          </cell>
          <cell r="Y245">
            <v>1.27</v>
          </cell>
          <cell r="Z245" t="e">
            <v>#N/A</v>
          </cell>
          <cell r="AA245">
            <v>4.08</v>
          </cell>
          <cell r="AB245">
            <v>4.08</v>
          </cell>
          <cell r="AC245">
            <v>1.42</v>
          </cell>
          <cell r="AD245" t="e">
            <v>#N/A</v>
          </cell>
          <cell r="AE245">
            <v>0.37</v>
          </cell>
          <cell r="AF245">
            <v>2.96</v>
          </cell>
          <cell r="AG245">
            <v>2.1800000000000002</v>
          </cell>
          <cell r="AH245">
            <v>2.2149999999999999</v>
          </cell>
          <cell r="AI245">
            <v>0.48</v>
          </cell>
          <cell r="AJ245" t="e">
            <v>#VALUE!</v>
          </cell>
          <cell r="AK245">
            <v>2.0299999999999998</v>
          </cell>
          <cell r="AL245">
            <v>2.1724999999999999</v>
          </cell>
          <cell r="AM245">
            <v>2.54</v>
          </cell>
          <cell r="AN245">
            <v>0.50160000000000005</v>
          </cell>
          <cell r="AO245" t="e">
            <v>#N/A</v>
          </cell>
          <cell r="AP245">
            <v>1.91</v>
          </cell>
          <cell r="AQ245" t="e">
            <v>#VALUE!</v>
          </cell>
          <cell r="AR245">
            <v>1.91</v>
          </cell>
          <cell r="AS245">
            <v>2.1800000000000002</v>
          </cell>
          <cell r="AT245" t="e">
            <v>#N/A</v>
          </cell>
          <cell r="AU245">
            <v>3.5</v>
          </cell>
          <cell r="AV245">
            <v>3.5</v>
          </cell>
          <cell r="AW245" t="e">
            <v>#VALUE!</v>
          </cell>
          <cell r="AX245" t="e">
            <v>#VALUE!</v>
          </cell>
          <cell r="AY245" t="e">
            <v>#VALUE!</v>
          </cell>
          <cell r="AZ245" t="e">
            <v>#VALUE!</v>
          </cell>
          <cell r="BA245" t="e">
            <v>#VALUE!</v>
          </cell>
          <cell r="BB245" t="e">
            <v>#VALUE!</v>
          </cell>
          <cell r="BC245" t="e">
            <v>#VALUE!</v>
          </cell>
          <cell r="BD245" t="e">
            <v>#VALUE!</v>
          </cell>
          <cell r="BE245" t="e">
            <v>#VALUE!</v>
          </cell>
        </row>
        <row r="246">
          <cell r="H246">
            <v>2.6</v>
          </cell>
          <cell r="I246">
            <v>0.46</v>
          </cell>
          <cell r="J246">
            <v>1.3729374999999999</v>
          </cell>
          <cell r="K246">
            <v>3.6816</v>
          </cell>
          <cell r="L246">
            <v>0.7</v>
          </cell>
          <cell r="M246">
            <v>1.25</v>
          </cell>
          <cell r="N246">
            <v>2.65</v>
          </cell>
          <cell r="O246">
            <v>0.86903999999999992</v>
          </cell>
          <cell r="P246">
            <v>0.81025000000000003</v>
          </cell>
          <cell r="Q246">
            <v>1.2931500000000002</v>
          </cell>
          <cell r="R246">
            <v>1.78083675</v>
          </cell>
          <cell r="S246">
            <v>1.75</v>
          </cell>
          <cell r="T246" t="e">
            <v>#VALUE!</v>
          </cell>
          <cell r="U246">
            <v>0.80437499999999995</v>
          </cell>
          <cell r="V246">
            <v>2.8143040000000004</v>
          </cell>
          <cell r="W246">
            <v>2.6</v>
          </cell>
          <cell r="X246">
            <v>2.38</v>
          </cell>
          <cell r="Y246">
            <v>1.5972790000000001</v>
          </cell>
          <cell r="Z246" t="e">
            <v>#N/A</v>
          </cell>
          <cell r="AA246" t="e">
            <v>#N/A</v>
          </cell>
          <cell r="AB246" t="e">
            <v>#N/A</v>
          </cell>
          <cell r="AC246">
            <v>1.6045999999999998</v>
          </cell>
          <cell r="AD246" t="e">
            <v>#N/A</v>
          </cell>
          <cell r="AE246">
            <v>0.44800000000000006</v>
          </cell>
          <cell r="AF246">
            <v>3.4039999999999999</v>
          </cell>
          <cell r="AG246">
            <v>2.6515339999999998</v>
          </cell>
          <cell r="AH246">
            <v>2.8143040000000004</v>
          </cell>
          <cell r="AI246">
            <v>0.52800000000000002</v>
          </cell>
          <cell r="AJ246" t="e">
            <v>#VALUE!</v>
          </cell>
          <cell r="AK246">
            <v>2.25</v>
          </cell>
          <cell r="AL246">
            <v>2.54</v>
          </cell>
          <cell r="AM246">
            <v>2.8305760000000002</v>
          </cell>
          <cell r="AN246">
            <v>0.50160000000000005</v>
          </cell>
          <cell r="AO246" t="e">
            <v>#N/A</v>
          </cell>
          <cell r="AP246">
            <v>2.271422666666667</v>
          </cell>
          <cell r="AQ246" t="e">
            <v>#VALUE!</v>
          </cell>
          <cell r="AR246">
            <v>2.271422666666667</v>
          </cell>
          <cell r="AS246">
            <v>2.6515339999999998</v>
          </cell>
          <cell r="AT246" t="e">
            <v>#N/A</v>
          </cell>
          <cell r="AU246">
            <v>4.1981800000000007</v>
          </cell>
          <cell r="AV246">
            <v>4.1981800000000007</v>
          </cell>
          <cell r="AW246" t="e">
            <v>#VALUE!</v>
          </cell>
          <cell r="AX246" t="e">
            <v>#VALUE!</v>
          </cell>
          <cell r="AY246" t="e">
            <v>#VALUE!</v>
          </cell>
          <cell r="AZ246" t="e">
            <v>#VALUE!</v>
          </cell>
          <cell r="BA246" t="e">
            <v>#VALUE!</v>
          </cell>
          <cell r="BB246" t="e">
            <v>#VALUE!</v>
          </cell>
          <cell r="BC246" t="e">
            <v>#VALUE!</v>
          </cell>
          <cell r="BD246" t="e">
            <v>#VALUE!</v>
          </cell>
          <cell r="BE246" t="e">
            <v>#VALUE!</v>
          </cell>
        </row>
        <row r="247">
          <cell r="H247">
            <v>0.17</v>
          </cell>
          <cell r="I247">
            <v>0.2</v>
          </cell>
          <cell r="J247">
            <v>0.19</v>
          </cell>
          <cell r="K247">
            <v>0.18</v>
          </cell>
          <cell r="L247">
            <v>0.38750000000000001</v>
          </cell>
          <cell r="M247">
            <v>0.17</v>
          </cell>
          <cell r="N247">
            <v>0.13</v>
          </cell>
          <cell r="O247">
            <v>0.2</v>
          </cell>
          <cell r="P247">
            <v>0.1575</v>
          </cell>
          <cell r="Q247">
            <v>0.16500000000000001</v>
          </cell>
          <cell r="R247">
            <v>0.16570000000000001</v>
          </cell>
          <cell r="S247">
            <v>0.17</v>
          </cell>
          <cell r="T247">
            <v>0.16</v>
          </cell>
          <cell r="U247">
            <v>0.23749999999999999</v>
          </cell>
          <cell r="V247">
            <v>0.3</v>
          </cell>
          <cell r="W247">
            <v>0.18760000000000002</v>
          </cell>
          <cell r="X247">
            <v>0.15670000000000001</v>
          </cell>
          <cell r="Y247">
            <v>0.25769999999999998</v>
          </cell>
          <cell r="Z247" t="e">
            <v>#N/A</v>
          </cell>
          <cell r="AA247">
            <v>0.19320000000000001</v>
          </cell>
          <cell r="AB247">
            <v>0.19320000000000001</v>
          </cell>
          <cell r="AC247">
            <v>0.13</v>
          </cell>
          <cell r="AD247" t="e">
            <v>#N/A</v>
          </cell>
          <cell r="AE247">
            <v>0.16</v>
          </cell>
          <cell r="AF247">
            <v>0.15</v>
          </cell>
          <cell r="AG247">
            <v>0.21629999999999999</v>
          </cell>
          <cell r="AH247">
            <v>0.26960000000000001</v>
          </cell>
          <cell r="AI247">
            <v>0.1</v>
          </cell>
          <cell r="AJ247" t="e">
            <v>#VALUE!</v>
          </cell>
          <cell r="AK247">
            <v>0.16</v>
          </cell>
          <cell r="AL247">
            <v>0.18760000000000002</v>
          </cell>
          <cell r="AM247">
            <v>0.1144</v>
          </cell>
          <cell r="AN247">
            <v>0.2</v>
          </cell>
          <cell r="AO247" t="e">
            <v>#N/A</v>
          </cell>
          <cell r="AP247">
            <v>0.1867</v>
          </cell>
          <cell r="AQ247" t="e">
            <v>#VALUE!</v>
          </cell>
          <cell r="AR247">
            <v>0.1867</v>
          </cell>
          <cell r="AS247">
            <v>0.21629999999999999</v>
          </cell>
          <cell r="AT247" t="e">
            <v>#N/A</v>
          </cell>
          <cell r="AU247">
            <v>0.19800000000000001</v>
          </cell>
          <cell r="AV247">
            <v>0.19800000000000001</v>
          </cell>
          <cell r="AW247" t="e">
            <v>#VALUE!</v>
          </cell>
          <cell r="AX247" t="e">
            <v>#VALUE!</v>
          </cell>
          <cell r="AY247" t="e">
            <v>#VALUE!</v>
          </cell>
          <cell r="AZ247" t="e">
            <v>#VALUE!</v>
          </cell>
          <cell r="BA247" t="e">
            <v>#VALUE!</v>
          </cell>
          <cell r="BB247" t="e">
            <v>#VALUE!</v>
          </cell>
          <cell r="BC247" t="e">
            <v>#VALUE!</v>
          </cell>
          <cell r="BD247" t="e">
            <v>#VALUE!</v>
          </cell>
          <cell r="BE247" t="e">
            <v>#VALUE!</v>
          </cell>
        </row>
        <row r="248">
          <cell r="H248">
            <v>73.790000000000006</v>
          </cell>
          <cell r="I248">
            <v>21.36</v>
          </cell>
          <cell r="J248">
            <v>38.06</v>
          </cell>
          <cell r="K248">
            <v>51</v>
          </cell>
          <cell r="L248">
            <v>41.95</v>
          </cell>
          <cell r="M248">
            <v>40.42</v>
          </cell>
          <cell r="N248">
            <v>51.98</v>
          </cell>
          <cell r="O248">
            <v>24.05</v>
          </cell>
          <cell r="P248">
            <v>36.299999999999997</v>
          </cell>
          <cell r="Q248">
            <v>24.6</v>
          </cell>
          <cell r="R248">
            <v>39.6</v>
          </cell>
          <cell r="S248">
            <v>40.950000000000003</v>
          </cell>
          <cell r="T248" t="e">
            <v>#VALUE!</v>
          </cell>
          <cell r="U248">
            <v>26.86</v>
          </cell>
          <cell r="V248">
            <v>64.819999999999993</v>
          </cell>
          <cell r="W248">
            <v>73.790000000000006</v>
          </cell>
          <cell r="X248">
            <v>56.248170000000002</v>
          </cell>
          <cell r="Y248">
            <v>35.96</v>
          </cell>
          <cell r="Z248" t="e">
            <v>#N/A</v>
          </cell>
          <cell r="AA248">
            <v>82.85</v>
          </cell>
          <cell r="AB248">
            <v>82.85</v>
          </cell>
          <cell r="AC248">
            <v>20.9</v>
          </cell>
          <cell r="AD248" t="e">
            <v>#N/A</v>
          </cell>
          <cell r="AE248">
            <v>10.48</v>
          </cell>
          <cell r="AF248">
            <v>53.35</v>
          </cell>
          <cell r="AG248">
            <v>35.799999999999997</v>
          </cell>
          <cell r="AH248">
            <v>64.819999999999993</v>
          </cell>
          <cell r="AI248">
            <v>9.5009999999999994</v>
          </cell>
          <cell r="AJ248" t="e">
            <v>#VALUE!</v>
          </cell>
          <cell r="AK248">
            <v>33.43</v>
          </cell>
          <cell r="AL248">
            <v>42.09</v>
          </cell>
          <cell r="AM248">
            <v>52.8</v>
          </cell>
          <cell r="AN248">
            <v>8.15</v>
          </cell>
          <cell r="AO248" t="e">
            <v>#N/A</v>
          </cell>
          <cell r="AP248">
            <v>53.47</v>
          </cell>
          <cell r="AQ248" t="e">
            <v>#VALUE!</v>
          </cell>
          <cell r="AR248">
            <v>53.47</v>
          </cell>
          <cell r="AS248">
            <v>35.799999999999997</v>
          </cell>
          <cell r="AT248">
            <v>16.12</v>
          </cell>
          <cell r="AU248">
            <v>76.599999999999994</v>
          </cell>
          <cell r="AV248">
            <v>76.599999999999994</v>
          </cell>
          <cell r="AW248" t="e">
            <v>#VALUE!</v>
          </cell>
          <cell r="AX248" t="e">
            <v>#VALUE!</v>
          </cell>
          <cell r="AY248" t="e">
            <v>#VALUE!</v>
          </cell>
          <cell r="AZ248" t="e">
            <v>#VALUE!</v>
          </cell>
          <cell r="BA248" t="e">
            <v>#VALUE!</v>
          </cell>
          <cell r="BB248" t="e">
            <v>#VALUE!</v>
          </cell>
          <cell r="BC248" t="e">
            <v>#VALUE!</v>
          </cell>
          <cell r="BD248" t="e">
            <v>#VALUE!</v>
          </cell>
          <cell r="BE248" t="e">
            <v>#VALUE!</v>
          </cell>
        </row>
        <row r="249">
          <cell r="H249">
            <v>26.58</v>
          </cell>
          <cell r="I249">
            <v>5.2</v>
          </cell>
          <cell r="J249">
            <v>21.8</v>
          </cell>
          <cell r="K249">
            <v>21</v>
          </cell>
          <cell r="L249">
            <v>13.8</v>
          </cell>
          <cell r="M249">
            <v>13</v>
          </cell>
          <cell r="N249">
            <v>24.85</v>
          </cell>
          <cell r="O249">
            <v>9.9499999999999993</v>
          </cell>
          <cell r="P249">
            <v>4.28</v>
          </cell>
          <cell r="Q249">
            <v>14.33</v>
          </cell>
          <cell r="R249">
            <v>22.33</v>
          </cell>
          <cell r="S249">
            <v>17.86</v>
          </cell>
          <cell r="T249" t="e">
            <v>#VALUE!</v>
          </cell>
          <cell r="U249">
            <v>18</v>
          </cell>
          <cell r="V249">
            <v>29.25</v>
          </cell>
          <cell r="W249">
            <v>26.58</v>
          </cell>
          <cell r="X249">
            <v>27.25</v>
          </cell>
          <cell r="Y249">
            <v>18.16</v>
          </cell>
          <cell r="Z249" t="e">
            <v>#N/A</v>
          </cell>
          <cell r="AA249">
            <v>53.850999999999999</v>
          </cell>
          <cell r="AB249">
            <v>53.850999999999999</v>
          </cell>
          <cell r="AC249">
            <v>13.27</v>
          </cell>
          <cell r="AD249" t="e">
            <v>#N/A</v>
          </cell>
          <cell r="AE249">
            <v>4.55</v>
          </cell>
          <cell r="AF249">
            <v>31.9</v>
          </cell>
          <cell r="AG249">
            <v>20.5</v>
          </cell>
          <cell r="AH249">
            <v>29.25</v>
          </cell>
          <cell r="AI249">
            <v>4.8816200000000007</v>
          </cell>
          <cell r="AJ249" t="e">
            <v>#VALUE!</v>
          </cell>
          <cell r="AK249">
            <v>21</v>
          </cell>
          <cell r="AL249">
            <v>26.5</v>
          </cell>
          <cell r="AM249">
            <v>36.25</v>
          </cell>
          <cell r="AN249">
            <v>1.75</v>
          </cell>
          <cell r="AO249" t="e">
            <v>#N/A</v>
          </cell>
          <cell r="AP249">
            <v>32.799999999999997</v>
          </cell>
          <cell r="AQ249" t="e">
            <v>#VALUE!</v>
          </cell>
          <cell r="AR249">
            <v>32.799999999999997</v>
          </cell>
          <cell r="AS249">
            <v>20.5</v>
          </cell>
          <cell r="AT249">
            <v>8</v>
          </cell>
          <cell r="AU249">
            <v>46.6</v>
          </cell>
          <cell r="AV249">
            <v>46.6</v>
          </cell>
          <cell r="AW249" t="e">
            <v>#VALUE!</v>
          </cell>
          <cell r="AX249" t="e">
            <v>#VALUE!</v>
          </cell>
          <cell r="AY249" t="e">
            <v>#VALUE!</v>
          </cell>
          <cell r="AZ249" t="e">
            <v>#VALUE!</v>
          </cell>
          <cell r="BA249" t="e">
            <v>#VALUE!</v>
          </cell>
          <cell r="BB249" t="e">
            <v>#VALUE!</v>
          </cell>
          <cell r="BC249" t="e">
            <v>#VALUE!</v>
          </cell>
          <cell r="BD249" t="e">
            <v>#VALUE!</v>
          </cell>
          <cell r="BE249" t="e">
            <v>#VALUE!</v>
          </cell>
        </row>
        <row r="252">
          <cell r="H252">
            <v>37256</v>
          </cell>
          <cell r="I252">
            <v>37256</v>
          </cell>
          <cell r="J252">
            <v>37437</v>
          </cell>
          <cell r="K252">
            <v>37256</v>
          </cell>
          <cell r="L252">
            <v>37256</v>
          </cell>
          <cell r="M252">
            <v>37256</v>
          </cell>
          <cell r="N252">
            <v>37256</v>
          </cell>
          <cell r="O252">
            <v>37256</v>
          </cell>
          <cell r="P252">
            <v>37256</v>
          </cell>
          <cell r="Q252">
            <v>37256</v>
          </cell>
          <cell r="R252">
            <v>37256</v>
          </cell>
          <cell r="S252">
            <v>37256</v>
          </cell>
          <cell r="T252">
            <v>37256</v>
          </cell>
          <cell r="U252">
            <v>37256</v>
          </cell>
          <cell r="V252">
            <v>37437</v>
          </cell>
          <cell r="W252">
            <v>37256</v>
          </cell>
          <cell r="X252">
            <v>37256</v>
          </cell>
          <cell r="Y252">
            <v>37345</v>
          </cell>
          <cell r="Z252">
            <v>0</v>
          </cell>
          <cell r="AA252">
            <v>0</v>
          </cell>
          <cell r="AB252">
            <v>37346</v>
          </cell>
          <cell r="AC252">
            <v>37346</v>
          </cell>
          <cell r="AD252">
            <v>36891</v>
          </cell>
          <cell r="AE252">
            <v>37253</v>
          </cell>
          <cell r="AF252">
            <v>37345</v>
          </cell>
          <cell r="AG252">
            <v>37346</v>
          </cell>
          <cell r="AH252">
            <v>0</v>
          </cell>
          <cell r="AI252">
            <v>0</v>
          </cell>
          <cell r="AJ252">
            <v>37256</v>
          </cell>
          <cell r="AK252">
            <v>37437</v>
          </cell>
          <cell r="AL252">
            <v>37256</v>
          </cell>
          <cell r="AM252">
            <v>37256</v>
          </cell>
          <cell r="AN252">
            <v>37162</v>
          </cell>
          <cell r="AO252">
            <v>36891</v>
          </cell>
          <cell r="AP252">
            <v>37009</v>
          </cell>
          <cell r="AQ252">
            <v>37009</v>
          </cell>
          <cell r="AR252">
            <v>37434</v>
          </cell>
          <cell r="AS252">
            <v>0</v>
          </cell>
          <cell r="AT252">
            <v>0</v>
          </cell>
          <cell r="AU252">
            <v>0</v>
          </cell>
          <cell r="AV252">
            <v>37346</v>
          </cell>
          <cell r="AW252">
            <v>36891</v>
          </cell>
          <cell r="AX252">
            <v>36891</v>
          </cell>
          <cell r="AY252">
            <v>36891</v>
          </cell>
          <cell r="AZ252">
            <v>36891</v>
          </cell>
          <cell r="BA252">
            <v>36891</v>
          </cell>
          <cell r="BB252">
            <v>36891</v>
          </cell>
          <cell r="BC252">
            <v>36891</v>
          </cell>
          <cell r="BD252">
            <v>36891</v>
          </cell>
          <cell r="BE252">
            <v>36891</v>
          </cell>
        </row>
        <row r="253"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79.676000000000016</v>
          </cell>
          <cell r="V253">
            <v>859.20799999999997</v>
          </cell>
          <cell r="W253">
            <v>617.78400000000011</v>
          </cell>
          <cell r="X253">
            <v>637.08299999999986</v>
          </cell>
          <cell r="Y253">
            <v>903.23099999999999</v>
          </cell>
          <cell r="Z253">
            <v>20077.681</v>
          </cell>
          <cell r="AA253">
            <v>13334.064000000004</v>
          </cell>
          <cell r="AB253">
            <v>37652.683999999994</v>
          </cell>
          <cell r="AC253">
            <v>3857.1689999999999</v>
          </cell>
          <cell r="AD253">
            <v>0</v>
          </cell>
          <cell r="AE253">
            <v>1778.1620000000003</v>
          </cell>
          <cell r="AF253">
            <v>2611.4409999999998</v>
          </cell>
          <cell r="AG253">
            <v>808.78600000000006</v>
          </cell>
          <cell r="AH253">
            <v>127.60400000000004</v>
          </cell>
          <cell r="AI253">
            <v>-6.2752499999999145</v>
          </cell>
          <cell r="AJ253">
            <v>1314.2507500000002</v>
          </cell>
          <cell r="AK253">
            <v>3069.5999999999995</v>
          </cell>
          <cell r="AL253">
            <v>35489.199999999997</v>
          </cell>
          <cell r="AM253">
            <v>1179.4469999999999</v>
          </cell>
          <cell r="AN253">
            <v>328.50900000000001</v>
          </cell>
          <cell r="AO253">
            <v>0</v>
          </cell>
          <cell r="AP253">
            <v>886.41499999999996</v>
          </cell>
          <cell r="AQ253">
            <v>149.649</v>
          </cell>
          <cell r="AR253">
            <v>1389.5150000000001</v>
          </cell>
          <cell r="AS253">
            <v>808.78599999999994</v>
          </cell>
          <cell r="AT253">
            <v>215.02499999999998</v>
          </cell>
          <cell r="AU253">
            <v>42882.7</v>
          </cell>
          <cell r="AV253">
            <v>43906.510999999991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25.537000000000006</v>
          </cell>
          <cell r="V254">
            <v>311.23200000000003</v>
          </cell>
          <cell r="W254">
            <v>276.92808390943935</v>
          </cell>
          <cell r="X254">
            <v>284.06199999999995</v>
          </cell>
          <cell r="Y254">
            <v>802.86199999999997</v>
          </cell>
          <cell r="Z254">
            <v>18808.510000000002</v>
          </cell>
          <cell r="AA254">
            <v>12761.905000000001</v>
          </cell>
          <cell r="AB254">
            <v>35708.300999999992</v>
          </cell>
          <cell r="AC254">
            <v>3444.7849999999999</v>
          </cell>
          <cell r="AD254">
            <v>0</v>
          </cell>
          <cell r="AE254">
            <v>1376.2660000000003</v>
          </cell>
          <cell r="AF254">
            <v>1893.0840000000003</v>
          </cell>
          <cell r="AG254">
            <v>500.03700000000003</v>
          </cell>
          <cell r="AH254">
            <v>102.44600000000003</v>
          </cell>
          <cell r="AI254">
            <v>-5.6970000000000027</v>
          </cell>
          <cell r="AJ254">
            <v>1011.6460000000002</v>
          </cell>
          <cell r="AK254">
            <v>2269.0000000000005</v>
          </cell>
          <cell r="AL254">
            <v>32785.300000000003</v>
          </cell>
          <cell r="AM254">
            <v>613.04200000000003</v>
          </cell>
          <cell r="AN254">
            <v>289.42000000000007</v>
          </cell>
          <cell r="AO254">
            <v>0</v>
          </cell>
          <cell r="AP254">
            <v>570.35599999999999</v>
          </cell>
          <cell r="AQ254">
            <v>110.994</v>
          </cell>
          <cell r="AR254">
            <v>908.57637769999997</v>
          </cell>
          <cell r="AS254">
            <v>500.03699999999992</v>
          </cell>
          <cell r="AT254">
            <v>149.91200000000003</v>
          </cell>
          <cell r="AU254">
            <v>38923.799999999996</v>
          </cell>
          <cell r="AV254">
            <v>39573.748999999989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54.13900000000001</v>
          </cell>
          <cell r="V255">
            <v>547.97599999999989</v>
          </cell>
          <cell r="W255">
            <v>340.85591609056075</v>
          </cell>
          <cell r="X255">
            <v>353.0209999999999</v>
          </cell>
          <cell r="Y255">
            <v>100.36900000000003</v>
          </cell>
          <cell r="Z255">
            <v>1269.1709999999985</v>
          </cell>
          <cell r="AA255">
            <v>572.15900000000329</v>
          </cell>
          <cell r="AB255">
            <v>1944.3830000000016</v>
          </cell>
          <cell r="AC255">
            <v>412.38400000000001</v>
          </cell>
          <cell r="AD255">
            <v>0</v>
          </cell>
          <cell r="AE255">
            <v>401.89599999999996</v>
          </cell>
          <cell r="AF255">
            <v>718.35699999999952</v>
          </cell>
          <cell r="AG255">
            <v>308.74900000000002</v>
          </cell>
          <cell r="AH255">
            <v>25.158000000000015</v>
          </cell>
          <cell r="AI255">
            <v>-0.57824999999991178</v>
          </cell>
          <cell r="AJ255">
            <v>302.60474999999997</v>
          </cell>
          <cell r="AK255">
            <v>800.599999999999</v>
          </cell>
          <cell r="AL255">
            <v>2703.8999999999942</v>
          </cell>
          <cell r="AM255">
            <v>566.40499999999986</v>
          </cell>
          <cell r="AN255">
            <v>39.088999999999942</v>
          </cell>
          <cell r="AO255">
            <v>0</v>
          </cell>
          <cell r="AP255">
            <v>316.05899999999997</v>
          </cell>
          <cell r="AQ255">
            <v>38.655000000000001</v>
          </cell>
          <cell r="AR255">
            <v>480.93862230000013</v>
          </cell>
          <cell r="AS255">
            <v>308.74900000000002</v>
          </cell>
          <cell r="AT255">
            <v>65.112999999999943</v>
          </cell>
          <cell r="AU255">
            <v>3958.9000000000015</v>
          </cell>
          <cell r="AV255">
            <v>4332.7620000000024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6.4099999999999993</v>
          </cell>
          <cell r="V256">
            <v>30.077000000000002</v>
          </cell>
          <cell r="W256">
            <v>21.85275</v>
          </cell>
          <cell r="X256">
            <v>32.555</v>
          </cell>
          <cell r="Y256">
            <v>3.6420000000000003</v>
          </cell>
          <cell r="Z256">
            <v>82.698000000000008</v>
          </cell>
          <cell r="AA256">
            <v>17.420000000000002</v>
          </cell>
          <cell r="AB256">
            <v>63.783999999999999</v>
          </cell>
          <cell r="AC256">
            <v>22.178000000000004</v>
          </cell>
          <cell r="AD256">
            <v>0</v>
          </cell>
          <cell r="AE256">
            <v>21.582000000000001</v>
          </cell>
          <cell r="AF256">
            <v>26.502000000000006</v>
          </cell>
          <cell r="AG256">
            <v>41.96</v>
          </cell>
          <cell r="AH256">
            <v>0.38300000000000023</v>
          </cell>
          <cell r="AI256">
            <v>-1.6754999999999995</v>
          </cell>
          <cell r="AJ256">
            <v>14.964500000000001</v>
          </cell>
          <cell r="AK256">
            <v>80.599999999999994</v>
          </cell>
          <cell r="AL256">
            <v>221.8</v>
          </cell>
          <cell r="AM256">
            <v>71.373000000000005</v>
          </cell>
          <cell r="AN256">
            <v>4.0869999999999997</v>
          </cell>
          <cell r="AO256">
            <v>0</v>
          </cell>
          <cell r="AP256">
            <v>7.4390000000000001</v>
          </cell>
          <cell r="AQ256">
            <v>0.59960250000000004</v>
          </cell>
          <cell r="AR256">
            <v>10.989469999999999</v>
          </cell>
          <cell r="AS256">
            <v>41.960000000000008</v>
          </cell>
          <cell r="AT256">
            <v>6.09</v>
          </cell>
          <cell r="AU256">
            <v>286.90000000000003</v>
          </cell>
          <cell r="AV256">
            <v>334.95000000000005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37.513999999999996</v>
          </cell>
          <cell r="V257">
            <v>269.70600000000002</v>
          </cell>
          <cell r="W257">
            <v>185.05795940499982</v>
          </cell>
          <cell r="X257">
            <v>187.04499999999996</v>
          </cell>
          <cell r="Y257">
            <v>54.028999999999996</v>
          </cell>
          <cell r="Z257">
            <v>862.37400000000002</v>
          </cell>
          <cell r="AA257">
            <v>320.27100000000002</v>
          </cell>
          <cell r="AB257">
            <v>1202.3329999999999</v>
          </cell>
          <cell r="AC257">
            <v>299.83000000000004</v>
          </cell>
          <cell r="AD257">
            <v>0</v>
          </cell>
          <cell r="AE257">
            <v>349.79500000000002</v>
          </cell>
          <cell r="AF257">
            <v>557.52</v>
          </cell>
          <cell r="AG257">
            <v>192.541</v>
          </cell>
          <cell r="AH257">
            <v>9.2929999999999993</v>
          </cell>
          <cell r="AI257">
            <v>-10.338000000000008</v>
          </cell>
          <cell r="AJ257">
            <v>171.55600000000001</v>
          </cell>
          <cell r="AK257">
            <v>45.200000000000045</v>
          </cell>
          <cell r="AL257">
            <v>2224.1999999999998</v>
          </cell>
          <cell r="AM257">
            <v>347.03</v>
          </cell>
          <cell r="AN257">
            <v>37.086999999999996</v>
          </cell>
          <cell r="AO257">
            <v>0</v>
          </cell>
          <cell r="AP257">
            <v>225.142</v>
          </cell>
          <cell r="AQ257">
            <v>28.146000000000001</v>
          </cell>
          <cell r="AR257">
            <v>340.13523347</v>
          </cell>
          <cell r="AS257">
            <v>192.541</v>
          </cell>
          <cell r="AT257">
            <v>52.514999999999993</v>
          </cell>
          <cell r="AU257">
            <v>2120.1</v>
          </cell>
          <cell r="AV257">
            <v>2365.1559999999999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14.298999999999999</v>
          </cell>
          <cell r="V258">
            <v>46.601999999999997</v>
          </cell>
          <cell r="W258">
            <v>39.601536483077233</v>
          </cell>
          <cell r="X258">
            <v>42.506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147.5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0.85199999999999965</v>
          </cell>
          <cell r="V260">
            <v>231.66800000000001</v>
          </cell>
          <cell r="W260">
            <v>115.50596117427342</v>
          </cell>
          <cell r="X260">
            <v>123.47</v>
          </cell>
          <cell r="Y260">
            <v>47.505000000000003</v>
          </cell>
          <cell r="Z260">
            <v>330.14100000000002</v>
          </cell>
          <cell r="AA260">
            <v>235.22500000000002</v>
          </cell>
          <cell r="AB260">
            <v>680.96699999999998</v>
          </cell>
          <cell r="AC260">
            <v>91.710999999999999</v>
          </cell>
          <cell r="AD260">
            <v>0</v>
          </cell>
          <cell r="AE260">
            <v>16.884</v>
          </cell>
          <cell r="AF260">
            <v>160.83699999999999</v>
          </cell>
          <cell r="AG260">
            <v>74.248000000000005</v>
          </cell>
          <cell r="AH260">
            <v>16.385000000000002</v>
          </cell>
          <cell r="AI260">
            <v>2.3609999999999971</v>
          </cell>
          <cell r="AJ260">
            <v>74.930999999999997</v>
          </cell>
          <cell r="AK260">
            <v>227.2</v>
          </cell>
          <cell r="AL260">
            <v>719</v>
          </cell>
          <cell r="AM260">
            <v>219.375</v>
          </cell>
          <cell r="AN260">
            <v>-3.4660000000000002</v>
          </cell>
          <cell r="AO260">
            <v>0</v>
          </cell>
          <cell r="AP260">
            <v>90.917000000000002</v>
          </cell>
          <cell r="AQ260">
            <v>10.509</v>
          </cell>
          <cell r="AR260">
            <v>136.28527358999997</v>
          </cell>
          <cell r="AS260">
            <v>74.248000000000005</v>
          </cell>
          <cell r="AT260">
            <v>12.198999999999998</v>
          </cell>
          <cell r="AU260">
            <v>1839.5000000000002</v>
          </cell>
          <cell r="AV260">
            <v>1925.9470000000001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-1.194</v>
          </cell>
          <cell r="V261">
            <v>-4.9649999999999999</v>
          </cell>
          <cell r="W261">
            <v>-8.4444166666666689</v>
          </cell>
          <cell r="X261">
            <v>22.434000000000001</v>
          </cell>
          <cell r="Y261">
            <v>-4.9660000000000002</v>
          </cell>
          <cell r="Z261">
            <v>180.11366666666669</v>
          </cell>
          <cell r="AA261">
            <v>31.352333333333338</v>
          </cell>
          <cell r="AB261">
            <v>184.8656666666667</v>
          </cell>
          <cell r="AC261">
            <v>16.027999999999999</v>
          </cell>
          <cell r="AD261">
            <v>0</v>
          </cell>
          <cell r="AE261">
            <v>13.810000000000002</v>
          </cell>
          <cell r="AF261">
            <v>5.5079999999999991</v>
          </cell>
          <cell r="AG261">
            <v>11.109</v>
          </cell>
          <cell r="AH261">
            <v>1.2879999999999998</v>
          </cell>
          <cell r="AI261">
            <v>-4.9989999999999997</v>
          </cell>
          <cell r="AJ261">
            <v>9.9390000000000001</v>
          </cell>
          <cell r="AK261">
            <v>95.699999999999989</v>
          </cell>
          <cell r="AL261">
            <v>108.4</v>
          </cell>
          <cell r="AM261">
            <v>16.542000000000002</v>
          </cell>
          <cell r="AN261">
            <v>-0.59099999999999986</v>
          </cell>
          <cell r="AO261">
            <v>0</v>
          </cell>
          <cell r="AP261">
            <v>7.0810000000000004</v>
          </cell>
          <cell r="AQ261">
            <v>0.13100000000000001</v>
          </cell>
          <cell r="AR261">
            <v>4.676000000000001</v>
          </cell>
          <cell r="AS261">
            <v>11.108999999999998</v>
          </cell>
          <cell r="AT261">
            <v>-0.41199999999999992</v>
          </cell>
          <cell r="AU261">
            <v>144.99999999999997</v>
          </cell>
          <cell r="AV261">
            <v>155.69699999999997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2.0459999999999994</v>
          </cell>
          <cell r="V262">
            <v>236.63300000000001</v>
          </cell>
          <cell r="W262">
            <v>123.95037784094009</v>
          </cell>
          <cell r="X262">
            <v>101.036</v>
          </cell>
          <cell r="Y262">
            <v>52.471000000000004</v>
          </cell>
          <cell r="Z262">
            <v>150.02733333333333</v>
          </cell>
          <cell r="AA262">
            <v>203.87266666666667</v>
          </cell>
          <cell r="AB262">
            <v>496.10133333333329</v>
          </cell>
          <cell r="AC262">
            <v>75.682999999999993</v>
          </cell>
          <cell r="AD262">
            <v>0</v>
          </cell>
          <cell r="AE262">
            <v>3.0739999999999981</v>
          </cell>
          <cell r="AF262">
            <v>155.32899999999998</v>
          </cell>
          <cell r="AG262">
            <v>63.139000000000003</v>
          </cell>
          <cell r="AH262">
            <v>15.097000000000001</v>
          </cell>
          <cell r="AI262">
            <v>7.3599999999999968</v>
          </cell>
          <cell r="AJ262">
            <v>64.99199999999999</v>
          </cell>
          <cell r="AK262">
            <v>131.5</v>
          </cell>
          <cell r="AL262">
            <v>610.6</v>
          </cell>
          <cell r="AM262">
            <v>202.833</v>
          </cell>
          <cell r="AN262">
            <v>-2.8750000000000004</v>
          </cell>
          <cell r="AO262">
            <v>0</v>
          </cell>
          <cell r="AP262">
            <v>83.835999999999999</v>
          </cell>
          <cell r="AQ262">
            <v>10.378</v>
          </cell>
          <cell r="AR262">
            <v>131.60927358999999</v>
          </cell>
          <cell r="AS262">
            <v>63.13900000000001</v>
          </cell>
          <cell r="AT262">
            <v>12.610999999999997</v>
          </cell>
          <cell r="AU262">
            <v>1694.5000000000002</v>
          </cell>
          <cell r="AV262">
            <v>1770.2500000000002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2.3960000000000043</v>
          </cell>
          <cell r="V263">
            <v>59.179000690656949</v>
          </cell>
          <cell r="W263">
            <v>45.644877840940083</v>
          </cell>
          <cell r="X263">
            <v>7.4586000000000041</v>
          </cell>
          <cell r="Y263">
            <v>19.724000000000004</v>
          </cell>
          <cell r="Z263">
            <v>69.727333333333334</v>
          </cell>
          <cell r="AA263">
            <v>105.53246666666668</v>
          </cell>
          <cell r="AB263">
            <v>193.81511033333328</v>
          </cell>
          <cell r="AC263">
            <v>39.791999999999987</v>
          </cell>
          <cell r="AD263">
            <v>0</v>
          </cell>
          <cell r="AE263">
            <v>-7.7188000000000052</v>
          </cell>
          <cell r="AF263">
            <v>55.385999999999967</v>
          </cell>
          <cell r="AG263">
            <v>25.486000000000004</v>
          </cell>
          <cell r="AH263">
            <v>6.1159999999999997</v>
          </cell>
          <cell r="AI263">
            <v>2.1077499999999967</v>
          </cell>
          <cell r="AJ263">
            <v>22.034549999999996</v>
          </cell>
          <cell r="AK263">
            <v>44.173599999999993</v>
          </cell>
          <cell r="AL263">
            <v>218.40000000000009</v>
          </cell>
          <cell r="AM263">
            <v>61.332999999999998</v>
          </cell>
          <cell r="AN263">
            <v>0.19599999999999973</v>
          </cell>
          <cell r="AO263">
            <v>0</v>
          </cell>
          <cell r="AP263">
            <v>16.977000000000004</v>
          </cell>
          <cell r="AQ263">
            <v>2.6972500000000004</v>
          </cell>
          <cell r="AR263">
            <v>51.982273589999991</v>
          </cell>
          <cell r="AS263">
            <v>25.486000000000011</v>
          </cell>
          <cell r="AT263">
            <v>5.3265999999999964</v>
          </cell>
          <cell r="AU263">
            <v>398</v>
          </cell>
          <cell r="AV263">
            <v>428.81260000000043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0.91999999999999993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1.4999999999999996</v>
          </cell>
          <cell r="AG264">
            <v>0</v>
          </cell>
          <cell r="AH264">
            <v>0.29400000000000004</v>
          </cell>
          <cell r="AI264">
            <v>0</v>
          </cell>
          <cell r="AJ264">
            <v>0.70919999999999994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-0.35000000000000497</v>
          </cell>
          <cell r="V265">
            <v>177.45399930934306</v>
          </cell>
          <cell r="W265">
            <v>77.385500000000008</v>
          </cell>
          <cell r="X265">
            <v>93.577399999999997</v>
          </cell>
          <cell r="Y265">
            <v>32.747</v>
          </cell>
          <cell r="Z265">
            <v>80.3</v>
          </cell>
          <cell r="AA265">
            <v>98.340199999999996</v>
          </cell>
          <cell r="AB265">
            <v>302.28622300000001</v>
          </cell>
          <cell r="AC265">
            <v>35.891000000000005</v>
          </cell>
          <cell r="AD265">
            <v>0</v>
          </cell>
          <cell r="AE265">
            <v>10.792800000000003</v>
          </cell>
          <cell r="AF265">
            <v>98.443000000000012</v>
          </cell>
          <cell r="AG265">
            <v>37.652999999999999</v>
          </cell>
          <cell r="AH265">
            <v>8.6870000000000012</v>
          </cell>
          <cell r="AI265">
            <v>5.2522500000000001</v>
          </cell>
          <cell r="AJ265">
            <v>42.248249999999999</v>
          </cell>
          <cell r="AK265">
            <v>87.326400000000007</v>
          </cell>
          <cell r="AL265">
            <v>392.19999999999993</v>
          </cell>
          <cell r="AM265">
            <v>141.5</v>
          </cell>
          <cell r="AN265">
            <v>-3.0710000000000002</v>
          </cell>
          <cell r="AO265">
            <v>0</v>
          </cell>
          <cell r="AP265">
            <v>66.858999999999995</v>
          </cell>
          <cell r="AQ265">
            <v>7.6807499999999997</v>
          </cell>
          <cell r="AR265">
            <v>79.626999999999995</v>
          </cell>
          <cell r="AS265">
            <v>37.652999999999999</v>
          </cell>
          <cell r="AT265">
            <v>7.2844000000000007</v>
          </cell>
          <cell r="AU265">
            <v>1296.5000000000002</v>
          </cell>
          <cell r="AV265">
            <v>1341.4373999999998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7"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-1.0738369384776236E-2</v>
          </cell>
          <cell r="V267">
            <v>1.2918271786108628</v>
          </cell>
          <cell r="W267">
            <v>1.4382852576016651</v>
          </cell>
          <cell r="X267">
            <v>1.9698248222138839</v>
          </cell>
          <cell r="Y267">
            <v>0.73489259614062385</v>
          </cell>
          <cell r="Z267">
            <v>0.78890634591155917</v>
          </cell>
          <cell r="AA267">
            <v>0.96614206523302504</v>
          </cell>
          <cell r="AB267">
            <v>2.7590532988261209</v>
          </cell>
          <cell r="AC267">
            <v>0.88306847763702201</v>
          </cell>
          <cell r="AD267">
            <v>0</v>
          </cell>
          <cell r="AE267">
            <v>0.15014268415334342</v>
          </cell>
          <cell r="AF267">
            <v>2.2519427189284369</v>
          </cell>
          <cell r="AG267">
            <v>1.3986369509577365</v>
          </cell>
          <cell r="AH267">
            <v>0</v>
          </cell>
          <cell r="AI267">
            <v>0</v>
          </cell>
          <cell r="AJ267">
            <v>1.3152104924182035</v>
          </cell>
          <cell r="AK267">
            <v>1.5264215060317308</v>
          </cell>
          <cell r="AL267">
            <v>1.3166014235410044</v>
          </cell>
          <cell r="AM267">
            <v>2.0301291248206601</v>
          </cell>
          <cell r="AN267">
            <v>-0.25523021464853357</v>
          </cell>
          <cell r="AO267">
            <v>0</v>
          </cell>
          <cell r="AP267">
            <v>0.99007523122629781</v>
          </cell>
          <cell r="AQ267">
            <v>0</v>
          </cell>
          <cell r="AR267">
            <v>1.1690426203514748</v>
          </cell>
          <cell r="AS267">
            <v>0</v>
          </cell>
          <cell r="AT267">
            <v>0</v>
          </cell>
          <cell r="AU267">
            <v>2.8243924611910254</v>
          </cell>
          <cell r="AV267">
            <v>2.8252395491836886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9"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6.4099999999999993</v>
          </cell>
          <cell r="V269">
            <v>30.077000000000002</v>
          </cell>
          <cell r="W269">
            <v>21.85275</v>
          </cell>
          <cell r="X269">
            <v>32.555</v>
          </cell>
          <cell r="Y269">
            <v>3.6420000000000003</v>
          </cell>
          <cell r="Z269">
            <v>82.698000000000008</v>
          </cell>
          <cell r="AA269">
            <v>17.420000000000002</v>
          </cell>
          <cell r="AB269">
            <v>63.783999999999999</v>
          </cell>
          <cell r="AC269">
            <v>22.178000000000004</v>
          </cell>
          <cell r="AD269">
            <v>0</v>
          </cell>
          <cell r="AE269">
            <v>21.582000000000001</v>
          </cell>
          <cell r="AF269">
            <v>26.502000000000006</v>
          </cell>
          <cell r="AG269">
            <v>41.96</v>
          </cell>
          <cell r="AH269">
            <v>0.38300000000000023</v>
          </cell>
          <cell r="AI269">
            <v>-1.6754999999999995</v>
          </cell>
          <cell r="AJ269">
            <v>14.964500000000001</v>
          </cell>
          <cell r="AK269">
            <v>80.599999999999994</v>
          </cell>
          <cell r="AL269">
            <v>221.8</v>
          </cell>
          <cell r="AM269">
            <v>71.373000000000005</v>
          </cell>
          <cell r="AN269">
            <v>4.0869999999999997</v>
          </cell>
          <cell r="AO269">
            <v>0</v>
          </cell>
          <cell r="AP269">
            <v>7.4390000000000001</v>
          </cell>
          <cell r="AQ269">
            <v>0.59960250000000004</v>
          </cell>
          <cell r="AR269">
            <v>10.989469999999999</v>
          </cell>
          <cell r="AS269">
            <v>41.960000000000008</v>
          </cell>
          <cell r="AT269">
            <v>6.09</v>
          </cell>
          <cell r="AU269">
            <v>286.90000000000003</v>
          </cell>
          <cell r="AV269">
            <v>334.95000000000005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7.2619999999999987</v>
          </cell>
          <cell r="V270">
            <v>261.745</v>
          </cell>
          <cell r="W270">
            <v>137.35871117427342</v>
          </cell>
          <cell r="X270">
            <v>156.02500000000001</v>
          </cell>
          <cell r="Y270">
            <v>51.147000000000006</v>
          </cell>
          <cell r="Z270">
            <v>412.83900000000006</v>
          </cell>
          <cell r="AA270">
            <v>252.64500000000004</v>
          </cell>
          <cell r="AB270">
            <v>744.75099999999998</v>
          </cell>
          <cell r="AC270">
            <v>113.88900000000001</v>
          </cell>
          <cell r="AD270">
            <v>0</v>
          </cell>
          <cell r="AE270">
            <v>38.466000000000001</v>
          </cell>
          <cell r="AF270">
            <v>187.339</v>
          </cell>
          <cell r="AG270">
            <v>116.208</v>
          </cell>
          <cell r="AH270">
            <v>16.768000000000001</v>
          </cell>
          <cell r="AI270">
            <v>0.68549999999999756</v>
          </cell>
          <cell r="AJ270">
            <v>89.895499999999998</v>
          </cell>
          <cell r="AK270">
            <v>307.79999999999995</v>
          </cell>
          <cell r="AL270">
            <v>940.8</v>
          </cell>
          <cell r="AM270">
            <v>290.74799999999999</v>
          </cell>
          <cell r="AN270">
            <v>0.62099999999999955</v>
          </cell>
          <cell r="AO270">
            <v>0</v>
          </cell>
          <cell r="AP270">
            <v>98.355999999999995</v>
          </cell>
          <cell r="AQ270">
            <v>11.1086025</v>
          </cell>
          <cell r="AR270">
            <v>147.27474358999999</v>
          </cell>
          <cell r="AS270">
            <v>116.20800000000001</v>
          </cell>
          <cell r="AT270">
            <v>18.288999999999998</v>
          </cell>
          <cell r="AU270">
            <v>2126.4</v>
          </cell>
          <cell r="AV270">
            <v>2260.8969999999999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22.530999999999999</v>
          </cell>
          <cell r="V272">
            <v>37.673000000000002</v>
          </cell>
          <cell r="W272">
            <v>33.877749999999999</v>
          </cell>
          <cell r="X272">
            <v>72.569000000000017</v>
          </cell>
          <cell r="Y272">
            <v>9.1739999999999995</v>
          </cell>
          <cell r="Z272">
            <v>69.308999999999997</v>
          </cell>
          <cell r="AA272">
            <v>16.619</v>
          </cell>
          <cell r="AB272">
            <v>50.020999999999994</v>
          </cell>
          <cell r="AC272">
            <v>6.4660000000000011</v>
          </cell>
          <cell r="AD272">
            <v>0</v>
          </cell>
          <cell r="AE272">
            <v>22.908999999999999</v>
          </cell>
          <cell r="AF272">
            <v>57.56</v>
          </cell>
          <cell r="AG272">
            <v>63.667999999999999</v>
          </cell>
          <cell r="AH272">
            <v>5.6820000000000004</v>
          </cell>
          <cell r="AI272">
            <v>3.9488333333333325</v>
          </cell>
          <cell r="AJ272">
            <v>9.6308333333333334</v>
          </cell>
          <cell r="AK272">
            <v>42</v>
          </cell>
          <cell r="AL272">
            <v>137.69999999999999</v>
          </cell>
          <cell r="AM272">
            <v>109.76300000000001</v>
          </cell>
          <cell r="AN272">
            <v>2.7440000000000002</v>
          </cell>
          <cell r="AO272">
            <v>0</v>
          </cell>
          <cell r="AP272">
            <v>12.975</v>
          </cell>
          <cell r="AQ272">
            <v>0.36630825</v>
          </cell>
          <cell r="AR272">
            <v>15.861410999999999</v>
          </cell>
          <cell r="AS272">
            <v>63.667999999999992</v>
          </cell>
          <cell r="AT272">
            <v>4.18</v>
          </cell>
          <cell r="AU272">
            <v>292.49999999999994</v>
          </cell>
          <cell r="AV272">
            <v>360.34800000000001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4"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6.2229999999999999</v>
          </cell>
          <cell r="W274">
            <v>19.74966666666667</v>
          </cell>
          <cell r="X274">
            <v>3.105</v>
          </cell>
          <cell r="Y274">
            <v>4.9660000000000002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1.224</v>
          </cell>
          <cell r="AF274">
            <v>11.276</v>
          </cell>
          <cell r="AG274">
            <v>2.2650000000000001</v>
          </cell>
          <cell r="AH274">
            <v>-1.2879999999999998</v>
          </cell>
          <cell r="AI274">
            <v>0</v>
          </cell>
          <cell r="AJ274">
            <v>-1.2879999999999998</v>
          </cell>
          <cell r="AK274">
            <v>0</v>
          </cell>
          <cell r="AL274">
            <v>0</v>
          </cell>
          <cell r="AM274">
            <v>0</v>
          </cell>
          <cell r="AN274">
            <v>0.62999999999999989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2.2650000000000006</v>
          </cell>
          <cell r="AT274">
            <v>0.41199999999999992</v>
          </cell>
          <cell r="AU274">
            <v>0</v>
          </cell>
          <cell r="AV274">
            <v>2.6769999999999992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-1.194</v>
          </cell>
          <cell r="V275">
            <v>1.258</v>
          </cell>
          <cell r="W275">
            <v>11.305250000000001</v>
          </cell>
          <cell r="X275">
            <v>25.539000000000001</v>
          </cell>
          <cell r="Y275">
            <v>0</v>
          </cell>
          <cell r="Z275">
            <v>180.11366666666669</v>
          </cell>
          <cell r="AA275">
            <v>31.352333333333338</v>
          </cell>
          <cell r="AB275">
            <v>184.8656666666667</v>
          </cell>
          <cell r="AC275">
            <v>16.027999999999999</v>
          </cell>
          <cell r="AD275">
            <v>0</v>
          </cell>
          <cell r="AE275">
            <v>15.034000000000002</v>
          </cell>
          <cell r="AF275">
            <v>16.783999999999999</v>
          </cell>
          <cell r="AG275">
            <v>13.374000000000001</v>
          </cell>
          <cell r="AH275">
            <v>0</v>
          </cell>
          <cell r="AI275">
            <v>-4.9989999999999997</v>
          </cell>
          <cell r="AJ275">
            <v>8.6509999999999998</v>
          </cell>
          <cell r="AK275">
            <v>95.699999999999989</v>
          </cell>
          <cell r="AL275">
            <v>108.4</v>
          </cell>
          <cell r="AM275">
            <v>16.542000000000002</v>
          </cell>
          <cell r="AN275">
            <v>3.8999999999999993E-2</v>
          </cell>
          <cell r="AO275">
            <v>0</v>
          </cell>
          <cell r="AP275">
            <v>7.0810000000000004</v>
          </cell>
          <cell r="AQ275">
            <v>0.13100000000000001</v>
          </cell>
          <cell r="AR275">
            <v>4.676000000000001</v>
          </cell>
          <cell r="AS275">
            <v>13.373999999999999</v>
          </cell>
          <cell r="AT275">
            <v>0</v>
          </cell>
          <cell r="AU275">
            <v>144.99999999999997</v>
          </cell>
          <cell r="AV275">
            <v>158.37399999999997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8">
          <cell r="H278" t="str">
            <v>Invitrogen</v>
          </cell>
          <cell r="I278" t="str">
            <v>QIAGEN NV</v>
          </cell>
          <cell r="J278" t="str">
            <v>TECHNE</v>
          </cell>
          <cell r="K278" t="str">
            <v>Bio-Rad Laboratories</v>
          </cell>
          <cell r="L278" t="str">
            <v>Affymetrix</v>
          </cell>
          <cell r="M278" t="str">
            <v>Applied Biosystems*</v>
          </cell>
          <cell r="N278" t="str">
            <v>Mettler Toledo*</v>
          </cell>
          <cell r="O278" t="str">
            <v>Molecular Devices*</v>
          </cell>
          <cell r="P278" t="str">
            <v>PerkinElmer</v>
          </cell>
          <cell r="Q278" t="str">
            <v>Thermo Electron</v>
          </cell>
          <cell r="R278" t="str">
            <v>Varian</v>
          </cell>
          <cell r="S278" t="str">
            <v>Waters*</v>
          </cell>
          <cell r="T278" t="str">
            <v>Fisher Scientific*</v>
          </cell>
          <cell r="U278" t="str">
            <v>Ventana Medical Systems, Inc.</v>
          </cell>
          <cell r="V278" t="str">
            <v>Accredo Health*</v>
          </cell>
          <cell r="W278" t="str">
            <v>Invitrogen</v>
          </cell>
          <cell r="X278" t="str">
            <v>Millipore</v>
          </cell>
          <cell r="Y278" t="str">
            <v>Priority Healthcare</v>
          </cell>
          <cell r="Z278" t="str">
            <v>Bergen Brunswig</v>
          </cell>
          <cell r="AA278" t="str">
            <v>AmeriSource</v>
          </cell>
          <cell r="AB278" t="str">
            <v>AmerisourceBergen</v>
          </cell>
          <cell r="AC278" t="str">
            <v>Owens &amp; Minor</v>
          </cell>
          <cell r="AD278" t="str">
            <v>Short Name</v>
          </cell>
          <cell r="AE278" t="str">
            <v>PSS World Medical, Inc.</v>
          </cell>
          <cell r="AF278" t="str">
            <v>Henry Schein</v>
          </cell>
          <cell r="AG278" t="str">
            <v>Syncor</v>
          </cell>
          <cell r="AH278" t="str">
            <v>Accredo</v>
          </cell>
          <cell r="AI278" t="str">
            <v>Gentiva</v>
          </cell>
          <cell r="AJ278" t="str">
            <v>Accredo*</v>
          </cell>
          <cell r="AK278" t="str">
            <v>Fisher Scientific*</v>
          </cell>
          <cell r="AL278" t="str">
            <v>McKesson Corporation</v>
          </cell>
          <cell r="AM278" t="str">
            <v>Sigma-Aldrich</v>
          </cell>
          <cell r="AN278" t="str">
            <v>Chronimed</v>
          </cell>
          <cell r="AO278" t="str">
            <v>Short Name</v>
          </cell>
          <cell r="AP278" t="str">
            <v>Patterson Dental</v>
          </cell>
          <cell r="AQ278" t="str">
            <v>Short Name</v>
          </cell>
          <cell r="AR278" t="str">
            <v>Patterson Dental</v>
          </cell>
          <cell r="AS278" t="str">
            <v>Syncor</v>
          </cell>
          <cell r="AT278" t="str">
            <v>Boron, LePore</v>
          </cell>
          <cell r="AU278" t="str">
            <v>Cardinal Health</v>
          </cell>
          <cell r="AV278" t="str">
            <v>Cardinal Health</v>
          </cell>
          <cell r="AW278" t="str">
            <v>Short Name</v>
          </cell>
          <cell r="AX278" t="str">
            <v>Short Name</v>
          </cell>
          <cell r="AY278" t="str">
            <v>Short Name</v>
          </cell>
          <cell r="AZ278" t="str">
            <v>Short Name</v>
          </cell>
          <cell r="BA278" t="str">
            <v>Short Name</v>
          </cell>
          <cell r="BB278" t="str">
            <v>Short Name</v>
          </cell>
          <cell r="BC278" t="str">
            <v>Short Name</v>
          </cell>
          <cell r="BD278" t="str">
            <v>Short Name</v>
          </cell>
          <cell r="BE278" t="str">
            <v>Short Name</v>
          </cell>
        </row>
        <row r="283"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4.875</v>
          </cell>
          <cell r="V283">
            <v>0</v>
          </cell>
          <cell r="W283">
            <v>113.26199999999999</v>
          </cell>
          <cell r="X283">
            <v>111.226</v>
          </cell>
          <cell r="Y283">
            <v>15.169</v>
          </cell>
          <cell r="Z283">
            <v>264.28800000000001</v>
          </cell>
          <cell r="AA283">
            <v>179.416</v>
          </cell>
          <cell r="AB283">
            <v>386.459</v>
          </cell>
          <cell r="AC283">
            <v>27.307000000000002</v>
          </cell>
          <cell r="AD283">
            <v>0</v>
          </cell>
          <cell r="AE283">
            <v>39.140999999999998</v>
          </cell>
          <cell r="AF283">
            <v>40.996000000000002</v>
          </cell>
          <cell r="AG283">
            <v>31.448</v>
          </cell>
          <cell r="AH283">
            <v>38.585000000000001</v>
          </cell>
          <cell r="AI283">
            <v>34.248000000000005</v>
          </cell>
          <cell r="AJ283">
            <v>72.832999999999998</v>
          </cell>
          <cell r="AK283">
            <v>152.6</v>
          </cell>
          <cell r="AL283">
            <v>706.2</v>
          </cell>
          <cell r="AM283">
            <v>0</v>
          </cell>
          <cell r="AN283">
            <v>12.34</v>
          </cell>
          <cell r="AO283">
            <v>0</v>
          </cell>
          <cell r="AP283">
            <v>0</v>
          </cell>
          <cell r="AQ283">
            <v>0</v>
          </cell>
          <cell r="AR283">
            <v>110.62633092</v>
          </cell>
          <cell r="AS283">
            <v>85.836000000000013</v>
          </cell>
          <cell r="AT283">
            <v>13.683</v>
          </cell>
          <cell r="AU283">
            <v>1612.8</v>
          </cell>
          <cell r="AV283">
            <v>1712.3190000000002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3.9919999999999982</v>
          </cell>
          <cell r="V284">
            <v>0</v>
          </cell>
          <cell r="W284">
            <v>72.290133522820341</v>
          </cell>
          <cell r="X284">
            <v>98.924999999999983</v>
          </cell>
          <cell r="Y284">
            <v>12.629</v>
          </cell>
          <cell r="Z284">
            <v>217.44900000000001</v>
          </cell>
          <cell r="AA284">
            <v>144.625</v>
          </cell>
          <cell r="AB284">
            <v>324.94599999999997</v>
          </cell>
          <cell r="AC284">
            <v>24.847000000000001</v>
          </cell>
          <cell r="AD284">
            <v>0</v>
          </cell>
          <cell r="AE284">
            <v>51.414999999999999</v>
          </cell>
          <cell r="AF284">
            <v>37.048999999999999</v>
          </cell>
          <cell r="AG284">
            <v>29.677999999999997</v>
          </cell>
          <cell r="AH284">
            <v>21.817</v>
          </cell>
          <cell r="AI284">
            <v>33.5625</v>
          </cell>
          <cell r="AJ284">
            <v>55.379500000000007</v>
          </cell>
          <cell r="AK284">
            <v>135.80000000000001</v>
          </cell>
          <cell r="AL284">
            <v>588.29999999999995</v>
          </cell>
          <cell r="AM284">
            <v>0</v>
          </cell>
          <cell r="AN284">
            <v>10.000999999999999</v>
          </cell>
          <cell r="AO284">
            <v>0</v>
          </cell>
          <cell r="AP284">
            <v>26.949000000000002</v>
          </cell>
          <cell r="AQ284">
            <v>0.1998675</v>
          </cell>
          <cell r="AR284">
            <v>96.873057330000009</v>
          </cell>
          <cell r="AS284">
            <v>70.816999999999993</v>
          </cell>
          <cell r="AT284">
            <v>10.097000000000001</v>
          </cell>
          <cell r="AU284">
            <v>1379</v>
          </cell>
          <cell r="AV284">
            <v>1459.9139999999998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6.3789999999999978</v>
          </cell>
          <cell r="V285">
            <v>261.745</v>
          </cell>
          <cell r="W285">
            <v>96.386844697093792</v>
          </cell>
          <cell r="X285">
            <v>143.72399999999999</v>
          </cell>
          <cell r="Y285">
            <v>48.606999999999999</v>
          </cell>
          <cell r="Z285">
            <v>366</v>
          </cell>
          <cell r="AA285">
            <v>217.85399999999998</v>
          </cell>
          <cell r="AB285">
            <v>683.23799999999994</v>
          </cell>
          <cell r="AC285">
            <v>111.429</v>
          </cell>
          <cell r="AD285">
            <v>0</v>
          </cell>
          <cell r="AE285">
            <v>50.739999999999995</v>
          </cell>
          <cell r="AF285">
            <v>183.392</v>
          </cell>
          <cell r="AG285">
            <v>114.43799999999999</v>
          </cell>
          <cell r="AH285">
            <v>0</v>
          </cell>
          <cell r="AI285">
            <v>0</v>
          </cell>
          <cell r="AJ285">
            <v>72.442000000000007</v>
          </cell>
          <cell r="AK285">
            <v>291</v>
          </cell>
          <cell r="AL285">
            <v>822.9</v>
          </cell>
          <cell r="AM285">
            <v>290.74799999999999</v>
          </cell>
          <cell r="AN285">
            <v>-1.718</v>
          </cell>
          <cell r="AO285">
            <v>0</v>
          </cell>
          <cell r="AP285">
            <v>125.30499999999999</v>
          </cell>
          <cell r="AQ285">
            <v>11.30847</v>
          </cell>
          <cell r="AR285">
            <v>133.52146999999999</v>
          </cell>
          <cell r="AS285">
            <v>101.18899999999999</v>
          </cell>
          <cell r="AT285">
            <v>14.702999999999999</v>
          </cell>
          <cell r="AU285">
            <v>1892.6</v>
          </cell>
          <cell r="AV285">
            <v>2008.492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330.14100000000002</v>
          </cell>
          <cell r="AA286">
            <v>235.22499999999999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90">
          <cell r="H290" t="str">
            <v xml:space="preserve">NM  </v>
          </cell>
          <cell r="I290" t="str">
            <v xml:space="preserve">NM  </v>
          </cell>
          <cell r="J290" t="str">
            <v xml:space="preserve">NM  </v>
          </cell>
          <cell r="K290" t="str">
            <v xml:space="preserve">NM  </v>
          </cell>
          <cell r="L290" t="str">
            <v xml:space="preserve">NM  </v>
          </cell>
          <cell r="M290" t="str">
            <v xml:space="preserve">NM  </v>
          </cell>
          <cell r="N290" t="str">
            <v xml:space="preserve">NM  </v>
          </cell>
          <cell r="O290" t="str">
            <v xml:space="preserve">NM  </v>
          </cell>
          <cell r="P290" t="str">
            <v xml:space="preserve">NM  </v>
          </cell>
          <cell r="Q290" t="str">
            <v xml:space="preserve">NM  </v>
          </cell>
          <cell r="R290" t="str">
            <v xml:space="preserve">NM  </v>
          </cell>
          <cell r="S290" t="str">
            <v xml:space="preserve">NM  </v>
          </cell>
          <cell r="T290" t="str">
            <v xml:space="preserve">NM  </v>
          </cell>
          <cell r="U290" t="str">
            <v xml:space="preserve">NM  </v>
          </cell>
          <cell r="V290" t="str">
            <v xml:space="preserve">NM  </v>
          </cell>
          <cell r="W290" t="str">
            <v xml:space="preserve">NM  </v>
          </cell>
          <cell r="X290" t="str">
            <v xml:space="preserve">NM  </v>
          </cell>
          <cell r="Y290" t="str">
            <v xml:space="preserve">NM  </v>
          </cell>
          <cell r="Z290" t="str">
            <v xml:space="preserve">NM  </v>
          </cell>
          <cell r="AA290" t="str">
            <v xml:space="preserve">NM  </v>
          </cell>
          <cell r="AB290" t="str">
            <v xml:space="preserve">NM  </v>
          </cell>
          <cell r="AC290" t="str">
            <v xml:space="preserve">NM  </v>
          </cell>
          <cell r="AD290" t="str">
            <v xml:space="preserve">NM  </v>
          </cell>
          <cell r="AE290" t="str">
            <v xml:space="preserve">NM  </v>
          </cell>
          <cell r="AF290" t="str">
            <v xml:space="preserve">NM  </v>
          </cell>
          <cell r="AG290" t="str">
            <v xml:space="preserve">NM  </v>
          </cell>
          <cell r="AH290" t="str">
            <v xml:space="preserve">NM  </v>
          </cell>
          <cell r="AI290" t="str">
            <v xml:space="preserve">NM  </v>
          </cell>
          <cell r="AJ290" t="str">
            <v xml:space="preserve">NM  </v>
          </cell>
          <cell r="AK290" t="str">
            <v xml:space="preserve">NM  </v>
          </cell>
          <cell r="AL290" t="str">
            <v xml:space="preserve">NM  </v>
          </cell>
          <cell r="AM290" t="str">
            <v xml:space="preserve">NM  </v>
          </cell>
          <cell r="AN290" t="str">
            <v xml:space="preserve">NM  </v>
          </cell>
          <cell r="AO290" t="str">
            <v xml:space="preserve">NM  </v>
          </cell>
          <cell r="AP290" t="str">
            <v xml:space="preserve">NM  </v>
          </cell>
          <cell r="AQ290" t="str">
            <v xml:space="preserve">NM  </v>
          </cell>
          <cell r="AR290" t="str">
            <v xml:space="preserve">NM  </v>
          </cell>
          <cell r="AS290" t="str">
            <v xml:space="preserve">NM  </v>
          </cell>
          <cell r="AT290" t="str">
            <v xml:space="preserve">NM  </v>
          </cell>
          <cell r="AU290" t="str">
            <v xml:space="preserve">NM  </v>
          </cell>
          <cell r="AV290" t="str">
            <v xml:space="preserve">NM  </v>
          </cell>
          <cell r="AW290" t="str">
            <v xml:space="preserve">NM  </v>
          </cell>
          <cell r="AX290" t="str">
            <v xml:space="preserve">NM  </v>
          </cell>
          <cell r="AY290" t="str">
            <v xml:space="preserve">NM  </v>
          </cell>
          <cell r="AZ290" t="str">
            <v xml:space="preserve">NM  </v>
          </cell>
          <cell r="BA290" t="str">
            <v xml:space="preserve">NM  </v>
          </cell>
          <cell r="BB290" t="str">
            <v xml:space="preserve">NM  </v>
          </cell>
          <cell r="BC290" t="str">
            <v xml:space="preserve">NM  </v>
          </cell>
          <cell r="BD290" t="str">
            <v xml:space="preserve">NM  </v>
          </cell>
          <cell r="BE290" t="str">
            <v xml:space="preserve">NM  </v>
          </cell>
        </row>
        <row r="291">
          <cell r="H291" t="str">
            <v xml:space="preserve">NM  </v>
          </cell>
          <cell r="I291" t="str">
            <v xml:space="preserve">NM  </v>
          </cell>
          <cell r="J291" t="str">
            <v xml:space="preserve">NM  </v>
          </cell>
          <cell r="K291" t="str">
            <v xml:space="preserve">NM  </v>
          </cell>
          <cell r="L291" t="str">
            <v xml:space="preserve">NM  </v>
          </cell>
          <cell r="M291" t="str">
            <v xml:space="preserve">NM  </v>
          </cell>
          <cell r="N291" t="str">
            <v xml:space="preserve">NM  </v>
          </cell>
          <cell r="O291" t="str">
            <v xml:space="preserve">NM  </v>
          </cell>
          <cell r="P291" t="str">
            <v xml:space="preserve">NM  </v>
          </cell>
          <cell r="Q291" t="str">
            <v xml:space="preserve">NM  </v>
          </cell>
          <cell r="R291" t="str">
            <v xml:space="preserve">NM  </v>
          </cell>
          <cell r="S291" t="str">
            <v xml:space="preserve">NM  </v>
          </cell>
          <cell r="T291" t="str">
            <v xml:space="preserve">NM  </v>
          </cell>
          <cell r="U291" t="str">
            <v xml:space="preserve">NM  </v>
          </cell>
          <cell r="V291" t="str">
            <v xml:space="preserve">NM  </v>
          </cell>
          <cell r="W291" t="str">
            <v xml:space="preserve">NM  </v>
          </cell>
          <cell r="X291" t="str">
            <v xml:space="preserve">NM  </v>
          </cell>
          <cell r="Y291" t="str">
            <v xml:space="preserve">NM  </v>
          </cell>
          <cell r="Z291" t="str">
            <v xml:space="preserve">NM  </v>
          </cell>
          <cell r="AA291" t="str">
            <v xml:space="preserve">NM  </v>
          </cell>
          <cell r="AB291" t="str">
            <v xml:space="preserve">NM  </v>
          </cell>
          <cell r="AC291" t="str">
            <v xml:space="preserve">NM  </v>
          </cell>
          <cell r="AD291" t="str">
            <v xml:space="preserve">NM  </v>
          </cell>
          <cell r="AE291" t="str">
            <v xml:space="preserve">NM  </v>
          </cell>
          <cell r="AF291" t="str">
            <v xml:space="preserve">NM  </v>
          </cell>
          <cell r="AG291" t="str">
            <v xml:space="preserve">NM  </v>
          </cell>
          <cell r="AH291" t="str">
            <v xml:space="preserve">NM  </v>
          </cell>
          <cell r="AI291" t="str">
            <v xml:space="preserve">NM  </v>
          </cell>
          <cell r="AJ291" t="str">
            <v xml:space="preserve">NM  </v>
          </cell>
          <cell r="AK291" t="str">
            <v xml:space="preserve">NM  </v>
          </cell>
          <cell r="AL291" t="str">
            <v xml:space="preserve">NM  </v>
          </cell>
          <cell r="AM291" t="str">
            <v xml:space="preserve">NM  </v>
          </cell>
          <cell r="AN291" t="str">
            <v xml:space="preserve">NM  </v>
          </cell>
          <cell r="AO291" t="str">
            <v xml:space="preserve">NM  </v>
          </cell>
          <cell r="AP291" t="str">
            <v xml:space="preserve">NM  </v>
          </cell>
          <cell r="AQ291" t="str">
            <v xml:space="preserve">NM  </v>
          </cell>
          <cell r="AR291" t="str">
            <v xml:space="preserve">NM  </v>
          </cell>
          <cell r="AS291" t="str">
            <v xml:space="preserve">NM  </v>
          </cell>
          <cell r="AT291" t="str">
            <v xml:space="preserve">NM  </v>
          </cell>
          <cell r="AU291" t="str">
            <v xml:space="preserve">NM  </v>
          </cell>
          <cell r="AV291" t="str">
            <v xml:space="preserve">NM  </v>
          </cell>
          <cell r="AW291" t="str">
            <v xml:space="preserve">NM  </v>
          </cell>
          <cell r="AX291" t="str">
            <v xml:space="preserve">NM  </v>
          </cell>
          <cell r="AY291" t="str">
            <v xml:space="preserve">NM  </v>
          </cell>
          <cell r="AZ291" t="str">
            <v xml:space="preserve">NM  </v>
          </cell>
          <cell r="BA291" t="str">
            <v xml:space="preserve">NM  </v>
          </cell>
          <cell r="BB291" t="str">
            <v xml:space="preserve">NM  </v>
          </cell>
          <cell r="BC291" t="str">
            <v xml:space="preserve">NM  </v>
          </cell>
          <cell r="BD291" t="str">
            <v xml:space="preserve">NM  </v>
          </cell>
          <cell r="BE291" t="str">
            <v xml:space="preserve">NM  </v>
          </cell>
        </row>
        <row r="297"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40.082000000000001</v>
          </cell>
          <cell r="V297">
            <v>0</v>
          </cell>
          <cell r="W297">
            <v>672.03399999999999</v>
          </cell>
          <cell r="X297">
            <v>225.69399999999999</v>
          </cell>
          <cell r="Y297">
            <v>176.33999999999997</v>
          </cell>
          <cell r="Z297">
            <v>1516.5680000000002</v>
          </cell>
          <cell r="AA297">
            <v>897.29399999999987</v>
          </cell>
          <cell r="AB297">
            <v>2115.509</v>
          </cell>
          <cell r="AC297">
            <v>365.26499999999993</v>
          </cell>
          <cell r="AD297">
            <v>0</v>
          </cell>
          <cell r="AE297">
            <v>269.43100000000004</v>
          </cell>
          <cell r="AF297">
            <v>492.99599999999998</v>
          </cell>
          <cell r="AG297">
            <v>113.709</v>
          </cell>
          <cell r="AH297">
            <v>0</v>
          </cell>
          <cell r="AI297">
            <v>0</v>
          </cell>
          <cell r="AJ297">
            <v>327.29399999999998</v>
          </cell>
          <cell r="AK297">
            <v>0</v>
          </cell>
          <cell r="AL297">
            <v>2765.9000000000005</v>
          </cell>
          <cell r="AM297">
            <v>329.74800000000005</v>
          </cell>
          <cell r="AN297">
            <v>37.251000000000005</v>
          </cell>
          <cell r="AO297">
            <v>0</v>
          </cell>
          <cell r="AP297">
            <v>0</v>
          </cell>
          <cell r="AQ297">
            <v>0</v>
          </cell>
          <cell r="AR297">
            <v>344.90300000000002</v>
          </cell>
          <cell r="AS297">
            <v>113.709</v>
          </cell>
          <cell r="AT297">
            <v>42.294000000000004</v>
          </cell>
          <cell r="AU297">
            <v>5611.9000000000005</v>
          </cell>
          <cell r="AV297">
            <v>5767.9030000000002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e">
            <v>#VALUE!</v>
          </cell>
          <cell r="U298">
            <v>80.890999999999991</v>
          </cell>
          <cell r="V298">
            <v>471.05399999999997</v>
          </cell>
          <cell r="W298">
            <v>634.49500000000012</v>
          </cell>
          <cell r="X298">
            <v>347.14600000000002</v>
          </cell>
          <cell r="Y298">
            <v>187.65000000000003</v>
          </cell>
          <cell r="Z298" t="e">
            <v>#N/A</v>
          </cell>
          <cell r="AA298">
            <v>617.11899999999991</v>
          </cell>
          <cell r="AB298">
            <v>1223.605</v>
          </cell>
          <cell r="AC298">
            <v>180.13499999999999</v>
          </cell>
          <cell r="AD298" t="e">
            <v>#N/A</v>
          </cell>
          <cell r="AE298">
            <v>247.65600000000001</v>
          </cell>
          <cell r="AF298">
            <v>414.31899999999996</v>
          </cell>
          <cell r="AG298">
            <v>102.33199999999999</v>
          </cell>
          <cell r="AH298">
            <v>0</v>
          </cell>
          <cell r="AI298" t="e">
            <v>#DIV/0!</v>
          </cell>
          <cell r="AJ298" t="e">
            <v>#VALUE!</v>
          </cell>
          <cell r="AK298">
            <v>45.4</v>
          </cell>
          <cell r="AL298">
            <v>3004.8999999999996</v>
          </cell>
          <cell r="AM298">
            <v>677.97783000000004</v>
          </cell>
          <cell r="AN298">
            <v>45.271999999999991</v>
          </cell>
          <cell r="AO298" t="e">
            <v>#N/A</v>
          </cell>
          <cell r="AP298" t="e">
            <v>#DIV/0!</v>
          </cell>
          <cell r="AQ298" t="e">
            <v>#VALUE!</v>
          </cell>
          <cell r="AR298">
            <v>412.27100000000002</v>
          </cell>
          <cell r="AS298">
            <v>102.33199999999999</v>
          </cell>
          <cell r="AT298" t="e">
            <v>#N/A</v>
          </cell>
          <cell r="AU298" t="e">
            <v>#DIV/0!</v>
          </cell>
          <cell r="AV298">
            <v>4835.4490000000005</v>
          </cell>
          <cell r="AW298" t="e">
            <v>#VALUE!</v>
          </cell>
          <cell r="AX298" t="e">
            <v>#VALUE!</v>
          </cell>
          <cell r="AY298" t="e">
            <v>#VALUE!</v>
          </cell>
          <cell r="AZ298" t="e">
            <v>#VALUE!</v>
          </cell>
          <cell r="BA298" t="e">
            <v>#VALUE!</v>
          </cell>
          <cell r="BB298" t="e">
            <v>#VALUE!</v>
          </cell>
          <cell r="BC298" t="e">
            <v>#VALUE!</v>
          </cell>
          <cell r="BD298" t="e">
            <v>#VALUE!</v>
          </cell>
          <cell r="BE298" t="e">
            <v>#VALUE!</v>
          </cell>
        </row>
        <row r="299"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300</v>
          </cell>
          <cell r="AA299">
            <v>0</v>
          </cell>
          <cell r="AB299">
            <v>0</v>
          </cell>
          <cell r="AC299">
            <v>132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196.1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 t="e">
            <v>#VALUE!</v>
          </cell>
          <cell r="U300">
            <v>3.028</v>
          </cell>
          <cell r="V300">
            <v>224.68799999999999</v>
          </cell>
          <cell r="W300">
            <v>21.153999999999996</v>
          </cell>
          <cell r="X300">
            <v>377.41700000000003</v>
          </cell>
          <cell r="Y300">
            <v>0</v>
          </cell>
          <cell r="Z300" t="e">
            <v>#N/A</v>
          </cell>
          <cell r="AA300">
            <v>340.93399999999997</v>
          </cell>
          <cell r="AB300">
            <v>1238.8889999999999</v>
          </cell>
          <cell r="AC300">
            <v>242.01499999999999</v>
          </cell>
          <cell r="AD300" t="e">
            <v>#N/A</v>
          </cell>
          <cell r="AE300">
            <v>125</v>
          </cell>
          <cell r="AF300">
            <v>256.75</v>
          </cell>
          <cell r="AG300">
            <v>216.34400000000002</v>
          </cell>
          <cell r="AH300">
            <v>0</v>
          </cell>
          <cell r="AI300" t="e">
            <v>#DIV/0!</v>
          </cell>
          <cell r="AJ300" t="e">
            <v>#VALUE!</v>
          </cell>
          <cell r="AK300">
            <v>957.5</v>
          </cell>
          <cell r="AL300">
            <v>1326.8000000000002</v>
          </cell>
          <cell r="AM300">
            <v>448.08199999999999</v>
          </cell>
          <cell r="AN300">
            <v>10.4</v>
          </cell>
          <cell r="AO300" t="e">
            <v>#N/A</v>
          </cell>
          <cell r="AP300" t="e">
            <v>#DIV/0!</v>
          </cell>
          <cell r="AQ300" t="e">
            <v>#VALUE!</v>
          </cell>
          <cell r="AR300">
            <v>0</v>
          </cell>
          <cell r="AS300">
            <v>216.34400000000002</v>
          </cell>
          <cell r="AT300" t="e">
            <v>#N/A</v>
          </cell>
          <cell r="AU300" t="e">
            <v>#DIV/0!</v>
          </cell>
          <cell r="AV300">
            <v>2697.5439999999999</v>
          </cell>
          <cell r="AW300" t="e">
            <v>#VALUE!</v>
          </cell>
          <cell r="AX300" t="e">
            <v>#VALUE!</v>
          </cell>
          <cell r="AY300" t="e">
            <v>#VALUE!</v>
          </cell>
          <cell r="AZ300" t="e">
            <v>#VALUE!</v>
          </cell>
          <cell r="BA300" t="e">
            <v>#VALUE!</v>
          </cell>
          <cell r="BB300" t="e">
            <v>#VALUE!</v>
          </cell>
          <cell r="BC300" t="e">
            <v>#VALUE!</v>
          </cell>
          <cell r="BD300" t="e">
            <v>#VALUE!</v>
          </cell>
          <cell r="BE300" t="e">
            <v>#VALUE!</v>
          </cell>
        </row>
        <row r="301"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e">
            <v>#VALUE!</v>
          </cell>
          <cell r="U301">
            <v>16.299999999999997</v>
          </cell>
          <cell r="V301">
            <v>453.77499999999998</v>
          </cell>
          <cell r="W301">
            <v>350.19299999999976</v>
          </cell>
          <cell r="X301">
            <v>547.45100000000002</v>
          </cell>
          <cell r="Y301">
            <v>138.10899999999998</v>
          </cell>
          <cell r="Z301" t="e">
            <v>#N/A</v>
          </cell>
          <cell r="AA301">
            <v>2185.0190000000002</v>
          </cell>
          <cell r="AB301">
            <v>7250.4929999999986</v>
          </cell>
          <cell r="AC301">
            <v>618.97900000000004</v>
          </cell>
          <cell r="AD301" t="e">
            <v>#N/A</v>
          </cell>
          <cell r="AE301">
            <v>345.41200000000003</v>
          </cell>
          <cell r="AF301">
            <v>602.09400000000005</v>
          </cell>
          <cell r="AG301">
            <v>348.87900000000002</v>
          </cell>
          <cell r="AH301">
            <v>0</v>
          </cell>
          <cell r="AI301" t="e">
            <v>#DIV/0!</v>
          </cell>
          <cell r="AJ301" t="e">
            <v>#VALUE!</v>
          </cell>
          <cell r="AK301">
            <v>-45.4</v>
          </cell>
          <cell r="AL301">
            <v>8909.7000000000007</v>
          </cell>
          <cell r="AM301">
            <v>634.22216999999989</v>
          </cell>
          <cell r="AN301">
            <v>30.297000000000011</v>
          </cell>
          <cell r="AO301" t="e">
            <v>#N/A</v>
          </cell>
          <cell r="AP301" t="e">
            <v>#DIV/0!</v>
          </cell>
          <cell r="AQ301" t="e">
            <v>#VALUE!</v>
          </cell>
          <cell r="AR301">
            <v>177.53899999999999</v>
          </cell>
          <cell r="AS301">
            <v>348.87900000000002</v>
          </cell>
          <cell r="AT301" t="e">
            <v>#N/A</v>
          </cell>
          <cell r="AU301" t="e">
            <v>#DIV/0!</v>
          </cell>
          <cell r="AV301">
            <v>10795.365999999998</v>
          </cell>
          <cell r="AW301" t="e">
            <v>#VALUE!</v>
          </cell>
          <cell r="AX301" t="e">
            <v>#VALUE!</v>
          </cell>
          <cell r="AY301" t="e">
            <v>#VALUE!</v>
          </cell>
          <cell r="AZ301" t="e">
            <v>#VALUE!</v>
          </cell>
          <cell r="BA301" t="e">
            <v>#VALUE!</v>
          </cell>
          <cell r="BB301" t="e">
            <v>#VALUE!</v>
          </cell>
          <cell r="BC301" t="e">
            <v>#VALUE!</v>
          </cell>
          <cell r="BD301" t="e">
            <v>#VALUE!</v>
          </cell>
          <cell r="BE301" t="e">
            <v>#VALUE!</v>
          </cell>
        </row>
        <row r="302"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20.766999999999999</v>
          </cell>
          <cell r="V302">
            <v>0</v>
          </cell>
          <cell r="W302">
            <v>572.90300000000002</v>
          </cell>
          <cell r="X302">
            <v>70.257999999999996</v>
          </cell>
          <cell r="Y302">
            <v>91.347999999999999</v>
          </cell>
          <cell r="Z302">
            <v>60.804000000000002</v>
          </cell>
          <cell r="AA302">
            <v>94.298000000000002</v>
          </cell>
          <cell r="AB302">
            <v>463.815</v>
          </cell>
          <cell r="AC302">
            <v>0.68799999999999994</v>
          </cell>
          <cell r="AD302">
            <v>0</v>
          </cell>
          <cell r="AE302">
            <v>40.206000000000003</v>
          </cell>
          <cell r="AF302">
            <v>93.421000000000006</v>
          </cell>
          <cell r="AG302">
            <v>24.074999999999999</v>
          </cell>
          <cell r="AH302">
            <v>0</v>
          </cell>
          <cell r="AI302">
            <v>0</v>
          </cell>
          <cell r="AJ302">
            <v>58.841999999999999</v>
          </cell>
          <cell r="AK302">
            <v>0</v>
          </cell>
          <cell r="AL302">
            <v>385.5</v>
          </cell>
          <cell r="AM302">
            <v>33.501829999999998</v>
          </cell>
          <cell r="AN302">
            <v>3.6070000000000002</v>
          </cell>
          <cell r="AO302">
            <v>0</v>
          </cell>
          <cell r="AP302">
            <v>0</v>
          </cell>
          <cell r="AQ302">
            <v>0</v>
          </cell>
          <cell r="AR302">
            <v>132.43700000000001</v>
          </cell>
          <cell r="AS302">
            <v>24.074999999999999</v>
          </cell>
          <cell r="AT302">
            <v>14.052</v>
          </cell>
          <cell r="AU302">
            <v>869.2</v>
          </cell>
          <cell r="AV302">
            <v>703.32700000000011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 t="e">
            <v>#VALUE!</v>
          </cell>
          <cell r="U303">
            <v>91.567999999999998</v>
          </cell>
          <cell r="V303">
            <v>471.05399999999997</v>
          </cell>
          <cell r="W303">
            <v>1875.7080000000001</v>
          </cell>
          <cell r="X303">
            <v>375.39800000000002</v>
          </cell>
          <cell r="Y303">
            <v>271.21300000000002</v>
          </cell>
          <cell r="Z303" t="e">
            <v>#N/A</v>
          </cell>
          <cell r="AA303">
            <v>702.92499999999995</v>
          </cell>
          <cell r="AB303">
            <v>3349.7260000000001</v>
          </cell>
          <cell r="AC303">
            <v>378.459</v>
          </cell>
          <cell r="AD303" t="e">
            <v>#N/A</v>
          </cell>
          <cell r="AE303">
            <v>324.77800000000002</v>
          </cell>
          <cell r="AF303">
            <v>707.42499999999995</v>
          </cell>
          <cell r="AG303">
            <v>245.49199999999999</v>
          </cell>
          <cell r="AH303">
            <v>0</v>
          </cell>
          <cell r="AI303" t="e">
            <v>#DIV/0!</v>
          </cell>
          <cell r="AJ303" t="e">
            <v>#VALUE!</v>
          </cell>
          <cell r="AK303">
            <v>45.4</v>
          </cell>
          <cell r="AL303">
            <v>3979.2</v>
          </cell>
          <cell r="AM303">
            <v>805.57983000000002</v>
          </cell>
          <cell r="AN303">
            <v>75.504999999999995</v>
          </cell>
          <cell r="AO303" t="e">
            <v>#N/A</v>
          </cell>
          <cell r="AP303" t="e">
            <v>#DIV/0!</v>
          </cell>
          <cell r="AQ303" t="e">
            <v>#VALUE!</v>
          </cell>
          <cell r="AR303">
            <v>543.28300000000002</v>
          </cell>
          <cell r="AS303">
            <v>245.49199999999999</v>
          </cell>
          <cell r="AT303" t="e">
            <v>#N/A</v>
          </cell>
          <cell r="AU303" t="e">
            <v>#DIV/0!</v>
          </cell>
          <cell r="AV303">
            <v>6209</v>
          </cell>
          <cell r="AW303" t="e">
            <v>#VALUE!</v>
          </cell>
          <cell r="AX303" t="e">
            <v>#VALUE!</v>
          </cell>
          <cell r="AY303" t="e">
            <v>#VALUE!</v>
          </cell>
          <cell r="AZ303" t="e">
            <v>#VALUE!</v>
          </cell>
          <cell r="BA303" t="e">
            <v>#VALUE!</v>
          </cell>
          <cell r="BB303" t="e">
            <v>#VALUE!</v>
          </cell>
          <cell r="BC303" t="e">
            <v>#VALUE!</v>
          </cell>
          <cell r="BD303" t="e">
            <v>#VALUE!</v>
          </cell>
          <cell r="BE303" t="e">
            <v>#VALUE!</v>
          </cell>
        </row>
        <row r="304"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e">
            <v>#VALUE!</v>
          </cell>
          <cell r="U304">
            <v>3.028</v>
          </cell>
          <cell r="V304">
            <v>224.68799999999999</v>
          </cell>
          <cell r="W304">
            <v>21.153999999999996</v>
          </cell>
          <cell r="X304">
            <v>377.41700000000003</v>
          </cell>
          <cell r="Y304">
            <v>0</v>
          </cell>
          <cell r="Z304" t="e">
            <v>#N/A</v>
          </cell>
          <cell r="AA304">
            <v>340.93399999999997</v>
          </cell>
          <cell r="AB304">
            <v>1238.8889999999999</v>
          </cell>
          <cell r="AC304">
            <v>242.01499999999999</v>
          </cell>
          <cell r="AD304" t="e">
            <v>#N/A</v>
          </cell>
          <cell r="AE304">
            <v>125</v>
          </cell>
          <cell r="AF304">
            <v>256.75</v>
          </cell>
          <cell r="AG304">
            <v>216.34400000000002</v>
          </cell>
          <cell r="AH304">
            <v>0</v>
          </cell>
          <cell r="AI304" t="e">
            <v>#DIV/0!</v>
          </cell>
          <cell r="AJ304" t="e">
            <v>#VALUE!</v>
          </cell>
          <cell r="AK304">
            <v>957.5</v>
          </cell>
          <cell r="AL304">
            <v>1326.8000000000002</v>
          </cell>
          <cell r="AM304">
            <v>448.08199999999999</v>
          </cell>
          <cell r="AN304">
            <v>10.4</v>
          </cell>
          <cell r="AO304" t="e">
            <v>#N/A</v>
          </cell>
          <cell r="AP304" t="e">
            <v>#DIV/0!</v>
          </cell>
          <cell r="AQ304" t="e">
            <v>#VALUE!</v>
          </cell>
          <cell r="AR304">
            <v>0</v>
          </cell>
          <cell r="AS304">
            <v>216.34400000000002</v>
          </cell>
          <cell r="AT304" t="e">
            <v>#N/A</v>
          </cell>
          <cell r="AU304" t="e">
            <v>#DIV/0!</v>
          </cell>
          <cell r="AV304">
            <v>2697.5439999999999</v>
          </cell>
          <cell r="AW304" t="e">
            <v>#VALUE!</v>
          </cell>
          <cell r="AX304" t="e">
            <v>#VALUE!</v>
          </cell>
          <cell r="AY304" t="e">
            <v>#VALUE!</v>
          </cell>
          <cell r="AZ304" t="e">
            <v>#VALUE!</v>
          </cell>
          <cell r="BA304" t="e">
            <v>#VALUE!</v>
          </cell>
          <cell r="BB304" t="e">
            <v>#VALUE!</v>
          </cell>
          <cell r="BC304" t="e">
            <v>#VALUE!</v>
          </cell>
          <cell r="BD304" t="e">
            <v>#VALUE!</v>
          </cell>
          <cell r="BE304" t="e">
            <v>#VALUE!</v>
          </cell>
        </row>
        <row r="305"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e">
            <v>#VALUE!</v>
          </cell>
          <cell r="U305">
            <v>94.596000000000004</v>
          </cell>
          <cell r="V305">
            <v>695.74199999999996</v>
          </cell>
          <cell r="W305">
            <v>1896.8620000000001</v>
          </cell>
          <cell r="X305">
            <v>752.81500000000005</v>
          </cell>
          <cell r="Y305">
            <v>271.21300000000002</v>
          </cell>
          <cell r="Z305" t="e">
            <v>#N/A</v>
          </cell>
          <cell r="AA305">
            <v>1043.8589999999999</v>
          </cell>
          <cell r="AB305">
            <v>4588.6149999999998</v>
          </cell>
          <cell r="AC305">
            <v>620.47399999999993</v>
          </cell>
          <cell r="AD305" t="e">
            <v>#N/A</v>
          </cell>
          <cell r="AE305">
            <v>449.77800000000002</v>
          </cell>
          <cell r="AF305">
            <v>964.17499999999995</v>
          </cell>
          <cell r="AG305">
            <v>461.83600000000001</v>
          </cell>
          <cell r="AH305">
            <v>0</v>
          </cell>
          <cell r="AI305" t="e">
            <v>#DIV/0!</v>
          </cell>
          <cell r="AJ305" t="e">
            <v>#VALUE!</v>
          </cell>
          <cell r="AK305">
            <v>1002.9</v>
          </cell>
          <cell r="AL305">
            <v>5306</v>
          </cell>
          <cell r="AM305">
            <v>1253.66183</v>
          </cell>
          <cell r="AN305">
            <v>85.905000000000001</v>
          </cell>
          <cell r="AO305" t="e">
            <v>#N/A</v>
          </cell>
          <cell r="AP305" t="e">
            <v>#DIV/0!</v>
          </cell>
          <cell r="AQ305" t="e">
            <v>#VALUE!</v>
          </cell>
          <cell r="AR305">
            <v>543.28300000000002</v>
          </cell>
          <cell r="AS305">
            <v>461.83600000000001</v>
          </cell>
          <cell r="AT305" t="e">
            <v>#N/A</v>
          </cell>
          <cell r="AU305" t="e">
            <v>#DIV/0!</v>
          </cell>
          <cell r="AV305">
            <v>8906.5439999999999</v>
          </cell>
          <cell r="AW305" t="e">
            <v>#VALUE!</v>
          </cell>
          <cell r="AX305" t="e">
            <v>#VALUE!</v>
          </cell>
          <cell r="AY305" t="e">
            <v>#VALUE!</v>
          </cell>
          <cell r="AZ305" t="e">
            <v>#VALUE!</v>
          </cell>
          <cell r="BA305" t="e">
            <v>#VALUE!</v>
          </cell>
          <cell r="BB305" t="e">
            <v>#VALUE!</v>
          </cell>
          <cell r="BC305" t="e">
            <v>#VALUE!</v>
          </cell>
          <cell r="BD305" t="e">
            <v>#VALUE!</v>
          </cell>
          <cell r="BE305" t="e">
            <v>#VALUE!</v>
          </cell>
        </row>
        <row r="309">
          <cell r="H309">
            <v>0</v>
          </cell>
          <cell r="I309">
            <v>0</v>
          </cell>
          <cell r="J309">
            <v>0.5</v>
          </cell>
          <cell r="K309">
            <v>0</v>
          </cell>
          <cell r="L309">
            <v>0</v>
          </cell>
          <cell r="M309">
            <v>0.5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193.71250000000001</v>
          </cell>
          <cell r="S309">
            <v>0</v>
          </cell>
          <cell r="T309" t="str">
            <v xml:space="preserve">NA </v>
          </cell>
          <cell r="U309">
            <v>71.149000000000001</v>
          </cell>
          <cell r="V309">
            <v>430.10399999999998</v>
          </cell>
          <cell r="W309">
            <v>0</v>
          </cell>
          <cell r="X309">
            <v>598.23099999999999</v>
          </cell>
          <cell r="Y309">
            <v>805.12</v>
          </cell>
          <cell r="Z309" t="str">
            <v xml:space="preserve">NA </v>
          </cell>
          <cell r="AA309" t="str">
            <v xml:space="preserve">NA </v>
          </cell>
          <cell r="AB309">
            <v>36038.432499999995</v>
          </cell>
          <cell r="AC309">
            <v>3814.9940000000001</v>
          </cell>
          <cell r="AD309" t="str">
            <v xml:space="preserve">NA </v>
          </cell>
          <cell r="AE309">
            <v>1346.4490000000001</v>
          </cell>
          <cell r="AF309">
            <v>2558.2429999999999</v>
          </cell>
          <cell r="AG309">
            <v>774.71799999999996</v>
          </cell>
          <cell r="AH309">
            <v>430.10399999999998</v>
          </cell>
          <cell r="AI309" t="str">
            <v xml:space="preserve">NA </v>
          </cell>
          <cell r="AJ309" t="str">
            <v xml:space="preserve">NA </v>
          </cell>
          <cell r="AK309">
            <v>2880</v>
          </cell>
          <cell r="AL309">
            <v>23460.400000000001</v>
          </cell>
          <cell r="AM309">
            <v>1179.4469999999999</v>
          </cell>
          <cell r="AN309">
            <v>149.46250000000001</v>
          </cell>
          <cell r="AO309" t="str">
            <v xml:space="preserve">NA </v>
          </cell>
          <cell r="AP309">
            <v>871.06933333333325</v>
          </cell>
          <cell r="AQ309" t="str">
            <v xml:space="preserve">NA </v>
          </cell>
          <cell r="AR309">
            <v>871.06933333333325</v>
          </cell>
          <cell r="AS309">
            <v>774.71799999999996</v>
          </cell>
          <cell r="AT309" t="str">
            <v xml:space="preserve">NA </v>
          </cell>
          <cell r="AU309">
            <v>19772.669999999998</v>
          </cell>
          <cell r="AV309">
            <v>19772.669999999998</v>
          </cell>
          <cell r="AW309" t="str">
            <v xml:space="preserve">NA </v>
          </cell>
          <cell r="AX309" t="str">
            <v xml:space="preserve">NA </v>
          </cell>
          <cell r="AY309" t="str">
            <v xml:space="preserve">NA </v>
          </cell>
          <cell r="AZ309" t="str">
            <v xml:space="preserve">NA </v>
          </cell>
          <cell r="BA309" t="str">
            <v xml:space="preserve">NA </v>
          </cell>
          <cell r="BB309" t="str">
            <v xml:space="preserve">NA </v>
          </cell>
          <cell r="BC309" t="str">
            <v xml:space="preserve">NA </v>
          </cell>
          <cell r="BD309" t="str">
            <v xml:space="preserve">NA </v>
          </cell>
          <cell r="BE309" t="str">
            <v xml:space="preserve">NA </v>
          </cell>
        </row>
        <row r="310">
          <cell r="H310">
            <v>651.88599999999997</v>
          </cell>
          <cell r="I310">
            <v>297.774</v>
          </cell>
          <cell r="J310">
            <v>74.204000000000008</v>
          </cell>
          <cell r="K310">
            <v>865.8</v>
          </cell>
          <cell r="L310">
            <v>286.60300000000001</v>
          </cell>
          <cell r="M310">
            <v>863.29</v>
          </cell>
          <cell r="N310">
            <v>1179.02</v>
          </cell>
          <cell r="O310">
            <v>104.3</v>
          </cell>
          <cell r="P310">
            <v>1298.22</v>
          </cell>
          <cell r="Q310">
            <v>2055.6999999999998</v>
          </cell>
          <cell r="R310">
            <v>792.83749999999998</v>
          </cell>
          <cell r="S310">
            <v>902.26099999999997</v>
          </cell>
          <cell r="T310" t="str">
            <v xml:space="preserve">NA </v>
          </cell>
          <cell r="U310">
            <v>105.1</v>
          </cell>
          <cell r="V310">
            <v>1170.8699999999999</v>
          </cell>
          <cell r="W310">
            <v>651.88599999999997</v>
          </cell>
          <cell r="X310">
            <v>706.82500000000005</v>
          </cell>
          <cell r="Y310">
            <v>1181.761</v>
          </cell>
          <cell r="Z310" t="str">
            <v xml:space="preserve">NA </v>
          </cell>
          <cell r="AA310">
            <v>41782.035000000003</v>
          </cell>
          <cell r="AB310">
            <v>41782.035000000003</v>
          </cell>
          <cell r="AC310">
            <v>4007.8830000000003</v>
          </cell>
          <cell r="AD310" t="str">
            <v xml:space="preserve">NA </v>
          </cell>
          <cell r="AE310">
            <v>1873.2455</v>
          </cell>
          <cell r="AF310">
            <v>2805.6</v>
          </cell>
          <cell r="AG310">
            <v>931.6</v>
          </cell>
          <cell r="AH310">
            <v>1170.8699999999999</v>
          </cell>
          <cell r="AI310">
            <v>826.72300000000007</v>
          </cell>
          <cell r="AJ310" t="str">
            <v xml:space="preserve">NA </v>
          </cell>
          <cell r="AK310">
            <v>3203.14</v>
          </cell>
          <cell r="AL310">
            <v>39302.589999999997</v>
          </cell>
          <cell r="AM310">
            <v>1220.6500000000001</v>
          </cell>
          <cell r="AN310">
            <v>366.50400000000002</v>
          </cell>
          <cell r="AO310" t="str">
            <v xml:space="preserve">NA </v>
          </cell>
          <cell r="AP310">
            <v>1530.0246666666667</v>
          </cell>
          <cell r="AQ310" t="str">
            <v xml:space="preserve">NA </v>
          </cell>
          <cell r="AR310">
            <v>1530.0246666666667</v>
          </cell>
          <cell r="AS310">
            <v>931.6</v>
          </cell>
          <cell r="AT310" t="str">
            <v xml:space="preserve">NA </v>
          </cell>
          <cell r="AU310">
            <v>45340.45</v>
          </cell>
          <cell r="AV310">
            <v>45340.45</v>
          </cell>
          <cell r="AW310" t="str">
            <v xml:space="preserve">NA </v>
          </cell>
          <cell r="AX310" t="str">
            <v xml:space="preserve">NA </v>
          </cell>
          <cell r="AY310" t="str">
            <v xml:space="preserve">NA </v>
          </cell>
          <cell r="AZ310" t="str">
            <v xml:space="preserve">NA </v>
          </cell>
          <cell r="BA310" t="str">
            <v xml:space="preserve">NA </v>
          </cell>
          <cell r="BB310" t="str">
            <v xml:space="preserve">NA </v>
          </cell>
          <cell r="BC310" t="str">
            <v xml:space="preserve">NA </v>
          </cell>
          <cell r="BD310" t="str">
            <v xml:space="preserve">NA </v>
          </cell>
          <cell r="BE310" t="str">
            <v xml:space="preserve">NA </v>
          </cell>
        </row>
        <row r="311">
          <cell r="H311">
            <v>739.88300000000004</v>
          </cell>
          <cell r="I311">
            <v>346.4</v>
          </cell>
          <cell r="J311">
            <v>159.20400000000001</v>
          </cell>
          <cell r="K311">
            <v>937</v>
          </cell>
          <cell r="L311">
            <v>346.274</v>
          </cell>
          <cell r="M311">
            <v>1808.665</v>
          </cell>
          <cell r="N311">
            <v>1241.45</v>
          </cell>
          <cell r="O311">
            <v>122.65</v>
          </cell>
          <cell r="P311">
            <v>1396.81</v>
          </cell>
          <cell r="Q311">
            <v>2192.38</v>
          </cell>
          <cell r="R311">
            <v>881.87869000000001</v>
          </cell>
          <cell r="S311">
            <v>996.26700000000005</v>
          </cell>
          <cell r="T311" t="str">
            <v xml:space="preserve">NA </v>
          </cell>
          <cell r="U311">
            <v>131.9</v>
          </cell>
          <cell r="V311">
            <v>1665.0744999999999</v>
          </cell>
          <cell r="W311">
            <v>739.88300000000004</v>
          </cell>
          <cell r="X311">
            <v>788.39400000000001</v>
          </cell>
          <cell r="Y311">
            <v>1462.2560000000001</v>
          </cell>
          <cell r="Z311" t="str">
            <v xml:space="preserve">NA </v>
          </cell>
          <cell r="AA311">
            <v>47526.497499999998</v>
          </cell>
          <cell r="AB311">
            <v>47526.497499999998</v>
          </cell>
          <cell r="AC311">
            <v>4167.6499999999996</v>
          </cell>
          <cell r="AD311" t="str">
            <v xml:space="preserve">NA </v>
          </cell>
          <cell r="AE311">
            <v>2467.6355199999998</v>
          </cell>
          <cell r="AF311">
            <v>3000</v>
          </cell>
          <cell r="AG311">
            <v>1072.6500000000001</v>
          </cell>
          <cell r="AH311">
            <v>1665.0744999999999</v>
          </cell>
          <cell r="AI311">
            <v>799.10500000000002</v>
          </cell>
          <cell r="AJ311" t="str">
            <v xml:space="preserve">NA </v>
          </cell>
          <cell r="AK311">
            <v>3397.2649999999999</v>
          </cell>
          <cell r="AL311">
            <v>46176.817499999997</v>
          </cell>
          <cell r="AM311">
            <v>1309.6600000000001</v>
          </cell>
          <cell r="AN311">
            <v>574.30956000000003</v>
          </cell>
          <cell r="AO311" t="str">
            <v xml:space="preserve">NA </v>
          </cell>
          <cell r="AP311">
            <v>1763.9683333333332</v>
          </cell>
          <cell r="AQ311" t="str">
            <v xml:space="preserve">NA </v>
          </cell>
          <cell r="AR311">
            <v>1763.9683333333332</v>
          </cell>
          <cell r="AS311">
            <v>1072.6500000000001</v>
          </cell>
          <cell r="AT311" t="str">
            <v xml:space="preserve">NA </v>
          </cell>
          <cell r="AU311">
            <v>54681.75</v>
          </cell>
          <cell r="AV311">
            <v>54681.75</v>
          </cell>
          <cell r="AW311" t="str">
            <v xml:space="preserve">NA </v>
          </cell>
          <cell r="AX311" t="str">
            <v xml:space="preserve">NA </v>
          </cell>
          <cell r="AY311" t="str">
            <v xml:space="preserve">NA </v>
          </cell>
          <cell r="AZ311" t="str">
            <v xml:space="preserve">NA </v>
          </cell>
          <cell r="BA311" t="str">
            <v xml:space="preserve">NA </v>
          </cell>
          <cell r="BB311" t="str">
            <v xml:space="preserve">NA </v>
          </cell>
          <cell r="BC311" t="str">
            <v xml:space="preserve">NA </v>
          </cell>
          <cell r="BD311" t="str">
            <v xml:space="preserve">NA </v>
          </cell>
          <cell r="BE311" t="str">
            <v xml:space="preserve">NA </v>
          </cell>
        </row>
        <row r="312">
          <cell r="H312">
            <v>878.6850508</v>
          </cell>
          <cell r="I312">
            <v>418</v>
          </cell>
          <cell r="J312">
            <v>186.71949999999998</v>
          </cell>
          <cell r="K312">
            <v>1105.6600000000001</v>
          </cell>
          <cell r="L312">
            <v>407.96699999999998</v>
          </cell>
          <cell r="M312">
            <v>2046.16965</v>
          </cell>
          <cell r="N312">
            <v>1322.8</v>
          </cell>
          <cell r="O312">
            <v>150.12360000000001</v>
          </cell>
          <cell r="P312">
            <v>1616.8075749999998</v>
          </cell>
          <cell r="Q312">
            <v>2554.1227000000003</v>
          </cell>
          <cell r="R312">
            <v>881.87869000000001</v>
          </cell>
          <cell r="S312">
            <v>1177.7868473999999</v>
          </cell>
          <cell r="T312" t="str">
            <v xml:space="preserve">NA </v>
          </cell>
          <cell r="U312">
            <v>163.22624999999999</v>
          </cell>
          <cell r="V312">
            <v>2096.6757716000002</v>
          </cell>
          <cell r="W312">
            <v>878.6850508</v>
          </cell>
          <cell r="X312">
            <v>911.93533980000007</v>
          </cell>
          <cell r="Y312">
            <v>1839.0793712000002</v>
          </cell>
          <cell r="Z312" t="str">
            <v xml:space="preserve">NA </v>
          </cell>
          <cell r="AA312" t="str">
            <v xml:space="preserve">NA </v>
          </cell>
          <cell r="AB312" t="str">
            <v xml:space="preserve">NA </v>
          </cell>
          <cell r="AC312">
            <v>4709.4444999999987</v>
          </cell>
          <cell r="AD312" t="str">
            <v xml:space="preserve">NA </v>
          </cell>
          <cell r="AE312">
            <v>2467.6355199999998</v>
          </cell>
          <cell r="AF312">
            <v>3450</v>
          </cell>
          <cell r="AG312">
            <v>1304.6641950000001</v>
          </cell>
          <cell r="AH312">
            <v>2096.6757716000002</v>
          </cell>
          <cell r="AI312">
            <v>879.01550000000009</v>
          </cell>
          <cell r="AJ312" t="str">
            <v xml:space="preserve">NA </v>
          </cell>
          <cell r="AK312">
            <v>3935.0520495000001</v>
          </cell>
          <cell r="AL312">
            <v>52035.112500000003</v>
          </cell>
          <cell r="AM312">
            <v>1459.4851040000001</v>
          </cell>
          <cell r="AN312">
            <v>574.30956000000003</v>
          </cell>
          <cell r="AO312" t="str">
            <v xml:space="preserve">NA </v>
          </cell>
          <cell r="AP312">
            <v>2052.1066880000003</v>
          </cell>
          <cell r="AQ312" t="str">
            <v xml:space="preserve">NA </v>
          </cell>
          <cell r="AR312">
            <v>2052.1066880000003</v>
          </cell>
          <cell r="AS312">
            <v>1304.6641950000001</v>
          </cell>
          <cell r="AT312" t="str">
            <v xml:space="preserve">NA </v>
          </cell>
          <cell r="AU312">
            <v>62265.919999999998</v>
          </cell>
          <cell r="AV312">
            <v>62265.919999999998</v>
          </cell>
          <cell r="AW312" t="str">
            <v xml:space="preserve">NA </v>
          </cell>
          <cell r="AX312" t="str">
            <v xml:space="preserve">NA </v>
          </cell>
          <cell r="AY312" t="str">
            <v xml:space="preserve">NA </v>
          </cell>
          <cell r="AZ312" t="str">
            <v xml:space="preserve">NA </v>
          </cell>
          <cell r="BA312" t="str">
            <v xml:space="preserve">NA </v>
          </cell>
          <cell r="BB312" t="str">
            <v xml:space="preserve">NA </v>
          </cell>
          <cell r="BC312" t="str">
            <v xml:space="preserve">NA </v>
          </cell>
          <cell r="BD312" t="str">
            <v xml:space="preserve">NA </v>
          </cell>
          <cell r="BE312" t="str">
            <v xml:space="preserve">NA </v>
          </cell>
        </row>
        <row r="319"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2"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1018.396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88.572000000000003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9.9600000000000009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98.532000000000011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98.532000000000011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57.956000000000003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1.7173674697010106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3">
          <cell r="H333" t="e">
            <v>#DIV/0!</v>
          </cell>
          <cell r="I333" t="e">
            <v>#DIV/0!</v>
          </cell>
          <cell r="J333" t="e">
            <v>#DIV/0!</v>
          </cell>
          <cell r="K333" t="e">
            <v>#DIV/0!</v>
          </cell>
          <cell r="L333" t="e">
            <v>#DIV/0!</v>
          </cell>
          <cell r="M333" t="e">
            <v>#DIV/0!</v>
          </cell>
          <cell r="N333" t="e">
            <v>#DIV/0!</v>
          </cell>
          <cell r="O333" t="e">
            <v>#DIV/0!</v>
          </cell>
          <cell r="P333" t="e">
            <v>#DIV/0!</v>
          </cell>
          <cell r="Q333" t="e">
            <v>#DIV/0!</v>
          </cell>
          <cell r="R333" t="e">
            <v>#DIV/0!</v>
          </cell>
          <cell r="S333" t="e">
            <v>#DIV/0!</v>
          </cell>
          <cell r="T333" t="e">
            <v>#VALUE!</v>
          </cell>
          <cell r="U333">
            <v>3.3068320810763586E-2</v>
          </cell>
          <cell r="V333">
            <v>0.47698989924722007</v>
          </cell>
          <cell r="W333">
            <v>1.1277874807805904E-2</v>
          </cell>
          <cell r="X333">
            <v>1.0053782918395942</v>
          </cell>
          <cell r="Y333">
            <v>0</v>
          </cell>
          <cell r="Z333" t="e">
            <v>#N/A</v>
          </cell>
          <cell r="AA333">
            <v>0.48502187288828819</v>
          </cell>
          <cell r="AB333">
            <v>0.36984786218335464</v>
          </cell>
          <cell r="AC333">
            <v>0.63947481761564662</v>
          </cell>
          <cell r="AD333" t="e">
            <v>#N/A</v>
          </cell>
          <cell r="AE333">
            <v>0.3848782860908066</v>
          </cell>
          <cell r="AF333">
            <v>0.3629360002827155</v>
          </cell>
          <cell r="AG333">
            <v>0.88126700666416846</v>
          </cell>
          <cell r="AH333" t="e">
            <v>#DIV/0!</v>
          </cell>
          <cell r="AI333" t="e">
            <v>#DIV/0!</v>
          </cell>
          <cell r="AJ333" t="e">
            <v>#VALUE!</v>
          </cell>
          <cell r="AK333">
            <v>21.090308370044053</v>
          </cell>
          <cell r="AL333">
            <v>0.33343385605146769</v>
          </cell>
          <cell r="AM333">
            <v>0.55622296303024366</v>
          </cell>
          <cell r="AN333">
            <v>0.13773922256804186</v>
          </cell>
          <cell r="AO333" t="e">
            <v>#N/A</v>
          </cell>
          <cell r="AP333" t="e">
            <v>#DIV/0!</v>
          </cell>
          <cell r="AQ333" t="e">
            <v>#VALUE!</v>
          </cell>
          <cell r="AR333">
            <v>0</v>
          </cell>
          <cell r="AS333">
            <v>0.88126700666416846</v>
          </cell>
          <cell r="AT333" t="e">
            <v>#N/A</v>
          </cell>
          <cell r="AU333" t="e">
            <v>#DIV/0!</v>
          </cell>
          <cell r="AV333">
            <v>0.43445707843453052</v>
          </cell>
          <cell r="AW333" t="e">
            <v>#VALUE!</v>
          </cell>
          <cell r="AX333" t="e">
            <v>#VALUE!</v>
          </cell>
          <cell r="AY333" t="e">
            <v>#VALUE!</v>
          </cell>
          <cell r="AZ333" t="e">
            <v>#VALUE!</v>
          </cell>
          <cell r="BA333" t="e">
            <v>#VALUE!</v>
          </cell>
          <cell r="BB333" t="e">
            <v>#VALUE!</v>
          </cell>
          <cell r="BC333" t="e">
            <v>#VALUE!</v>
          </cell>
          <cell r="BD333" t="e">
            <v>#VALUE!</v>
          </cell>
          <cell r="BE333" t="e">
            <v>#VALUE!</v>
          </cell>
        </row>
        <row r="334">
          <cell r="H334" t="e">
            <v>#DIV/0!</v>
          </cell>
          <cell r="I334" t="e">
            <v>#DIV/0!</v>
          </cell>
          <cell r="J334" t="e">
            <v>#DIV/0!</v>
          </cell>
          <cell r="K334" t="e">
            <v>#DIV/0!</v>
          </cell>
          <cell r="L334" t="e">
            <v>#DIV/0!</v>
          </cell>
          <cell r="M334" t="e">
            <v>#DIV/0!</v>
          </cell>
          <cell r="N334" t="e">
            <v>#DIV/0!</v>
          </cell>
          <cell r="O334" t="e">
            <v>#DIV/0!</v>
          </cell>
          <cell r="P334" t="e">
            <v>#DIV/0!</v>
          </cell>
          <cell r="Q334" t="e">
            <v>#DIV/0!</v>
          </cell>
          <cell r="R334" t="e">
            <v>#DIV/0!</v>
          </cell>
          <cell r="S334" t="e">
            <v>#DIV/0!</v>
          </cell>
          <cell r="T334" t="e">
            <v>#VALUE!</v>
          </cell>
          <cell r="U334">
            <v>3.2009810139963631E-2</v>
          </cell>
          <cell r="V334">
            <v>0.32294729942996109</v>
          </cell>
          <cell r="W334">
            <v>1.1152102788711038E-2</v>
          </cell>
          <cell r="X334">
            <v>0.50134096690421948</v>
          </cell>
          <cell r="Y334">
            <v>0</v>
          </cell>
          <cell r="Z334" t="e">
            <v>#N/A</v>
          </cell>
          <cell r="AA334">
            <v>0.3266092451183541</v>
          </cell>
          <cell r="AB334">
            <v>0.26999192566820268</v>
          </cell>
          <cell r="AC334">
            <v>0.39004857576626906</v>
          </cell>
          <cell r="AD334" t="e">
            <v>#N/A</v>
          </cell>
          <cell r="AE334">
            <v>0.27791488245312129</v>
          </cell>
          <cell r="AF334">
            <v>0.26628983327715405</v>
          </cell>
          <cell r="AG334">
            <v>0.4684433435245412</v>
          </cell>
          <cell r="AH334" t="e">
            <v>#DIV/0!</v>
          </cell>
          <cell r="AI334" t="e">
            <v>#DIV/0!</v>
          </cell>
          <cell r="AJ334" t="e">
            <v>#VALUE!</v>
          </cell>
          <cell r="AK334">
            <v>0.95473127929005885</v>
          </cell>
          <cell r="AL334">
            <v>0.25005653976630232</v>
          </cell>
          <cell r="AM334">
            <v>0.35741855520958149</v>
          </cell>
          <cell r="AN334">
            <v>0.12106396600896339</v>
          </cell>
          <cell r="AO334" t="e">
            <v>#N/A</v>
          </cell>
          <cell r="AP334" t="e">
            <v>#DIV/0!</v>
          </cell>
          <cell r="AQ334" t="e">
            <v>#VALUE!</v>
          </cell>
          <cell r="AR334">
            <v>0</v>
          </cell>
          <cell r="AS334">
            <v>0.4684433435245412</v>
          </cell>
          <cell r="AT334" t="e">
            <v>#N/A</v>
          </cell>
          <cell r="AU334" t="e">
            <v>#DIV/0!</v>
          </cell>
          <cell r="AV334">
            <v>0.30287213536473856</v>
          </cell>
          <cell r="AW334" t="e">
            <v>#VALUE!</v>
          </cell>
          <cell r="AX334" t="e">
            <v>#VALUE!</v>
          </cell>
          <cell r="AY334" t="e">
            <v>#VALUE!</v>
          </cell>
          <cell r="AZ334" t="e">
            <v>#VALUE!</v>
          </cell>
          <cell r="BA334" t="e">
            <v>#VALUE!</v>
          </cell>
          <cell r="BB334" t="e">
            <v>#VALUE!</v>
          </cell>
          <cell r="BC334" t="e">
            <v>#VALUE!</v>
          </cell>
          <cell r="BD334" t="e">
            <v>#VALUE!</v>
          </cell>
          <cell r="BE334" t="e">
            <v>#VALUE!</v>
          </cell>
        </row>
        <row r="335"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 t="e">
            <v>#VALUE!</v>
          </cell>
          <cell r="U335">
            <v>8.8588866269284829E-3</v>
          </cell>
          <cell r="V335">
            <v>0.15307732625778603</v>
          </cell>
          <cell r="W335">
            <v>1.1574160335215539E-2</v>
          </cell>
          <cell r="X335">
            <v>0.22820228024703099</v>
          </cell>
          <cell r="Y335">
            <v>0</v>
          </cell>
          <cell r="Z335" t="e">
            <v>#N/A</v>
          </cell>
          <cell r="AA335">
            <v>8.8481266666178393E-2</v>
          </cell>
          <cell r="AB335">
            <v>0.15095192856660783</v>
          </cell>
          <cell r="AC335">
            <v>0.40164981543094397</v>
          </cell>
          <cell r="AD335" t="e">
            <v>#N/A</v>
          </cell>
          <cell r="AE335">
            <v>0.22387679760513463</v>
          </cell>
          <cell r="AF335">
            <v>0.10775239109060843</v>
          </cell>
          <cell r="AG335">
            <v>0.26001184308563613</v>
          </cell>
          <cell r="AH335">
            <v>0</v>
          </cell>
          <cell r="AI335" t="e">
            <v>#DIV/0!</v>
          </cell>
          <cell r="AJ335" t="e">
            <v>#VALUE!</v>
          </cell>
          <cell r="AK335">
            <v>0.57221913452976436</v>
          </cell>
          <cell r="AL335">
            <v>0.13857194033093087</v>
          </cell>
          <cell r="AM335">
            <v>0.12063472892986141</v>
          </cell>
          <cell r="AN335">
            <v>0.16923387716085408</v>
          </cell>
          <cell r="AO335" t="e">
            <v>#N/A</v>
          </cell>
          <cell r="AP335" t="e">
            <v>#DIV/0!</v>
          </cell>
          <cell r="AQ335" t="e">
            <v>#VALUE!</v>
          </cell>
          <cell r="AR335">
            <v>0</v>
          </cell>
          <cell r="AS335">
            <v>0.50002277516468485</v>
          </cell>
          <cell r="AT335" t="e">
            <v>#N/A</v>
          </cell>
          <cell r="AU335" t="e">
            <v>#DIV/0!</v>
          </cell>
          <cell r="AV335">
            <v>9.0651199365535964E-2</v>
          </cell>
          <cell r="AW335" t="e">
            <v>#VALUE!</v>
          </cell>
          <cell r="AX335" t="e">
            <v>#VALUE!</v>
          </cell>
          <cell r="AY335" t="e">
            <v>#VALUE!</v>
          </cell>
          <cell r="AZ335" t="e">
            <v>#VALUE!</v>
          </cell>
          <cell r="BA335" t="e">
            <v>#VALUE!</v>
          </cell>
          <cell r="BB335" t="e">
            <v>#VALUE!</v>
          </cell>
          <cell r="BC335" t="e">
            <v>#VALUE!</v>
          </cell>
          <cell r="BD335" t="e">
            <v>#VALUE!</v>
          </cell>
          <cell r="BE335" t="e">
            <v>#VALUE!</v>
          </cell>
        </row>
        <row r="336">
          <cell r="H336" t="e">
            <v>#DIV/0!</v>
          </cell>
          <cell r="I336" t="e">
            <v>#DIV/0!</v>
          </cell>
          <cell r="J336" t="e">
            <v>#DIV/0!</v>
          </cell>
          <cell r="K336" t="e">
            <v>#DIV/0!</v>
          </cell>
          <cell r="L336" t="e">
            <v>#DIV/0!</v>
          </cell>
          <cell r="M336" t="e">
            <v>#DIV/0!</v>
          </cell>
          <cell r="N336" t="e">
            <v>#DIV/0!</v>
          </cell>
          <cell r="O336" t="e">
            <v>#DIV/0!</v>
          </cell>
          <cell r="P336" t="e">
            <v>#DIV/0!</v>
          </cell>
          <cell r="Q336" t="e">
            <v>#DIV/0!</v>
          </cell>
          <cell r="R336" t="e">
            <v>#DIV/0!</v>
          </cell>
          <cell r="S336" t="e">
            <v>#DIV/0!</v>
          </cell>
          <cell r="T336" t="e">
            <v>#DIV/0!</v>
          </cell>
          <cell r="U336">
            <v>-6.082077051926297</v>
          </cell>
          <cell r="V336">
            <v>213.01112877583466</v>
          </cell>
          <cell r="W336">
            <v>13.896939726316541</v>
          </cell>
          <cell r="X336">
            <v>6.230862602294529</v>
          </cell>
          <cell r="Y336" t="e">
            <v>#DIV/0!</v>
          </cell>
          <cell r="Z336">
            <v>2.2921025796672843</v>
          </cell>
          <cell r="AA336">
            <v>8.0582519110751996</v>
          </cell>
          <cell r="AB336">
            <v>4.0286063574090729</v>
          </cell>
          <cell r="AC336">
            <v>7.1056276516096846</v>
          </cell>
          <cell r="AD336" t="e">
            <v>#DIV/0!</v>
          </cell>
          <cell r="AE336">
            <v>2.6400159638153511</v>
          </cell>
          <cell r="AF336">
            <v>11.833591515729267</v>
          </cell>
          <cell r="AG336">
            <v>8.8584567070435174</v>
          </cell>
          <cell r="AH336" t="e">
            <v>#DIV/0!</v>
          </cell>
          <cell r="AI336">
            <v>-0.13712742548509654</v>
          </cell>
          <cell r="AJ336">
            <v>10.242457519361924</v>
          </cell>
          <cell r="AK336">
            <v>3.2163009404388712</v>
          </cell>
          <cell r="AL336">
            <v>8.6789667896678964</v>
          </cell>
          <cell r="AM336">
            <v>17.576351106274934</v>
          </cell>
          <cell r="AN336">
            <v>32.076923076923066</v>
          </cell>
          <cell r="AO336" t="e">
            <v>#DIV/0!</v>
          </cell>
          <cell r="AP336">
            <v>13.890128512921903</v>
          </cell>
          <cell r="AQ336">
            <v>84.798492366412205</v>
          </cell>
          <cell r="AR336">
            <v>31.495881862703154</v>
          </cell>
          <cell r="AS336">
            <v>8.8584567070435192</v>
          </cell>
          <cell r="AT336" t="e">
            <v>#DIV/0!</v>
          </cell>
          <cell r="AU336">
            <v>14.664827586206901</v>
          </cell>
          <cell r="AV336">
            <v>14.292585904251965</v>
          </cell>
          <cell r="AW336" t="e">
            <v>#DIV/0!</v>
          </cell>
          <cell r="AX336" t="e">
            <v>#DIV/0!</v>
          </cell>
          <cell r="AY336" t="e">
            <v>#DIV/0!</v>
          </cell>
          <cell r="AZ336" t="e">
            <v>#DIV/0!</v>
          </cell>
          <cell r="BA336" t="e">
            <v>#DIV/0!</v>
          </cell>
          <cell r="BB336" t="e">
            <v>#DIV/0!</v>
          </cell>
          <cell r="BC336" t="e">
            <v>#DIV/0!</v>
          </cell>
          <cell r="BD336" t="e">
            <v>#DIV/0!</v>
          </cell>
          <cell r="BE336" t="e">
            <v>#DIV/0!</v>
          </cell>
        </row>
        <row r="337">
          <cell r="H337" t="e">
            <v>#DIV/0!</v>
          </cell>
          <cell r="I337" t="e">
            <v>#DIV/0!</v>
          </cell>
          <cell r="J337" t="e">
            <v>#DIV/0!</v>
          </cell>
          <cell r="K337" t="e">
            <v>#DIV/0!</v>
          </cell>
          <cell r="L337" t="e">
            <v>#DIV/0!</v>
          </cell>
          <cell r="M337" t="e">
            <v>#DIV/0!</v>
          </cell>
          <cell r="N337" t="e">
            <v>#DIV/0!</v>
          </cell>
          <cell r="O337" t="e">
            <v>#DIV/0!</v>
          </cell>
          <cell r="P337" t="e">
            <v>#DIV/0!</v>
          </cell>
          <cell r="Q337" t="e">
            <v>#DIV/0!</v>
          </cell>
          <cell r="R337" t="e">
            <v>#DIV/0!</v>
          </cell>
          <cell r="S337" t="e">
            <v>#DIV/0!</v>
          </cell>
          <cell r="T337" t="e">
            <v>#DIV/0!</v>
          </cell>
          <cell r="U337">
            <v>12.788107202680068</v>
          </cell>
          <cell r="V337">
            <v>183.0643879173291</v>
          </cell>
          <cell r="W337">
            <v>10.900300996522862</v>
          </cell>
          <cell r="X337">
            <v>3.3893652844668929</v>
          </cell>
          <cell r="Y337" t="e">
            <v>#DIV/0!</v>
          </cell>
          <cell r="Z337">
            <v>1.907295578162679</v>
          </cell>
          <cell r="AA337">
            <v>7.5281797208075956</v>
          </cell>
          <cell r="AB337">
            <v>3.7580260982298852</v>
          </cell>
          <cell r="AC337">
            <v>6.7022086348889447</v>
          </cell>
          <cell r="AD337" t="e">
            <v>#DIV/0!</v>
          </cell>
          <cell r="AE337">
            <v>1.1162032725821469</v>
          </cell>
          <cell r="AF337">
            <v>8.4041348903717843</v>
          </cell>
          <cell r="AG337">
            <v>4.0978764767459248</v>
          </cell>
          <cell r="AH337" t="e">
            <v>#DIV/0!</v>
          </cell>
          <cell r="AI337">
            <v>0.65279722611188939</v>
          </cell>
          <cell r="AJ337">
            <v>9.1291950834200293</v>
          </cell>
          <cell r="AK337">
            <v>2.7774294670846396</v>
          </cell>
          <cell r="AL337">
            <v>7.4086715867158661</v>
          </cell>
          <cell r="AM337">
            <v>10.940938217869663</v>
          </cell>
          <cell r="AN337">
            <v>-38.282051282051306</v>
          </cell>
          <cell r="AO337" t="e">
            <v>#DIV/0!</v>
          </cell>
          <cell r="AP337">
            <v>12.057760203361106</v>
          </cell>
          <cell r="AQ337">
            <v>82.002246183206111</v>
          </cell>
          <cell r="AR337">
            <v>28.103792256201871</v>
          </cell>
          <cell r="AS337">
            <v>4.0978764767459266</v>
          </cell>
          <cell r="AT337" t="e">
            <v>#DIV/0!</v>
          </cell>
          <cell r="AU337">
            <v>12.647586206896555</v>
          </cell>
          <cell r="AV337">
            <v>12.017288191243516</v>
          </cell>
          <cell r="AW337" t="e">
            <v>#DIV/0!</v>
          </cell>
          <cell r="AX337" t="e">
            <v>#DIV/0!</v>
          </cell>
          <cell r="AY337" t="e">
            <v>#DIV/0!</v>
          </cell>
          <cell r="AZ337" t="e">
            <v>#DIV/0!</v>
          </cell>
          <cell r="BA337" t="e">
            <v>#DIV/0!</v>
          </cell>
          <cell r="BB337" t="e">
            <v>#DIV/0!</v>
          </cell>
          <cell r="BC337" t="e">
            <v>#DIV/0!</v>
          </cell>
          <cell r="BD337" t="e">
            <v>#DIV/0!</v>
          </cell>
          <cell r="BE337" t="e">
            <v>#DIV/0!</v>
          </cell>
        </row>
        <row r="338">
          <cell r="H338" t="str">
            <v xml:space="preserve">NA </v>
          </cell>
          <cell r="I338" t="str">
            <v xml:space="preserve">NA </v>
          </cell>
          <cell r="J338" t="str">
            <v xml:space="preserve">NA </v>
          </cell>
          <cell r="K338" t="str">
            <v xml:space="preserve">NA </v>
          </cell>
          <cell r="L338" t="str">
            <v xml:space="preserve">NA </v>
          </cell>
          <cell r="M338" t="str">
            <v xml:space="preserve">NA </v>
          </cell>
          <cell r="N338" t="str">
            <v xml:space="preserve">NA </v>
          </cell>
          <cell r="O338" t="str">
            <v xml:space="preserve">NA </v>
          </cell>
          <cell r="P338" t="str">
            <v xml:space="preserve">NA </v>
          </cell>
          <cell r="Q338" t="str">
            <v xml:space="preserve">NA </v>
          </cell>
          <cell r="R338" t="str">
            <v xml:space="preserve">NA </v>
          </cell>
          <cell r="S338" t="str">
            <v xml:space="preserve">NA </v>
          </cell>
          <cell r="T338" t="str">
            <v xml:space="preserve">NA </v>
          </cell>
          <cell r="U338">
            <v>0.41696502340952912</v>
          </cell>
          <cell r="V338">
            <v>0.85842327456111855</v>
          </cell>
          <cell r="W338">
            <v>0.1540055218861287</v>
          </cell>
          <cell r="X338">
            <v>2.418952091011056</v>
          </cell>
          <cell r="Y338">
            <v>0</v>
          </cell>
          <cell r="Z338" t="e">
            <v>#N/A</v>
          </cell>
          <cell r="AA338">
            <v>1.3494587266718119</v>
          </cell>
          <cell r="AB338">
            <v>1.6634942416995746</v>
          </cell>
          <cell r="AC338">
            <v>2.1250076829193336</v>
          </cell>
          <cell r="AD338" t="str">
            <v xml:space="preserve">NA </v>
          </cell>
          <cell r="AE338">
            <v>3.2496230437269276</v>
          </cell>
          <cell r="AF338">
            <v>1.3705101447109251</v>
          </cell>
          <cell r="AG338">
            <v>1.861696268759466</v>
          </cell>
          <cell r="AH338">
            <v>0</v>
          </cell>
          <cell r="AI338" t="e">
            <v>#DIV/0!</v>
          </cell>
          <cell r="AJ338" t="e">
            <v>#VALUE!</v>
          </cell>
          <cell r="AK338">
            <v>3.1107862248213132</v>
          </cell>
          <cell r="AL338">
            <v>1.4102891156462587</v>
          </cell>
          <cell r="AM338">
            <v>1.5411352786605583</v>
          </cell>
          <cell r="AN338">
            <v>16.747181964573283</v>
          </cell>
          <cell r="AO338" t="str">
            <v xml:space="preserve">NA </v>
          </cell>
          <cell r="AP338" t="e">
            <v>#DIV/0!</v>
          </cell>
          <cell r="AQ338" t="e">
            <v>#VALUE!</v>
          </cell>
          <cell r="AR338">
            <v>0</v>
          </cell>
          <cell r="AS338">
            <v>1.8616962687594658</v>
          </cell>
          <cell r="AT338" t="e">
            <v>#N/A</v>
          </cell>
          <cell r="AU338" t="e">
            <v>#DIV/0!</v>
          </cell>
          <cell r="AV338">
            <v>1.1931299833650095</v>
          </cell>
          <cell r="AW338" t="str">
            <v xml:space="preserve">NA </v>
          </cell>
          <cell r="AX338" t="str">
            <v xml:space="preserve">NA </v>
          </cell>
          <cell r="AY338" t="str">
            <v xml:space="preserve">NA </v>
          </cell>
          <cell r="AZ338" t="str">
            <v xml:space="preserve">NA </v>
          </cell>
          <cell r="BA338" t="str">
            <v xml:space="preserve">NA </v>
          </cell>
          <cell r="BB338" t="str">
            <v xml:space="preserve">NA </v>
          </cell>
          <cell r="BC338" t="str">
            <v xml:space="preserve">NA </v>
          </cell>
          <cell r="BD338" t="str">
            <v xml:space="preserve">NA </v>
          </cell>
          <cell r="BE338" t="str">
            <v xml:space="preserve">NA </v>
          </cell>
        </row>
        <row r="339">
          <cell r="H339" t="e">
            <v>#DIV/0!</v>
          </cell>
          <cell r="I339" t="e">
            <v>#DIV/0!</v>
          </cell>
          <cell r="J339" t="e">
            <v>#DIV/0!</v>
          </cell>
          <cell r="K339" t="e">
            <v>#DIV/0!</v>
          </cell>
          <cell r="L339" t="e">
            <v>#DIV/0!</v>
          </cell>
          <cell r="M339" t="e">
            <v>#DIV/0!</v>
          </cell>
          <cell r="N339" t="e">
            <v>#DIV/0!</v>
          </cell>
          <cell r="O339" t="e">
            <v>#DIV/0!</v>
          </cell>
          <cell r="P339" t="e">
            <v>#DIV/0!</v>
          </cell>
          <cell r="Q339" t="e">
            <v>#DIV/0!</v>
          </cell>
          <cell r="R339" t="e">
            <v>#DIV/0!</v>
          </cell>
          <cell r="S339" t="e">
            <v>#DIV/0!</v>
          </cell>
          <cell r="T339" t="e">
            <v>#VALUE!</v>
          </cell>
          <cell r="U339">
            <v>3.7433088971579043E-2</v>
          </cell>
          <cell r="V339">
            <v>0.47698989924722007</v>
          </cell>
          <cell r="W339">
            <v>3.3339900235620445E-2</v>
          </cell>
          <cell r="X339">
            <v>1.0871996220610349</v>
          </cell>
          <cell r="Y339">
            <v>0</v>
          </cell>
          <cell r="Z339" t="e">
            <v>#N/A</v>
          </cell>
          <cell r="AA339">
            <v>0.55246070855053886</v>
          </cell>
          <cell r="AB339">
            <v>1.0124909590921907</v>
          </cell>
          <cell r="AC339">
            <v>1.3435201376745218</v>
          </cell>
          <cell r="AD339" t="e">
            <v>#N/A</v>
          </cell>
          <cell r="AE339">
            <v>0.5047323707077559</v>
          </cell>
          <cell r="AF339">
            <v>0.61969159029636589</v>
          </cell>
          <cell r="AG339">
            <v>2.1141382949614984</v>
          </cell>
          <cell r="AH339" t="e">
            <v>#DIV/0!</v>
          </cell>
          <cell r="AI339" t="e">
            <v>#DIV/0!</v>
          </cell>
          <cell r="AJ339" t="e">
            <v>#VALUE!</v>
          </cell>
          <cell r="AK339">
            <v>21.090308370044053</v>
          </cell>
          <cell r="AL339">
            <v>0.44154547572298591</v>
          </cell>
          <cell r="AM339">
            <v>0.66090951676104215</v>
          </cell>
          <cell r="AN339">
            <v>0.22972256582435063</v>
          </cell>
          <cell r="AO339" t="e">
            <v>#N/A</v>
          </cell>
          <cell r="AP339" t="e">
            <v>#DIV/0!</v>
          </cell>
          <cell r="AQ339" t="e">
            <v>#VALUE!</v>
          </cell>
          <cell r="AR339">
            <v>0</v>
          </cell>
          <cell r="AS339">
            <v>2.1141382949614984</v>
          </cell>
          <cell r="AT339" t="e">
            <v>#N/A</v>
          </cell>
          <cell r="AU339" t="e">
            <v>#DIV/0!</v>
          </cell>
          <cell r="AV339">
            <v>0.55786835927749412</v>
          </cell>
          <cell r="AW339" t="e">
            <v>#VALUE!</v>
          </cell>
          <cell r="AX339" t="e">
            <v>#VALUE!</v>
          </cell>
          <cell r="AY339" t="e">
            <v>#VALUE!</v>
          </cell>
          <cell r="AZ339" t="e">
            <v>#VALUE!</v>
          </cell>
          <cell r="BA339" t="e">
            <v>#VALUE!</v>
          </cell>
          <cell r="BB339" t="e">
            <v>#VALUE!</v>
          </cell>
          <cell r="BC339" t="e">
            <v>#VALUE!</v>
          </cell>
          <cell r="BD339" t="e">
            <v>#VALUE!</v>
          </cell>
          <cell r="BE339" t="e">
            <v>#VALUE!</v>
          </cell>
        </row>
        <row r="340">
          <cell r="H340" t="e">
            <v>#DIV/0!</v>
          </cell>
          <cell r="I340" t="e">
            <v>#DIV/0!</v>
          </cell>
          <cell r="J340" t="e">
            <v>#DIV/0!</v>
          </cell>
          <cell r="K340" t="e">
            <v>#DIV/0!</v>
          </cell>
          <cell r="L340" t="e">
            <v>#DIV/0!</v>
          </cell>
          <cell r="M340" t="e">
            <v>#DIV/0!</v>
          </cell>
          <cell r="N340" t="e">
            <v>#DIV/0!</v>
          </cell>
          <cell r="O340" t="e">
            <v>#DIV/0!</v>
          </cell>
          <cell r="P340" t="e">
            <v>#DIV/0!</v>
          </cell>
          <cell r="Q340" t="e">
            <v>#DIV/0!</v>
          </cell>
          <cell r="R340" t="e">
            <v>#DIV/0!</v>
          </cell>
          <cell r="S340" t="e">
            <v>#DIV/0!</v>
          </cell>
          <cell r="T340" t="e">
            <v>#DIV/0!</v>
          </cell>
          <cell r="U340">
            <v>4.0200421940928273</v>
          </cell>
          <cell r="V340" t="e">
            <v>#DIV/0!</v>
          </cell>
          <cell r="W340">
            <v>5.6952372302296492</v>
          </cell>
          <cell r="X340">
            <v>2.8304906039887427</v>
          </cell>
          <cell r="Y340">
            <v>2.2835275535531014</v>
          </cell>
          <cell r="Z340">
            <v>1.5380873546448712</v>
          </cell>
          <cell r="AA340">
            <v>1.4892992008550388</v>
          </cell>
          <cell r="AB340">
            <v>1.3696250405354029</v>
          </cell>
          <cell r="AC340">
            <v>2.0086264742186053</v>
          </cell>
          <cell r="AD340" t="e">
            <v>#DIV/0!</v>
          </cell>
          <cell r="AE340">
            <v>2.2765672158022165</v>
          </cell>
          <cell r="AF340">
            <v>2.4742130240152145</v>
          </cell>
          <cell r="AG340">
            <v>1.8503578399479506</v>
          </cell>
          <cell r="AH340" t="e">
            <v>#DIV/0!</v>
          </cell>
          <cell r="AI340" t="e">
            <v>#DIV/0!</v>
          </cell>
          <cell r="AJ340">
            <v>3.1035400277649234</v>
          </cell>
          <cell r="AK340" t="e">
            <v>#DIV/0!</v>
          </cell>
          <cell r="AL340">
            <v>1.3618488186504096</v>
          </cell>
          <cell r="AM340">
            <v>1.8294232612189767</v>
          </cell>
          <cell r="AN340">
            <v>2.2295276760075255</v>
          </cell>
          <cell r="AO340" t="e">
            <v>#DIV/0!</v>
          </cell>
          <cell r="AP340" t="e">
            <v>#DIV/0!</v>
          </cell>
          <cell r="AQ340" t="e">
            <v>#DIV/0!</v>
          </cell>
          <cell r="AR340">
            <v>2.9700975044125459</v>
          </cell>
          <cell r="AS340">
            <v>1.8503578399479506</v>
          </cell>
          <cell r="AT340">
            <v>1.8976949526679969</v>
          </cell>
          <cell r="AU340">
            <v>1.8288507835231218</v>
          </cell>
          <cell r="AV340">
            <v>1.8297310823382411</v>
          </cell>
          <cell r="AW340" t="e">
            <v>#DIV/0!</v>
          </cell>
          <cell r="AX340" t="e">
            <v>#DIV/0!</v>
          </cell>
          <cell r="AY340" t="e">
            <v>#DIV/0!</v>
          </cell>
          <cell r="AZ340" t="e">
            <v>#DIV/0!</v>
          </cell>
          <cell r="BA340" t="e">
            <v>#DIV/0!</v>
          </cell>
          <cell r="BB340" t="e">
            <v>#DIV/0!</v>
          </cell>
          <cell r="BC340" t="e">
            <v>#DIV/0!</v>
          </cell>
          <cell r="BD340" t="e">
            <v>#DIV/0!</v>
          </cell>
          <cell r="BE340" t="e">
            <v>#DIV/0!</v>
          </cell>
        </row>
        <row r="341">
          <cell r="H341" t="e">
            <v>#DIV/0!</v>
          </cell>
          <cell r="I341" t="e">
            <v>#DIV/0!</v>
          </cell>
          <cell r="J341" t="e">
            <v>#DIV/0!</v>
          </cell>
          <cell r="K341" t="e">
            <v>#DIV/0!</v>
          </cell>
          <cell r="L341" t="e">
            <v>#DIV/0!</v>
          </cell>
          <cell r="M341" t="e">
            <v>#DIV/0!</v>
          </cell>
          <cell r="N341" t="e">
            <v>#DIV/0!</v>
          </cell>
          <cell r="O341" t="e">
            <v>#DIV/0!</v>
          </cell>
          <cell r="P341" t="e">
            <v>#DIV/0!</v>
          </cell>
          <cell r="Q341" t="e">
            <v>#DIV/0!</v>
          </cell>
          <cell r="R341" t="e">
            <v>#DIV/0!</v>
          </cell>
          <cell r="S341" t="e">
            <v>#DIV/0!</v>
          </cell>
          <cell r="T341" t="e">
            <v>#DIV/0!</v>
          </cell>
          <cell r="U341">
            <v>3.2170735382760696</v>
          </cell>
          <cell r="V341" t="e">
            <v>#DIV/0!</v>
          </cell>
          <cell r="W341">
            <v>4.9949836164073469</v>
          </cell>
          <cell r="X341">
            <v>2.1273348094438629</v>
          </cell>
          <cell r="Y341">
            <v>1.7665354072801644</v>
          </cell>
          <cell r="Z341">
            <v>0.60121301059237708</v>
          </cell>
          <cell r="AA341">
            <v>0.42069106544481916</v>
          </cell>
          <cell r="AB341">
            <v>0.44119745773135927</v>
          </cell>
          <cell r="AC341">
            <v>1.0545726664475989</v>
          </cell>
          <cell r="AD341" t="e">
            <v>#DIV/0!</v>
          </cell>
          <cell r="AE341">
            <v>1.2656697890163415</v>
          </cell>
          <cell r="AF341">
            <v>1.4248847981388282</v>
          </cell>
          <cell r="AG341">
            <v>1.4328853790411236</v>
          </cell>
          <cell r="AH341" t="e">
            <v>#DIV/0!</v>
          </cell>
          <cell r="AI341" t="e">
            <v>#DIV/0!</v>
          </cell>
          <cell r="AJ341">
            <v>2.5559283253637717</v>
          </cell>
          <cell r="AK341" t="e">
            <v>#DIV/0!</v>
          </cell>
          <cell r="AL341">
            <v>0.52195243203642172</v>
          </cell>
          <cell r="AM341">
            <v>0.64992215070315917</v>
          </cell>
          <cell r="AN341">
            <v>1.8742779813182824</v>
          </cell>
          <cell r="AO341" t="e">
            <v>#DIV/0!</v>
          </cell>
          <cell r="AP341" t="e">
            <v>#DIV/0!</v>
          </cell>
          <cell r="AQ341" t="e">
            <v>#DIV/0!</v>
          </cell>
          <cell r="AR341">
            <v>2.0066202468740895</v>
          </cell>
          <cell r="AS341">
            <v>1.4328853790411236</v>
          </cell>
          <cell r="AT341">
            <v>1.7320117162626822</v>
          </cell>
          <cell r="AU341">
            <v>0.53315019126530494</v>
          </cell>
          <cell r="AV341">
            <v>0.55858268960242297</v>
          </cell>
          <cell r="AW341" t="e">
            <v>#DIV/0!</v>
          </cell>
          <cell r="AX341" t="e">
            <v>#DIV/0!</v>
          </cell>
          <cell r="AY341" t="e">
            <v>#DIV/0!</v>
          </cell>
          <cell r="AZ341" t="e">
            <v>#DIV/0!</v>
          </cell>
          <cell r="BA341" t="e">
            <v>#DIV/0!</v>
          </cell>
          <cell r="BB341" t="e">
            <v>#DIV/0!</v>
          </cell>
          <cell r="BC341" t="e">
            <v>#DIV/0!</v>
          </cell>
          <cell r="BD341" t="e">
            <v>#DIV/0!</v>
          </cell>
          <cell r="BE341" t="e">
            <v>#DIV/0!</v>
          </cell>
        </row>
        <row r="342">
          <cell r="H342" t="e">
            <v>#DIV/0!</v>
          </cell>
          <cell r="I342" t="e">
            <v>#DIV/0!</v>
          </cell>
          <cell r="J342" t="e">
            <v>#DIV/0!</v>
          </cell>
          <cell r="K342" t="e">
            <v>#DIV/0!</v>
          </cell>
          <cell r="L342" t="e">
            <v>#DIV/0!</v>
          </cell>
          <cell r="M342" t="e">
            <v>#DIV/0!</v>
          </cell>
          <cell r="N342" t="e">
            <v>#DIV/0!</v>
          </cell>
          <cell r="O342" t="e">
            <v>#DIV/0!</v>
          </cell>
          <cell r="P342" t="e">
            <v>#DIV/0!</v>
          </cell>
          <cell r="Q342" t="e">
            <v>#DIV/0!</v>
          </cell>
          <cell r="R342" t="e">
            <v>#DIV/0!</v>
          </cell>
          <cell r="S342" t="e">
            <v>#DIV/0!</v>
          </cell>
          <cell r="T342" t="e">
            <v>#DIV/0!</v>
          </cell>
          <cell r="U342">
            <v>75.504919925699056</v>
          </cell>
          <cell r="V342">
            <v>142.41876821444865</v>
          </cell>
          <cell r="W342">
            <v>60.599368063918767</v>
          </cell>
          <cell r="X342">
            <v>84.677561636395907</v>
          </cell>
          <cell r="Y342">
            <v>56.086920178780403</v>
          </cell>
          <cell r="Z342">
            <v>29.462047185628659</v>
          </cell>
          <cell r="AA342">
            <v>18.536786684089705</v>
          </cell>
          <cell r="AB342">
            <v>19.982262486254637</v>
          </cell>
          <cell r="AC342">
            <v>34.465296957431732</v>
          </cell>
          <cell r="AD342" t="e">
            <v>#DIV/0!</v>
          </cell>
          <cell r="AE342">
            <v>46.48769066035603</v>
          </cell>
          <cell r="AF342">
            <v>49.821284493886708</v>
          </cell>
          <cell r="AG342">
            <v>75.604776788915729</v>
          </cell>
          <cell r="AH342">
            <v>0</v>
          </cell>
          <cell r="AI342">
            <v>0</v>
          </cell>
          <cell r="AJ342">
            <v>88.100132337759732</v>
          </cell>
          <cell r="AK342">
            <v>0</v>
          </cell>
          <cell r="AL342">
            <v>37.06854479672689</v>
          </cell>
          <cell r="AM342">
            <v>56.152798726860979</v>
          </cell>
          <cell r="AN342">
            <v>46.245399669415441</v>
          </cell>
          <cell r="AO342" t="e">
            <v>#DIV/0!</v>
          </cell>
          <cell r="AP342">
            <v>0</v>
          </cell>
          <cell r="AQ342">
            <v>0</v>
          </cell>
          <cell r="AR342">
            <v>57.490491286528034</v>
          </cell>
          <cell r="AS342">
            <v>75.604776788915729</v>
          </cell>
          <cell r="AT342">
            <v>113.07913033368213</v>
          </cell>
          <cell r="AU342">
            <v>21.585394576367626</v>
          </cell>
          <cell r="AV342">
            <v>23.028541826063112</v>
          </cell>
          <cell r="AW342" t="e">
            <v>#DIV/0!</v>
          </cell>
          <cell r="AX342" t="e">
            <v>#DIV/0!</v>
          </cell>
          <cell r="AY342" t="e">
            <v>#DIV/0!</v>
          </cell>
          <cell r="AZ342" t="e">
            <v>#DIV/0!</v>
          </cell>
          <cell r="BA342" t="e">
            <v>#DIV/0!</v>
          </cell>
          <cell r="BB342" t="e">
            <v>#DIV/0!</v>
          </cell>
          <cell r="BC342" t="e">
            <v>#DIV/0!</v>
          </cell>
          <cell r="BD342" t="e">
            <v>#DIV/0!</v>
          </cell>
          <cell r="BE342" t="e">
            <v>#DIV/0!</v>
          </cell>
        </row>
        <row r="343">
          <cell r="H343" t="e">
            <v>#DIV/0!</v>
          </cell>
          <cell r="I343" t="e">
            <v>#DIV/0!</v>
          </cell>
          <cell r="J343" t="e">
            <v>#DIV/0!</v>
          </cell>
          <cell r="K343" t="e">
            <v>#DIV/0!</v>
          </cell>
          <cell r="L343" t="e">
            <v>#DIV/0!</v>
          </cell>
          <cell r="M343" t="e">
            <v>#DIV/0!</v>
          </cell>
          <cell r="N343" t="e">
            <v>#DIV/0!</v>
          </cell>
          <cell r="O343" t="e">
            <v>#DIV/0!</v>
          </cell>
          <cell r="P343">
            <v>0</v>
          </cell>
          <cell r="Q343" t="e">
            <v>#DIV/0!</v>
          </cell>
          <cell r="R343" t="e">
            <v>#DIV/0!</v>
          </cell>
          <cell r="S343" t="e">
            <v>#DIV/0!</v>
          </cell>
          <cell r="T343" t="e">
            <v>#DIV/0!</v>
          </cell>
          <cell r="U343">
            <v>2.4640100347356237</v>
          </cell>
          <cell r="V343" t="e">
            <v>#DIV/0!</v>
          </cell>
          <cell r="W343">
            <v>3.1927330194661949</v>
          </cell>
          <cell r="X343">
            <v>3.2764916894471545</v>
          </cell>
          <cell r="Y343">
            <v>11.303457791293573</v>
          </cell>
          <cell r="Z343">
            <v>7.1802045814174118</v>
          </cell>
          <cell r="AA343">
            <v>6.5265433661401726</v>
          </cell>
          <cell r="AB343">
            <v>6.7426007246327542</v>
          </cell>
          <cell r="AC343">
            <v>9.9703764377630222</v>
          </cell>
          <cell r="AD343" t="e">
            <v>#DIV/0!</v>
          </cell>
          <cell r="AE343">
            <v>8.030446782315428</v>
          </cell>
          <cell r="AF343">
            <v>6.4442341471385198</v>
          </cell>
          <cell r="AG343">
            <v>17.644835738734606</v>
          </cell>
          <cell r="AH343" t="e">
            <v>#DIV/0!</v>
          </cell>
          <cell r="AI343" t="e">
            <v>#DIV/0!</v>
          </cell>
          <cell r="AJ343">
            <v>12.415881197839962</v>
          </cell>
          <cell r="AK343" t="e">
            <v>#DIV/0!</v>
          </cell>
          <cell r="AL343">
            <v>5.237854073139169</v>
          </cell>
          <cell r="AM343">
            <v>1.3073320737173884</v>
          </cell>
          <cell r="AN343">
            <v>26.89027222893246</v>
          </cell>
          <cell r="AO343" t="e">
            <v>#DIV/0!</v>
          </cell>
          <cell r="AP343" t="e">
            <v>#DIV/0!</v>
          </cell>
          <cell r="AQ343" t="e">
            <v>#DIV/0!</v>
          </cell>
          <cell r="AR343">
            <v>5.8227891776362162</v>
          </cell>
          <cell r="AS343">
            <v>17.644835738734603</v>
          </cell>
          <cell r="AT343" t="e">
            <v>#DIV/0!</v>
          </cell>
          <cell r="AU343">
            <v>4.9258162490508726</v>
          </cell>
          <cell r="AV343">
            <v>4.990171164183522</v>
          </cell>
          <cell r="AW343" t="e">
            <v>#DIV/0!</v>
          </cell>
          <cell r="AX343" t="e">
            <v>#DIV/0!</v>
          </cell>
          <cell r="AY343" t="e">
            <v>#DIV/0!</v>
          </cell>
          <cell r="AZ343" t="e">
            <v>#DIV/0!</v>
          </cell>
          <cell r="BA343" t="e">
            <v>#DIV/0!</v>
          </cell>
          <cell r="BB343" t="e">
            <v>#DIV/0!</v>
          </cell>
          <cell r="BC343" t="e">
            <v>#DIV/0!</v>
          </cell>
          <cell r="BD343" t="e">
            <v>#DIV/0!</v>
          </cell>
          <cell r="BE343" t="e">
            <v>#DIV/0!</v>
          </cell>
        </row>
        <row r="344">
          <cell r="H344" t="e">
            <v>#DIV/0!</v>
          </cell>
          <cell r="I344" t="e">
            <v>#DIV/0!</v>
          </cell>
          <cell r="J344" t="e">
            <v>#DIV/0!</v>
          </cell>
          <cell r="K344" t="e">
            <v>#DIV/0!</v>
          </cell>
          <cell r="L344" t="e">
            <v>#DIV/0!</v>
          </cell>
          <cell r="M344" t="e">
            <v>#DIV/0!</v>
          </cell>
          <cell r="N344" t="e">
            <v>#DIV/0!</v>
          </cell>
          <cell r="O344" t="e">
            <v>#DIV/0!</v>
          </cell>
          <cell r="P344" t="e">
            <v>#DIV/0!</v>
          </cell>
          <cell r="Q344" t="e">
            <v>#DIV/0!</v>
          </cell>
          <cell r="R344" t="e">
            <v>#DIV/0!</v>
          </cell>
          <cell r="S344" t="e">
            <v>#DIV/0!</v>
          </cell>
          <cell r="T344" t="e">
            <v>#DIV/0!</v>
          </cell>
          <cell r="U344">
            <v>0.7386435272740759</v>
          </cell>
          <cell r="V344">
            <v>0.92904526134020449</v>
          </cell>
          <cell r="W344">
            <v>0.2775433408763463</v>
          </cell>
          <cell r="X344">
            <v>0.69034370736707718</v>
          </cell>
          <cell r="Y344">
            <v>2.206651487093291</v>
          </cell>
          <cell r="Z344">
            <v>3.7525759419016209</v>
          </cell>
          <cell r="AA344">
            <v>4.6171477009249502</v>
          </cell>
          <cell r="AB344">
            <v>3.5520666129633733</v>
          </cell>
          <cell r="AC344">
            <v>3.8670764498645527</v>
          </cell>
          <cell r="AD344" t="e">
            <v>#DIV/0!</v>
          </cell>
          <cell r="AE344">
            <v>2.6532207284501412</v>
          </cell>
          <cell r="AF344">
            <v>1.9941986332386166</v>
          </cell>
          <cell r="AG344">
            <v>1.3607427011075575</v>
          </cell>
          <cell r="AH344" t="e">
            <v>#DIV/0!</v>
          </cell>
          <cell r="AI344" t="e">
            <v>#DIV/0!</v>
          </cell>
          <cell r="AJ344">
            <v>1.6570307614330961</v>
          </cell>
          <cell r="AK344" t="e">
            <v>#DIV/0!</v>
          </cell>
          <cell r="AL344">
            <v>2.7534700401120342</v>
          </cell>
          <cell r="AM344">
            <v>0.81917305296144882</v>
          </cell>
          <cell r="AN344">
            <v>3.1049413054573636</v>
          </cell>
          <cell r="AO344" t="e">
            <v>#DIV/0!</v>
          </cell>
          <cell r="AP344" t="e">
            <v>#DIV/0!</v>
          </cell>
          <cell r="AQ344" t="e">
            <v>#DIV/0!</v>
          </cell>
          <cell r="AR344">
            <v>1.9276811751028688</v>
          </cell>
          <cell r="AS344">
            <v>1.3607427011075575</v>
          </cell>
          <cell r="AT344">
            <v>1.4008599628652396</v>
          </cell>
          <cell r="AU344">
            <v>2.6378802325223756</v>
          </cell>
          <cell r="AV344">
            <v>2.5820728041257168</v>
          </cell>
          <cell r="AW344" t="e">
            <v>#DIV/0!</v>
          </cell>
          <cell r="AX344" t="e">
            <v>#DIV/0!</v>
          </cell>
          <cell r="AY344" t="e">
            <v>#DIV/0!</v>
          </cell>
          <cell r="AZ344" t="e">
            <v>#DIV/0!</v>
          </cell>
          <cell r="BA344" t="e">
            <v>#DIV/0!</v>
          </cell>
          <cell r="BB344" t="e">
            <v>#DIV/0!</v>
          </cell>
          <cell r="BC344" t="e">
            <v>#DIV/0!</v>
          </cell>
          <cell r="BD344" t="e">
            <v>#DIV/0!</v>
          </cell>
          <cell r="BE344" t="e">
            <v>#DIV/0!</v>
          </cell>
        </row>
        <row r="345">
          <cell r="H345" t="e">
            <v>#DIV/0!</v>
          </cell>
          <cell r="I345" t="e">
            <v>#DIV/0!</v>
          </cell>
          <cell r="J345" t="e">
            <v>#DIV/0!</v>
          </cell>
          <cell r="K345" t="e">
            <v>#DIV/0!</v>
          </cell>
          <cell r="L345" t="e">
            <v>#DIV/0!</v>
          </cell>
          <cell r="M345" t="e">
            <v>#DIV/0!</v>
          </cell>
          <cell r="N345" t="e">
            <v>#DIV/0!</v>
          </cell>
          <cell r="O345" t="e">
            <v>#DIV/0!</v>
          </cell>
          <cell r="P345" t="e">
            <v>#DIV/0!</v>
          </cell>
          <cell r="Q345" t="e">
            <v>#DIV/0!</v>
          </cell>
          <cell r="R345" t="e">
            <v>#DIV/0!</v>
          </cell>
          <cell r="S345" t="e">
            <v>#DIV/0!</v>
          </cell>
          <cell r="T345" t="e">
            <v>#VALUE!</v>
          </cell>
          <cell r="U345">
            <v>27.408945083978104</v>
          </cell>
          <cell r="V345">
            <v>13.313445437991476</v>
          </cell>
          <cell r="W345">
            <v>74.208841920757138</v>
          </cell>
          <cell r="X345">
            <v>4.7245960228152333</v>
          </cell>
          <cell r="Y345" t="e">
            <v>#DIV/0!</v>
          </cell>
          <cell r="Z345" t="e">
            <v>#N/A</v>
          </cell>
          <cell r="AA345">
            <v>8.4690040552465558</v>
          </cell>
          <cell r="AB345">
            <v>6.8702200116394607</v>
          </cell>
          <cell r="AC345">
            <v>5.3781318159145979</v>
          </cell>
          <cell r="AD345" t="e">
            <v>#N/A</v>
          </cell>
          <cell r="AE345">
            <v>3.5168914285714279</v>
          </cell>
          <cell r="AF345">
            <v>8.3389177910696883</v>
          </cell>
          <cell r="AG345">
            <v>6.1387948293986812</v>
          </cell>
          <cell r="AH345" t="e">
            <v>#DIV/0!</v>
          </cell>
          <cell r="AI345" t="e">
            <v>#DIV/0!</v>
          </cell>
          <cell r="AJ345" t="e">
            <v>#VALUE!</v>
          </cell>
          <cell r="AK345">
            <v>3.6738530399104801</v>
          </cell>
          <cell r="AL345">
            <v>8.1037081700331601</v>
          </cell>
          <cell r="AM345">
            <v>7.4156834814035939</v>
          </cell>
          <cell r="AN345">
            <v>0.68241758241758177</v>
          </cell>
          <cell r="AO345" t="e">
            <v>#N/A</v>
          </cell>
          <cell r="AP345" t="e">
            <v>#DIV/0!</v>
          </cell>
          <cell r="AQ345" t="e">
            <v>#VALUE!</v>
          </cell>
          <cell r="AR345" t="e">
            <v>#DIV/0!</v>
          </cell>
          <cell r="AS345">
            <v>6.138794829398682</v>
          </cell>
          <cell r="AT345" t="e">
            <v>#N/A</v>
          </cell>
          <cell r="AU345" t="e">
            <v>#DIV/0!</v>
          </cell>
          <cell r="AV345">
            <v>9.5786474130330621</v>
          </cell>
          <cell r="AW345" t="e">
            <v>#VALUE!</v>
          </cell>
          <cell r="AX345" t="e">
            <v>#VALUE!</v>
          </cell>
          <cell r="AY345" t="e">
            <v>#VALUE!</v>
          </cell>
          <cell r="AZ345" t="e">
            <v>#VALUE!</v>
          </cell>
          <cell r="BA345" t="e">
            <v>#VALUE!</v>
          </cell>
          <cell r="BB345" t="e">
            <v>#VALUE!</v>
          </cell>
          <cell r="BC345" t="e">
            <v>#VALUE!</v>
          </cell>
          <cell r="BD345" t="e">
            <v>#VALUE!</v>
          </cell>
          <cell r="BE345" t="e">
            <v>#VALUE!</v>
          </cell>
        </row>
        <row r="346">
          <cell r="H346" t="e">
            <v>#DIV/0!</v>
          </cell>
          <cell r="I346" t="e">
            <v>#DIV/0!</v>
          </cell>
          <cell r="J346" t="e">
            <v>#DIV/0!</v>
          </cell>
          <cell r="K346" t="e">
            <v>#DIV/0!</v>
          </cell>
          <cell r="L346" t="e">
            <v>#DIV/0!</v>
          </cell>
          <cell r="M346" t="e">
            <v>#DIV/0!</v>
          </cell>
          <cell r="N346" t="e">
            <v>#DIV/0!</v>
          </cell>
          <cell r="O346" t="e">
            <v>#DIV/0!</v>
          </cell>
          <cell r="P346" t="e">
            <v>#DIV/0!</v>
          </cell>
          <cell r="Q346" t="e">
            <v>#DIV/0!</v>
          </cell>
          <cell r="R346" t="e">
            <v>#DIV/0!</v>
          </cell>
          <cell r="S346" t="e">
            <v>#DIV/0!</v>
          </cell>
          <cell r="T346" t="e">
            <v>#VALUE!</v>
          </cell>
          <cell r="U346">
            <v>3.3068320810763586E-2</v>
          </cell>
          <cell r="V346">
            <v>0.47698989924722007</v>
          </cell>
          <cell r="W346">
            <v>1.1277874807805904E-2</v>
          </cell>
          <cell r="X346">
            <v>1.0053782918395942</v>
          </cell>
          <cell r="Y346">
            <v>0</v>
          </cell>
          <cell r="Z346" t="e">
            <v>#N/A</v>
          </cell>
          <cell r="AA346">
            <v>0.48502187288828819</v>
          </cell>
          <cell r="AB346">
            <v>0.36984786218335464</v>
          </cell>
          <cell r="AC346">
            <v>0.63947481761564662</v>
          </cell>
          <cell r="AD346" t="e">
            <v>#N/A</v>
          </cell>
          <cell r="AE346">
            <v>0.3848782860908066</v>
          </cell>
          <cell r="AF346">
            <v>0.3629360002827155</v>
          </cell>
          <cell r="AG346">
            <v>0.88126700666416846</v>
          </cell>
          <cell r="AH346" t="e">
            <v>#DIV/0!</v>
          </cell>
          <cell r="AI346" t="e">
            <v>#DIV/0!</v>
          </cell>
          <cell r="AJ346" t="e">
            <v>#VALUE!</v>
          </cell>
          <cell r="AK346">
            <v>21.090308370044053</v>
          </cell>
          <cell r="AL346">
            <v>0.33343385605146769</v>
          </cell>
          <cell r="AM346">
            <v>0.55622296303024366</v>
          </cell>
          <cell r="AN346">
            <v>0.13773922256804186</v>
          </cell>
          <cell r="AO346" t="e">
            <v>#N/A</v>
          </cell>
          <cell r="AP346" t="e">
            <v>#DIV/0!</v>
          </cell>
          <cell r="AQ346" t="e">
            <v>#VALUE!</v>
          </cell>
          <cell r="AR346">
            <v>0</v>
          </cell>
          <cell r="AS346">
            <v>0.88126700666416846</v>
          </cell>
          <cell r="AT346" t="e">
            <v>#N/A</v>
          </cell>
          <cell r="AU346" t="e">
            <v>#DIV/0!</v>
          </cell>
          <cell r="AV346">
            <v>0.43445707843453052</v>
          </cell>
          <cell r="AW346" t="e">
            <v>#VALUE!</v>
          </cell>
          <cell r="AX346" t="e">
            <v>#VALUE!</v>
          </cell>
          <cell r="AY346" t="e">
            <v>#VALUE!</v>
          </cell>
          <cell r="AZ346" t="e">
            <v>#VALUE!</v>
          </cell>
          <cell r="BA346" t="e">
            <v>#VALUE!</v>
          </cell>
          <cell r="BB346" t="e">
            <v>#VALUE!</v>
          </cell>
          <cell r="BC346" t="e">
            <v>#VALUE!</v>
          </cell>
          <cell r="BD346" t="e">
            <v>#VALUE!</v>
          </cell>
          <cell r="BE346" t="e">
            <v>#VALUE!</v>
          </cell>
        </row>
        <row r="347">
          <cell r="H347" t="e">
            <v>#DIV/0!</v>
          </cell>
          <cell r="I347" t="e">
            <v>#DIV/0!</v>
          </cell>
          <cell r="J347" t="e">
            <v>#DIV/0!</v>
          </cell>
          <cell r="K347" t="e">
            <v>#DIV/0!</v>
          </cell>
          <cell r="L347" t="e">
            <v>#DIV/0!</v>
          </cell>
          <cell r="M347" t="e">
            <v>#DIV/0!</v>
          </cell>
          <cell r="N347" t="e">
            <v>#DIV/0!</v>
          </cell>
          <cell r="O347" t="e">
            <v>#DIV/0!</v>
          </cell>
          <cell r="P347" t="e">
            <v>#DIV/0!</v>
          </cell>
          <cell r="Q347" t="e">
            <v>#DIV/0!</v>
          </cell>
          <cell r="R347" t="e">
            <v>#DIV/0!</v>
          </cell>
          <cell r="S347" t="e">
            <v>#DIV/0!</v>
          </cell>
          <cell r="T347" t="e">
            <v>#VALUE!</v>
          </cell>
          <cell r="U347">
            <v>3.7433088971579043E-2</v>
          </cell>
          <cell r="V347">
            <v>0.47698989924722007</v>
          </cell>
          <cell r="W347">
            <v>3.3339900235620445E-2</v>
          </cell>
          <cell r="X347">
            <v>1.0871996220610349</v>
          </cell>
          <cell r="Y347">
            <v>0</v>
          </cell>
          <cell r="Z347" t="e">
            <v>#N/A</v>
          </cell>
          <cell r="AA347">
            <v>0.55246070855053886</v>
          </cell>
          <cell r="AB347">
            <v>1.0124909590921907</v>
          </cell>
          <cell r="AC347">
            <v>1.3435201376745218</v>
          </cell>
          <cell r="AD347" t="e">
            <v>#N/A</v>
          </cell>
          <cell r="AE347">
            <v>0.5047323707077559</v>
          </cell>
          <cell r="AF347">
            <v>0.61969159029636589</v>
          </cell>
          <cell r="AG347">
            <v>2.1141382949614984</v>
          </cell>
          <cell r="AH347" t="e">
            <v>#DIV/0!</v>
          </cell>
          <cell r="AI347" t="e">
            <v>#DIV/0!</v>
          </cell>
          <cell r="AJ347" t="e">
            <v>#VALUE!</v>
          </cell>
          <cell r="AK347">
            <v>21.090308370044053</v>
          </cell>
          <cell r="AL347">
            <v>0.44154547572298591</v>
          </cell>
          <cell r="AM347">
            <v>0.66090951676104215</v>
          </cell>
          <cell r="AN347">
            <v>0.22972256582435063</v>
          </cell>
          <cell r="AO347" t="e">
            <v>#N/A</v>
          </cell>
          <cell r="AP347" t="e">
            <v>#DIV/0!</v>
          </cell>
          <cell r="AQ347" t="e">
            <v>#VALUE!</v>
          </cell>
          <cell r="AR347">
            <v>0</v>
          </cell>
          <cell r="AS347">
            <v>2.1141382949614984</v>
          </cell>
          <cell r="AT347" t="e">
            <v>#N/A</v>
          </cell>
          <cell r="AU347" t="e">
            <v>#DIV/0!</v>
          </cell>
          <cell r="AV347">
            <v>0.55786835927749412</v>
          </cell>
          <cell r="AW347" t="e">
            <v>#VALUE!</v>
          </cell>
          <cell r="AX347" t="e">
            <v>#VALUE!</v>
          </cell>
          <cell r="AY347" t="e">
            <v>#VALUE!</v>
          </cell>
          <cell r="AZ347" t="e">
            <v>#VALUE!</v>
          </cell>
          <cell r="BA347" t="e">
            <v>#VALUE!</v>
          </cell>
          <cell r="BB347" t="e">
            <v>#VALUE!</v>
          </cell>
          <cell r="BC347" t="e">
            <v>#VALUE!</v>
          </cell>
          <cell r="BD347" t="e">
            <v>#VALUE!</v>
          </cell>
          <cell r="BE347" t="e">
            <v>#VALUE!</v>
          </cell>
        </row>
        <row r="348">
          <cell r="H348" t="e">
            <v>#DIV/0!</v>
          </cell>
          <cell r="I348" t="e">
            <v>#DIV/0!</v>
          </cell>
          <cell r="J348" t="e">
            <v>#DIV/0!</v>
          </cell>
          <cell r="K348" t="e">
            <v>#DIV/0!</v>
          </cell>
          <cell r="L348" t="e">
            <v>#DIV/0!</v>
          </cell>
          <cell r="M348" t="e">
            <v>#DIV/0!</v>
          </cell>
          <cell r="N348" t="e">
            <v>#DIV/0!</v>
          </cell>
          <cell r="O348" t="e">
            <v>#DIV/0!</v>
          </cell>
          <cell r="P348" t="e">
            <v>#DIV/0!</v>
          </cell>
          <cell r="Q348" t="e">
            <v>#DIV/0!</v>
          </cell>
          <cell r="R348" t="e">
            <v>#DIV/0!</v>
          </cell>
          <cell r="S348" t="e">
            <v>#DIV/0!</v>
          </cell>
          <cell r="T348" t="e">
            <v>#VALUE!</v>
          </cell>
          <cell r="U348">
            <v>3.2009810139963631E-2</v>
          </cell>
          <cell r="V348">
            <v>0.32294729942996109</v>
          </cell>
          <cell r="W348">
            <v>1.1152102788711038E-2</v>
          </cell>
          <cell r="X348">
            <v>0.50134096690421948</v>
          </cell>
          <cell r="Y348">
            <v>0</v>
          </cell>
          <cell r="Z348" t="e">
            <v>#N/A</v>
          </cell>
          <cell r="AA348">
            <v>0.3266092451183541</v>
          </cell>
          <cell r="AB348">
            <v>0.26999192566820268</v>
          </cell>
          <cell r="AC348">
            <v>0.39004857576626906</v>
          </cell>
          <cell r="AD348" t="e">
            <v>#N/A</v>
          </cell>
          <cell r="AE348">
            <v>0.27791488245312129</v>
          </cell>
          <cell r="AF348">
            <v>0.26628983327715405</v>
          </cell>
          <cell r="AG348">
            <v>0.4684433435245412</v>
          </cell>
          <cell r="AH348" t="e">
            <v>#DIV/0!</v>
          </cell>
          <cell r="AI348" t="e">
            <v>#DIV/0!</v>
          </cell>
          <cell r="AJ348" t="e">
            <v>#VALUE!</v>
          </cell>
          <cell r="AK348">
            <v>0.95473127929005885</v>
          </cell>
          <cell r="AL348">
            <v>0.25005653976630232</v>
          </cell>
          <cell r="AM348">
            <v>0.35741855520958149</v>
          </cell>
          <cell r="AN348">
            <v>0.12106396600896339</v>
          </cell>
          <cell r="AO348" t="e">
            <v>#N/A</v>
          </cell>
          <cell r="AP348" t="e">
            <v>#DIV/0!</v>
          </cell>
          <cell r="AQ348" t="e">
            <v>#VALUE!</v>
          </cell>
          <cell r="AR348">
            <v>0</v>
          </cell>
          <cell r="AS348">
            <v>0.4684433435245412</v>
          </cell>
          <cell r="AT348" t="e">
            <v>#N/A</v>
          </cell>
          <cell r="AU348" t="e">
            <v>#DIV/0!</v>
          </cell>
          <cell r="AV348">
            <v>0.30287213536473856</v>
          </cell>
          <cell r="AW348" t="e">
            <v>#VALUE!</v>
          </cell>
          <cell r="AX348" t="e">
            <v>#VALUE!</v>
          </cell>
          <cell r="AY348" t="e">
            <v>#VALUE!</v>
          </cell>
          <cell r="AZ348" t="e">
            <v>#VALUE!</v>
          </cell>
          <cell r="BA348" t="e">
            <v>#VALUE!</v>
          </cell>
          <cell r="BB348" t="e">
            <v>#VALUE!</v>
          </cell>
          <cell r="BC348" t="e">
            <v>#VALUE!</v>
          </cell>
          <cell r="BD348" t="e">
            <v>#VALUE!</v>
          </cell>
          <cell r="BE348" t="e">
            <v>#VALUE!</v>
          </cell>
        </row>
        <row r="349">
          <cell r="H349" t="e">
            <v>#DIV/0!</v>
          </cell>
          <cell r="I349" t="e">
            <v>#DIV/0!</v>
          </cell>
          <cell r="J349" t="e">
            <v>#DIV/0!</v>
          </cell>
          <cell r="K349" t="e">
            <v>#DIV/0!</v>
          </cell>
          <cell r="L349" t="e">
            <v>#DIV/0!</v>
          </cell>
          <cell r="M349" t="e">
            <v>#DIV/0!</v>
          </cell>
          <cell r="N349" t="e">
            <v>#DIV/0!</v>
          </cell>
          <cell r="O349" t="e">
            <v>#DIV/0!</v>
          </cell>
          <cell r="P349" t="e">
            <v>#DIV/0!</v>
          </cell>
          <cell r="Q349" t="e">
            <v>#DIV/0!</v>
          </cell>
          <cell r="R349" t="e">
            <v>#DIV/0!</v>
          </cell>
          <cell r="S349" t="e">
            <v>#DIV/0!</v>
          </cell>
          <cell r="T349" t="e">
            <v>#VALUE!</v>
          </cell>
          <cell r="U349" t="e">
            <v>#DIV/0!</v>
          </cell>
          <cell r="V349" t="e">
            <v>#DIV/0!</v>
          </cell>
          <cell r="W349" t="e">
            <v>#DIV/0!</v>
          </cell>
          <cell r="X349" t="e">
            <v>#DIV/0!</v>
          </cell>
          <cell r="Y349" t="e">
            <v>#DIV/0!</v>
          </cell>
          <cell r="Z349" t="e">
            <v>#N/A</v>
          </cell>
          <cell r="AA349" t="e">
            <v>#DIV/0!</v>
          </cell>
          <cell r="AB349" t="e">
            <v>#DIV/0!</v>
          </cell>
          <cell r="AC349" t="e">
            <v>#DIV/0!</v>
          </cell>
          <cell r="AD349" t="e">
            <v>#N/A</v>
          </cell>
          <cell r="AE349" t="e">
            <v>#DIV/0!</v>
          </cell>
          <cell r="AF349" t="e">
            <v>#DIV/0!</v>
          </cell>
          <cell r="AG349" t="e">
            <v>#DIV/0!</v>
          </cell>
          <cell r="AH349" t="e">
            <v>#DIV/0!</v>
          </cell>
          <cell r="AI349" t="e">
            <v>#DIV/0!</v>
          </cell>
          <cell r="AJ349" t="e">
            <v>#VALUE!</v>
          </cell>
          <cell r="AK349" t="e">
            <v>#DIV/0!</v>
          </cell>
          <cell r="AL349" t="e">
            <v>#DIV/0!</v>
          </cell>
          <cell r="AM349" t="e">
            <v>#DIV/0!</v>
          </cell>
          <cell r="AN349" t="e">
            <v>#DIV/0!</v>
          </cell>
          <cell r="AO349" t="e">
            <v>#N/A</v>
          </cell>
          <cell r="AP349" t="e">
            <v>#DIV/0!</v>
          </cell>
          <cell r="AQ349" t="e">
            <v>#VALUE!</v>
          </cell>
          <cell r="AR349" t="e">
            <v>#DIV/0!</v>
          </cell>
          <cell r="AS349" t="e">
            <v>#DIV/0!</v>
          </cell>
          <cell r="AT349" t="e">
            <v>#N/A</v>
          </cell>
          <cell r="AU349" t="e">
            <v>#DIV/0!</v>
          </cell>
          <cell r="AV349" t="e">
            <v>#DIV/0!</v>
          </cell>
          <cell r="AW349" t="e">
            <v>#VALUE!</v>
          </cell>
          <cell r="AX349" t="e">
            <v>#VALUE!</v>
          </cell>
          <cell r="AY349" t="e">
            <v>#VALUE!</v>
          </cell>
          <cell r="AZ349" t="e">
            <v>#VALUE!</v>
          </cell>
          <cell r="BA349" t="e">
            <v>#VALUE!</v>
          </cell>
          <cell r="BB349" t="e">
            <v>#VALUE!</v>
          </cell>
          <cell r="BC349" t="e">
            <v>#VALUE!</v>
          </cell>
          <cell r="BD349" t="e">
            <v>#VALUE!</v>
          </cell>
          <cell r="BE349" t="e">
            <v>#VALUE!</v>
          </cell>
        </row>
        <row r="350">
          <cell r="H350" t="e">
            <v>#DIV/0!</v>
          </cell>
          <cell r="I350" t="e">
            <v>#DIV/0!</v>
          </cell>
          <cell r="J350" t="e">
            <v>#DIV/0!</v>
          </cell>
          <cell r="K350" t="e">
            <v>#DIV/0!</v>
          </cell>
          <cell r="L350" t="e">
            <v>#DIV/0!</v>
          </cell>
          <cell r="M350" t="e">
            <v>#DIV/0!</v>
          </cell>
          <cell r="N350" t="e">
            <v>#DIV/0!</v>
          </cell>
          <cell r="O350" t="e">
            <v>#DIV/0!</v>
          </cell>
          <cell r="P350" t="e">
            <v>#DIV/0!</v>
          </cell>
          <cell r="Q350" t="e">
            <v>#DIV/0!</v>
          </cell>
          <cell r="R350" t="e">
            <v>#DIV/0!</v>
          </cell>
          <cell r="S350" t="e">
            <v>#DIV/0!</v>
          </cell>
          <cell r="T350" t="e">
            <v>#VALUE!</v>
          </cell>
          <cell r="U350" t="e">
            <v>#DIV/0!</v>
          </cell>
          <cell r="V350" t="e">
            <v>#DIV/0!</v>
          </cell>
          <cell r="W350" t="e">
            <v>#DIV/0!</v>
          </cell>
          <cell r="X350" t="e">
            <v>#DIV/0!</v>
          </cell>
          <cell r="Y350">
            <v>0</v>
          </cell>
          <cell r="Z350" t="e">
            <v>#N/A</v>
          </cell>
          <cell r="AA350" t="e">
            <v>#DIV/0!</v>
          </cell>
          <cell r="AB350" t="e">
            <v>#DIV/0!</v>
          </cell>
          <cell r="AC350" t="e">
            <v>#DIV/0!</v>
          </cell>
          <cell r="AD350" t="e">
            <v>#N/A</v>
          </cell>
          <cell r="AE350" t="e">
            <v>#DIV/0!</v>
          </cell>
          <cell r="AF350" t="e">
            <v>#DIV/0!</v>
          </cell>
          <cell r="AG350" t="e">
            <v>#DIV/0!</v>
          </cell>
          <cell r="AH350" t="e">
            <v>#DIV/0!</v>
          </cell>
          <cell r="AI350" t="e">
            <v>#DIV/0!</v>
          </cell>
          <cell r="AJ350" t="e">
            <v>#VALUE!</v>
          </cell>
          <cell r="AK350" t="e">
            <v>#DIV/0!</v>
          </cell>
          <cell r="AL350" t="e">
            <v>#DIV/0!</v>
          </cell>
          <cell r="AM350" t="e">
            <v>#DIV/0!</v>
          </cell>
          <cell r="AN350" t="e">
            <v>#DIV/0!</v>
          </cell>
          <cell r="AO350" t="e">
            <v>#N/A</v>
          </cell>
          <cell r="AP350" t="e">
            <v>#DIV/0!</v>
          </cell>
          <cell r="AQ350" t="e">
            <v>#VALUE!</v>
          </cell>
          <cell r="AR350" t="e">
            <v>#DIV/0!</v>
          </cell>
          <cell r="AS350" t="e">
            <v>#DIV/0!</v>
          </cell>
          <cell r="AT350" t="e">
            <v>#N/A</v>
          </cell>
          <cell r="AU350" t="e">
            <v>#DIV/0!</v>
          </cell>
          <cell r="AV350" t="e">
            <v>#DIV/0!</v>
          </cell>
          <cell r="AW350" t="e">
            <v>#VALUE!</v>
          </cell>
          <cell r="AX350" t="e">
            <v>#VALUE!</v>
          </cell>
          <cell r="AY350" t="e">
            <v>#VALUE!</v>
          </cell>
          <cell r="AZ350" t="e">
            <v>#VALUE!</v>
          </cell>
          <cell r="BA350" t="e">
            <v>#VALUE!</v>
          </cell>
          <cell r="BB350" t="e">
            <v>#VALUE!</v>
          </cell>
          <cell r="BC350" t="e">
            <v>#VALUE!</v>
          </cell>
          <cell r="BD350" t="e">
            <v>#VALUE!</v>
          </cell>
          <cell r="BE350" t="e">
            <v>#VALUE!</v>
          </cell>
        </row>
        <row r="351">
          <cell r="H351" t="e">
            <v>#DIV/0!</v>
          </cell>
          <cell r="I351" t="e">
            <v>#DIV/0!</v>
          </cell>
          <cell r="J351" t="e">
            <v>#DIV/0!</v>
          </cell>
          <cell r="K351" t="e">
            <v>#DIV/0!</v>
          </cell>
          <cell r="L351" t="e">
            <v>#DIV/0!</v>
          </cell>
          <cell r="M351" t="e">
            <v>#DIV/0!</v>
          </cell>
          <cell r="N351" t="e">
            <v>#DIV/0!</v>
          </cell>
          <cell r="O351" t="e">
            <v>#DIV/0!</v>
          </cell>
          <cell r="P351" t="e">
            <v>#DIV/0!</v>
          </cell>
          <cell r="Q351" t="e">
            <v>#DIV/0!</v>
          </cell>
          <cell r="R351" t="e">
            <v>#DIV/0!</v>
          </cell>
          <cell r="S351" t="e">
            <v>#DIV/0!</v>
          </cell>
          <cell r="T351" t="e">
            <v>#VALUE!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 t="e">
            <v>#DIV/0!</v>
          </cell>
          <cell r="Z351" t="e">
            <v>#N/A</v>
          </cell>
          <cell r="AA351">
            <v>0</v>
          </cell>
          <cell r="AB351">
            <v>0</v>
          </cell>
          <cell r="AC351">
            <v>0</v>
          </cell>
          <cell r="AD351" t="e">
            <v>#N/A</v>
          </cell>
          <cell r="AE351">
            <v>0</v>
          </cell>
          <cell r="AF351">
            <v>0</v>
          </cell>
          <cell r="AG351">
            <v>0</v>
          </cell>
          <cell r="AH351" t="e">
            <v>#DIV/0!</v>
          </cell>
          <cell r="AI351" t="e">
            <v>#DIV/0!</v>
          </cell>
          <cell r="AJ351" t="e">
            <v>#VALUE!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 t="e">
            <v>#N/A</v>
          </cell>
          <cell r="AP351" t="e">
            <v>#DIV/0!</v>
          </cell>
          <cell r="AQ351" t="e">
            <v>#VALUE!</v>
          </cell>
          <cell r="AR351" t="e">
            <v>#DIV/0!</v>
          </cell>
          <cell r="AS351">
            <v>0</v>
          </cell>
          <cell r="AT351" t="e">
            <v>#N/A</v>
          </cell>
          <cell r="AU351" t="e">
            <v>#DIV/0!</v>
          </cell>
          <cell r="AV351">
            <v>0</v>
          </cell>
          <cell r="AW351" t="e">
            <v>#VALUE!</v>
          </cell>
          <cell r="AX351" t="e">
            <v>#VALUE!</v>
          </cell>
          <cell r="AY351" t="e">
            <v>#VALUE!</v>
          </cell>
          <cell r="AZ351" t="e">
            <v>#VALUE!</v>
          </cell>
          <cell r="BA351" t="e">
            <v>#VALUE!</v>
          </cell>
          <cell r="BB351" t="e">
            <v>#VALUE!</v>
          </cell>
          <cell r="BC351" t="e">
            <v>#VALUE!</v>
          </cell>
          <cell r="BD351" t="e">
            <v>#VALUE!</v>
          </cell>
          <cell r="BE351" t="e">
            <v>#VALUE!</v>
          </cell>
        </row>
        <row r="352">
          <cell r="H352" t="e">
            <v>#DIV/0!</v>
          </cell>
          <cell r="I352" t="e">
            <v>#DIV/0!</v>
          </cell>
          <cell r="J352" t="e">
            <v>#DIV/0!</v>
          </cell>
          <cell r="K352" t="e">
            <v>#DIV/0!</v>
          </cell>
          <cell r="L352" t="e">
            <v>#DIV/0!</v>
          </cell>
          <cell r="M352" t="e">
            <v>#DIV/0!</v>
          </cell>
          <cell r="N352" t="e">
            <v>#DIV/0!</v>
          </cell>
          <cell r="O352" t="e">
            <v>#DIV/0!</v>
          </cell>
          <cell r="P352" t="e">
            <v>#DIV/0!</v>
          </cell>
          <cell r="Q352" t="e">
            <v>#DIV/0!</v>
          </cell>
          <cell r="R352" t="e">
            <v>#DIV/0!</v>
          </cell>
          <cell r="S352" t="e">
            <v>#DIV/0!</v>
          </cell>
          <cell r="T352" t="e">
            <v>#VALUE!</v>
          </cell>
          <cell r="U352" t="e">
            <v>#DIV/0!</v>
          </cell>
          <cell r="V352" t="e">
            <v>#DIV/0!</v>
          </cell>
          <cell r="W352" t="e">
            <v>#DIV/0!</v>
          </cell>
          <cell r="X352" t="e">
            <v>#DIV/0!</v>
          </cell>
          <cell r="Y352">
            <v>0</v>
          </cell>
          <cell r="Z352" t="e">
            <v>#N/A</v>
          </cell>
          <cell r="AA352" t="e">
            <v>#DIV/0!</v>
          </cell>
          <cell r="AB352" t="e">
            <v>#DIV/0!</v>
          </cell>
          <cell r="AC352" t="e">
            <v>#DIV/0!</v>
          </cell>
          <cell r="AD352" t="e">
            <v>#N/A</v>
          </cell>
          <cell r="AE352" t="e">
            <v>#DIV/0!</v>
          </cell>
          <cell r="AF352" t="e">
            <v>#DIV/0!</v>
          </cell>
          <cell r="AG352" t="e">
            <v>#DIV/0!</v>
          </cell>
          <cell r="AH352" t="e">
            <v>#DIV/0!</v>
          </cell>
          <cell r="AI352" t="e">
            <v>#DIV/0!</v>
          </cell>
          <cell r="AJ352" t="e">
            <v>#VALUE!</v>
          </cell>
          <cell r="AK352" t="e">
            <v>#DIV/0!</v>
          </cell>
          <cell r="AL352" t="e">
            <v>#DIV/0!</v>
          </cell>
          <cell r="AM352" t="e">
            <v>#DIV/0!</v>
          </cell>
          <cell r="AN352" t="e">
            <v>#DIV/0!</v>
          </cell>
          <cell r="AO352" t="e">
            <v>#N/A</v>
          </cell>
          <cell r="AP352" t="e">
            <v>#DIV/0!</v>
          </cell>
          <cell r="AQ352" t="e">
            <v>#VALUE!</v>
          </cell>
          <cell r="AR352" t="e">
            <v>#DIV/0!</v>
          </cell>
          <cell r="AS352" t="e">
            <v>#DIV/0!</v>
          </cell>
          <cell r="AT352" t="e">
            <v>#N/A</v>
          </cell>
          <cell r="AU352" t="e">
            <v>#DIV/0!</v>
          </cell>
          <cell r="AV352" t="e">
            <v>#DIV/0!</v>
          </cell>
          <cell r="AW352" t="e">
            <v>#VALUE!</v>
          </cell>
          <cell r="AX352" t="e">
            <v>#VALUE!</v>
          </cell>
          <cell r="AY352" t="e">
            <v>#VALUE!</v>
          </cell>
          <cell r="AZ352" t="e">
            <v>#VALUE!</v>
          </cell>
          <cell r="BA352" t="e">
            <v>#VALUE!</v>
          </cell>
          <cell r="BB352" t="e">
            <v>#VALUE!</v>
          </cell>
          <cell r="BC352" t="e">
            <v>#VALUE!</v>
          </cell>
          <cell r="BD352" t="e">
            <v>#VALUE!</v>
          </cell>
          <cell r="BE352" t="e">
            <v>#VALUE!</v>
          </cell>
        </row>
        <row r="355">
          <cell r="H355" t="str">
            <v>NA</v>
          </cell>
          <cell r="I355" t="str">
            <v>NA</v>
          </cell>
          <cell r="J355" t="str">
            <v>NA</v>
          </cell>
          <cell r="K355" t="str">
            <v>NA</v>
          </cell>
          <cell r="L355" t="str">
            <v>NA</v>
          </cell>
          <cell r="M355" t="str">
            <v>NA</v>
          </cell>
          <cell r="N355" t="str">
            <v>NA</v>
          </cell>
          <cell r="O355" t="str">
            <v>NA</v>
          </cell>
          <cell r="P355" t="str">
            <v>NA</v>
          </cell>
          <cell r="Q355" t="str">
            <v>NA</v>
          </cell>
          <cell r="R355" t="str">
            <v>NA</v>
          </cell>
          <cell r="S355" t="str">
            <v>NA</v>
          </cell>
          <cell r="T355" t="str">
            <v>NA</v>
          </cell>
          <cell r="U355">
            <v>0.20995586345605899</v>
          </cell>
          <cell r="V355">
            <v>0.10275023502492142</v>
          </cell>
          <cell r="W355">
            <v>0.10056437389770712</v>
          </cell>
          <cell r="X355">
            <v>6.3399138041506209E-2</v>
          </cell>
          <cell r="Y355">
            <v>0.58279376997374444</v>
          </cell>
          <cell r="Z355">
            <v>0.13959607886307257</v>
          </cell>
          <cell r="AA355">
            <v>0.20449890190537223</v>
          </cell>
          <cell r="AB355">
            <v>0.17130811424123071</v>
          </cell>
          <cell r="AC355">
            <v>4.5618858895758452E-2</v>
          </cell>
          <cell r="AD355" t="str">
            <v>NA</v>
          </cell>
          <cell r="AE355">
            <v>1.3168845155921094E-2</v>
          </cell>
          <cell r="AF355">
            <v>8.957475648052271E-2</v>
          </cell>
          <cell r="AG355">
            <v>0.18778939013096974</v>
          </cell>
          <cell r="AH355">
            <v>0.43624879304795638</v>
          </cell>
          <cell r="AI355">
            <v>-1.1964360020419562E-2</v>
          </cell>
          <cell r="AJ355">
            <v>0.17426680830826613</v>
          </cell>
          <cell r="AK355">
            <v>0.14263544018058694</v>
          </cell>
          <cell r="AL355">
            <v>0.20321891361665445</v>
          </cell>
          <cell r="AM355">
            <v>0.11318642402641155</v>
          </cell>
          <cell r="AN355">
            <v>0.48666539367322259</v>
          </cell>
          <cell r="AO355" t="str">
            <v>NA</v>
          </cell>
          <cell r="AP355">
            <v>0.12990297733669087</v>
          </cell>
          <cell r="AQ355">
            <v>0.12461481215605752</v>
          </cell>
          <cell r="AR355">
            <v>9.600139839123667E-2</v>
          </cell>
          <cell r="AS355">
            <v>0.18778939013096974</v>
          </cell>
          <cell r="AT355">
            <v>8.9152755768771463E-2</v>
          </cell>
          <cell r="AU355">
            <v>0.11680633237212357</v>
          </cell>
          <cell r="AV355">
            <v>0.11790497783355192</v>
          </cell>
          <cell r="AW355" t="str">
            <v>NA</v>
          </cell>
          <cell r="AX355" t="str">
            <v>NA</v>
          </cell>
          <cell r="AY355" t="str">
            <v>NA</v>
          </cell>
          <cell r="AZ355" t="str">
            <v>NA</v>
          </cell>
          <cell r="BA355" t="str">
            <v>NA</v>
          </cell>
          <cell r="BB355" t="str">
            <v>NA</v>
          </cell>
          <cell r="BC355" t="str">
            <v>NA</v>
          </cell>
          <cell r="BD355" t="str">
            <v>NA</v>
          </cell>
          <cell r="BE355" t="str">
            <v>NA</v>
          </cell>
        </row>
        <row r="356">
          <cell r="H356" t="str">
            <v>NA</v>
          </cell>
          <cell r="I356" t="str">
            <v>NA</v>
          </cell>
          <cell r="J356" t="str">
            <v>NA</v>
          </cell>
          <cell r="K356" t="str">
            <v>NA</v>
          </cell>
          <cell r="L356" t="str">
            <v>NA</v>
          </cell>
          <cell r="M356" t="str">
            <v>NA</v>
          </cell>
          <cell r="N356" t="str">
            <v>NA</v>
          </cell>
          <cell r="O356" t="str">
            <v>NA</v>
          </cell>
          <cell r="P356" t="str">
            <v>NA</v>
          </cell>
          <cell r="Q356" t="str">
            <v>NA</v>
          </cell>
          <cell r="R356" t="str">
            <v>NA</v>
          </cell>
          <cell r="S356" t="str">
            <v>NA</v>
          </cell>
          <cell r="T356" t="str">
            <v>NA</v>
          </cell>
          <cell r="U356" t="str">
            <v>NM</v>
          </cell>
          <cell r="V356">
            <v>0.15825544253408919</v>
          </cell>
          <cell r="W356">
            <v>0.10056437389770712</v>
          </cell>
          <cell r="X356">
            <v>9.0451419029002889E-3</v>
          </cell>
          <cell r="Y356">
            <v>8.5606160047799751E-2</v>
          </cell>
          <cell r="Z356">
            <v>0.64688017921677488</v>
          </cell>
          <cell r="AA356">
            <v>0.2096406524266361</v>
          </cell>
          <cell r="AB356">
            <v>-2.7622055860919703E-2</v>
          </cell>
          <cell r="AC356">
            <v>0.1512625224898354</v>
          </cell>
          <cell r="AD356" t="str">
            <v>NA</v>
          </cell>
          <cell r="AE356" t="str">
            <v>NM</v>
          </cell>
          <cell r="AF356">
            <v>0.21062712675200901</v>
          </cell>
          <cell r="AG356">
            <v>-5.9426053346557373E-3</v>
          </cell>
          <cell r="AH356" t="str">
            <v>NA</v>
          </cell>
          <cell r="AI356" t="str">
            <v>NA</v>
          </cell>
          <cell r="AJ356">
            <v>0.65257109552308123</v>
          </cell>
          <cell r="AK356">
            <v>0.5193474392623767</v>
          </cell>
          <cell r="AL356">
            <v>0.58974533339506641</v>
          </cell>
          <cell r="AM356">
            <v>9.7560975609756184E-2</v>
          </cell>
          <cell r="AN356" t="str">
            <v>NM</v>
          </cell>
          <cell r="AO356" t="str">
            <v>NA</v>
          </cell>
          <cell r="AP356">
            <v>0.16269030049301803</v>
          </cell>
          <cell r="AQ356">
            <v>0.21516485718497758</v>
          </cell>
          <cell r="AR356">
            <v>0.17410371280984438</v>
          </cell>
          <cell r="AS356">
            <v>-1.9477426139478782E-2</v>
          </cell>
          <cell r="AT356">
            <v>0.35565154787616993</v>
          </cell>
          <cell r="AU356" t="str">
            <v>NA</v>
          </cell>
          <cell r="AV356">
            <v>0.20532727299434717</v>
          </cell>
          <cell r="AW356" t="str">
            <v>NA</v>
          </cell>
          <cell r="AX356" t="str">
            <v>NA</v>
          </cell>
          <cell r="AY356" t="str">
            <v>NA</v>
          </cell>
          <cell r="AZ356" t="str">
            <v>NA</v>
          </cell>
          <cell r="BA356" t="str">
            <v>NA</v>
          </cell>
          <cell r="BB356" t="str">
            <v>NA</v>
          </cell>
          <cell r="BC356" t="str">
            <v>NA</v>
          </cell>
          <cell r="BD356" t="str">
            <v>NA</v>
          </cell>
          <cell r="BE356" t="str">
            <v>NA</v>
          </cell>
        </row>
        <row r="360">
          <cell r="H360">
            <v>0.10465116279069764</v>
          </cell>
          <cell r="I360">
            <v>-7.999999999999996E-2</v>
          </cell>
          <cell r="J360">
            <v>9.375E-2</v>
          </cell>
          <cell r="K360">
            <v>0.27064220183486221</v>
          </cell>
          <cell r="L360">
            <v>-1.5</v>
          </cell>
          <cell r="M360">
            <v>-8.7912087912087933E-2</v>
          </cell>
          <cell r="N360">
            <v>6.9306930693069368E-2</v>
          </cell>
          <cell r="O360">
            <v>0.1333333333333333</v>
          </cell>
          <cell r="P360">
            <v>-0.69724770642201839</v>
          </cell>
          <cell r="Q360">
            <v>4.39560439560438E-2</v>
          </cell>
          <cell r="R360">
            <v>5.6994818652849721E-2</v>
          </cell>
          <cell r="S360">
            <v>5.5118110236220597E-2</v>
          </cell>
          <cell r="T360" t="e">
            <v>#VALUE!</v>
          </cell>
          <cell r="U360">
            <v>2.5555555555555558</v>
          </cell>
          <cell r="V360">
            <v>0.75</v>
          </cell>
          <cell r="W360">
            <v>9.3023255813953432E-2</v>
          </cell>
          <cell r="X360">
            <v>0.14102564102564097</v>
          </cell>
          <cell r="Y360">
            <v>0.4027777777777779</v>
          </cell>
          <cell r="Z360" t="e">
            <v>#N/A</v>
          </cell>
          <cell r="AA360">
            <v>0.35586481113320079</v>
          </cell>
          <cell r="AB360">
            <v>0.35586481113320079</v>
          </cell>
          <cell r="AC360">
            <v>0.24271844660194164</v>
          </cell>
          <cell r="AD360" t="e">
            <v>#N/A</v>
          </cell>
          <cell r="AE360">
            <v>-0.35582822085889565</v>
          </cell>
          <cell r="AF360">
            <v>0.2736318407960201</v>
          </cell>
          <cell r="AG360">
            <v>0.30000000000000004</v>
          </cell>
          <cell r="AH360">
            <v>0.43577981651376141</v>
          </cell>
          <cell r="AI360">
            <v>-0.7303370786516854</v>
          </cell>
          <cell r="AJ360" t="e">
            <v>#VALUE!</v>
          </cell>
          <cell r="AK360">
            <v>0.34351145038167941</v>
          </cell>
          <cell r="AL360">
            <v>0.30347349177330907</v>
          </cell>
          <cell r="AM360">
            <v>0.21276595744680837</v>
          </cell>
          <cell r="AN360">
            <v>-0.48062015503875966</v>
          </cell>
          <cell r="AO360" t="e">
            <v>#N/A</v>
          </cell>
          <cell r="AP360">
            <v>0.25789473684210518</v>
          </cell>
          <cell r="AQ360" t="e">
            <v>#VALUE!</v>
          </cell>
          <cell r="AR360">
            <v>0.25789473684210518</v>
          </cell>
          <cell r="AS360">
            <v>0.30000000000000004</v>
          </cell>
          <cell r="AT360" t="e">
            <v>#N/A</v>
          </cell>
          <cell r="AU360">
            <v>0.59890109890109899</v>
          </cell>
          <cell r="AV360">
            <v>0.59890109890109899</v>
          </cell>
          <cell r="AW360" t="e">
            <v>#VALUE!</v>
          </cell>
          <cell r="AX360" t="e">
            <v>#VALUE!</v>
          </cell>
          <cell r="AY360" t="e">
            <v>#VALUE!</v>
          </cell>
          <cell r="AZ360" t="e">
            <v>#VALUE!</v>
          </cell>
          <cell r="BA360" t="e">
            <v>#VALUE!</v>
          </cell>
          <cell r="BB360" t="e">
            <v>#VALUE!</v>
          </cell>
          <cell r="BC360" t="e">
            <v>#VALUE!</v>
          </cell>
          <cell r="BD360" t="e">
            <v>#VALUE!</v>
          </cell>
          <cell r="BE360" t="e">
            <v>#VALUE!</v>
          </cell>
        </row>
        <row r="361">
          <cell r="H361">
            <v>0.12631578947368438</v>
          </cell>
          <cell r="I361">
            <v>0.47826086956521752</v>
          </cell>
          <cell r="J361">
            <v>0.1333333333333333</v>
          </cell>
          <cell r="K361">
            <v>0.12635379061371843</v>
          </cell>
          <cell r="L361">
            <v>3.5</v>
          </cell>
          <cell r="M361">
            <v>0.22891566265060259</v>
          </cell>
          <cell r="N361">
            <v>0.1064814814814814</v>
          </cell>
          <cell r="O361">
            <v>0.43137254901960786</v>
          </cell>
          <cell r="P361">
            <v>1.1212121212121211</v>
          </cell>
          <cell r="Q361">
            <v>0.16842105263157903</v>
          </cell>
          <cell r="R361">
            <v>0.16394558823529404</v>
          </cell>
          <cell r="S361">
            <v>0.15671641791044766</v>
          </cell>
          <cell r="T361">
            <v>0.15340909090909083</v>
          </cell>
          <cell r="U361">
            <v>1.03125</v>
          </cell>
          <cell r="V361">
            <v>0.48051948051948035</v>
          </cell>
          <cell r="W361">
            <v>0.13829787234042556</v>
          </cell>
          <cell r="X361">
            <v>0.15730337078651679</v>
          </cell>
          <cell r="Y361">
            <v>0.25742574257425743</v>
          </cell>
          <cell r="Z361" t="e">
            <v>#N/A</v>
          </cell>
          <cell r="AA361">
            <v>0.19648093841642233</v>
          </cell>
          <cell r="AB361">
            <v>0.19648093841642233</v>
          </cell>
          <cell r="AC361">
            <v>0.109375</v>
          </cell>
          <cell r="AD361" t="e">
            <v>#N/A</v>
          </cell>
          <cell r="AE361">
            <v>0.4095238095238094</v>
          </cell>
          <cell r="AF361">
            <v>0.15625</v>
          </cell>
          <cell r="AG361">
            <v>0.19780219780219777</v>
          </cell>
          <cell r="AH361">
            <v>0.41533546325878601</v>
          </cell>
          <cell r="AI361">
            <v>1</v>
          </cell>
          <cell r="AJ361" t="e">
            <v>#VALUE!</v>
          </cell>
          <cell r="AK361">
            <v>0.15340909090909083</v>
          </cell>
          <cell r="AL361">
            <v>0.21879382889200549</v>
          </cell>
          <cell r="AM361">
            <v>0.11403508771929838</v>
          </cell>
          <cell r="AN361">
            <v>0.49731343283582086</v>
          </cell>
          <cell r="AO361" t="e">
            <v>#N/A</v>
          </cell>
          <cell r="AP361">
            <v>0.19874476987447709</v>
          </cell>
          <cell r="AQ361" t="e">
            <v>#VALUE!</v>
          </cell>
          <cell r="AR361">
            <v>0.19874476987447709</v>
          </cell>
          <cell r="AS361">
            <v>0.19780219780219777</v>
          </cell>
          <cell r="AT361" t="e">
            <v>#N/A</v>
          </cell>
          <cell r="AU361">
            <v>0.20274914089347074</v>
          </cell>
          <cell r="AV361">
            <v>0.20274914089347074</v>
          </cell>
          <cell r="AW361" t="e">
            <v>#VALUE!</v>
          </cell>
          <cell r="AX361" t="e">
            <v>#VALUE!</v>
          </cell>
          <cell r="AY361" t="e">
            <v>#VALUE!</v>
          </cell>
          <cell r="AZ361" t="e">
            <v>#VALUE!</v>
          </cell>
          <cell r="BA361" t="e">
            <v>#VALUE!</v>
          </cell>
          <cell r="BB361" t="e">
            <v>#VALUE!</v>
          </cell>
          <cell r="BC361" t="e">
            <v>#VALUE!</v>
          </cell>
          <cell r="BD361" t="e">
            <v>#VALUE!</v>
          </cell>
          <cell r="BE361" t="e">
            <v>#VALUE!</v>
          </cell>
        </row>
        <row r="362">
          <cell r="H362">
            <v>-0.50345323741007197</v>
          </cell>
          <cell r="I362">
            <v>-0.68642659279778395</v>
          </cell>
          <cell r="J362">
            <v>-2.8714524207011705E-2</v>
          </cell>
          <cell r="K362">
            <v>0.63133640552995396</v>
          </cell>
          <cell r="L362">
            <v>-9.5238095238095122E-2</v>
          </cell>
          <cell r="M362">
            <v>-0.21292460646230327</v>
          </cell>
          <cell r="N362">
            <v>-0.34760869565217389</v>
          </cell>
          <cell r="O362">
            <v>-0.48140321217244297</v>
          </cell>
          <cell r="P362">
            <v>-0.81860006572461386</v>
          </cell>
          <cell r="Q362">
            <v>-0.18022705771050151</v>
          </cell>
          <cell r="R362">
            <v>0.18976545842217463</v>
          </cell>
          <cell r="S362">
            <v>-0.3235708251196846</v>
          </cell>
          <cell r="T362" t="e">
            <v>#VALUE!</v>
          </cell>
          <cell r="U362">
            <v>-0.20848845867460897</v>
          </cell>
          <cell r="V362">
            <v>0.51308139534883712</v>
          </cell>
          <cell r="W362">
            <v>-0.50345323741007197</v>
          </cell>
          <cell r="X362">
            <v>-0.41168478260869568</v>
          </cell>
          <cell r="Y362">
            <v>-8.5178236397748575E-2</v>
          </cell>
          <cell r="Z362" t="str">
            <v>NA</v>
          </cell>
          <cell r="AA362">
            <v>8.9791635436966111E-2</v>
          </cell>
          <cell r="AB362">
            <v>8.9791635436966111E-2</v>
          </cell>
          <cell r="AC362">
            <v>-0.27339901477832518</v>
          </cell>
          <cell r="AD362" t="str">
            <v>NA</v>
          </cell>
          <cell r="AE362">
            <v>-4.5066991473812545E-2</v>
          </cell>
          <cell r="AF362">
            <v>0.50169204737732653</v>
          </cell>
          <cell r="AG362">
            <v>-1.9562043795620543E-2</v>
          </cell>
          <cell r="AH362">
            <v>0.51308139534883712</v>
          </cell>
          <cell r="AI362">
            <v>-0.57641025641025645</v>
          </cell>
          <cell r="AJ362" t="e">
            <v>#VALUE!</v>
          </cell>
          <cell r="AK362">
            <v>0.14455445544554446</v>
          </cell>
          <cell r="AL362">
            <v>-0.20732618988288076</v>
          </cell>
          <cell r="AM362">
            <v>9.5517841601392428E-2</v>
          </cell>
          <cell r="AN362">
            <v>7.0815450643776812E-2</v>
          </cell>
          <cell r="AO362" t="str">
            <v>NA</v>
          </cell>
          <cell r="AP362">
            <v>0.35375886524822686</v>
          </cell>
          <cell r="AQ362" t="e">
            <v>#VALUE!</v>
          </cell>
          <cell r="AR362">
            <v>0.35375886524822686</v>
          </cell>
          <cell r="AS362">
            <v>-1.9562043795620543E-2</v>
          </cell>
          <cell r="AT362" t="str">
            <v>NA</v>
          </cell>
          <cell r="AU362">
            <v>-0.11770321876704848</v>
          </cell>
          <cell r="AV362">
            <v>-0.11770321876704848</v>
          </cell>
          <cell r="AW362" t="e">
            <v>#VALUE!</v>
          </cell>
          <cell r="AX362" t="e">
            <v>#VALUE!</v>
          </cell>
          <cell r="AY362" t="e">
            <v>#VALUE!</v>
          </cell>
          <cell r="AZ362" t="e">
            <v>#VALUE!</v>
          </cell>
          <cell r="BA362" t="e">
            <v>#VALUE!</v>
          </cell>
          <cell r="BB362" t="e">
            <v>#VALUE!</v>
          </cell>
          <cell r="BC362" t="e">
            <v>#VALUE!</v>
          </cell>
          <cell r="BD362" t="e">
            <v>#VALUE!</v>
          </cell>
          <cell r="BE362" t="e">
            <v>#VALUE!</v>
          </cell>
        </row>
        <row r="363">
          <cell r="H363">
            <v>2.8985507246370723E-4</v>
          </cell>
          <cell r="I363">
            <v>-0.17971014492753623</v>
          </cell>
          <cell r="J363">
            <v>8.788332086761419E-2</v>
          </cell>
          <cell r="K363">
            <v>9.2322883238706632E-2</v>
          </cell>
          <cell r="L363">
            <v>8.8004822182037534E-2</v>
          </cell>
          <cell r="M363">
            <v>0.1124121779859486</v>
          </cell>
          <cell r="N363">
            <v>9.6055514974433986E-2</v>
          </cell>
          <cell r="O363">
            <v>-0.11343930635838151</v>
          </cell>
          <cell r="P363">
            <v>-0.24487004103967169</v>
          </cell>
          <cell r="Q363">
            <v>4.5235223160434268E-2</v>
          </cell>
          <cell r="R363">
            <v>3.4930448222565635E-2</v>
          </cell>
          <cell r="S363">
            <v>0.11203703703703694</v>
          </cell>
          <cell r="T363" t="e">
            <v>#VALUE!</v>
          </cell>
          <cell r="U363">
            <v>-3.3636363636363575E-2</v>
          </cell>
          <cell r="V363">
            <v>0.15950100245043441</v>
          </cell>
          <cell r="W363">
            <v>2.8985507246370723E-4</v>
          </cell>
          <cell r="X363">
            <v>6.7488443759630146E-2</v>
          </cell>
          <cell r="Y363">
            <v>0.16372315035799523</v>
          </cell>
          <cell r="Z363" t="str">
            <v>NA</v>
          </cell>
          <cell r="AA363">
            <v>0.14236329352608434</v>
          </cell>
          <cell r="AB363">
            <v>0.14236329352608434</v>
          </cell>
          <cell r="AC363">
            <v>1.7241379310344751E-2</v>
          </cell>
          <cell r="AD363" t="str">
            <v>NA</v>
          </cell>
          <cell r="AE363">
            <v>9.3444909344490901E-2</v>
          </cell>
          <cell r="AF363">
            <v>0.24068033550792167</v>
          </cell>
          <cell r="AG363">
            <v>0.16395147313691494</v>
          </cell>
          <cell r="AH363">
            <v>0.15950100245043441</v>
          </cell>
          <cell r="AI363">
            <v>0</v>
          </cell>
          <cell r="AJ363" t="e">
            <v>#VALUE!</v>
          </cell>
          <cell r="AK363">
            <v>8.0373831775700788E-2</v>
          </cell>
          <cell r="AL363">
            <v>2.1515735388567769E-2</v>
          </cell>
          <cell r="AM363">
            <v>4.2011589403973426E-2</v>
          </cell>
          <cell r="AN363">
            <v>7.3118279569892364E-2</v>
          </cell>
          <cell r="AO363" t="str">
            <v>NA</v>
          </cell>
          <cell r="AP363">
            <v>5.5985837574684671E-2</v>
          </cell>
          <cell r="AQ363" t="e">
            <v>#VALUE!</v>
          </cell>
          <cell r="AR363">
            <v>5.5985837574684671E-2</v>
          </cell>
          <cell r="AS363">
            <v>0.16395147313691494</v>
          </cell>
          <cell r="AT363" t="str">
            <v>NA</v>
          </cell>
          <cell r="AU363">
            <v>0.16119188655537608</v>
          </cell>
          <cell r="AV363">
            <v>0.16119188655537608</v>
          </cell>
          <cell r="AW363" t="e">
            <v>#VALUE!</v>
          </cell>
          <cell r="AX363" t="e">
            <v>#VALUE!</v>
          </cell>
          <cell r="AY363" t="e">
            <v>#VALUE!</v>
          </cell>
          <cell r="AZ363" t="e">
            <v>#VALUE!</v>
          </cell>
          <cell r="BA363" t="e">
            <v>#VALUE!</v>
          </cell>
          <cell r="BB363" t="e">
            <v>#VALUE!</v>
          </cell>
          <cell r="BC363" t="e">
            <v>#VALUE!</v>
          </cell>
          <cell r="BD363" t="e">
            <v>#VALUE!</v>
          </cell>
          <cell r="BE363" t="e">
            <v>#VALUE!</v>
          </cell>
        </row>
        <row r="364">
          <cell r="H364">
            <v>7.4408468244084647E-2</v>
          </cell>
          <cell r="I364">
            <v>-0.59015206372194062</v>
          </cell>
          <cell r="J364">
            <v>3.1034482758620641E-3</v>
          </cell>
          <cell r="K364">
            <v>0.10184262948207179</v>
          </cell>
          <cell r="L364">
            <v>-0.21041119860017488</v>
          </cell>
          <cell r="M364">
            <v>3.4858387799564294E-2</v>
          </cell>
          <cell r="N364">
            <v>-0.22932717000513603</v>
          </cell>
          <cell r="O364">
            <v>-0.34664536741214069</v>
          </cell>
          <cell r="P364">
            <v>-0.58651685393258424</v>
          </cell>
          <cell r="Q364">
            <v>-2.0903954802259928E-2</v>
          </cell>
          <cell r="R364">
            <v>5.1507537688442184E-2</v>
          </cell>
          <cell r="S364">
            <v>-1.1115685467270486E-2</v>
          </cell>
          <cell r="T364" t="e">
            <v>#VALUE!</v>
          </cell>
          <cell r="U364">
            <v>4.4717444717444765E-2</v>
          </cell>
          <cell r="V364">
            <v>5.2152819890842972E-2</v>
          </cell>
          <cell r="W364">
            <v>7.4408468244084647E-2</v>
          </cell>
          <cell r="X364">
            <v>-8.5533262935586163E-2</v>
          </cell>
          <cell r="Y364">
            <v>8.6884567645841848E-3</v>
          </cell>
          <cell r="Z364" t="str">
            <v>NA</v>
          </cell>
          <cell r="AA364">
            <v>-4.6557377049180282E-2</v>
          </cell>
          <cell r="AB364">
            <v>-4.6557377049180282E-2</v>
          </cell>
          <cell r="AC364">
            <v>-0.19089413055403182</v>
          </cell>
          <cell r="AD364" t="str">
            <v>NA</v>
          </cell>
          <cell r="AE364">
            <v>-1.0101010101010055E-2</v>
          </cell>
          <cell r="AF364">
            <v>0.11262014208106974</v>
          </cell>
          <cell r="AG364">
            <v>0.11896034655114951</v>
          </cell>
          <cell r="AH364">
            <v>5.2152819890842972E-2</v>
          </cell>
          <cell r="AI364">
            <v>-0.66368078175895762</v>
          </cell>
          <cell r="AJ364" t="e">
            <v>#VALUE!</v>
          </cell>
          <cell r="AK364">
            <v>-1.7006802721088454E-2</v>
          </cell>
          <cell r="AL364">
            <v>-0.12344998622209979</v>
          </cell>
          <cell r="AM364">
            <v>4.939558149228862E-2</v>
          </cell>
          <cell r="AN364">
            <v>3.9583333333333526E-2</v>
          </cell>
          <cell r="AO364" t="str">
            <v>NA</v>
          </cell>
          <cell r="AP364">
            <v>-3.1065989847715803E-2</v>
          </cell>
          <cell r="AQ364" t="e">
            <v>#VALUE!</v>
          </cell>
          <cell r="AR364">
            <v>-3.1065989847715803E-2</v>
          </cell>
          <cell r="AS364">
            <v>0.11896034655114951</v>
          </cell>
          <cell r="AT364" t="str">
            <v>NA</v>
          </cell>
          <cell r="AU364">
            <v>2.6336665080120447E-2</v>
          </cell>
          <cell r="AV364">
            <v>2.6336665080120447E-2</v>
          </cell>
          <cell r="AW364" t="e">
            <v>#VALUE!</v>
          </cell>
          <cell r="AX364" t="e">
            <v>#VALUE!</v>
          </cell>
          <cell r="AY364" t="e">
            <v>#VALUE!</v>
          </cell>
          <cell r="AZ364" t="e">
            <v>#VALUE!</v>
          </cell>
          <cell r="BA364" t="e">
            <v>#VALUE!</v>
          </cell>
          <cell r="BB364" t="e">
            <v>#VALUE!</v>
          </cell>
          <cell r="BC364" t="e">
            <v>#VALUE!</v>
          </cell>
          <cell r="BD364" t="e">
            <v>#VALUE!</v>
          </cell>
          <cell r="BE364" t="e">
            <v>#VALUE!</v>
          </cell>
        </row>
        <row r="365">
          <cell r="H365">
            <v>-6.7297297297297387E-2</v>
          </cell>
          <cell r="I365">
            <v>-0.63717948717948714</v>
          </cell>
          <cell r="J365">
            <v>6.0904449307074948E-2</v>
          </cell>
          <cell r="K365">
            <v>0.32089552238805963</v>
          </cell>
          <cell r="L365">
            <v>-0.33123379029270095</v>
          </cell>
          <cell r="M365">
            <v>-0.20634920634920639</v>
          </cell>
          <cell r="N365">
            <v>-0.33664898320070735</v>
          </cell>
          <cell r="O365">
            <v>-0.39076464746772599</v>
          </cell>
          <cell r="P365">
            <v>-0.67529411764705882</v>
          </cell>
          <cell r="Q365">
            <v>-0.17001915708812265</v>
          </cell>
          <cell r="R365">
            <v>4.4617784711388442E-2</v>
          </cell>
          <cell r="S365">
            <v>-0.20986842105263159</v>
          </cell>
          <cell r="T365" t="e">
            <v>#VALUE!</v>
          </cell>
          <cell r="U365">
            <v>0.16174863387978156</v>
          </cell>
          <cell r="V365">
            <v>-3.0545725460979667E-2</v>
          </cell>
          <cell r="W365">
            <v>-6.7297297297297387E-2</v>
          </cell>
          <cell r="X365">
            <v>-0.26297872340425532</v>
          </cell>
          <cell r="Y365">
            <v>-8.9430894308943909E-3</v>
          </cell>
          <cell r="Z365" t="str">
            <v>NA</v>
          </cell>
          <cell r="AA365">
            <v>9.7192876546936313E-2</v>
          </cell>
          <cell r="AB365">
            <v>9.7192876546936313E-2</v>
          </cell>
          <cell r="AC365">
            <v>-0.22895974908520644</v>
          </cell>
          <cell r="AD365" t="str">
            <v>NA</v>
          </cell>
          <cell r="AE365">
            <v>-0.15969989281886388</v>
          </cell>
          <cell r="AF365">
            <v>0.24068033550792167</v>
          </cell>
          <cell r="AG365">
            <v>0.23365172667156497</v>
          </cell>
          <cell r="AH365">
            <v>-3.0545725460979667E-2</v>
          </cell>
          <cell r="AI365">
            <v>-0.65938144329896908</v>
          </cell>
          <cell r="AJ365" t="e">
            <v>#VALUE!</v>
          </cell>
          <cell r="AK365">
            <v>6.25E-2</v>
          </cell>
          <cell r="AL365">
            <v>-8.1072653570315456E-3</v>
          </cell>
          <cell r="AM365">
            <v>8.0008580008580132E-2</v>
          </cell>
          <cell r="AN365">
            <v>-0.25522388059701495</v>
          </cell>
          <cell r="AO365" t="str">
            <v>NA</v>
          </cell>
          <cell r="AP365">
            <v>0.19569030318215996</v>
          </cell>
          <cell r="AQ365" t="e">
            <v>#VALUE!</v>
          </cell>
          <cell r="AR365">
            <v>0.19569030318215996</v>
          </cell>
          <cell r="AS365">
            <v>0.23365172667156497</v>
          </cell>
          <cell r="AT365" t="str">
            <v>NA</v>
          </cell>
          <cell r="AU365">
            <v>-1.4623000761614713E-2</v>
          </cell>
          <cell r="AV365">
            <v>-1.4623000761614713E-2</v>
          </cell>
          <cell r="AW365" t="e">
            <v>#VALUE!</v>
          </cell>
          <cell r="AX365" t="e">
            <v>#VALUE!</v>
          </cell>
          <cell r="AY365" t="e">
            <v>#VALUE!</v>
          </cell>
          <cell r="AZ365" t="e">
            <v>#VALUE!</v>
          </cell>
          <cell r="BA365" t="e">
            <v>#VALUE!</v>
          </cell>
          <cell r="BB365" t="e">
            <v>#VALUE!</v>
          </cell>
          <cell r="BC365" t="e">
            <v>#VALUE!</v>
          </cell>
          <cell r="BD365" t="e">
            <v>#VALUE!</v>
          </cell>
          <cell r="BE365" t="e">
            <v>#VALUE!</v>
          </cell>
        </row>
        <row r="368">
          <cell r="H368" t="str">
            <v>NA</v>
          </cell>
          <cell r="I368" t="str">
            <v>NA</v>
          </cell>
          <cell r="J368" t="str">
            <v>NA</v>
          </cell>
          <cell r="K368" t="str">
            <v>NA</v>
          </cell>
          <cell r="L368" t="str">
            <v>NA</v>
          </cell>
          <cell r="M368" t="str">
            <v>NA</v>
          </cell>
          <cell r="N368" t="str">
            <v>NA</v>
          </cell>
          <cell r="O368" t="str">
            <v>NA</v>
          </cell>
          <cell r="P368" t="str">
            <v>NA</v>
          </cell>
          <cell r="Q368" t="str">
            <v>NA</v>
          </cell>
          <cell r="R368" t="str">
            <v>NA</v>
          </cell>
          <cell r="S368" t="str">
            <v>NA</v>
          </cell>
          <cell r="T368" t="str">
            <v>NA</v>
          </cell>
          <cell r="U368">
            <v>1.0693307896982774E-2</v>
          </cell>
          <cell r="V368">
            <v>0.26962970549622445</v>
          </cell>
          <cell r="W368">
            <v>0.18696819790456437</v>
          </cell>
          <cell r="X368">
            <v>0.19380520277577651</v>
          </cell>
          <cell r="Y368">
            <v>5.2594519010087125E-2</v>
          </cell>
          <cell r="Z368">
            <v>1.6443183851760568E-2</v>
          </cell>
          <cell r="AA368">
            <v>1.7640908278226348E-2</v>
          </cell>
          <cell r="AB368">
            <v>1.8085483627143288E-2</v>
          </cell>
          <cell r="AC368">
            <v>2.3776764772298026E-2</v>
          </cell>
          <cell r="AD368" t="str">
            <v>NA</v>
          </cell>
          <cell r="AE368">
            <v>9.4951978503645881E-3</v>
          </cell>
          <cell r="AF368">
            <v>6.1589367709245585E-2</v>
          </cell>
          <cell r="AG368">
            <v>9.1801786875638308E-2</v>
          </cell>
          <cell r="AH368">
            <v>0.12840506567192247</v>
          </cell>
          <cell r="AI368">
            <v>-0.3762399904386326</v>
          </cell>
          <cell r="AJ368">
            <v>5.7014234155848866E-2</v>
          </cell>
          <cell r="AK368">
            <v>7.4016158457127973E-2</v>
          </cell>
          <cell r="AL368">
            <v>2.0259684636452783E-2</v>
          </cell>
          <cell r="AM368">
            <v>0.18599818389465572</v>
          </cell>
          <cell r="AN368">
            <v>-1.0550700285228106E-2</v>
          </cell>
          <cell r="AO368" t="str">
            <v>NA</v>
          </cell>
          <cell r="AP368">
            <v>0.10256708201011942</v>
          </cell>
          <cell r="AQ368">
            <v>7.0224324920313538E-2</v>
          </cell>
          <cell r="AR368">
            <v>9.8081181987959801E-2</v>
          </cell>
          <cell r="AS368">
            <v>9.1801786875638308E-2</v>
          </cell>
          <cell r="AT368">
            <v>5.6732938030461574E-2</v>
          </cell>
          <cell r="AU368">
            <v>4.2896086300536124E-2</v>
          </cell>
          <cell r="AV368">
            <v>4.3864724300229654E-2</v>
          </cell>
          <cell r="AW368" t="str">
            <v>NA</v>
          </cell>
          <cell r="AX368" t="str">
            <v>NA</v>
          </cell>
          <cell r="AY368" t="str">
            <v>NA</v>
          </cell>
          <cell r="AZ368" t="str">
            <v>NA</v>
          </cell>
          <cell r="BA368" t="str">
            <v>NA</v>
          </cell>
          <cell r="BB368" t="str">
            <v>NA</v>
          </cell>
          <cell r="BC368" t="str">
            <v>NA</v>
          </cell>
          <cell r="BD368" t="str">
            <v>NA</v>
          </cell>
          <cell r="BE368" t="str">
            <v>NA</v>
          </cell>
        </row>
        <row r="369">
          <cell r="H369" t="str">
            <v>NA</v>
          </cell>
          <cell r="I369" t="str">
            <v>NA</v>
          </cell>
          <cell r="J369" t="str">
            <v>NA</v>
          </cell>
          <cell r="K369" t="str">
            <v>NA</v>
          </cell>
          <cell r="L369" t="str">
            <v>NA</v>
          </cell>
          <cell r="M369" t="str">
            <v>NA</v>
          </cell>
          <cell r="N369" t="str">
            <v>NA</v>
          </cell>
          <cell r="O369" t="str">
            <v>NA</v>
          </cell>
          <cell r="P369" t="str">
            <v>NA</v>
          </cell>
          <cell r="Q369" t="str">
            <v>NA</v>
          </cell>
          <cell r="R369" t="str">
            <v>NA</v>
          </cell>
          <cell r="S369" t="str">
            <v>NA</v>
          </cell>
          <cell r="T369" t="str">
            <v>NA</v>
          </cell>
          <cell r="U369">
            <v>9.1144133741653657E-2</v>
          </cell>
          <cell r="V369">
            <v>0.30463519892738433</v>
          </cell>
          <cell r="W369">
            <v>0.22234099810657673</v>
          </cell>
          <cell r="X369">
            <v>0.24490529491447746</v>
          </cell>
          <cell r="Y369">
            <v>5.6626710110702583E-2</v>
          </cell>
          <cell r="Z369">
            <v>2.0562085830529934E-2</v>
          </cell>
          <cell r="AA369">
            <v>1.8947336685949608E-2</v>
          </cell>
          <cell r="AB369">
            <v>1.9779493010378759E-2</v>
          </cell>
          <cell r="AC369">
            <v>2.9526577653195909E-2</v>
          </cell>
          <cell r="AD369" t="str">
            <v>NA</v>
          </cell>
          <cell r="AE369">
            <v>2.1632449686811436E-2</v>
          </cell>
          <cell r="AF369">
            <v>7.1737787681207435E-2</v>
          </cell>
          <cell r="AG369">
            <v>0.14368201229991615</v>
          </cell>
          <cell r="AH369">
            <v>0.13140653897996923</v>
          </cell>
          <cell r="AI369">
            <v>-0.10923867574997122</v>
          </cell>
          <cell r="AJ369">
            <v>6.8400569678198769E-2</v>
          </cell>
          <cell r="AK369">
            <v>0.10027365129007038</v>
          </cell>
          <cell r="AL369">
            <v>2.6509473304554627E-2</v>
          </cell>
          <cell r="AM369">
            <v>0.24651213661995836</v>
          </cell>
          <cell r="AN369">
            <v>1.8903591682419645E-3</v>
          </cell>
          <cell r="AO369" t="str">
            <v>NA</v>
          </cell>
          <cell r="AP369">
            <v>0.1109593136397737</v>
          </cell>
          <cell r="AQ369">
            <v>7.4231050658540979E-2</v>
          </cell>
          <cell r="AR369">
            <v>0.10599003507698727</v>
          </cell>
          <cell r="AS369">
            <v>0.1436820122999162</v>
          </cell>
          <cell r="AT369">
            <v>8.5055226136495757E-2</v>
          </cell>
          <cell r="AU369">
            <v>4.9586429958934496E-2</v>
          </cell>
          <cell r="AV369">
            <v>5.1493433399889148E-2</v>
          </cell>
          <cell r="AW369" t="str">
            <v>NA</v>
          </cell>
          <cell r="AX369" t="str">
            <v>NA</v>
          </cell>
          <cell r="AY369" t="str">
            <v>NA</v>
          </cell>
          <cell r="AZ369" t="str">
            <v>NA</v>
          </cell>
          <cell r="BA369" t="str">
            <v>NA</v>
          </cell>
          <cell r="BB369" t="str">
            <v>NA</v>
          </cell>
          <cell r="BC369" t="str">
            <v>NA</v>
          </cell>
          <cell r="BD369" t="str">
            <v>NA</v>
          </cell>
          <cell r="BE369" t="str">
            <v>NA</v>
          </cell>
        </row>
        <row r="370">
          <cell r="H370" t="str">
            <v>NA</v>
          </cell>
          <cell r="I370" t="str">
            <v>NA</v>
          </cell>
          <cell r="J370" t="str">
            <v>NA</v>
          </cell>
          <cell r="K370" t="str">
            <v>NA</v>
          </cell>
          <cell r="L370" t="str">
            <v>NA</v>
          </cell>
          <cell r="M370" t="str">
            <v>NA</v>
          </cell>
          <cell r="N370" t="str">
            <v>NA</v>
          </cell>
          <cell r="O370" t="str">
            <v>NA</v>
          </cell>
          <cell r="P370" t="str">
            <v>NA</v>
          </cell>
          <cell r="Q370" t="str">
            <v>NA</v>
          </cell>
          <cell r="R370" t="str">
            <v>NA</v>
          </cell>
          <cell r="S370" t="str">
            <v>NA</v>
          </cell>
          <cell r="T370" t="str">
            <v>NA</v>
          </cell>
          <cell r="U370" t="str">
            <v>NA</v>
          </cell>
          <cell r="V370" t="str">
            <v>NA</v>
          </cell>
          <cell r="W370" t="str">
            <v>NA</v>
          </cell>
          <cell r="X370" t="str">
            <v>NA</v>
          </cell>
          <cell r="Y370" t="str">
            <v>NA</v>
          </cell>
          <cell r="Z370" t="str">
            <v>NA</v>
          </cell>
          <cell r="AA370" t="str">
            <v>NA</v>
          </cell>
          <cell r="AB370" t="str">
            <v>NA</v>
          </cell>
          <cell r="AC370" t="str">
            <v>NA</v>
          </cell>
          <cell r="AD370" t="str">
            <v>NA</v>
          </cell>
          <cell r="AE370" t="str">
            <v>NA</v>
          </cell>
          <cell r="AF370" t="str">
            <v>NA</v>
          </cell>
          <cell r="AG370" t="str">
            <v>NA</v>
          </cell>
          <cell r="AH370" t="str">
            <v>NA</v>
          </cell>
          <cell r="AI370" t="str">
            <v>NA</v>
          </cell>
          <cell r="AJ370" t="str">
            <v>NA</v>
          </cell>
          <cell r="AK370" t="str">
            <v>NA</v>
          </cell>
          <cell r="AL370" t="str">
            <v>NA</v>
          </cell>
          <cell r="AM370" t="str">
            <v>NA</v>
          </cell>
          <cell r="AN370" t="str">
            <v>NA</v>
          </cell>
          <cell r="AO370" t="str">
            <v>NA</v>
          </cell>
          <cell r="AP370" t="str">
            <v>NA</v>
          </cell>
          <cell r="AQ370" t="str">
            <v>NA</v>
          </cell>
          <cell r="AR370" t="str">
            <v>NA</v>
          </cell>
          <cell r="AS370" t="str">
            <v>NA</v>
          </cell>
          <cell r="AT370" t="str">
            <v>NA</v>
          </cell>
          <cell r="AU370" t="str">
            <v>NA</v>
          </cell>
          <cell r="AV370" t="str">
            <v>NA</v>
          </cell>
          <cell r="AW370" t="str">
            <v>NA</v>
          </cell>
          <cell r="AX370" t="str">
            <v>NA</v>
          </cell>
          <cell r="AY370" t="str">
            <v>NA</v>
          </cell>
          <cell r="AZ370" t="str">
            <v>NA</v>
          </cell>
          <cell r="BA370" t="str">
            <v>NA</v>
          </cell>
          <cell r="BB370" t="str">
            <v>NA</v>
          </cell>
          <cell r="BC370" t="str">
            <v>NA</v>
          </cell>
          <cell r="BD370" t="str">
            <v>NA</v>
          </cell>
          <cell r="BE370" t="str">
            <v>NA</v>
          </cell>
        </row>
        <row r="371">
          <cell r="H371" t="str">
            <v>NA</v>
          </cell>
          <cell r="I371" t="str">
            <v>NA</v>
          </cell>
          <cell r="J371" t="str">
            <v>NA</v>
          </cell>
          <cell r="K371" t="str">
            <v>NA</v>
          </cell>
          <cell r="L371" t="str">
            <v>NA</v>
          </cell>
          <cell r="M371" t="str">
            <v>NA</v>
          </cell>
          <cell r="N371" t="str">
            <v>NA</v>
          </cell>
          <cell r="O371" t="str">
            <v>NA</v>
          </cell>
          <cell r="P371" t="str">
            <v>NA</v>
          </cell>
          <cell r="Q371" t="str">
            <v>NA</v>
          </cell>
          <cell r="R371" t="str">
            <v>NA</v>
          </cell>
          <cell r="S371" t="str">
            <v>NA</v>
          </cell>
          <cell r="T371" t="str">
            <v>NA</v>
          </cell>
          <cell r="U371">
            <v>2.5678999949796662E-2</v>
          </cell>
          <cell r="V371">
            <v>0.27540828297688108</v>
          </cell>
          <cell r="W371">
            <v>0.20063708001654312</v>
          </cell>
          <cell r="X371">
            <v>0.15859158068885848</v>
          </cell>
          <cell r="Y371">
            <v>5.809255882492962E-2</v>
          </cell>
          <cell r="Z371">
            <v>7.4723437100795318E-3</v>
          </cell>
          <cell r="AA371">
            <v>1.5289612129255312E-2</v>
          </cell>
          <cell r="AB371">
            <v>1.317572296661065E-2</v>
          </cell>
          <cell r="AC371">
            <v>1.9621385529127709E-2</v>
          </cell>
          <cell r="AD371" t="str">
            <v>NA</v>
          </cell>
          <cell r="AE371">
            <v>1.7287513736093773E-3</v>
          </cell>
          <cell r="AF371">
            <v>5.9480187375475835E-2</v>
          </cell>
          <cell r="AG371">
            <v>7.8066385916670172E-2</v>
          </cell>
          <cell r="AH371">
            <v>0.11831133820256415</v>
          </cell>
          <cell r="AI371">
            <v>-1.1728616389785422</v>
          </cell>
          <cell r="AJ371">
            <v>4.9451750360423978E-2</v>
          </cell>
          <cell r="AK371">
            <v>4.2839457909825393E-2</v>
          </cell>
          <cell r="AL371">
            <v>1.7205234268453502E-2</v>
          </cell>
          <cell r="AM371">
            <v>0.17197296699215819</v>
          </cell>
          <cell r="AN371">
            <v>-8.7516628159350282E-3</v>
          </cell>
          <cell r="AO371" t="str">
            <v>NA</v>
          </cell>
          <cell r="AP371">
            <v>9.4578724412380202E-2</v>
          </cell>
          <cell r="AQ371">
            <v>6.934894319374002E-2</v>
          </cell>
          <cell r="AR371">
            <v>9.4715979021457106E-2</v>
          </cell>
          <cell r="AS371">
            <v>7.8066385916670186E-2</v>
          </cell>
          <cell r="AT371">
            <v>5.864899430298802E-2</v>
          </cell>
          <cell r="AU371">
            <v>3.9514769359205469E-2</v>
          </cell>
          <cell r="AV371">
            <v>4.0318621536564375E-2</v>
          </cell>
          <cell r="AW371" t="str">
            <v>NA</v>
          </cell>
          <cell r="AX371" t="str">
            <v>NA</v>
          </cell>
          <cell r="AY371" t="str">
            <v>NA</v>
          </cell>
          <cell r="AZ371" t="str">
            <v>NA</v>
          </cell>
          <cell r="BA371" t="str">
            <v>NA</v>
          </cell>
          <cell r="BB371" t="str">
            <v>NA</v>
          </cell>
          <cell r="BC371" t="str">
            <v>NA</v>
          </cell>
          <cell r="BD371" t="str">
            <v>NA</v>
          </cell>
          <cell r="BE371" t="str">
            <v>NA</v>
          </cell>
        </row>
        <row r="372">
          <cell r="H372" t="str">
            <v>NA</v>
          </cell>
          <cell r="I372" t="str">
            <v>NA</v>
          </cell>
          <cell r="J372" t="str">
            <v>NA</v>
          </cell>
          <cell r="K372" t="str">
            <v>NA</v>
          </cell>
          <cell r="L372" t="str">
            <v>NA</v>
          </cell>
          <cell r="M372" t="str">
            <v>NA</v>
          </cell>
          <cell r="N372" t="str">
            <v>NA</v>
          </cell>
          <cell r="O372" t="str">
            <v>NA</v>
          </cell>
          <cell r="P372" t="str">
            <v>NA</v>
          </cell>
          <cell r="Q372" t="str">
            <v>NA</v>
          </cell>
          <cell r="R372" t="str">
            <v>NA</v>
          </cell>
          <cell r="S372" t="str">
            <v>NA</v>
          </cell>
          <cell r="T372" t="str">
            <v>NA</v>
          </cell>
          <cell r="U372">
            <v>-4.3927908027512038E-3</v>
          </cell>
          <cell r="V372">
            <v>0.20653206128125329</v>
          </cell>
          <cell r="W372">
            <v>0.12526303691905261</v>
          </cell>
          <cell r="X372">
            <v>0.1468841579511618</v>
          </cell>
          <cell r="Y372">
            <v>3.6255398674314765E-2</v>
          </cell>
          <cell r="Z372">
            <v>3.9994658745698764E-3</v>
          </cell>
          <cell r="AA372">
            <v>7.3751108439257503E-3</v>
          </cell>
          <cell r="AB372">
            <v>8.028278223140747E-3</v>
          </cell>
          <cell r="AC372">
            <v>9.3050110067772526E-3</v>
          </cell>
          <cell r="AD372" t="str">
            <v>NA</v>
          </cell>
          <cell r="AE372">
            <v>6.0696381994441457E-3</v>
          </cell>
          <cell r="AF372">
            <v>3.7696811836836451E-2</v>
          </cell>
          <cell r="AG372">
            <v>4.6554960150150961E-2</v>
          </cell>
          <cell r="AH372">
            <v>6.8077803203661316E-2</v>
          </cell>
          <cell r="AI372">
            <v>-0.83697860643003408</v>
          </cell>
          <cell r="AJ372">
            <v>3.2146262804111009E-2</v>
          </cell>
          <cell r="AK372">
            <v>2.8448788115715409E-2</v>
          </cell>
          <cell r="AL372">
            <v>1.1051249394181891E-2</v>
          </cell>
          <cell r="AM372">
            <v>0.11997147815883208</v>
          </cell>
          <cell r="AN372">
            <v>-9.3482979157344243E-3</v>
          </cell>
          <cell r="AO372" t="str">
            <v>NA</v>
          </cell>
          <cell r="AP372">
            <v>7.5426295809524882E-2</v>
          </cell>
          <cell r="AQ372">
            <v>5.1325100735721586E-2</v>
          </cell>
          <cell r="AR372">
            <v>5.7305606632530051E-2</v>
          </cell>
          <cell r="AS372">
            <v>4.6554960150150967E-2</v>
          </cell>
          <cell r="AT372">
            <v>3.3876991047552617E-2</v>
          </cell>
          <cell r="AU372">
            <v>3.0233637340932366E-2</v>
          </cell>
          <cell r="AV372">
            <v>3.0552129273036521E-2</v>
          </cell>
          <cell r="AW372" t="str">
            <v>NA</v>
          </cell>
          <cell r="AX372" t="str">
            <v>NA</v>
          </cell>
          <cell r="AY372" t="str">
            <v>NA</v>
          </cell>
          <cell r="AZ372" t="str">
            <v>NA</v>
          </cell>
          <cell r="BA372" t="str">
            <v>NA</v>
          </cell>
          <cell r="BB372" t="str">
            <v>NA</v>
          </cell>
          <cell r="BC372" t="str">
            <v>NA</v>
          </cell>
          <cell r="BD372" t="str">
            <v>NA</v>
          </cell>
          <cell r="BE372" t="str">
            <v>NA</v>
          </cell>
        </row>
        <row r="373">
          <cell r="H373" t="str">
            <v>NA</v>
          </cell>
          <cell r="I373" t="str">
            <v>NA</v>
          </cell>
          <cell r="J373" t="str">
            <v>NA</v>
          </cell>
          <cell r="K373" t="str">
            <v>NA</v>
          </cell>
          <cell r="L373" t="str">
            <v>NA</v>
          </cell>
          <cell r="M373" t="str">
            <v>NA</v>
          </cell>
          <cell r="N373" t="str">
            <v>NA</v>
          </cell>
          <cell r="O373" t="str">
            <v>NA</v>
          </cell>
          <cell r="P373" t="str">
            <v>NA</v>
          </cell>
          <cell r="Q373" t="str">
            <v>NA</v>
          </cell>
          <cell r="R373" t="str">
            <v>NA</v>
          </cell>
          <cell r="S373" t="str">
            <v>NA</v>
          </cell>
          <cell r="T373" t="str">
            <v>NA</v>
          </cell>
          <cell r="U373">
            <v>0.67948943220041169</v>
          </cell>
          <cell r="V373">
            <v>0.63776873585907012</v>
          </cell>
          <cell r="W373">
            <v>0.55173963082656829</v>
          </cell>
          <cell r="X373">
            <v>0.5541208916263658</v>
          </cell>
          <cell r="Y373">
            <v>0.11112218247602222</v>
          </cell>
          <cell r="Z373">
            <v>6.3213027440768607E-2</v>
          </cell>
          <cell r="AA373">
            <v>4.2909573555369403E-2</v>
          </cell>
          <cell r="AB373">
            <v>5.1639957459606381E-2</v>
          </cell>
          <cell r="AC373">
            <v>0.10691364573343819</v>
          </cell>
          <cell r="AD373" t="str">
            <v>NA</v>
          </cell>
          <cell r="AE373">
            <v>0.2260176519349755</v>
          </cell>
          <cell r="AF373">
            <v>0.27508069299670168</v>
          </cell>
          <cell r="AG373">
            <v>0.38174374927360266</v>
          </cell>
          <cell r="AH373">
            <v>0.19715682893953174</v>
          </cell>
          <cell r="AI373">
            <v>9.2147723198266154E-2</v>
          </cell>
          <cell r="AJ373">
            <v>0.23024886993596916</v>
          </cell>
          <cell r="AK373">
            <v>0.26081574146468567</v>
          </cell>
          <cell r="AL373">
            <v>7.61893759228158E-2</v>
          </cell>
          <cell r="AM373">
            <v>0.48022929389790292</v>
          </cell>
          <cell r="AN373">
            <v>0.11898912967376826</v>
          </cell>
          <cell r="AO373" t="str">
            <v>NA</v>
          </cell>
          <cell r="AP373">
            <v>0.35655872249454262</v>
          </cell>
          <cell r="AQ373">
            <v>0.25830443237174988</v>
          </cell>
          <cell r="AR373">
            <v>0.3461197772604111</v>
          </cell>
          <cell r="AS373">
            <v>0.38174374927360272</v>
          </cell>
          <cell r="AT373">
            <v>0.30281595163353076</v>
          </cell>
          <cell r="AU373">
            <v>9.2319280269199513E-2</v>
          </cell>
          <cell r="AV373">
            <v>9.8681537232598676E-2</v>
          </cell>
          <cell r="AW373" t="str">
            <v>NA</v>
          </cell>
          <cell r="AX373" t="str">
            <v>NA</v>
          </cell>
          <cell r="AY373" t="str">
            <v>NA</v>
          </cell>
          <cell r="AZ373" t="str">
            <v>NA</v>
          </cell>
          <cell r="BA373" t="str">
            <v>NA</v>
          </cell>
          <cell r="BB373" t="str">
            <v>NA</v>
          </cell>
          <cell r="BC373" t="str">
            <v>NA</v>
          </cell>
          <cell r="BD373" t="str">
            <v>NA</v>
          </cell>
          <cell r="BE373" t="str">
            <v>NA</v>
          </cell>
        </row>
        <row r="374">
          <cell r="H374" t="e">
            <v>#DIV/0!</v>
          </cell>
          <cell r="I374" t="e">
            <v>#DIV/0!</v>
          </cell>
          <cell r="J374" t="e">
            <v>#DIV/0!</v>
          </cell>
          <cell r="K374" t="e">
            <v>#DIV/0!</v>
          </cell>
          <cell r="L374" t="e">
            <v>#DIV/0!</v>
          </cell>
          <cell r="M374" t="e">
            <v>#DIV/0!</v>
          </cell>
          <cell r="N374" t="e">
            <v>#DIV/0!</v>
          </cell>
          <cell r="O374" t="e">
            <v>#DIV/0!</v>
          </cell>
          <cell r="P374" t="e">
            <v>#DIV/0!</v>
          </cell>
          <cell r="Q374" t="e">
            <v>#DIV/0!</v>
          </cell>
          <cell r="R374" t="e">
            <v>#DIV/0!</v>
          </cell>
          <cell r="S374" t="e">
            <v>#DIV/0!</v>
          </cell>
          <cell r="T374" t="e">
            <v>#VALUE!</v>
          </cell>
          <cell r="U374">
            <v>-3.822295998602186E-3</v>
          </cell>
          <cell r="V374">
            <v>0.37671689298751965</v>
          </cell>
          <cell r="W374">
            <v>4.1256688141224546E-2</v>
          </cell>
          <cell r="X374">
            <v>0.24927516928699672</v>
          </cell>
          <cell r="Y374">
            <v>0.12074273725816977</v>
          </cell>
          <cell r="Z374" t="e">
            <v>#N/A</v>
          </cell>
          <cell r="AA374">
            <v>0.13990141195717892</v>
          </cell>
          <cell r="AB374">
            <v>9.0242074426385918E-2</v>
          </cell>
          <cell r="AC374">
            <v>9.4834579175022929E-2</v>
          </cell>
          <cell r="AD374" t="e">
            <v>#N/A</v>
          </cell>
          <cell r="AE374">
            <v>3.3231314928966874E-2</v>
          </cell>
          <cell r="AF374">
            <v>0.13915680107431885</v>
          </cell>
          <cell r="AG374">
            <v>0.1533777068091832</v>
          </cell>
          <cell r="AH374" t="e">
            <v>#DIV/0!</v>
          </cell>
          <cell r="AI374" t="e">
            <v>#DIV/0!</v>
          </cell>
          <cell r="AJ374" t="e">
            <v>#VALUE!</v>
          </cell>
          <cell r="AK374">
            <v>1.9234889867841412</v>
          </cell>
          <cell r="AL374">
            <v>9.8562525130679521E-2</v>
          </cell>
          <cell r="AM374">
            <v>0.17564987941666813</v>
          </cell>
          <cell r="AN374">
            <v>-4.0672803125620827E-2</v>
          </cell>
          <cell r="AO374" t="e">
            <v>#N/A</v>
          </cell>
          <cell r="AP374" t="e">
            <v>#DIV/0!</v>
          </cell>
          <cell r="AQ374" t="e">
            <v>#VALUE!</v>
          </cell>
          <cell r="AR374">
            <v>0.14656633835404384</v>
          </cell>
          <cell r="AS374">
            <v>0.1533777068091832</v>
          </cell>
          <cell r="AT374" t="e">
            <v>#N/A</v>
          </cell>
          <cell r="AU374" t="e">
            <v>#DIV/0!</v>
          </cell>
          <cell r="AV374">
            <v>0.2160472539861491</v>
          </cell>
          <cell r="AW374" t="e">
            <v>#VALUE!</v>
          </cell>
          <cell r="AX374" t="e">
            <v>#VALUE!</v>
          </cell>
          <cell r="AY374" t="e">
            <v>#VALUE!</v>
          </cell>
          <cell r="AZ374" t="e">
            <v>#VALUE!</v>
          </cell>
          <cell r="BA374" t="e">
            <v>#VALUE!</v>
          </cell>
          <cell r="BB374" t="e">
            <v>#VALUE!</v>
          </cell>
          <cell r="BC374" t="e">
            <v>#VALUE!</v>
          </cell>
          <cell r="BD374" t="e">
            <v>#VALUE!</v>
          </cell>
          <cell r="BE374" t="e">
            <v>#VALUE!</v>
          </cell>
        </row>
        <row r="375">
          <cell r="H375" t="e">
            <v>#DIV/0!</v>
          </cell>
          <cell r="I375" t="e">
            <v>#DIV/0!</v>
          </cell>
          <cell r="J375" t="e">
            <v>#DIV/0!</v>
          </cell>
          <cell r="K375" t="e">
            <v>#DIV/0!</v>
          </cell>
          <cell r="L375" t="e">
            <v>#DIV/0!</v>
          </cell>
          <cell r="M375" t="e">
            <v>#DIV/0!</v>
          </cell>
          <cell r="N375" t="e">
            <v>#DIV/0!</v>
          </cell>
          <cell r="O375" t="e">
            <v>#DIV/0!</v>
          </cell>
          <cell r="P375" t="e">
            <v>#DIV/0!</v>
          </cell>
          <cell r="Q375" t="e">
            <v>#DIV/0!</v>
          </cell>
          <cell r="R375" t="e">
            <v>#DIV/0!</v>
          </cell>
          <cell r="S375" t="e">
            <v>#DIV/0!</v>
          </cell>
          <cell r="T375" t="e">
            <v>#DIV/0!</v>
          </cell>
          <cell r="U375">
            <v>-3.2447064931212686E-3</v>
          </cell>
          <cell r="V375">
            <v>0.19187763284817308</v>
          </cell>
          <cell r="W375">
            <v>3.4765921754830974E-2</v>
          </cell>
          <cell r="X375">
            <v>0.10140055415349639</v>
          </cell>
          <cell r="Y375">
            <v>8.0003029399836806E-2</v>
          </cell>
          <cell r="Z375">
            <v>1.5008299421367445E-2</v>
          </cell>
          <cell r="AA375">
            <v>3.405197607709845E-2</v>
          </cell>
          <cell r="AB375">
            <v>2.8516979035999163E-2</v>
          </cell>
          <cell r="AC375">
            <v>3.5983188930038768E-2</v>
          </cell>
          <cell r="AD375" t="e">
            <v>#DIV/0!</v>
          </cell>
          <cell r="AE375">
            <v>1.6104089884958001E-2</v>
          </cell>
          <cell r="AF375">
            <v>7.5174930642472548E-2</v>
          </cell>
          <cell r="AG375">
            <v>6.3349322224671129E-2</v>
          </cell>
          <cell r="AH375" t="e">
            <v>#DIV/0!</v>
          </cell>
          <cell r="AI375" t="e">
            <v>#DIV/0!</v>
          </cell>
          <cell r="AJ375">
            <v>5.3267346331524482E-2</v>
          </cell>
          <cell r="AK375" t="e">
            <v>#DIV/0!</v>
          </cell>
          <cell r="AL375">
            <v>3.0429284112686104E-2</v>
          </cell>
          <cell r="AM375">
            <v>9.8277402031668251E-2</v>
          </cell>
          <cell r="AN375">
            <v>-2.9025916334284797E-2</v>
          </cell>
          <cell r="AO375" t="e">
            <v>#DIV/0!</v>
          </cell>
          <cell r="AP375" t="e">
            <v>#DIV/0!</v>
          </cell>
          <cell r="AQ375" t="e">
            <v>#DIV/0!</v>
          </cell>
          <cell r="AR375">
            <v>0.11046693913337828</v>
          </cell>
          <cell r="AS375">
            <v>6.3349322224671129E-2</v>
          </cell>
          <cell r="AT375">
            <v>4.7456920420860617E-2</v>
          </cell>
          <cell r="AU375">
            <v>7.9752714298895841E-2</v>
          </cell>
          <cell r="AV375">
            <v>7.88878221040408E-2</v>
          </cell>
          <cell r="AW375" t="e">
            <v>#DIV/0!</v>
          </cell>
          <cell r="AX375" t="e">
            <v>#DIV/0!</v>
          </cell>
          <cell r="AY375" t="e">
            <v>#DIV/0!</v>
          </cell>
          <cell r="AZ375" t="e">
            <v>#DIV/0!</v>
          </cell>
          <cell r="BA375" t="e">
            <v>#DIV/0!</v>
          </cell>
          <cell r="BB375" t="e">
            <v>#DIV/0!</v>
          </cell>
          <cell r="BC375" t="e">
            <v>#DIV/0!</v>
          </cell>
          <cell r="BD375" t="e">
            <v>#DIV/0!</v>
          </cell>
          <cell r="BE375" t="e">
            <v>#DIV/0!</v>
          </cell>
        </row>
        <row r="376">
          <cell r="H376">
            <v>0.46767854722862168</v>
          </cell>
          <cell r="I376">
            <v>0.26498127340823974</v>
          </cell>
          <cell r="J376">
            <v>0.76431949553336831</v>
          </cell>
          <cell r="K376">
            <v>0.86764705882352944</v>
          </cell>
          <cell r="L376">
            <v>0.43027413587604291</v>
          </cell>
          <cell r="M376">
            <v>0.47006432459178621</v>
          </cell>
          <cell r="N376">
            <v>0.57733743747595234</v>
          </cell>
          <cell r="O376">
            <v>0.51018711018711016</v>
          </cell>
          <cell r="P376">
            <v>0.15206611570247933</v>
          </cell>
          <cell r="Q376">
            <v>0.70447154471544704</v>
          </cell>
          <cell r="R376">
            <v>0.84545454545454535</v>
          </cell>
          <cell r="S376">
            <v>0.58656898656898648</v>
          </cell>
          <cell r="T376" t="e">
            <v>#VALUE!</v>
          </cell>
          <cell r="U376">
            <v>0.79151154132539103</v>
          </cell>
          <cell r="V376">
            <v>0.80299290342486895</v>
          </cell>
          <cell r="W376">
            <v>0.46767854722862168</v>
          </cell>
          <cell r="X376">
            <v>0.61584225762367029</v>
          </cell>
          <cell r="Y376">
            <v>0.67797552836484976</v>
          </cell>
          <cell r="Z376" t="e">
            <v>#N/A</v>
          </cell>
          <cell r="AA376">
            <v>0.87748943874471952</v>
          </cell>
          <cell r="AB376">
            <v>0.87748943874471952</v>
          </cell>
          <cell r="AC376">
            <v>0.70574162679425845</v>
          </cell>
          <cell r="AD376" t="e">
            <v>#N/A</v>
          </cell>
          <cell r="AE376">
            <v>0.74809160305343503</v>
          </cell>
          <cell r="AF376">
            <v>0.99812558575445176</v>
          </cell>
          <cell r="AG376">
            <v>0.93798882681564244</v>
          </cell>
          <cell r="AH376">
            <v>0.80299290342486895</v>
          </cell>
          <cell r="AI376">
            <v>0.86938217029786347</v>
          </cell>
          <cell r="AJ376" t="e">
            <v>#VALUE!</v>
          </cell>
          <cell r="AK376">
            <v>0.86449297038588091</v>
          </cell>
          <cell r="AL376">
            <v>0.75576146353052975</v>
          </cell>
          <cell r="AM376">
            <v>0.95359848484848497</v>
          </cell>
          <cell r="AN376">
            <v>0.61226993865030677</v>
          </cell>
          <cell r="AO376" t="e">
            <v>#N/A</v>
          </cell>
          <cell r="AP376">
            <v>0.89246306340003745</v>
          </cell>
          <cell r="AQ376" t="e">
            <v>#VALUE!</v>
          </cell>
          <cell r="AR376">
            <v>0.89246306340003745</v>
          </cell>
          <cell r="AS376">
            <v>0.93798882681564244</v>
          </cell>
          <cell r="AT376" t="e">
            <v>#N/A</v>
          </cell>
          <cell r="AU376">
            <v>0.84451697127937342</v>
          </cell>
          <cell r="AV376">
            <v>0.84451697127937342</v>
          </cell>
          <cell r="AW376" t="e">
            <v>#VALUE!</v>
          </cell>
          <cell r="AX376" t="e">
            <v>#VALUE!</v>
          </cell>
          <cell r="AY376" t="e">
            <v>#VALUE!</v>
          </cell>
          <cell r="AZ376" t="e">
            <v>#VALUE!</v>
          </cell>
          <cell r="BA376" t="e">
            <v>#VALUE!</v>
          </cell>
          <cell r="BB376" t="e">
            <v>#VALUE!</v>
          </cell>
          <cell r="BC376" t="e">
            <v>#VALUE!</v>
          </cell>
          <cell r="BD376" t="e">
            <v>#VALUE!</v>
          </cell>
          <cell r="BE376" t="e">
            <v>#VALUE!</v>
          </cell>
        </row>
        <row r="377">
          <cell r="H377">
            <v>1.298344620015049</v>
          </cell>
          <cell r="I377">
            <v>1.0884615384615384</v>
          </cell>
          <cell r="J377">
            <v>1.3344036697247705</v>
          </cell>
          <cell r="K377">
            <v>2.1071428571428572</v>
          </cell>
          <cell r="L377">
            <v>1.3079710144927537</v>
          </cell>
          <cell r="M377">
            <v>1.4615384615384615</v>
          </cell>
          <cell r="N377">
            <v>1.2076458752515091</v>
          </cell>
          <cell r="O377">
            <v>1.2331658291457286</v>
          </cell>
          <cell r="P377">
            <v>1.2897196261682242</v>
          </cell>
          <cell r="Q377">
            <v>1.2093510118632238</v>
          </cell>
          <cell r="R377">
            <v>1.4993282579489475</v>
          </cell>
          <cell r="S377">
            <v>1.3449048152295633</v>
          </cell>
          <cell r="T377" t="e">
            <v>#VALUE!</v>
          </cell>
          <cell r="U377">
            <v>1.1811111111111112</v>
          </cell>
          <cell r="V377">
            <v>1.7794871794871794</v>
          </cell>
          <cell r="W377">
            <v>1.298344620015049</v>
          </cell>
          <cell r="X377">
            <v>1.2711926605504587</v>
          </cell>
          <cell r="Y377">
            <v>1.3425110132158589</v>
          </cell>
          <cell r="Z377" t="e">
            <v>#N/A</v>
          </cell>
          <cell r="AA377">
            <v>1.3500213552208873</v>
          </cell>
          <cell r="AB377">
            <v>1.3500213552208873</v>
          </cell>
          <cell r="AC377">
            <v>1.1115297663903543</v>
          </cell>
          <cell r="AD377" t="e">
            <v>#N/A</v>
          </cell>
          <cell r="AE377">
            <v>1.7230769230769232</v>
          </cell>
          <cell r="AF377">
            <v>1.6692789968652038</v>
          </cell>
          <cell r="AG377">
            <v>1.6380487804878048</v>
          </cell>
          <cell r="AH377">
            <v>1.7794871794871794</v>
          </cell>
          <cell r="AI377">
            <v>1.6920612419647574</v>
          </cell>
          <cell r="AJ377" t="e">
            <v>#VALUE!</v>
          </cell>
          <cell r="AK377">
            <v>1.3761904761904762</v>
          </cell>
          <cell r="AL377">
            <v>1.2003773584905659</v>
          </cell>
          <cell r="AM377">
            <v>1.3889655172413793</v>
          </cell>
          <cell r="AN377">
            <v>2.8514285714285714</v>
          </cell>
          <cell r="AO377" t="e">
            <v>#N/A</v>
          </cell>
          <cell r="AP377">
            <v>1.454878048780488</v>
          </cell>
          <cell r="AQ377" t="e">
            <v>#VALUE!</v>
          </cell>
          <cell r="AR377">
            <v>1.454878048780488</v>
          </cell>
          <cell r="AS377">
            <v>1.6380487804878048</v>
          </cell>
          <cell r="AT377" t="e">
            <v>#N/A</v>
          </cell>
          <cell r="AU377">
            <v>1.3881974248927038</v>
          </cell>
          <cell r="AV377">
            <v>1.3881974248927038</v>
          </cell>
          <cell r="AW377" t="e">
            <v>#VALUE!</v>
          </cell>
          <cell r="AX377" t="e">
            <v>#VALUE!</v>
          </cell>
          <cell r="AY377" t="e">
            <v>#VALUE!</v>
          </cell>
          <cell r="AZ377" t="e">
            <v>#VALUE!</v>
          </cell>
          <cell r="BA377" t="e">
            <v>#VALUE!</v>
          </cell>
          <cell r="BB377" t="e">
            <v>#VALUE!</v>
          </cell>
          <cell r="BC377" t="e">
            <v>#VALUE!</v>
          </cell>
          <cell r="BD377" t="e">
            <v>#VALUE!</v>
          </cell>
          <cell r="BE377" t="e">
            <v>#VALUE!</v>
          </cell>
        </row>
        <row r="378">
          <cell r="H378">
            <v>0.29834462001504902</v>
          </cell>
          <cell r="I378">
            <v>8.8461538461538369E-2</v>
          </cell>
          <cell r="J378">
            <v>0.33440366972477054</v>
          </cell>
          <cell r="K378">
            <v>1.1071428571428572</v>
          </cell>
          <cell r="L378">
            <v>0.30797101449275366</v>
          </cell>
          <cell r="M378">
            <v>0.46153846153846145</v>
          </cell>
          <cell r="N378">
            <v>0.20764587525150913</v>
          </cell>
          <cell r="O378">
            <v>0.23316582914572859</v>
          </cell>
          <cell r="P378">
            <v>0.28971962616822422</v>
          </cell>
          <cell r="Q378">
            <v>0.2093510118632238</v>
          </cell>
          <cell r="R378">
            <v>0.49932825794894753</v>
          </cell>
          <cell r="S378">
            <v>0.34490481522956329</v>
          </cell>
          <cell r="T378" t="e">
            <v>#VALUE!</v>
          </cell>
          <cell r="U378">
            <v>0.18111111111111122</v>
          </cell>
          <cell r="V378">
            <v>0.77948717948717938</v>
          </cell>
          <cell r="W378">
            <v>0.29834462001504902</v>
          </cell>
          <cell r="X378">
            <v>0.27119266055045865</v>
          </cell>
          <cell r="Y378">
            <v>0.34251101321585886</v>
          </cell>
          <cell r="Z378" t="e">
            <v>#N/A</v>
          </cell>
          <cell r="AA378">
            <v>0.35002135522088729</v>
          </cell>
          <cell r="AB378">
            <v>0.35002135522088729</v>
          </cell>
          <cell r="AC378">
            <v>0.11152976639035428</v>
          </cell>
          <cell r="AD378" t="e">
            <v>#N/A</v>
          </cell>
          <cell r="AE378">
            <v>0.72307692307692317</v>
          </cell>
          <cell r="AF378">
            <v>0.66927899686520376</v>
          </cell>
          <cell r="AG378">
            <v>0.63804878048780478</v>
          </cell>
          <cell r="AH378">
            <v>0.77948717948717938</v>
          </cell>
          <cell r="AI378">
            <v>0.69206124196475738</v>
          </cell>
          <cell r="AJ378" t="e">
            <v>#VALUE!</v>
          </cell>
          <cell r="AK378">
            <v>0.37619047619047619</v>
          </cell>
          <cell r="AL378">
            <v>0.20037735849056593</v>
          </cell>
          <cell r="AM378">
            <v>0.38896551724137929</v>
          </cell>
          <cell r="AN378">
            <v>1.8514285714285714</v>
          </cell>
          <cell r="AO378" t="e">
            <v>#N/A</v>
          </cell>
          <cell r="AP378">
            <v>0.45487804878048799</v>
          </cell>
          <cell r="AQ378" t="e">
            <v>#VALUE!</v>
          </cell>
          <cell r="AR378">
            <v>0.45487804878048799</v>
          </cell>
          <cell r="AS378">
            <v>0.63804878048780478</v>
          </cell>
          <cell r="AT378" t="e">
            <v>#N/A</v>
          </cell>
          <cell r="AU378">
            <v>0.38819742489270381</v>
          </cell>
          <cell r="AV378">
            <v>0.38819742489270381</v>
          </cell>
          <cell r="AW378" t="e">
            <v>#VALUE!</v>
          </cell>
          <cell r="AX378" t="e">
            <v>#VALUE!</v>
          </cell>
          <cell r="AY378" t="e">
            <v>#VALUE!</v>
          </cell>
          <cell r="AZ378" t="e">
            <v>#VALUE!</v>
          </cell>
          <cell r="BA378" t="e">
            <v>#VALUE!</v>
          </cell>
          <cell r="BB378" t="e">
            <v>#VALUE!</v>
          </cell>
          <cell r="BC378" t="e">
            <v>#VALUE!</v>
          </cell>
          <cell r="BD378" t="e">
            <v>#VALUE!</v>
          </cell>
          <cell r="BE378" t="e">
            <v>#VALUE!</v>
          </cell>
        </row>
        <row r="379">
          <cell r="H379" t="e">
            <v>#DIV/0!</v>
          </cell>
          <cell r="I379" t="e">
            <v>#DIV/0!</v>
          </cell>
          <cell r="J379" t="e">
            <v>#DIV/0!</v>
          </cell>
          <cell r="K379" t="e">
            <v>#DIV/0!</v>
          </cell>
          <cell r="L379" t="e">
            <v>#DIV/0!</v>
          </cell>
          <cell r="M379" t="e">
            <v>#DIV/0!</v>
          </cell>
          <cell r="N379" t="e">
            <v>#DIV/0!</v>
          </cell>
          <cell r="O379" t="e">
            <v>#DIV/0!</v>
          </cell>
          <cell r="P379" t="e">
            <v>#DIV/0!</v>
          </cell>
          <cell r="Q379" t="e">
            <v>#DIV/0!</v>
          </cell>
          <cell r="R379" t="e">
            <v>#DIV/0!</v>
          </cell>
          <cell r="S379" t="e">
            <v>#DIV/0!</v>
          </cell>
          <cell r="T379" t="e">
            <v>#DIV/0!</v>
          </cell>
          <cell r="U379" t="e">
            <v>#DIV/0!</v>
          </cell>
          <cell r="V379" t="e">
            <v>#DIV/0!</v>
          </cell>
          <cell r="W379" t="e">
            <v>#DIV/0!</v>
          </cell>
          <cell r="X379" t="e">
            <v>#DIV/0!</v>
          </cell>
          <cell r="Y379">
            <v>9.6752147494687746E-2</v>
          </cell>
          <cell r="Z379" t="e">
            <v>#DIV/0!</v>
          </cell>
          <cell r="AA379" t="e">
            <v>#DIV/0!</v>
          </cell>
          <cell r="AB379" t="e">
            <v>#DIV/0!</v>
          </cell>
          <cell r="AC379" t="e">
            <v>#DIV/0!</v>
          </cell>
          <cell r="AD379" t="e">
            <v>#DIV/0!</v>
          </cell>
          <cell r="AE379" t="e">
            <v>#DIV/0!</v>
          </cell>
          <cell r="AF379" t="e">
            <v>#DIV/0!</v>
          </cell>
          <cell r="AG379" t="e">
            <v>#DIV/0!</v>
          </cell>
          <cell r="AH379" t="e">
            <v>#DIV/0!</v>
          </cell>
          <cell r="AI379" t="e">
            <v>#DIV/0!</v>
          </cell>
          <cell r="AJ379" t="e">
            <v>#DIV/0!</v>
          </cell>
          <cell r="AK379" t="e">
            <v>#DIV/0!</v>
          </cell>
          <cell r="AL379" t="e">
            <v>#DIV/0!</v>
          </cell>
          <cell r="AM379" t="e">
            <v>#DIV/0!</v>
          </cell>
          <cell r="AN379" t="e">
            <v>#DIV/0!</v>
          </cell>
          <cell r="AO379" t="e">
            <v>#DIV/0!</v>
          </cell>
          <cell r="AP379" t="e">
            <v>#DIV/0!</v>
          </cell>
          <cell r="AQ379" t="e">
            <v>#DIV/0!</v>
          </cell>
          <cell r="AR379" t="e">
            <v>#DIV/0!</v>
          </cell>
          <cell r="AS379" t="e">
            <v>#DIV/0!</v>
          </cell>
          <cell r="AT379" t="e">
            <v>#DIV/0!</v>
          </cell>
          <cell r="AU379" t="e">
            <v>#DIV/0!</v>
          </cell>
          <cell r="AV379" t="e">
            <v>#DIV/0!</v>
          </cell>
          <cell r="AW379" t="e">
            <v>#DIV/0!</v>
          </cell>
          <cell r="AX379" t="e">
            <v>#DIV/0!</v>
          </cell>
          <cell r="AY379" t="e">
            <v>#DIV/0!</v>
          </cell>
          <cell r="AZ379" t="e">
            <v>#DIV/0!</v>
          </cell>
          <cell r="BA379" t="e">
            <v>#DIV/0!</v>
          </cell>
          <cell r="BB379" t="e">
            <v>#DIV/0!</v>
          </cell>
          <cell r="BC379" t="e">
            <v>#DIV/0!</v>
          </cell>
          <cell r="BD379" t="e">
            <v>#DIV/0!</v>
          </cell>
          <cell r="BE379" t="e">
            <v>#DIV/0!</v>
          </cell>
        </row>
        <row r="380">
          <cell r="H380" t="e">
            <v>#DIV/0!</v>
          </cell>
          <cell r="I380" t="e">
            <v>#DIV/0!</v>
          </cell>
          <cell r="J380" t="e">
            <v>#DIV/0!</v>
          </cell>
          <cell r="K380" t="e">
            <v>#DIV/0!</v>
          </cell>
          <cell r="L380" t="e">
            <v>#DIV/0!</v>
          </cell>
          <cell r="M380" t="e">
            <v>#DIV/0!</v>
          </cell>
          <cell r="N380" t="e">
            <v>#DIV/0!</v>
          </cell>
          <cell r="O380" t="e">
            <v>#DIV/0!</v>
          </cell>
          <cell r="P380" t="e">
            <v>#DIV/0!</v>
          </cell>
          <cell r="Q380" t="e">
            <v>#DIV/0!</v>
          </cell>
          <cell r="R380" t="e">
            <v>#DIV/0!</v>
          </cell>
          <cell r="S380" t="e">
            <v>#DIV/0!</v>
          </cell>
          <cell r="T380" t="e">
            <v>#DIV/0!</v>
          </cell>
          <cell r="U380" t="e">
            <v>#DIV/0!</v>
          </cell>
          <cell r="V380" t="e">
            <v>#DIV/0!</v>
          </cell>
          <cell r="W380" t="e">
            <v>#DIV/0!</v>
          </cell>
          <cell r="X380" t="e">
            <v>#DIV/0!</v>
          </cell>
          <cell r="Y380">
            <v>9.6752147494687746E-2</v>
          </cell>
          <cell r="Z380" t="e">
            <v>#DIV/0!</v>
          </cell>
          <cell r="AA380" t="e">
            <v>#DIV/0!</v>
          </cell>
          <cell r="AB380" t="e">
            <v>#DIV/0!</v>
          </cell>
          <cell r="AC380" t="e">
            <v>#DIV/0!</v>
          </cell>
          <cell r="AD380" t="e">
            <v>#DIV/0!</v>
          </cell>
          <cell r="AE380" t="e">
            <v>#DIV/0!</v>
          </cell>
          <cell r="AF380" t="e">
            <v>#DIV/0!</v>
          </cell>
          <cell r="AG380" t="e">
            <v>#DIV/0!</v>
          </cell>
          <cell r="AH380" t="e">
            <v>#DIV/0!</v>
          </cell>
          <cell r="AI380" t="e">
            <v>#DIV/0!</v>
          </cell>
          <cell r="AJ380" t="e">
            <v>#DIV/0!</v>
          </cell>
          <cell r="AK380" t="e">
            <v>#DIV/0!</v>
          </cell>
          <cell r="AL380" t="e">
            <v>#DIV/0!</v>
          </cell>
          <cell r="AM380" t="e">
            <v>#DIV/0!</v>
          </cell>
          <cell r="AN380" t="e">
            <v>#DIV/0!</v>
          </cell>
          <cell r="AO380" t="e">
            <v>#DIV/0!</v>
          </cell>
          <cell r="AP380" t="e">
            <v>#DIV/0!</v>
          </cell>
          <cell r="AQ380" t="e">
            <v>#DIV/0!</v>
          </cell>
          <cell r="AR380" t="e">
            <v>#DIV/0!</v>
          </cell>
          <cell r="AS380" t="e">
            <v>#DIV/0!</v>
          </cell>
          <cell r="AT380" t="e">
            <v>#DIV/0!</v>
          </cell>
          <cell r="AU380" t="e">
            <v>#DIV/0!</v>
          </cell>
          <cell r="AV380" t="e">
            <v>#DIV/0!</v>
          </cell>
          <cell r="AW380" t="e">
            <v>#DIV/0!</v>
          </cell>
          <cell r="AX380" t="e">
            <v>#DIV/0!</v>
          </cell>
          <cell r="AY380" t="e">
            <v>#DIV/0!</v>
          </cell>
          <cell r="AZ380" t="e">
            <v>#DIV/0!</v>
          </cell>
          <cell r="BA380" t="e">
            <v>#DIV/0!</v>
          </cell>
          <cell r="BB380" t="e">
            <v>#DIV/0!</v>
          </cell>
          <cell r="BC380" t="e">
            <v>#DIV/0!</v>
          </cell>
          <cell r="BD380" t="e">
            <v>#DIV/0!</v>
          </cell>
          <cell r="BE380" t="e">
            <v>#DIV/0!</v>
          </cell>
        </row>
        <row r="381">
          <cell r="H381" t="e">
            <v>#DIV/0!</v>
          </cell>
          <cell r="I381" t="e">
            <v>#DIV/0!</v>
          </cell>
          <cell r="J381" t="e">
            <v>#DIV/0!</v>
          </cell>
          <cell r="K381" t="e">
            <v>#DIV/0!</v>
          </cell>
          <cell r="L381" t="e">
            <v>#DIV/0!</v>
          </cell>
          <cell r="M381" t="e">
            <v>#DIV/0!</v>
          </cell>
          <cell r="N381" t="e">
            <v>#DIV/0!</v>
          </cell>
          <cell r="O381" t="e">
            <v>#DIV/0!</v>
          </cell>
          <cell r="P381" t="e">
            <v>#DIV/0!</v>
          </cell>
          <cell r="Q381" t="e">
            <v>#DIV/0!</v>
          </cell>
          <cell r="R381" t="e">
            <v>#DIV/0!</v>
          </cell>
          <cell r="S381" t="e">
            <v>#DIV/0!</v>
          </cell>
          <cell r="T381" t="e">
            <v>#DIV/0!</v>
          </cell>
          <cell r="U381" t="e">
            <v>#DIV/0!</v>
          </cell>
          <cell r="V381" t="e">
            <v>#DIV/0!</v>
          </cell>
          <cell r="W381" t="e">
            <v>#DIV/0!</v>
          </cell>
          <cell r="X381" t="e">
            <v>#DIV/0!</v>
          </cell>
          <cell r="Y381">
            <v>9.6752147494687746E-2</v>
          </cell>
          <cell r="Z381" t="e">
            <v>#DIV/0!</v>
          </cell>
          <cell r="AA381" t="e">
            <v>#DIV/0!</v>
          </cell>
          <cell r="AB381" t="e">
            <v>#DIV/0!</v>
          </cell>
          <cell r="AC381" t="e">
            <v>#DIV/0!</v>
          </cell>
          <cell r="AD381" t="e">
            <v>#DIV/0!</v>
          </cell>
          <cell r="AE381" t="e">
            <v>#DIV/0!</v>
          </cell>
          <cell r="AF381" t="e">
            <v>#DIV/0!</v>
          </cell>
          <cell r="AG381" t="e">
            <v>#DIV/0!</v>
          </cell>
          <cell r="AH381" t="e">
            <v>#DIV/0!</v>
          </cell>
          <cell r="AI381" t="e">
            <v>#DIV/0!</v>
          </cell>
          <cell r="AJ381" t="e">
            <v>#DIV/0!</v>
          </cell>
          <cell r="AK381" t="e">
            <v>#DIV/0!</v>
          </cell>
          <cell r="AL381" t="e">
            <v>#DIV/0!</v>
          </cell>
          <cell r="AM381" t="e">
            <v>#DIV/0!</v>
          </cell>
          <cell r="AN381" t="e">
            <v>#DIV/0!</v>
          </cell>
          <cell r="AO381" t="e">
            <v>#DIV/0!</v>
          </cell>
          <cell r="AP381" t="e">
            <v>#DIV/0!</v>
          </cell>
          <cell r="AQ381" t="e">
            <v>#DIV/0!</v>
          </cell>
          <cell r="AR381" t="e">
            <v>#DIV/0!</v>
          </cell>
          <cell r="AS381" t="e">
            <v>#DIV/0!</v>
          </cell>
          <cell r="AT381" t="e">
            <v>#DIV/0!</v>
          </cell>
          <cell r="AU381" t="e">
            <v>#DIV/0!</v>
          </cell>
          <cell r="AV381" t="e">
            <v>#DIV/0!</v>
          </cell>
          <cell r="AW381" t="e">
            <v>#DIV/0!</v>
          </cell>
          <cell r="AX381" t="e">
            <v>#DIV/0!</v>
          </cell>
          <cell r="AY381" t="e">
            <v>#DIV/0!</v>
          </cell>
          <cell r="AZ381" t="e">
            <v>#DIV/0!</v>
          </cell>
          <cell r="BA381" t="e">
            <v>#DIV/0!</v>
          </cell>
          <cell r="BB381" t="e">
            <v>#DIV/0!</v>
          </cell>
          <cell r="BC381" t="e">
            <v>#DIV/0!</v>
          </cell>
          <cell r="BD381" t="e">
            <v>#DIV/0!</v>
          </cell>
          <cell r="BE381" t="e">
            <v>#DIV/0!</v>
          </cell>
        </row>
        <row r="382">
          <cell r="H382" t="e">
            <v>#DIV/0!</v>
          </cell>
          <cell r="I382" t="e">
            <v>#DIV/0!</v>
          </cell>
          <cell r="J382" t="e">
            <v>#DIV/0!</v>
          </cell>
          <cell r="K382" t="e">
            <v>#DIV/0!</v>
          </cell>
          <cell r="L382" t="e">
            <v>#DIV/0!</v>
          </cell>
          <cell r="M382" t="e">
            <v>#DIV/0!</v>
          </cell>
          <cell r="N382" t="e">
            <v>#DIV/0!</v>
          </cell>
          <cell r="O382" t="e">
            <v>#DIV/0!</v>
          </cell>
          <cell r="P382" t="e">
            <v>#DIV/0!</v>
          </cell>
          <cell r="Q382" t="e">
            <v>#DIV/0!</v>
          </cell>
          <cell r="R382" t="e">
            <v>#DIV/0!</v>
          </cell>
          <cell r="S382" t="e">
            <v>#DIV/0!</v>
          </cell>
          <cell r="T382" t="e">
            <v>#DIV/0!</v>
          </cell>
          <cell r="U382" t="e">
            <v>#DIV/0!</v>
          </cell>
          <cell r="V382" t="e">
            <v>#DIV/0!</v>
          </cell>
          <cell r="W382" t="e">
            <v>#DIV/0!</v>
          </cell>
          <cell r="X382" t="e">
            <v>#DIV/0!</v>
          </cell>
          <cell r="Y382">
            <v>8.6972061948397295E-2</v>
          </cell>
          <cell r="Z382" t="e">
            <v>#DIV/0!</v>
          </cell>
          <cell r="AA382" t="e">
            <v>#DIV/0!</v>
          </cell>
          <cell r="AB382" t="e">
            <v>#DIV/0!</v>
          </cell>
          <cell r="AC382" t="e">
            <v>#DIV/0!</v>
          </cell>
          <cell r="AD382" t="e">
            <v>#DIV/0!</v>
          </cell>
          <cell r="AE382" t="e">
            <v>#DIV/0!</v>
          </cell>
          <cell r="AF382" t="e">
            <v>#DIV/0!</v>
          </cell>
          <cell r="AG382" t="e">
            <v>#DIV/0!</v>
          </cell>
          <cell r="AH382" t="e">
            <v>#DIV/0!</v>
          </cell>
          <cell r="AI382" t="e">
            <v>#DIV/0!</v>
          </cell>
          <cell r="AJ382" t="e">
            <v>#DIV/0!</v>
          </cell>
          <cell r="AK382" t="e">
            <v>#DIV/0!</v>
          </cell>
          <cell r="AL382" t="e">
            <v>#DIV/0!</v>
          </cell>
          <cell r="AM382" t="e">
            <v>#DIV/0!</v>
          </cell>
          <cell r="AN382" t="e">
            <v>#DIV/0!</v>
          </cell>
          <cell r="AO382" t="e">
            <v>#DIV/0!</v>
          </cell>
          <cell r="AP382" t="e">
            <v>#DIV/0!</v>
          </cell>
          <cell r="AQ382" t="e">
            <v>#DIV/0!</v>
          </cell>
          <cell r="AR382" t="e">
            <v>#DIV/0!</v>
          </cell>
          <cell r="AS382" t="e">
            <v>#DIV/0!</v>
          </cell>
          <cell r="AT382" t="e">
            <v>#DIV/0!</v>
          </cell>
          <cell r="AU382" t="e">
            <v>#DIV/0!</v>
          </cell>
          <cell r="AV382" t="e">
            <v>#DIV/0!</v>
          </cell>
          <cell r="AW382" t="e">
            <v>#DIV/0!</v>
          </cell>
          <cell r="AX382" t="e">
            <v>#DIV/0!</v>
          </cell>
          <cell r="AY382" t="e">
            <v>#DIV/0!</v>
          </cell>
          <cell r="AZ382" t="e">
            <v>#DIV/0!</v>
          </cell>
          <cell r="BA382" t="e">
            <v>#DIV/0!</v>
          </cell>
          <cell r="BB382" t="e">
            <v>#DIV/0!</v>
          </cell>
          <cell r="BC382" t="e">
            <v>#DIV/0!</v>
          </cell>
          <cell r="BD382" t="e">
            <v>#DIV/0!</v>
          </cell>
          <cell r="BE382" t="e">
            <v>#DIV/0!</v>
          </cell>
        </row>
        <row r="383">
          <cell r="H383" t="e">
            <v>#DIV/0!</v>
          </cell>
          <cell r="I383" t="e">
            <v>#DIV/0!</v>
          </cell>
          <cell r="J383" t="e">
            <v>#DIV/0!</v>
          </cell>
          <cell r="K383" t="e">
            <v>#DIV/0!</v>
          </cell>
          <cell r="L383" t="e">
            <v>#DIV/0!</v>
          </cell>
          <cell r="M383" t="e">
            <v>#DIV/0!</v>
          </cell>
          <cell r="N383" t="e">
            <v>#DIV/0!</v>
          </cell>
          <cell r="O383" t="e">
            <v>#DIV/0!</v>
          </cell>
          <cell r="P383" t="e">
            <v>#DIV/0!</v>
          </cell>
          <cell r="Q383" t="e">
            <v>#DIV/0!</v>
          </cell>
          <cell r="R383" t="e">
            <v>#DIV/0!</v>
          </cell>
          <cell r="S383" t="e">
            <v>#DIV/0!</v>
          </cell>
          <cell r="T383" t="e">
            <v>#DIV/0!</v>
          </cell>
          <cell r="U383" t="e">
            <v>#DIV/0!</v>
          </cell>
          <cell r="V383" t="e">
            <v>#DIV/0!</v>
          </cell>
          <cell r="W383" t="e">
            <v>#DIV/0!</v>
          </cell>
          <cell r="X383" t="e">
            <v>#DIV/0!</v>
          </cell>
          <cell r="Y383">
            <v>5.6909100192852294E-2</v>
          </cell>
          <cell r="Z383" t="e">
            <v>#DIV/0!</v>
          </cell>
          <cell r="AA383" t="e">
            <v>#DIV/0!</v>
          </cell>
          <cell r="AB383" t="e">
            <v>#DIV/0!</v>
          </cell>
          <cell r="AC383" t="e">
            <v>#DIV/0!</v>
          </cell>
          <cell r="AD383" t="e">
            <v>#DIV/0!</v>
          </cell>
          <cell r="AE383" t="e">
            <v>#DIV/0!</v>
          </cell>
          <cell r="AF383" t="e">
            <v>#DIV/0!</v>
          </cell>
          <cell r="AG383" t="e">
            <v>#DIV/0!</v>
          </cell>
          <cell r="AH383" t="e">
            <v>#DIV/0!</v>
          </cell>
          <cell r="AI383" t="e">
            <v>#DIV/0!</v>
          </cell>
          <cell r="AJ383" t="e">
            <v>#DIV/0!</v>
          </cell>
          <cell r="AK383" t="e">
            <v>#DIV/0!</v>
          </cell>
          <cell r="AL383" t="e">
            <v>#DIV/0!</v>
          </cell>
          <cell r="AM383" t="e">
            <v>#DIV/0!</v>
          </cell>
          <cell r="AN383" t="e">
            <v>#DIV/0!</v>
          </cell>
          <cell r="AO383" t="e">
            <v>#DIV/0!</v>
          </cell>
          <cell r="AP383" t="e">
            <v>#DIV/0!</v>
          </cell>
          <cell r="AQ383" t="e">
            <v>#DIV/0!</v>
          </cell>
          <cell r="AR383" t="e">
            <v>#DIV/0!</v>
          </cell>
          <cell r="AS383" t="e">
            <v>#DIV/0!</v>
          </cell>
          <cell r="AT383" t="e">
            <v>#DIV/0!</v>
          </cell>
          <cell r="AU383" t="e">
            <v>#DIV/0!</v>
          </cell>
          <cell r="AV383" t="e">
            <v>#DIV/0!</v>
          </cell>
          <cell r="AW383" t="e">
            <v>#DIV/0!</v>
          </cell>
          <cell r="AX383" t="e">
            <v>#DIV/0!</v>
          </cell>
          <cell r="AY383" t="e">
            <v>#DIV/0!</v>
          </cell>
          <cell r="AZ383" t="e">
            <v>#DIV/0!</v>
          </cell>
          <cell r="BA383" t="e">
            <v>#DIV/0!</v>
          </cell>
          <cell r="BB383" t="e">
            <v>#DIV/0!</v>
          </cell>
          <cell r="BC383" t="e">
            <v>#DIV/0!</v>
          </cell>
          <cell r="BD383" t="e">
            <v>#DIV/0!</v>
          </cell>
          <cell r="BE383" t="e">
            <v>#DIV/0!</v>
          </cell>
        </row>
        <row r="389">
          <cell r="H389">
            <v>34.51</v>
          </cell>
          <cell r="I389">
            <v>5.66</v>
          </cell>
          <cell r="J389">
            <v>29.09</v>
          </cell>
          <cell r="K389">
            <v>44.25</v>
          </cell>
          <cell r="L389">
            <v>18.05</v>
          </cell>
          <cell r="M389">
            <v>19</v>
          </cell>
          <cell r="N389">
            <v>30.01</v>
          </cell>
          <cell r="O389">
            <v>12.27</v>
          </cell>
          <cell r="P389">
            <v>5.52</v>
          </cell>
          <cell r="Q389">
            <v>17.329999999999998</v>
          </cell>
          <cell r="R389">
            <v>33.479999999999997</v>
          </cell>
          <cell r="S389">
            <v>24.02</v>
          </cell>
          <cell r="T389" t="e">
            <v>#VALUE!</v>
          </cell>
          <cell r="U389">
            <v>21.26</v>
          </cell>
          <cell r="V389">
            <v>52.05</v>
          </cell>
          <cell r="W389">
            <v>34.51</v>
          </cell>
          <cell r="X389">
            <v>34.64</v>
          </cell>
          <cell r="Y389">
            <v>24.38</v>
          </cell>
          <cell r="Z389" t="e">
            <v>#N/A</v>
          </cell>
          <cell r="AA389">
            <v>72.7</v>
          </cell>
          <cell r="AB389">
            <v>72.7</v>
          </cell>
          <cell r="AC389">
            <v>14.75</v>
          </cell>
          <cell r="AD389" t="e">
            <v>#N/A</v>
          </cell>
          <cell r="AE389">
            <v>7.84</v>
          </cell>
          <cell r="AF389">
            <v>53.25</v>
          </cell>
          <cell r="AG389">
            <v>33.58</v>
          </cell>
          <cell r="AH389">
            <v>52.05</v>
          </cell>
          <cell r="AI389">
            <v>8.26</v>
          </cell>
          <cell r="AJ389" t="e">
            <v>#VALUE!</v>
          </cell>
          <cell r="AK389">
            <v>28.9</v>
          </cell>
          <cell r="AL389">
            <v>31.81</v>
          </cell>
          <cell r="AM389">
            <v>50.35</v>
          </cell>
          <cell r="AN389">
            <v>4.99</v>
          </cell>
          <cell r="AO389" t="e">
            <v>#N/A</v>
          </cell>
          <cell r="AP389">
            <v>47.72</v>
          </cell>
          <cell r="AQ389" t="e">
            <v>#VALUE!</v>
          </cell>
          <cell r="AR389">
            <v>47.72</v>
          </cell>
          <cell r="AS389">
            <v>33.58</v>
          </cell>
          <cell r="AT389" t="e">
            <v>#N/A</v>
          </cell>
          <cell r="AU389">
            <v>64.69</v>
          </cell>
          <cell r="AV389">
            <v>64.69</v>
          </cell>
          <cell r="AW389" t="e">
            <v>#VALUE!</v>
          </cell>
          <cell r="AX389" t="e">
            <v>#VALUE!</v>
          </cell>
          <cell r="AY389" t="e">
            <v>#VALUE!</v>
          </cell>
          <cell r="AZ389" t="e">
            <v>#VALUE!</v>
          </cell>
          <cell r="BA389" t="e">
            <v>#VALUE!</v>
          </cell>
          <cell r="BB389" t="e">
            <v>#VALUE!</v>
          </cell>
          <cell r="BC389" t="e">
            <v>#VALUE!</v>
          </cell>
          <cell r="BD389" t="e">
            <v>#VALUE!</v>
          </cell>
          <cell r="BE389" t="e">
            <v>#VALUE!</v>
          </cell>
        </row>
        <row r="390">
          <cell r="H390">
            <v>59.207999999999998</v>
          </cell>
          <cell r="I390">
            <v>145.916</v>
          </cell>
          <cell r="J390">
            <v>42.494525000000003</v>
          </cell>
          <cell r="K390">
            <v>26.085000000000001</v>
          </cell>
          <cell r="L390">
            <v>60.100999999999999</v>
          </cell>
          <cell r="M390">
            <v>213.28299999999999</v>
          </cell>
          <cell r="N390">
            <v>45.409689999999998</v>
          </cell>
          <cell r="O390">
            <v>15.414</v>
          </cell>
          <cell r="P390">
            <v>125.556</v>
          </cell>
          <cell r="Q390">
            <v>186.74</v>
          </cell>
          <cell r="R390">
            <v>35.048999999999999</v>
          </cell>
          <cell r="S390">
            <v>136.77799999999999</v>
          </cell>
          <cell r="T390">
            <v>57.9</v>
          </cell>
          <cell r="U390">
            <v>16.077313</v>
          </cell>
          <cell r="V390">
            <v>28.199946000000001</v>
          </cell>
          <cell r="W390">
            <v>52.961227999999998</v>
          </cell>
          <cell r="X390">
            <v>47.744526999999998</v>
          </cell>
          <cell r="Y390">
            <v>44.61</v>
          </cell>
          <cell r="Z390">
            <v>135.58958899999999</v>
          </cell>
          <cell r="AA390">
            <v>53.001061999999997</v>
          </cell>
          <cell r="AB390">
            <v>112.89100000000001</v>
          </cell>
          <cell r="AC390">
            <v>40.850999999999999</v>
          </cell>
          <cell r="AD390">
            <v>0</v>
          </cell>
          <cell r="AE390">
            <v>71.217195000000004</v>
          </cell>
          <cell r="AF390">
            <v>44.747</v>
          </cell>
          <cell r="AG390">
            <v>24.778272999999999</v>
          </cell>
          <cell r="AH390">
            <v>26.098680000000002</v>
          </cell>
          <cell r="AI390">
            <v>0</v>
          </cell>
          <cell r="AJ390">
            <v>31.284690000000001</v>
          </cell>
          <cell r="AK390">
            <v>57.9</v>
          </cell>
          <cell r="AL390">
            <v>301</v>
          </cell>
          <cell r="AM390">
            <v>73.771000000000001</v>
          </cell>
          <cell r="AN390">
            <v>12.315314000000001</v>
          </cell>
          <cell r="AO390">
            <v>0</v>
          </cell>
          <cell r="AP390">
            <v>0</v>
          </cell>
          <cell r="AQ390">
            <v>0</v>
          </cell>
          <cell r="AR390">
            <v>68.506</v>
          </cell>
          <cell r="AS390">
            <v>12.884701959999999</v>
          </cell>
          <cell r="AT390">
            <v>0</v>
          </cell>
          <cell r="AU390">
            <v>0</v>
          </cell>
          <cell r="AV390">
            <v>460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3"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2.5030000000000001</v>
          </cell>
          <cell r="V393">
            <v>0</v>
          </cell>
          <cell r="W393">
            <v>5.6609999999999996</v>
          </cell>
          <cell r="X393">
            <v>5.0519999999999996</v>
          </cell>
          <cell r="Y393">
            <v>5.1552319999999998</v>
          </cell>
          <cell r="Z393">
            <v>8.721584</v>
          </cell>
          <cell r="AA393">
            <v>3.6339999999999999</v>
          </cell>
          <cell r="AB393">
            <v>0</v>
          </cell>
          <cell r="AC393">
            <v>2.2189999999999999</v>
          </cell>
          <cell r="AD393">
            <v>0</v>
          </cell>
          <cell r="AE393">
            <v>6.3520000000000012</v>
          </cell>
          <cell r="AF393">
            <v>0</v>
          </cell>
          <cell r="AG393">
            <v>7.7510000000000003</v>
          </cell>
          <cell r="AH393">
            <v>1.796775</v>
          </cell>
          <cell r="AI393">
            <v>0</v>
          </cell>
          <cell r="AJ393">
            <v>1.796775</v>
          </cell>
          <cell r="AK393">
            <v>0</v>
          </cell>
          <cell r="AL393">
            <v>60.732304999999997</v>
          </cell>
          <cell r="AM393">
            <v>3.5651830000000002</v>
          </cell>
          <cell r="AN393">
            <v>2.4042520000000001</v>
          </cell>
          <cell r="AO393">
            <v>0</v>
          </cell>
          <cell r="AP393">
            <v>0</v>
          </cell>
          <cell r="AQ393">
            <v>0</v>
          </cell>
          <cell r="AR393">
            <v>0.95021299999999997</v>
          </cell>
          <cell r="AS393">
            <v>4.0305200000000001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18.14</v>
          </cell>
          <cell r="V394">
            <v>0</v>
          </cell>
          <cell r="W394">
            <v>46.72</v>
          </cell>
          <cell r="X394">
            <v>36.450000000000003</v>
          </cell>
          <cell r="Y394">
            <v>22.4</v>
          </cell>
          <cell r="Z394">
            <v>13.83</v>
          </cell>
          <cell r="AA394">
            <v>24</v>
          </cell>
          <cell r="AB394">
            <v>42</v>
          </cell>
          <cell r="AC394">
            <v>13.46</v>
          </cell>
          <cell r="AD394">
            <v>0</v>
          </cell>
          <cell r="AE394">
            <v>10.304480478589419</v>
          </cell>
          <cell r="AF394">
            <v>26.04</v>
          </cell>
          <cell r="AG394">
            <v>18.55</v>
          </cell>
          <cell r="AH394">
            <v>13.52</v>
          </cell>
          <cell r="AI394">
            <v>0</v>
          </cell>
          <cell r="AJ394">
            <v>13.52</v>
          </cell>
          <cell r="AK394">
            <v>0</v>
          </cell>
          <cell r="AL394">
            <v>39.36</v>
          </cell>
          <cell r="AM394">
            <v>32.39</v>
          </cell>
          <cell r="AN394">
            <v>9.9</v>
          </cell>
          <cell r="AO394">
            <v>0</v>
          </cell>
          <cell r="AP394">
            <v>0</v>
          </cell>
          <cell r="AQ394">
            <v>0</v>
          </cell>
          <cell r="AR394">
            <v>20.514070571545538</v>
          </cell>
          <cell r="AS394">
            <v>9.6460000000000008</v>
          </cell>
          <cell r="AT394">
            <v>0</v>
          </cell>
          <cell r="AU394">
            <v>0</v>
          </cell>
          <cell r="AV394">
            <v>34.83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 t="e">
            <v>#VALUE!</v>
          </cell>
          <cell r="U395">
            <v>0.36732643461900283</v>
          </cell>
          <cell r="V395">
            <v>0</v>
          </cell>
          <cell r="W395">
            <v>0</v>
          </cell>
          <cell r="X395">
            <v>0</v>
          </cell>
          <cell r="Y395">
            <v>0.41867757834290398</v>
          </cell>
          <cell r="Z395" t="e">
            <v>#N/A</v>
          </cell>
          <cell r="AA395">
            <v>2.4343301237964239</v>
          </cell>
          <cell r="AB395">
            <v>0</v>
          </cell>
          <cell r="AC395">
            <v>0.19406847457627086</v>
          </cell>
          <cell r="AD395" t="e">
            <v>#N/A</v>
          </cell>
          <cell r="AE395">
            <v>0</v>
          </cell>
          <cell r="AF395">
            <v>0</v>
          </cell>
          <cell r="AG395">
            <v>3.4692534246575333</v>
          </cell>
          <cell r="AH395">
            <v>1.3300622622478386</v>
          </cell>
          <cell r="AI395">
            <v>0</v>
          </cell>
          <cell r="AJ395" t="e">
            <v>#VALUE!</v>
          </cell>
          <cell r="AK395">
            <v>0</v>
          </cell>
          <cell r="AL395">
            <v>0</v>
          </cell>
          <cell r="AM395">
            <v>1.2717117513406158</v>
          </cell>
          <cell r="AN395">
            <v>0</v>
          </cell>
          <cell r="AO395" t="e">
            <v>#N/A</v>
          </cell>
          <cell r="AP395">
            <v>0</v>
          </cell>
          <cell r="AQ395" t="e">
            <v>#VALUE!</v>
          </cell>
          <cell r="AR395">
            <v>0.54173151341156744</v>
          </cell>
          <cell r="AS395">
            <v>2.8727357260273969</v>
          </cell>
          <cell r="AT395" t="e">
            <v>#N/A</v>
          </cell>
          <cell r="AU395">
            <v>0</v>
          </cell>
          <cell r="AV395">
            <v>0</v>
          </cell>
          <cell r="AW395" t="e">
            <v>#VALUE!</v>
          </cell>
          <cell r="AX395" t="e">
            <v>#VALUE!</v>
          </cell>
          <cell r="AY395" t="e">
            <v>#VALUE!</v>
          </cell>
          <cell r="AZ395" t="e">
            <v>#VALUE!</v>
          </cell>
          <cell r="BA395" t="e">
            <v>#VALUE!</v>
          </cell>
          <cell r="BB395" t="e">
            <v>#VALUE!</v>
          </cell>
          <cell r="BC395" t="e">
            <v>#VALUE!</v>
          </cell>
          <cell r="BD395" t="e">
            <v>#VALUE!</v>
          </cell>
          <cell r="BE395" t="e">
            <v>#VALUE!</v>
          </cell>
        </row>
        <row r="398"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0.44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0.78749999999999998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5.82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14.8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 t="e">
            <v>#VALUE!</v>
          </cell>
          <cell r="U400">
            <v>0.31954844778927566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 t="e">
            <v>#N/A</v>
          </cell>
          <cell r="AA400">
            <v>0</v>
          </cell>
          <cell r="AB400">
            <v>0</v>
          </cell>
          <cell r="AC400">
            <v>0</v>
          </cell>
          <cell r="AD400" t="e">
            <v>#N/A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 t="e">
            <v>#VALUE!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 t="e">
            <v>#N/A</v>
          </cell>
          <cell r="AP400">
            <v>0</v>
          </cell>
          <cell r="AQ400" t="e">
            <v>#VALUE!</v>
          </cell>
          <cell r="AR400">
            <v>0</v>
          </cell>
          <cell r="AS400">
            <v>0</v>
          </cell>
          <cell r="AT400" t="e">
            <v>#N/A</v>
          </cell>
          <cell r="AU400">
            <v>0</v>
          </cell>
          <cell r="AV400">
            <v>0</v>
          </cell>
          <cell r="AW400" t="e">
            <v>#VALUE!</v>
          </cell>
          <cell r="AX400" t="e">
            <v>#VALUE!</v>
          </cell>
          <cell r="AY400" t="e">
            <v>#VALUE!</v>
          </cell>
          <cell r="AZ400" t="e">
            <v>#VALUE!</v>
          </cell>
          <cell r="BA400" t="e">
            <v>#VALUE!</v>
          </cell>
          <cell r="BB400" t="e">
            <v>#VALUE!</v>
          </cell>
          <cell r="BC400" t="e">
            <v>#VALUE!</v>
          </cell>
          <cell r="BD400" t="e">
            <v>#VALUE!</v>
          </cell>
          <cell r="BE400" t="e">
            <v>#VALUE!</v>
          </cell>
        </row>
        <row r="403"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172.5</v>
          </cell>
          <cell r="X403">
            <v>0</v>
          </cell>
          <cell r="Y403">
            <v>0</v>
          </cell>
          <cell r="Z403">
            <v>0</v>
          </cell>
          <cell r="AA403">
            <v>300</v>
          </cell>
          <cell r="AB403">
            <v>300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5.5E-2</v>
          </cell>
          <cell r="X404">
            <v>0</v>
          </cell>
          <cell r="Y404">
            <v>0</v>
          </cell>
          <cell r="Z404">
            <v>0</v>
          </cell>
          <cell r="AA404">
            <v>0.05</v>
          </cell>
          <cell r="AB404">
            <v>0.05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85.2</v>
          </cell>
          <cell r="X405">
            <v>0</v>
          </cell>
          <cell r="Y405">
            <v>0</v>
          </cell>
          <cell r="Z405">
            <v>0</v>
          </cell>
          <cell r="AA405">
            <v>52.968800000000002</v>
          </cell>
          <cell r="AB405">
            <v>52.97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2.0246478873239435</v>
          </cell>
          <cell r="X406">
            <v>0</v>
          </cell>
          <cell r="Y406">
            <v>0</v>
          </cell>
          <cell r="Z406">
            <v>0</v>
          </cell>
          <cell r="AA406">
            <v>5.6637114678829796</v>
          </cell>
          <cell r="AB406">
            <v>5.6635831602794031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 t="e">
            <v>#VALUE!</v>
          </cell>
          <cell r="U407">
            <v>-2.0877838070956129E-2</v>
          </cell>
          <cell r="V407">
            <v>6.2927070608341964</v>
          </cell>
          <cell r="W407">
            <v>1.4611726903311231</v>
          </cell>
          <cell r="X407">
            <v>1.959960772048281</v>
          </cell>
          <cell r="Y407">
            <v>0.7272476510780338</v>
          </cell>
          <cell r="Z407" t="e">
            <v>#N/A</v>
          </cell>
          <cell r="AA407">
            <v>1.7739605734255479</v>
          </cell>
          <cell r="AB407">
            <v>2.6776822155884878</v>
          </cell>
          <cell r="AC407">
            <v>0.87442904431335655</v>
          </cell>
          <cell r="AD407" t="e">
            <v>#N/A</v>
          </cell>
          <cell r="AE407">
            <v>0.15154767047480602</v>
          </cell>
          <cell r="AF407">
            <v>2.1999910608532418</v>
          </cell>
          <cell r="AG407">
            <v>1.3329662723010089</v>
          </cell>
          <cell r="AH407">
            <v>0.31671156908847936</v>
          </cell>
          <cell r="AI407" t="e">
            <v>#DIV/0!</v>
          </cell>
          <cell r="AJ407" t="e">
            <v>#VALUE!</v>
          </cell>
          <cell r="AK407">
            <v>1.5082279792746116</v>
          </cell>
          <cell r="AL407">
            <v>1.3029900332225912</v>
          </cell>
          <cell r="AM407">
            <v>1.8855928403663016</v>
          </cell>
          <cell r="AN407">
            <v>-0.24936432802281777</v>
          </cell>
          <cell r="AO407" t="e">
            <v>#N/A</v>
          </cell>
          <cell r="AP407" t="e">
            <v>#DIV/0!</v>
          </cell>
          <cell r="AQ407" t="e">
            <v>#VALUE!</v>
          </cell>
          <cell r="AR407">
            <v>1.1532167423130122</v>
          </cell>
          <cell r="AS407">
            <v>2.3895382453828815</v>
          </cell>
          <cell r="AT407" t="e">
            <v>#N/A</v>
          </cell>
          <cell r="AU407" t="e">
            <v>#DIV/0!</v>
          </cell>
          <cell r="AV407">
            <v>2.9161682608695649</v>
          </cell>
          <cell r="AW407" t="e">
            <v>#VALUE!</v>
          </cell>
          <cell r="AX407" t="e">
            <v>#VALUE!</v>
          </cell>
          <cell r="AY407" t="e">
            <v>#VALUE!</v>
          </cell>
          <cell r="AZ407" t="e">
            <v>#VALUE!</v>
          </cell>
          <cell r="BA407" t="e">
            <v>#VALUE!</v>
          </cell>
          <cell r="BB407" t="e">
            <v>#VALUE!</v>
          </cell>
          <cell r="BC407" t="e">
            <v>#VALUE!</v>
          </cell>
          <cell r="BD407" t="e">
            <v>#VALUE!</v>
          </cell>
          <cell r="BE407" t="e">
            <v>#VALUE!</v>
          </cell>
        </row>
        <row r="408"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 t="e">
            <v>#VALUE!</v>
          </cell>
          <cell r="U408">
            <v>-2.0877838070956129E-2</v>
          </cell>
          <cell r="V408">
            <v>6.2927070608341964</v>
          </cell>
          <cell r="W408">
            <v>1.4073705065383875</v>
          </cell>
          <cell r="X408">
            <v>1.959960772048281</v>
          </cell>
          <cell r="Y408">
            <v>0.7272476510780338</v>
          </cell>
          <cell r="Z408" t="e">
            <v>#N/A</v>
          </cell>
          <cell r="AA408">
            <v>1.6095195218771126</v>
          </cell>
          <cell r="AB408">
            <v>2.5878253171566397</v>
          </cell>
          <cell r="AC408">
            <v>0.87442904431335655</v>
          </cell>
          <cell r="AD408" t="e">
            <v>#N/A</v>
          </cell>
          <cell r="AE408">
            <v>0.15154767047480602</v>
          </cell>
          <cell r="AF408">
            <v>2.1999910608532418</v>
          </cell>
          <cell r="AG408">
            <v>1.3329662723010089</v>
          </cell>
          <cell r="AH408">
            <v>0.31671156908847936</v>
          </cell>
          <cell r="AI408" t="e">
            <v>#DIV/0!</v>
          </cell>
          <cell r="AJ408" t="e">
            <v>#VALUE!</v>
          </cell>
          <cell r="AK408">
            <v>1.5082279792746116</v>
          </cell>
          <cell r="AL408">
            <v>1.3029900332225912</v>
          </cell>
          <cell r="AM408">
            <v>1.8855928403663016</v>
          </cell>
          <cell r="AN408">
            <v>-0.24936432802281777</v>
          </cell>
          <cell r="AO408" t="e">
            <v>#N/A</v>
          </cell>
          <cell r="AP408" t="e">
            <v>#DIV/0!</v>
          </cell>
          <cell r="AQ408" t="e">
            <v>#VALUE!</v>
          </cell>
          <cell r="AR408">
            <v>1.1532167423130122</v>
          </cell>
          <cell r="AS408">
            <v>2.3895382453828815</v>
          </cell>
          <cell r="AT408" t="e">
            <v>#N/A</v>
          </cell>
          <cell r="AU408" t="e">
            <v>#DIV/0!</v>
          </cell>
          <cell r="AV408">
            <v>2.9161682608695649</v>
          </cell>
          <cell r="AW408" t="e">
            <v>#VALUE!</v>
          </cell>
          <cell r="AX408" t="e">
            <v>#VALUE!</v>
          </cell>
          <cell r="AY408" t="e">
            <v>#VALUE!</v>
          </cell>
          <cell r="AZ408" t="e">
            <v>#VALUE!</v>
          </cell>
          <cell r="BA408" t="e">
            <v>#VALUE!</v>
          </cell>
          <cell r="BB408" t="e">
            <v>#VALUE!</v>
          </cell>
          <cell r="BC408" t="e">
            <v>#VALUE!</v>
          </cell>
          <cell r="BD408" t="e">
            <v>#VALUE!</v>
          </cell>
          <cell r="BE408" t="e">
            <v>#VALUE!</v>
          </cell>
        </row>
        <row r="409">
          <cell r="H409" t="str">
            <v>No</v>
          </cell>
          <cell r="I409" t="str">
            <v>No</v>
          </cell>
          <cell r="J409" t="str">
            <v>No</v>
          </cell>
          <cell r="K409" t="str">
            <v>No</v>
          </cell>
          <cell r="L409" t="str">
            <v>No</v>
          </cell>
          <cell r="M409" t="str">
            <v>No</v>
          </cell>
          <cell r="N409" t="str">
            <v>No</v>
          </cell>
          <cell r="O409" t="str">
            <v>No</v>
          </cell>
          <cell r="P409" t="str">
            <v>No</v>
          </cell>
          <cell r="Q409" t="str">
            <v>No</v>
          </cell>
          <cell r="R409" t="str">
            <v>No</v>
          </cell>
          <cell r="S409" t="str">
            <v>No</v>
          </cell>
          <cell r="T409" t="e">
            <v>#VALUE!</v>
          </cell>
          <cell r="U409" t="str">
            <v>No</v>
          </cell>
          <cell r="V409" t="str">
            <v>No</v>
          </cell>
          <cell r="W409" t="str">
            <v>Yes</v>
          </cell>
          <cell r="X409" t="str">
            <v>No</v>
          </cell>
          <cell r="Y409" t="str">
            <v>No</v>
          </cell>
          <cell r="Z409" t="e">
            <v>#N/A</v>
          </cell>
          <cell r="AA409" t="str">
            <v>Yes</v>
          </cell>
          <cell r="AB409" t="str">
            <v>Yes</v>
          </cell>
          <cell r="AC409" t="str">
            <v>No</v>
          </cell>
          <cell r="AD409" t="e">
            <v>#N/A</v>
          </cell>
          <cell r="AE409" t="str">
            <v>No</v>
          </cell>
          <cell r="AF409" t="str">
            <v>No</v>
          </cell>
          <cell r="AG409" t="str">
            <v>No</v>
          </cell>
          <cell r="AH409" t="str">
            <v>No</v>
          </cell>
          <cell r="AI409" t="e">
            <v>#DIV/0!</v>
          </cell>
          <cell r="AJ409" t="e">
            <v>#VALUE!</v>
          </cell>
          <cell r="AK409" t="str">
            <v>No</v>
          </cell>
          <cell r="AL409" t="str">
            <v>No</v>
          </cell>
          <cell r="AM409" t="str">
            <v>No</v>
          </cell>
          <cell r="AN409" t="str">
            <v>No</v>
          </cell>
          <cell r="AO409" t="e">
            <v>#N/A</v>
          </cell>
          <cell r="AP409" t="e">
            <v>#DIV/0!</v>
          </cell>
          <cell r="AQ409" t="e">
            <v>#VALUE!</v>
          </cell>
          <cell r="AR409" t="str">
            <v>No</v>
          </cell>
          <cell r="AS409" t="str">
            <v>No</v>
          </cell>
          <cell r="AT409" t="e">
            <v>#N/A</v>
          </cell>
          <cell r="AU409" t="e">
            <v>#DIV/0!</v>
          </cell>
          <cell r="AV409" t="str">
            <v>No</v>
          </cell>
          <cell r="AW409" t="e">
            <v>#VALUE!</v>
          </cell>
          <cell r="AX409" t="e">
            <v>#VALUE!</v>
          </cell>
          <cell r="AY409" t="e">
            <v>#VALUE!</v>
          </cell>
          <cell r="AZ409" t="e">
            <v>#VALUE!</v>
          </cell>
          <cell r="BA409" t="e">
            <v>#VALUE!</v>
          </cell>
          <cell r="BB409" t="e">
            <v>#VALUE!</v>
          </cell>
          <cell r="BC409" t="e">
            <v>#VALUE!</v>
          </cell>
          <cell r="BD409" t="e">
            <v>#VALUE!</v>
          </cell>
          <cell r="BE409" t="e">
            <v>#VALUE!</v>
          </cell>
        </row>
        <row r="410"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4.5123287671232877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 t="e">
            <v>#VALUE!</v>
          </cell>
          <cell r="U411">
            <v>0</v>
          </cell>
          <cell r="V411">
            <v>0</v>
          </cell>
          <cell r="W411">
            <v>2.0246478873239435</v>
          </cell>
          <cell r="X411">
            <v>0</v>
          </cell>
          <cell r="Y411">
            <v>0</v>
          </cell>
          <cell r="Z411" t="e">
            <v>#N/A</v>
          </cell>
          <cell r="AA411">
            <v>5.6637114678829796</v>
          </cell>
          <cell r="AB411">
            <v>5.6635831602794031</v>
          </cell>
          <cell r="AC411">
            <v>0</v>
          </cell>
          <cell r="AD411" t="e">
            <v>#N/A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 t="e">
            <v>#DIV/0!</v>
          </cell>
          <cell r="AJ411" t="e">
            <v>#VALUE!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 t="e">
            <v>#N/A</v>
          </cell>
          <cell r="AP411" t="e">
            <v>#DIV/0!</v>
          </cell>
          <cell r="AQ411" t="e">
            <v>#VALUE!</v>
          </cell>
          <cell r="AR411">
            <v>0</v>
          </cell>
          <cell r="AS411">
            <v>0</v>
          </cell>
          <cell r="AT411" t="e">
            <v>#N/A</v>
          </cell>
          <cell r="AU411" t="e">
            <v>#DIV/0!</v>
          </cell>
          <cell r="AV411">
            <v>0</v>
          </cell>
          <cell r="AW411" t="e">
            <v>#VALUE!</v>
          </cell>
          <cell r="AX411" t="e">
            <v>#VALUE!</v>
          </cell>
          <cell r="AY411" t="e">
            <v>#VALUE!</v>
          </cell>
          <cell r="AZ411" t="e">
            <v>#VALUE!</v>
          </cell>
          <cell r="BA411" t="e">
            <v>#VALUE!</v>
          </cell>
          <cell r="BB411" t="e">
            <v>#VALUE!</v>
          </cell>
          <cell r="BC411" t="e">
            <v>#VALUE!</v>
          </cell>
          <cell r="BD411" t="e">
            <v>#VALUE!</v>
          </cell>
          <cell r="BE411" t="e">
            <v>#VALUE!</v>
          </cell>
        </row>
        <row r="412"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 t="e">
            <v>#VALUE!</v>
          </cell>
          <cell r="U412">
            <v>0</v>
          </cell>
          <cell r="V412">
            <v>0</v>
          </cell>
          <cell r="W412">
            <v>172.5</v>
          </cell>
          <cell r="X412">
            <v>0</v>
          </cell>
          <cell r="Y412">
            <v>0</v>
          </cell>
          <cell r="Z412" t="e">
            <v>#N/A</v>
          </cell>
          <cell r="AA412">
            <v>300</v>
          </cell>
          <cell r="AB412">
            <v>300</v>
          </cell>
          <cell r="AC412">
            <v>0</v>
          </cell>
          <cell r="AD412" t="e">
            <v>#N/A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 t="e">
            <v>#DIV/0!</v>
          </cell>
          <cell r="AJ412" t="e">
            <v>#VALUE!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 t="e">
            <v>#N/A</v>
          </cell>
          <cell r="AP412" t="e">
            <v>#DIV/0!</v>
          </cell>
          <cell r="AQ412" t="e">
            <v>#VALUE!</v>
          </cell>
          <cell r="AR412">
            <v>0</v>
          </cell>
          <cell r="AS412">
            <v>0</v>
          </cell>
          <cell r="AT412" t="e">
            <v>#N/A</v>
          </cell>
          <cell r="AU412" t="e">
            <v>#DIV/0!</v>
          </cell>
          <cell r="AV412">
            <v>0</v>
          </cell>
          <cell r="AW412" t="e">
            <v>#VALUE!</v>
          </cell>
          <cell r="AX412" t="e">
            <v>#VALUE!</v>
          </cell>
          <cell r="AY412" t="e">
            <v>#VALUE!</v>
          </cell>
          <cell r="AZ412" t="e">
            <v>#VALUE!</v>
          </cell>
          <cell r="BA412" t="e">
            <v>#VALUE!</v>
          </cell>
          <cell r="BB412" t="e">
            <v>#VALUE!</v>
          </cell>
          <cell r="BC412" t="e">
            <v>#VALUE!</v>
          </cell>
          <cell r="BD412" t="e">
            <v>#VALUE!</v>
          </cell>
          <cell r="BE412" t="e">
            <v>#VALUE!</v>
          </cell>
        </row>
        <row r="413">
          <cell r="H413">
            <v>0</v>
          </cell>
          <cell r="I413">
            <v>0</v>
          </cell>
          <cell r="J413">
            <v>1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1</v>
          </cell>
          <cell r="W413">
            <v>0</v>
          </cell>
          <cell r="X413">
            <v>1</v>
          </cell>
          <cell r="Y413">
            <v>0.75068493150684934</v>
          </cell>
          <cell r="Z413">
            <v>0</v>
          </cell>
          <cell r="AA413">
            <v>0</v>
          </cell>
          <cell r="AB413">
            <v>0.50136986301369868</v>
          </cell>
          <cell r="AC413">
            <v>0.75342465753424659</v>
          </cell>
          <cell r="AD413">
            <v>0</v>
          </cell>
          <cell r="AE413">
            <v>0.25205479452054791</v>
          </cell>
          <cell r="AF413">
            <v>0.75068493150684934</v>
          </cell>
          <cell r="AG413">
            <v>0.75342465753424659</v>
          </cell>
          <cell r="AH413">
            <v>0</v>
          </cell>
          <cell r="AI413">
            <v>0</v>
          </cell>
          <cell r="AJ413">
            <v>0.49589041095890407</v>
          </cell>
          <cell r="AK413">
            <v>0.50410958904109582</v>
          </cell>
          <cell r="AL413">
            <v>0.24657534246575341</v>
          </cell>
          <cell r="AM413">
            <v>0</v>
          </cell>
          <cell r="AN413">
            <v>0.75068493150684934</v>
          </cell>
          <cell r="AO413">
            <v>0</v>
          </cell>
          <cell r="AP413">
            <v>0</v>
          </cell>
          <cell r="AQ413">
            <v>0</v>
          </cell>
          <cell r="AR413">
            <v>1</v>
          </cell>
          <cell r="AS413">
            <v>0</v>
          </cell>
          <cell r="AT413">
            <v>0</v>
          </cell>
          <cell r="AU413">
            <v>0</v>
          </cell>
          <cell r="AV413">
            <v>0.24931506849315066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6"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300</v>
          </cell>
          <cell r="AA416">
            <v>0</v>
          </cell>
          <cell r="AB416">
            <v>0</v>
          </cell>
          <cell r="AC416">
            <v>132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196.1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7.8E-2</v>
          </cell>
          <cell r="AA417">
            <v>0</v>
          </cell>
          <cell r="AB417">
            <v>0</v>
          </cell>
          <cell r="AC417">
            <v>5.3749999999999999E-2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0.05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25</v>
          </cell>
          <cell r="AA418">
            <v>0</v>
          </cell>
          <cell r="AB418">
            <v>0</v>
          </cell>
          <cell r="AC418">
            <v>20.625360943816517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36.536741690266801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12</v>
          </cell>
          <cell r="AA419">
            <v>0</v>
          </cell>
          <cell r="AB419">
            <v>0</v>
          </cell>
          <cell r="AC419">
            <v>6.3998879999999998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5.3672000000000004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 t="e">
            <v>#VALUE!</v>
          </cell>
          <cell r="U420">
            <v>-2.0877838070956129E-2</v>
          </cell>
          <cell r="V420">
            <v>6.2927070608341964</v>
          </cell>
          <cell r="W420">
            <v>1.4611726903311231</v>
          </cell>
          <cell r="X420">
            <v>1.959960772048281</v>
          </cell>
          <cell r="Y420">
            <v>0.7272476510780338</v>
          </cell>
          <cell r="Z420" t="e">
            <v>#N/A</v>
          </cell>
          <cell r="AA420">
            <v>1.7739605734255479</v>
          </cell>
          <cell r="AB420">
            <v>2.6776822155884878</v>
          </cell>
          <cell r="AC420">
            <v>0.87442904431335655</v>
          </cell>
          <cell r="AD420" t="e">
            <v>#N/A</v>
          </cell>
          <cell r="AE420">
            <v>0.15154767047480602</v>
          </cell>
          <cell r="AF420">
            <v>2.1999910608532418</v>
          </cell>
          <cell r="AG420">
            <v>1.3329662723010089</v>
          </cell>
          <cell r="AH420">
            <v>0.31671156908847936</v>
          </cell>
          <cell r="AI420" t="e">
            <v>#DIV/0!</v>
          </cell>
          <cell r="AJ420" t="e">
            <v>#VALUE!</v>
          </cell>
          <cell r="AK420">
            <v>1.5082279792746116</v>
          </cell>
          <cell r="AL420">
            <v>1.3029900332225912</v>
          </cell>
          <cell r="AM420">
            <v>1.8855928403663016</v>
          </cell>
          <cell r="AN420">
            <v>-0.24936432802281777</v>
          </cell>
          <cell r="AO420" t="e">
            <v>#N/A</v>
          </cell>
          <cell r="AP420" t="e">
            <v>#DIV/0!</v>
          </cell>
          <cell r="AQ420" t="e">
            <v>#VALUE!</v>
          </cell>
          <cell r="AR420">
            <v>1.1532167423130122</v>
          </cell>
          <cell r="AS420">
            <v>2.3895382453828815</v>
          </cell>
          <cell r="AT420" t="e">
            <v>#N/A</v>
          </cell>
          <cell r="AU420" t="e">
            <v>#DIV/0!</v>
          </cell>
          <cell r="AV420">
            <v>2.9161682608695649</v>
          </cell>
          <cell r="AW420" t="e">
            <v>#VALUE!</v>
          </cell>
          <cell r="AX420" t="e">
            <v>#VALUE!</v>
          </cell>
          <cell r="AY420" t="e">
            <v>#VALUE!</v>
          </cell>
          <cell r="AZ420" t="e">
            <v>#VALUE!</v>
          </cell>
          <cell r="BA420" t="e">
            <v>#VALUE!</v>
          </cell>
          <cell r="BB420" t="e">
            <v>#VALUE!</v>
          </cell>
          <cell r="BC420" t="e">
            <v>#VALUE!</v>
          </cell>
          <cell r="BD420" t="e">
            <v>#VALUE!</v>
          </cell>
          <cell r="BE420" t="e">
            <v>#VALUE!</v>
          </cell>
        </row>
        <row r="421"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 t="e">
            <v>#VALUE!</v>
          </cell>
          <cell r="U421">
            <v>-2.0877838070956129E-2</v>
          </cell>
          <cell r="V421">
            <v>6.2927070608341964</v>
          </cell>
          <cell r="W421">
            <v>1.4611726903311231</v>
          </cell>
          <cell r="X421">
            <v>1.959960772048281</v>
          </cell>
          <cell r="Y421">
            <v>0.7272476510780338</v>
          </cell>
          <cell r="Z421" t="e">
            <v>#N/A</v>
          </cell>
          <cell r="AA421">
            <v>1.7739605734255479</v>
          </cell>
          <cell r="AB421">
            <v>2.6776822155884878</v>
          </cell>
          <cell r="AC421">
            <v>0.82407766119617842</v>
          </cell>
          <cell r="AD421" t="e">
            <v>#N/A</v>
          </cell>
          <cell r="AE421">
            <v>0.15154767047480602</v>
          </cell>
          <cell r="AF421">
            <v>2.1999910608532418</v>
          </cell>
          <cell r="AG421">
            <v>1.3329662723010089</v>
          </cell>
          <cell r="AH421">
            <v>0.31671156908847936</v>
          </cell>
          <cell r="AI421" t="e">
            <v>#DIV/0!</v>
          </cell>
          <cell r="AJ421" t="e">
            <v>#VALUE!</v>
          </cell>
          <cell r="AK421">
            <v>1.5082279792746116</v>
          </cell>
          <cell r="AL421">
            <v>1.2848980006336381</v>
          </cell>
          <cell r="AM421">
            <v>1.8855928403663016</v>
          </cell>
          <cell r="AN421">
            <v>-0.24936432802281777</v>
          </cell>
          <cell r="AO421" t="e">
            <v>#N/A</v>
          </cell>
          <cell r="AP421" t="e">
            <v>#DIV/0!</v>
          </cell>
          <cell r="AQ421" t="e">
            <v>#VALUE!</v>
          </cell>
          <cell r="AR421">
            <v>1.1532167423130122</v>
          </cell>
          <cell r="AS421">
            <v>2.3895382453828815</v>
          </cell>
          <cell r="AT421" t="e">
            <v>#N/A</v>
          </cell>
          <cell r="AU421" t="e">
            <v>#DIV/0!</v>
          </cell>
          <cell r="AV421">
            <v>2.9161682608695649</v>
          </cell>
          <cell r="AW421" t="e">
            <v>#VALUE!</v>
          </cell>
          <cell r="AX421" t="e">
            <v>#VALUE!</v>
          </cell>
          <cell r="AY421" t="e">
            <v>#VALUE!</v>
          </cell>
          <cell r="AZ421" t="e">
            <v>#VALUE!</v>
          </cell>
          <cell r="BA421" t="e">
            <v>#VALUE!</v>
          </cell>
          <cell r="BB421" t="e">
            <v>#VALUE!</v>
          </cell>
          <cell r="BC421" t="e">
            <v>#VALUE!</v>
          </cell>
          <cell r="BD421" t="e">
            <v>#VALUE!</v>
          </cell>
          <cell r="BE421" t="e">
            <v>#VALUE!</v>
          </cell>
        </row>
        <row r="422">
          <cell r="H422" t="str">
            <v>No</v>
          </cell>
          <cell r="I422" t="str">
            <v>No</v>
          </cell>
          <cell r="J422" t="str">
            <v>No</v>
          </cell>
          <cell r="K422" t="str">
            <v>No</v>
          </cell>
          <cell r="L422" t="str">
            <v>No</v>
          </cell>
          <cell r="M422" t="str">
            <v>No</v>
          </cell>
          <cell r="N422" t="str">
            <v>No</v>
          </cell>
          <cell r="O422" t="str">
            <v>No</v>
          </cell>
          <cell r="P422" t="str">
            <v>No</v>
          </cell>
          <cell r="Q422" t="str">
            <v>No</v>
          </cell>
          <cell r="R422" t="str">
            <v>No</v>
          </cell>
          <cell r="S422" t="str">
            <v>No</v>
          </cell>
          <cell r="T422" t="e">
            <v>#VALUE!</v>
          </cell>
          <cell r="U422" t="str">
            <v>No</v>
          </cell>
          <cell r="V422" t="str">
            <v>No</v>
          </cell>
          <cell r="W422" t="str">
            <v>No</v>
          </cell>
          <cell r="X422" t="str">
            <v>No</v>
          </cell>
          <cell r="Y422" t="str">
            <v>No</v>
          </cell>
          <cell r="Z422" t="e">
            <v>#N/A</v>
          </cell>
          <cell r="AA422" t="str">
            <v>No</v>
          </cell>
          <cell r="AB422" t="str">
            <v>No</v>
          </cell>
          <cell r="AC422" t="str">
            <v>Yes</v>
          </cell>
          <cell r="AD422" t="e">
            <v>#N/A</v>
          </cell>
          <cell r="AE422" t="str">
            <v>No</v>
          </cell>
          <cell r="AF422" t="str">
            <v>No</v>
          </cell>
          <cell r="AG422" t="str">
            <v>No</v>
          </cell>
          <cell r="AH422" t="str">
            <v>No</v>
          </cell>
          <cell r="AI422" t="e">
            <v>#DIV/0!</v>
          </cell>
          <cell r="AJ422" t="e">
            <v>#VALUE!</v>
          </cell>
          <cell r="AK422" t="str">
            <v>No</v>
          </cell>
          <cell r="AL422" t="str">
            <v>Yes</v>
          </cell>
          <cell r="AM422" t="str">
            <v>No</v>
          </cell>
          <cell r="AN422" t="str">
            <v>No</v>
          </cell>
          <cell r="AO422" t="e">
            <v>#N/A</v>
          </cell>
          <cell r="AP422" t="e">
            <v>#DIV/0!</v>
          </cell>
          <cell r="AQ422" t="e">
            <v>#VALUE!</v>
          </cell>
          <cell r="AR422" t="str">
            <v>No</v>
          </cell>
          <cell r="AS422" t="str">
            <v>No</v>
          </cell>
          <cell r="AT422" t="e">
            <v>#N/A</v>
          </cell>
          <cell r="AU422" t="e">
            <v>#DIV/0!</v>
          </cell>
          <cell r="AV422" t="str">
            <v>No</v>
          </cell>
          <cell r="AW422" t="e">
            <v>#VALUE!</v>
          </cell>
          <cell r="AX422" t="e">
            <v>#VALUE!</v>
          </cell>
          <cell r="AY422" t="e">
            <v>#VALUE!</v>
          </cell>
          <cell r="AZ422" t="e">
            <v>#VALUE!</v>
          </cell>
          <cell r="BA422" t="e">
            <v>#VALUE!</v>
          </cell>
          <cell r="BB422" t="e">
            <v>#VALUE!</v>
          </cell>
          <cell r="BC422" t="e">
            <v>#VALUE!</v>
          </cell>
          <cell r="BD422" t="e">
            <v>#VALUE!</v>
          </cell>
          <cell r="BE422" t="e">
            <v>#VALUE!</v>
          </cell>
        </row>
        <row r="423"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3.2073287671232875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1.4506027397260273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 t="e">
            <v>#VALUE!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 t="e">
            <v>#N/A</v>
          </cell>
          <cell r="AA424">
            <v>0</v>
          </cell>
          <cell r="AB424">
            <v>0</v>
          </cell>
          <cell r="AC424">
            <v>6.3998879999999998</v>
          </cell>
          <cell r="AD424" t="e">
            <v>#N/A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 t="e">
            <v>#DIV/0!</v>
          </cell>
          <cell r="AJ424" t="e">
            <v>#VALUE!</v>
          </cell>
          <cell r="AK424">
            <v>0</v>
          </cell>
          <cell r="AL424">
            <v>5.3672000000000004</v>
          </cell>
          <cell r="AM424">
            <v>0</v>
          </cell>
          <cell r="AN424">
            <v>0</v>
          </cell>
          <cell r="AO424" t="e">
            <v>#N/A</v>
          </cell>
          <cell r="AP424" t="e">
            <v>#DIV/0!</v>
          </cell>
          <cell r="AQ424" t="e">
            <v>#VALUE!</v>
          </cell>
          <cell r="AR424">
            <v>0</v>
          </cell>
          <cell r="AS424">
            <v>0</v>
          </cell>
          <cell r="AT424" t="e">
            <v>#N/A</v>
          </cell>
          <cell r="AU424" t="e">
            <v>#DIV/0!</v>
          </cell>
          <cell r="AV424">
            <v>0</v>
          </cell>
          <cell r="AW424" t="e">
            <v>#VALUE!</v>
          </cell>
          <cell r="AX424" t="e">
            <v>#VALUE!</v>
          </cell>
          <cell r="AY424" t="e">
            <v>#VALUE!</v>
          </cell>
          <cell r="AZ424" t="e">
            <v>#VALUE!</v>
          </cell>
          <cell r="BA424" t="e">
            <v>#VALUE!</v>
          </cell>
          <cell r="BB424" t="e">
            <v>#VALUE!</v>
          </cell>
          <cell r="BC424" t="e">
            <v>#VALUE!</v>
          </cell>
          <cell r="BD424" t="e">
            <v>#VALUE!</v>
          </cell>
          <cell r="BE424" t="e">
            <v>#VALUE!</v>
          </cell>
        </row>
        <row r="425"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 t="e">
            <v>#VALUE!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 t="e">
            <v>#N/A</v>
          </cell>
          <cell r="AA425">
            <v>0</v>
          </cell>
          <cell r="AB425">
            <v>0</v>
          </cell>
          <cell r="AC425">
            <v>132</v>
          </cell>
          <cell r="AD425" t="e">
            <v>#N/A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 t="e">
            <v>#DIV/0!</v>
          </cell>
          <cell r="AJ425" t="e">
            <v>#VALUE!</v>
          </cell>
          <cell r="AK425">
            <v>0</v>
          </cell>
          <cell r="AL425">
            <v>196.1</v>
          </cell>
          <cell r="AM425">
            <v>0</v>
          </cell>
          <cell r="AN425">
            <v>0</v>
          </cell>
          <cell r="AO425" t="e">
            <v>#N/A</v>
          </cell>
          <cell r="AP425" t="e">
            <v>#DIV/0!</v>
          </cell>
          <cell r="AQ425" t="e">
            <v>#VALUE!</v>
          </cell>
          <cell r="AR425">
            <v>0</v>
          </cell>
          <cell r="AS425">
            <v>0</v>
          </cell>
          <cell r="AT425" t="e">
            <v>#N/A</v>
          </cell>
          <cell r="AU425" t="e">
            <v>#DIV/0!</v>
          </cell>
          <cell r="AV425">
            <v>0</v>
          </cell>
          <cell r="AW425" t="e">
            <v>#VALUE!</v>
          </cell>
          <cell r="AX425" t="e">
            <v>#VALUE!</v>
          </cell>
          <cell r="AY425" t="e">
            <v>#VALUE!</v>
          </cell>
          <cell r="AZ425" t="e">
            <v>#VALUE!</v>
          </cell>
          <cell r="BA425" t="e">
            <v>#VALUE!</v>
          </cell>
          <cell r="BB425" t="e">
            <v>#VALUE!</v>
          </cell>
          <cell r="BC425" t="e">
            <v>#VALUE!</v>
          </cell>
          <cell r="BD425" t="e">
            <v>#VALUE!</v>
          </cell>
          <cell r="BE425" t="e">
            <v>#VALUE!</v>
          </cell>
        </row>
        <row r="426">
          <cell r="H426">
            <v>0</v>
          </cell>
          <cell r="I426">
            <v>0</v>
          </cell>
          <cell r="J426">
            <v>1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1</v>
          </cell>
          <cell r="W426">
            <v>0</v>
          </cell>
          <cell r="X426">
            <v>1</v>
          </cell>
          <cell r="Y426">
            <v>0.75068493150684934</v>
          </cell>
          <cell r="Z426">
            <v>0</v>
          </cell>
          <cell r="AA426">
            <v>0</v>
          </cell>
          <cell r="AB426">
            <v>0.50136986301369868</v>
          </cell>
          <cell r="AC426">
            <v>0.75342465753424659</v>
          </cell>
          <cell r="AD426">
            <v>0</v>
          </cell>
          <cell r="AE426">
            <v>0.25205479452054791</v>
          </cell>
          <cell r="AF426">
            <v>0.75068493150684934</v>
          </cell>
          <cell r="AG426">
            <v>0.75342465753424659</v>
          </cell>
          <cell r="AH426">
            <v>0</v>
          </cell>
          <cell r="AI426">
            <v>0</v>
          </cell>
          <cell r="AJ426">
            <v>0.49589041095890407</v>
          </cell>
          <cell r="AK426">
            <v>0.50410958904109582</v>
          </cell>
          <cell r="AL426">
            <v>0.24657534246575341</v>
          </cell>
          <cell r="AM426">
            <v>0</v>
          </cell>
          <cell r="AN426">
            <v>0.75068493150684934</v>
          </cell>
          <cell r="AO426">
            <v>0</v>
          </cell>
          <cell r="AP426">
            <v>0</v>
          </cell>
          <cell r="AQ426">
            <v>0</v>
          </cell>
          <cell r="AR426">
            <v>1</v>
          </cell>
          <cell r="AS426">
            <v>0</v>
          </cell>
          <cell r="AT426">
            <v>0</v>
          </cell>
          <cell r="AU426">
            <v>0</v>
          </cell>
          <cell r="AV426">
            <v>0.24931506849315066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H427">
            <v>59.207999999999998</v>
          </cell>
          <cell r="I427">
            <v>145.916</v>
          </cell>
          <cell r="J427">
            <v>42.494525000000003</v>
          </cell>
          <cell r="K427">
            <v>26.085000000000001</v>
          </cell>
          <cell r="L427">
            <v>60.100999999999999</v>
          </cell>
          <cell r="M427">
            <v>213.28299999999999</v>
          </cell>
          <cell r="N427">
            <v>45.409689999999998</v>
          </cell>
          <cell r="O427">
            <v>15.414</v>
          </cell>
          <cell r="P427">
            <v>125.556</v>
          </cell>
          <cell r="Q427">
            <v>186.74</v>
          </cell>
          <cell r="R427">
            <v>35.048999999999999</v>
          </cell>
          <cell r="S427">
            <v>136.77799999999999</v>
          </cell>
          <cell r="T427">
            <v>57.9</v>
          </cell>
          <cell r="U427">
            <v>16.077313</v>
          </cell>
          <cell r="V427">
            <v>28.199946000000001</v>
          </cell>
          <cell r="W427">
            <v>52.961227999999998</v>
          </cell>
          <cell r="X427">
            <v>47.744526999999998</v>
          </cell>
          <cell r="Y427">
            <v>44.61</v>
          </cell>
          <cell r="Z427">
            <v>135.58958899999999</v>
          </cell>
          <cell r="AA427">
            <v>53.001061999999997</v>
          </cell>
          <cell r="AB427">
            <v>112.89100000000001</v>
          </cell>
          <cell r="AC427">
            <v>40.850999999999999</v>
          </cell>
          <cell r="AD427">
            <v>0</v>
          </cell>
          <cell r="AE427">
            <v>71.217195000000004</v>
          </cell>
          <cell r="AF427">
            <v>44.747</v>
          </cell>
          <cell r="AG427">
            <v>24.778272999999999</v>
          </cell>
          <cell r="AH427">
            <v>26.098680000000002</v>
          </cell>
          <cell r="AI427">
            <v>0</v>
          </cell>
          <cell r="AJ427">
            <v>31.284690000000001</v>
          </cell>
          <cell r="AK427">
            <v>57.9</v>
          </cell>
          <cell r="AL427">
            <v>301</v>
          </cell>
          <cell r="AM427">
            <v>73.771000000000001</v>
          </cell>
          <cell r="AN427">
            <v>12.315314000000001</v>
          </cell>
          <cell r="AO427">
            <v>0</v>
          </cell>
          <cell r="AP427">
            <v>0</v>
          </cell>
          <cell r="AQ427">
            <v>0</v>
          </cell>
          <cell r="AR427">
            <v>68.506</v>
          </cell>
          <cell r="AS427">
            <v>12.884701959999999</v>
          </cell>
          <cell r="AT427">
            <v>0</v>
          </cell>
          <cell r="AU427">
            <v>0</v>
          </cell>
          <cell r="AV427">
            <v>460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H428">
            <v>59.207999999999998</v>
          </cell>
          <cell r="I428">
            <v>145.916</v>
          </cell>
          <cell r="J428">
            <v>42.494525000000003</v>
          </cell>
          <cell r="K428">
            <v>26.085000000000001</v>
          </cell>
          <cell r="L428">
            <v>60.100999999999999</v>
          </cell>
          <cell r="M428">
            <v>213.28299999999999</v>
          </cell>
          <cell r="N428">
            <v>45.409689999999998</v>
          </cell>
          <cell r="O428">
            <v>15.414</v>
          </cell>
          <cell r="P428">
            <v>125.556</v>
          </cell>
          <cell r="Q428">
            <v>186.74</v>
          </cell>
          <cell r="R428">
            <v>35.048999999999999</v>
          </cell>
          <cell r="S428">
            <v>136.77799999999999</v>
          </cell>
          <cell r="T428" t="e">
            <v>#VALUE!</v>
          </cell>
          <cell r="U428">
            <v>16.76418788240828</v>
          </cell>
          <cell r="V428">
            <v>28.199946000000001</v>
          </cell>
          <cell r="W428">
            <v>52.961227999999998</v>
          </cell>
          <cell r="X428">
            <v>47.744526999999998</v>
          </cell>
          <cell r="Y428">
            <v>45.028677578342901</v>
          </cell>
          <cell r="Z428" t="e">
            <v>#N/A</v>
          </cell>
          <cell r="AA428">
            <v>55.435392123796419</v>
          </cell>
          <cell r="AB428">
            <v>112.89100000000001</v>
          </cell>
          <cell r="AC428">
            <v>41.045068474576269</v>
          </cell>
          <cell r="AD428" t="e">
            <v>#N/A</v>
          </cell>
          <cell r="AE428">
            <v>71.217195000000004</v>
          </cell>
          <cell r="AF428">
            <v>44.747</v>
          </cell>
          <cell r="AG428">
            <v>28.247526424657533</v>
          </cell>
          <cell r="AH428">
            <v>27.428742262247841</v>
          </cell>
          <cell r="AI428">
            <v>0</v>
          </cell>
          <cell r="AJ428" t="e">
            <v>#VALUE!</v>
          </cell>
          <cell r="AK428">
            <v>57.9</v>
          </cell>
          <cell r="AL428">
            <v>301</v>
          </cell>
          <cell r="AM428">
            <v>75.042711751340619</v>
          </cell>
          <cell r="AN428">
            <v>12.315314000000001</v>
          </cell>
          <cell r="AO428" t="e">
            <v>#N/A</v>
          </cell>
          <cell r="AP428">
            <v>0</v>
          </cell>
          <cell r="AQ428" t="e">
            <v>#VALUE!</v>
          </cell>
          <cell r="AR428">
            <v>69.047731513411563</v>
          </cell>
          <cell r="AS428">
            <v>15.757437686027396</v>
          </cell>
          <cell r="AT428" t="e">
            <v>#N/A</v>
          </cell>
          <cell r="AU428">
            <v>0</v>
          </cell>
          <cell r="AV428">
            <v>460</v>
          </cell>
          <cell r="AW428" t="e">
            <v>#VALUE!</v>
          </cell>
          <cell r="AX428" t="e">
            <v>#VALUE!</v>
          </cell>
          <cell r="AY428" t="e">
            <v>#VALUE!</v>
          </cell>
          <cell r="AZ428" t="e">
            <v>#VALUE!</v>
          </cell>
          <cell r="BA428" t="e">
            <v>#VALUE!</v>
          </cell>
          <cell r="BB428" t="e">
            <v>#VALUE!</v>
          </cell>
          <cell r="BC428" t="e">
            <v>#VALUE!</v>
          </cell>
          <cell r="BD428" t="e">
            <v>#VALUE!</v>
          </cell>
          <cell r="BE428" t="e">
            <v>#VALUE!</v>
          </cell>
        </row>
        <row r="429">
          <cell r="H429">
            <v>59.207999999999998</v>
          </cell>
          <cell r="I429">
            <v>145.916</v>
          </cell>
          <cell r="J429">
            <v>42.494525000000003</v>
          </cell>
          <cell r="K429">
            <v>26.085000000000001</v>
          </cell>
          <cell r="L429">
            <v>60.100999999999999</v>
          </cell>
          <cell r="M429">
            <v>213.28299999999999</v>
          </cell>
          <cell r="N429">
            <v>45.409689999999998</v>
          </cell>
          <cell r="O429">
            <v>15.414</v>
          </cell>
          <cell r="P429">
            <v>125.556</v>
          </cell>
          <cell r="Q429">
            <v>186.74</v>
          </cell>
          <cell r="R429">
            <v>35.048999999999999</v>
          </cell>
          <cell r="S429">
            <v>136.77799999999999</v>
          </cell>
          <cell r="T429">
            <v>57.9</v>
          </cell>
          <cell r="U429">
            <v>16.077313</v>
          </cell>
          <cell r="V429">
            <v>28.199946000000001</v>
          </cell>
          <cell r="W429">
            <v>52.961227999999998</v>
          </cell>
          <cell r="X429">
            <v>47.744526999999998</v>
          </cell>
          <cell r="Y429">
            <v>44.61</v>
          </cell>
          <cell r="Z429">
            <v>135.58958899999999</v>
          </cell>
          <cell r="AA429">
            <v>53.001061999999997</v>
          </cell>
          <cell r="AB429">
            <v>112.89100000000001</v>
          </cell>
          <cell r="AC429">
            <v>40.850999999999999</v>
          </cell>
          <cell r="AD429">
            <v>0</v>
          </cell>
          <cell r="AE429">
            <v>71.217195000000004</v>
          </cell>
          <cell r="AF429">
            <v>44.747</v>
          </cell>
          <cell r="AG429">
            <v>24.778272999999999</v>
          </cell>
          <cell r="AH429">
            <v>26.098680000000002</v>
          </cell>
          <cell r="AI429">
            <v>0</v>
          </cell>
          <cell r="AJ429">
            <v>31.284690000000001</v>
          </cell>
          <cell r="AK429">
            <v>57.9</v>
          </cell>
          <cell r="AL429">
            <v>301</v>
          </cell>
          <cell r="AM429">
            <v>73.771000000000001</v>
          </cell>
          <cell r="AN429">
            <v>12.315314000000001</v>
          </cell>
          <cell r="AO429">
            <v>0</v>
          </cell>
          <cell r="AP429">
            <v>0</v>
          </cell>
          <cell r="AQ429">
            <v>0</v>
          </cell>
          <cell r="AR429">
            <v>68.506</v>
          </cell>
          <cell r="AS429">
            <v>12.884701959999999</v>
          </cell>
          <cell r="AT429">
            <v>0</v>
          </cell>
          <cell r="AU429">
            <v>0</v>
          </cell>
          <cell r="AV429">
            <v>460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1">
          <cell r="H431">
            <v>2043.2680799999998</v>
          </cell>
          <cell r="I431">
            <v>825.88455999999996</v>
          </cell>
          <cell r="J431">
            <v>1236.16573225</v>
          </cell>
          <cell r="K431">
            <v>1154.26125</v>
          </cell>
          <cell r="L431">
            <v>1084.82305</v>
          </cell>
          <cell r="M431">
            <v>4052.377</v>
          </cell>
          <cell r="N431">
            <v>1362.7447969</v>
          </cell>
          <cell r="O431">
            <v>189.12977999999998</v>
          </cell>
          <cell r="P431">
            <v>693.06911999999988</v>
          </cell>
          <cell r="Q431">
            <v>3236.2041999999997</v>
          </cell>
          <cell r="R431">
            <v>1173.4405199999999</v>
          </cell>
          <cell r="S431">
            <v>3285.4075599999996</v>
          </cell>
          <cell r="T431" t="e">
            <v>#VALUE!</v>
          </cell>
          <cell r="U431">
            <v>341.80367438000002</v>
          </cell>
          <cell r="V431">
            <v>1467.8071892999999</v>
          </cell>
          <cell r="W431">
            <v>1827.6919782799998</v>
          </cell>
          <cell r="X431">
            <v>1653.8704152799999</v>
          </cell>
          <cell r="Y431">
            <v>1087.5917999999999</v>
          </cell>
          <cell r="Z431" t="e">
            <v>#N/A</v>
          </cell>
          <cell r="AA431">
            <v>3853.1772074</v>
          </cell>
          <cell r="AB431">
            <v>8207.1757000000016</v>
          </cell>
          <cell r="AC431">
            <v>602.55224999999996</v>
          </cell>
          <cell r="AD431" t="e">
            <v>#N/A</v>
          </cell>
          <cell r="AE431">
            <v>558.34280880000006</v>
          </cell>
          <cell r="AF431">
            <v>2382.7777500000002</v>
          </cell>
          <cell r="AG431">
            <v>832.0544073399999</v>
          </cell>
          <cell r="AH431">
            <v>1358.4362940000001</v>
          </cell>
          <cell r="AI431">
            <v>0</v>
          </cell>
          <cell r="AJ431" t="e">
            <v>#VALUE!</v>
          </cell>
          <cell r="AK431">
            <v>1673.31</v>
          </cell>
          <cell r="AL431">
            <v>9574.81</v>
          </cell>
          <cell r="AM431">
            <v>3714.36985</v>
          </cell>
          <cell r="AN431">
            <v>61.453416860000004</v>
          </cell>
          <cell r="AO431" t="e">
            <v>#N/A</v>
          </cell>
          <cell r="AP431">
            <v>0</v>
          </cell>
          <cell r="AQ431" t="e">
            <v>#VALUE!</v>
          </cell>
          <cell r="AR431">
            <v>3269.1063199999999</v>
          </cell>
          <cell r="AS431">
            <v>432.66829181679998</v>
          </cell>
          <cell r="AT431" t="e">
            <v>#N/A</v>
          </cell>
          <cell r="AU431">
            <v>0</v>
          </cell>
          <cell r="AV431">
            <v>29757.399999999998</v>
          </cell>
          <cell r="AW431" t="e">
            <v>#VALUE!</v>
          </cell>
          <cell r="AX431" t="e">
            <v>#VALUE!</v>
          </cell>
          <cell r="AY431" t="e">
            <v>#VALUE!</v>
          </cell>
          <cell r="AZ431" t="e">
            <v>#VALUE!</v>
          </cell>
          <cell r="BA431" t="e">
            <v>#VALUE!</v>
          </cell>
          <cell r="BB431" t="e">
            <v>#VALUE!</v>
          </cell>
          <cell r="BC431" t="e">
            <v>#VALUE!</v>
          </cell>
          <cell r="BD431" t="e">
            <v>#VALUE!</v>
          </cell>
          <cell r="BE431" t="e">
            <v>#VALUE!</v>
          </cell>
        </row>
        <row r="432">
          <cell r="H432">
            <v>2043.2680799999998</v>
          </cell>
          <cell r="I432">
            <v>825.88455999999996</v>
          </cell>
          <cell r="J432">
            <v>1236.16573225</v>
          </cell>
          <cell r="K432">
            <v>1154.26125</v>
          </cell>
          <cell r="L432">
            <v>1084.82305</v>
          </cell>
          <cell r="M432">
            <v>4052.377</v>
          </cell>
          <cell r="N432">
            <v>1362.7447969</v>
          </cell>
          <cell r="O432">
            <v>189.12977999999998</v>
          </cell>
          <cell r="P432">
            <v>549.72611999999992</v>
          </cell>
          <cell r="Q432">
            <v>3236.2041999999997</v>
          </cell>
          <cell r="R432">
            <v>1173.4405199999999</v>
          </cell>
          <cell r="S432">
            <v>3285.4075599999996</v>
          </cell>
          <cell r="T432" t="e">
            <v>#VALUE!</v>
          </cell>
          <cell r="U432">
            <v>324.06467438000004</v>
          </cell>
          <cell r="V432">
            <v>1649.5821892999998</v>
          </cell>
          <cell r="W432">
            <v>1275.9429782799998</v>
          </cell>
          <cell r="X432">
            <v>1961.02941528</v>
          </cell>
          <cell r="Y432">
            <v>996.24379999999996</v>
          </cell>
          <cell r="Z432" t="e">
            <v>#N/A</v>
          </cell>
          <cell r="AA432">
            <v>4099.8132074000005</v>
          </cell>
          <cell r="AB432">
            <v>8982.2497000000003</v>
          </cell>
          <cell r="AC432">
            <v>843.87924999999996</v>
          </cell>
          <cell r="AD432" t="e">
            <v>#N/A</v>
          </cell>
          <cell r="AE432">
            <v>643.13680880000004</v>
          </cell>
          <cell r="AF432">
            <v>2546.1067500000004</v>
          </cell>
          <cell r="AG432">
            <v>1024.3234073399999</v>
          </cell>
          <cell r="AH432">
            <v>1358.4362940000001</v>
          </cell>
          <cell r="AI432" t="e">
            <v>#DIV/0!</v>
          </cell>
          <cell r="AJ432" t="e">
            <v>#VALUE!</v>
          </cell>
          <cell r="AK432">
            <v>2585.61</v>
          </cell>
          <cell r="AL432">
            <v>10516.11</v>
          </cell>
          <cell r="AM432">
            <v>4128.9500200000002</v>
          </cell>
          <cell r="AN432">
            <v>68.246416860000011</v>
          </cell>
          <cell r="AO432" t="e">
            <v>#N/A</v>
          </cell>
          <cell r="AP432" t="e">
            <v>#DIV/0!</v>
          </cell>
          <cell r="AQ432" t="e">
            <v>#VALUE!</v>
          </cell>
          <cell r="AR432">
            <v>3136.66932</v>
          </cell>
          <cell r="AS432">
            <v>624.93729181679998</v>
          </cell>
          <cell r="AT432" t="e">
            <v>#N/A</v>
          </cell>
          <cell r="AU432" t="e">
            <v>#DIV/0!</v>
          </cell>
          <cell r="AV432">
            <v>31751.616999999995</v>
          </cell>
          <cell r="AW432" t="e">
            <v>#VALUE!</v>
          </cell>
          <cell r="AX432" t="e">
            <v>#VALUE!</v>
          </cell>
          <cell r="AY432" t="e">
            <v>#VALUE!</v>
          </cell>
          <cell r="AZ432" t="e">
            <v>#VALUE!</v>
          </cell>
          <cell r="BA432" t="e">
            <v>#VALUE!</v>
          </cell>
          <cell r="BB432" t="e">
            <v>#VALUE!</v>
          </cell>
          <cell r="BC432" t="e">
            <v>#VALUE!</v>
          </cell>
          <cell r="BD432" t="e">
            <v>#VALUE!</v>
          </cell>
          <cell r="BE432" t="e">
            <v>#VALUE!</v>
          </cell>
        </row>
        <row r="438">
          <cell r="H438" t="str">
            <v xml:space="preserve">NA </v>
          </cell>
          <cell r="I438" t="str">
            <v xml:space="preserve">NA </v>
          </cell>
          <cell r="J438" t="str">
            <v xml:space="preserve">NA </v>
          </cell>
          <cell r="K438" t="str">
            <v xml:space="preserve">NA </v>
          </cell>
          <cell r="L438" t="str">
            <v xml:space="preserve">NA </v>
          </cell>
          <cell r="M438" t="str">
            <v xml:space="preserve">NA </v>
          </cell>
          <cell r="N438" t="str">
            <v xml:space="preserve">NA </v>
          </cell>
          <cell r="O438" t="str">
            <v xml:space="preserve">NA </v>
          </cell>
          <cell r="P438" t="str">
            <v xml:space="preserve">NA </v>
          </cell>
          <cell r="Q438" t="str">
            <v xml:space="preserve">NA </v>
          </cell>
          <cell r="R438" t="str">
            <v xml:space="preserve">NA </v>
          </cell>
          <cell r="S438" t="str">
            <v xml:space="preserve">NA </v>
          </cell>
          <cell r="T438" t="str">
            <v xml:space="preserve">NA </v>
          </cell>
          <cell r="U438">
            <v>4.0672809174657356</v>
          </cell>
          <cell r="V438">
            <v>1.9198869066628801</v>
          </cell>
          <cell r="W438">
            <v>2.0653545224220755</v>
          </cell>
          <cell r="X438">
            <v>3.0781380373985812</v>
          </cell>
          <cell r="Y438">
            <v>1.1029778650201332</v>
          </cell>
          <cell r="Z438" t="str">
            <v xml:space="preserve">NA </v>
          </cell>
          <cell r="AA438">
            <v>0.30746914124605967</v>
          </cell>
          <cell r="AB438">
            <v>0.23855536301210298</v>
          </cell>
          <cell r="AC438">
            <v>0.21878202640330252</v>
          </cell>
          <cell r="AD438" t="str">
            <v xml:space="preserve">NA </v>
          </cell>
          <cell r="AE438">
            <v>0.36168628550154597</v>
          </cell>
          <cell r="AF438">
            <v>0.97498153318416947</v>
          </cell>
          <cell r="AG438">
            <v>1.2664949780782553</v>
          </cell>
          <cell r="AH438">
            <v>10.645718739224472</v>
          </cell>
          <cell r="AI438" t="str">
            <v xml:space="preserve">NA </v>
          </cell>
          <cell r="AJ438" t="str">
            <v xml:space="preserve">NA </v>
          </cell>
          <cell r="AK438">
            <v>0.84232799061767027</v>
          </cell>
          <cell r="AL438">
            <v>0.29631859833414115</v>
          </cell>
          <cell r="AM438">
            <v>3.500750792532433</v>
          </cell>
          <cell r="AN438">
            <v>0.20774595782763944</v>
          </cell>
          <cell r="AO438" t="str">
            <v xml:space="preserve">NA </v>
          </cell>
          <cell r="AP438" t="str">
            <v xml:space="preserve">NA </v>
          </cell>
          <cell r="AQ438" t="str">
            <v xml:space="preserve">NA </v>
          </cell>
          <cell r="AR438">
            <v>2.2573842815658698</v>
          </cell>
          <cell r="AS438">
            <v>0.77268559522148017</v>
          </cell>
          <cell r="AT438" t="str">
            <v xml:space="preserve">NA </v>
          </cell>
          <cell r="AU438" t="str">
            <v xml:space="preserve">NA </v>
          </cell>
          <cell r="AV438">
            <v>0.72316420222959643</v>
          </cell>
          <cell r="AW438" t="str">
            <v xml:space="preserve">NA </v>
          </cell>
          <cell r="AX438" t="str">
            <v xml:space="preserve">NA </v>
          </cell>
          <cell r="AY438" t="str">
            <v xml:space="preserve">NA </v>
          </cell>
          <cell r="AZ438" t="str">
            <v xml:space="preserve">NA </v>
          </cell>
          <cell r="BA438" t="str">
            <v xml:space="preserve">NA </v>
          </cell>
          <cell r="BB438" t="str">
            <v xml:space="preserve">NA </v>
          </cell>
          <cell r="BC438" t="str">
            <v xml:space="preserve">NA </v>
          </cell>
          <cell r="BD438" t="str">
            <v xml:space="preserve">NA </v>
          </cell>
          <cell r="BE438" t="str">
            <v xml:space="preserve">NA </v>
          </cell>
        </row>
        <row r="439">
          <cell r="H439" t="str">
            <v xml:space="preserve">NA </v>
          </cell>
          <cell r="I439" t="str">
            <v xml:space="preserve">NA </v>
          </cell>
          <cell r="J439" t="str">
            <v xml:space="preserve">NA </v>
          </cell>
          <cell r="K439" t="str">
            <v xml:space="preserve">NA </v>
          </cell>
          <cell r="L439" t="str">
            <v xml:space="preserve">NA </v>
          </cell>
          <cell r="M439" t="str">
            <v xml:space="preserve">NA </v>
          </cell>
          <cell r="N439" t="str">
            <v xml:space="preserve">NA </v>
          </cell>
          <cell r="O439" t="str">
            <v xml:space="preserve">NA </v>
          </cell>
          <cell r="P439" t="str">
            <v xml:space="preserve">NA </v>
          </cell>
          <cell r="Q439" t="str">
            <v xml:space="preserve">NA </v>
          </cell>
          <cell r="R439" t="str">
            <v xml:space="preserve">NA </v>
          </cell>
          <cell r="S439" t="str">
            <v xml:space="preserve">NA </v>
          </cell>
          <cell r="T439" t="str">
            <v xml:space="preserve">NA </v>
          </cell>
          <cell r="U439">
            <v>380.35759903755888</v>
          </cell>
          <cell r="V439">
            <v>7.1204576777975364</v>
          </cell>
          <cell r="W439">
            <v>11.046555219387152</v>
          </cell>
          <cell r="X439">
            <v>15.882638821414108</v>
          </cell>
          <cell r="Y439">
            <v>20.971346174086936</v>
          </cell>
          <cell r="Z439" t="str">
            <v xml:space="preserve">NA </v>
          </cell>
          <cell r="AA439">
            <v>17.429325995961314</v>
          </cell>
          <cell r="AB439">
            <v>13.19043316342789</v>
          </cell>
          <cell r="AC439">
            <v>9.2015052719957247</v>
          </cell>
          <cell r="AD439" t="str">
            <v xml:space="preserve">NA </v>
          </cell>
          <cell r="AE439">
            <v>38.091495427623791</v>
          </cell>
          <cell r="AF439">
            <v>15.830354644764579</v>
          </cell>
          <cell r="AG439">
            <v>13.795973054358365</v>
          </cell>
          <cell r="AH439">
            <v>82.907311199267625</v>
          </cell>
          <cell r="AI439" t="str">
            <v xml:space="preserve">NA </v>
          </cell>
          <cell r="AJ439" t="str">
            <v xml:space="preserve">NA </v>
          </cell>
          <cell r="AK439">
            <v>11.380325704225353</v>
          </cell>
          <cell r="AL439">
            <v>14.626022253129348</v>
          </cell>
          <cell r="AM439">
            <v>18.821424592592592</v>
          </cell>
          <cell r="AN439">
            <v>-19.690252989036356</v>
          </cell>
          <cell r="AO439" t="str">
            <v xml:space="preserve">NA </v>
          </cell>
          <cell r="AP439" t="str">
            <v xml:space="preserve">NA </v>
          </cell>
          <cell r="AQ439" t="str">
            <v xml:space="preserve">NA </v>
          </cell>
          <cell r="AR439">
            <v>23.015467756526228</v>
          </cell>
          <cell r="AS439">
            <v>8.4168905804439174</v>
          </cell>
          <cell r="AT439" t="str">
            <v xml:space="preserve">NA </v>
          </cell>
          <cell r="AU439" t="str">
            <v xml:space="preserve">NA </v>
          </cell>
          <cell r="AV439">
            <v>16.486236121762435</v>
          </cell>
          <cell r="AW439" t="str">
            <v xml:space="preserve">NA </v>
          </cell>
          <cell r="AX439" t="str">
            <v xml:space="preserve">NA </v>
          </cell>
          <cell r="AY439" t="str">
            <v xml:space="preserve">NA </v>
          </cell>
          <cell r="AZ439" t="str">
            <v xml:space="preserve">NA </v>
          </cell>
          <cell r="BA439" t="str">
            <v xml:space="preserve">NA </v>
          </cell>
          <cell r="BB439" t="str">
            <v xml:space="preserve">NA </v>
          </cell>
          <cell r="BC439" t="str">
            <v xml:space="preserve">NA </v>
          </cell>
          <cell r="BD439" t="str">
            <v xml:space="preserve">NA </v>
          </cell>
          <cell r="BE439" t="str">
            <v xml:space="preserve">NA </v>
          </cell>
        </row>
        <row r="440">
          <cell r="H440" t="str">
            <v xml:space="preserve">NA </v>
          </cell>
          <cell r="I440" t="str">
            <v xml:space="preserve">NA </v>
          </cell>
          <cell r="J440" t="str">
            <v xml:space="preserve">NA </v>
          </cell>
          <cell r="K440" t="str">
            <v xml:space="preserve">NA </v>
          </cell>
          <cell r="L440" t="str">
            <v xml:space="preserve">NA </v>
          </cell>
          <cell r="M440" t="str">
            <v xml:space="preserve">NA </v>
          </cell>
          <cell r="N440" t="str">
            <v xml:space="preserve">NA </v>
          </cell>
          <cell r="O440" t="str">
            <v xml:space="preserve">NA </v>
          </cell>
          <cell r="P440" t="str">
            <v xml:space="preserve">NA </v>
          </cell>
          <cell r="Q440" t="str">
            <v xml:space="preserve">NA </v>
          </cell>
          <cell r="R440" t="str">
            <v xml:space="preserve">NA </v>
          </cell>
          <cell r="S440" t="str">
            <v xml:space="preserve">NA </v>
          </cell>
          <cell r="T440" t="str">
            <v xml:space="preserve">NA </v>
          </cell>
          <cell r="U440">
            <v>44.624714180666494</v>
          </cell>
          <cell r="V440">
            <v>6.3022490947296026</v>
          </cell>
          <cell r="W440">
            <v>9.2891303898531135</v>
          </cell>
          <cell r="X440">
            <v>12.56868716731293</v>
          </cell>
          <cell r="Y440">
            <v>19.478049543472732</v>
          </cell>
          <cell r="Z440" t="str">
            <v xml:space="preserve">NA </v>
          </cell>
          <cell r="AA440">
            <v>16.227565189890953</v>
          </cell>
          <cell r="AB440">
            <v>12.060742046670633</v>
          </cell>
          <cell r="AC440">
            <v>7.409664234473917</v>
          </cell>
          <cell r="AD440" t="str">
            <v xml:space="preserve">NA </v>
          </cell>
          <cell r="AE440">
            <v>16.719617553163832</v>
          </cell>
          <cell r="AF440">
            <v>13.590906058001806</v>
          </cell>
          <cell r="AG440">
            <v>8.8145687675547286</v>
          </cell>
          <cell r="AH440">
            <v>81.01361486164123</v>
          </cell>
          <cell r="AI440" t="str">
            <v xml:space="preserve">NA </v>
          </cell>
          <cell r="AJ440" t="str">
            <v xml:space="preserve">NA </v>
          </cell>
          <cell r="AK440">
            <v>8.4002923976608201</v>
          </cell>
          <cell r="AL440">
            <v>11.177838010204082</v>
          </cell>
          <cell r="AM440">
            <v>14.201129569248973</v>
          </cell>
          <cell r="AN440">
            <v>109.89761169082135</v>
          </cell>
          <cell r="AO440" t="str">
            <v xml:space="preserve">NA </v>
          </cell>
          <cell r="AP440" t="str">
            <v xml:space="preserve">NA </v>
          </cell>
          <cell r="AQ440" t="str">
            <v xml:space="preserve">NA </v>
          </cell>
          <cell r="AR440">
            <v>21.298080332987801</v>
          </cell>
          <cell r="AS440">
            <v>5.3777475889508457</v>
          </cell>
          <cell r="AT440" t="str">
            <v xml:space="preserve">NA </v>
          </cell>
          <cell r="AU440" t="str">
            <v xml:space="preserve">NA </v>
          </cell>
          <cell r="AV440">
            <v>14.043814026025952</v>
          </cell>
          <cell r="AW440" t="str">
            <v xml:space="preserve">NA </v>
          </cell>
          <cell r="AX440" t="str">
            <v xml:space="preserve">NA </v>
          </cell>
          <cell r="AY440" t="str">
            <v xml:space="preserve">NA </v>
          </cell>
          <cell r="AZ440" t="str">
            <v xml:space="preserve">NA </v>
          </cell>
          <cell r="BA440" t="str">
            <v xml:space="preserve">NA </v>
          </cell>
          <cell r="BB440" t="str">
            <v xml:space="preserve">NA </v>
          </cell>
          <cell r="BC440" t="str">
            <v xml:space="preserve">NA </v>
          </cell>
          <cell r="BD440" t="str">
            <v xml:space="preserve">NA </v>
          </cell>
          <cell r="BE440" t="str">
            <v xml:space="preserve">NA </v>
          </cell>
        </row>
        <row r="441">
          <cell r="H441" t="str">
            <v xml:space="preserve">NA </v>
          </cell>
          <cell r="I441" t="str">
            <v xml:space="preserve">NA </v>
          </cell>
          <cell r="J441">
            <v>2472.3314645</v>
          </cell>
          <cell r="K441" t="str">
            <v xml:space="preserve">NA </v>
          </cell>
          <cell r="L441" t="str">
            <v xml:space="preserve">NA </v>
          </cell>
          <cell r="M441">
            <v>8104.7539999999999</v>
          </cell>
          <cell r="N441" t="str">
            <v xml:space="preserve">NA </v>
          </cell>
          <cell r="O441" t="str">
            <v xml:space="preserve">NA </v>
          </cell>
          <cell r="P441" t="str">
            <v xml:space="preserve">NA </v>
          </cell>
          <cell r="Q441" t="str">
            <v xml:space="preserve">NA </v>
          </cell>
          <cell r="R441">
            <v>6.0576396463831701</v>
          </cell>
          <cell r="S441" t="str">
            <v xml:space="preserve">NA </v>
          </cell>
          <cell r="T441" t="str">
            <v xml:space="preserve">NA </v>
          </cell>
          <cell r="U441">
            <v>4.5547326649706958</v>
          </cell>
          <cell r="V441">
            <v>3.835310039664825</v>
          </cell>
          <cell r="W441" t="str">
            <v xml:space="preserve">NA </v>
          </cell>
          <cell r="X441">
            <v>3.2780471344346918</v>
          </cell>
          <cell r="Y441">
            <v>1.23738548290938</v>
          </cell>
          <cell r="Z441" t="str">
            <v xml:space="preserve">NA </v>
          </cell>
          <cell r="AA441" t="str">
            <v xml:space="preserve">NA </v>
          </cell>
          <cell r="AB441">
            <v>0.24924085419086975</v>
          </cell>
          <cell r="AC441">
            <v>0.22120067554496808</v>
          </cell>
          <cell r="AD441" t="str">
            <v xml:space="preserve">NA </v>
          </cell>
          <cell r="AE441">
            <v>0.47765404319064442</v>
          </cell>
          <cell r="AF441">
            <v>0.99525602141782488</v>
          </cell>
          <cell r="AG441">
            <v>1.322188728466358</v>
          </cell>
          <cell r="AH441">
            <v>3.1583902823503154</v>
          </cell>
          <cell r="AI441" t="str">
            <v xml:space="preserve">NA </v>
          </cell>
          <cell r="AJ441" t="str">
            <v xml:space="preserve">NA </v>
          </cell>
          <cell r="AK441">
            <v>0.89778125000000009</v>
          </cell>
          <cell r="AL441">
            <v>0.44824939046222573</v>
          </cell>
          <cell r="AM441">
            <v>3.500750792532433</v>
          </cell>
          <cell r="AN441">
            <v>0.4566123064982856</v>
          </cell>
          <cell r="AO441" t="str">
            <v xml:space="preserve">NA </v>
          </cell>
          <cell r="AP441" t="str">
            <v xml:space="preserve">NA </v>
          </cell>
          <cell r="AQ441" t="str">
            <v xml:space="preserve">NA </v>
          </cell>
          <cell r="AR441">
            <v>3.600941050234042</v>
          </cell>
          <cell r="AS441">
            <v>0.80666422080912026</v>
          </cell>
          <cell r="AT441" t="str">
            <v xml:space="preserve">NA </v>
          </cell>
          <cell r="AU441" t="str">
            <v xml:space="preserve">NA </v>
          </cell>
          <cell r="AV441">
            <v>1.605833557127085</v>
          </cell>
          <cell r="AW441" t="str">
            <v xml:space="preserve">NA </v>
          </cell>
          <cell r="AX441" t="str">
            <v xml:space="preserve">NA </v>
          </cell>
          <cell r="AY441" t="str">
            <v xml:space="preserve">NA </v>
          </cell>
          <cell r="AZ441" t="str">
            <v xml:space="preserve">NA </v>
          </cell>
          <cell r="BA441" t="str">
            <v xml:space="preserve">NA </v>
          </cell>
          <cell r="BB441" t="str">
            <v xml:space="preserve">NA </v>
          </cell>
          <cell r="BC441" t="str">
            <v xml:space="preserve">NA </v>
          </cell>
          <cell r="BD441" t="str">
            <v xml:space="preserve">NA </v>
          </cell>
          <cell r="BE441" t="str">
            <v xml:space="preserve">NA </v>
          </cell>
        </row>
        <row r="442">
          <cell r="H442">
            <v>3.1343947868185542</v>
          </cell>
          <cell r="I442">
            <v>2.7735281119238078</v>
          </cell>
          <cell r="J442">
            <v>16.659017468734838</v>
          </cell>
          <cell r="K442">
            <v>1.333173076923077</v>
          </cell>
          <cell r="L442">
            <v>3.7851070993674174</v>
          </cell>
          <cell r="M442">
            <v>4.6941085846007713</v>
          </cell>
          <cell r="N442">
            <v>1.1558283972282064</v>
          </cell>
          <cell r="O442">
            <v>1.813324832214765</v>
          </cell>
          <cell r="P442">
            <v>0.42344604150298093</v>
          </cell>
          <cell r="Q442">
            <v>1.5742589872063044</v>
          </cell>
          <cell r="R442">
            <v>1.4800517382187395</v>
          </cell>
          <cell r="S442">
            <v>3.6413050769123343</v>
          </cell>
          <cell r="T442" t="str">
            <v xml:space="preserve">NA </v>
          </cell>
          <cell r="U442">
            <v>3.0833936667935307</v>
          </cell>
          <cell r="V442">
            <v>1.4088516994200893</v>
          </cell>
          <cell r="W442">
            <v>1.9573099871449915</v>
          </cell>
          <cell r="X442">
            <v>2.7744199982739715</v>
          </cell>
          <cell r="Y442">
            <v>0.84301631209694683</v>
          </cell>
          <cell r="Z442" t="str">
            <v xml:space="preserve">NA </v>
          </cell>
          <cell r="AA442">
            <v>9.8123827798239124E-2</v>
          </cell>
          <cell r="AB442">
            <v>0.21497875103498429</v>
          </cell>
          <cell r="AC442">
            <v>0.21055486150668568</v>
          </cell>
          <cell r="AD442" t="str">
            <v xml:space="preserve">NA </v>
          </cell>
          <cell r="AE442">
            <v>0.34332756106981177</v>
          </cell>
          <cell r="AF442">
            <v>0.90750882164242963</v>
          </cell>
          <cell r="AG442">
            <v>1.0995313518033489</v>
          </cell>
          <cell r="AH442">
            <v>1.1601939532142767</v>
          </cell>
          <cell r="AI442" t="str">
            <v xml:space="preserve">NA </v>
          </cell>
          <cell r="AJ442" t="str">
            <v xml:space="preserve">NA </v>
          </cell>
          <cell r="AK442">
            <v>0.80721104915801378</v>
          </cell>
          <cell r="AL442">
            <v>0.26756786257597787</v>
          </cell>
          <cell r="AM442">
            <v>3.3825830663990497</v>
          </cell>
          <cell r="AN442">
            <v>0.18620920060899745</v>
          </cell>
          <cell r="AO442" t="str">
            <v xml:space="preserve">NA </v>
          </cell>
          <cell r="AP442" t="str">
            <v xml:space="preserve">NA </v>
          </cell>
          <cell r="AQ442" t="str">
            <v xml:space="preserve">NA </v>
          </cell>
          <cell r="AR442">
            <v>2.05007761530642</v>
          </cell>
          <cell r="AS442">
            <v>0.67082148112580509</v>
          </cell>
          <cell r="AT442" t="str">
            <v xml:space="preserve">NA </v>
          </cell>
          <cell r="AU442" t="str">
            <v xml:space="preserve">NA </v>
          </cell>
          <cell r="AV442">
            <v>0.70029338041417755</v>
          </cell>
          <cell r="AW442" t="str">
            <v xml:space="preserve">NA </v>
          </cell>
          <cell r="AX442" t="str">
            <v xml:space="preserve">NA </v>
          </cell>
          <cell r="AY442" t="str">
            <v xml:space="preserve">NA </v>
          </cell>
          <cell r="AZ442" t="str">
            <v xml:space="preserve">NA </v>
          </cell>
          <cell r="BA442" t="str">
            <v xml:space="preserve">NA </v>
          </cell>
          <cell r="BB442" t="str">
            <v xml:space="preserve">NA </v>
          </cell>
          <cell r="BC442" t="str">
            <v xml:space="preserve">NA </v>
          </cell>
          <cell r="BD442" t="str">
            <v xml:space="preserve">NA </v>
          </cell>
          <cell r="BE442" t="str">
            <v xml:space="preserve">NA </v>
          </cell>
        </row>
        <row r="443">
          <cell r="H443">
            <v>2.7616097139682894</v>
          </cell>
          <cell r="I443">
            <v>2.3841933025404156</v>
          </cell>
          <cell r="J443">
            <v>7.7646650351121824</v>
          </cell>
          <cell r="K443">
            <v>1.2318689967982925</v>
          </cell>
          <cell r="L443">
            <v>3.1328458099655183</v>
          </cell>
          <cell r="M443">
            <v>2.2405348696414205</v>
          </cell>
          <cell r="N443">
            <v>1.0977041337951587</v>
          </cell>
          <cell r="O443">
            <v>1.5420283734203015</v>
          </cell>
          <cell r="P443">
            <v>0.39355826490360174</v>
          </cell>
          <cell r="Q443">
            <v>1.4761146334120907</v>
          </cell>
          <cell r="R443">
            <v>1.3306144408592069</v>
          </cell>
          <cell r="S443">
            <v>3.2977179410740289</v>
          </cell>
          <cell r="T443" t="str">
            <v xml:space="preserve">NA </v>
          </cell>
          <cell r="U443">
            <v>2.4568966973464748</v>
          </cell>
          <cell r="V443">
            <v>0.99069572520628946</v>
          </cell>
          <cell r="W443">
            <v>1.7245199285292401</v>
          </cell>
          <cell r="X443">
            <v>2.4873723230770399</v>
          </cell>
          <cell r="Y443">
            <v>0.68130600934446495</v>
          </cell>
          <cell r="Z443" t="str">
            <v xml:space="preserve">NA </v>
          </cell>
          <cell r="AA443">
            <v>8.6263735454101167E-2</v>
          </cell>
          <cell r="AB443">
            <v>0.18899456455843397</v>
          </cell>
          <cell r="AC443">
            <v>0.20248323395678622</v>
          </cell>
          <cell r="AD443" t="str">
            <v xml:space="preserve">NA </v>
          </cell>
          <cell r="AE443">
            <v>0.26062876935731583</v>
          </cell>
          <cell r="AF443">
            <v>0.8487022500000001</v>
          </cell>
          <cell r="AG443">
            <v>0.95494654112711497</v>
          </cell>
          <cell r="AH443">
            <v>0.81584114945006969</v>
          </cell>
          <cell r="AI443" t="str">
            <v xml:space="preserve">NA </v>
          </cell>
          <cell r="AJ443" t="str">
            <v xml:space="preserve">NA </v>
          </cell>
          <cell r="AK443">
            <v>0.76108575574763826</v>
          </cell>
          <cell r="AL443">
            <v>0.22773570309387392</v>
          </cell>
          <cell r="AM443">
            <v>3.1526884993051629</v>
          </cell>
          <cell r="AN443">
            <v>0.11883211009059297</v>
          </cell>
          <cell r="AO443" t="str">
            <v xml:space="preserve">NA </v>
          </cell>
          <cell r="AP443" t="str">
            <v xml:space="preserve">NA </v>
          </cell>
          <cell r="AQ443" t="str">
            <v xml:space="preserve">NA </v>
          </cell>
          <cell r="AR443">
            <v>1.7781891322690033</v>
          </cell>
          <cell r="AS443">
            <v>0.58261062957796106</v>
          </cell>
          <cell r="AT443" t="str">
            <v xml:space="preserve">NA </v>
          </cell>
          <cell r="AU443" t="str">
            <v xml:space="preserve">NA </v>
          </cell>
          <cell r="AV443">
            <v>0.58066204903829877</v>
          </cell>
          <cell r="AW443" t="str">
            <v xml:space="preserve">NA </v>
          </cell>
          <cell r="AX443" t="str">
            <v xml:space="preserve">NA </v>
          </cell>
          <cell r="AY443" t="str">
            <v xml:space="preserve">NA </v>
          </cell>
          <cell r="AZ443" t="str">
            <v xml:space="preserve">NA </v>
          </cell>
          <cell r="BA443" t="str">
            <v xml:space="preserve">NA </v>
          </cell>
          <cell r="BB443" t="str">
            <v xml:space="preserve">NA </v>
          </cell>
          <cell r="BC443" t="str">
            <v xml:space="preserve">NA </v>
          </cell>
          <cell r="BD443" t="str">
            <v xml:space="preserve">NA </v>
          </cell>
          <cell r="BE443" t="str">
            <v xml:space="preserve">NA </v>
          </cell>
        </row>
        <row r="444">
          <cell r="H444">
            <v>2.325370254267674</v>
          </cell>
          <cell r="I444">
            <v>1.9758003827751196</v>
          </cell>
          <cell r="J444">
            <v>6.6204426010673769</v>
          </cell>
          <cell r="K444">
            <v>1.0439567769477054</v>
          </cell>
          <cell r="L444">
            <v>2.6590950983780552</v>
          </cell>
          <cell r="M444">
            <v>1.9804697034774217</v>
          </cell>
          <cell r="N444">
            <v>1.0301971552010887</v>
          </cell>
          <cell r="O444">
            <v>1.2598271024675665</v>
          </cell>
          <cell r="P444">
            <v>0.34000714030548751</v>
          </cell>
          <cell r="Q444">
            <v>1.2670511874781893</v>
          </cell>
          <cell r="R444">
            <v>1.3306144408592069</v>
          </cell>
          <cell r="S444">
            <v>2.7894755042074344</v>
          </cell>
          <cell r="T444" t="str">
            <v xml:space="preserve">NA </v>
          </cell>
          <cell r="U444">
            <v>1.9853710685628081</v>
          </cell>
          <cell r="V444">
            <v>0.78676074367053062</v>
          </cell>
          <cell r="W444">
            <v>1.452105025706669</v>
          </cell>
          <cell r="X444">
            <v>2.1504040140719631</v>
          </cell>
          <cell r="Y444">
            <v>0.5417078868923153</v>
          </cell>
          <cell r="Z444" t="str">
            <v xml:space="preserve">NA </v>
          </cell>
          <cell r="AA444" t="str">
            <v xml:space="preserve">NA </v>
          </cell>
          <cell r="AB444" t="str">
            <v xml:space="preserve">NA </v>
          </cell>
          <cell r="AC444">
            <v>0.17918870261662501</v>
          </cell>
          <cell r="AD444" t="str">
            <v xml:space="preserve">NA </v>
          </cell>
          <cell r="AE444">
            <v>0.26062876935731583</v>
          </cell>
          <cell r="AF444">
            <v>0.73800195652173928</v>
          </cell>
          <cell r="AG444">
            <v>0.78512418081650492</v>
          </cell>
          <cell r="AH444">
            <v>0.64790002937047342</v>
          </cell>
          <cell r="AI444" t="str">
            <v xml:space="preserve">NA </v>
          </cell>
          <cell r="AJ444" t="str">
            <v xml:space="preserve">NA </v>
          </cell>
          <cell r="AK444">
            <v>0.65707135953348716</v>
          </cell>
          <cell r="AL444">
            <v>0.2020964209503727</v>
          </cell>
          <cell r="AM444">
            <v>2.8290456741790768</v>
          </cell>
          <cell r="AN444">
            <v>0.11883211009059297</v>
          </cell>
          <cell r="AO444" t="str">
            <v xml:space="preserve">NA </v>
          </cell>
          <cell r="AP444" t="str">
            <v xml:space="preserve">NA </v>
          </cell>
          <cell r="AQ444" t="str">
            <v xml:space="preserve">NA </v>
          </cell>
          <cell r="AR444">
            <v>1.5285118158535038</v>
          </cell>
          <cell r="AS444">
            <v>0.47900240859817567</v>
          </cell>
          <cell r="AT444" t="str">
            <v xml:space="preserve">NA </v>
          </cell>
          <cell r="AU444" t="str">
            <v xml:space="preserve">NA </v>
          </cell>
          <cell r="AV444">
            <v>0.50993572406863974</v>
          </cell>
          <cell r="AW444" t="str">
            <v xml:space="preserve">NA </v>
          </cell>
          <cell r="AX444" t="str">
            <v xml:space="preserve">NA </v>
          </cell>
          <cell r="AY444" t="str">
            <v xml:space="preserve">NA </v>
          </cell>
          <cell r="AZ444" t="str">
            <v xml:space="preserve">NA </v>
          </cell>
          <cell r="BA444" t="str">
            <v xml:space="preserve">NA </v>
          </cell>
          <cell r="BB444" t="str">
            <v xml:space="preserve">NA </v>
          </cell>
          <cell r="BC444" t="str">
            <v xml:space="preserve">NA </v>
          </cell>
          <cell r="BD444" t="str">
            <v xml:space="preserve">NA </v>
          </cell>
          <cell r="BE444" t="str">
            <v xml:space="preserve">NA </v>
          </cell>
        </row>
        <row r="453">
          <cell r="H453" t="str">
            <v>NA</v>
          </cell>
          <cell r="I453" t="str">
            <v>NA</v>
          </cell>
          <cell r="J453" t="str">
            <v>NA</v>
          </cell>
          <cell r="K453" t="str">
            <v>NA</v>
          </cell>
          <cell r="L453" t="str">
            <v>NA</v>
          </cell>
          <cell r="M453" t="str">
            <v>NA</v>
          </cell>
          <cell r="N453" t="str">
            <v>NA</v>
          </cell>
          <cell r="O453" t="str">
            <v>NA</v>
          </cell>
          <cell r="P453" t="str">
            <v>NA</v>
          </cell>
          <cell r="Q453" t="str">
            <v>NA</v>
          </cell>
          <cell r="R453" t="str">
            <v>NA</v>
          </cell>
          <cell r="S453" t="str">
            <v>NA</v>
          </cell>
          <cell r="T453" t="str">
            <v>NA</v>
          </cell>
          <cell r="U453">
            <v>-1979.8164170195391</v>
          </cell>
          <cell r="V453">
            <v>40.291767243951924</v>
          </cell>
          <cell r="W453">
            <v>23.993849493768213</v>
          </cell>
          <cell r="X453">
            <v>17.585320079918652</v>
          </cell>
          <cell r="Y453">
            <v>33.174915801349037</v>
          </cell>
          <cell r="Z453" t="str">
            <v>NA</v>
          </cell>
          <cell r="AA453">
            <v>75.247732829504116</v>
          </cell>
          <cell r="AB453">
            <v>26.349617831207272</v>
          </cell>
          <cell r="AC453">
            <v>16.703121415305308</v>
          </cell>
          <cell r="AD453" t="str">
            <v>NA</v>
          </cell>
          <cell r="AE453">
            <v>52.216996413843695</v>
          </cell>
          <cell r="AF453">
            <v>23.646249770215494</v>
          </cell>
          <cell r="AG453">
            <v>24.009089690505899</v>
          </cell>
          <cell r="AH453" t="str">
            <v>NA</v>
          </cell>
          <cell r="AI453" t="str">
            <v>NA</v>
          </cell>
          <cell r="AJ453" t="str">
            <v>NA</v>
          </cell>
          <cell r="AK453">
            <v>18.933171398463799</v>
          </cell>
          <cell r="AL453">
            <v>24.160690875182929</v>
          </cell>
          <cell r="AM453">
            <v>24.801378091872788</v>
          </cell>
          <cell r="AN453">
            <v>-19.550976779420537</v>
          </cell>
          <cell r="AO453" t="str">
            <v>NA</v>
          </cell>
          <cell r="AP453" t="str">
            <v>NA</v>
          </cell>
          <cell r="AQ453" t="str">
            <v>NA</v>
          </cell>
          <cell r="AR453">
            <v>40.819726474688231</v>
          </cell>
          <cell r="AS453" t="str">
            <v>NA</v>
          </cell>
          <cell r="AT453" t="str">
            <v>NA</v>
          </cell>
          <cell r="AU453" t="str">
            <v>NA</v>
          </cell>
          <cell r="AV453">
            <v>22.897173451607394</v>
          </cell>
          <cell r="AW453" t="str">
            <v>NA</v>
          </cell>
          <cell r="AX453" t="str">
            <v>NA</v>
          </cell>
          <cell r="AY453" t="str">
            <v>NA</v>
          </cell>
          <cell r="AZ453" t="str">
            <v>NA</v>
          </cell>
          <cell r="BA453" t="str">
            <v>NA</v>
          </cell>
          <cell r="BB453" t="str">
            <v>NA</v>
          </cell>
          <cell r="BC453" t="str">
            <v>NA</v>
          </cell>
          <cell r="BD453" t="str">
            <v>NA</v>
          </cell>
          <cell r="BE453" t="str">
            <v>NA</v>
          </cell>
        </row>
        <row r="454">
          <cell r="H454" t="e">
            <v>#DIV/0!</v>
          </cell>
          <cell r="I454" t="e">
            <v>#DIV/0!</v>
          </cell>
          <cell r="J454" t="e">
            <v>#DIV/0!</v>
          </cell>
          <cell r="K454" t="e">
            <v>#DIV/0!</v>
          </cell>
          <cell r="L454" t="e">
            <v>#DIV/0!</v>
          </cell>
          <cell r="M454" t="e">
            <v>#DIV/0!</v>
          </cell>
          <cell r="N454" t="e">
            <v>#DIV/0!</v>
          </cell>
          <cell r="O454" t="e">
            <v>#DIV/0!</v>
          </cell>
          <cell r="P454" t="e">
            <v>#DIV/0!</v>
          </cell>
          <cell r="Q454" t="e">
            <v>#DIV/0!</v>
          </cell>
          <cell r="R454" t="e">
            <v>#DIV/0!</v>
          </cell>
          <cell r="S454" t="e">
            <v>#DIV/0!</v>
          </cell>
          <cell r="T454" t="e">
            <v>#VALUE!</v>
          </cell>
          <cell r="U454">
            <v>3.7327851911148002</v>
          </cell>
          <cell r="V454">
            <v>3.1160062101160375</v>
          </cell>
          <cell r="W454">
            <v>1.0730879483187019</v>
          </cell>
          <cell r="X454">
            <v>4.4056452492554561</v>
          </cell>
          <cell r="Y454">
            <v>4.0101020231331086</v>
          </cell>
          <cell r="Z454" t="e">
            <v>#N/A</v>
          </cell>
          <cell r="AA454">
            <v>9.5630134824098771</v>
          </cell>
          <cell r="AB454">
            <v>2.6911190382349108</v>
          </cell>
          <cell r="AC454">
            <v>2.4448376809124435</v>
          </cell>
          <cell r="AD454" t="e">
            <v>#N/A</v>
          </cell>
          <cell r="AE454">
            <v>1.7191521864165678</v>
          </cell>
          <cell r="AF454">
            <v>3.3682408029119699</v>
          </cell>
          <cell r="AG454">
            <v>3.3893341018851935</v>
          </cell>
          <cell r="AH454" t="e">
            <v>#DIV/0!</v>
          </cell>
          <cell r="AI454" t="e">
            <v>#DIV/0!</v>
          </cell>
          <cell r="AJ454" t="e">
            <v>#VALUE!</v>
          </cell>
          <cell r="AK454">
            <v>36.857048458149777</v>
          </cell>
          <cell r="AL454">
            <v>2.5309428775342973</v>
          </cell>
          <cell r="AM454">
            <v>4.6108029417767327</v>
          </cell>
          <cell r="AN454">
            <v>0.81389864061982664</v>
          </cell>
          <cell r="AO454" t="e">
            <v>#N/A</v>
          </cell>
          <cell r="AP454" t="e">
            <v>#DIV/0!</v>
          </cell>
          <cell r="AQ454" t="e">
            <v>#VALUE!</v>
          </cell>
          <cell r="AR454">
            <v>6.0173175306424085</v>
          </cell>
          <cell r="AS454">
            <v>1.7624537329803007</v>
          </cell>
          <cell r="AT454" t="e">
            <v>#N/A</v>
          </cell>
          <cell r="AU454">
            <v>0</v>
          </cell>
          <cell r="AV454">
            <v>4.7926236108874214</v>
          </cell>
          <cell r="AW454" t="e">
            <v>#VALUE!</v>
          </cell>
          <cell r="AX454" t="e">
            <v>#VALUE!</v>
          </cell>
          <cell r="AY454" t="e">
            <v>#VALUE!</v>
          </cell>
          <cell r="AZ454" t="e">
            <v>#VALUE!</v>
          </cell>
          <cell r="BA454" t="e">
            <v>#VALUE!</v>
          </cell>
          <cell r="BB454" t="e">
            <v>#VALUE!</v>
          </cell>
          <cell r="BC454" t="e">
            <v>#VALUE!</v>
          </cell>
          <cell r="BD454" t="e">
            <v>#VALUE!</v>
          </cell>
          <cell r="BE454" t="e">
            <v>#VALUE!</v>
          </cell>
        </row>
        <row r="455">
          <cell r="H455" t="e">
            <v>#DIV/0!</v>
          </cell>
          <cell r="I455" t="e">
            <v>#DIV/0!</v>
          </cell>
          <cell r="J455" t="e">
            <v>#DIV/0!</v>
          </cell>
          <cell r="K455" t="e">
            <v>#DIV/0!</v>
          </cell>
          <cell r="L455" t="e">
            <v>#DIV/0!</v>
          </cell>
          <cell r="M455" t="e">
            <v>#DIV/0!</v>
          </cell>
          <cell r="N455" t="e">
            <v>#DIV/0!</v>
          </cell>
          <cell r="O455" t="e">
            <v>#DIV/0!</v>
          </cell>
          <cell r="P455" t="e">
            <v>#DIV/0!</v>
          </cell>
          <cell r="Q455" t="e">
            <v>#DIV/0!</v>
          </cell>
          <cell r="R455" t="e">
            <v>#DIV/0!</v>
          </cell>
          <cell r="S455" t="e">
            <v>#DIV/0!</v>
          </cell>
          <cell r="T455" t="e">
            <v>#VALUE!</v>
          </cell>
          <cell r="U455">
            <v>4.2254845950723823</v>
          </cell>
          <cell r="V455">
            <v>3.1160062101160375</v>
          </cell>
          <cell r="W455">
            <v>2.880545911756593</v>
          </cell>
          <cell r="X455">
            <v>4.7641926315728824</v>
          </cell>
          <cell r="Y455">
            <v>5.795852917665866</v>
          </cell>
          <cell r="Z455" t="e">
            <v>#N/A</v>
          </cell>
          <cell r="AA455">
            <v>6.2438155483788389</v>
          </cell>
          <cell r="AB455">
            <v>6.7073734579378161</v>
          </cell>
          <cell r="AC455">
            <v>3.3450037471896077</v>
          </cell>
          <cell r="AD455" t="e">
            <v>#N/A</v>
          </cell>
          <cell r="AE455">
            <v>2.2545095164260105</v>
          </cell>
          <cell r="AF455">
            <v>5.7510704312377667</v>
          </cell>
          <cell r="AG455">
            <v>8.1309307678927407</v>
          </cell>
          <cell r="AH455" t="e">
            <v>#DIV/0!</v>
          </cell>
          <cell r="AI455" t="e">
            <v>#DIV/0!</v>
          </cell>
          <cell r="AJ455" t="e">
            <v>#VALUE!</v>
          </cell>
          <cell r="AK455">
            <v>36.857048458149777</v>
          </cell>
          <cell r="AL455">
            <v>3.1863988818263507</v>
          </cell>
          <cell r="AM455">
            <v>5.4786007530659226</v>
          </cell>
          <cell r="AN455">
            <v>1.3574265961300587</v>
          </cell>
          <cell r="AO455" t="e">
            <v>#N/A</v>
          </cell>
          <cell r="AP455" t="e">
            <v>#DIV/0!</v>
          </cell>
          <cell r="AQ455" t="e">
            <v>#VALUE!</v>
          </cell>
          <cell r="AR455">
            <v>7.9295083088550973</v>
          </cell>
          <cell r="AS455">
            <v>4.2280839993042258</v>
          </cell>
          <cell r="AT455" t="e">
            <v>#N/A</v>
          </cell>
          <cell r="AU455" t="e">
            <v>#DIV/0!</v>
          </cell>
          <cell r="AV455">
            <v>6.1540096896896221</v>
          </cell>
          <cell r="AW455" t="e">
            <v>#VALUE!</v>
          </cell>
          <cell r="AX455" t="e">
            <v>#VALUE!</v>
          </cell>
          <cell r="AY455" t="e">
            <v>#VALUE!</v>
          </cell>
          <cell r="AZ455" t="e">
            <v>#VALUE!</v>
          </cell>
          <cell r="BA455" t="e">
            <v>#VALUE!</v>
          </cell>
          <cell r="BB455" t="e">
            <v>#VALUE!</v>
          </cell>
          <cell r="BC455" t="e">
            <v>#VALUE!</v>
          </cell>
          <cell r="BD455" t="e">
            <v>#VALUE!</v>
          </cell>
          <cell r="BE455" t="e">
            <v>#VALUE!</v>
          </cell>
        </row>
        <row r="456">
          <cell r="H456">
            <v>18.163157894736841</v>
          </cell>
          <cell r="I456">
            <v>24.608695652173914</v>
          </cell>
          <cell r="J456">
            <v>27.704761904761902</v>
          </cell>
          <cell r="K456">
            <v>15.974729241877258</v>
          </cell>
          <cell r="L456">
            <v>180.49999999999997</v>
          </cell>
          <cell r="M456">
            <v>22.891566265060245</v>
          </cell>
          <cell r="N456">
            <v>13.893518518518517</v>
          </cell>
          <cell r="O456">
            <v>24.058823529411764</v>
          </cell>
          <cell r="P456">
            <v>16.727272727272723</v>
          </cell>
          <cell r="Q456">
            <v>18.242105263157892</v>
          </cell>
          <cell r="R456">
            <v>21.882352941176471</v>
          </cell>
          <cell r="S456">
            <v>17.925373134328357</v>
          </cell>
          <cell r="T456" t="e">
            <v>#VALUE!</v>
          </cell>
          <cell r="U456">
            <v>66.4375</v>
          </cell>
          <cell r="V456">
            <v>33.798701298701296</v>
          </cell>
          <cell r="W456">
            <v>18.356382978723406</v>
          </cell>
          <cell r="X456">
            <v>19.460674157303369</v>
          </cell>
          <cell r="Y456">
            <v>24.138613861386137</v>
          </cell>
          <cell r="Z456" t="str">
            <v>NA</v>
          </cell>
          <cell r="AA456">
            <v>21.319648093841643</v>
          </cell>
          <cell r="AB456">
            <v>21.319648093841643</v>
          </cell>
          <cell r="AC456">
            <v>11.5234375</v>
          </cell>
          <cell r="AD456" t="str">
            <v>NA</v>
          </cell>
          <cell r="AE456">
            <v>29.866666666666667</v>
          </cell>
          <cell r="AF456">
            <v>20.80078125</v>
          </cell>
          <cell r="AG456">
            <v>18.450549450549449</v>
          </cell>
          <cell r="AH456">
            <v>33.258785942492011</v>
          </cell>
          <cell r="AI456" t="e">
            <v>#DIV/0!</v>
          </cell>
          <cell r="AJ456" t="e">
            <v>#VALUE!</v>
          </cell>
          <cell r="AK456">
            <v>16.420454545454547</v>
          </cell>
          <cell r="AL456">
            <v>17.845722300140249</v>
          </cell>
          <cell r="AM456">
            <v>22.083333333333332</v>
          </cell>
          <cell r="AN456">
            <v>14.8955223880597</v>
          </cell>
          <cell r="AO456" t="str">
            <v>NA</v>
          </cell>
          <cell r="AP456" t="e">
            <v>#DIV/0!</v>
          </cell>
          <cell r="AQ456" t="e">
            <v>#VALUE!</v>
          </cell>
          <cell r="AR456">
            <v>29.94979079497908</v>
          </cell>
          <cell r="AS456">
            <v>18.450549450549453</v>
          </cell>
          <cell r="AT456" t="str">
            <v>NA</v>
          </cell>
          <cell r="AU456" t="e">
            <v>#DIV/0!</v>
          </cell>
          <cell r="AV456">
            <v>22.230240549828174</v>
          </cell>
          <cell r="AW456" t="e">
            <v>#VALUE!</v>
          </cell>
          <cell r="AX456" t="e">
            <v>#VALUE!</v>
          </cell>
          <cell r="AY456" t="e">
            <v>#VALUE!</v>
          </cell>
          <cell r="AZ456" t="e">
            <v>#VALUE!</v>
          </cell>
          <cell r="BA456" t="e">
            <v>#VALUE!</v>
          </cell>
          <cell r="BB456" t="e">
            <v>#VALUE!</v>
          </cell>
          <cell r="BC456" t="e">
            <v>#VALUE!</v>
          </cell>
          <cell r="BD456" t="e">
            <v>#VALUE!</v>
          </cell>
          <cell r="BE456" t="e">
            <v>#VALUE!</v>
          </cell>
        </row>
        <row r="457">
          <cell r="H457">
            <v>16.126168224299064</v>
          </cell>
          <cell r="I457">
            <v>16.647058823529409</v>
          </cell>
          <cell r="J457">
            <v>24.445378151260503</v>
          </cell>
          <cell r="K457">
            <v>14.182692307692307</v>
          </cell>
          <cell r="L457">
            <v>40.111111111111114</v>
          </cell>
          <cell r="M457">
            <v>18.627450980392158</v>
          </cell>
          <cell r="N457">
            <v>12.556485355648535</v>
          </cell>
          <cell r="O457">
            <v>16.80821917808219</v>
          </cell>
          <cell r="P457">
            <v>7.8857142857142852</v>
          </cell>
          <cell r="Q457">
            <v>15.61261261261261</v>
          </cell>
          <cell r="R457">
            <v>18.800151108741435</v>
          </cell>
          <cell r="S457">
            <v>15.496774193548386</v>
          </cell>
          <cell r="T457" t="e">
            <v>#VALUE!</v>
          </cell>
          <cell r="U457">
            <v>32.707692307692312</v>
          </cell>
          <cell r="V457">
            <v>22.828947368421051</v>
          </cell>
          <cell r="W457">
            <v>16.126168224299064</v>
          </cell>
          <cell r="X457">
            <v>16.815533980582526</v>
          </cell>
          <cell r="Y457">
            <v>19.196850393700785</v>
          </cell>
          <cell r="Z457" t="str">
            <v>NA</v>
          </cell>
          <cell r="AA457">
            <v>17.818627450980394</v>
          </cell>
          <cell r="AB457">
            <v>17.818627450980397</v>
          </cell>
          <cell r="AC457">
            <v>10.387323943661972</v>
          </cell>
          <cell r="AD457" t="str">
            <v>NA</v>
          </cell>
          <cell r="AE457">
            <v>21.189189189189189</v>
          </cell>
          <cell r="AF457">
            <v>17.989864864864867</v>
          </cell>
          <cell r="AG457">
            <v>15.403669724770641</v>
          </cell>
          <cell r="AH457">
            <v>23.498871331828447</v>
          </cell>
          <cell r="AI457" t="e">
            <v>#DIV/0!</v>
          </cell>
          <cell r="AJ457" t="e">
            <v>#VALUE!</v>
          </cell>
          <cell r="AK457">
            <v>14.236453201970443</v>
          </cell>
          <cell r="AL457">
            <v>14.642117376294591</v>
          </cell>
          <cell r="AM457">
            <v>19.822834645669289</v>
          </cell>
          <cell r="AN457">
            <v>9.9481658692184993</v>
          </cell>
          <cell r="AO457" t="str">
            <v>NA</v>
          </cell>
          <cell r="AP457" t="e">
            <v>#DIV/0!</v>
          </cell>
          <cell r="AQ457" t="e">
            <v>#VALUE!</v>
          </cell>
          <cell r="AR457">
            <v>24.984293193717274</v>
          </cell>
          <cell r="AS457">
            <v>15.403669724770642</v>
          </cell>
          <cell r="AT457" t="str">
            <v>NA</v>
          </cell>
          <cell r="AU457" t="e">
            <v>#DIV/0!</v>
          </cell>
          <cell r="AV457">
            <v>18.482857142857142</v>
          </cell>
          <cell r="AW457" t="e">
            <v>#VALUE!</v>
          </cell>
          <cell r="AX457" t="e">
            <v>#VALUE!</v>
          </cell>
          <cell r="AY457" t="e">
            <v>#VALUE!</v>
          </cell>
          <cell r="AZ457" t="e">
            <v>#VALUE!</v>
          </cell>
          <cell r="BA457" t="e">
            <v>#VALUE!</v>
          </cell>
          <cell r="BB457" t="e">
            <v>#VALUE!</v>
          </cell>
          <cell r="BC457" t="e">
            <v>#VALUE!</v>
          </cell>
          <cell r="BD457" t="e">
            <v>#VALUE!</v>
          </cell>
          <cell r="BE457" t="e">
            <v>#VALUE!</v>
          </cell>
        </row>
        <row r="458">
          <cell r="H458">
            <v>13.273076923076923</v>
          </cell>
          <cell r="I458">
            <v>12.304347826086957</v>
          </cell>
          <cell r="J458">
            <v>21.188145855146356</v>
          </cell>
          <cell r="K458">
            <v>12.019230769230768</v>
          </cell>
          <cell r="L458">
            <v>25.785714285714288</v>
          </cell>
          <cell r="M458">
            <v>15.200000000000001</v>
          </cell>
          <cell r="N458">
            <v>11.324528301886794</v>
          </cell>
          <cell r="O458">
            <v>14.11902789284728</v>
          </cell>
          <cell r="P458">
            <v>6.81271212588707</v>
          </cell>
          <cell r="Q458">
            <v>13.401384216834856</v>
          </cell>
          <cell r="R458">
            <v>18.800151108741435</v>
          </cell>
          <cell r="S458">
            <v>13.725714285714286</v>
          </cell>
          <cell r="T458" t="e">
            <v>#VALUE!</v>
          </cell>
          <cell r="U458">
            <v>26.430458430458433</v>
          </cell>
          <cell r="V458">
            <v>18.494803688585165</v>
          </cell>
          <cell r="W458">
            <v>13.273076923076923</v>
          </cell>
          <cell r="X458">
            <v>14.554621848739496</v>
          </cell>
          <cell r="Y458">
            <v>15.263457417270242</v>
          </cell>
          <cell r="Z458" t="str">
            <v>NA</v>
          </cell>
          <cell r="AA458" t="str">
            <v>NA</v>
          </cell>
          <cell r="AB458" t="str">
            <v>NA</v>
          </cell>
          <cell r="AC458">
            <v>9.1923220740371434</v>
          </cell>
          <cell r="AD458" t="str">
            <v>NA</v>
          </cell>
          <cell r="AE458">
            <v>17.5</v>
          </cell>
          <cell r="AF458">
            <v>15.643360752056408</v>
          </cell>
          <cell r="AG458">
            <v>12.664367117298891</v>
          </cell>
          <cell r="AH458">
            <v>18.494803688585169</v>
          </cell>
          <cell r="AI458" t="e">
            <v>#DIV/0!</v>
          </cell>
          <cell r="AJ458" t="e">
            <v>#VALUE!</v>
          </cell>
          <cell r="AK458">
            <v>12.844444444444443</v>
          </cell>
          <cell r="AL458">
            <v>12.523622047244094</v>
          </cell>
          <cell r="AM458">
            <v>17.787899000062176</v>
          </cell>
          <cell r="AN458">
            <v>9.9481658692184993</v>
          </cell>
          <cell r="AO458" t="str">
            <v>NA</v>
          </cell>
          <cell r="AP458" t="e">
            <v>#DIV/0!</v>
          </cell>
          <cell r="AQ458" t="e">
            <v>#VALUE!</v>
          </cell>
          <cell r="AR458">
            <v>21.008859645672867</v>
          </cell>
          <cell r="AS458">
            <v>12.664367117298893</v>
          </cell>
          <cell r="AT458" t="str">
            <v>NA</v>
          </cell>
          <cell r="AU458" t="e">
            <v>#DIV/0!</v>
          </cell>
          <cell r="AV458">
            <v>15.409058210939023</v>
          </cell>
          <cell r="AW458" t="e">
            <v>#VALUE!</v>
          </cell>
          <cell r="AX458" t="e">
            <v>#VALUE!</v>
          </cell>
          <cell r="AY458" t="e">
            <v>#VALUE!</v>
          </cell>
          <cell r="AZ458" t="e">
            <v>#VALUE!</v>
          </cell>
          <cell r="BA458" t="e">
            <v>#VALUE!</v>
          </cell>
          <cell r="BB458" t="e">
            <v>#VALUE!</v>
          </cell>
          <cell r="BC458" t="e">
            <v>#VALUE!</v>
          </cell>
          <cell r="BD458" t="e">
            <v>#VALUE!</v>
          </cell>
          <cell r="BE458" t="e">
            <v>#VALUE!</v>
          </cell>
        </row>
        <row r="460">
          <cell r="H460">
            <v>0.94859813084112132</v>
          </cell>
          <cell r="I460">
            <v>0.83235294117647041</v>
          </cell>
          <cell r="J460">
            <v>1.2865988500663426</v>
          </cell>
          <cell r="K460">
            <v>0.78792735042735051</v>
          </cell>
          <cell r="L460">
            <v>1.035125448028674</v>
          </cell>
          <cell r="M460">
            <v>1.0957324106113033</v>
          </cell>
          <cell r="N460">
            <v>0.96588348889604103</v>
          </cell>
          <cell r="O460">
            <v>0.84041095890410944</v>
          </cell>
          <cell r="P460">
            <v>0.50068027210884347</v>
          </cell>
          <cell r="Q460">
            <v>0.94621894621894598</v>
          </cell>
          <cell r="R460">
            <v>1.134589686707389</v>
          </cell>
          <cell r="S460">
            <v>0.91157495256166965</v>
          </cell>
          <cell r="T460" t="e">
            <v>#VALUE!</v>
          </cell>
          <cell r="U460">
            <v>1.3771659919028343</v>
          </cell>
          <cell r="V460">
            <v>0.76096491228070196</v>
          </cell>
          <cell r="W460">
            <v>0.85960384990933181</v>
          </cell>
          <cell r="X460">
            <v>1.0731036362847814</v>
          </cell>
          <cell r="Y460">
            <v>0.74493016661625089</v>
          </cell>
          <cell r="Z460" t="e">
            <v>#N/A</v>
          </cell>
          <cell r="AA460">
            <v>0.92228920553728744</v>
          </cell>
          <cell r="AB460">
            <v>0.92228920553728744</v>
          </cell>
          <cell r="AC460">
            <v>0.79902491874322867</v>
          </cell>
          <cell r="AD460" t="e">
            <v>#N/A</v>
          </cell>
          <cell r="AE460">
            <v>1.3243243243243241</v>
          </cell>
          <cell r="AF460">
            <v>1.1993243243243246</v>
          </cell>
          <cell r="AG460">
            <v>0.71214376906013133</v>
          </cell>
          <cell r="AH460">
            <v>0.8716198565218265</v>
          </cell>
          <cell r="AI460">
            <v>1.7208333333333332</v>
          </cell>
          <cell r="AJ460" t="e">
            <v>#VALUE!</v>
          </cell>
          <cell r="AK460">
            <v>0.88977832512315269</v>
          </cell>
          <cell r="AL460">
            <v>0.7804966618493917</v>
          </cell>
          <cell r="AM460">
            <v>1.7327652662298332</v>
          </cell>
          <cell r="AN460">
            <v>0.49740829346092502</v>
          </cell>
          <cell r="AO460" t="e">
            <v>#N/A</v>
          </cell>
          <cell r="AP460">
            <v>1.3382053130003897</v>
          </cell>
          <cell r="AQ460" t="e">
            <v>#VALUE!</v>
          </cell>
          <cell r="AR460">
            <v>1.3382053130003897</v>
          </cell>
          <cell r="AS460">
            <v>0.71214376906013133</v>
          </cell>
          <cell r="AT460" t="e">
            <v>#N/A</v>
          </cell>
          <cell r="AU460">
            <v>0.93347763347763335</v>
          </cell>
          <cell r="AV460">
            <v>0.93347763347763335</v>
          </cell>
          <cell r="AW460" t="e">
            <v>#VALUE!</v>
          </cell>
          <cell r="AX460" t="e">
            <v>#VALUE!</v>
          </cell>
          <cell r="AY460" t="e">
            <v>#VALUE!</v>
          </cell>
          <cell r="AZ460" t="e">
            <v>#VALUE!</v>
          </cell>
          <cell r="BA460" t="e">
            <v>#VALUE!</v>
          </cell>
          <cell r="BB460" t="e">
            <v>#VALUE!</v>
          </cell>
          <cell r="BC460" t="e">
            <v>#VALUE!</v>
          </cell>
          <cell r="BD460" t="e">
            <v>#VALUE!</v>
          </cell>
          <cell r="BE460" t="e">
            <v>#VALUE!</v>
          </cell>
        </row>
        <row r="461">
          <cell r="H461">
            <v>1.0684210526315787</v>
          </cell>
          <cell r="I461">
            <v>1.2304347826086957</v>
          </cell>
          <cell r="J461">
            <v>1.4581453634085213</v>
          </cell>
          <cell r="K461">
            <v>0.88748495788206982</v>
          </cell>
          <cell r="L461">
            <v>4.6580645161290324</v>
          </cell>
          <cell r="M461">
            <v>1.3465627214741318</v>
          </cell>
          <cell r="N461">
            <v>1.0687321937321936</v>
          </cell>
          <cell r="O461">
            <v>1.2029411764705882</v>
          </cell>
          <cell r="P461">
            <v>1.0620490620490619</v>
          </cell>
          <cell r="Q461">
            <v>1.1055821371610843</v>
          </cell>
          <cell r="R461">
            <v>1.32060066030033</v>
          </cell>
          <cell r="S461">
            <v>1.054433713784021</v>
          </cell>
          <cell r="T461" t="e">
            <v>#VALUE!</v>
          </cell>
          <cell r="U461">
            <v>2.7973684210526319</v>
          </cell>
          <cell r="V461">
            <v>1.1266233766233766</v>
          </cell>
          <cell r="W461">
            <v>0.97848523340743077</v>
          </cell>
          <cell r="X461">
            <v>1.2419064554756458</v>
          </cell>
          <cell r="Y461">
            <v>0.93669436792340466</v>
          </cell>
          <cell r="Z461" t="e">
            <v>#N/A</v>
          </cell>
          <cell r="AA461">
            <v>1.10350145413259</v>
          </cell>
          <cell r="AB461">
            <v>1.10350145413259</v>
          </cell>
          <cell r="AC461">
            <v>0.88641826923076916</v>
          </cell>
          <cell r="AD461" t="e">
            <v>#N/A</v>
          </cell>
          <cell r="AE461">
            <v>1.8666666666666665</v>
          </cell>
          <cell r="AF461">
            <v>1.38671875</v>
          </cell>
          <cell r="AG461">
            <v>0.85300737173136609</v>
          </cell>
          <cell r="AH461">
            <v>1.2336344934158758</v>
          </cell>
          <cell r="AI461">
            <v>3.4416666666666664</v>
          </cell>
          <cell r="AJ461" t="e">
            <v>#VALUE!</v>
          </cell>
          <cell r="AK461">
            <v>1.0262784090909089</v>
          </cell>
          <cell r="AL461">
            <v>0.95126451493284914</v>
          </cell>
          <cell r="AM461">
            <v>1.9303613053613053</v>
          </cell>
          <cell r="AN461">
            <v>0.74477611940298505</v>
          </cell>
          <cell r="AO461" t="e">
            <v>#N/A</v>
          </cell>
          <cell r="AP461">
            <v>1.6041666199774547</v>
          </cell>
          <cell r="AQ461" t="e">
            <v>#VALUE!</v>
          </cell>
          <cell r="AR461">
            <v>1.6041666199774547</v>
          </cell>
          <cell r="AS461">
            <v>0.85300737173136609</v>
          </cell>
          <cell r="AT461" t="e">
            <v>#N/A</v>
          </cell>
          <cell r="AU461">
            <v>1.1227394217084938</v>
          </cell>
          <cell r="AV461">
            <v>1.1227394217084938</v>
          </cell>
          <cell r="AW461" t="e">
            <v>#VALUE!</v>
          </cell>
          <cell r="AX461" t="e">
            <v>#VALUE!</v>
          </cell>
          <cell r="AY461" t="e">
            <v>#VALUE!</v>
          </cell>
          <cell r="AZ461" t="e">
            <v>#VALUE!</v>
          </cell>
          <cell r="BA461" t="e">
            <v>#VALUE!</v>
          </cell>
          <cell r="BB461" t="e">
            <v>#VALUE!</v>
          </cell>
          <cell r="BC461" t="e">
            <v>#VALUE!</v>
          </cell>
          <cell r="BD461" t="e">
            <v>#VALUE!</v>
          </cell>
          <cell r="BE461" t="e">
            <v>#VALUE!</v>
          </cell>
        </row>
        <row r="464">
          <cell r="H464" t="e">
            <v>#NAME?</v>
          </cell>
          <cell r="I464" t="e">
            <v>#NAME?</v>
          </cell>
          <cell r="J464" t="e">
            <v>#NAME?</v>
          </cell>
          <cell r="K464" t="e">
            <v>#NAME?</v>
          </cell>
          <cell r="L464" t="e">
            <v>#NAME?</v>
          </cell>
          <cell r="M464" t="e">
            <v>#NAME?</v>
          </cell>
          <cell r="N464" t="e">
            <v>#NAME?</v>
          </cell>
          <cell r="O464" t="e">
            <v>#NAME?</v>
          </cell>
          <cell r="P464" t="e">
            <v>#NAME?</v>
          </cell>
          <cell r="Q464" t="e">
            <v>#NAME?</v>
          </cell>
          <cell r="R464" t="e">
            <v>#NAME?</v>
          </cell>
          <cell r="S464" t="e">
            <v>#NAME?</v>
          </cell>
          <cell r="T464" t="e">
            <v>#NAME?</v>
          </cell>
          <cell r="U464" t="e">
            <v>#NAME?</v>
          </cell>
          <cell r="V464" t="e">
            <v>#NAME?</v>
          </cell>
          <cell r="W464" t="e">
            <v>#NAME?</v>
          </cell>
          <cell r="X464" t="e">
            <v>#NAME?</v>
          </cell>
          <cell r="Y464" t="e">
            <v>#NAME?</v>
          </cell>
          <cell r="Z464" t="e">
            <v>#NAME?</v>
          </cell>
          <cell r="AA464" t="e">
            <v>#NAME?</v>
          </cell>
          <cell r="AB464" t="e">
            <v>#NAME?</v>
          </cell>
          <cell r="AC464" t="e">
            <v>#NAME?</v>
          </cell>
          <cell r="AD464" t="e">
            <v>#NAME?</v>
          </cell>
          <cell r="AE464" t="e">
            <v>#NAME?</v>
          </cell>
          <cell r="AF464" t="e">
            <v>#NAME?</v>
          </cell>
          <cell r="AG464" t="e">
            <v>#NAME?</v>
          </cell>
          <cell r="AH464" t="e">
            <v>#NAME?</v>
          </cell>
          <cell r="AI464" t="e">
            <v>#NAME?</v>
          </cell>
          <cell r="AJ464" t="e">
            <v>#NAME?</v>
          </cell>
          <cell r="AK464" t="e">
            <v>#NAME?</v>
          </cell>
          <cell r="AL464" t="e">
            <v>#NAME?</v>
          </cell>
          <cell r="AM464" t="e">
            <v>#NAME?</v>
          </cell>
          <cell r="AN464" t="e">
            <v>#NAME?</v>
          </cell>
          <cell r="AO464" t="e">
            <v>#NAME?</v>
          </cell>
          <cell r="AP464" t="e">
            <v>#NAME?</v>
          </cell>
          <cell r="AQ464" t="e">
            <v>#NAME?</v>
          </cell>
          <cell r="AR464" t="e">
            <v>#NAME?</v>
          </cell>
          <cell r="AS464" t="e">
            <v>#NAME?</v>
          </cell>
          <cell r="AT464" t="e">
            <v>#NAME?</v>
          </cell>
          <cell r="AU464" t="e">
            <v>#NAME?</v>
          </cell>
          <cell r="AV464" t="e">
            <v>#NAME?</v>
          </cell>
          <cell r="AW464" t="e">
            <v>#NAME?</v>
          </cell>
          <cell r="AX464" t="e">
            <v>#NAME?</v>
          </cell>
          <cell r="AY464" t="e">
            <v>#NAME?</v>
          </cell>
          <cell r="AZ464" t="e">
            <v>#NAME?</v>
          </cell>
          <cell r="BA464" t="e">
            <v>#NAME?</v>
          </cell>
          <cell r="BB464" t="e">
            <v>#NAME?</v>
          </cell>
          <cell r="BC464" t="e">
            <v>#NAME?</v>
          </cell>
          <cell r="BD464" t="e">
            <v>#NAME?</v>
          </cell>
          <cell r="BE464" t="e">
            <v>#NAME?</v>
          </cell>
        </row>
        <row r="465">
          <cell r="H465" t="e">
            <v>#NAME?</v>
          </cell>
          <cell r="I465" t="e">
            <v>#NAME?</v>
          </cell>
          <cell r="J465" t="e">
            <v>#NAME?</v>
          </cell>
          <cell r="K465" t="e">
            <v>#NAME?</v>
          </cell>
          <cell r="L465" t="e">
            <v>#NAME?</v>
          </cell>
          <cell r="M465" t="e">
            <v>#NAME?</v>
          </cell>
          <cell r="N465" t="e">
            <v>#NAME?</v>
          </cell>
          <cell r="O465" t="e">
            <v>#NAME?</v>
          </cell>
          <cell r="P465" t="e">
            <v>#NAME?</v>
          </cell>
          <cell r="Q465" t="e">
            <v>#NAME?</v>
          </cell>
          <cell r="R465" t="e">
            <v>#NAME?</v>
          </cell>
          <cell r="S465" t="e">
            <v>#NAME?</v>
          </cell>
          <cell r="T465" t="e">
            <v>#NAME?</v>
          </cell>
          <cell r="U465" t="e">
            <v>#NAME?</v>
          </cell>
          <cell r="V465" t="e">
            <v>#NAME?</v>
          </cell>
          <cell r="W465" t="e">
            <v>#NAME?</v>
          </cell>
          <cell r="X465" t="e">
            <v>#NAME?</v>
          </cell>
          <cell r="Y465" t="e">
            <v>#NAME?</v>
          </cell>
          <cell r="Z465" t="e">
            <v>#NAME?</v>
          </cell>
          <cell r="AA465" t="e">
            <v>#NAME?</v>
          </cell>
          <cell r="AB465" t="e">
            <v>#NAME?</v>
          </cell>
          <cell r="AC465" t="e">
            <v>#NAME?</v>
          </cell>
          <cell r="AD465" t="e">
            <v>#NAME?</v>
          </cell>
          <cell r="AE465" t="e">
            <v>#NAME?</v>
          </cell>
          <cell r="AF465" t="e">
            <v>#NAME?</v>
          </cell>
          <cell r="AG465" t="e">
            <v>#NAME?</v>
          </cell>
          <cell r="AH465" t="e">
            <v>#NAME?</v>
          </cell>
          <cell r="AI465" t="e">
            <v>#NAME?</v>
          </cell>
          <cell r="AJ465" t="e">
            <v>#NAME?</v>
          </cell>
          <cell r="AK465" t="e">
            <v>#NAME?</v>
          </cell>
          <cell r="AL465" t="e">
            <v>#NAME?</v>
          </cell>
          <cell r="AM465" t="e">
            <v>#NAME?</v>
          </cell>
          <cell r="AN465" t="e">
            <v>#NAME?</v>
          </cell>
          <cell r="AO465" t="e">
            <v>#NAME?</v>
          </cell>
          <cell r="AP465" t="e">
            <v>#NAME?</v>
          </cell>
          <cell r="AQ465" t="e">
            <v>#NAME?</v>
          </cell>
          <cell r="AR465" t="e">
            <v>#NAME?</v>
          </cell>
          <cell r="AS465" t="e">
            <v>#NAME?</v>
          </cell>
          <cell r="AT465" t="e">
            <v>#NAME?</v>
          </cell>
          <cell r="AU465" t="e">
            <v>#NAME?</v>
          </cell>
          <cell r="AV465" t="e">
            <v>#NAME?</v>
          </cell>
          <cell r="AW465" t="e">
            <v>#NAME?</v>
          </cell>
          <cell r="AX465" t="e">
            <v>#NAME?</v>
          </cell>
          <cell r="AY465" t="e">
            <v>#NAME?</v>
          </cell>
          <cell r="AZ465" t="e">
            <v>#NAME?</v>
          </cell>
          <cell r="BA465" t="e">
            <v>#NAME?</v>
          </cell>
          <cell r="BB465" t="e">
            <v>#NAME?</v>
          </cell>
          <cell r="BC465" t="e">
            <v>#NAME?</v>
          </cell>
          <cell r="BD465" t="e">
            <v>#NAME?</v>
          </cell>
          <cell r="BE465" t="e">
            <v>#NAME?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heet1"/>
      <sheetName val="Scenario"/>
      <sheetName val="ImportantDisclosures"/>
      <sheetName val="IndexInformation"/>
      <sheetName val="Income"/>
      <sheetName val="GWP"/>
      <sheetName val="Income Statement"/>
      <sheetName val="Margins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TimeSeries"/>
      <sheetName val="Valuation Analyzer"/>
      <sheetName val="SSB Nielsen Sales"/>
      <sheetName val="Comps"/>
      <sheetName val="Switches"/>
      <sheetName val="summary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B"/>
      <sheetName val="Ratios"/>
      <sheetName val="C"/>
      <sheetName val="Oil Consumption – barrels"/>
      <sheetName val="rev change analysi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NY UPLOAD"/>
      <sheetName val="2003"/>
      <sheetName val="2004"/>
      <sheetName val="Annual"/>
      <sheetName val="IL-1 Trap Revenue"/>
      <sheetName val="VEGF Trap Revenue"/>
      <sheetName val="Balance Sheet "/>
      <sheetName val="Cashflow"/>
      <sheetName val="MS Est vs Rpt"/>
      <sheetName val="Changes to Model"/>
      <sheetName val="Milestones "/>
      <sheetName val="Snapshot"/>
      <sheetName val="NY UPLOAD shadow"/>
      <sheetName val="mStartup"/>
      <sheetName val="MainCode"/>
    </sheetNames>
    <sheetDataSet>
      <sheetData sheetId="0" refreshError="1"/>
      <sheetData sheetId="1" refreshError="1"/>
      <sheetData sheetId="2"/>
      <sheetData sheetId="3" refreshError="1"/>
      <sheetData sheetId="4" refreshError="1">
        <row r="31">
          <cell r="I31">
            <v>-1.8455476641358866</v>
          </cell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NY UPLOAD"/>
      <sheetName val="2002"/>
      <sheetName val="2003"/>
      <sheetName val="Annual"/>
      <sheetName val="Angiomax-US"/>
      <sheetName val="Balance Sheet"/>
      <sheetName val="Cash Flow"/>
      <sheetName val="Milestones"/>
      <sheetName val="Snap"/>
      <sheetName val="Sheet2"/>
      <sheetName val="Angiomax-Europe"/>
      <sheetName val="NY UPLOAD shadow"/>
    </sheetNames>
    <sheetDataSet>
      <sheetData sheetId="0"/>
      <sheetData sheetId="1"/>
      <sheetData sheetId="2"/>
      <sheetData sheetId="3"/>
      <sheetData sheetId="4" refreshError="1">
        <row r="27">
          <cell r="I27">
            <v>0.79388268195957734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S Est vs Rpt"/>
      <sheetName val="mwareTaxoPres"/>
      <sheetName val="__FDSCACHE__"/>
      <sheetName val="Changes to Model "/>
      <sheetName val="Quarterly"/>
      <sheetName val="Annual"/>
      <sheetName val="mwareValPrintout"/>
      <sheetName val="Balance Sheet"/>
      <sheetName val="Cash Flow"/>
      <sheetName val="Collaborative Rev"/>
      <sheetName val="MW-Cache"/>
      <sheetName val="DCF"/>
      <sheetName val="scenarios "/>
      <sheetName val="HCV market"/>
      <sheetName val="MWA RR"/>
      <sheetName val="Lexiva"/>
      <sheetName val="Charts"/>
      <sheetName val="Marketing"/>
      <sheetName val="mwareDates"/>
      <sheetName val="mwareSettings"/>
      <sheetName val="mStartup"/>
      <sheetName val="NY UPLOAD shadow"/>
      <sheetName val="MultipleSecurities"/>
    </sheetNames>
    <sheetDataSet>
      <sheetData sheetId="0"/>
      <sheetData sheetId="1"/>
      <sheetData sheetId="2"/>
      <sheetData sheetId="3"/>
      <sheetData sheetId="4"/>
      <sheetData sheetId="5" refreshError="1">
        <row r="40">
          <cell r="I40">
            <v>-2.2794119294942909</v>
          </cell>
          <cell r="K40">
            <v>-1.827320020137607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/>
      <sheetData sheetId="22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mwarePreview"/>
      <sheetName val="Questions"/>
      <sheetName val="Quarterly"/>
      <sheetName val="Annual"/>
      <sheetName val="mwareValPrintout"/>
      <sheetName val="mwareTaxoPres"/>
      <sheetName val="Balance Sheet "/>
      <sheetName val="Cashflow"/>
      <sheetName val="Avastin- 2004 Patient Ramp"/>
      <sheetName val="Consensus&amp;Figures"/>
      <sheetName val="Avastin"/>
      <sheetName val="Rituxan"/>
      <sheetName val="Xolair"/>
      <sheetName val="Raptiva"/>
      <sheetName val="Tarceva"/>
      <sheetName val="Herceptin"/>
      <sheetName val="DCF Valuation"/>
      <sheetName val="mwareDates"/>
      <sheetName val="mwareSettings"/>
      <sheetName val="NY UPLOAD shadow"/>
      <sheetName val="mStartup"/>
      <sheetName val="MainCode"/>
      <sheetName val="NY UPLOAD"/>
      <sheetName val="MS Est vs. Rpt"/>
      <sheetName val="Changes"/>
      <sheetName val="Marketing"/>
      <sheetName val="DNA Milesto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2">
          <cell r="H42">
            <v>0.36046840883862497</v>
          </cell>
          <cell r="J42">
            <v>0.4609771128689375</v>
          </cell>
          <cell r="L42">
            <v>0.52459464276934265</v>
          </cell>
          <cell r="N42">
            <v>0.27128361596795858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NY UPLOAD"/>
      <sheetName val="Quarterly"/>
      <sheetName val="MS Est vs. Rpt"/>
      <sheetName val="mwareTaxoPres"/>
      <sheetName val="Changes to the Model"/>
      <sheetName val="mwareValPrintout"/>
      <sheetName val="mwarePreview"/>
      <sheetName val="Annual"/>
      <sheetName val="Balance Sheet "/>
      <sheetName val="Cashflow"/>
      <sheetName val="Avastin- 2004 Patient Ramp"/>
      <sheetName val="Consensus&amp;Figures"/>
      <sheetName val="Avastin"/>
      <sheetName val="Rituxan"/>
      <sheetName val="Xolair"/>
      <sheetName val="Raptiva"/>
      <sheetName val="Tarceva"/>
      <sheetName val="DCF Valuation"/>
      <sheetName val="Questions"/>
      <sheetName val="mwareDates"/>
      <sheetName val="Marketing"/>
      <sheetName val="DNA Milestones"/>
      <sheetName val="NY UPLOAD shadow"/>
      <sheetName val="mwareSettings"/>
      <sheetName val="mStartup"/>
      <sheetName val="MainCo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49">
          <cell r="N49">
            <v>0.2520280545224951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Menu"/>
      <sheetName val="Print Menu"/>
      <sheetName val="Input"/>
      <sheetName val="Coverage Univers (NEW RATINGS)"/>
      <sheetName val="Life Science Tools Valuation"/>
      <sheetName val="Spec. Distr Valuation"/>
      <sheetName val="Disclosure (w. ACDO)"/>
      <sheetName val="ROC"/>
      <sheetName val="Coverage Univers (w acdo)"/>
      <sheetName val="Reagents &amp; Tools"/>
      <sheetName val="Reagents"/>
      <sheetName val="Reagents (2)"/>
      <sheetName val="Tools"/>
      <sheetName val="STREET vs. Our estimates"/>
      <sheetName val="Distr "/>
      <sheetName val="Summary (3)"/>
      <sheetName val="Showcase"/>
      <sheetName val="Summary"/>
      <sheetName val="Summary2"/>
      <sheetName val="Summary (2)"/>
      <sheetName val="Coverage Univers"/>
      <sheetName val="Summary2 (2)"/>
      <sheetName val="NonProfitable_Sum"/>
      <sheetName val="NonProfitable_Sum2"/>
      <sheetName val="Profile - Profitable"/>
      <sheetName val="Profile - Profitable 2"/>
      <sheetName val="Profile - NonProfitable"/>
      <sheetName val="Profile - NonProfitable 2"/>
      <sheetName val="Val Input"/>
      <sheetName val="Price Matx"/>
      <sheetName val="Public Val1"/>
      <sheetName val="Public Val Calc"/>
      <sheetName val="Public Val2"/>
      <sheetName val="Public Grph1"/>
      <sheetName val="Public Grph2"/>
      <sheetName val="MA Val1"/>
      <sheetName val="MA Val Calc"/>
      <sheetName val="MA Val2"/>
      <sheetName val="MA Grph1"/>
      <sheetName val="MA Grph2"/>
      <sheetName val="Estm"/>
      <sheetName val="__FDSCACHE__"/>
      <sheetName val="Rev_Estm"/>
      <sheetName val="Rank Menu"/>
      <sheetName val="Macros"/>
      <sheetName val="Macro-Print"/>
      <sheetName val="Macro-Rank"/>
      <sheetName val="Rank1"/>
      <sheetName val="Rank2"/>
      <sheetName val="Rank3"/>
      <sheetName val="Rank4"/>
      <sheetName val="Rank Work"/>
      <sheetName val="Graph_Ranker_Main"/>
      <sheetName val="Graphs_1,2"/>
      <sheetName val="CheckWork"/>
    </sheetNames>
    <sheetDataSet>
      <sheetData sheetId="0" refreshError="1"/>
      <sheetData sheetId="1" refreshError="1"/>
      <sheetData sheetId="2" refreshError="1">
        <row r="6">
          <cell r="H6" t="str">
            <v>IVGN</v>
          </cell>
          <cell r="I6" t="str">
            <v>QGENF</v>
          </cell>
          <cell r="J6" t="str">
            <v>TECH</v>
          </cell>
          <cell r="K6" t="str">
            <v>BIO</v>
          </cell>
          <cell r="L6" t="str">
            <v>AFFX</v>
          </cell>
          <cell r="M6" t="str">
            <v>ABI</v>
          </cell>
          <cell r="N6" t="str">
            <v>MTD</v>
          </cell>
          <cell r="O6" t="str">
            <v>MDCC</v>
          </cell>
          <cell r="P6" t="str">
            <v>PKI</v>
          </cell>
          <cell r="Q6" t="str">
            <v>TMO</v>
          </cell>
          <cell r="R6" t="str">
            <v>VARI</v>
          </cell>
          <cell r="S6" t="str">
            <v>WAT</v>
          </cell>
          <cell r="U6" t="str">
            <v>VMSI</v>
          </cell>
          <cell r="V6" t="str">
            <v>ACDO</v>
          </cell>
          <cell r="W6" t="str">
            <v>IVGN</v>
          </cell>
          <cell r="X6" t="str">
            <v>MIL</v>
          </cell>
          <cell r="Y6" t="str">
            <v>PHCC</v>
          </cell>
          <cell r="AB6" t="str">
            <v>ABC</v>
          </cell>
          <cell r="AC6" t="str">
            <v>OMI</v>
          </cell>
          <cell r="AD6" t="str">
            <v>LOOKUP</v>
          </cell>
          <cell r="AE6" t="str">
            <v>PSSI</v>
          </cell>
          <cell r="AF6" t="str">
            <v>HSIC</v>
          </cell>
          <cell r="AG6" t="str">
            <v>SCOR</v>
          </cell>
          <cell r="AK6" t="str">
            <v>FSH</v>
          </cell>
          <cell r="AL6" t="str">
            <v>MCK</v>
          </cell>
          <cell r="AM6" t="str">
            <v>SIAL</v>
          </cell>
          <cell r="AN6" t="str">
            <v>CHMD</v>
          </cell>
          <cell r="AO6" t="str">
            <v>LOOKUP</v>
          </cell>
          <cell r="AR6" t="str">
            <v>PDCO</v>
          </cell>
          <cell r="AV6" t="str">
            <v>CAH</v>
          </cell>
        </row>
        <row r="7">
          <cell r="H7" t="str">
            <v>IVGN</v>
          </cell>
          <cell r="I7" t="str">
            <v>QGENF</v>
          </cell>
          <cell r="J7" t="str">
            <v>TECH</v>
          </cell>
          <cell r="K7" t="str">
            <v>BIO</v>
          </cell>
          <cell r="L7" t="str">
            <v>AFFX</v>
          </cell>
          <cell r="M7" t="str">
            <v>ABI</v>
          </cell>
          <cell r="N7" t="str">
            <v>MTD</v>
          </cell>
          <cell r="O7" t="str">
            <v>MDCC</v>
          </cell>
          <cell r="P7" t="str">
            <v>PKI</v>
          </cell>
          <cell r="Q7" t="str">
            <v>TMO</v>
          </cell>
          <cell r="R7" t="str">
            <v>VARI</v>
          </cell>
          <cell r="S7" t="str">
            <v>WAT</v>
          </cell>
          <cell r="U7" t="str">
            <v>VMSI</v>
          </cell>
          <cell r="V7" t="str">
            <v>ACDO</v>
          </cell>
          <cell r="W7" t="str">
            <v>IVGN</v>
          </cell>
          <cell r="X7" t="str">
            <v>MIL</v>
          </cell>
          <cell r="Y7" t="str">
            <v>PHCC</v>
          </cell>
          <cell r="Z7" t="str">
            <v>BBC</v>
          </cell>
          <cell r="AA7" t="str">
            <v>AAS</v>
          </cell>
          <cell r="AB7" t="str">
            <v>ABC</v>
          </cell>
          <cell r="AC7" t="str">
            <v>OMI</v>
          </cell>
          <cell r="AD7" t="str">
            <v>TICKER</v>
          </cell>
          <cell r="AE7" t="str">
            <v>PSSI</v>
          </cell>
          <cell r="AF7" t="str">
            <v>HSIC</v>
          </cell>
          <cell r="AG7" t="str">
            <v>SCOR</v>
          </cell>
          <cell r="AH7" t="str">
            <v>ACDO</v>
          </cell>
          <cell r="AI7" t="str">
            <v>GTIV</v>
          </cell>
          <cell r="AK7" t="str">
            <v>FSH</v>
          </cell>
          <cell r="AL7" t="str">
            <v>MCK</v>
          </cell>
          <cell r="AM7" t="str">
            <v>SIAL</v>
          </cell>
          <cell r="AN7" t="str">
            <v>CHMD</v>
          </cell>
          <cell r="AO7" t="str">
            <v>TICKER</v>
          </cell>
          <cell r="AP7" t="str">
            <v>PDCO</v>
          </cell>
          <cell r="AR7" t="str">
            <v>PDCO</v>
          </cell>
          <cell r="AS7" t="str">
            <v>SCOR</v>
          </cell>
          <cell r="AT7" t="str">
            <v>BLPG</v>
          </cell>
          <cell r="AU7" t="str">
            <v>CAH</v>
          </cell>
          <cell r="AV7" t="str">
            <v>CAH</v>
          </cell>
        </row>
        <row r="8">
          <cell r="H8" t="str">
            <v>Invitrogen</v>
          </cell>
          <cell r="I8" t="str">
            <v>QIAGEN NV</v>
          </cell>
          <cell r="J8" t="str">
            <v>TECHNE</v>
          </cell>
          <cell r="K8" t="str">
            <v>Bio-Rad Laboratories</v>
          </cell>
          <cell r="L8" t="str">
            <v>Affymetrix</v>
          </cell>
          <cell r="M8" t="str">
            <v>Applied Biosystems*</v>
          </cell>
          <cell r="N8" t="str">
            <v>Mettler Toledo*</v>
          </cell>
          <cell r="O8" t="str">
            <v>Molecular Devices*</v>
          </cell>
          <cell r="P8" t="str">
            <v>PerkinElmer</v>
          </cell>
          <cell r="Q8" t="str">
            <v>Thermo Electron</v>
          </cell>
          <cell r="R8" t="str">
            <v>Varian</v>
          </cell>
          <cell r="S8" t="str">
            <v>Waters*</v>
          </cell>
          <cell r="U8" t="str">
            <v>Ventana Medical Systems, Inc.</v>
          </cell>
          <cell r="V8" t="str">
            <v>Accredo Health, Inc.*</v>
          </cell>
          <cell r="W8" t="str">
            <v>Invitrogen Corporation</v>
          </cell>
          <cell r="X8" t="str">
            <v>Millipore Corporation</v>
          </cell>
          <cell r="Y8" t="str">
            <v>Priority Healthcare Corporation</v>
          </cell>
          <cell r="Z8" t="str">
            <v>Bergen Brunswig Corporation</v>
          </cell>
          <cell r="AA8" t="str">
            <v>AmeriSource Health Corporation</v>
          </cell>
          <cell r="AB8" t="str">
            <v>AmerisourceBergen Corporation</v>
          </cell>
          <cell r="AC8" t="str">
            <v>Owens &amp; Minor, Inc.</v>
          </cell>
          <cell r="AD8" t="str">
            <v>Full Name, Inc.</v>
          </cell>
          <cell r="AE8" t="str">
            <v>PSS World Medical, Inc.</v>
          </cell>
          <cell r="AF8" t="str">
            <v>Henry Schein, Inc.</v>
          </cell>
          <cell r="AG8" t="str">
            <v>Syncor International Corporation</v>
          </cell>
          <cell r="AH8" t="str">
            <v>Accredo Health, Incorporated</v>
          </cell>
          <cell r="AI8" t="str">
            <v>Gentiva Health Services, Inc.</v>
          </cell>
          <cell r="AK8" t="str">
            <v>Fisher Scientific International Inc.*</v>
          </cell>
          <cell r="AL8" t="str">
            <v>McKesson Corporation</v>
          </cell>
          <cell r="AM8" t="str">
            <v>Sigma-Aldrich Corp.</v>
          </cell>
          <cell r="AN8" t="str">
            <v>Chronimed Inc.</v>
          </cell>
          <cell r="AO8" t="str">
            <v>Full Name, Inc.</v>
          </cell>
          <cell r="AP8" t="str">
            <v>Patterson Dental Company</v>
          </cell>
          <cell r="AQ8" t="str">
            <v>Webster</v>
          </cell>
          <cell r="AR8" t="str">
            <v>Patterson Dental Company</v>
          </cell>
          <cell r="AS8" t="str">
            <v>Syncor International Corporation</v>
          </cell>
          <cell r="AT8" t="str">
            <v>Boron, LePore &amp; Associates, Inc.</v>
          </cell>
          <cell r="AU8" t="str">
            <v>Cardinal Health, Inc.</v>
          </cell>
          <cell r="AV8" t="str">
            <v>Cardinal Health, Inc.</v>
          </cell>
        </row>
        <row r="9">
          <cell r="H9" t="str">
            <v>Invitrogen</v>
          </cell>
          <cell r="I9" t="str">
            <v>QIAGEN NV</v>
          </cell>
          <cell r="J9" t="str">
            <v>TECHNE</v>
          </cell>
          <cell r="K9" t="str">
            <v>Bio-Rad Laboratories</v>
          </cell>
          <cell r="L9" t="str">
            <v>Affymetrix</v>
          </cell>
          <cell r="M9" t="str">
            <v>Applied Biosystems*</v>
          </cell>
          <cell r="N9" t="str">
            <v>Mettler Toledo*</v>
          </cell>
          <cell r="O9" t="str">
            <v>Molecular Devices*</v>
          </cell>
          <cell r="P9" t="str">
            <v>PerkinElmer</v>
          </cell>
          <cell r="Q9" t="str">
            <v>Thermo Electron</v>
          </cell>
          <cell r="R9" t="str">
            <v>Varian</v>
          </cell>
          <cell r="S9" t="str">
            <v>Waters*</v>
          </cell>
          <cell r="T9" t="str">
            <v>Fisher Scientific*</v>
          </cell>
          <cell r="U9" t="str">
            <v>Ventana Medical Systems, Inc.</v>
          </cell>
          <cell r="V9" t="str">
            <v>Accredo Health*</v>
          </cell>
          <cell r="W9" t="str">
            <v>Invitrogen</v>
          </cell>
          <cell r="X9" t="str">
            <v>Millipore</v>
          </cell>
          <cell r="Y9" t="str">
            <v>Priority Healthcare</v>
          </cell>
          <cell r="Z9" t="str">
            <v>Bergen Brunswig</v>
          </cell>
          <cell r="AA9" t="str">
            <v>AmeriSource</v>
          </cell>
          <cell r="AB9" t="str">
            <v>AmerisourceBergen</v>
          </cell>
          <cell r="AC9" t="str">
            <v>Owens &amp; Minor</v>
          </cell>
          <cell r="AD9" t="str">
            <v>Short Name</v>
          </cell>
          <cell r="AE9" t="str">
            <v>PSS World Medical, Inc.</v>
          </cell>
          <cell r="AF9" t="str">
            <v>Henry Schein</v>
          </cell>
          <cell r="AG9" t="str">
            <v>Syncor</v>
          </cell>
          <cell r="AH9" t="str">
            <v>Accredo</v>
          </cell>
          <cell r="AI9" t="str">
            <v>Gentiva</v>
          </cell>
          <cell r="AJ9" t="str">
            <v>Accredo*</v>
          </cell>
          <cell r="AK9" t="str">
            <v>Fisher Scientific*</v>
          </cell>
          <cell r="AL9" t="str">
            <v>McKesson Corporation</v>
          </cell>
          <cell r="AM9" t="str">
            <v>Sigma-Aldrich</v>
          </cell>
          <cell r="AN9" t="str">
            <v>Chronimed</v>
          </cell>
          <cell r="AO9" t="str">
            <v>Short Name</v>
          </cell>
          <cell r="AP9" t="str">
            <v>Patterson Dental</v>
          </cell>
          <cell r="AQ9" t="str">
            <v>Short Name</v>
          </cell>
          <cell r="AR9" t="str">
            <v>Patterson Dental</v>
          </cell>
          <cell r="AS9" t="str">
            <v>Syncor</v>
          </cell>
          <cell r="AT9" t="str">
            <v>Boron, LePore</v>
          </cell>
          <cell r="AU9" t="str">
            <v>Cardinal Health</v>
          </cell>
          <cell r="AV9" t="str">
            <v>Cardinal Health</v>
          </cell>
          <cell r="AW9" t="str">
            <v>Short Name</v>
          </cell>
          <cell r="AX9" t="str">
            <v>Short Name</v>
          </cell>
          <cell r="AY9" t="str">
            <v>Short Name</v>
          </cell>
          <cell r="AZ9" t="str">
            <v>Short Name</v>
          </cell>
          <cell r="BA9" t="str">
            <v>Short Name</v>
          </cell>
          <cell r="BB9" t="str">
            <v>Short Name</v>
          </cell>
          <cell r="BC9" t="str">
            <v>Short Name</v>
          </cell>
          <cell r="BD9" t="str">
            <v>Short Name</v>
          </cell>
          <cell r="BE9" t="str">
            <v>Short Name</v>
          </cell>
        </row>
        <row r="10">
          <cell r="H10">
            <v>37256</v>
          </cell>
          <cell r="I10">
            <v>37256</v>
          </cell>
          <cell r="J10">
            <v>37072</v>
          </cell>
          <cell r="K10">
            <v>37256</v>
          </cell>
          <cell r="L10">
            <v>37256</v>
          </cell>
          <cell r="M10">
            <v>37256</v>
          </cell>
          <cell r="N10">
            <v>37256</v>
          </cell>
          <cell r="O10">
            <v>37256</v>
          </cell>
          <cell r="P10">
            <v>37256</v>
          </cell>
          <cell r="Q10">
            <v>37256</v>
          </cell>
          <cell r="R10">
            <v>37256</v>
          </cell>
          <cell r="S10">
            <v>37256</v>
          </cell>
          <cell r="T10">
            <v>37256</v>
          </cell>
          <cell r="U10">
            <v>37256</v>
          </cell>
          <cell r="V10" t="str">
            <v>6/31/01</v>
          </cell>
          <cell r="W10">
            <v>37256</v>
          </cell>
          <cell r="X10">
            <v>36891</v>
          </cell>
          <cell r="Y10">
            <v>37254</v>
          </cell>
          <cell r="Z10">
            <v>36799</v>
          </cell>
          <cell r="AA10">
            <v>36799</v>
          </cell>
          <cell r="AB10">
            <v>37164</v>
          </cell>
          <cell r="AC10">
            <v>37256</v>
          </cell>
          <cell r="AD10">
            <v>36891</v>
          </cell>
          <cell r="AE10">
            <v>36980</v>
          </cell>
          <cell r="AF10">
            <v>37254</v>
          </cell>
          <cell r="AG10">
            <v>37256</v>
          </cell>
          <cell r="AH10">
            <v>36678</v>
          </cell>
          <cell r="AI10">
            <v>37256</v>
          </cell>
          <cell r="AJ10">
            <v>37072</v>
          </cell>
          <cell r="AK10">
            <v>37256</v>
          </cell>
          <cell r="AL10">
            <v>36981</v>
          </cell>
          <cell r="AM10">
            <v>37256</v>
          </cell>
          <cell r="AN10">
            <v>37071</v>
          </cell>
          <cell r="AO10">
            <v>36891</v>
          </cell>
          <cell r="AP10">
            <v>37009</v>
          </cell>
          <cell r="AQ10">
            <v>37009</v>
          </cell>
          <cell r="AR10">
            <v>37009</v>
          </cell>
          <cell r="AS10">
            <v>37256</v>
          </cell>
          <cell r="AT10">
            <v>37256</v>
          </cell>
          <cell r="AU10">
            <v>37072</v>
          </cell>
          <cell r="AV10">
            <v>37072</v>
          </cell>
          <cell r="AW10">
            <v>36891</v>
          </cell>
          <cell r="AX10">
            <v>36891</v>
          </cell>
          <cell r="AY10">
            <v>36891</v>
          </cell>
          <cell r="AZ10">
            <v>36891</v>
          </cell>
          <cell r="BA10">
            <v>36891</v>
          </cell>
          <cell r="BB10">
            <v>36891</v>
          </cell>
          <cell r="BC10">
            <v>36891</v>
          </cell>
          <cell r="BD10">
            <v>36891</v>
          </cell>
          <cell r="BE10">
            <v>36891</v>
          </cell>
        </row>
        <row r="11">
          <cell r="H11" t="str">
            <v>PAYTON</v>
          </cell>
          <cell r="I11" t="str">
            <v>PAYTON</v>
          </cell>
          <cell r="J11" t="str">
            <v>PAYTON</v>
          </cell>
          <cell r="K11" t="str">
            <v>PAYTON</v>
          </cell>
          <cell r="L11" t="str">
            <v>PAYTON</v>
          </cell>
          <cell r="M11" t="str">
            <v>PAYTON</v>
          </cell>
          <cell r="N11" t="str">
            <v>PAYTON</v>
          </cell>
          <cell r="O11" t="str">
            <v>PAYTON</v>
          </cell>
          <cell r="P11" t="str">
            <v>PAYTON</v>
          </cell>
          <cell r="Q11" t="str">
            <v>PAYTON</v>
          </cell>
          <cell r="R11" t="str">
            <v>PAYTON</v>
          </cell>
          <cell r="S11" t="str">
            <v>PAYTON</v>
          </cell>
          <cell r="T11" t="str">
            <v>PAYTON</v>
          </cell>
          <cell r="U11" t="str">
            <v>Trap</v>
          </cell>
          <cell r="V11" t="str">
            <v>PAYTON</v>
          </cell>
          <cell r="W11" t="str">
            <v>Kaitlin</v>
          </cell>
          <cell r="X11" t="str">
            <v>Stanwick</v>
          </cell>
          <cell r="Y11" t="str">
            <v>Michael Min</v>
          </cell>
          <cell r="AB11" t="str">
            <v>Francesca</v>
          </cell>
          <cell r="AC11" t="str">
            <v>Francesca</v>
          </cell>
          <cell r="AD11" t="str">
            <v>Name</v>
          </cell>
          <cell r="AE11" t="str">
            <v>Michael Min</v>
          </cell>
          <cell r="AF11" t="str">
            <v>Dun</v>
          </cell>
          <cell r="AG11" t="str">
            <v>Michael Min</v>
          </cell>
          <cell r="AH11" t="str">
            <v>Francesca</v>
          </cell>
          <cell r="AJ11" t="str">
            <v>Francesca</v>
          </cell>
          <cell r="AK11" t="str">
            <v>Payton</v>
          </cell>
          <cell r="AL11" t="str">
            <v>Dun</v>
          </cell>
          <cell r="AM11" t="str">
            <v>Wilson</v>
          </cell>
          <cell r="AN11" t="str">
            <v>Payton</v>
          </cell>
          <cell r="AO11" t="str">
            <v>Name</v>
          </cell>
          <cell r="AP11" t="str">
            <v>PAYTON</v>
          </cell>
          <cell r="AQ11" t="str">
            <v>PAYTON</v>
          </cell>
          <cell r="AR11" t="str">
            <v>Michael Min</v>
          </cell>
          <cell r="AS11" t="str">
            <v>Francesca</v>
          </cell>
          <cell r="AT11" t="str">
            <v>Francesca</v>
          </cell>
          <cell r="AU11" t="str">
            <v>Francesca</v>
          </cell>
          <cell r="AV11" t="str">
            <v>Francesca</v>
          </cell>
          <cell r="AW11" t="str">
            <v>Name</v>
          </cell>
          <cell r="AX11" t="str">
            <v>Name</v>
          </cell>
          <cell r="AY11" t="str">
            <v>Name</v>
          </cell>
          <cell r="AZ11" t="str">
            <v>Name</v>
          </cell>
          <cell r="BA11" t="str">
            <v>Name</v>
          </cell>
          <cell r="BB11" t="str">
            <v>Name</v>
          </cell>
          <cell r="BC11" t="str">
            <v>Name</v>
          </cell>
          <cell r="BD11" t="str">
            <v>Name</v>
          </cell>
          <cell r="BE11" t="str">
            <v>Name</v>
          </cell>
        </row>
        <row r="12">
          <cell r="H12" t="str">
            <v>Y</v>
          </cell>
          <cell r="I12" t="str">
            <v>Y</v>
          </cell>
          <cell r="J12" t="str">
            <v>Y</v>
          </cell>
          <cell r="K12" t="str">
            <v>Y</v>
          </cell>
          <cell r="L12" t="str">
            <v>Y</v>
          </cell>
          <cell r="M12" t="str">
            <v>Y</v>
          </cell>
          <cell r="N12" t="str">
            <v>Y</v>
          </cell>
          <cell r="O12" t="str">
            <v>Y</v>
          </cell>
          <cell r="P12" t="str">
            <v>Y</v>
          </cell>
          <cell r="Q12" t="str">
            <v>Y</v>
          </cell>
          <cell r="R12" t="str">
            <v>Y</v>
          </cell>
          <cell r="S12" t="str">
            <v>Y</v>
          </cell>
          <cell r="T12" t="str">
            <v>Y</v>
          </cell>
          <cell r="U12" t="str">
            <v>Y</v>
          </cell>
          <cell r="V12" t="str">
            <v>Y</v>
          </cell>
          <cell r="W12" t="str">
            <v>Y</v>
          </cell>
          <cell r="X12" t="str">
            <v>Y</v>
          </cell>
          <cell r="Y12" t="str">
            <v>Y</v>
          </cell>
          <cell r="Z12" t="str">
            <v>Y</v>
          </cell>
          <cell r="AA12" t="str">
            <v>Y</v>
          </cell>
          <cell r="AB12" t="str">
            <v>Y</v>
          </cell>
          <cell r="AC12" t="str">
            <v>Y</v>
          </cell>
          <cell r="AD12" t="str">
            <v>Y</v>
          </cell>
          <cell r="AE12" t="str">
            <v>Y</v>
          </cell>
          <cell r="AF12" t="str">
            <v>Y</v>
          </cell>
          <cell r="AG12" t="str">
            <v>Y</v>
          </cell>
          <cell r="AH12" t="str">
            <v>Y</v>
          </cell>
          <cell r="AI12" t="str">
            <v>Y</v>
          </cell>
          <cell r="AJ12" t="str">
            <v>Y</v>
          </cell>
          <cell r="AK12" t="str">
            <v>Y</v>
          </cell>
          <cell r="AL12" t="str">
            <v>Y</v>
          </cell>
          <cell r="AM12" t="str">
            <v>Y</v>
          </cell>
          <cell r="AN12" t="str">
            <v>Y</v>
          </cell>
          <cell r="AO12" t="str">
            <v>Y</v>
          </cell>
          <cell r="AP12" t="str">
            <v>Y</v>
          </cell>
          <cell r="AQ12" t="str">
            <v>Y</v>
          </cell>
          <cell r="AR12" t="str">
            <v>Y</v>
          </cell>
          <cell r="AS12" t="str">
            <v>Y</v>
          </cell>
          <cell r="AT12" t="str">
            <v>Y</v>
          </cell>
          <cell r="AU12" t="str">
            <v>Y</v>
          </cell>
          <cell r="AV12" t="str">
            <v>Y</v>
          </cell>
          <cell r="AW12" t="str">
            <v>Y</v>
          </cell>
          <cell r="AX12" t="str">
            <v>Y</v>
          </cell>
          <cell r="AY12" t="str">
            <v>Y</v>
          </cell>
          <cell r="AZ12" t="str">
            <v>Y</v>
          </cell>
          <cell r="BA12" t="str">
            <v>Y</v>
          </cell>
          <cell r="BB12" t="str">
            <v>Y</v>
          </cell>
          <cell r="BC12" t="str">
            <v>Y</v>
          </cell>
          <cell r="BD12" t="str">
            <v>Y</v>
          </cell>
          <cell r="BE12" t="str">
            <v>Y</v>
          </cell>
        </row>
        <row r="13">
          <cell r="W13">
            <v>37207</v>
          </cell>
          <cell r="X13">
            <v>36891</v>
          </cell>
          <cell r="Y13">
            <v>37399</v>
          </cell>
          <cell r="AB13">
            <v>37393</v>
          </cell>
          <cell r="AC13">
            <v>37393</v>
          </cell>
          <cell r="AD13">
            <v>36891</v>
          </cell>
          <cell r="AE13">
            <v>37346</v>
          </cell>
          <cell r="AF13">
            <v>37393</v>
          </cell>
          <cell r="AG13">
            <v>37399</v>
          </cell>
          <cell r="AH13">
            <v>37347</v>
          </cell>
          <cell r="AJ13">
            <v>37393</v>
          </cell>
          <cell r="AK13">
            <v>37215</v>
          </cell>
          <cell r="AL13">
            <v>37341</v>
          </cell>
          <cell r="AM13">
            <v>37349</v>
          </cell>
          <cell r="AN13">
            <v>37207</v>
          </cell>
          <cell r="AO13">
            <v>36891</v>
          </cell>
          <cell r="AP13">
            <v>37089</v>
          </cell>
          <cell r="AQ13">
            <v>37089</v>
          </cell>
          <cell r="AR13">
            <v>37346</v>
          </cell>
          <cell r="AS13">
            <v>37427</v>
          </cell>
          <cell r="AT13">
            <v>37413</v>
          </cell>
          <cell r="AU13">
            <v>37393</v>
          </cell>
          <cell r="AV13">
            <v>37413</v>
          </cell>
          <cell r="AW13">
            <v>36891</v>
          </cell>
          <cell r="AX13">
            <v>36891</v>
          </cell>
          <cell r="AY13">
            <v>36891</v>
          </cell>
          <cell r="AZ13">
            <v>36891</v>
          </cell>
          <cell r="BA13">
            <v>36891</v>
          </cell>
          <cell r="BB13">
            <v>36891</v>
          </cell>
          <cell r="BC13">
            <v>36891</v>
          </cell>
          <cell r="BD13">
            <v>36891</v>
          </cell>
          <cell r="BE13">
            <v>36891</v>
          </cell>
        </row>
        <row r="14">
          <cell r="Y14" t="str">
            <v>JWT</v>
          </cell>
          <cell r="AB14" t="str">
            <v>JWT</v>
          </cell>
          <cell r="AC14" t="str">
            <v>JWT</v>
          </cell>
          <cell r="AE14" t="str">
            <v>JWT</v>
          </cell>
          <cell r="AF14" t="str">
            <v>JWT</v>
          </cell>
          <cell r="AG14" t="str">
            <v>JWT</v>
          </cell>
          <cell r="AJ14" t="str">
            <v>JWT</v>
          </cell>
          <cell r="AK14" t="str">
            <v>JWT</v>
          </cell>
          <cell r="AL14" t="str">
            <v>JWT</v>
          </cell>
          <cell r="AM14" t="str">
            <v>OZ</v>
          </cell>
          <cell r="AN14" t="str">
            <v>NO</v>
          </cell>
          <cell r="AP14" t="str">
            <v>JWT</v>
          </cell>
          <cell r="AQ14" t="str">
            <v>JWT</v>
          </cell>
          <cell r="AR14" t="str">
            <v>JWT</v>
          </cell>
          <cell r="AV14" t="str">
            <v>JWT</v>
          </cell>
        </row>
        <row r="15">
          <cell r="H15" t="str">
            <v>Lab products</v>
          </cell>
          <cell r="I15" t="str">
            <v>Lab products</v>
          </cell>
          <cell r="J15" t="str">
            <v>Lab products</v>
          </cell>
          <cell r="K15" t="str">
            <v>Lab products</v>
          </cell>
          <cell r="L15" t="str">
            <v>Lab products</v>
          </cell>
          <cell r="M15" t="str">
            <v>Lab products</v>
          </cell>
          <cell r="N15" t="str">
            <v>Company Description</v>
          </cell>
          <cell r="O15" t="str">
            <v>Lab products</v>
          </cell>
          <cell r="P15" t="str">
            <v>Lab products</v>
          </cell>
          <cell r="Q15" t="str">
            <v>Lab products</v>
          </cell>
          <cell r="R15" t="str">
            <v>Lab products</v>
          </cell>
          <cell r="S15" t="str">
            <v>Lab products</v>
          </cell>
          <cell r="T15" t="str">
            <v>Lab products</v>
          </cell>
          <cell r="U15" t="str">
            <v>Lab products</v>
          </cell>
          <cell r="V15" t="str">
            <v>Lab products</v>
          </cell>
          <cell r="W15" t="str">
            <v>Lab products</v>
          </cell>
          <cell r="X15" t="str">
            <v>Lab products</v>
          </cell>
          <cell r="Z15" t="str">
            <v>Warehouse adjusted</v>
          </cell>
          <cell r="AA15" t="str">
            <v xml:space="preserve"> </v>
          </cell>
          <cell r="AD15" t="str">
            <v>Company Description</v>
          </cell>
          <cell r="AE15" t="str">
            <v xml:space="preserve"> </v>
          </cell>
          <cell r="AK15" t="str">
            <v xml:space="preserve"> </v>
          </cell>
          <cell r="AM15" t="str">
            <v>Lab products</v>
          </cell>
          <cell r="AN15" t="str">
            <v>No warehouse disclosure</v>
          </cell>
          <cell r="AO15" t="str">
            <v>Company Description</v>
          </cell>
          <cell r="AP15" t="str">
            <v>Dental supply distributors</v>
          </cell>
          <cell r="AQ15" t="str">
            <v>Veterinary supplies distributors</v>
          </cell>
          <cell r="AR15" t="str">
            <v>Dental supply distributors</v>
          </cell>
          <cell r="AW15" t="str">
            <v>Company Description</v>
          </cell>
          <cell r="AX15" t="str">
            <v>Company Description</v>
          </cell>
          <cell r="AY15" t="str">
            <v>Company Description</v>
          </cell>
          <cell r="AZ15" t="str">
            <v>Company Description</v>
          </cell>
          <cell r="BA15" t="str">
            <v>Company Description</v>
          </cell>
          <cell r="BB15" t="str">
            <v>Company Description</v>
          </cell>
          <cell r="BC15" t="str">
            <v>Company Description</v>
          </cell>
          <cell r="BD15" t="str">
            <v>Company Description</v>
          </cell>
          <cell r="BE15" t="str">
            <v>Company Description</v>
          </cell>
        </row>
        <row r="16">
          <cell r="H16" t="str">
            <v>notes</v>
          </cell>
          <cell r="I16" t="str">
            <v>notes</v>
          </cell>
          <cell r="J16" t="str">
            <v>notes</v>
          </cell>
          <cell r="K16" t="str">
            <v>notes</v>
          </cell>
          <cell r="L16" t="str">
            <v>notes</v>
          </cell>
          <cell r="M16" t="str">
            <v>notes</v>
          </cell>
          <cell r="N16" t="str">
            <v>notes</v>
          </cell>
          <cell r="O16" t="str">
            <v>LTM EPS and proj. EPS are trending correctly per IBES.</v>
          </cell>
          <cell r="P16" t="str">
            <v>Not PF for acquisition of the Filtration and Separtions business, NS</v>
          </cell>
          <cell r="Q16" t="str">
            <v>Not proforma for acquisitions in 2001 b/c it's not material</v>
          </cell>
          <cell r="R16" t="str">
            <v>Engaged in share repurchase program by issuing additional debt; check news for adjustments</v>
          </cell>
          <cell r="S16" t="str">
            <v>notes</v>
          </cell>
          <cell r="T16" t="str">
            <v>notes</v>
          </cell>
          <cell r="U16" t="str">
            <v>notes</v>
          </cell>
          <cell r="W16" t="str">
            <v>pro forma for Dexter purchase on 9/00 - PLEASE NOTE ASSUMPTIONS</v>
          </cell>
          <cell r="X16" t="str">
            <v>Pro forma for IPO spinoff of sub-division</v>
          </cell>
          <cell r="Y16" t="str">
            <v>notes</v>
          </cell>
          <cell r="Z16" t="str">
            <v>notes</v>
          </cell>
          <cell r="AA16" t="str">
            <v>notes</v>
          </cell>
          <cell r="AB16" t="str">
            <v>PRO FORMA FOR BBC ACQUISITION 3/19/01</v>
          </cell>
          <cell r="AC16" t="str">
            <v>notes</v>
          </cell>
          <cell r="AD16" t="str">
            <v>notes</v>
          </cell>
          <cell r="AE16" t="str">
            <v>notes</v>
          </cell>
          <cell r="AF16" t="str">
            <v>notes</v>
          </cell>
          <cell r="AH16" t="str">
            <v>notes</v>
          </cell>
          <cell r="AI16" t="str">
            <v>notes</v>
          </cell>
          <cell r="AJ16" t="str">
            <v>notes</v>
          </cell>
          <cell r="AK16" t="str">
            <v>Note</v>
          </cell>
          <cell r="AL16" t="str">
            <v>Pro forma for the $400 million debt offering on Jan. 29 2002</v>
          </cell>
          <cell r="AM16" t="str">
            <v>Engaged in share repurchase program by issuing additional debt; check news for adjustments</v>
          </cell>
          <cell r="AN16" t="str">
            <v>PF for diagnostic product spinoff effective 6/30/00 and Home Services Medical subsidiary</v>
          </cell>
          <cell r="AO16" t="str">
            <v>notes</v>
          </cell>
          <cell r="AP16" t="str">
            <v>Pro forma for acquisition of Webster</v>
          </cell>
          <cell r="AS16" t="str">
            <v>notes</v>
          </cell>
          <cell r="AT16" t="str">
            <v>notes</v>
          </cell>
          <cell r="AU16" t="str">
            <v>notes</v>
          </cell>
          <cell r="AW16" t="str">
            <v>notes</v>
          </cell>
          <cell r="AX16" t="str">
            <v>notes</v>
          </cell>
          <cell r="AY16" t="str">
            <v>notes</v>
          </cell>
          <cell r="AZ16" t="str">
            <v>notes</v>
          </cell>
          <cell r="BA16" t="str">
            <v>notes</v>
          </cell>
          <cell r="BB16" t="str">
            <v>notes</v>
          </cell>
          <cell r="BC16" t="str">
            <v>notes</v>
          </cell>
          <cell r="BD16" t="str">
            <v>notes</v>
          </cell>
          <cell r="BE16" t="str">
            <v>notes</v>
          </cell>
        </row>
        <row r="17">
          <cell r="S17" t="str">
            <v xml:space="preserve"> </v>
          </cell>
          <cell r="W17" t="str">
            <v>EXCLUDES AMORTIZATION to match Wall Street research</v>
          </cell>
          <cell r="X17" t="str">
            <v>Decreasing EPS is consistent with IBES estimates for 2000/LTM to 2001</v>
          </cell>
        </row>
        <row r="19"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7.4999999999999997E-2</v>
          </cell>
          <cell r="Z19">
            <v>8.5000000000000006E-2</v>
          </cell>
          <cell r="AA19">
            <v>0</v>
          </cell>
          <cell r="AB19">
            <v>7.0000000000000007E-2</v>
          </cell>
          <cell r="AC19">
            <v>0.08</v>
          </cell>
          <cell r="AD19">
            <v>8.5000000000000006E-2</v>
          </cell>
          <cell r="AE19">
            <v>8.5000000000000006E-2</v>
          </cell>
          <cell r="AF19">
            <v>6.5000000000000002E-2</v>
          </cell>
          <cell r="AG19">
            <v>0</v>
          </cell>
          <cell r="AH19">
            <v>0.08</v>
          </cell>
          <cell r="AI19">
            <v>8.5000000000000006E-2</v>
          </cell>
          <cell r="AJ19">
            <v>0.08</v>
          </cell>
          <cell r="AK19">
            <v>0.08</v>
          </cell>
          <cell r="AL19">
            <v>6.5000000000000002E-2</v>
          </cell>
          <cell r="AM19">
            <v>0</v>
          </cell>
          <cell r="AN19">
            <v>8.5000000000000006E-2</v>
          </cell>
          <cell r="AO19">
            <v>8.5000000000000006E-2</v>
          </cell>
          <cell r="AP19">
            <v>0.09</v>
          </cell>
          <cell r="AQ19">
            <v>8.5000000000000006E-2</v>
          </cell>
          <cell r="AR19">
            <v>7.4999999999999997E-2</v>
          </cell>
          <cell r="AS19">
            <v>8.5000000000000006E-2</v>
          </cell>
          <cell r="AT19">
            <v>8.5000000000000006E-2</v>
          </cell>
          <cell r="AU19">
            <v>6.5000000000000002E-2</v>
          </cell>
          <cell r="AV19">
            <v>6.5000000000000002E-2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2.5000000000000001E-2</v>
          </cell>
          <cell r="Z20">
            <v>2.5000000000000001E-2</v>
          </cell>
          <cell r="AA20">
            <v>2.5000000000000001E-2</v>
          </cell>
          <cell r="AB20">
            <v>2.5000000000000001E-2</v>
          </cell>
          <cell r="AC20">
            <v>2.5000000000000001E-2</v>
          </cell>
          <cell r="AD20">
            <v>2.5000000000000001E-2</v>
          </cell>
          <cell r="AE20">
            <v>2.5000000000000001E-2</v>
          </cell>
          <cell r="AF20">
            <v>2.5000000000000001E-2</v>
          </cell>
          <cell r="AG20">
            <v>0</v>
          </cell>
          <cell r="AH20">
            <v>2.5000000000000001E-2</v>
          </cell>
          <cell r="AI20">
            <v>2.5000000000000001E-2</v>
          </cell>
          <cell r="AJ20">
            <v>2.5000000000000001E-2</v>
          </cell>
          <cell r="AK20">
            <v>2.5000000000000001E-2</v>
          </cell>
          <cell r="AL20">
            <v>2.5000000000000001E-2</v>
          </cell>
          <cell r="AM20">
            <v>0</v>
          </cell>
          <cell r="AN20">
            <v>2.5000000000000001E-2</v>
          </cell>
          <cell r="AO20">
            <v>2.5000000000000001E-2</v>
          </cell>
          <cell r="AP20">
            <v>2.5000000000000001E-2</v>
          </cell>
          <cell r="AQ20">
            <v>2.5000000000000001E-2</v>
          </cell>
          <cell r="AR20">
            <v>2.5000000000000001E-2</v>
          </cell>
          <cell r="AS20">
            <v>2.5000000000000001E-2</v>
          </cell>
          <cell r="AT20">
            <v>2.5000000000000001E-2</v>
          </cell>
          <cell r="AU20">
            <v>2.5000000000000001E-2</v>
          </cell>
          <cell r="AV20">
            <v>2.5000000000000001E-2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1</v>
          </cell>
          <cell r="Z21">
            <v>1</v>
          </cell>
          <cell r="AA21">
            <v>0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0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0</v>
          </cell>
          <cell r="AN21">
            <v>1</v>
          </cell>
          <cell r="AO21">
            <v>1</v>
          </cell>
          <cell r="AP21">
            <v>20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20</v>
          </cell>
          <cell r="Z22">
            <v>20</v>
          </cell>
          <cell r="AA22">
            <v>0</v>
          </cell>
          <cell r="AB22">
            <v>20</v>
          </cell>
          <cell r="AC22">
            <v>20</v>
          </cell>
          <cell r="AD22">
            <v>20</v>
          </cell>
          <cell r="AE22">
            <v>20</v>
          </cell>
          <cell r="AF22">
            <v>20</v>
          </cell>
          <cell r="AG22">
            <v>0</v>
          </cell>
          <cell r="AH22">
            <v>20</v>
          </cell>
          <cell r="AI22">
            <v>20</v>
          </cell>
          <cell r="AJ22">
            <v>20</v>
          </cell>
          <cell r="AK22">
            <v>20</v>
          </cell>
          <cell r="AL22">
            <v>20</v>
          </cell>
          <cell r="AM22">
            <v>0</v>
          </cell>
          <cell r="AN22">
            <v>20</v>
          </cell>
          <cell r="AO22">
            <v>20</v>
          </cell>
          <cell r="AP22">
            <v>0</v>
          </cell>
          <cell r="AQ22">
            <v>20</v>
          </cell>
          <cell r="AR22">
            <v>20</v>
          </cell>
          <cell r="AS22">
            <v>20</v>
          </cell>
          <cell r="AT22">
            <v>20</v>
          </cell>
          <cell r="AU22">
            <v>20</v>
          </cell>
          <cell r="AV22">
            <v>20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0.4</v>
          </cell>
          <cell r="Z23">
            <v>0.4</v>
          </cell>
          <cell r="AA23">
            <v>0</v>
          </cell>
          <cell r="AB23">
            <v>0.4</v>
          </cell>
          <cell r="AC23">
            <v>0.4</v>
          </cell>
          <cell r="AD23">
            <v>0.4</v>
          </cell>
          <cell r="AE23">
            <v>0.4</v>
          </cell>
          <cell r="AF23">
            <v>0.4</v>
          </cell>
          <cell r="AG23">
            <v>0</v>
          </cell>
          <cell r="AH23">
            <v>0.4</v>
          </cell>
          <cell r="AI23">
            <v>0.4</v>
          </cell>
          <cell r="AJ23">
            <v>0.4</v>
          </cell>
          <cell r="AK23">
            <v>0.4</v>
          </cell>
          <cell r="AL23">
            <v>0.4</v>
          </cell>
          <cell r="AM23">
            <v>0</v>
          </cell>
          <cell r="AN23">
            <v>0.4</v>
          </cell>
          <cell r="AO23">
            <v>0.4</v>
          </cell>
          <cell r="AP23">
            <v>0</v>
          </cell>
          <cell r="AQ23">
            <v>0.4</v>
          </cell>
          <cell r="AR23">
            <v>0.4</v>
          </cell>
          <cell r="AS23">
            <v>0.4</v>
          </cell>
          <cell r="AT23">
            <v>0.4</v>
          </cell>
          <cell r="AU23">
            <v>0.4</v>
          </cell>
          <cell r="AV23">
            <v>0.4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7">
          <cell r="V27">
            <v>1000</v>
          </cell>
        </row>
        <row r="30"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H32" t="str">
            <v>MODEL</v>
          </cell>
          <cell r="I32">
            <v>37437</v>
          </cell>
          <cell r="J32">
            <v>37437</v>
          </cell>
          <cell r="L32">
            <v>37437</v>
          </cell>
          <cell r="P32">
            <v>37437</v>
          </cell>
          <cell r="Q32">
            <v>37437</v>
          </cell>
          <cell r="R32">
            <v>37437</v>
          </cell>
        </row>
        <row r="33">
          <cell r="J33" t="str">
            <v>MODEL</v>
          </cell>
          <cell r="L33" t="str">
            <v>PRESS RELEASE</v>
          </cell>
          <cell r="P33" t="str">
            <v>PRESS RELEASE</v>
          </cell>
          <cell r="Q33" t="str">
            <v>PRESS RELEASE</v>
          </cell>
          <cell r="R33" t="str">
            <v>PRESS RELEASE</v>
          </cell>
        </row>
        <row r="34">
          <cell r="H34">
            <v>37256</v>
          </cell>
          <cell r="I34">
            <v>37256</v>
          </cell>
          <cell r="J34">
            <v>37437</v>
          </cell>
          <cell r="K34">
            <v>37256</v>
          </cell>
          <cell r="L34">
            <v>37256</v>
          </cell>
          <cell r="M34">
            <v>37256</v>
          </cell>
          <cell r="N34">
            <v>37256</v>
          </cell>
          <cell r="O34">
            <v>37256</v>
          </cell>
          <cell r="P34">
            <v>37256</v>
          </cell>
          <cell r="Q34">
            <v>37256</v>
          </cell>
          <cell r="R34">
            <v>37256</v>
          </cell>
          <cell r="S34">
            <v>37256</v>
          </cell>
          <cell r="T34">
            <v>37256</v>
          </cell>
          <cell r="U34">
            <v>37256</v>
          </cell>
          <cell r="V34">
            <v>37437</v>
          </cell>
          <cell r="W34">
            <v>37256</v>
          </cell>
          <cell r="X34">
            <v>37256</v>
          </cell>
          <cell r="Y34">
            <v>37345</v>
          </cell>
          <cell r="AB34">
            <v>37346</v>
          </cell>
          <cell r="AC34">
            <v>37346</v>
          </cell>
          <cell r="AD34">
            <v>36891</v>
          </cell>
          <cell r="AE34">
            <v>37253</v>
          </cell>
          <cell r="AF34">
            <v>37345</v>
          </cell>
          <cell r="AG34">
            <v>37346</v>
          </cell>
          <cell r="AJ34">
            <v>37256</v>
          </cell>
          <cell r="AK34">
            <v>37437</v>
          </cell>
          <cell r="AL34">
            <v>37256</v>
          </cell>
          <cell r="AM34">
            <v>37256</v>
          </cell>
          <cell r="AN34">
            <v>37162</v>
          </cell>
          <cell r="AO34">
            <v>36891</v>
          </cell>
          <cell r="AP34">
            <v>37009</v>
          </cell>
          <cell r="AQ34">
            <v>37009</v>
          </cell>
          <cell r="AR34">
            <v>37434</v>
          </cell>
          <cell r="AV34">
            <v>37346</v>
          </cell>
          <cell r="AW34">
            <v>36891</v>
          </cell>
          <cell r="AX34">
            <v>36891</v>
          </cell>
          <cell r="AY34">
            <v>36891</v>
          </cell>
          <cell r="AZ34">
            <v>36891</v>
          </cell>
          <cell r="BA34">
            <v>36891</v>
          </cell>
          <cell r="BB34">
            <v>36891</v>
          </cell>
          <cell r="BC34">
            <v>36891</v>
          </cell>
          <cell r="BD34">
            <v>36891</v>
          </cell>
          <cell r="BE34">
            <v>36891</v>
          </cell>
        </row>
        <row r="36">
          <cell r="Q36" t="str">
            <v xml:space="preserve">GAAP </v>
          </cell>
          <cell r="AJ36">
            <v>27145.618999999999</v>
          </cell>
        </row>
        <row r="37">
          <cell r="Q37" t="str">
            <v>REPORTED</v>
          </cell>
          <cell r="AB37" t="str">
            <v>x</v>
          </cell>
          <cell r="AV37" t="str">
            <v>x</v>
          </cell>
          <cell r="AX37">
            <v>112891000</v>
          </cell>
        </row>
        <row r="38">
          <cell r="H38">
            <v>59.207999999999998</v>
          </cell>
          <cell r="I38">
            <v>145.916</v>
          </cell>
          <cell r="J38">
            <v>42.494525000000003</v>
          </cell>
          <cell r="K38">
            <v>26.085000000000001</v>
          </cell>
          <cell r="L38">
            <v>60.100999999999999</v>
          </cell>
          <cell r="M38">
            <v>213.28299999999999</v>
          </cell>
          <cell r="N38">
            <v>45.409689999999998</v>
          </cell>
          <cell r="O38">
            <v>15.414</v>
          </cell>
          <cell r="P38">
            <v>125.556</v>
          </cell>
          <cell r="Q38">
            <v>186.74</v>
          </cell>
          <cell r="R38">
            <v>35.048999999999999</v>
          </cell>
          <cell r="S38">
            <v>136.77799999999999</v>
          </cell>
          <cell r="T38">
            <v>57.9</v>
          </cell>
          <cell r="U38">
            <v>16.077313</v>
          </cell>
          <cell r="V38">
            <v>28.199946000000001</v>
          </cell>
          <cell r="W38">
            <v>52.961227999999998</v>
          </cell>
          <cell r="X38">
            <v>47.744526999999998</v>
          </cell>
          <cell r="Y38">
            <v>44.61</v>
          </cell>
          <cell r="Z38">
            <v>135.58958899999999</v>
          </cell>
          <cell r="AA38">
            <v>53.001061999999997</v>
          </cell>
          <cell r="AB38">
            <v>112.89100000000001</v>
          </cell>
          <cell r="AC38">
            <v>40.850999999999999</v>
          </cell>
          <cell r="AD38">
            <v>0</v>
          </cell>
          <cell r="AE38">
            <v>71.217195000000004</v>
          </cell>
          <cell r="AF38">
            <v>44.747</v>
          </cell>
          <cell r="AG38">
            <v>24.778272999999999</v>
          </cell>
          <cell r="AH38">
            <v>26.098680000000002</v>
          </cell>
          <cell r="AI38">
            <v>0</v>
          </cell>
          <cell r="AJ38">
            <v>31.284690000000001</v>
          </cell>
          <cell r="AK38">
            <v>57.9</v>
          </cell>
          <cell r="AL38">
            <v>301</v>
          </cell>
          <cell r="AM38">
            <v>73.771000000000001</v>
          </cell>
          <cell r="AN38">
            <v>12.315314000000001</v>
          </cell>
          <cell r="AR38">
            <v>68.506</v>
          </cell>
          <cell r="AS38">
            <v>12.884701959999999</v>
          </cell>
          <cell r="AT38">
            <v>0</v>
          </cell>
          <cell r="AU38">
            <v>0</v>
          </cell>
          <cell r="AV38">
            <v>460</v>
          </cell>
          <cell r="AW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2.5030000000000001</v>
          </cell>
          <cell r="V39">
            <v>0</v>
          </cell>
          <cell r="W39">
            <v>5.6609999999999996</v>
          </cell>
          <cell r="X39">
            <v>5.0519999999999996</v>
          </cell>
          <cell r="Y39">
            <v>5.1552319999999998</v>
          </cell>
          <cell r="Z39">
            <v>8.721584</v>
          </cell>
          <cell r="AA39">
            <v>3.6339999999999999</v>
          </cell>
          <cell r="AC39">
            <v>2.2189999999999999</v>
          </cell>
          <cell r="AD39">
            <v>0</v>
          </cell>
          <cell r="AE39">
            <v>6.3520000000000012</v>
          </cell>
          <cell r="AG39">
            <v>7.7510000000000003</v>
          </cell>
          <cell r="AH39">
            <v>1.796775</v>
          </cell>
          <cell r="AI39">
            <v>0</v>
          </cell>
          <cell r="AJ39">
            <v>1.796775</v>
          </cell>
          <cell r="AL39">
            <v>60.732304999999997</v>
          </cell>
          <cell r="AM39">
            <v>3.5651830000000002</v>
          </cell>
          <cell r="AN39">
            <v>2.4042520000000001</v>
          </cell>
          <cell r="AO39">
            <v>0</v>
          </cell>
          <cell r="AR39">
            <v>0.95021299999999997</v>
          </cell>
          <cell r="AS39">
            <v>4.0305200000000001</v>
          </cell>
          <cell r="AT39">
            <v>0</v>
          </cell>
          <cell r="AU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18.14</v>
          </cell>
          <cell r="V40">
            <v>0</v>
          </cell>
          <cell r="W40">
            <v>46.72</v>
          </cell>
          <cell r="X40">
            <v>36.450000000000003</v>
          </cell>
          <cell r="Y40">
            <v>22.4</v>
          </cell>
          <cell r="Z40">
            <v>13.83</v>
          </cell>
          <cell r="AA40">
            <v>24</v>
          </cell>
          <cell r="AB40">
            <v>42</v>
          </cell>
          <cell r="AC40">
            <v>13.46</v>
          </cell>
          <cell r="AD40">
            <v>0</v>
          </cell>
          <cell r="AE40">
            <v>10.304480478589419</v>
          </cell>
          <cell r="AF40">
            <v>26.04</v>
          </cell>
          <cell r="AG40">
            <v>18.55</v>
          </cell>
          <cell r="AH40">
            <v>13.52</v>
          </cell>
          <cell r="AI40">
            <v>0</v>
          </cell>
          <cell r="AJ40">
            <v>13.52</v>
          </cell>
          <cell r="AL40">
            <v>39.36</v>
          </cell>
          <cell r="AM40">
            <v>32.39</v>
          </cell>
          <cell r="AN40">
            <v>9.9</v>
          </cell>
          <cell r="AO40">
            <v>0</v>
          </cell>
          <cell r="AR40">
            <v>20.514070571545538</v>
          </cell>
          <cell r="AS40">
            <v>9.6460000000000008</v>
          </cell>
          <cell r="AT40">
            <v>0</v>
          </cell>
          <cell r="AU40">
            <v>0</v>
          </cell>
          <cell r="AV40">
            <v>34.83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0.44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0.78749999999999998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5.82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14.8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Z43">
            <v>3.3</v>
          </cell>
          <cell r="AA43">
            <v>3.6339999999999999</v>
          </cell>
        </row>
        <row r="44">
          <cell r="Z44">
            <v>23.29</v>
          </cell>
          <cell r="AA44">
            <v>24</v>
          </cell>
        </row>
        <row r="45">
          <cell r="AB45" t="b">
            <v>0</v>
          </cell>
        </row>
        <row r="46">
          <cell r="H46" t="str">
            <v>N</v>
          </cell>
          <cell r="I46" t="str">
            <v>N</v>
          </cell>
          <cell r="J46" t="str">
            <v>N</v>
          </cell>
          <cell r="K46" t="str">
            <v>N</v>
          </cell>
          <cell r="L46" t="str">
            <v>N</v>
          </cell>
          <cell r="M46" t="str">
            <v>N</v>
          </cell>
          <cell r="N46" t="str">
            <v>N</v>
          </cell>
          <cell r="O46" t="str">
            <v>N</v>
          </cell>
          <cell r="P46" t="str">
            <v>N</v>
          </cell>
          <cell r="Q46" t="str">
            <v>N</v>
          </cell>
          <cell r="R46" t="str">
            <v>N</v>
          </cell>
          <cell r="S46" t="str">
            <v>N</v>
          </cell>
          <cell r="T46" t="str">
            <v>N</v>
          </cell>
          <cell r="U46" t="str">
            <v>N</v>
          </cell>
          <cell r="V46" t="str">
            <v>N</v>
          </cell>
          <cell r="W46" t="str">
            <v>Y</v>
          </cell>
          <cell r="X46" t="str">
            <v>N</v>
          </cell>
          <cell r="Y46" t="str">
            <v>N</v>
          </cell>
          <cell r="Z46" t="str">
            <v>N</v>
          </cell>
          <cell r="AA46" t="str">
            <v>Y</v>
          </cell>
          <cell r="AB46" t="str">
            <v>Y</v>
          </cell>
          <cell r="AC46" t="str">
            <v>N</v>
          </cell>
          <cell r="AD46" t="str">
            <v>N</v>
          </cell>
          <cell r="AE46" t="str">
            <v>N</v>
          </cell>
          <cell r="AF46" t="str">
            <v>N</v>
          </cell>
          <cell r="AG46" t="str">
            <v>N</v>
          </cell>
          <cell r="AH46" t="str">
            <v>N</v>
          </cell>
          <cell r="AI46" t="str">
            <v>N</v>
          </cell>
          <cell r="AJ46" t="str">
            <v>N</v>
          </cell>
          <cell r="AK46" t="str">
            <v>N</v>
          </cell>
          <cell r="AL46" t="str">
            <v>N</v>
          </cell>
          <cell r="AM46" t="str">
            <v>N</v>
          </cell>
          <cell r="AN46" t="str">
            <v>N</v>
          </cell>
          <cell r="AO46" t="str">
            <v>N</v>
          </cell>
          <cell r="AP46" t="str">
            <v>N</v>
          </cell>
          <cell r="AQ46" t="str">
            <v>N</v>
          </cell>
          <cell r="AR46" t="str">
            <v>N</v>
          </cell>
          <cell r="AS46" t="str">
            <v>N</v>
          </cell>
          <cell r="AT46" t="str">
            <v>N</v>
          </cell>
          <cell r="AU46" t="str">
            <v>N</v>
          </cell>
          <cell r="AV46" t="str">
            <v>N</v>
          </cell>
          <cell r="AW46" t="str">
            <v>N</v>
          </cell>
          <cell r="AX46" t="str">
            <v>N</v>
          </cell>
          <cell r="AY46" t="str">
            <v>N</v>
          </cell>
          <cell r="AZ46" t="str">
            <v>N</v>
          </cell>
          <cell r="BA46" t="str">
            <v>N</v>
          </cell>
          <cell r="BB46" t="str">
            <v>N</v>
          </cell>
          <cell r="BC46" t="str">
            <v>N</v>
          </cell>
          <cell r="BD46" t="str">
            <v>N</v>
          </cell>
          <cell r="BE46" t="str">
            <v>N</v>
          </cell>
        </row>
        <row r="47"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172.5</v>
          </cell>
          <cell r="X47">
            <v>0</v>
          </cell>
          <cell r="Y47">
            <v>0</v>
          </cell>
          <cell r="Z47">
            <v>0</v>
          </cell>
          <cell r="AA47">
            <v>300</v>
          </cell>
          <cell r="AB47">
            <v>300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5.5E-2</v>
          </cell>
          <cell r="X48">
            <v>0</v>
          </cell>
          <cell r="Y48">
            <v>0</v>
          </cell>
          <cell r="Z48">
            <v>0</v>
          </cell>
          <cell r="AA48">
            <v>0.05</v>
          </cell>
          <cell r="AB48">
            <v>0.05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H49">
            <v>36526</v>
          </cell>
          <cell r="I49">
            <v>36526</v>
          </cell>
          <cell r="J49">
            <v>36526</v>
          </cell>
          <cell r="K49">
            <v>36526</v>
          </cell>
          <cell r="L49">
            <v>36526</v>
          </cell>
          <cell r="M49">
            <v>36526</v>
          </cell>
          <cell r="N49">
            <v>36526</v>
          </cell>
          <cell r="O49">
            <v>36526</v>
          </cell>
          <cell r="P49">
            <v>36526</v>
          </cell>
          <cell r="Q49">
            <v>36526</v>
          </cell>
          <cell r="R49">
            <v>36526</v>
          </cell>
          <cell r="S49">
            <v>36526</v>
          </cell>
          <cell r="T49">
            <v>36526</v>
          </cell>
          <cell r="U49">
            <v>0</v>
          </cell>
          <cell r="V49">
            <v>0</v>
          </cell>
          <cell r="W49">
            <v>36892</v>
          </cell>
          <cell r="X49">
            <v>36526</v>
          </cell>
          <cell r="Y49">
            <v>0</v>
          </cell>
          <cell r="Z49">
            <v>0</v>
          </cell>
          <cell r="AA49">
            <v>36861</v>
          </cell>
          <cell r="AB49">
            <v>36861</v>
          </cell>
          <cell r="AC49">
            <v>0</v>
          </cell>
          <cell r="AD49">
            <v>36526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36526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36526</v>
          </cell>
          <cell r="AP49">
            <v>0</v>
          </cell>
          <cell r="AQ49">
            <v>36526</v>
          </cell>
          <cell r="AR49">
            <v>36526</v>
          </cell>
          <cell r="AS49">
            <v>36526</v>
          </cell>
          <cell r="AT49">
            <v>36526</v>
          </cell>
          <cell r="AU49">
            <v>0</v>
          </cell>
          <cell r="AV49">
            <v>0</v>
          </cell>
          <cell r="AW49">
            <v>36526</v>
          </cell>
          <cell r="AX49">
            <v>36526</v>
          </cell>
          <cell r="AY49">
            <v>36526</v>
          </cell>
          <cell r="AZ49">
            <v>36526</v>
          </cell>
          <cell r="BA49">
            <v>36526</v>
          </cell>
          <cell r="BB49">
            <v>36526</v>
          </cell>
          <cell r="BC49">
            <v>36526</v>
          </cell>
          <cell r="BD49">
            <v>36526</v>
          </cell>
          <cell r="BE49">
            <v>36526</v>
          </cell>
        </row>
        <row r="50"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85.2</v>
          </cell>
          <cell r="X50">
            <v>0</v>
          </cell>
          <cell r="Y50">
            <v>0</v>
          </cell>
          <cell r="Z50">
            <v>0</v>
          </cell>
          <cell r="AA50">
            <v>52.968800000000002</v>
          </cell>
          <cell r="AB50">
            <v>52.97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4">
          <cell r="H54" t="str">
            <v>N</v>
          </cell>
          <cell r="I54" t="str">
            <v>N</v>
          </cell>
          <cell r="J54" t="str">
            <v>N</v>
          </cell>
          <cell r="K54" t="str">
            <v>N</v>
          </cell>
          <cell r="L54" t="str">
            <v>N</v>
          </cell>
          <cell r="M54" t="str">
            <v>N</v>
          </cell>
          <cell r="N54" t="str">
            <v>N</v>
          </cell>
          <cell r="O54" t="str">
            <v>N</v>
          </cell>
          <cell r="P54" t="str">
            <v>N</v>
          </cell>
          <cell r="Q54" t="str">
            <v>N</v>
          </cell>
          <cell r="R54" t="str">
            <v>N</v>
          </cell>
          <cell r="S54" t="str">
            <v>N</v>
          </cell>
          <cell r="T54" t="str">
            <v>N</v>
          </cell>
          <cell r="U54" t="str">
            <v>N</v>
          </cell>
          <cell r="V54" t="str">
            <v>N</v>
          </cell>
          <cell r="W54" t="str">
            <v>N</v>
          </cell>
          <cell r="X54" t="str">
            <v>N</v>
          </cell>
          <cell r="Y54" t="str">
            <v>N</v>
          </cell>
          <cell r="Z54" t="str">
            <v>Y</v>
          </cell>
          <cell r="AA54" t="str">
            <v>N</v>
          </cell>
          <cell r="AB54" t="str">
            <v>N</v>
          </cell>
          <cell r="AC54" t="str">
            <v>Y</v>
          </cell>
          <cell r="AD54" t="str">
            <v>N</v>
          </cell>
          <cell r="AE54" t="str">
            <v>N</v>
          </cell>
          <cell r="AF54" t="str">
            <v>N</v>
          </cell>
          <cell r="AG54" t="str">
            <v>N</v>
          </cell>
          <cell r="AH54" t="str">
            <v>N</v>
          </cell>
          <cell r="AI54" t="str">
            <v>N</v>
          </cell>
          <cell r="AJ54" t="str">
            <v>N</v>
          </cell>
          <cell r="AK54" t="str">
            <v>N</v>
          </cell>
          <cell r="AL54" t="str">
            <v>Y</v>
          </cell>
          <cell r="AM54" t="str">
            <v>N</v>
          </cell>
          <cell r="AN54" t="str">
            <v>N</v>
          </cell>
          <cell r="AO54" t="str">
            <v>N</v>
          </cell>
          <cell r="AP54" t="str">
            <v>N</v>
          </cell>
          <cell r="AQ54" t="str">
            <v>N</v>
          </cell>
          <cell r="AR54" t="str">
            <v>N</v>
          </cell>
          <cell r="AS54" t="str">
            <v>N</v>
          </cell>
          <cell r="AT54" t="str">
            <v>N</v>
          </cell>
          <cell r="AU54" t="str">
            <v>N</v>
          </cell>
          <cell r="AV54" t="str">
            <v>N</v>
          </cell>
          <cell r="AW54" t="str">
            <v>N</v>
          </cell>
          <cell r="AX54" t="str">
            <v>N</v>
          </cell>
          <cell r="AY54" t="str">
            <v>N</v>
          </cell>
          <cell r="AZ54" t="str">
            <v>N</v>
          </cell>
          <cell r="BA54" t="str">
            <v>N</v>
          </cell>
          <cell r="BB54" t="str">
            <v>N</v>
          </cell>
          <cell r="BC54" t="str">
            <v>N</v>
          </cell>
          <cell r="BD54" t="str">
            <v>N</v>
          </cell>
          <cell r="BE54" t="str">
            <v>N</v>
          </cell>
        </row>
        <row r="55"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300</v>
          </cell>
          <cell r="AA55">
            <v>0</v>
          </cell>
          <cell r="AB55">
            <v>0</v>
          </cell>
          <cell r="AC55">
            <v>132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196.1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7.8E-2</v>
          </cell>
          <cell r="AA56">
            <v>0</v>
          </cell>
          <cell r="AB56">
            <v>0</v>
          </cell>
          <cell r="AC56">
            <v>5.3749999999999999E-2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0.05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H57">
            <v>36526</v>
          </cell>
          <cell r="I57">
            <v>36526</v>
          </cell>
          <cell r="J57">
            <v>36526</v>
          </cell>
          <cell r="K57">
            <v>36526</v>
          </cell>
          <cell r="L57">
            <v>36526</v>
          </cell>
          <cell r="M57">
            <v>36526</v>
          </cell>
          <cell r="N57">
            <v>36526</v>
          </cell>
          <cell r="O57">
            <v>36526</v>
          </cell>
          <cell r="P57">
            <v>36526</v>
          </cell>
          <cell r="Q57">
            <v>36526</v>
          </cell>
          <cell r="R57">
            <v>36526</v>
          </cell>
          <cell r="S57">
            <v>36526</v>
          </cell>
          <cell r="T57">
            <v>36526</v>
          </cell>
          <cell r="U57">
            <v>0</v>
          </cell>
          <cell r="V57">
            <v>0</v>
          </cell>
          <cell r="W57">
            <v>0</v>
          </cell>
          <cell r="X57">
            <v>36526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36526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36526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36526</v>
          </cell>
          <cell r="AP57">
            <v>0</v>
          </cell>
          <cell r="AQ57">
            <v>36526</v>
          </cell>
          <cell r="AR57">
            <v>36526</v>
          </cell>
          <cell r="AS57">
            <v>36526</v>
          </cell>
          <cell r="AT57">
            <v>36526</v>
          </cell>
          <cell r="AU57">
            <v>0</v>
          </cell>
          <cell r="AV57">
            <v>0</v>
          </cell>
          <cell r="AW57">
            <v>36526</v>
          </cell>
          <cell r="AX57">
            <v>36526</v>
          </cell>
          <cell r="AY57">
            <v>36526</v>
          </cell>
          <cell r="AZ57">
            <v>36526</v>
          </cell>
          <cell r="BA57">
            <v>36526</v>
          </cell>
          <cell r="BB57">
            <v>36526</v>
          </cell>
          <cell r="BC57">
            <v>36526</v>
          </cell>
          <cell r="BD57">
            <v>36526</v>
          </cell>
          <cell r="BE57">
            <v>36526</v>
          </cell>
        </row>
        <row r="58"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25</v>
          </cell>
          <cell r="AA58">
            <v>0</v>
          </cell>
          <cell r="AB58">
            <v>0</v>
          </cell>
          <cell r="AC58">
            <v>20.625360943816517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36.536741690266801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60">
          <cell r="AJ60" t="str">
            <v>See p.79</v>
          </cell>
          <cell r="AS60">
            <v>201.66200000000001</v>
          </cell>
        </row>
        <row r="61">
          <cell r="V61">
            <v>37346</v>
          </cell>
          <cell r="AJ61" t="str">
            <v>PF BS as of 9/30/01</v>
          </cell>
        </row>
        <row r="62"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143.34299999999999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20.766999999999999</v>
          </cell>
          <cell r="V62">
            <v>42.912999999999997</v>
          </cell>
          <cell r="W62">
            <v>572.90300000000002</v>
          </cell>
          <cell r="X62">
            <v>70.257999999999996</v>
          </cell>
          <cell r="Y62">
            <v>91.347999999999999</v>
          </cell>
          <cell r="Z62">
            <v>60.804000000000002</v>
          </cell>
          <cell r="AA62">
            <v>94.298000000000002</v>
          </cell>
          <cell r="AB62">
            <v>463.815</v>
          </cell>
          <cell r="AC62">
            <v>0.68799999999999994</v>
          </cell>
          <cell r="AD62">
            <v>0</v>
          </cell>
          <cell r="AE62">
            <v>40.206000000000003</v>
          </cell>
          <cell r="AF62">
            <v>93.421000000000006</v>
          </cell>
          <cell r="AG62">
            <v>24.074999999999999</v>
          </cell>
          <cell r="AH62">
            <v>0</v>
          </cell>
          <cell r="AI62">
            <v>0</v>
          </cell>
          <cell r="AJ62">
            <v>58.841999999999999</v>
          </cell>
          <cell r="AK62">
            <v>45.2</v>
          </cell>
          <cell r="AL62">
            <v>385.5</v>
          </cell>
          <cell r="AM62">
            <v>33.501829999999998</v>
          </cell>
          <cell r="AN62">
            <v>3.6070000000000002</v>
          </cell>
          <cell r="AO62">
            <v>0</v>
          </cell>
          <cell r="AR62">
            <v>132.43700000000001</v>
          </cell>
          <cell r="AS62">
            <v>24.074999999999999</v>
          </cell>
          <cell r="AT62">
            <v>14.052</v>
          </cell>
          <cell r="AU62">
            <v>869.2</v>
          </cell>
          <cell r="AV62">
            <v>703.32700000000011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284.63099999999997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16.481999999999999</v>
          </cell>
          <cell r="V63">
            <v>335.25299999999999</v>
          </cell>
          <cell r="W63">
            <v>102.568</v>
          </cell>
          <cell r="X63">
            <v>147.79900000000001</v>
          </cell>
          <cell r="Y63">
            <v>138.79300000000001</v>
          </cell>
          <cell r="Z63">
            <v>1620.6289999999999</v>
          </cell>
          <cell r="AA63">
            <v>677.18</v>
          </cell>
          <cell r="AB63">
            <v>2061.3310000000001</v>
          </cell>
          <cell r="AC63">
            <v>364.21499999999997</v>
          </cell>
          <cell r="AD63">
            <v>0</v>
          </cell>
          <cell r="AE63">
            <v>226.47300000000001</v>
          </cell>
          <cell r="AF63">
            <v>356.45299999999997</v>
          </cell>
          <cell r="AG63">
            <v>167.529</v>
          </cell>
          <cell r="AH63">
            <v>0</v>
          </cell>
          <cell r="AI63">
            <v>0</v>
          </cell>
          <cell r="AJ63">
            <v>317.221</v>
          </cell>
          <cell r="AK63">
            <v>0</v>
          </cell>
          <cell r="AL63">
            <v>3604.2</v>
          </cell>
          <cell r="AM63">
            <v>181.45</v>
          </cell>
          <cell r="AN63">
            <v>41.622</v>
          </cell>
          <cell r="AO63">
            <v>0</v>
          </cell>
          <cell r="AR63">
            <v>218.86</v>
          </cell>
          <cell r="AS63">
            <v>167.529</v>
          </cell>
          <cell r="AT63">
            <v>66.616</v>
          </cell>
          <cell r="AU63">
            <v>2536</v>
          </cell>
          <cell r="AV63">
            <v>2770.145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0.29299999999999998</v>
          </cell>
          <cell r="W64">
            <v>13.491</v>
          </cell>
          <cell r="X64">
            <v>0</v>
          </cell>
          <cell r="Y64">
            <v>0</v>
          </cell>
          <cell r="Z64">
            <v>21.030999999999999</v>
          </cell>
          <cell r="AA64">
            <v>4.266</v>
          </cell>
          <cell r="AB64">
            <v>17.831</v>
          </cell>
          <cell r="AC64">
            <v>0</v>
          </cell>
          <cell r="AD64">
            <v>0</v>
          </cell>
          <cell r="AE64">
            <v>41.978000000000002</v>
          </cell>
          <cell r="AF64">
            <v>57.145000000000003</v>
          </cell>
          <cell r="AG64">
            <v>27.484999999999999</v>
          </cell>
          <cell r="AH64">
            <v>0</v>
          </cell>
          <cell r="AI64">
            <v>0</v>
          </cell>
          <cell r="AJ64">
            <v>3.7240000000000002</v>
          </cell>
          <cell r="AK64">
            <v>0</v>
          </cell>
          <cell r="AL64">
            <v>160.69999999999999</v>
          </cell>
          <cell r="AM64">
            <v>0</v>
          </cell>
          <cell r="AN64">
            <v>0</v>
          </cell>
          <cell r="AO64">
            <v>0</v>
          </cell>
          <cell r="AR64">
            <v>12.637</v>
          </cell>
          <cell r="AS64">
            <v>27.484999999999999</v>
          </cell>
          <cell r="AT64">
            <v>7.806</v>
          </cell>
          <cell r="AU64">
            <v>870.8</v>
          </cell>
          <cell r="AV64">
            <v>906.09100000000001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206.36099999999999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10.364000000000001</v>
          </cell>
          <cell r="W65">
            <v>86.736999999999995</v>
          </cell>
          <cell r="X65">
            <v>86.697000000000003</v>
          </cell>
          <cell r="Y65">
            <v>71.028000000000006</v>
          </cell>
          <cell r="Z65">
            <v>2619.4949999999999</v>
          </cell>
          <cell r="AA65">
            <v>1955.385</v>
          </cell>
          <cell r="AB65">
            <v>5295.924</v>
          </cell>
          <cell r="AC65">
            <v>345.50200000000001</v>
          </cell>
          <cell r="AD65">
            <v>0</v>
          </cell>
          <cell r="AE65">
            <v>171.381</v>
          </cell>
          <cell r="AF65">
            <v>293.76400000000001</v>
          </cell>
          <cell r="AG65">
            <v>28.338999999999999</v>
          </cell>
          <cell r="AH65">
            <v>0</v>
          </cell>
          <cell r="AI65">
            <v>0</v>
          </cell>
          <cell r="AJ65">
            <v>81.48</v>
          </cell>
          <cell r="AK65">
            <v>0</v>
          </cell>
          <cell r="AL65">
            <v>6259.3</v>
          </cell>
          <cell r="AM65">
            <v>468.92599999999999</v>
          </cell>
          <cell r="AN65">
            <v>10.763</v>
          </cell>
          <cell r="AO65">
            <v>0</v>
          </cell>
          <cell r="AR65">
            <v>156.03800000000001</v>
          </cell>
          <cell r="AS65">
            <v>28.338999999999999</v>
          </cell>
          <cell r="AT65">
            <v>0</v>
          </cell>
          <cell r="AU65">
            <v>7902</v>
          </cell>
          <cell r="AV65">
            <v>7930.3389999999999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53.353999999999999</v>
          </cell>
          <cell r="W66">
            <v>815.16499999999996</v>
          </cell>
          <cell r="X66">
            <v>348.99099999999999</v>
          </cell>
          <cell r="Y66">
            <v>313.72699999999998</v>
          </cell>
          <cell r="Z66">
            <v>4335.01</v>
          </cell>
          <cell r="AA66">
            <v>2731.1289999999999</v>
          </cell>
          <cell r="AB66">
            <v>7838.9009999999998</v>
          </cell>
          <cell r="AC66">
            <v>727.40599999999995</v>
          </cell>
          <cell r="AD66">
            <v>0</v>
          </cell>
          <cell r="AE66">
            <v>480.49</v>
          </cell>
          <cell r="AF66">
            <v>827.40899999999999</v>
          </cell>
          <cell r="AG66">
            <v>247.428</v>
          </cell>
          <cell r="AH66">
            <v>0</v>
          </cell>
          <cell r="AI66">
            <v>0</v>
          </cell>
          <cell r="AJ66">
            <v>482.88600000000002</v>
          </cell>
          <cell r="AK66">
            <v>0</v>
          </cell>
          <cell r="AL66">
            <v>10409.700000000001</v>
          </cell>
          <cell r="AM66">
            <v>727.31100000000004</v>
          </cell>
          <cell r="AN66">
            <v>67.548000000000002</v>
          </cell>
          <cell r="AO66">
            <v>0</v>
          </cell>
          <cell r="AR66">
            <v>519.97199999999998</v>
          </cell>
          <cell r="AS66">
            <v>247.428</v>
          </cell>
          <cell r="AT66">
            <v>89.408000000000001</v>
          </cell>
          <cell r="AU66">
            <v>12382.6</v>
          </cell>
          <cell r="AV66">
            <v>12719.436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37.055</v>
          </cell>
          <cell r="W67">
            <v>115.32899999999999</v>
          </cell>
          <cell r="X67">
            <v>185.268</v>
          </cell>
          <cell r="Y67">
            <v>11.090999999999999</v>
          </cell>
          <cell r="Z67">
            <v>195.58099999999999</v>
          </cell>
          <cell r="AA67">
            <v>71.009</v>
          </cell>
          <cell r="AB67">
            <v>277.47500000000002</v>
          </cell>
          <cell r="AC67">
            <v>24.536000000000001</v>
          </cell>
          <cell r="AD67">
            <v>0</v>
          </cell>
          <cell r="AE67">
            <v>82.016999999999996</v>
          </cell>
          <cell r="AF67">
            <v>129.49799999999999</v>
          </cell>
          <cell r="AG67">
            <v>180.89599999999999</v>
          </cell>
          <cell r="AH67">
            <v>0</v>
          </cell>
          <cell r="AI67">
            <v>0</v>
          </cell>
          <cell r="AJ67">
            <v>23.617000000000001</v>
          </cell>
          <cell r="AK67">
            <v>0</v>
          </cell>
          <cell r="AL67">
            <v>579.79999999999995</v>
          </cell>
          <cell r="AM67">
            <v>542.04999999999995</v>
          </cell>
          <cell r="AN67">
            <v>6.7640000000000002</v>
          </cell>
          <cell r="AO67">
            <v>0</v>
          </cell>
          <cell r="AR67">
            <v>56.646999999999998</v>
          </cell>
          <cell r="AS67">
            <v>180.89599999999999</v>
          </cell>
          <cell r="AT67">
            <v>10.311</v>
          </cell>
          <cell r="AU67">
            <v>1823.8</v>
          </cell>
          <cell r="AV67">
            <v>2015.0069999999998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10.677</v>
          </cell>
          <cell r="W68">
            <v>1241.213</v>
          </cell>
          <cell r="X68">
            <v>28.251999999999999</v>
          </cell>
          <cell r="Y68">
            <v>83.563000000000002</v>
          </cell>
          <cell r="Z68">
            <v>663.26800000000003</v>
          </cell>
          <cell r="AA68">
            <v>85.805999999999997</v>
          </cell>
          <cell r="AB68">
            <v>2126.1210000000001</v>
          </cell>
          <cell r="AC68">
            <v>198.32400000000001</v>
          </cell>
          <cell r="AD68">
            <v>0</v>
          </cell>
          <cell r="AE68">
            <v>77.122</v>
          </cell>
          <cell r="AF68">
            <v>293.10599999999999</v>
          </cell>
          <cell r="AG68">
            <v>143.16</v>
          </cell>
          <cell r="AH68">
            <v>0</v>
          </cell>
          <cell r="AI68">
            <v>0</v>
          </cell>
          <cell r="AJ68">
            <v>281.48500000000001</v>
          </cell>
          <cell r="AK68">
            <v>0</v>
          </cell>
          <cell r="AL68">
            <v>974.3</v>
          </cell>
          <cell r="AM68">
            <v>127.602</v>
          </cell>
          <cell r="AN68">
            <v>30.233000000000001</v>
          </cell>
          <cell r="AO68">
            <v>0</v>
          </cell>
          <cell r="AR68">
            <v>131.012</v>
          </cell>
          <cell r="AS68">
            <v>143.16</v>
          </cell>
          <cell r="AT68">
            <v>52.091000000000001</v>
          </cell>
          <cell r="AU68">
            <v>1178.3</v>
          </cell>
          <cell r="AV68">
            <v>1373.5509999999999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107.86799999999999</v>
          </cell>
          <cell r="V69">
            <v>924.82899999999995</v>
          </cell>
          <cell r="W69">
            <v>2225.9009999999998</v>
          </cell>
          <cell r="X69">
            <v>922.84900000000005</v>
          </cell>
          <cell r="Y69">
            <v>409.322</v>
          </cell>
          <cell r="Z69">
            <v>5350.3729999999996</v>
          </cell>
          <cell r="AA69">
            <v>2887.944</v>
          </cell>
          <cell r="AB69">
            <v>10600.218999999999</v>
          </cell>
          <cell r="AC69">
            <v>997.43799999999999</v>
          </cell>
          <cell r="AD69">
            <v>0</v>
          </cell>
          <cell r="AE69">
            <v>670.19</v>
          </cell>
          <cell r="AF69">
            <v>1309.519</v>
          </cell>
          <cell r="AG69">
            <v>594.37099999999998</v>
          </cell>
          <cell r="AH69">
            <v>0</v>
          </cell>
          <cell r="AI69">
            <v>0</v>
          </cell>
          <cell r="AJ69">
            <v>793.13599999999997</v>
          </cell>
          <cell r="AK69">
            <v>0</v>
          </cell>
          <cell r="AL69">
            <v>12888.9</v>
          </cell>
          <cell r="AM69">
            <v>1439.8019999999999</v>
          </cell>
          <cell r="AN69">
            <v>105.80200000000001</v>
          </cell>
          <cell r="AO69">
            <v>0</v>
          </cell>
          <cell r="AR69">
            <v>720.822</v>
          </cell>
          <cell r="AS69">
            <v>594.37099999999998</v>
          </cell>
          <cell r="AT69">
            <v>153.495</v>
          </cell>
          <cell r="AU69">
            <v>16256.5</v>
          </cell>
          <cell r="AV69">
            <v>17004.365999999998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5.34</v>
          </cell>
          <cell r="W70">
            <v>22.13</v>
          </cell>
          <cell r="X70">
            <v>44.152000000000001</v>
          </cell>
          <cell r="Y70">
            <v>108.21299999999999</v>
          </cell>
          <cell r="Z70">
            <v>2428.002</v>
          </cell>
          <cell r="AA70">
            <v>1639.876</v>
          </cell>
          <cell r="AB70">
            <v>5076.7669999999998</v>
          </cell>
          <cell r="AC70">
            <v>293.06200000000001</v>
          </cell>
          <cell r="AD70">
            <v>0</v>
          </cell>
          <cell r="AE70">
            <v>148.376</v>
          </cell>
          <cell r="AF70">
            <v>205.71700000000001</v>
          </cell>
          <cell r="AG70">
            <v>65.893000000000001</v>
          </cell>
          <cell r="AH70">
            <v>0</v>
          </cell>
          <cell r="AI70">
            <v>0</v>
          </cell>
          <cell r="AJ70">
            <v>141.47499999999999</v>
          </cell>
          <cell r="AK70">
            <v>0</v>
          </cell>
          <cell r="AL70">
            <v>6249.1</v>
          </cell>
          <cell r="AM70">
            <v>59.509</v>
          </cell>
          <cell r="AN70">
            <v>15.701000000000001</v>
          </cell>
          <cell r="AO70">
            <v>0</v>
          </cell>
          <cell r="AR70">
            <v>112.02500000000001</v>
          </cell>
          <cell r="AS70">
            <v>65.893000000000001</v>
          </cell>
          <cell r="AT70">
            <v>4.5720000000000001</v>
          </cell>
          <cell r="AU70">
            <v>5266.9</v>
          </cell>
          <cell r="AV70">
            <v>5337.3649999999998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13.272</v>
          </cell>
          <cell r="W71">
            <v>143.131</v>
          </cell>
          <cell r="X71">
            <v>123.297</v>
          </cell>
          <cell r="Y71">
            <v>137.387</v>
          </cell>
          <cell r="Z71">
            <v>2818.442</v>
          </cell>
          <cell r="AA71">
            <v>1833.835</v>
          </cell>
          <cell r="AB71">
            <v>5723.3919999999998</v>
          </cell>
          <cell r="AC71">
            <v>362.14100000000002</v>
          </cell>
          <cell r="AD71">
            <v>0</v>
          </cell>
          <cell r="AE71">
            <v>211.059</v>
          </cell>
          <cell r="AF71">
            <v>334.41300000000001</v>
          </cell>
          <cell r="AG71">
            <v>133.71899999999999</v>
          </cell>
          <cell r="AH71">
            <v>0</v>
          </cell>
          <cell r="AI71">
            <v>0</v>
          </cell>
          <cell r="AJ71">
            <v>155.59200000000001</v>
          </cell>
          <cell r="AK71">
            <v>0</v>
          </cell>
          <cell r="AL71">
            <v>7643.8</v>
          </cell>
          <cell r="AM71">
            <v>397.56299999999999</v>
          </cell>
          <cell r="AN71">
            <v>30.297000000000001</v>
          </cell>
          <cell r="AO71">
            <v>0</v>
          </cell>
          <cell r="AR71">
            <v>175.06899999999999</v>
          </cell>
          <cell r="AS71">
            <v>133.71899999999999</v>
          </cell>
          <cell r="AT71">
            <v>47.113999999999997</v>
          </cell>
          <cell r="AU71">
            <v>6770.7</v>
          </cell>
          <cell r="AV71">
            <v>6951.5329999999994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W72">
            <v>4.3860000000000001</v>
          </cell>
          <cell r="X72">
            <v>0</v>
          </cell>
          <cell r="Y72">
            <v>0</v>
          </cell>
          <cell r="Z72">
            <v>55.506999999999998</v>
          </cell>
          <cell r="AA72">
            <v>0</v>
          </cell>
          <cell r="AB72">
            <v>30</v>
          </cell>
          <cell r="AC72">
            <v>0</v>
          </cell>
          <cell r="AD72">
            <v>0</v>
          </cell>
          <cell r="AE72">
            <v>0</v>
          </cell>
          <cell r="AF72">
            <v>7.2430000000000003</v>
          </cell>
          <cell r="AG72">
            <v>12.371</v>
          </cell>
          <cell r="AH72">
            <v>0</v>
          </cell>
          <cell r="AI72">
            <v>0</v>
          </cell>
          <cell r="AJ72">
            <v>0</v>
          </cell>
          <cell r="AK72">
            <v>27.8</v>
          </cell>
          <cell r="AL72">
            <v>33.4</v>
          </cell>
          <cell r="AM72">
            <v>270.38200000000001</v>
          </cell>
          <cell r="AN72">
            <v>10.4</v>
          </cell>
          <cell r="AO72">
            <v>0</v>
          </cell>
          <cell r="AR72">
            <v>0</v>
          </cell>
          <cell r="AS72">
            <v>12.371</v>
          </cell>
          <cell r="AT72">
            <v>0</v>
          </cell>
          <cell r="AU72">
            <v>17.2</v>
          </cell>
          <cell r="AV72">
            <v>29.570999999999998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W73">
            <v>172.5</v>
          </cell>
          <cell r="X73">
            <v>0</v>
          </cell>
          <cell r="Y73">
            <v>0</v>
          </cell>
          <cell r="Z73">
            <v>0</v>
          </cell>
          <cell r="AA73">
            <v>300</v>
          </cell>
          <cell r="AB73">
            <v>300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3.028</v>
          </cell>
          <cell r="V74">
            <v>224.68799999999999</v>
          </cell>
          <cell r="W74">
            <v>14.313000000000001</v>
          </cell>
          <cell r="X74">
            <v>332</v>
          </cell>
          <cell r="Y74">
            <v>0</v>
          </cell>
          <cell r="Z74">
            <v>1398.4649999999999</v>
          </cell>
          <cell r="AA74">
            <v>340.93399999999997</v>
          </cell>
          <cell r="AB74">
            <v>1208.8889999999999</v>
          </cell>
          <cell r="AC74">
            <v>242.01499999999999</v>
          </cell>
          <cell r="AD74">
            <v>0</v>
          </cell>
          <cell r="AE74">
            <v>125</v>
          </cell>
          <cell r="AF74">
            <v>241.96799999999999</v>
          </cell>
          <cell r="AG74">
            <v>203.97300000000001</v>
          </cell>
          <cell r="AH74">
            <v>0</v>
          </cell>
          <cell r="AI74">
            <v>0</v>
          </cell>
          <cell r="AJ74">
            <v>227.2</v>
          </cell>
          <cell r="AK74">
            <v>929.7</v>
          </cell>
          <cell r="AL74">
            <v>1293.4000000000001</v>
          </cell>
          <cell r="AM74">
            <v>177.7</v>
          </cell>
          <cell r="AN74">
            <v>0</v>
          </cell>
          <cell r="AO74">
            <v>0</v>
          </cell>
          <cell r="AR74">
            <v>0</v>
          </cell>
          <cell r="AS74">
            <v>203.97300000000001</v>
          </cell>
          <cell r="AT74">
            <v>0</v>
          </cell>
          <cell r="AU74">
            <v>2464</v>
          </cell>
          <cell r="AV74">
            <v>2667.973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W75">
            <v>0</v>
          </cell>
          <cell r="X75">
            <v>0</v>
          </cell>
          <cell r="Y75">
            <v>0</v>
          </cell>
          <cell r="Z75">
            <v>300</v>
          </cell>
          <cell r="AA75">
            <v>0</v>
          </cell>
          <cell r="AB75">
            <v>0</v>
          </cell>
          <cell r="AC75">
            <v>132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196.1</v>
          </cell>
          <cell r="AM75">
            <v>0</v>
          </cell>
          <cell r="AN75">
            <v>0</v>
          </cell>
          <cell r="AO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W77">
            <v>2.4550000000000001</v>
          </cell>
          <cell r="X77">
            <v>45.417000000000002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7.5389999999999997</v>
          </cell>
          <cell r="AG77">
            <v>0</v>
          </cell>
          <cell r="AH77">
            <v>0</v>
          </cell>
          <cell r="AI77">
            <v>0</v>
          </cell>
          <cell r="AJ77">
            <v>1.321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91.567999999999998</v>
          </cell>
          <cell r="V78">
            <v>471.05399999999997</v>
          </cell>
          <cell r="W78">
            <v>1703.2080000000001</v>
          </cell>
          <cell r="X78">
            <v>375.39800000000002</v>
          </cell>
          <cell r="Y78">
            <v>271.21300000000002</v>
          </cell>
          <cell r="Z78">
            <v>809.50900000000001</v>
          </cell>
          <cell r="AA78">
            <v>402.92500000000001</v>
          </cell>
          <cell r="AB78">
            <v>3049.7260000000001</v>
          </cell>
          <cell r="AC78">
            <v>246.459</v>
          </cell>
          <cell r="AD78">
            <v>0</v>
          </cell>
          <cell r="AE78">
            <v>324.77800000000002</v>
          </cell>
          <cell r="AF78">
            <v>707.42499999999995</v>
          </cell>
          <cell r="AG78">
            <v>245.49199999999999</v>
          </cell>
          <cell r="AH78">
            <v>0</v>
          </cell>
          <cell r="AI78">
            <v>0</v>
          </cell>
          <cell r="AJ78">
            <v>404.96600000000001</v>
          </cell>
          <cell r="AK78">
            <v>45.4</v>
          </cell>
          <cell r="AL78">
            <v>3783.1</v>
          </cell>
          <cell r="AM78">
            <v>805.57983000000002</v>
          </cell>
          <cell r="AN78">
            <v>75.504999999999995</v>
          </cell>
          <cell r="AO78">
            <v>0</v>
          </cell>
          <cell r="AR78">
            <v>543.28300000000002</v>
          </cell>
          <cell r="AS78">
            <v>245.49199999999999</v>
          </cell>
          <cell r="AT78">
            <v>103.72</v>
          </cell>
          <cell r="AU78">
            <v>6209</v>
          </cell>
          <cell r="AV78">
            <v>6209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80">
          <cell r="Z80" t="str">
            <v>Purchase price</v>
          </cell>
          <cell r="AA80">
            <v>2427.7871613734401</v>
          </cell>
          <cell r="AK80">
            <v>1025.9000000000001</v>
          </cell>
        </row>
        <row r="81">
          <cell r="Z81" t="str">
            <v>Goodwill created</v>
          </cell>
          <cell r="AA81">
            <v>1618.2781613734401</v>
          </cell>
          <cell r="AQ81">
            <v>0.01</v>
          </cell>
        </row>
        <row r="83"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21.657</v>
          </cell>
          <cell r="V83">
            <v>248.679</v>
          </cell>
          <cell r="W83">
            <v>156.005</v>
          </cell>
          <cell r="X83">
            <v>157.667</v>
          </cell>
          <cell r="Y83">
            <v>266.45699999999999</v>
          </cell>
          <cell r="Z83">
            <v>5476.2640000000001</v>
          </cell>
          <cell r="AA83">
            <v>3518.8519999999999</v>
          </cell>
          <cell r="AB83">
            <v>9918.6090000000004</v>
          </cell>
          <cell r="AC83">
            <v>966.68299999999999</v>
          </cell>
          <cell r="AD83">
            <v>0</v>
          </cell>
          <cell r="AE83">
            <v>455.31200000000001</v>
          </cell>
          <cell r="AF83">
            <v>647.09299999999996</v>
          </cell>
          <cell r="AG83">
            <v>215.48400000000001</v>
          </cell>
          <cell r="AH83">
            <v>178.49700000000001</v>
          </cell>
          <cell r="AI83">
            <v>172.74</v>
          </cell>
          <cell r="AJ83">
            <v>351.23700000000002</v>
          </cell>
          <cell r="AK83">
            <v>809.9</v>
          </cell>
          <cell r="AL83">
            <v>9629</v>
          </cell>
          <cell r="AM83">
            <v>292.33499999999998</v>
          </cell>
          <cell r="AN83">
            <v>93.427999999999997</v>
          </cell>
          <cell r="AO83">
            <v>0</v>
          </cell>
          <cell r="AP83">
            <v>305.11900000000003</v>
          </cell>
          <cell r="AQ83">
            <v>37.41225</v>
          </cell>
          <cell r="AR83">
            <v>357.39400000000001</v>
          </cell>
          <cell r="AS83">
            <v>215.48400000000001</v>
          </cell>
          <cell r="AT83">
            <v>50.173999999999999</v>
          </cell>
          <cell r="AU83">
            <v>11541.3</v>
          </cell>
          <cell r="AV83">
            <v>11806.958000000001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17.899000000000001</v>
          </cell>
          <cell r="V84">
            <v>225.50800000000001</v>
          </cell>
          <cell r="W84">
            <v>141.75</v>
          </cell>
          <cell r="X84">
            <v>148.267</v>
          </cell>
          <cell r="Y84">
            <v>168.346</v>
          </cell>
          <cell r="Z84">
            <v>4805.4430000000002</v>
          </cell>
          <cell r="AA84">
            <v>2921.424</v>
          </cell>
          <cell r="AB84">
            <v>8467.9760000000006</v>
          </cell>
          <cell r="AC84">
            <v>924.50800000000004</v>
          </cell>
          <cell r="AD84">
            <v>0</v>
          </cell>
          <cell r="AE84">
            <v>449.39400000000001</v>
          </cell>
          <cell r="AF84">
            <v>593.89499999999998</v>
          </cell>
          <cell r="AG84">
            <v>181.416</v>
          </cell>
          <cell r="AH84">
            <v>124.28</v>
          </cell>
          <cell r="AI84">
            <v>174.83175</v>
          </cell>
          <cell r="AJ84">
            <v>299.11175000000003</v>
          </cell>
          <cell r="AK84">
            <v>708.8</v>
          </cell>
          <cell r="AL84">
            <v>8002.7</v>
          </cell>
          <cell r="AM84">
            <v>262.61099999999999</v>
          </cell>
          <cell r="AN84">
            <v>62.843999999999994</v>
          </cell>
          <cell r="AO84">
            <v>0</v>
          </cell>
          <cell r="AP84">
            <v>270.04000000000002</v>
          </cell>
          <cell r="AQ84">
            <v>33.266723499999998</v>
          </cell>
          <cell r="AR84">
            <v>326.089</v>
          </cell>
          <cell r="AS84">
            <v>181.416</v>
          </cell>
          <cell r="AT84">
            <v>46.067</v>
          </cell>
          <cell r="AU84">
            <v>10334.200000000001</v>
          </cell>
          <cell r="AV84">
            <v>10561.682999999999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1.7278360343183984E-2</v>
          </cell>
          <cell r="V85">
            <v>0.43128503980766286</v>
          </cell>
          <cell r="W85">
            <v>0.42099100438629095</v>
          </cell>
          <cell r="X85">
            <v>0.3300802249607146</v>
          </cell>
          <cell r="Y85">
            <v>0.21561950471758168</v>
          </cell>
          <cell r="Z85">
            <v>0.31872743830702677</v>
          </cell>
          <cell r="AA85">
            <v>0.29031699628740149</v>
          </cell>
          <cell r="AB85">
            <v>0.84</v>
          </cell>
          <cell r="AC85">
            <v>0.29162740478994892</v>
          </cell>
          <cell r="AD85">
            <v>0</v>
          </cell>
          <cell r="AE85">
            <v>6.0223542610213163E-2</v>
          </cell>
          <cell r="AF85">
            <v>0.44770700492409626</v>
          </cell>
          <cell r="AG85">
            <v>0.40808768517133026</v>
          </cell>
          <cell r="AH85">
            <v>0</v>
          </cell>
          <cell r="AI85">
            <v>0</v>
          </cell>
          <cell r="AJ85">
            <v>0.45888117014543139</v>
          </cell>
          <cell r="AK85">
            <v>0.4525043177892919</v>
          </cell>
          <cell r="AL85">
            <v>0.37332887700534761</v>
          </cell>
          <cell r="AM85">
            <v>0.45</v>
          </cell>
          <cell r="AN85">
            <v>7.0000000000000007E-2</v>
          </cell>
          <cell r="AO85">
            <v>0</v>
          </cell>
          <cell r="AP85">
            <v>0.30981640291161994</v>
          </cell>
          <cell r="AQ85">
            <v>0.15012607013017476</v>
          </cell>
          <cell r="AR85">
            <v>0.36397215097105173</v>
          </cell>
          <cell r="AS85">
            <v>10.909000000000001</v>
          </cell>
          <cell r="AT85">
            <v>1.883</v>
          </cell>
          <cell r="AU85">
            <v>0</v>
          </cell>
          <cell r="AV85">
            <v>0.71137334829321408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-1.5869880152772291E-2</v>
          </cell>
          <cell r="V86">
            <v>0.37235744721740821</v>
          </cell>
          <cell r="W86">
            <v>0.38252283498449885</v>
          </cell>
          <cell r="X86">
            <v>0.32712136578769435</v>
          </cell>
          <cell r="Y86">
            <v>0.19861669236299087</v>
          </cell>
          <cell r="Z86">
            <v>0.19353407875648096</v>
          </cell>
          <cell r="AA86">
            <v>0.24000267823754298</v>
          </cell>
          <cell r="AB86">
            <v>0.86386163431927232</v>
          </cell>
          <cell r="AC86">
            <v>0.25331095131911907</v>
          </cell>
          <cell r="AD86">
            <v>0</v>
          </cell>
          <cell r="AE86">
            <v>-5.3598091495930367E-2</v>
          </cell>
          <cell r="AF86">
            <v>0.36981411950122839</v>
          </cell>
          <cell r="AG86">
            <v>0.41052728681598466</v>
          </cell>
          <cell r="AH86">
            <v>0</v>
          </cell>
          <cell r="AI86">
            <v>0</v>
          </cell>
          <cell r="AJ86">
            <v>0.27767711258448685</v>
          </cell>
          <cell r="AK86">
            <v>0.29782807151007989</v>
          </cell>
          <cell r="AL86">
            <v>0.2348356489325652</v>
          </cell>
          <cell r="AM86">
            <v>0.41</v>
          </cell>
          <cell r="AN86">
            <v>-0.04</v>
          </cell>
          <cell r="AO86">
            <v>0</v>
          </cell>
          <cell r="AP86">
            <v>0.26646511352184482</v>
          </cell>
          <cell r="AQ86">
            <v>0.1235437885176776</v>
          </cell>
          <cell r="AR86">
            <v>0.31</v>
          </cell>
          <cell r="AS86">
            <v>11.1257</v>
          </cell>
          <cell r="AT86">
            <v>1.389</v>
          </cell>
          <cell r="AU86">
            <v>0</v>
          </cell>
          <cell r="AV86">
            <v>0.59019103295155451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8">
          <cell r="AK88">
            <v>1000</v>
          </cell>
        </row>
        <row r="90"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62.274999999999999</v>
          </cell>
          <cell r="W90">
            <v>476.03399999999999</v>
          </cell>
          <cell r="X90">
            <v>488.137</v>
          </cell>
          <cell r="Y90">
            <v>266.45699999999999</v>
          </cell>
          <cell r="Z90">
            <v>15240.338</v>
          </cell>
          <cell r="AA90">
            <v>10306.288</v>
          </cell>
          <cell r="AB90">
            <v>19604.884999999998</v>
          </cell>
          <cell r="AC90">
            <v>966.68299999999999</v>
          </cell>
          <cell r="AD90">
            <v>0</v>
          </cell>
          <cell r="AE90">
            <v>1350.422</v>
          </cell>
          <cell r="AF90">
            <v>647.09299999999996</v>
          </cell>
          <cell r="AG90">
            <v>215.48400000000001</v>
          </cell>
          <cell r="AH90">
            <v>465.33100000000002</v>
          </cell>
          <cell r="AI90">
            <v>518.22</v>
          </cell>
          <cell r="AJ90">
            <v>983.55100000000004</v>
          </cell>
          <cell r="AK90">
            <v>1585.4</v>
          </cell>
          <cell r="AL90">
            <v>27094.2</v>
          </cell>
          <cell r="AM90">
            <v>0</v>
          </cell>
          <cell r="AN90">
            <v>93.427999999999997</v>
          </cell>
          <cell r="AO90">
            <v>0</v>
          </cell>
          <cell r="AP90">
            <v>0</v>
          </cell>
          <cell r="AQ90">
            <v>0</v>
          </cell>
          <cell r="AR90">
            <v>1049.2940000000001</v>
          </cell>
          <cell r="AS90">
            <v>621.09399999999994</v>
          </cell>
          <cell r="AT90">
            <v>161.69800000000001</v>
          </cell>
          <cell r="AU90">
            <v>32628.400000000001</v>
          </cell>
          <cell r="AV90">
            <v>33411.191999999995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53.747999999999998</v>
          </cell>
          <cell r="W91">
            <v>425.25</v>
          </cell>
          <cell r="X91">
            <v>449.28500000000003</v>
          </cell>
          <cell r="Y91">
            <v>168.346</v>
          </cell>
          <cell r="Z91">
            <v>13888.268</v>
          </cell>
          <cell r="AA91">
            <v>8582.2189999999991</v>
          </cell>
          <cell r="AB91">
            <v>16551.510999999999</v>
          </cell>
          <cell r="AC91">
            <v>924.50800000000004</v>
          </cell>
          <cell r="AD91">
            <v>0</v>
          </cell>
          <cell r="AE91">
            <v>1367.192</v>
          </cell>
          <cell r="AF91">
            <v>593.89499999999998</v>
          </cell>
          <cell r="AG91">
            <v>181.416</v>
          </cell>
          <cell r="AH91">
            <v>337.72699999999998</v>
          </cell>
          <cell r="AI91">
            <v>524.49524999999994</v>
          </cell>
          <cell r="AJ91">
            <v>862.22224999999992</v>
          </cell>
          <cell r="AK91">
            <v>1395.8</v>
          </cell>
          <cell r="AL91">
            <v>22885.200000000001</v>
          </cell>
          <cell r="AM91">
            <v>0</v>
          </cell>
          <cell r="AN91">
            <v>62.844000000000001</v>
          </cell>
          <cell r="AO91">
            <v>0</v>
          </cell>
          <cell r="AP91">
            <v>270.04000000000002</v>
          </cell>
          <cell r="AQ91">
            <v>0</v>
          </cell>
          <cell r="AR91">
            <v>965.88300000000004</v>
          </cell>
          <cell r="AS91">
            <v>507.48599999999999</v>
          </cell>
          <cell r="AT91">
            <v>135.73500000000001</v>
          </cell>
          <cell r="AU91">
            <v>28405.8</v>
          </cell>
          <cell r="AV91">
            <v>29049.021000000001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71.149000000000001</v>
          </cell>
          <cell r="V92">
            <v>859.20799999999997</v>
          </cell>
          <cell r="W92">
            <v>567</v>
          </cell>
          <cell r="X92">
            <v>598.23099999999999</v>
          </cell>
          <cell r="Y92">
            <v>805.12</v>
          </cell>
          <cell r="Z92">
            <v>18725.611000000001</v>
          </cell>
          <cell r="AA92">
            <v>11609.995000000001</v>
          </cell>
          <cell r="AB92">
            <v>34599.31</v>
          </cell>
          <cell r="AC92">
            <v>3814.9940000000001</v>
          </cell>
          <cell r="AD92">
            <v>0</v>
          </cell>
          <cell r="AE92">
            <v>1794.932</v>
          </cell>
          <cell r="AF92">
            <v>2558.2429999999999</v>
          </cell>
          <cell r="AG92">
            <v>774.71799999999996</v>
          </cell>
          <cell r="AH92">
            <v>0</v>
          </cell>
          <cell r="AI92">
            <v>0</v>
          </cell>
          <cell r="AJ92">
            <v>1192.922</v>
          </cell>
          <cell r="AK92">
            <v>2880</v>
          </cell>
          <cell r="AL92">
            <v>31280.2</v>
          </cell>
          <cell r="AM92">
            <v>1179.4469999999999</v>
          </cell>
          <cell r="AN92">
            <v>297.92500000000001</v>
          </cell>
          <cell r="AO92">
            <v>0</v>
          </cell>
          <cell r="AP92">
            <v>1156.4549999999999</v>
          </cell>
          <cell r="AQ92">
            <v>149.649</v>
          </cell>
          <cell r="AR92">
            <v>1306.1039999999998</v>
          </cell>
          <cell r="AS92">
            <v>695.178</v>
          </cell>
          <cell r="AT92">
            <v>189.06200000000001</v>
          </cell>
          <cell r="AU92">
            <v>38660.1</v>
          </cell>
          <cell r="AV92">
            <v>39544.339999999997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Z93">
            <v>20077.681</v>
          </cell>
          <cell r="AA93">
            <v>13334.064000000004</v>
          </cell>
        </row>
        <row r="94">
          <cell r="AA94" t="str">
            <v>Gross profit margin</v>
          </cell>
          <cell r="AB94">
            <v>0.94488973862334935</v>
          </cell>
          <cell r="AP94" t="str">
            <v>Webster 2 mos. 2002 rev Stub</v>
          </cell>
          <cell r="AR94">
            <v>33.628000000000043</v>
          </cell>
        </row>
        <row r="95">
          <cell r="AP95" t="str">
            <v>Webster 9 mos. 2001 rev Stub</v>
          </cell>
          <cell r="AR95">
            <v>114.54700000000003</v>
          </cell>
        </row>
        <row r="97"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19.698</v>
          </cell>
          <cell r="W97">
            <v>216.41900000000001</v>
          </cell>
          <cell r="X97">
            <v>216.59299999999999</v>
          </cell>
          <cell r="Y97">
            <v>236.62700000000001</v>
          </cell>
          <cell r="Z97">
            <v>14275.785999999998</v>
          </cell>
          <cell r="AA97">
            <v>9872.7469999999994</v>
          </cell>
          <cell r="AB97">
            <v>18618.958999999999</v>
          </cell>
          <cell r="AC97">
            <v>863.65200000000004</v>
          </cell>
          <cell r="AD97">
            <v>0</v>
          </cell>
          <cell r="AE97">
            <v>1038.3720000000001</v>
          </cell>
          <cell r="AF97">
            <v>468.70299999999997</v>
          </cell>
          <cell r="AG97">
            <v>133.029</v>
          </cell>
          <cell r="AH97">
            <v>391.76600000000002</v>
          </cell>
          <cell r="AI97">
            <v>360.16800000000001</v>
          </cell>
          <cell r="AJ97">
            <v>751.93399999999997</v>
          </cell>
          <cell r="AK97">
            <v>1166.8</v>
          </cell>
          <cell r="AL97">
            <v>25081.3</v>
          </cell>
          <cell r="AM97">
            <v>0</v>
          </cell>
          <cell r="AN97">
            <v>81.884</v>
          </cell>
          <cell r="AO97">
            <v>0</v>
          </cell>
          <cell r="AR97">
            <v>686.7298876000001</v>
          </cell>
          <cell r="AS97">
            <v>384.524</v>
          </cell>
          <cell r="AT97">
            <v>112.71599999999999</v>
          </cell>
          <cell r="AU97">
            <v>29644.7</v>
          </cell>
          <cell r="AV97">
            <v>30141.94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18.738</v>
          </cell>
          <cell r="W98">
            <v>181.52725172831819</v>
          </cell>
          <cell r="X98">
            <v>198.11799999999999</v>
          </cell>
          <cell r="Y98">
            <v>146.73599999999999</v>
          </cell>
          <cell r="Z98">
            <v>12953.74</v>
          </cell>
          <cell r="AA98">
            <v>8201.2559999999994</v>
          </cell>
          <cell r="AB98">
            <v>15629.226999999999</v>
          </cell>
          <cell r="AC98">
            <v>825.625</v>
          </cell>
          <cell r="AD98">
            <v>0</v>
          </cell>
          <cell r="AE98">
            <v>1046.492</v>
          </cell>
          <cell r="AF98">
            <v>434.53800000000001</v>
          </cell>
          <cell r="AG98">
            <v>112.727</v>
          </cell>
          <cell r="AH98">
            <v>289.32</v>
          </cell>
          <cell r="AI98">
            <v>365.86500000000001</v>
          </cell>
          <cell r="AJ98">
            <v>655.18499999999995</v>
          </cell>
          <cell r="AK98">
            <v>1040.5999999999999</v>
          </cell>
          <cell r="AL98">
            <v>21145.200000000001</v>
          </cell>
          <cell r="AM98">
            <v>0</v>
          </cell>
          <cell r="AN98">
            <v>54.695999999999998</v>
          </cell>
          <cell r="AO98">
            <v>0</v>
          </cell>
          <cell r="AP98">
            <v>176.94499999999999</v>
          </cell>
          <cell r="AQ98">
            <v>0</v>
          </cell>
          <cell r="AR98">
            <v>636.44850990000009</v>
          </cell>
          <cell r="AS98">
            <v>320.38800000000003</v>
          </cell>
          <cell r="AT98">
            <v>96.327999999999989</v>
          </cell>
          <cell r="AU98">
            <v>25771.1</v>
          </cell>
          <cell r="AV98">
            <v>26187.815999999999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24.577000000000002</v>
          </cell>
          <cell r="V99">
            <v>311.23200000000003</v>
          </cell>
          <cell r="W99">
            <v>242.03633563775759</v>
          </cell>
          <cell r="X99">
            <v>265.58699999999999</v>
          </cell>
          <cell r="Y99">
            <v>712.971</v>
          </cell>
          <cell r="Z99">
            <v>17486.464</v>
          </cell>
          <cell r="AA99">
            <v>11090.414000000001</v>
          </cell>
          <cell r="AB99">
            <v>32718.568999999996</v>
          </cell>
          <cell r="AC99">
            <v>3406.7579999999998</v>
          </cell>
          <cell r="AD99">
            <v>0</v>
          </cell>
          <cell r="AE99">
            <v>1384.3860000000002</v>
          </cell>
          <cell r="AF99">
            <v>1858.9190000000001</v>
          </cell>
          <cell r="AG99">
            <v>479.73500000000001</v>
          </cell>
          <cell r="AH99">
            <v>0</v>
          </cell>
          <cell r="AI99">
            <v>0</v>
          </cell>
          <cell r="AJ99">
            <v>914.89700000000005</v>
          </cell>
          <cell r="AK99">
            <v>2142.8000000000002</v>
          </cell>
          <cell r="AL99">
            <v>28849.200000000001</v>
          </cell>
          <cell r="AM99">
            <v>613.04200000000003</v>
          </cell>
          <cell r="AN99">
            <v>262.23200000000003</v>
          </cell>
          <cell r="AO99">
            <v>0</v>
          </cell>
          <cell r="AP99">
            <v>747.30100000000004</v>
          </cell>
          <cell r="AQ99">
            <v>110.994</v>
          </cell>
          <cell r="AR99">
            <v>858.29499999999996</v>
          </cell>
          <cell r="AS99">
            <v>435.90100000000001</v>
          </cell>
          <cell r="AT99">
            <v>133.524</v>
          </cell>
          <cell r="AU99">
            <v>35050.199999999997</v>
          </cell>
          <cell r="AV99">
            <v>35619.624999999993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Z100">
            <v>18808.509999999998</v>
          </cell>
          <cell r="AA100">
            <v>12761.905000000001</v>
          </cell>
        </row>
        <row r="101">
          <cell r="AA101" t="str">
            <v>SG&amp;A margin</v>
          </cell>
          <cell r="AB101">
            <v>3.5396086017057772E-2</v>
          </cell>
        </row>
        <row r="104"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31.42</v>
          </cell>
          <cell r="W104">
            <v>132.999</v>
          </cell>
          <cell r="X104">
            <v>150.18799999999999</v>
          </cell>
          <cell r="Y104">
            <v>14.661</v>
          </cell>
          <cell r="Z104">
            <v>700.26400000000001</v>
          </cell>
          <cell r="AA104">
            <v>241.745</v>
          </cell>
          <cell r="AB104">
            <v>602.16800000000001</v>
          </cell>
          <cell r="AC104">
            <v>75.724000000000004</v>
          </cell>
          <cell r="AD104">
            <v>0</v>
          </cell>
          <cell r="AE104">
            <v>290.37700000000001</v>
          </cell>
          <cell r="AF104">
            <v>143.19200000000001</v>
          </cell>
          <cell r="AG104">
            <v>51.006999999999998</v>
          </cell>
          <cell r="AH104">
            <v>31.154</v>
          </cell>
          <cell r="AI104">
            <v>102.20399999999999</v>
          </cell>
          <cell r="AJ104">
            <v>133.358</v>
          </cell>
          <cell r="AK104">
            <v>303.60000000000002</v>
          </cell>
          <cell r="AL104">
            <v>1518.1</v>
          </cell>
          <cell r="AM104">
            <v>0</v>
          </cell>
          <cell r="AN104">
            <v>10.985999999999999</v>
          </cell>
          <cell r="AO104">
            <v>0</v>
          </cell>
          <cell r="AR104">
            <v>256.42146035999997</v>
          </cell>
          <cell r="AS104">
            <v>150.73399999999998</v>
          </cell>
          <cell r="AT104">
            <v>39.524999999999999</v>
          </cell>
          <cell r="AU104">
            <v>1552.4</v>
          </cell>
          <cell r="AV104">
            <v>1742.6590000000001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27.006000000000004</v>
          </cell>
          <cell r="W105">
            <v>156.1768782149995</v>
          </cell>
          <cell r="X105">
            <v>144.71100000000001</v>
          </cell>
          <cell r="Y105">
            <v>8.9809999999999999</v>
          </cell>
          <cell r="Z105">
            <v>717.07899999999995</v>
          </cell>
          <cell r="AA105">
            <v>224.512</v>
          </cell>
          <cell r="AB105">
            <v>597.33799999999997</v>
          </cell>
          <cell r="AC105">
            <v>72.700999999999993</v>
          </cell>
          <cell r="AD105">
            <v>0</v>
          </cell>
          <cell r="AE105">
            <v>325.358</v>
          </cell>
          <cell r="AF105">
            <v>129.94999999999999</v>
          </cell>
          <cell r="AG105">
            <v>39.011000000000003</v>
          </cell>
          <cell r="AH105">
            <v>21.861000000000001</v>
          </cell>
          <cell r="AI105">
            <v>112.542</v>
          </cell>
          <cell r="AJ105">
            <v>134.40299999999999</v>
          </cell>
          <cell r="AK105">
            <v>258.39999999999998</v>
          </cell>
          <cell r="AL105">
            <v>1369.4</v>
          </cell>
          <cell r="AM105">
            <v>0</v>
          </cell>
          <cell r="AN105">
            <v>8.2260000000000009</v>
          </cell>
          <cell r="AO105">
            <v>0</v>
          </cell>
          <cell r="AP105">
            <v>68.897000000000006</v>
          </cell>
          <cell r="AQ105">
            <v>0</v>
          </cell>
          <cell r="AR105">
            <v>238.47122689000003</v>
          </cell>
          <cell r="AS105">
            <v>116.28100000000001</v>
          </cell>
          <cell r="AT105">
            <v>33.345999999999997</v>
          </cell>
          <cell r="AU105">
            <v>1431.9</v>
          </cell>
          <cell r="AV105">
            <v>1581.527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33.099999999999994</v>
          </cell>
          <cell r="V106">
            <v>269.70600000000002</v>
          </cell>
          <cell r="W106">
            <v>208.23583761999933</v>
          </cell>
          <cell r="X106">
            <v>181.56799999999998</v>
          </cell>
          <cell r="Y106">
            <v>48.348999999999997</v>
          </cell>
          <cell r="Z106">
            <v>879.18899999999996</v>
          </cell>
          <cell r="AA106">
            <v>303.03800000000001</v>
          </cell>
          <cell r="AB106">
            <v>1197.5029999999999</v>
          </cell>
          <cell r="AC106">
            <v>296.80700000000002</v>
          </cell>
          <cell r="AD106">
            <v>0</v>
          </cell>
          <cell r="AE106">
            <v>384.77600000000001</v>
          </cell>
          <cell r="AF106">
            <v>544.27799999999991</v>
          </cell>
          <cell r="AG106">
            <v>180.54499999999999</v>
          </cell>
          <cell r="AH106">
            <v>0</v>
          </cell>
          <cell r="AI106">
            <v>0</v>
          </cell>
          <cell r="AJ106">
            <v>172.601</v>
          </cell>
          <cell r="AK106">
            <v>0</v>
          </cell>
          <cell r="AL106">
            <v>2075.5</v>
          </cell>
          <cell r="AM106">
            <v>347.03</v>
          </cell>
          <cell r="AN106">
            <v>34.326999999999998</v>
          </cell>
          <cell r="AO106">
            <v>0</v>
          </cell>
          <cell r="AP106">
            <v>294.03899999999999</v>
          </cell>
          <cell r="AQ106">
            <v>28.146000000000001</v>
          </cell>
          <cell r="AR106">
            <v>322.185</v>
          </cell>
          <cell r="AS106">
            <v>158.08800000000002</v>
          </cell>
          <cell r="AT106">
            <v>46.335999999999999</v>
          </cell>
          <cell r="AU106">
            <v>1999.6</v>
          </cell>
          <cell r="AV106">
            <v>2204.0239999999999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Z107">
            <v>862.37400000000002</v>
          </cell>
          <cell r="AA107">
            <v>320.27100000000002</v>
          </cell>
        </row>
        <row r="108">
          <cell r="AB108">
            <v>683.23800000000188</v>
          </cell>
        </row>
        <row r="111"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11.292999999999999</v>
          </cell>
          <cell r="W111">
            <v>29.094999999999999</v>
          </cell>
          <cell r="X111">
            <v>33.395000000000003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8.11</v>
          </cell>
          <cell r="W112">
            <v>31.519609449231673</v>
          </cell>
          <cell r="X112">
            <v>30.375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11.116</v>
          </cell>
          <cell r="V113">
            <v>46.601999999999997</v>
          </cell>
          <cell r="W113">
            <v>42.0261459323089</v>
          </cell>
          <cell r="X113">
            <v>39.486000000000004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147.5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6">
          <cell r="AF116">
            <v>29.406999999999982</v>
          </cell>
        </row>
        <row r="117">
          <cell r="AF117">
            <v>155.04599999999994</v>
          </cell>
        </row>
        <row r="119"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-0.1359999999999999</v>
          </cell>
          <cell r="W119">
            <v>97.520999999999987</v>
          </cell>
          <cell r="X119">
            <v>87.960999999999999</v>
          </cell>
          <cell r="Y119">
            <v>14.523</v>
          </cell>
          <cell r="Z119">
            <v>264.28800000000001</v>
          </cell>
          <cell r="AA119">
            <v>179.416</v>
          </cell>
          <cell r="AB119">
            <v>354.30900000000003</v>
          </cell>
          <cell r="AC119">
            <v>23.326000000000001</v>
          </cell>
          <cell r="AD119">
            <v>0</v>
          </cell>
          <cell r="AE119">
            <v>25.34</v>
          </cell>
          <cell r="AF119">
            <v>35.198</v>
          </cell>
          <cell r="AG119">
            <v>21.308</v>
          </cell>
          <cell r="AH119">
            <v>36.216000000000001</v>
          </cell>
          <cell r="AI119">
            <v>28.707000000000001</v>
          </cell>
          <cell r="AJ119">
            <v>64.923000000000002</v>
          </cell>
          <cell r="AK119">
            <v>115</v>
          </cell>
          <cell r="AL119">
            <v>552.70000000000005</v>
          </cell>
          <cell r="AM119">
            <v>0</v>
          </cell>
          <cell r="AN119">
            <v>11.609</v>
          </cell>
          <cell r="AO119">
            <v>0</v>
          </cell>
          <cell r="AR119">
            <v>110.62633092</v>
          </cell>
          <cell r="AS119">
            <v>53.835000000000001</v>
          </cell>
          <cell r="AT119">
            <v>9.4570000000000007</v>
          </cell>
          <cell r="AU119">
            <v>1431.3</v>
          </cell>
          <cell r="AV119">
            <v>1494.5920000000001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-0.10600000000000165</v>
          </cell>
          <cell r="W120">
            <v>53.954883522820339</v>
          </cell>
          <cell r="X120">
            <v>76.080999999999989</v>
          </cell>
          <cell r="Y120">
            <v>12.225</v>
          </cell>
          <cell r="Z120">
            <v>217.44900000000001</v>
          </cell>
          <cell r="AA120">
            <v>144.625</v>
          </cell>
          <cell r="AB120">
            <v>294.02499999999998</v>
          </cell>
          <cell r="AC120">
            <v>20.574999999999999</v>
          </cell>
          <cell r="AD120">
            <v>0</v>
          </cell>
          <cell r="AE120">
            <v>34.225999999999999</v>
          </cell>
          <cell r="AF120">
            <v>29.407</v>
          </cell>
          <cell r="AG120">
            <v>21.936999999999998</v>
          </cell>
          <cell r="AH120">
            <v>19.831</v>
          </cell>
          <cell r="AI120">
            <v>26.346000000000004</v>
          </cell>
          <cell r="AJ120">
            <v>46.177000000000007</v>
          </cell>
          <cell r="AK120">
            <v>96.8</v>
          </cell>
          <cell r="AL120">
            <v>410.5</v>
          </cell>
          <cell r="AM120">
            <v>0</v>
          </cell>
          <cell r="AN120">
            <v>9.3010000000000002</v>
          </cell>
          <cell r="AO120">
            <v>0</v>
          </cell>
          <cell r="AP120">
            <v>24.198</v>
          </cell>
          <cell r="AQ120">
            <v>0</v>
          </cell>
          <cell r="AR120">
            <v>96.873057330000009</v>
          </cell>
          <cell r="AS120">
            <v>48.537999999999997</v>
          </cell>
          <cell r="AT120">
            <v>6.46</v>
          </cell>
          <cell r="AU120">
            <v>1203.8</v>
          </cell>
          <cell r="AV120">
            <v>1258.7979999999998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0.8819999999999979</v>
          </cell>
          <cell r="V121">
            <v>231.66800000000001</v>
          </cell>
          <cell r="W121">
            <v>71.93984469709379</v>
          </cell>
          <cell r="X121">
            <v>111.59</v>
          </cell>
          <cell r="Y121">
            <v>45.207000000000001</v>
          </cell>
          <cell r="Z121">
            <v>283.30200000000002</v>
          </cell>
          <cell r="AA121">
            <v>200.434</v>
          </cell>
          <cell r="AB121">
            <v>620.68299999999999</v>
          </cell>
          <cell r="AC121">
            <v>88.96</v>
          </cell>
          <cell r="AD121">
            <v>0</v>
          </cell>
          <cell r="AE121">
            <v>25.77</v>
          </cell>
          <cell r="AF121">
            <v>155.04599999999999</v>
          </cell>
          <cell r="AG121">
            <v>74.876999999999995</v>
          </cell>
          <cell r="AH121">
            <v>0</v>
          </cell>
          <cell r="AI121">
            <v>0</v>
          </cell>
          <cell r="AJ121">
            <v>56.185000000000002</v>
          </cell>
          <cell r="AK121">
            <v>209</v>
          </cell>
          <cell r="AL121">
            <v>576.79999999999995</v>
          </cell>
          <cell r="AM121">
            <v>219.375</v>
          </cell>
          <cell r="AN121">
            <v>-5.774</v>
          </cell>
          <cell r="AO121">
            <v>0</v>
          </cell>
          <cell r="AP121">
            <v>115.11499999999999</v>
          </cell>
          <cell r="AQ121">
            <v>10.509</v>
          </cell>
          <cell r="AR121">
            <v>122.532</v>
          </cell>
          <cell r="AS121">
            <v>68.950999999999993</v>
          </cell>
          <cell r="AT121">
            <v>9.202</v>
          </cell>
          <cell r="AU121">
            <v>1612</v>
          </cell>
          <cell r="AV121">
            <v>1690.153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Z122">
            <v>330.14100000000002</v>
          </cell>
          <cell r="AA122">
            <v>235.22499999999999</v>
          </cell>
        </row>
        <row r="123">
          <cell r="AA123" t="str">
            <v>EBIT margin</v>
          </cell>
          <cell r="AB123">
            <v>1.6921175472876377E-2</v>
          </cell>
        </row>
        <row r="126"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-0.76</v>
          </cell>
          <cell r="W126">
            <v>7.9530000000000003</v>
          </cell>
          <cell r="X126">
            <v>19.346</v>
          </cell>
          <cell r="Y126">
            <v>0</v>
          </cell>
          <cell r="Z126">
            <v>112.25200000000001</v>
          </cell>
          <cell r="AA126">
            <v>20.698333333333334</v>
          </cell>
          <cell r="AB126">
            <v>75.745000000000005</v>
          </cell>
          <cell r="AC126">
            <v>3.367</v>
          </cell>
          <cell r="AD126">
            <v>0</v>
          </cell>
          <cell r="AE126">
            <v>9.7590000000000003</v>
          </cell>
          <cell r="AF126">
            <v>4.8280000000000003</v>
          </cell>
          <cell r="AG126">
            <v>0</v>
          </cell>
          <cell r="AH126">
            <v>0</v>
          </cell>
          <cell r="AI126">
            <v>0.11</v>
          </cell>
          <cell r="AJ126">
            <v>7.6979999999999995</v>
          </cell>
          <cell r="AK126">
            <v>47.4</v>
          </cell>
          <cell r="AL126">
            <v>81.2</v>
          </cell>
          <cell r="AM126">
            <v>0</v>
          </cell>
          <cell r="AN126">
            <v>8.6999999999999994E-2</v>
          </cell>
          <cell r="AO126">
            <v>0</v>
          </cell>
          <cell r="AP126">
            <v>0</v>
          </cell>
          <cell r="AQ126">
            <v>0</v>
          </cell>
          <cell r="AR126">
            <v>8.3000000000000004E-2</v>
          </cell>
          <cell r="AS126">
            <v>5.7580000000000009</v>
          </cell>
          <cell r="AT126">
            <v>0</v>
          </cell>
          <cell r="AU126">
            <v>107</v>
          </cell>
          <cell r="AV126">
            <v>112.758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-0.91200000000000003</v>
          </cell>
          <cell r="W127">
            <v>10.056750000000001</v>
          </cell>
          <cell r="X127">
            <v>20.728999999999999</v>
          </cell>
          <cell r="Y127">
            <v>0</v>
          </cell>
          <cell r="Z127">
            <v>91.204999999999998</v>
          </cell>
          <cell r="AA127">
            <v>31.202999999999999</v>
          </cell>
          <cell r="AB127">
            <v>91.802999999999997</v>
          </cell>
          <cell r="AC127">
            <v>5.032</v>
          </cell>
          <cell r="AD127">
            <v>0</v>
          </cell>
          <cell r="AE127">
            <v>14.395</v>
          </cell>
          <cell r="AF127">
            <v>5.3680000000000003</v>
          </cell>
          <cell r="AG127">
            <v>0</v>
          </cell>
          <cell r="AH127">
            <v>0</v>
          </cell>
          <cell r="AI127">
            <v>5.109</v>
          </cell>
          <cell r="AJ127">
            <v>7.6979999999999995</v>
          </cell>
          <cell r="AK127">
            <v>52.5</v>
          </cell>
          <cell r="AL127">
            <v>84.4</v>
          </cell>
          <cell r="AM127">
            <v>0</v>
          </cell>
          <cell r="AN127">
            <v>4.8000000000000001E-2</v>
          </cell>
          <cell r="AO127">
            <v>0</v>
          </cell>
          <cell r="AP127">
            <v>0</v>
          </cell>
          <cell r="AQ127">
            <v>0</v>
          </cell>
          <cell r="AR127">
            <v>9.8000000000000004E-2</v>
          </cell>
          <cell r="AS127">
            <v>8.14</v>
          </cell>
          <cell r="AT127">
            <v>0</v>
          </cell>
          <cell r="AU127">
            <v>116.9</v>
          </cell>
          <cell r="AV127">
            <v>125.04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-1.3460000000000001</v>
          </cell>
          <cell r="V128">
            <v>1.258</v>
          </cell>
          <cell r="W128">
            <v>13.409000000000002</v>
          </cell>
          <cell r="X128">
            <v>26.922000000000001</v>
          </cell>
          <cell r="Y128">
            <v>0</v>
          </cell>
          <cell r="Z128">
            <v>159.06666666666669</v>
          </cell>
          <cell r="AA128">
            <v>41.856999999999999</v>
          </cell>
          <cell r="AB128">
            <v>200.92366666666669</v>
          </cell>
          <cell r="AC128">
            <v>17.692999999999998</v>
          </cell>
          <cell r="AD128">
            <v>0</v>
          </cell>
          <cell r="AE128">
            <v>19.670000000000002</v>
          </cell>
          <cell r="AF128">
            <v>17.324000000000002</v>
          </cell>
          <cell r="AG128">
            <v>13.374000000000001</v>
          </cell>
          <cell r="AH128">
            <v>0</v>
          </cell>
          <cell r="AI128">
            <v>0</v>
          </cell>
          <cell r="AJ128">
            <v>8.6509999999999998</v>
          </cell>
          <cell r="AK128">
            <v>100.8</v>
          </cell>
          <cell r="AL128">
            <v>111.6</v>
          </cell>
          <cell r="AM128">
            <v>16.542000000000002</v>
          </cell>
          <cell r="AN128">
            <v>0</v>
          </cell>
          <cell r="AO128">
            <v>0</v>
          </cell>
          <cell r="AP128">
            <v>7.0810000000000004</v>
          </cell>
          <cell r="AQ128">
            <v>0.13100000000000001</v>
          </cell>
          <cell r="AR128">
            <v>4.6910000000000007</v>
          </cell>
          <cell r="AS128">
            <v>15.755999999999998</v>
          </cell>
          <cell r="AT128">
            <v>0</v>
          </cell>
          <cell r="AU128">
            <v>154.9</v>
          </cell>
          <cell r="AV128">
            <v>170.65600000000001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33"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W133">
            <v>16.024000000000001</v>
          </cell>
          <cell r="X133">
            <v>2.1579999999999999</v>
          </cell>
          <cell r="Y133">
            <v>0.86699999999999999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0.32600000000000001</v>
          </cell>
          <cell r="AF133">
            <v>2.4390000000000001</v>
          </cell>
          <cell r="AG133">
            <v>0</v>
          </cell>
          <cell r="AH133">
            <v>0.83799999999999997</v>
          </cell>
          <cell r="AI133">
            <v>0</v>
          </cell>
          <cell r="AJ133">
            <v>0.83799999999999997</v>
          </cell>
          <cell r="AL133">
            <v>0</v>
          </cell>
          <cell r="AM133">
            <v>0</v>
          </cell>
          <cell r="AN133">
            <v>0.112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2.2650000000000001</v>
          </cell>
          <cell r="AT133">
            <v>0.22300000000000003</v>
          </cell>
          <cell r="AU133">
            <v>0</v>
          </cell>
          <cell r="AV133">
            <v>2.488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W134">
            <v>11.177</v>
          </cell>
          <cell r="X134">
            <v>2.5390000000000001</v>
          </cell>
          <cell r="Y134">
            <v>1.873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1.8080000000000001</v>
          </cell>
          <cell r="AF134">
            <v>1.2410000000000001</v>
          </cell>
          <cell r="AG134">
            <v>0</v>
          </cell>
          <cell r="AH134">
            <v>2.1259999999999999</v>
          </cell>
          <cell r="AI134">
            <v>0</v>
          </cell>
          <cell r="AJ134">
            <v>2.1259999999999999</v>
          </cell>
          <cell r="AL134">
            <v>0</v>
          </cell>
          <cell r="AM134">
            <v>0</v>
          </cell>
          <cell r="AN134">
            <v>0.05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2.298</v>
          </cell>
          <cell r="AT134">
            <v>1.3530000000000002</v>
          </cell>
          <cell r="AU134">
            <v>0</v>
          </cell>
          <cell r="AV134">
            <v>3.6510000000000002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6.2229999999999999</v>
          </cell>
          <cell r="W135">
            <v>14.902666666666667</v>
          </cell>
          <cell r="X135">
            <v>3.4860000000000002</v>
          </cell>
          <cell r="Y135">
            <v>5.9720000000000004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2.706</v>
          </cell>
          <cell r="AF135">
            <v>10.077999999999999</v>
          </cell>
          <cell r="AG135">
            <v>2.2650000000000001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0.56799999999999995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2.298</v>
          </cell>
          <cell r="AT135">
            <v>1.542</v>
          </cell>
          <cell r="AU135">
            <v>0</v>
          </cell>
          <cell r="AV135">
            <v>3.84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41"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W141">
            <v>0.98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0.56899999999999995</v>
          </cell>
          <cell r="AG141">
            <v>0</v>
          </cell>
          <cell r="AH141">
            <v>0.5796</v>
          </cell>
          <cell r="AI141">
            <v>0</v>
          </cell>
          <cell r="AJ141">
            <v>0.5796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W142">
            <v>0.06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0.53100000000000003</v>
          </cell>
          <cell r="AG142">
            <v>0</v>
          </cell>
          <cell r="AH142">
            <v>0.28559999999999997</v>
          </cell>
          <cell r="AI142">
            <v>0</v>
          </cell>
          <cell r="AJ142">
            <v>0.28559999999999997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1.462</v>
          </cell>
          <cell r="AG143">
            <v>0</v>
          </cell>
          <cell r="AH143">
            <v>0</v>
          </cell>
          <cell r="AI143">
            <v>0</v>
          </cell>
          <cell r="AJ143">
            <v>0.41519999999999996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9"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-0.82199999999999995</v>
          </cell>
          <cell r="W149">
            <v>72.207999999999998</v>
          </cell>
          <cell r="X149">
            <v>54.305199999999999</v>
          </cell>
          <cell r="Y149">
            <v>9.6189999999999998</v>
          </cell>
          <cell r="Z149">
            <v>0</v>
          </cell>
          <cell r="AA149">
            <v>0</v>
          </cell>
          <cell r="AB149">
            <v>167.09980000000002</v>
          </cell>
          <cell r="AC149">
            <v>11.884399999999999</v>
          </cell>
          <cell r="AD149">
            <v>0</v>
          </cell>
          <cell r="AE149">
            <v>11.396800000000001</v>
          </cell>
          <cell r="AF149">
            <v>19.73</v>
          </cell>
          <cell r="AG149">
            <v>10.909000000000001</v>
          </cell>
          <cell r="AH149">
            <v>22.082000000000001</v>
          </cell>
          <cell r="AI149">
            <v>17.373000000000001</v>
          </cell>
          <cell r="AJ149">
            <v>39.454999999999998</v>
          </cell>
          <cell r="AK149">
            <v>46</v>
          </cell>
          <cell r="AL149">
            <v>301.89999999999998</v>
          </cell>
          <cell r="AM149">
            <v>0</v>
          </cell>
          <cell r="AN149">
            <v>0.85399999999999998</v>
          </cell>
          <cell r="AO149">
            <v>0</v>
          </cell>
          <cell r="AP149">
            <v>0</v>
          </cell>
          <cell r="AQ149">
            <v>0</v>
          </cell>
          <cell r="AS149">
            <v>27.588999999999999</v>
          </cell>
          <cell r="AT149">
            <v>5.6859999999999999</v>
          </cell>
          <cell r="AU149">
            <v>872.6</v>
          </cell>
          <cell r="AV149">
            <v>905.875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-9.4015999999999984</v>
          </cell>
          <cell r="W150">
            <v>15.532500000000001</v>
          </cell>
          <cell r="X150">
            <v>45.239400000000003</v>
          </cell>
          <cell r="Y150">
            <v>8.8580000000000005</v>
          </cell>
          <cell r="Z150">
            <v>0</v>
          </cell>
          <cell r="AA150">
            <v>0</v>
          </cell>
          <cell r="AB150">
            <v>115.86057699999999</v>
          </cell>
          <cell r="AC150">
            <v>10.110399999999998</v>
          </cell>
          <cell r="AD150">
            <v>0</v>
          </cell>
          <cell r="AE150">
            <v>5.8875999999999991</v>
          </cell>
          <cell r="AF150">
            <v>15.956</v>
          </cell>
          <cell r="AG150">
            <v>11.125</v>
          </cell>
          <cell r="AH150">
            <v>13.395</v>
          </cell>
          <cell r="AI150">
            <v>12.120750000000001</v>
          </cell>
          <cell r="AJ150">
            <v>25.515750000000001</v>
          </cell>
          <cell r="AK150">
            <v>28.086200000000002</v>
          </cell>
          <cell r="AL150">
            <v>198.9</v>
          </cell>
          <cell r="AM150">
            <v>0</v>
          </cell>
          <cell r="AN150">
            <v>-0.53300000000000003</v>
          </cell>
          <cell r="AO150">
            <v>0</v>
          </cell>
          <cell r="AP150">
            <v>9.6159999999999997</v>
          </cell>
          <cell r="AQ150">
            <v>2.5602499999999999</v>
          </cell>
          <cell r="AS150">
            <v>24.225000000000001</v>
          </cell>
          <cell r="AT150">
            <v>4.8570000000000002</v>
          </cell>
          <cell r="AU150">
            <v>518.79999999999995</v>
          </cell>
          <cell r="AV150">
            <v>547.88199999999995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-8.9296000000000042</v>
          </cell>
          <cell r="V151">
            <v>177.45399930934306</v>
          </cell>
          <cell r="W151">
            <v>20.71</v>
          </cell>
          <cell r="X151">
            <v>84.511600000000001</v>
          </cell>
          <cell r="Y151">
            <v>31.986000000000001</v>
          </cell>
          <cell r="Z151">
            <v>80.3</v>
          </cell>
          <cell r="AA151">
            <v>98.340199999999996</v>
          </cell>
          <cell r="AB151">
            <v>251.047</v>
          </cell>
          <cell r="AC151">
            <v>34.117000000000004</v>
          </cell>
          <cell r="AD151">
            <v>0</v>
          </cell>
          <cell r="AE151">
            <v>5.2836000000000007</v>
          </cell>
          <cell r="AF151">
            <v>94.669000000000011</v>
          </cell>
          <cell r="AG151">
            <v>37.869</v>
          </cell>
          <cell r="AH151">
            <v>0</v>
          </cell>
          <cell r="AI151">
            <v>0</v>
          </cell>
          <cell r="AJ151">
            <v>28.309000000000001</v>
          </cell>
          <cell r="AK151">
            <v>69.412600000000012</v>
          </cell>
          <cell r="AL151">
            <v>289.2</v>
          </cell>
          <cell r="AM151">
            <v>141.5</v>
          </cell>
          <cell r="AN151">
            <v>-4.4580000000000002</v>
          </cell>
          <cell r="AO151">
            <v>0</v>
          </cell>
          <cell r="AP151">
            <v>76.474999999999994</v>
          </cell>
          <cell r="AQ151">
            <v>10.241</v>
          </cell>
          <cell r="AR151">
            <v>79.626999999999995</v>
          </cell>
          <cell r="AS151">
            <v>34.289000000000001</v>
          </cell>
          <cell r="AT151">
            <v>6.4554</v>
          </cell>
          <cell r="AU151">
            <v>942.7</v>
          </cell>
          <cell r="AV151">
            <v>983.44439999999997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Z152">
            <v>80.3</v>
          </cell>
          <cell r="AA152">
            <v>98.340199999999996</v>
          </cell>
        </row>
        <row r="157">
          <cell r="AU157" t="str">
            <v>CAH stand alone</v>
          </cell>
          <cell r="AV157" t="str">
            <v>Pro forma</v>
          </cell>
        </row>
        <row r="158"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-5.1920161697827177E-2</v>
          </cell>
          <cell r="W158">
            <v>1.3420563526875324</v>
          </cell>
          <cell r="X158">
            <v>1.1336729155358858</v>
          </cell>
          <cell r="Y158">
            <v>0.21561950471758168</v>
          </cell>
          <cell r="Z158">
            <v>0</v>
          </cell>
          <cell r="AA158">
            <v>0</v>
          </cell>
          <cell r="AB158">
            <v>1.4994194341501936</v>
          </cell>
          <cell r="AC158">
            <v>0.29162740478994892</v>
          </cell>
          <cell r="AD158">
            <v>0</v>
          </cell>
          <cell r="AE158">
            <v>0.15865688471872261</v>
          </cell>
          <cell r="AF158">
            <v>0.44770700492409626</v>
          </cell>
          <cell r="AG158">
            <v>0.40808768517133026</v>
          </cell>
          <cell r="AH158">
            <v>0</v>
          </cell>
          <cell r="AI158">
            <v>0</v>
          </cell>
          <cell r="AJ158">
            <v>1.2316604187202145</v>
          </cell>
          <cell r="AK158">
            <v>0.7962543177892919</v>
          </cell>
          <cell r="AL158">
            <v>1.0096989966555185</v>
          </cell>
          <cell r="AM158">
            <v>0</v>
          </cell>
          <cell r="AN158">
            <v>7.0000000000000007E-2</v>
          </cell>
          <cell r="AO158">
            <v>0</v>
          </cell>
          <cell r="AS158">
            <v>0</v>
          </cell>
          <cell r="AT158">
            <v>0</v>
          </cell>
          <cell r="AU158">
            <v>1.8977816441931274</v>
          </cell>
          <cell r="AV158">
            <v>1.9049200553432737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-0.64575863726904315</v>
          </cell>
          <cell r="W159">
            <v>0.28868671474239832</v>
          </cell>
          <cell r="X159">
            <v>0.9604764230058811</v>
          </cell>
          <cell r="Y159">
            <v>0.19861669236299087</v>
          </cell>
          <cell r="Z159">
            <v>0</v>
          </cell>
          <cell r="AA159">
            <v>0</v>
          </cell>
          <cell r="AB159">
            <v>1.1103661353240726</v>
          </cell>
          <cell r="AC159">
            <v>0.25331095131911907</v>
          </cell>
          <cell r="AD159">
            <v>0</v>
          </cell>
          <cell r="AE159">
            <v>8.2608634648033544E-2</v>
          </cell>
          <cell r="AF159">
            <v>0.36981411950122839</v>
          </cell>
          <cell r="AG159">
            <v>0.41050145751079298</v>
          </cell>
          <cell r="AH159">
            <v>0</v>
          </cell>
          <cell r="AI159">
            <v>0</v>
          </cell>
          <cell r="AJ159">
            <v>0.82418229323443903</v>
          </cell>
          <cell r="AK159">
            <v>0.58024625332826174</v>
          </cell>
          <cell r="AL159">
            <v>0.6804652754019842</v>
          </cell>
          <cell r="AM159">
            <v>0</v>
          </cell>
          <cell r="AN159">
            <v>-0.04</v>
          </cell>
          <cell r="AO159">
            <v>0</v>
          </cell>
          <cell r="AP159">
            <v>0.14214968882581636</v>
          </cell>
          <cell r="AQ159">
            <v>0</v>
          </cell>
          <cell r="AS159">
            <v>0</v>
          </cell>
          <cell r="AT159">
            <v>0</v>
          </cell>
          <cell r="AU159">
            <v>1.1429830359109936</v>
          </cell>
          <cell r="AV159">
            <v>1.1665877997386225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-0.60457684495599218</v>
          </cell>
          <cell r="V160">
            <v>1.2918271786108628</v>
          </cell>
          <cell r="W160">
            <v>0.38491561965653109</v>
          </cell>
          <cell r="X160">
            <v>1.7966283296838792</v>
          </cell>
          <cell r="Y160">
            <v>0.71788978378603308</v>
          </cell>
          <cell r="Z160">
            <v>0.78890634591155917</v>
          </cell>
          <cell r="AA160">
            <v>0.96614206523302504</v>
          </cell>
          <cell r="AB160">
            <v>2.37</v>
          </cell>
          <cell r="AC160">
            <v>0.84475202416619222</v>
          </cell>
          <cell r="AD160">
            <v>0</v>
          </cell>
          <cell r="AE160">
            <v>7.409443408265437E-2</v>
          </cell>
          <cell r="AF160">
            <v>2.1740498335055691</v>
          </cell>
          <cell r="AG160">
            <v>1.4010507232971994</v>
          </cell>
          <cell r="AH160">
            <v>0</v>
          </cell>
          <cell r="AI160">
            <v>0</v>
          </cell>
          <cell r="AJ160">
            <v>0.90773236693242798</v>
          </cell>
          <cell r="AK160">
            <v>1.3104134415707005</v>
          </cell>
          <cell r="AL160">
            <v>0.98736770228747017</v>
          </cell>
          <cell r="AM160">
            <v>2.0301291248206601</v>
          </cell>
          <cell r="AN160">
            <v>-0.36523021464853356</v>
          </cell>
          <cell r="AO160">
            <v>0</v>
          </cell>
          <cell r="AP160">
            <v>1.1322249200521142</v>
          </cell>
          <cell r="AQ160">
            <v>0</v>
          </cell>
          <cell r="AR160">
            <v>1.1690426203514748</v>
          </cell>
          <cell r="AS160">
            <v>0</v>
          </cell>
          <cell r="AT160">
            <v>0</v>
          </cell>
          <cell r="AU160">
            <v>2.0695938529088913</v>
          </cell>
          <cell r="AV160">
            <v>2.0869072935790371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3">
          <cell r="AK163">
            <v>1000</v>
          </cell>
        </row>
        <row r="166"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5.0110000000000001</v>
          </cell>
          <cell r="W166">
            <v>15.741</v>
          </cell>
          <cell r="X166">
            <v>23.265000000000001</v>
          </cell>
          <cell r="Y166">
            <v>0.64600000000000002</v>
          </cell>
          <cell r="Z166">
            <v>0</v>
          </cell>
          <cell r="AA166">
            <v>0</v>
          </cell>
          <cell r="AB166">
            <v>32.15</v>
          </cell>
          <cell r="AC166">
            <v>3.9809999999999999</v>
          </cell>
          <cell r="AD166">
            <v>0</v>
          </cell>
          <cell r="AE166">
            <v>13.801</v>
          </cell>
          <cell r="AF166">
            <v>5.798</v>
          </cell>
          <cell r="AG166">
            <v>10.14</v>
          </cell>
          <cell r="AH166">
            <v>2.3690000000000002</v>
          </cell>
          <cell r="AI166">
            <v>5.5410000000000004</v>
          </cell>
          <cell r="AJ166">
            <v>7.91</v>
          </cell>
          <cell r="AK166">
            <v>37.6</v>
          </cell>
          <cell r="AL166">
            <v>153.5</v>
          </cell>
          <cell r="AM166">
            <v>0</v>
          </cell>
          <cell r="AN166">
            <v>0.73099999999999998</v>
          </cell>
          <cell r="AO166">
            <v>0</v>
          </cell>
          <cell r="AS166">
            <v>32.001000000000005</v>
          </cell>
          <cell r="AT166">
            <v>4.2259999999999991</v>
          </cell>
          <cell r="AU166">
            <v>181.5</v>
          </cell>
          <cell r="AV166">
            <v>217.727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4.0979999999999999</v>
          </cell>
          <cell r="W167">
            <v>18.335250000000002</v>
          </cell>
          <cell r="X167">
            <v>22.844000000000001</v>
          </cell>
          <cell r="Y167">
            <v>0.40400000000000003</v>
          </cell>
          <cell r="Z167">
            <v>0</v>
          </cell>
          <cell r="AA167">
            <v>0</v>
          </cell>
          <cell r="AB167">
            <v>30.920999999999999</v>
          </cell>
          <cell r="AC167">
            <v>4.2720000000000002</v>
          </cell>
          <cell r="AD167">
            <v>0</v>
          </cell>
          <cell r="AE167">
            <v>17.189</v>
          </cell>
          <cell r="AF167">
            <v>7.6419999999999995</v>
          </cell>
          <cell r="AG167">
            <v>7.7410000000000005</v>
          </cell>
          <cell r="AH167">
            <v>1.986</v>
          </cell>
          <cell r="AI167">
            <v>7.2164999999999999</v>
          </cell>
          <cell r="AJ167">
            <v>9.2025000000000006</v>
          </cell>
          <cell r="AK167">
            <v>39</v>
          </cell>
          <cell r="AL167">
            <v>177.8</v>
          </cell>
          <cell r="AM167">
            <v>0</v>
          </cell>
          <cell r="AN167">
            <v>0.7</v>
          </cell>
          <cell r="AO167">
            <v>0</v>
          </cell>
          <cell r="AP167">
            <v>2.7509999999999999</v>
          </cell>
          <cell r="AQ167">
            <v>0.1998675</v>
          </cell>
          <cell r="AS167">
            <v>22.279</v>
          </cell>
          <cell r="AT167">
            <v>3.6370000000000005</v>
          </cell>
          <cell r="AU167">
            <v>175.2</v>
          </cell>
          <cell r="AV167">
            <v>201.11599999999999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5.4969999999999999</v>
          </cell>
          <cell r="V168">
            <v>30.077000000000002</v>
          </cell>
          <cell r="W168">
            <v>24.447000000000003</v>
          </cell>
          <cell r="X168">
            <v>32.134</v>
          </cell>
          <cell r="Y168">
            <v>3.4</v>
          </cell>
          <cell r="Z168">
            <v>82.698000000000008</v>
          </cell>
          <cell r="AA168">
            <v>17.420000000000002</v>
          </cell>
          <cell r="AB168">
            <v>62.555</v>
          </cell>
          <cell r="AC168">
            <v>22.469000000000001</v>
          </cell>
          <cell r="AD168">
            <v>0</v>
          </cell>
          <cell r="AE168">
            <v>24.97</v>
          </cell>
          <cell r="AF168">
            <v>28.346000000000004</v>
          </cell>
          <cell r="AG168">
            <v>39.561</v>
          </cell>
          <cell r="AH168">
            <v>0</v>
          </cell>
          <cell r="AI168">
            <v>0</v>
          </cell>
          <cell r="AJ168">
            <v>16.257000000000001</v>
          </cell>
          <cell r="AK168">
            <v>82</v>
          </cell>
          <cell r="AL168">
            <v>246.1</v>
          </cell>
          <cell r="AM168">
            <v>71.373000000000005</v>
          </cell>
          <cell r="AN168">
            <v>4.056</v>
          </cell>
          <cell r="AO168">
            <v>0</v>
          </cell>
          <cell r="AP168">
            <v>10.19</v>
          </cell>
          <cell r="AQ168">
            <v>0.79947000000000001</v>
          </cell>
          <cell r="AR168">
            <v>10.989469999999999</v>
          </cell>
          <cell r="AS168">
            <v>32.238</v>
          </cell>
          <cell r="AT168">
            <v>5.5010000000000003</v>
          </cell>
          <cell r="AU168">
            <v>280.60000000000002</v>
          </cell>
          <cell r="AV168">
            <v>318.339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74"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18.178999999999998</v>
          </cell>
          <cell r="W174">
            <v>25.146999999999998</v>
          </cell>
          <cell r="X174">
            <v>49.847000000000001</v>
          </cell>
          <cell r="Y174">
            <v>1.849</v>
          </cell>
          <cell r="Z174">
            <v>0</v>
          </cell>
          <cell r="AA174">
            <v>0</v>
          </cell>
          <cell r="AB174">
            <v>20.998999999999999</v>
          </cell>
          <cell r="AC174">
            <v>1.3320000000000001</v>
          </cell>
          <cell r="AD174">
            <v>0</v>
          </cell>
          <cell r="AE174">
            <v>16.545999999999999</v>
          </cell>
          <cell r="AF174">
            <v>17.59</v>
          </cell>
          <cell r="AG174">
            <v>8.9949999999999992</v>
          </cell>
          <cell r="AH174">
            <v>4.4660000000000002</v>
          </cell>
          <cell r="AI174">
            <v>2.999333333333333</v>
          </cell>
          <cell r="AJ174">
            <v>7.4653333333333336</v>
          </cell>
          <cell r="AK174">
            <v>15.9</v>
          </cell>
          <cell r="AL174">
            <v>74.8</v>
          </cell>
          <cell r="AM174">
            <v>0</v>
          </cell>
          <cell r="AN174">
            <v>0.46</v>
          </cell>
          <cell r="AO174">
            <v>0</v>
          </cell>
          <cell r="AS174">
            <v>46.41</v>
          </cell>
          <cell r="AT174">
            <v>2.23</v>
          </cell>
          <cell r="AU174">
            <v>186.1</v>
          </cell>
          <cell r="AV174">
            <v>234.74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10.798</v>
          </cell>
          <cell r="W175">
            <v>26.192250000000001</v>
          </cell>
          <cell r="X175">
            <v>17.690000000000001</v>
          </cell>
          <cell r="Y175">
            <v>0.121</v>
          </cell>
          <cell r="Z175">
            <v>0</v>
          </cell>
          <cell r="AA175">
            <v>0</v>
          </cell>
          <cell r="AB175">
            <v>26.433</v>
          </cell>
          <cell r="AC175">
            <v>5.0129999999999999</v>
          </cell>
          <cell r="AD175">
            <v>0</v>
          </cell>
          <cell r="AE175">
            <v>16.494</v>
          </cell>
          <cell r="AF175">
            <v>6.157</v>
          </cell>
          <cell r="AG175">
            <v>10.218999999999999</v>
          </cell>
          <cell r="AH175">
            <v>1.419</v>
          </cell>
          <cell r="AI175">
            <v>2.8485</v>
          </cell>
          <cell r="AJ175">
            <v>4.2675000000000001</v>
          </cell>
          <cell r="AK175">
            <v>14</v>
          </cell>
          <cell r="AL175">
            <v>96</v>
          </cell>
          <cell r="AM175">
            <v>0</v>
          </cell>
          <cell r="AN175">
            <v>0.56599999999999995</v>
          </cell>
          <cell r="AO175">
            <v>0</v>
          </cell>
          <cell r="AP175">
            <v>2.3980000000000001</v>
          </cell>
          <cell r="AQ175">
            <v>0.12210275</v>
          </cell>
          <cell r="AS175">
            <v>28.722999999999999</v>
          </cell>
          <cell r="AT175">
            <v>4.9450000000000003</v>
          </cell>
          <cell r="AU175">
            <v>234.8</v>
          </cell>
          <cell r="AV175">
            <v>268.46800000000002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15.15</v>
          </cell>
          <cell r="V176">
            <v>37.673000000000002</v>
          </cell>
          <cell r="W176">
            <v>34.923000000000002</v>
          </cell>
          <cell r="X176">
            <v>40.412000000000006</v>
          </cell>
          <cell r="Y176">
            <v>7.4459999999999997</v>
          </cell>
          <cell r="Z176">
            <v>69.308999999999997</v>
          </cell>
          <cell r="AA176">
            <v>16.619</v>
          </cell>
          <cell r="AB176">
            <v>55.454999999999998</v>
          </cell>
          <cell r="AC176">
            <v>10.147</v>
          </cell>
          <cell r="AD176">
            <v>0</v>
          </cell>
          <cell r="AE176">
            <v>22.856999999999999</v>
          </cell>
          <cell r="AF176">
            <v>46.127000000000002</v>
          </cell>
          <cell r="AG176">
            <v>64.891999999999996</v>
          </cell>
          <cell r="AH176">
            <v>2.6349999999999998</v>
          </cell>
          <cell r="AI176">
            <v>3.798</v>
          </cell>
          <cell r="AJ176">
            <v>6.4329999999999998</v>
          </cell>
          <cell r="AK176">
            <v>40.1</v>
          </cell>
          <cell r="AL176">
            <v>158.9</v>
          </cell>
          <cell r="AM176">
            <v>109.76300000000001</v>
          </cell>
          <cell r="AN176">
            <v>2.85</v>
          </cell>
          <cell r="AO176">
            <v>0</v>
          </cell>
          <cell r="AP176">
            <v>15.372999999999999</v>
          </cell>
          <cell r="AQ176">
            <v>0.48841099999999998</v>
          </cell>
          <cell r="AR176">
            <v>15.861410999999999</v>
          </cell>
          <cell r="AS176">
            <v>45.980999999999995</v>
          </cell>
          <cell r="AT176">
            <v>6.8949999999999996</v>
          </cell>
          <cell r="AU176">
            <v>341.2</v>
          </cell>
          <cell r="AV176">
            <v>394.07599999999996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80"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4"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90"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Z193" t="str">
            <v>B</v>
          </cell>
        </row>
        <row r="196"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204"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Y207">
            <v>0</v>
          </cell>
          <cell r="Z207">
            <v>0</v>
          </cell>
        </row>
        <row r="212"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254.59899999999999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22.143000000000001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2.4900000000000002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14.489000000000001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0.42934186742525265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</row>
        <row r="221"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9">
          <cell r="H229" t="str">
            <v>Spare</v>
          </cell>
          <cell r="I229" t="str">
            <v>Spare</v>
          </cell>
          <cell r="J229" t="str">
            <v>Spare</v>
          </cell>
          <cell r="K229" t="str">
            <v>Spare</v>
          </cell>
          <cell r="L229" t="str">
            <v>Spare</v>
          </cell>
          <cell r="M229" t="str">
            <v>Spare</v>
          </cell>
          <cell r="N229" t="str">
            <v>Spare</v>
          </cell>
          <cell r="O229" t="str">
            <v>Spare</v>
          </cell>
          <cell r="P229" t="str">
            <v>Spare</v>
          </cell>
          <cell r="Q229" t="str">
            <v>Spare</v>
          </cell>
          <cell r="R229" t="str">
            <v>Spare</v>
          </cell>
          <cell r="S229" t="str">
            <v>Spare</v>
          </cell>
          <cell r="T229" t="str">
            <v>Spare</v>
          </cell>
          <cell r="U229" t="str">
            <v>Spare</v>
          </cell>
          <cell r="V229" t="str">
            <v>Spare</v>
          </cell>
          <cell r="W229" t="str">
            <v>Spare</v>
          </cell>
          <cell r="X229" t="str">
            <v>Spare</v>
          </cell>
          <cell r="Y229" t="str">
            <v>Spare</v>
          </cell>
          <cell r="Z229" t="str">
            <v>Spare</v>
          </cell>
          <cell r="AA229" t="str">
            <v>Spare</v>
          </cell>
          <cell r="AB229" t="str">
            <v>Spare</v>
          </cell>
          <cell r="AC229" t="str">
            <v>Spare</v>
          </cell>
          <cell r="AD229" t="str">
            <v>Spare</v>
          </cell>
          <cell r="AE229" t="str">
            <v>Spare</v>
          </cell>
          <cell r="AF229" t="str">
            <v>Spare</v>
          </cell>
          <cell r="AG229" t="str">
            <v>Spare</v>
          </cell>
          <cell r="AH229">
            <v>0.13140653897996923</v>
          </cell>
          <cell r="AI229" t="str">
            <v>Spare</v>
          </cell>
          <cell r="AJ229" t="str">
            <v>Spare</v>
          </cell>
          <cell r="AK229" t="str">
            <v>Spare</v>
          </cell>
          <cell r="AL229" t="str">
            <v>Spare</v>
          </cell>
          <cell r="AM229" t="str">
            <v>Spare</v>
          </cell>
          <cell r="AN229" t="str">
            <v>Spare</v>
          </cell>
          <cell r="AO229" t="str">
            <v>Spare</v>
          </cell>
          <cell r="AP229" t="str">
            <v>Spare</v>
          </cell>
          <cell r="AQ229" t="str">
            <v>Spare</v>
          </cell>
          <cell r="AR229" t="str">
            <v>Spare</v>
          </cell>
          <cell r="AS229" t="str">
            <v>Spare</v>
          </cell>
          <cell r="AT229" t="str">
            <v>Spare</v>
          </cell>
          <cell r="AU229" t="str">
            <v>Spare</v>
          </cell>
          <cell r="AV229" t="str">
            <v>Spare</v>
          </cell>
          <cell r="AW229" t="str">
            <v>Spare</v>
          </cell>
          <cell r="AX229" t="str">
            <v>Spare</v>
          </cell>
          <cell r="AY229" t="str">
            <v>Spare</v>
          </cell>
          <cell r="AZ229" t="str">
            <v>Spare</v>
          </cell>
          <cell r="BA229" t="str">
            <v>Spare</v>
          </cell>
          <cell r="BB229" t="str">
            <v>Spare</v>
          </cell>
          <cell r="BC229" t="str">
            <v>Spare</v>
          </cell>
          <cell r="BD229" t="str">
            <v>Spare</v>
          </cell>
          <cell r="BE229" t="str">
            <v>Spare</v>
          </cell>
        </row>
        <row r="230">
          <cell r="H230" t="str">
            <v>Spare</v>
          </cell>
          <cell r="I230" t="str">
            <v>Spare</v>
          </cell>
          <cell r="J230" t="str">
            <v>Spare</v>
          </cell>
          <cell r="K230" t="str">
            <v>Spare</v>
          </cell>
          <cell r="L230" t="str">
            <v>Spare</v>
          </cell>
          <cell r="M230" t="str">
            <v>Spare</v>
          </cell>
          <cell r="N230" t="str">
            <v>Spare</v>
          </cell>
          <cell r="O230" t="str">
            <v>Spare</v>
          </cell>
          <cell r="P230" t="str">
            <v>Spare</v>
          </cell>
          <cell r="Q230" t="str">
            <v>Spare</v>
          </cell>
          <cell r="R230" t="str">
            <v>Spare</v>
          </cell>
          <cell r="S230" t="str">
            <v>Spare</v>
          </cell>
          <cell r="T230" t="str">
            <v>Spare</v>
          </cell>
          <cell r="U230" t="str">
            <v>Spare</v>
          </cell>
          <cell r="V230" t="str">
            <v>Spare</v>
          </cell>
          <cell r="W230" t="str">
            <v>Spare</v>
          </cell>
          <cell r="X230" t="str">
            <v>Spare</v>
          </cell>
          <cell r="Y230" t="str">
            <v>Spare</v>
          </cell>
          <cell r="Z230" t="str">
            <v>Spare</v>
          </cell>
          <cell r="AA230" t="str">
            <v>Spare</v>
          </cell>
          <cell r="AB230" t="str">
            <v>Spare</v>
          </cell>
          <cell r="AC230" t="str">
            <v>Spare</v>
          </cell>
          <cell r="AD230" t="str">
            <v>Spare</v>
          </cell>
          <cell r="AE230" t="str">
            <v>Spare</v>
          </cell>
          <cell r="AF230" t="str">
            <v>Spare</v>
          </cell>
          <cell r="AG230" t="str">
            <v>Spare</v>
          </cell>
          <cell r="AH230" t="str">
            <v>Spare</v>
          </cell>
          <cell r="AI230" t="str">
            <v>Spare</v>
          </cell>
          <cell r="AJ230" t="str">
            <v>Spare</v>
          </cell>
          <cell r="AK230" t="str">
            <v>Spare</v>
          </cell>
          <cell r="AL230" t="str">
            <v>Spare</v>
          </cell>
          <cell r="AM230" t="str">
            <v>Spare</v>
          </cell>
          <cell r="AN230" t="str">
            <v>Spare</v>
          </cell>
          <cell r="AO230" t="str">
            <v>Spare</v>
          </cell>
          <cell r="AP230" t="str">
            <v>Spare</v>
          </cell>
          <cell r="AQ230" t="str">
            <v>Spare</v>
          </cell>
          <cell r="AR230" t="str">
            <v>Spare</v>
          </cell>
          <cell r="AS230" t="str">
            <v>Spare</v>
          </cell>
          <cell r="AT230" t="str">
            <v>Spare</v>
          </cell>
          <cell r="AU230" t="str">
            <v>Spare</v>
          </cell>
          <cell r="AV230" t="str">
            <v>Spare</v>
          </cell>
          <cell r="AW230" t="str">
            <v>Spare</v>
          </cell>
          <cell r="AX230" t="str">
            <v>Spare</v>
          </cell>
          <cell r="AY230" t="str">
            <v>Spare</v>
          </cell>
          <cell r="AZ230" t="str">
            <v>Spare</v>
          </cell>
          <cell r="BA230" t="str">
            <v>Spare</v>
          </cell>
          <cell r="BB230" t="str">
            <v>Spare</v>
          </cell>
          <cell r="BC230" t="str">
            <v>Spare</v>
          </cell>
          <cell r="BD230" t="str">
            <v>Spare</v>
          </cell>
          <cell r="BE230" t="str">
            <v>Spare</v>
          </cell>
        </row>
        <row r="231">
          <cell r="H231" t="str">
            <v>Spare</v>
          </cell>
          <cell r="I231" t="str">
            <v>Spare</v>
          </cell>
          <cell r="J231" t="str">
            <v>Spare</v>
          </cell>
          <cell r="K231" t="str">
            <v>Spare</v>
          </cell>
          <cell r="L231" t="str">
            <v>Spare</v>
          </cell>
          <cell r="M231" t="str">
            <v>Spare</v>
          </cell>
          <cell r="N231" t="str">
            <v>Spare</v>
          </cell>
          <cell r="O231" t="str">
            <v>Spare</v>
          </cell>
          <cell r="P231" t="str">
            <v>Spare</v>
          </cell>
          <cell r="Q231" t="str">
            <v>Spare</v>
          </cell>
          <cell r="R231" t="str">
            <v>Spare</v>
          </cell>
          <cell r="S231" t="str">
            <v>Spare</v>
          </cell>
          <cell r="T231" t="str">
            <v>Spare</v>
          </cell>
          <cell r="U231" t="str">
            <v>Spare</v>
          </cell>
          <cell r="V231" t="str">
            <v>Spare</v>
          </cell>
          <cell r="W231" t="str">
            <v>Spare</v>
          </cell>
          <cell r="X231" t="str">
            <v>Spare</v>
          </cell>
          <cell r="Y231" t="str">
            <v>Spare</v>
          </cell>
          <cell r="Z231" t="str">
            <v>Spare</v>
          </cell>
          <cell r="AA231" t="str">
            <v>Spare</v>
          </cell>
          <cell r="AB231" t="str">
            <v>Spare</v>
          </cell>
          <cell r="AC231" t="str">
            <v>Spare</v>
          </cell>
          <cell r="AD231" t="str">
            <v>Spare</v>
          </cell>
          <cell r="AE231" t="str">
            <v>Spare</v>
          </cell>
          <cell r="AF231" t="str">
            <v>Spare</v>
          </cell>
          <cell r="AG231" t="str">
            <v>Spare</v>
          </cell>
          <cell r="AH231" t="str">
            <v>Spare</v>
          </cell>
          <cell r="AI231" t="str">
            <v>Spare</v>
          </cell>
          <cell r="AJ231" t="str">
            <v>Spare</v>
          </cell>
          <cell r="AK231" t="str">
            <v>Spare</v>
          </cell>
          <cell r="AL231" t="str">
            <v>Spare</v>
          </cell>
          <cell r="AM231" t="str">
            <v>Spare</v>
          </cell>
          <cell r="AN231" t="str">
            <v>Spare</v>
          </cell>
          <cell r="AO231" t="str">
            <v>Spare</v>
          </cell>
          <cell r="AP231" t="str">
            <v>Spare</v>
          </cell>
          <cell r="AQ231" t="str">
            <v>Spare</v>
          </cell>
          <cell r="AR231" t="str">
            <v>Spare</v>
          </cell>
          <cell r="AS231" t="str">
            <v>Spare</v>
          </cell>
          <cell r="AT231" t="str">
            <v>Spare</v>
          </cell>
          <cell r="AU231" t="str">
            <v>Spare</v>
          </cell>
          <cell r="AV231" t="str">
            <v>Spare</v>
          </cell>
          <cell r="AW231" t="str">
            <v>Spare</v>
          </cell>
          <cell r="AX231" t="str">
            <v>Spare</v>
          </cell>
          <cell r="AY231" t="str">
            <v>Spare</v>
          </cell>
          <cell r="AZ231" t="str">
            <v>Spare</v>
          </cell>
          <cell r="BA231" t="str">
            <v>Spare</v>
          </cell>
          <cell r="BB231" t="str">
            <v>Spare</v>
          </cell>
          <cell r="BC231" t="str">
            <v>Spare</v>
          </cell>
          <cell r="BD231" t="str">
            <v>Spare</v>
          </cell>
          <cell r="BE231" t="str">
            <v>Spare</v>
          </cell>
        </row>
        <row r="232">
          <cell r="H232" t="str">
            <v>Spare</v>
          </cell>
          <cell r="I232" t="str">
            <v>Spare</v>
          </cell>
          <cell r="J232" t="str">
            <v>Spare</v>
          </cell>
          <cell r="K232" t="str">
            <v>Spare</v>
          </cell>
          <cell r="L232" t="str">
            <v>Spare</v>
          </cell>
          <cell r="M232" t="str">
            <v>Spare</v>
          </cell>
          <cell r="N232" t="str">
            <v>Spare</v>
          </cell>
          <cell r="O232" t="str">
            <v>Spare</v>
          </cell>
          <cell r="P232" t="str">
            <v>Spare</v>
          </cell>
          <cell r="Q232" t="str">
            <v>Spare</v>
          </cell>
          <cell r="R232" t="str">
            <v>Spare</v>
          </cell>
          <cell r="S232" t="str">
            <v>Spare</v>
          </cell>
          <cell r="T232" t="str">
            <v>Spare</v>
          </cell>
          <cell r="U232" t="str">
            <v>Spare</v>
          </cell>
          <cell r="V232" t="str">
            <v>Spare</v>
          </cell>
          <cell r="W232" t="str">
            <v>Spare</v>
          </cell>
          <cell r="X232" t="str">
            <v>Spare</v>
          </cell>
          <cell r="Y232" t="str">
            <v>Spare</v>
          </cell>
          <cell r="Z232" t="str">
            <v>Spare</v>
          </cell>
          <cell r="AA232" t="str">
            <v>Spare</v>
          </cell>
          <cell r="AB232" t="str">
            <v>Spare</v>
          </cell>
          <cell r="AC232" t="str">
            <v>Spare</v>
          </cell>
          <cell r="AD232" t="str">
            <v>Spare</v>
          </cell>
          <cell r="AE232" t="str">
            <v>Spare</v>
          </cell>
          <cell r="AF232" t="str">
            <v>Spare</v>
          </cell>
          <cell r="AG232" t="str">
            <v>Spare</v>
          </cell>
          <cell r="AH232" t="str">
            <v>Spare</v>
          </cell>
          <cell r="AI232" t="str">
            <v>Spare</v>
          </cell>
          <cell r="AJ232" t="str">
            <v>Spare</v>
          </cell>
          <cell r="AK232" t="str">
            <v>Spare</v>
          </cell>
          <cell r="AL232" t="str">
            <v>Spare</v>
          </cell>
          <cell r="AM232" t="str">
            <v>Spare</v>
          </cell>
          <cell r="AN232" t="str">
            <v>Spare</v>
          </cell>
          <cell r="AO232" t="str">
            <v>Spare</v>
          </cell>
          <cell r="AP232" t="str">
            <v>Spare</v>
          </cell>
          <cell r="AQ232" t="str">
            <v>Spare</v>
          </cell>
          <cell r="AR232" t="str">
            <v>Spare</v>
          </cell>
          <cell r="AS232" t="str">
            <v>Spare</v>
          </cell>
          <cell r="AT232" t="str">
            <v>Spare</v>
          </cell>
          <cell r="AU232" t="str">
            <v>Spare</v>
          </cell>
          <cell r="AV232" t="str">
            <v>Spare</v>
          </cell>
          <cell r="AW232" t="str">
            <v>Spare</v>
          </cell>
          <cell r="AX232" t="str">
            <v>Spare</v>
          </cell>
          <cell r="AY232" t="str">
            <v>Spare</v>
          </cell>
          <cell r="AZ232" t="str">
            <v>Spare</v>
          </cell>
          <cell r="BA232" t="str">
            <v>Spare</v>
          </cell>
          <cell r="BB232" t="str">
            <v>Spare</v>
          </cell>
          <cell r="BC232" t="str">
            <v>Spare</v>
          </cell>
          <cell r="BD232" t="str">
            <v>Spare</v>
          </cell>
          <cell r="BE232" t="str">
            <v>Spare</v>
          </cell>
        </row>
        <row r="233">
          <cell r="H233" t="str">
            <v>Spare</v>
          </cell>
          <cell r="I233" t="str">
            <v>Spare</v>
          </cell>
          <cell r="J233" t="str">
            <v>Spare</v>
          </cell>
          <cell r="K233" t="str">
            <v>Spare</v>
          </cell>
          <cell r="L233" t="str">
            <v>Spare</v>
          </cell>
          <cell r="M233" t="str">
            <v>Spare</v>
          </cell>
          <cell r="N233" t="str">
            <v>Spare</v>
          </cell>
          <cell r="O233" t="str">
            <v>Spare</v>
          </cell>
          <cell r="P233" t="str">
            <v>Spare</v>
          </cell>
          <cell r="Q233" t="str">
            <v>Spare</v>
          </cell>
          <cell r="R233" t="str">
            <v>Spare</v>
          </cell>
          <cell r="S233" t="str">
            <v>Spare</v>
          </cell>
          <cell r="T233" t="str">
            <v>Spare</v>
          </cell>
          <cell r="U233" t="str">
            <v>Spare</v>
          </cell>
          <cell r="V233" t="str">
            <v>Spare</v>
          </cell>
          <cell r="W233" t="str">
            <v>Spare</v>
          </cell>
          <cell r="X233" t="str">
            <v>Spare</v>
          </cell>
          <cell r="Y233" t="str">
            <v>Spare</v>
          </cell>
          <cell r="Z233" t="str">
            <v>Spare</v>
          </cell>
          <cell r="AA233" t="str">
            <v>Spare</v>
          </cell>
          <cell r="AB233" t="str">
            <v>Spare</v>
          </cell>
          <cell r="AC233" t="str">
            <v>Spare</v>
          </cell>
          <cell r="AD233" t="str">
            <v>Spare</v>
          </cell>
          <cell r="AE233" t="str">
            <v>Spare</v>
          </cell>
          <cell r="AF233" t="str">
            <v>Spare</v>
          </cell>
          <cell r="AG233" t="str">
            <v>Spare</v>
          </cell>
          <cell r="AH233" t="str">
            <v>Spare</v>
          </cell>
          <cell r="AI233" t="str">
            <v>Spare</v>
          </cell>
          <cell r="AJ233" t="str">
            <v>Spare</v>
          </cell>
          <cell r="AK233" t="str">
            <v>Spare</v>
          </cell>
          <cell r="AL233" t="str">
            <v>Spare</v>
          </cell>
          <cell r="AM233" t="str">
            <v>Spare</v>
          </cell>
          <cell r="AN233" t="str">
            <v>Spare</v>
          </cell>
          <cell r="AO233" t="str">
            <v>Spare</v>
          </cell>
          <cell r="AP233" t="str">
            <v>Spare</v>
          </cell>
          <cell r="AQ233" t="str">
            <v>Spare</v>
          </cell>
          <cell r="AR233" t="str">
            <v>Spare</v>
          </cell>
          <cell r="AS233" t="str">
            <v>Spare</v>
          </cell>
          <cell r="AT233" t="str">
            <v>Spare</v>
          </cell>
          <cell r="AU233" t="str">
            <v>Spare</v>
          </cell>
          <cell r="AV233" t="str">
            <v>Spare</v>
          </cell>
          <cell r="AW233" t="str">
            <v>Spare</v>
          </cell>
          <cell r="AX233" t="str">
            <v>Spare</v>
          </cell>
          <cell r="AY233" t="str">
            <v>Spare</v>
          </cell>
          <cell r="AZ233" t="str">
            <v>Spare</v>
          </cell>
          <cell r="BA233" t="str">
            <v>Spare</v>
          </cell>
          <cell r="BB233" t="str">
            <v>Spare</v>
          </cell>
          <cell r="BC233" t="str">
            <v>Spare</v>
          </cell>
          <cell r="BD233" t="str">
            <v>Spare</v>
          </cell>
          <cell r="BE233" t="str">
            <v>Spare</v>
          </cell>
        </row>
        <row r="238">
          <cell r="H238">
            <v>34.51</v>
          </cell>
          <cell r="I238">
            <v>5.66</v>
          </cell>
          <cell r="J238">
            <v>29.09</v>
          </cell>
          <cell r="K238">
            <v>44.25</v>
          </cell>
          <cell r="L238">
            <v>18.05</v>
          </cell>
          <cell r="M238">
            <v>19</v>
          </cell>
          <cell r="N238">
            <v>30.01</v>
          </cell>
          <cell r="O238">
            <v>12.27</v>
          </cell>
          <cell r="P238">
            <v>5.52</v>
          </cell>
          <cell r="Q238">
            <v>17.329999999999998</v>
          </cell>
          <cell r="R238">
            <v>33.479999999999997</v>
          </cell>
          <cell r="S238">
            <v>24.02</v>
          </cell>
          <cell r="T238" t="e">
            <v>#VALUE!</v>
          </cell>
          <cell r="U238">
            <v>21.26</v>
          </cell>
          <cell r="V238">
            <v>52.05</v>
          </cell>
          <cell r="W238">
            <v>34.51</v>
          </cell>
          <cell r="X238">
            <v>34.64</v>
          </cell>
          <cell r="Y238">
            <v>24.38</v>
          </cell>
          <cell r="Z238" t="e">
            <v>#N/A</v>
          </cell>
          <cell r="AA238">
            <v>72.7</v>
          </cell>
          <cell r="AB238">
            <v>72.7</v>
          </cell>
          <cell r="AC238">
            <v>14.75</v>
          </cell>
          <cell r="AD238" t="e">
            <v>#N/A</v>
          </cell>
          <cell r="AE238">
            <v>7.84</v>
          </cell>
          <cell r="AF238">
            <v>53.25</v>
          </cell>
          <cell r="AG238">
            <v>33.58</v>
          </cell>
          <cell r="AH238">
            <v>52.05</v>
          </cell>
          <cell r="AI238">
            <v>8.26</v>
          </cell>
          <cell r="AJ238" t="e">
            <v>#VALUE!</v>
          </cell>
          <cell r="AK238">
            <v>28.9</v>
          </cell>
          <cell r="AL238">
            <v>31.81</v>
          </cell>
          <cell r="AM238">
            <v>50.35</v>
          </cell>
          <cell r="AN238">
            <v>4.99</v>
          </cell>
          <cell r="AO238" t="e">
            <v>#N/A</v>
          </cell>
          <cell r="AP238">
            <v>47.72</v>
          </cell>
          <cell r="AQ238" t="e">
            <v>#VALUE!</v>
          </cell>
          <cell r="AR238">
            <v>47.72</v>
          </cell>
          <cell r="AS238">
            <v>33.58</v>
          </cell>
          <cell r="AT238" t="e">
            <v>#N/A</v>
          </cell>
          <cell r="AU238">
            <v>64.69</v>
          </cell>
          <cell r="AV238">
            <v>64.69</v>
          </cell>
          <cell r="AW238" t="e">
            <v>#VALUE!</v>
          </cell>
          <cell r="AX238" t="e">
            <v>#VALUE!</v>
          </cell>
          <cell r="AY238" t="e">
            <v>#VALUE!</v>
          </cell>
          <cell r="AZ238" t="e">
            <v>#VALUE!</v>
          </cell>
          <cell r="BA238" t="e">
            <v>#VALUE!</v>
          </cell>
          <cell r="BB238" t="e">
            <v>#VALUE!</v>
          </cell>
          <cell r="BC238" t="e">
            <v>#VALUE!</v>
          </cell>
          <cell r="BD238" t="e">
            <v>#VALUE!</v>
          </cell>
          <cell r="BE238" t="e">
            <v>#VALUE!</v>
          </cell>
        </row>
        <row r="239">
          <cell r="H239">
            <v>69.5</v>
          </cell>
          <cell r="I239">
            <v>18.05</v>
          </cell>
          <cell r="J239">
            <v>29.95</v>
          </cell>
          <cell r="K239">
            <v>27.125</v>
          </cell>
          <cell r="L239">
            <v>19.95</v>
          </cell>
          <cell r="M239">
            <v>24.14</v>
          </cell>
          <cell r="N239">
            <v>46</v>
          </cell>
          <cell r="O239">
            <v>23.66</v>
          </cell>
          <cell r="P239">
            <v>30.43</v>
          </cell>
          <cell r="Q239">
            <v>21.14</v>
          </cell>
          <cell r="R239">
            <v>28.14</v>
          </cell>
          <cell r="S239">
            <v>35.51</v>
          </cell>
          <cell r="T239" t="e">
            <v>#VALUE!</v>
          </cell>
          <cell r="U239">
            <v>26.86</v>
          </cell>
          <cell r="V239">
            <v>34.4</v>
          </cell>
          <cell r="W239">
            <v>69.5</v>
          </cell>
          <cell r="X239">
            <v>58.88</v>
          </cell>
          <cell r="Y239">
            <v>26.65</v>
          </cell>
          <cell r="Z239" t="e">
            <v>#N/A</v>
          </cell>
          <cell r="AA239">
            <v>66.709999999999994</v>
          </cell>
          <cell r="AB239">
            <v>66.709999999999994</v>
          </cell>
          <cell r="AC239">
            <v>20.3</v>
          </cell>
          <cell r="AD239" t="e">
            <v>#N/A</v>
          </cell>
          <cell r="AE239">
            <v>8.2100000000000009</v>
          </cell>
          <cell r="AF239">
            <v>35.46</v>
          </cell>
          <cell r="AG239">
            <v>34.25</v>
          </cell>
          <cell r="AH239">
            <v>34.4</v>
          </cell>
          <cell r="AI239">
            <v>19.5</v>
          </cell>
          <cell r="AJ239" t="e">
            <v>#VALUE!</v>
          </cell>
          <cell r="AK239">
            <v>25.25</v>
          </cell>
          <cell r="AL239">
            <v>40.130000000000003</v>
          </cell>
          <cell r="AM239">
            <v>45.96</v>
          </cell>
          <cell r="AN239">
            <v>4.66</v>
          </cell>
          <cell r="AO239" t="e">
            <v>#N/A</v>
          </cell>
          <cell r="AP239">
            <v>35.25</v>
          </cell>
          <cell r="AQ239" t="e">
            <v>#VALUE!</v>
          </cell>
          <cell r="AR239">
            <v>35.25</v>
          </cell>
          <cell r="AS239">
            <v>34.25</v>
          </cell>
          <cell r="AT239" t="e">
            <v>#N/A</v>
          </cell>
          <cell r="AU239">
            <v>73.319999999999993</v>
          </cell>
          <cell r="AV239">
            <v>73.319999999999993</v>
          </cell>
          <cell r="AW239" t="e">
            <v>#VALUE!</v>
          </cell>
          <cell r="AX239" t="e">
            <v>#VALUE!</v>
          </cell>
          <cell r="AY239" t="e">
            <v>#VALUE!</v>
          </cell>
          <cell r="AZ239" t="e">
            <v>#VALUE!</v>
          </cell>
          <cell r="BA239" t="e">
            <v>#VALUE!</v>
          </cell>
          <cell r="BB239" t="e">
            <v>#VALUE!</v>
          </cell>
          <cell r="BC239" t="e">
            <v>#VALUE!</v>
          </cell>
          <cell r="BD239" t="e">
            <v>#VALUE!</v>
          </cell>
          <cell r="BE239" t="e">
            <v>#VALUE!</v>
          </cell>
        </row>
        <row r="240">
          <cell r="H240">
            <v>34.5</v>
          </cell>
          <cell r="I240">
            <v>6.9</v>
          </cell>
          <cell r="J240">
            <v>26.74</v>
          </cell>
          <cell r="K240">
            <v>40.51</v>
          </cell>
          <cell r="L240">
            <v>16.59</v>
          </cell>
          <cell r="M240">
            <v>17.079999999999998</v>
          </cell>
          <cell r="N240">
            <v>27.38</v>
          </cell>
          <cell r="O240">
            <v>13.84</v>
          </cell>
          <cell r="P240">
            <v>7.31</v>
          </cell>
          <cell r="Q240">
            <v>16.579999999999998</v>
          </cell>
          <cell r="R240">
            <v>32.35</v>
          </cell>
          <cell r="S240">
            <v>21.6</v>
          </cell>
          <cell r="T240" t="e">
            <v>#VALUE!</v>
          </cell>
          <cell r="U240">
            <v>22</v>
          </cell>
          <cell r="V240">
            <v>44.89</v>
          </cell>
          <cell r="W240">
            <v>34.5</v>
          </cell>
          <cell r="X240">
            <v>32.450000000000003</v>
          </cell>
          <cell r="Y240">
            <v>20.95</v>
          </cell>
          <cell r="Z240" t="e">
            <v>#N/A</v>
          </cell>
          <cell r="AA240">
            <v>63.64</v>
          </cell>
          <cell r="AB240">
            <v>63.64</v>
          </cell>
          <cell r="AC240">
            <v>14.5</v>
          </cell>
          <cell r="AD240" t="e">
            <v>#N/A</v>
          </cell>
          <cell r="AE240">
            <v>7.17</v>
          </cell>
          <cell r="AF240">
            <v>42.92</v>
          </cell>
          <cell r="AG240">
            <v>28.85</v>
          </cell>
          <cell r="AH240">
            <v>44.89</v>
          </cell>
          <cell r="AI240">
            <v>8.26</v>
          </cell>
          <cell r="AJ240" t="e">
            <v>#VALUE!</v>
          </cell>
          <cell r="AK240">
            <v>26.75</v>
          </cell>
          <cell r="AL240">
            <v>31.14</v>
          </cell>
          <cell r="AM240">
            <v>48.32</v>
          </cell>
          <cell r="AN240">
            <v>4.6500000000000004</v>
          </cell>
          <cell r="AO240" t="e">
            <v>#N/A</v>
          </cell>
          <cell r="AP240">
            <v>45.19</v>
          </cell>
          <cell r="AQ240" t="e">
            <v>#VALUE!</v>
          </cell>
          <cell r="AR240">
            <v>45.19</v>
          </cell>
          <cell r="AS240">
            <v>28.85</v>
          </cell>
          <cell r="AT240" t="e">
            <v>#N/A</v>
          </cell>
          <cell r="AU240">
            <v>55.71</v>
          </cell>
          <cell r="AV240">
            <v>55.71</v>
          </cell>
          <cell r="AW240" t="e">
            <v>#VALUE!</v>
          </cell>
          <cell r="AX240" t="e">
            <v>#VALUE!</v>
          </cell>
          <cell r="AY240" t="e">
            <v>#VALUE!</v>
          </cell>
          <cell r="AZ240" t="e">
            <v>#VALUE!</v>
          </cell>
          <cell r="BA240" t="e">
            <v>#VALUE!</v>
          </cell>
          <cell r="BB240" t="e">
            <v>#VALUE!</v>
          </cell>
          <cell r="BC240" t="e">
            <v>#VALUE!</v>
          </cell>
          <cell r="BD240" t="e">
            <v>#VALUE!</v>
          </cell>
          <cell r="BE240" t="e">
            <v>#VALUE!</v>
          </cell>
        </row>
        <row r="241">
          <cell r="H241">
            <v>32.119999999999997</v>
          </cell>
          <cell r="I241">
            <v>13.81</v>
          </cell>
          <cell r="J241">
            <v>29</v>
          </cell>
          <cell r="K241">
            <v>40.159999999999997</v>
          </cell>
          <cell r="L241">
            <v>22.86</v>
          </cell>
          <cell r="M241">
            <v>18.36</v>
          </cell>
          <cell r="N241">
            <v>38.94</v>
          </cell>
          <cell r="O241">
            <v>18.78</v>
          </cell>
          <cell r="P241">
            <v>13.35</v>
          </cell>
          <cell r="Q241">
            <v>17.7</v>
          </cell>
          <cell r="R241">
            <v>31.84</v>
          </cell>
          <cell r="S241">
            <v>24.29</v>
          </cell>
          <cell r="T241" t="e">
            <v>#VALUE!</v>
          </cell>
          <cell r="U241">
            <v>20.350000000000001</v>
          </cell>
          <cell r="V241">
            <v>49.47</v>
          </cell>
          <cell r="W241">
            <v>32.119999999999997</v>
          </cell>
          <cell r="X241">
            <v>37.880000000000003</v>
          </cell>
          <cell r="Y241">
            <v>24.17</v>
          </cell>
          <cell r="Z241" t="e">
            <v>#N/A</v>
          </cell>
          <cell r="AA241">
            <v>76.25</v>
          </cell>
          <cell r="AB241">
            <v>76.25</v>
          </cell>
          <cell r="AC241">
            <v>18.23</v>
          </cell>
          <cell r="AD241" t="e">
            <v>#N/A</v>
          </cell>
          <cell r="AE241">
            <v>7.92</v>
          </cell>
          <cell r="AF241">
            <v>47.86</v>
          </cell>
          <cell r="AG241">
            <v>30.01</v>
          </cell>
          <cell r="AH241">
            <v>49.47</v>
          </cell>
          <cell r="AI241">
            <v>24.56</v>
          </cell>
          <cell r="AJ241" t="e">
            <v>#VALUE!</v>
          </cell>
          <cell r="AK241">
            <v>29.4</v>
          </cell>
          <cell r="AL241">
            <v>36.29</v>
          </cell>
          <cell r="AM241">
            <v>47.98</v>
          </cell>
          <cell r="AN241">
            <v>4.8</v>
          </cell>
          <cell r="AO241" t="e">
            <v>#N/A</v>
          </cell>
          <cell r="AP241">
            <v>49.25</v>
          </cell>
          <cell r="AQ241" t="e">
            <v>#VALUE!</v>
          </cell>
          <cell r="AR241">
            <v>49.25</v>
          </cell>
          <cell r="AS241">
            <v>30.01</v>
          </cell>
          <cell r="AT241" t="e">
            <v>#N/A</v>
          </cell>
          <cell r="AU241">
            <v>63.03</v>
          </cell>
          <cell r="AV241">
            <v>63.03</v>
          </cell>
          <cell r="AW241" t="e">
            <v>#VALUE!</v>
          </cell>
          <cell r="AX241" t="e">
            <v>#VALUE!</v>
          </cell>
          <cell r="AY241" t="e">
            <v>#VALUE!</v>
          </cell>
          <cell r="AZ241" t="e">
            <v>#VALUE!</v>
          </cell>
          <cell r="BA241" t="e">
            <v>#VALUE!</v>
          </cell>
          <cell r="BB241" t="e">
            <v>#VALUE!</v>
          </cell>
          <cell r="BC241" t="e">
            <v>#VALUE!</v>
          </cell>
          <cell r="BD241" t="e">
            <v>#VALUE!</v>
          </cell>
          <cell r="BE241" t="e">
            <v>#VALUE!</v>
          </cell>
        </row>
        <row r="242">
          <cell r="H242">
            <v>37</v>
          </cell>
          <cell r="I242">
            <v>15.6</v>
          </cell>
          <cell r="J242">
            <v>27.42</v>
          </cell>
          <cell r="K242">
            <v>33.5</v>
          </cell>
          <cell r="L242">
            <v>26.99</v>
          </cell>
          <cell r="M242">
            <v>23.94</v>
          </cell>
          <cell r="N242">
            <v>45.24</v>
          </cell>
          <cell r="O242">
            <v>20.14</v>
          </cell>
          <cell r="P242">
            <v>17</v>
          </cell>
          <cell r="Q242">
            <v>20.88</v>
          </cell>
          <cell r="R242">
            <v>32.049999999999997</v>
          </cell>
          <cell r="S242">
            <v>30.4</v>
          </cell>
          <cell r="T242" t="e">
            <v>#VALUE!</v>
          </cell>
          <cell r="U242">
            <v>18.3</v>
          </cell>
          <cell r="V242">
            <v>53.69</v>
          </cell>
          <cell r="W242">
            <v>37</v>
          </cell>
          <cell r="X242">
            <v>47</v>
          </cell>
          <cell r="Y242">
            <v>24.6</v>
          </cell>
          <cell r="Z242" t="e">
            <v>#N/A</v>
          </cell>
          <cell r="AA242">
            <v>66.260000000000005</v>
          </cell>
          <cell r="AB242">
            <v>66.260000000000005</v>
          </cell>
          <cell r="AC242">
            <v>19.13</v>
          </cell>
          <cell r="AD242" t="e">
            <v>#N/A</v>
          </cell>
          <cell r="AE242">
            <v>9.33</v>
          </cell>
          <cell r="AF242">
            <v>42.92</v>
          </cell>
          <cell r="AG242">
            <v>27.22</v>
          </cell>
          <cell r="AH242">
            <v>53.69</v>
          </cell>
          <cell r="AI242">
            <v>24.25</v>
          </cell>
          <cell r="AJ242" t="e">
            <v>#VALUE!</v>
          </cell>
          <cell r="AK242">
            <v>27.2</v>
          </cell>
          <cell r="AL242">
            <v>32.07</v>
          </cell>
          <cell r="AM242">
            <v>46.62</v>
          </cell>
          <cell r="AN242">
            <v>6.7</v>
          </cell>
          <cell r="AO242" t="e">
            <v>#N/A</v>
          </cell>
          <cell r="AP242">
            <v>39.909999999999997</v>
          </cell>
          <cell r="AQ242" t="e">
            <v>#VALUE!</v>
          </cell>
          <cell r="AR242">
            <v>39.909999999999997</v>
          </cell>
          <cell r="AS242">
            <v>27.22</v>
          </cell>
          <cell r="AT242" t="e">
            <v>#N/A</v>
          </cell>
          <cell r="AU242">
            <v>65.650000000000006</v>
          </cell>
          <cell r="AV242">
            <v>65.650000000000006</v>
          </cell>
          <cell r="AW242" t="e">
            <v>#VALUE!</v>
          </cell>
          <cell r="AX242" t="e">
            <v>#VALUE!</v>
          </cell>
          <cell r="AY242" t="e">
            <v>#VALUE!</v>
          </cell>
          <cell r="AZ242" t="e">
            <v>#VALUE!</v>
          </cell>
          <cell r="BA242" t="e">
            <v>#VALUE!</v>
          </cell>
          <cell r="BB242" t="e">
            <v>#VALUE!</v>
          </cell>
          <cell r="BC242" t="e">
            <v>#VALUE!</v>
          </cell>
          <cell r="BD242" t="e">
            <v>#VALUE!</v>
          </cell>
          <cell r="BE242" t="e">
            <v>#VALUE!</v>
          </cell>
        </row>
        <row r="243">
          <cell r="H243">
            <v>1.72</v>
          </cell>
          <cell r="I243">
            <v>0.25</v>
          </cell>
          <cell r="J243">
            <v>0.96</v>
          </cell>
          <cell r="K243">
            <v>2.1800000000000002</v>
          </cell>
          <cell r="L243">
            <v>-0.2</v>
          </cell>
          <cell r="M243">
            <v>0.91</v>
          </cell>
          <cell r="N243">
            <v>2.02</v>
          </cell>
          <cell r="O243">
            <v>0.45</v>
          </cell>
          <cell r="P243">
            <v>1.0900000000000001</v>
          </cell>
          <cell r="Q243">
            <v>0.91</v>
          </cell>
          <cell r="R243">
            <v>1.4475</v>
          </cell>
          <cell r="S243">
            <v>1.27</v>
          </cell>
          <cell r="T243" t="e">
            <v>#VALUE!</v>
          </cell>
          <cell r="U243">
            <v>0.09</v>
          </cell>
          <cell r="V243">
            <v>0.88</v>
          </cell>
          <cell r="W243">
            <v>1.72</v>
          </cell>
          <cell r="X243">
            <v>1.56</v>
          </cell>
          <cell r="Y243">
            <v>0.72</v>
          </cell>
          <cell r="Z243" t="e">
            <v>#N/A</v>
          </cell>
          <cell r="AA243">
            <v>2.5150000000000001</v>
          </cell>
          <cell r="AB243">
            <v>2.5150000000000001</v>
          </cell>
          <cell r="AC243">
            <v>1.03</v>
          </cell>
          <cell r="AD243" t="e">
            <v>#N/A</v>
          </cell>
          <cell r="AE243">
            <v>0.40749999999999997</v>
          </cell>
          <cell r="AF243">
            <v>2.0099999999999998</v>
          </cell>
          <cell r="AG243">
            <v>1.4</v>
          </cell>
          <cell r="AH243">
            <v>1.0900000000000001</v>
          </cell>
          <cell r="AI243">
            <v>0.89</v>
          </cell>
          <cell r="AJ243" t="e">
            <v>#VALUE!</v>
          </cell>
          <cell r="AK243">
            <v>1.31</v>
          </cell>
          <cell r="AL243">
            <v>1.3674999999999999</v>
          </cell>
          <cell r="AM243">
            <v>1.88</v>
          </cell>
          <cell r="AN243">
            <v>0.64500000000000002</v>
          </cell>
          <cell r="AO243" t="e">
            <v>#N/A</v>
          </cell>
          <cell r="AP243">
            <v>1.2666666666666666</v>
          </cell>
          <cell r="AQ243" t="e">
            <v>#VALUE!</v>
          </cell>
          <cell r="AR243">
            <v>1.2666666666666666</v>
          </cell>
          <cell r="AS243">
            <v>1.4</v>
          </cell>
          <cell r="AT243" t="e">
            <v>#N/A</v>
          </cell>
          <cell r="AU243">
            <v>1.82</v>
          </cell>
          <cell r="AV243">
            <v>1.82</v>
          </cell>
          <cell r="AW243" t="e">
            <v>#VALUE!</v>
          </cell>
          <cell r="AX243" t="e">
            <v>#VALUE!</v>
          </cell>
          <cell r="AY243" t="e">
            <v>#VALUE!</v>
          </cell>
          <cell r="AZ243" t="e">
            <v>#VALUE!</v>
          </cell>
          <cell r="BA243" t="e">
            <v>#VALUE!</v>
          </cell>
          <cell r="BB243" t="e">
            <v>#VALUE!</v>
          </cell>
          <cell r="BC243" t="e">
            <v>#VALUE!</v>
          </cell>
          <cell r="BD243" t="e">
            <v>#VALUE!</v>
          </cell>
          <cell r="BE243" t="e">
            <v>#VALUE!</v>
          </cell>
        </row>
        <row r="244">
          <cell r="H244">
            <v>1.9</v>
          </cell>
          <cell r="I244">
            <v>0.23</v>
          </cell>
          <cell r="J244">
            <v>1.05</v>
          </cell>
          <cell r="K244">
            <v>2.77</v>
          </cell>
          <cell r="L244">
            <v>0.1</v>
          </cell>
          <cell r="M244">
            <v>0.83</v>
          </cell>
          <cell r="N244">
            <v>2.16</v>
          </cell>
          <cell r="O244">
            <v>0.51</v>
          </cell>
          <cell r="P244">
            <v>0.33</v>
          </cell>
          <cell r="Q244">
            <v>0.95</v>
          </cell>
          <cell r="R244">
            <v>1.53</v>
          </cell>
          <cell r="S244">
            <v>1.34</v>
          </cell>
          <cell r="T244">
            <v>1.76</v>
          </cell>
          <cell r="U244">
            <v>0.32</v>
          </cell>
          <cell r="V244">
            <v>1.54</v>
          </cell>
          <cell r="W244">
            <v>1.88</v>
          </cell>
          <cell r="X244">
            <v>1.78</v>
          </cell>
          <cell r="Y244">
            <v>1.01</v>
          </cell>
          <cell r="Z244" t="e">
            <v>#N/A</v>
          </cell>
          <cell r="AA244">
            <v>3.41</v>
          </cell>
          <cell r="AB244">
            <v>3.41</v>
          </cell>
          <cell r="AC244">
            <v>1.28</v>
          </cell>
          <cell r="AD244" t="e">
            <v>#N/A</v>
          </cell>
          <cell r="AE244">
            <v>0.26250000000000001</v>
          </cell>
          <cell r="AF244">
            <v>2.56</v>
          </cell>
          <cell r="AG244">
            <v>1.82</v>
          </cell>
          <cell r="AH244">
            <v>1.5649999999999999</v>
          </cell>
          <cell r="AI244">
            <v>0.24</v>
          </cell>
          <cell r="AJ244" t="e">
            <v>#VALUE!</v>
          </cell>
          <cell r="AK244">
            <v>1.76</v>
          </cell>
          <cell r="AL244">
            <v>1.7825</v>
          </cell>
          <cell r="AM244">
            <v>2.2799999999999998</v>
          </cell>
          <cell r="AN244">
            <v>0.33500000000000002</v>
          </cell>
          <cell r="AO244" t="e">
            <v>#N/A</v>
          </cell>
          <cell r="AP244">
            <v>1.5933333333333333</v>
          </cell>
          <cell r="AQ244" t="e">
            <v>#VALUE!</v>
          </cell>
          <cell r="AR244">
            <v>1.5933333333333333</v>
          </cell>
          <cell r="AS244">
            <v>1.82</v>
          </cell>
          <cell r="AT244" t="e">
            <v>#N/A</v>
          </cell>
          <cell r="AU244">
            <v>2.91</v>
          </cell>
          <cell r="AV244">
            <v>2.91</v>
          </cell>
          <cell r="AW244" t="e">
            <v>#VALUE!</v>
          </cell>
          <cell r="AX244" t="e">
            <v>#VALUE!</v>
          </cell>
          <cell r="AY244" t="e">
            <v>#VALUE!</v>
          </cell>
          <cell r="AZ244" t="e">
            <v>#VALUE!</v>
          </cell>
          <cell r="BA244" t="e">
            <v>#VALUE!</v>
          </cell>
          <cell r="BB244" t="e">
            <v>#VALUE!</v>
          </cell>
          <cell r="BC244" t="e">
            <v>#VALUE!</v>
          </cell>
          <cell r="BD244" t="e">
            <v>#VALUE!</v>
          </cell>
          <cell r="BE244" t="e">
            <v>#VALUE!</v>
          </cell>
        </row>
        <row r="245">
          <cell r="H245">
            <v>2.14</v>
          </cell>
          <cell r="I245">
            <v>0.34</v>
          </cell>
          <cell r="J245">
            <v>1.19</v>
          </cell>
          <cell r="K245">
            <v>3.12</v>
          </cell>
          <cell r="L245">
            <v>0.45</v>
          </cell>
          <cell r="M245">
            <v>1.02</v>
          </cell>
          <cell r="N245">
            <v>2.39</v>
          </cell>
          <cell r="O245">
            <v>0.73</v>
          </cell>
          <cell r="P245">
            <v>0.7</v>
          </cell>
          <cell r="Q245">
            <v>1.1100000000000001</v>
          </cell>
          <cell r="R245">
            <v>1.78083675</v>
          </cell>
          <cell r="S245">
            <v>1.55</v>
          </cell>
          <cell r="T245">
            <v>2.0299999999999998</v>
          </cell>
          <cell r="U245">
            <v>0.65</v>
          </cell>
          <cell r="V245">
            <v>2.2799999999999998</v>
          </cell>
          <cell r="W245">
            <v>2.14</v>
          </cell>
          <cell r="X245">
            <v>2.06</v>
          </cell>
          <cell r="Y245">
            <v>1.27</v>
          </cell>
          <cell r="Z245" t="e">
            <v>#N/A</v>
          </cell>
          <cell r="AA245">
            <v>4.08</v>
          </cell>
          <cell r="AB245">
            <v>4.08</v>
          </cell>
          <cell r="AC245">
            <v>1.42</v>
          </cell>
          <cell r="AD245" t="e">
            <v>#N/A</v>
          </cell>
          <cell r="AE245">
            <v>0.37</v>
          </cell>
          <cell r="AF245">
            <v>2.96</v>
          </cell>
          <cell r="AG245">
            <v>2.1800000000000002</v>
          </cell>
          <cell r="AH245">
            <v>2.2149999999999999</v>
          </cell>
          <cell r="AI245">
            <v>0.48</v>
          </cell>
          <cell r="AJ245" t="e">
            <v>#VALUE!</v>
          </cell>
          <cell r="AK245">
            <v>2.0299999999999998</v>
          </cell>
          <cell r="AL245">
            <v>2.1724999999999999</v>
          </cell>
          <cell r="AM245">
            <v>2.54</v>
          </cell>
          <cell r="AN245">
            <v>0.50160000000000005</v>
          </cell>
          <cell r="AO245" t="e">
            <v>#N/A</v>
          </cell>
          <cell r="AP245">
            <v>1.91</v>
          </cell>
          <cell r="AQ245" t="e">
            <v>#VALUE!</v>
          </cell>
          <cell r="AR245">
            <v>1.91</v>
          </cell>
          <cell r="AS245">
            <v>2.1800000000000002</v>
          </cell>
          <cell r="AT245" t="e">
            <v>#N/A</v>
          </cell>
          <cell r="AU245">
            <v>3.5</v>
          </cell>
          <cell r="AV245">
            <v>3.5</v>
          </cell>
          <cell r="AW245" t="e">
            <v>#VALUE!</v>
          </cell>
          <cell r="AX245" t="e">
            <v>#VALUE!</v>
          </cell>
          <cell r="AY245" t="e">
            <v>#VALUE!</v>
          </cell>
          <cell r="AZ245" t="e">
            <v>#VALUE!</v>
          </cell>
          <cell r="BA245" t="e">
            <v>#VALUE!</v>
          </cell>
          <cell r="BB245" t="e">
            <v>#VALUE!</v>
          </cell>
          <cell r="BC245" t="e">
            <v>#VALUE!</v>
          </cell>
          <cell r="BD245" t="e">
            <v>#VALUE!</v>
          </cell>
          <cell r="BE245" t="e">
            <v>#VALUE!</v>
          </cell>
        </row>
        <row r="246">
          <cell r="H246">
            <v>2.6</v>
          </cell>
          <cell r="I246">
            <v>0.46</v>
          </cell>
          <cell r="J246">
            <v>1.3729374999999999</v>
          </cell>
          <cell r="K246">
            <v>3.6816</v>
          </cell>
          <cell r="L246">
            <v>0.7</v>
          </cell>
          <cell r="M246">
            <v>1.25</v>
          </cell>
          <cell r="N246">
            <v>2.65</v>
          </cell>
          <cell r="O246">
            <v>0.86903999999999992</v>
          </cell>
          <cell r="P246">
            <v>0.81025000000000003</v>
          </cell>
          <cell r="Q246">
            <v>1.2931500000000002</v>
          </cell>
          <cell r="R246">
            <v>1.78083675</v>
          </cell>
          <cell r="S246">
            <v>1.75</v>
          </cell>
          <cell r="T246" t="e">
            <v>#VALUE!</v>
          </cell>
          <cell r="U246">
            <v>0.80437499999999995</v>
          </cell>
          <cell r="V246">
            <v>2.8143040000000004</v>
          </cell>
          <cell r="W246">
            <v>2.6</v>
          </cell>
          <cell r="X246">
            <v>2.38</v>
          </cell>
          <cell r="Y246">
            <v>1.5972790000000001</v>
          </cell>
          <cell r="Z246" t="e">
            <v>#N/A</v>
          </cell>
          <cell r="AA246" t="e">
            <v>#N/A</v>
          </cell>
          <cell r="AB246" t="e">
            <v>#N/A</v>
          </cell>
          <cell r="AC246">
            <v>1.6045999999999998</v>
          </cell>
          <cell r="AD246" t="e">
            <v>#N/A</v>
          </cell>
          <cell r="AE246">
            <v>0.44800000000000006</v>
          </cell>
          <cell r="AF246">
            <v>3.4039999999999999</v>
          </cell>
          <cell r="AG246">
            <v>2.6515339999999998</v>
          </cell>
          <cell r="AH246">
            <v>2.8143040000000004</v>
          </cell>
          <cell r="AI246">
            <v>0.52800000000000002</v>
          </cell>
          <cell r="AJ246" t="e">
            <v>#VALUE!</v>
          </cell>
          <cell r="AK246">
            <v>2.25</v>
          </cell>
          <cell r="AL246">
            <v>2.54</v>
          </cell>
          <cell r="AM246">
            <v>2.8305760000000002</v>
          </cell>
          <cell r="AN246">
            <v>0.50160000000000005</v>
          </cell>
          <cell r="AO246" t="e">
            <v>#N/A</v>
          </cell>
          <cell r="AP246">
            <v>2.271422666666667</v>
          </cell>
          <cell r="AQ246" t="e">
            <v>#VALUE!</v>
          </cell>
          <cell r="AR246">
            <v>2.271422666666667</v>
          </cell>
          <cell r="AS246">
            <v>2.6515339999999998</v>
          </cell>
          <cell r="AT246" t="e">
            <v>#N/A</v>
          </cell>
          <cell r="AU246">
            <v>4.1981800000000007</v>
          </cell>
          <cell r="AV246">
            <v>4.1981800000000007</v>
          </cell>
          <cell r="AW246" t="e">
            <v>#VALUE!</v>
          </cell>
          <cell r="AX246" t="e">
            <v>#VALUE!</v>
          </cell>
          <cell r="AY246" t="e">
            <v>#VALUE!</v>
          </cell>
          <cell r="AZ246" t="e">
            <v>#VALUE!</v>
          </cell>
          <cell r="BA246" t="e">
            <v>#VALUE!</v>
          </cell>
          <cell r="BB246" t="e">
            <v>#VALUE!</v>
          </cell>
          <cell r="BC246" t="e">
            <v>#VALUE!</v>
          </cell>
          <cell r="BD246" t="e">
            <v>#VALUE!</v>
          </cell>
          <cell r="BE246" t="e">
            <v>#VALUE!</v>
          </cell>
        </row>
        <row r="247">
          <cell r="H247">
            <v>0.17</v>
          </cell>
          <cell r="I247">
            <v>0.2</v>
          </cell>
          <cell r="J247">
            <v>0.19</v>
          </cell>
          <cell r="K247">
            <v>0.18</v>
          </cell>
          <cell r="L247">
            <v>0.38750000000000001</v>
          </cell>
          <cell r="M247">
            <v>0.17</v>
          </cell>
          <cell r="N247">
            <v>0.13</v>
          </cell>
          <cell r="O247">
            <v>0.2</v>
          </cell>
          <cell r="P247">
            <v>0.1575</v>
          </cell>
          <cell r="Q247">
            <v>0.16500000000000001</v>
          </cell>
          <cell r="R247">
            <v>0.16570000000000001</v>
          </cell>
          <cell r="S247">
            <v>0.17</v>
          </cell>
          <cell r="T247">
            <v>0.16</v>
          </cell>
          <cell r="U247">
            <v>0.23749999999999999</v>
          </cell>
          <cell r="V247">
            <v>0.3</v>
          </cell>
          <cell r="W247">
            <v>0.18760000000000002</v>
          </cell>
          <cell r="X247">
            <v>0.15670000000000001</v>
          </cell>
          <cell r="Y247">
            <v>0.25769999999999998</v>
          </cell>
          <cell r="Z247" t="e">
            <v>#N/A</v>
          </cell>
          <cell r="AA247">
            <v>0.19320000000000001</v>
          </cell>
          <cell r="AB247">
            <v>0.19320000000000001</v>
          </cell>
          <cell r="AC247">
            <v>0.13</v>
          </cell>
          <cell r="AD247" t="e">
            <v>#N/A</v>
          </cell>
          <cell r="AE247">
            <v>0.16</v>
          </cell>
          <cell r="AF247">
            <v>0.15</v>
          </cell>
          <cell r="AG247">
            <v>0.21629999999999999</v>
          </cell>
          <cell r="AH247">
            <v>0.26960000000000001</v>
          </cell>
          <cell r="AI247">
            <v>0.1</v>
          </cell>
          <cell r="AJ247" t="e">
            <v>#VALUE!</v>
          </cell>
          <cell r="AK247">
            <v>0.16</v>
          </cell>
          <cell r="AL247">
            <v>0.18760000000000002</v>
          </cell>
          <cell r="AM247">
            <v>0.1144</v>
          </cell>
          <cell r="AN247">
            <v>0.2</v>
          </cell>
          <cell r="AO247" t="e">
            <v>#N/A</v>
          </cell>
          <cell r="AP247">
            <v>0.1867</v>
          </cell>
          <cell r="AQ247" t="e">
            <v>#VALUE!</v>
          </cell>
          <cell r="AR247">
            <v>0.1867</v>
          </cell>
          <cell r="AS247">
            <v>0.21629999999999999</v>
          </cell>
          <cell r="AT247" t="e">
            <v>#N/A</v>
          </cell>
          <cell r="AU247">
            <v>0.19800000000000001</v>
          </cell>
          <cell r="AV247">
            <v>0.19800000000000001</v>
          </cell>
          <cell r="AW247" t="e">
            <v>#VALUE!</v>
          </cell>
          <cell r="AX247" t="e">
            <v>#VALUE!</v>
          </cell>
          <cell r="AY247" t="e">
            <v>#VALUE!</v>
          </cell>
          <cell r="AZ247" t="e">
            <v>#VALUE!</v>
          </cell>
          <cell r="BA247" t="e">
            <v>#VALUE!</v>
          </cell>
          <cell r="BB247" t="e">
            <v>#VALUE!</v>
          </cell>
          <cell r="BC247" t="e">
            <v>#VALUE!</v>
          </cell>
          <cell r="BD247" t="e">
            <v>#VALUE!</v>
          </cell>
          <cell r="BE247" t="e">
            <v>#VALUE!</v>
          </cell>
        </row>
        <row r="248">
          <cell r="H248">
            <v>73.790000000000006</v>
          </cell>
          <cell r="I248">
            <v>21.36</v>
          </cell>
          <cell r="J248">
            <v>38.06</v>
          </cell>
          <cell r="K248">
            <v>51</v>
          </cell>
          <cell r="L248">
            <v>41.95</v>
          </cell>
          <cell r="M248">
            <v>40.42</v>
          </cell>
          <cell r="N248">
            <v>51.98</v>
          </cell>
          <cell r="O248">
            <v>24.05</v>
          </cell>
          <cell r="P248">
            <v>36.299999999999997</v>
          </cell>
          <cell r="Q248">
            <v>24.6</v>
          </cell>
          <cell r="R248">
            <v>39.6</v>
          </cell>
          <cell r="S248">
            <v>40.950000000000003</v>
          </cell>
          <cell r="T248" t="e">
            <v>#VALUE!</v>
          </cell>
          <cell r="U248">
            <v>26.86</v>
          </cell>
          <cell r="V248">
            <v>64.819999999999993</v>
          </cell>
          <cell r="W248">
            <v>73.790000000000006</v>
          </cell>
          <cell r="X248">
            <v>56.248170000000002</v>
          </cell>
          <cell r="Y248">
            <v>35.96</v>
          </cell>
          <cell r="Z248" t="e">
            <v>#N/A</v>
          </cell>
          <cell r="AA248">
            <v>82.85</v>
          </cell>
          <cell r="AB248">
            <v>82.85</v>
          </cell>
          <cell r="AC248">
            <v>20.9</v>
          </cell>
          <cell r="AD248" t="e">
            <v>#N/A</v>
          </cell>
          <cell r="AE248">
            <v>10.48</v>
          </cell>
          <cell r="AF248">
            <v>53.35</v>
          </cell>
          <cell r="AG248">
            <v>35.799999999999997</v>
          </cell>
          <cell r="AH248">
            <v>64.819999999999993</v>
          </cell>
          <cell r="AI248">
            <v>9.5009999999999994</v>
          </cell>
          <cell r="AJ248" t="e">
            <v>#VALUE!</v>
          </cell>
          <cell r="AK248">
            <v>33.43</v>
          </cell>
          <cell r="AL248">
            <v>42.09</v>
          </cell>
          <cell r="AM248">
            <v>52.8</v>
          </cell>
          <cell r="AN248">
            <v>8.15</v>
          </cell>
          <cell r="AO248" t="e">
            <v>#N/A</v>
          </cell>
          <cell r="AP248">
            <v>53.47</v>
          </cell>
          <cell r="AQ248" t="e">
            <v>#VALUE!</v>
          </cell>
          <cell r="AR248">
            <v>53.47</v>
          </cell>
          <cell r="AS248">
            <v>35.799999999999997</v>
          </cell>
          <cell r="AT248">
            <v>16.12</v>
          </cell>
          <cell r="AU248">
            <v>76.599999999999994</v>
          </cell>
          <cell r="AV248">
            <v>76.599999999999994</v>
          </cell>
          <cell r="AW248" t="e">
            <v>#VALUE!</v>
          </cell>
          <cell r="AX248" t="e">
            <v>#VALUE!</v>
          </cell>
          <cell r="AY248" t="e">
            <v>#VALUE!</v>
          </cell>
          <cell r="AZ248" t="e">
            <v>#VALUE!</v>
          </cell>
          <cell r="BA248" t="e">
            <v>#VALUE!</v>
          </cell>
          <cell r="BB248" t="e">
            <v>#VALUE!</v>
          </cell>
          <cell r="BC248" t="e">
            <v>#VALUE!</v>
          </cell>
          <cell r="BD248" t="e">
            <v>#VALUE!</v>
          </cell>
          <cell r="BE248" t="e">
            <v>#VALUE!</v>
          </cell>
        </row>
        <row r="249">
          <cell r="H249">
            <v>26.58</v>
          </cell>
          <cell r="I249">
            <v>5.2</v>
          </cell>
          <cell r="J249">
            <v>21.8</v>
          </cell>
          <cell r="K249">
            <v>21</v>
          </cell>
          <cell r="L249">
            <v>13.8</v>
          </cell>
          <cell r="M249">
            <v>13</v>
          </cell>
          <cell r="N249">
            <v>24.85</v>
          </cell>
          <cell r="O249">
            <v>9.9499999999999993</v>
          </cell>
          <cell r="P249">
            <v>4.28</v>
          </cell>
          <cell r="Q249">
            <v>14.33</v>
          </cell>
          <cell r="R249">
            <v>22.33</v>
          </cell>
          <cell r="S249">
            <v>17.86</v>
          </cell>
          <cell r="T249" t="e">
            <v>#VALUE!</v>
          </cell>
          <cell r="U249">
            <v>18</v>
          </cell>
          <cell r="V249">
            <v>29.25</v>
          </cell>
          <cell r="W249">
            <v>26.58</v>
          </cell>
          <cell r="X249">
            <v>27.25</v>
          </cell>
          <cell r="Y249">
            <v>18.16</v>
          </cell>
          <cell r="Z249" t="e">
            <v>#N/A</v>
          </cell>
          <cell r="AA249">
            <v>53.850999999999999</v>
          </cell>
          <cell r="AB249">
            <v>53.850999999999999</v>
          </cell>
          <cell r="AC249">
            <v>13.27</v>
          </cell>
          <cell r="AD249" t="e">
            <v>#N/A</v>
          </cell>
          <cell r="AE249">
            <v>4.55</v>
          </cell>
          <cell r="AF249">
            <v>31.9</v>
          </cell>
          <cell r="AG249">
            <v>20.5</v>
          </cell>
          <cell r="AH249">
            <v>29.25</v>
          </cell>
          <cell r="AI249">
            <v>4.8816200000000007</v>
          </cell>
          <cell r="AJ249" t="e">
            <v>#VALUE!</v>
          </cell>
          <cell r="AK249">
            <v>21</v>
          </cell>
          <cell r="AL249">
            <v>26.5</v>
          </cell>
          <cell r="AM249">
            <v>36.25</v>
          </cell>
          <cell r="AN249">
            <v>1.75</v>
          </cell>
          <cell r="AO249" t="e">
            <v>#N/A</v>
          </cell>
          <cell r="AP249">
            <v>32.799999999999997</v>
          </cell>
          <cell r="AQ249" t="e">
            <v>#VALUE!</v>
          </cell>
          <cell r="AR249">
            <v>32.799999999999997</v>
          </cell>
          <cell r="AS249">
            <v>20.5</v>
          </cell>
          <cell r="AT249">
            <v>8</v>
          </cell>
          <cell r="AU249">
            <v>46.6</v>
          </cell>
          <cell r="AV249">
            <v>46.6</v>
          </cell>
          <cell r="AW249" t="e">
            <v>#VALUE!</v>
          </cell>
          <cell r="AX249" t="e">
            <v>#VALUE!</v>
          </cell>
          <cell r="AY249" t="e">
            <v>#VALUE!</v>
          </cell>
          <cell r="AZ249" t="e">
            <v>#VALUE!</v>
          </cell>
          <cell r="BA249" t="e">
            <v>#VALUE!</v>
          </cell>
          <cell r="BB249" t="e">
            <v>#VALUE!</v>
          </cell>
          <cell r="BC249" t="e">
            <v>#VALUE!</v>
          </cell>
          <cell r="BD249" t="e">
            <v>#VALUE!</v>
          </cell>
          <cell r="BE249" t="e">
            <v>#VALUE!</v>
          </cell>
        </row>
        <row r="252">
          <cell r="H252">
            <v>37256</v>
          </cell>
          <cell r="I252">
            <v>37256</v>
          </cell>
          <cell r="J252">
            <v>37437</v>
          </cell>
          <cell r="K252">
            <v>37256</v>
          </cell>
          <cell r="L252">
            <v>37256</v>
          </cell>
          <cell r="M252">
            <v>37256</v>
          </cell>
          <cell r="N252">
            <v>37256</v>
          </cell>
          <cell r="O252">
            <v>37256</v>
          </cell>
          <cell r="P252">
            <v>37256</v>
          </cell>
          <cell r="Q252">
            <v>37256</v>
          </cell>
          <cell r="R252">
            <v>37256</v>
          </cell>
          <cell r="S252">
            <v>37256</v>
          </cell>
          <cell r="T252">
            <v>37256</v>
          </cell>
          <cell r="U252">
            <v>37256</v>
          </cell>
          <cell r="V252">
            <v>37437</v>
          </cell>
          <cell r="W252">
            <v>37256</v>
          </cell>
          <cell r="X252">
            <v>37256</v>
          </cell>
          <cell r="Y252">
            <v>37345</v>
          </cell>
          <cell r="Z252">
            <v>0</v>
          </cell>
          <cell r="AA252">
            <v>0</v>
          </cell>
          <cell r="AB252">
            <v>37346</v>
          </cell>
          <cell r="AC252">
            <v>37346</v>
          </cell>
          <cell r="AD252">
            <v>36891</v>
          </cell>
          <cell r="AE252">
            <v>37253</v>
          </cell>
          <cell r="AF252">
            <v>37345</v>
          </cell>
          <cell r="AG252">
            <v>37346</v>
          </cell>
          <cell r="AH252">
            <v>0</v>
          </cell>
          <cell r="AI252">
            <v>0</v>
          </cell>
          <cell r="AJ252">
            <v>37256</v>
          </cell>
          <cell r="AK252">
            <v>37437</v>
          </cell>
          <cell r="AL252">
            <v>37256</v>
          </cell>
          <cell r="AM252">
            <v>37256</v>
          </cell>
          <cell r="AN252">
            <v>37162</v>
          </cell>
          <cell r="AO252">
            <v>36891</v>
          </cell>
          <cell r="AP252">
            <v>37009</v>
          </cell>
          <cell r="AQ252">
            <v>37009</v>
          </cell>
          <cell r="AR252">
            <v>37434</v>
          </cell>
          <cell r="AS252">
            <v>0</v>
          </cell>
          <cell r="AT252">
            <v>0</v>
          </cell>
          <cell r="AU252">
            <v>0</v>
          </cell>
          <cell r="AV252">
            <v>37346</v>
          </cell>
          <cell r="AW252">
            <v>36891</v>
          </cell>
          <cell r="AX252">
            <v>36891</v>
          </cell>
          <cell r="AY252">
            <v>36891</v>
          </cell>
          <cell r="AZ252">
            <v>36891</v>
          </cell>
          <cell r="BA252">
            <v>36891</v>
          </cell>
          <cell r="BB252">
            <v>36891</v>
          </cell>
          <cell r="BC252">
            <v>36891</v>
          </cell>
          <cell r="BD252">
            <v>36891</v>
          </cell>
          <cell r="BE252">
            <v>36891</v>
          </cell>
        </row>
        <row r="253"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79.676000000000016</v>
          </cell>
          <cell r="V253">
            <v>859.20799999999997</v>
          </cell>
          <cell r="W253">
            <v>617.78400000000011</v>
          </cell>
          <cell r="X253">
            <v>637.08299999999986</v>
          </cell>
          <cell r="Y253">
            <v>903.23099999999999</v>
          </cell>
          <cell r="Z253">
            <v>20077.681</v>
          </cell>
          <cell r="AA253">
            <v>13334.064000000004</v>
          </cell>
          <cell r="AB253">
            <v>37652.683999999994</v>
          </cell>
          <cell r="AC253">
            <v>3857.1689999999999</v>
          </cell>
          <cell r="AD253">
            <v>0</v>
          </cell>
          <cell r="AE253">
            <v>1778.1620000000003</v>
          </cell>
          <cell r="AF253">
            <v>2611.4409999999998</v>
          </cell>
          <cell r="AG253">
            <v>808.78600000000006</v>
          </cell>
          <cell r="AH253">
            <v>127.60400000000004</v>
          </cell>
          <cell r="AI253">
            <v>-6.2752499999999145</v>
          </cell>
          <cell r="AJ253">
            <v>1314.2507500000002</v>
          </cell>
          <cell r="AK253">
            <v>3069.5999999999995</v>
          </cell>
          <cell r="AL253">
            <v>35489.199999999997</v>
          </cell>
          <cell r="AM253">
            <v>1179.4469999999999</v>
          </cell>
          <cell r="AN253">
            <v>328.50900000000001</v>
          </cell>
          <cell r="AO253">
            <v>0</v>
          </cell>
          <cell r="AP253">
            <v>886.41499999999996</v>
          </cell>
          <cell r="AQ253">
            <v>149.649</v>
          </cell>
          <cell r="AR253">
            <v>1389.5150000000001</v>
          </cell>
          <cell r="AS253">
            <v>808.78599999999994</v>
          </cell>
          <cell r="AT253">
            <v>215.02499999999998</v>
          </cell>
          <cell r="AU253">
            <v>42882.7</v>
          </cell>
          <cell r="AV253">
            <v>43906.510999999991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25.537000000000006</v>
          </cell>
          <cell r="V254">
            <v>311.23200000000003</v>
          </cell>
          <cell r="W254">
            <v>276.92808390943935</v>
          </cell>
          <cell r="X254">
            <v>284.06199999999995</v>
          </cell>
          <cell r="Y254">
            <v>802.86199999999997</v>
          </cell>
          <cell r="Z254">
            <v>18808.510000000002</v>
          </cell>
          <cell r="AA254">
            <v>12761.905000000001</v>
          </cell>
          <cell r="AB254">
            <v>35708.300999999992</v>
          </cell>
          <cell r="AC254">
            <v>3444.7849999999999</v>
          </cell>
          <cell r="AD254">
            <v>0</v>
          </cell>
          <cell r="AE254">
            <v>1376.2660000000003</v>
          </cell>
          <cell r="AF254">
            <v>1893.0840000000003</v>
          </cell>
          <cell r="AG254">
            <v>500.03700000000003</v>
          </cell>
          <cell r="AH254">
            <v>102.44600000000003</v>
          </cell>
          <cell r="AI254">
            <v>-5.6970000000000027</v>
          </cell>
          <cell r="AJ254">
            <v>1011.6460000000002</v>
          </cell>
          <cell r="AK254">
            <v>2269.0000000000005</v>
          </cell>
          <cell r="AL254">
            <v>32785.300000000003</v>
          </cell>
          <cell r="AM254">
            <v>613.04200000000003</v>
          </cell>
          <cell r="AN254">
            <v>289.42000000000007</v>
          </cell>
          <cell r="AO254">
            <v>0</v>
          </cell>
          <cell r="AP254">
            <v>570.35599999999999</v>
          </cell>
          <cell r="AQ254">
            <v>110.994</v>
          </cell>
          <cell r="AR254">
            <v>908.57637769999997</v>
          </cell>
          <cell r="AS254">
            <v>500.03699999999992</v>
          </cell>
          <cell r="AT254">
            <v>149.91200000000003</v>
          </cell>
          <cell r="AU254">
            <v>38923.799999999996</v>
          </cell>
          <cell r="AV254">
            <v>39573.748999999989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54.13900000000001</v>
          </cell>
          <cell r="V255">
            <v>547.97599999999989</v>
          </cell>
          <cell r="W255">
            <v>340.85591609056075</v>
          </cell>
          <cell r="X255">
            <v>353.0209999999999</v>
          </cell>
          <cell r="Y255">
            <v>100.36900000000003</v>
          </cell>
          <cell r="Z255">
            <v>1269.1709999999985</v>
          </cell>
          <cell r="AA255">
            <v>572.15900000000329</v>
          </cell>
          <cell r="AB255">
            <v>1944.3830000000016</v>
          </cell>
          <cell r="AC255">
            <v>412.38400000000001</v>
          </cell>
          <cell r="AD255">
            <v>0</v>
          </cell>
          <cell r="AE255">
            <v>401.89599999999996</v>
          </cell>
          <cell r="AF255">
            <v>718.35699999999952</v>
          </cell>
          <cell r="AG255">
            <v>308.74900000000002</v>
          </cell>
          <cell r="AH255">
            <v>25.158000000000015</v>
          </cell>
          <cell r="AI255">
            <v>-0.57824999999991178</v>
          </cell>
          <cell r="AJ255">
            <v>302.60474999999997</v>
          </cell>
          <cell r="AK255">
            <v>800.599999999999</v>
          </cell>
          <cell r="AL255">
            <v>2703.8999999999942</v>
          </cell>
          <cell r="AM255">
            <v>566.40499999999986</v>
          </cell>
          <cell r="AN255">
            <v>39.088999999999942</v>
          </cell>
          <cell r="AO255">
            <v>0</v>
          </cell>
          <cell r="AP255">
            <v>316.05899999999997</v>
          </cell>
          <cell r="AQ255">
            <v>38.655000000000001</v>
          </cell>
          <cell r="AR255">
            <v>480.93862230000013</v>
          </cell>
          <cell r="AS255">
            <v>308.74900000000002</v>
          </cell>
          <cell r="AT255">
            <v>65.112999999999943</v>
          </cell>
          <cell r="AU255">
            <v>3958.9000000000015</v>
          </cell>
          <cell r="AV255">
            <v>4332.7620000000024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6.4099999999999993</v>
          </cell>
          <cell r="V256">
            <v>30.077000000000002</v>
          </cell>
          <cell r="W256">
            <v>21.85275</v>
          </cell>
          <cell r="X256">
            <v>32.555</v>
          </cell>
          <cell r="Y256">
            <v>3.6420000000000003</v>
          </cell>
          <cell r="Z256">
            <v>82.698000000000008</v>
          </cell>
          <cell r="AA256">
            <v>17.420000000000002</v>
          </cell>
          <cell r="AB256">
            <v>63.783999999999999</v>
          </cell>
          <cell r="AC256">
            <v>22.178000000000004</v>
          </cell>
          <cell r="AD256">
            <v>0</v>
          </cell>
          <cell r="AE256">
            <v>21.582000000000001</v>
          </cell>
          <cell r="AF256">
            <v>26.502000000000006</v>
          </cell>
          <cell r="AG256">
            <v>41.96</v>
          </cell>
          <cell r="AH256">
            <v>0.38300000000000023</v>
          </cell>
          <cell r="AI256">
            <v>-1.6754999999999995</v>
          </cell>
          <cell r="AJ256">
            <v>14.964500000000001</v>
          </cell>
          <cell r="AK256">
            <v>80.599999999999994</v>
          </cell>
          <cell r="AL256">
            <v>221.8</v>
          </cell>
          <cell r="AM256">
            <v>71.373000000000005</v>
          </cell>
          <cell r="AN256">
            <v>4.0869999999999997</v>
          </cell>
          <cell r="AO256">
            <v>0</v>
          </cell>
          <cell r="AP256">
            <v>7.4390000000000001</v>
          </cell>
          <cell r="AQ256">
            <v>0.59960250000000004</v>
          </cell>
          <cell r="AR256">
            <v>10.989469999999999</v>
          </cell>
          <cell r="AS256">
            <v>41.960000000000008</v>
          </cell>
          <cell r="AT256">
            <v>6.09</v>
          </cell>
          <cell r="AU256">
            <v>286.90000000000003</v>
          </cell>
          <cell r="AV256">
            <v>334.95000000000005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37.513999999999996</v>
          </cell>
          <cell r="V257">
            <v>269.70600000000002</v>
          </cell>
          <cell r="W257">
            <v>185.05795940499982</v>
          </cell>
          <cell r="X257">
            <v>187.04499999999996</v>
          </cell>
          <cell r="Y257">
            <v>54.028999999999996</v>
          </cell>
          <cell r="Z257">
            <v>862.37400000000002</v>
          </cell>
          <cell r="AA257">
            <v>320.27100000000002</v>
          </cell>
          <cell r="AB257">
            <v>1202.3329999999999</v>
          </cell>
          <cell r="AC257">
            <v>299.83000000000004</v>
          </cell>
          <cell r="AD257">
            <v>0</v>
          </cell>
          <cell r="AE257">
            <v>349.79500000000002</v>
          </cell>
          <cell r="AF257">
            <v>557.52</v>
          </cell>
          <cell r="AG257">
            <v>192.541</v>
          </cell>
          <cell r="AH257">
            <v>9.2929999999999993</v>
          </cell>
          <cell r="AI257">
            <v>-10.338000000000008</v>
          </cell>
          <cell r="AJ257">
            <v>171.55600000000001</v>
          </cell>
          <cell r="AK257">
            <v>45.200000000000045</v>
          </cell>
          <cell r="AL257">
            <v>2224.1999999999998</v>
          </cell>
          <cell r="AM257">
            <v>347.03</v>
          </cell>
          <cell r="AN257">
            <v>37.086999999999996</v>
          </cell>
          <cell r="AO257">
            <v>0</v>
          </cell>
          <cell r="AP257">
            <v>225.142</v>
          </cell>
          <cell r="AQ257">
            <v>28.146000000000001</v>
          </cell>
          <cell r="AR257">
            <v>340.13523347</v>
          </cell>
          <cell r="AS257">
            <v>192.541</v>
          </cell>
          <cell r="AT257">
            <v>52.514999999999993</v>
          </cell>
          <cell r="AU257">
            <v>2120.1</v>
          </cell>
          <cell r="AV257">
            <v>2365.1559999999999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14.298999999999999</v>
          </cell>
          <cell r="V258">
            <v>46.601999999999997</v>
          </cell>
          <cell r="W258">
            <v>39.601536483077233</v>
          </cell>
          <cell r="X258">
            <v>42.506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147.5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0.85199999999999965</v>
          </cell>
          <cell r="V260">
            <v>231.66800000000001</v>
          </cell>
          <cell r="W260">
            <v>115.50596117427342</v>
          </cell>
          <cell r="X260">
            <v>123.47</v>
          </cell>
          <cell r="Y260">
            <v>47.505000000000003</v>
          </cell>
          <cell r="Z260">
            <v>330.14100000000002</v>
          </cell>
          <cell r="AA260">
            <v>235.22500000000002</v>
          </cell>
          <cell r="AB260">
            <v>680.96699999999998</v>
          </cell>
          <cell r="AC260">
            <v>91.710999999999999</v>
          </cell>
          <cell r="AD260">
            <v>0</v>
          </cell>
          <cell r="AE260">
            <v>16.884</v>
          </cell>
          <cell r="AF260">
            <v>160.83699999999999</v>
          </cell>
          <cell r="AG260">
            <v>74.248000000000005</v>
          </cell>
          <cell r="AH260">
            <v>16.385000000000002</v>
          </cell>
          <cell r="AI260">
            <v>2.3609999999999971</v>
          </cell>
          <cell r="AJ260">
            <v>74.930999999999997</v>
          </cell>
          <cell r="AK260">
            <v>227.2</v>
          </cell>
          <cell r="AL260">
            <v>719</v>
          </cell>
          <cell r="AM260">
            <v>219.375</v>
          </cell>
          <cell r="AN260">
            <v>-3.4660000000000002</v>
          </cell>
          <cell r="AO260">
            <v>0</v>
          </cell>
          <cell r="AP260">
            <v>90.917000000000002</v>
          </cell>
          <cell r="AQ260">
            <v>10.509</v>
          </cell>
          <cell r="AR260">
            <v>136.28527358999997</v>
          </cell>
          <cell r="AS260">
            <v>74.248000000000005</v>
          </cell>
          <cell r="AT260">
            <v>12.198999999999998</v>
          </cell>
          <cell r="AU260">
            <v>1839.5000000000002</v>
          </cell>
          <cell r="AV260">
            <v>1925.9470000000001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-1.194</v>
          </cell>
          <cell r="V261">
            <v>-4.9649999999999999</v>
          </cell>
          <cell r="W261">
            <v>-8.4444166666666689</v>
          </cell>
          <cell r="X261">
            <v>22.434000000000001</v>
          </cell>
          <cell r="Y261">
            <v>-4.9660000000000002</v>
          </cell>
          <cell r="Z261">
            <v>180.11366666666669</v>
          </cell>
          <cell r="AA261">
            <v>31.352333333333338</v>
          </cell>
          <cell r="AB261">
            <v>184.8656666666667</v>
          </cell>
          <cell r="AC261">
            <v>16.027999999999999</v>
          </cell>
          <cell r="AD261">
            <v>0</v>
          </cell>
          <cell r="AE261">
            <v>13.810000000000002</v>
          </cell>
          <cell r="AF261">
            <v>5.5079999999999991</v>
          </cell>
          <cell r="AG261">
            <v>11.109</v>
          </cell>
          <cell r="AH261">
            <v>1.2879999999999998</v>
          </cell>
          <cell r="AI261">
            <v>-4.9989999999999997</v>
          </cell>
          <cell r="AJ261">
            <v>9.9390000000000001</v>
          </cell>
          <cell r="AK261">
            <v>95.699999999999989</v>
          </cell>
          <cell r="AL261">
            <v>108.4</v>
          </cell>
          <cell r="AM261">
            <v>16.542000000000002</v>
          </cell>
          <cell r="AN261">
            <v>-0.59099999999999986</v>
          </cell>
          <cell r="AO261">
            <v>0</v>
          </cell>
          <cell r="AP261">
            <v>7.0810000000000004</v>
          </cell>
          <cell r="AQ261">
            <v>0.13100000000000001</v>
          </cell>
          <cell r="AR261">
            <v>4.676000000000001</v>
          </cell>
          <cell r="AS261">
            <v>11.108999999999998</v>
          </cell>
          <cell r="AT261">
            <v>-0.41199999999999992</v>
          </cell>
          <cell r="AU261">
            <v>144.99999999999997</v>
          </cell>
          <cell r="AV261">
            <v>155.69699999999997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2.0459999999999994</v>
          </cell>
          <cell r="V262">
            <v>236.63300000000001</v>
          </cell>
          <cell r="W262">
            <v>123.95037784094009</v>
          </cell>
          <cell r="X262">
            <v>101.036</v>
          </cell>
          <cell r="Y262">
            <v>52.471000000000004</v>
          </cell>
          <cell r="Z262">
            <v>150.02733333333333</v>
          </cell>
          <cell r="AA262">
            <v>203.87266666666667</v>
          </cell>
          <cell r="AB262">
            <v>496.10133333333329</v>
          </cell>
          <cell r="AC262">
            <v>75.682999999999993</v>
          </cell>
          <cell r="AD262">
            <v>0</v>
          </cell>
          <cell r="AE262">
            <v>3.0739999999999981</v>
          </cell>
          <cell r="AF262">
            <v>155.32899999999998</v>
          </cell>
          <cell r="AG262">
            <v>63.139000000000003</v>
          </cell>
          <cell r="AH262">
            <v>15.097000000000001</v>
          </cell>
          <cell r="AI262">
            <v>7.3599999999999968</v>
          </cell>
          <cell r="AJ262">
            <v>64.99199999999999</v>
          </cell>
          <cell r="AK262">
            <v>131.5</v>
          </cell>
          <cell r="AL262">
            <v>610.6</v>
          </cell>
          <cell r="AM262">
            <v>202.833</v>
          </cell>
          <cell r="AN262">
            <v>-2.8750000000000004</v>
          </cell>
          <cell r="AO262">
            <v>0</v>
          </cell>
          <cell r="AP262">
            <v>83.835999999999999</v>
          </cell>
          <cell r="AQ262">
            <v>10.378</v>
          </cell>
          <cell r="AR262">
            <v>131.60927358999999</v>
          </cell>
          <cell r="AS262">
            <v>63.13900000000001</v>
          </cell>
          <cell r="AT262">
            <v>12.610999999999997</v>
          </cell>
          <cell r="AU262">
            <v>1694.5000000000002</v>
          </cell>
          <cell r="AV262">
            <v>1770.2500000000002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2.3960000000000043</v>
          </cell>
          <cell r="V263">
            <v>59.179000690656949</v>
          </cell>
          <cell r="W263">
            <v>45.644877840940083</v>
          </cell>
          <cell r="X263">
            <v>7.4586000000000041</v>
          </cell>
          <cell r="Y263">
            <v>19.724000000000004</v>
          </cell>
          <cell r="Z263">
            <v>69.727333333333334</v>
          </cell>
          <cell r="AA263">
            <v>105.53246666666668</v>
          </cell>
          <cell r="AB263">
            <v>193.81511033333328</v>
          </cell>
          <cell r="AC263">
            <v>39.791999999999987</v>
          </cell>
          <cell r="AD263">
            <v>0</v>
          </cell>
          <cell r="AE263">
            <v>-7.7188000000000052</v>
          </cell>
          <cell r="AF263">
            <v>55.385999999999967</v>
          </cell>
          <cell r="AG263">
            <v>25.486000000000004</v>
          </cell>
          <cell r="AH263">
            <v>6.1159999999999997</v>
          </cell>
          <cell r="AI263">
            <v>2.1077499999999967</v>
          </cell>
          <cell r="AJ263">
            <v>22.034549999999996</v>
          </cell>
          <cell r="AK263">
            <v>44.173599999999993</v>
          </cell>
          <cell r="AL263">
            <v>218.40000000000009</v>
          </cell>
          <cell r="AM263">
            <v>61.332999999999998</v>
          </cell>
          <cell r="AN263">
            <v>0.19599999999999973</v>
          </cell>
          <cell r="AO263">
            <v>0</v>
          </cell>
          <cell r="AP263">
            <v>16.977000000000004</v>
          </cell>
          <cell r="AQ263">
            <v>2.6972500000000004</v>
          </cell>
          <cell r="AR263">
            <v>51.982273589999991</v>
          </cell>
          <cell r="AS263">
            <v>25.486000000000011</v>
          </cell>
          <cell r="AT263">
            <v>5.3265999999999964</v>
          </cell>
          <cell r="AU263">
            <v>398</v>
          </cell>
          <cell r="AV263">
            <v>428.81260000000043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0.91999999999999993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1.4999999999999996</v>
          </cell>
          <cell r="AG264">
            <v>0</v>
          </cell>
          <cell r="AH264">
            <v>0.29400000000000004</v>
          </cell>
          <cell r="AI264">
            <v>0</v>
          </cell>
          <cell r="AJ264">
            <v>0.70919999999999994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-0.35000000000000497</v>
          </cell>
          <cell r="V265">
            <v>177.45399930934306</v>
          </cell>
          <cell r="W265">
            <v>77.385500000000008</v>
          </cell>
          <cell r="X265">
            <v>93.577399999999997</v>
          </cell>
          <cell r="Y265">
            <v>32.747</v>
          </cell>
          <cell r="Z265">
            <v>80.3</v>
          </cell>
          <cell r="AA265">
            <v>98.340199999999996</v>
          </cell>
          <cell r="AB265">
            <v>302.28622300000001</v>
          </cell>
          <cell r="AC265">
            <v>35.891000000000005</v>
          </cell>
          <cell r="AD265">
            <v>0</v>
          </cell>
          <cell r="AE265">
            <v>10.792800000000003</v>
          </cell>
          <cell r="AF265">
            <v>98.443000000000012</v>
          </cell>
          <cell r="AG265">
            <v>37.652999999999999</v>
          </cell>
          <cell r="AH265">
            <v>8.6870000000000012</v>
          </cell>
          <cell r="AI265">
            <v>5.2522500000000001</v>
          </cell>
          <cell r="AJ265">
            <v>42.248249999999999</v>
          </cell>
          <cell r="AK265">
            <v>87.326400000000007</v>
          </cell>
          <cell r="AL265">
            <v>392.19999999999993</v>
          </cell>
          <cell r="AM265">
            <v>141.5</v>
          </cell>
          <cell r="AN265">
            <v>-3.0710000000000002</v>
          </cell>
          <cell r="AO265">
            <v>0</v>
          </cell>
          <cell r="AP265">
            <v>66.858999999999995</v>
          </cell>
          <cell r="AQ265">
            <v>7.6807499999999997</v>
          </cell>
          <cell r="AR265">
            <v>79.626999999999995</v>
          </cell>
          <cell r="AS265">
            <v>37.652999999999999</v>
          </cell>
          <cell r="AT265">
            <v>7.2844000000000007</v>
          </cell>
          <cell r="AU265">
            <v>1296.5000000000002</v>
          </cell>
          <cell r="AV265">
            <v>1341.4373999999998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7"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-1.0738369384776236E-2</v>
          </cell>
          <cell r="V267">
            <v>1.2918271786108628</v>
          </cell>
          <cell r="W267">
            <v>1.4382852576016651</v>
          </cell>
          <cell r="X267">
            <v>1.9698248222138839</v>
          </cell>
          <cell r="Y267">
            <v>0.73489259614062385</v>
          </cell>
          <cell r="Z267">
            <v>0.78890634591155917</v>
          </cell>
          <cell r="AA267">
            <v>0.96614206523302504</v>
          </cell>
          <cell r="AB267">
            <v>2.7590532988261209</v>
          </cell>
          <cell r="AC267">
            <v>0.88306847763702201</v>
          </cell>
          <cell r="AD267">
            <v>0</v>
          </cell>
          <cell r="AE267">
            <v>0.15014268415334342</v>
          </cell>
          <cell r="AF267">
            <v>2.2519427189284369</v>
          </cell>
          <cell r="AG267">
            <v>1.3986369509577365</v>
          </cell>
          <cell r="AH267">
            <v>0</v>
          </cell>
          <cell r="AI267">
            <v>0</v>
          </cell>
          <cell r="AJ267">
            <v>1.3152104924182035</v>
          </cell>
          <cell r="AK267">
            <v>1.5264215060317308</v>
          </cell>
          <cell r="AL267">
            <v>1.3166014235410044</v>
          </cell>
          <cell r="AM267">
            <v>2.0301291248206601</v>
          </cell>
          <cell r="AN267">
            <v>-0.25523021464853357</v>
          </cell>
          <cell r="AO267">
            <v>0</v>
          </cell>
          <cell r="AP267">
            <v>0.99007523122629781</v>
          </cell>
          <cell r="AQ267">
            <v>0</v>
          </cell>
          <cell r="AR267">
            <v>1.1690426203514748</v>
          </cell>
          <cell r="AS267">
            <v>0</v>
          </cell>
          <cell r="AT267">
            <v>0</v>
          </cell>
          <cell r="AU267">
            <v>2.8243924611910254</v>
          </cell>
          <cell r="AV267">
            <v>2.8252395491836886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9"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6.4099999999999993</v>
          </cell>
          <cell r="V269">
            <v>30.077000000000002</v>
          </cell>
          <cell r="W269">
            <v>21.85275</v>
          </cell>
          <cell r="X269">
            <v>32.555</v>
          </cell>
          <cell r="Y269">
            <v>3.6420000000000003</v>
          </cell>
          <cell r="Z269">
            <v>82.698000000000008</v>
          </cell>
          <cell r="AA269">
            <v>17.420000000000002</v>
          </cell>
          <cell r="AB269">
            <v>63.783999999999999</v>
          </cell>
          <cell r="AC269">
            <v>22.178000000000004</v>
          </cell>
          <cell r="AD269">
            <v>0</v>
          </cell>
          <cell r="AE269">
            <v>21.582000000000001</v>
          </cell>
          <cell r="AF269">
            <v>26.502000000000006</v>
          </cell>
          <cell r="AG269">
            <v>41.96</v>
          </cell>
          <cell r="AH269">
            <v>0.38300000000000023</v>
          </cell>
          <cell r="AI269">
            <v>-1.6754999999999995</v>
          </cell>
          <cell r="AJ269">
            <v>14.964500000000001</v>
          </cell>
          <cell r="AK269">
            <v>80.599999999999994</v>
          </cell>
          <cell r="AL269">
            <v>221.8</v>
          </cell>
          <cell r="AM269">
            <v>71.373000000000005</v>
          </cell>
          <cell r="AN269">
            <v>4.0869999999999997</v>
          </cell>
          <cell r="AO269">
            <v>0</v>
          </cell>
          <cell r="AP269">
            <v>7.4390000000000001</v>
          </cell>
          <cell r="AQ269">
            <v>0.59960250000000004</v>
          </cell>
          <cell r="AR269">
            <v>10.989469999999999</v>
          </cell>
          <cell r="AS269">
            <v>41.960000000000008</v>
          </cell>
          <cell r="AT269">
            <v>6.09</v>
          </cell>
          <cell r="AU269">
            <v>286.90000000000003</v>
          </cell>
          <cell r="AV269">
            <v>334.95000000000005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7.2619999999999987</v>
          </cell>
          <cell r="V270">
            <v>261.745</v>
          </cell>
          <cell r="W270">
            <v>137.35871117427342</v>
          </cell>
          <cell r="X270">
            <v>156.02500000000001</v>
          </cell>
          <cell r="Y270">
            <v>51.147000000000006</v>
          </cell>
          <cell r="Z270">
            <v>412.83900000000006</v>
          </cell>
          <cell r="AA270">
            <v>252.64500000000004</v>
          </cell>
          <cell r="AB270">
            <v>744.75099999999998</v>
          </cell>
          <cell r="AC270">
            <v>113.88900000000001</v>
          </cell>
          <cell r="AD270">
            <v>0</v>
          </cell>
          <cell r="AE270">
            <v>38.466000000000001</v>
          </cell>
          <cell r="AF270">
            <v>187.339</v>
          </cell>
          <cell r="AG270">
            <v>116.208</v>
          </cell>
          <cell r="AH270">
            <v>16.768000000000001</v>
          </cell>
          <cell r="AI270">
            <v>0.68549999999999756</v>
          </cell>
          <cell r="AJ270">
            <v>89.895499999999998</v>
          </cell>
          <cell r="AK270">
            <v>307.79999999999995</v>
          </cell>
          <cell r="AL270">
            <v>940.8</v>
          </cell>
          <cell r="AM270">
            <v>290.74799999999999</v>
          </cell>
          <cell r="AN270">
            <v>0.62099999999999955</v>
          </cell>
          <cell r="AO270">
            <v>0</v>
          </cell>
          <cell r="AP270">
            <v>98.355999999999995</v>
          </cell>
          <cell r="AQ270">
            <v>11.1086025</v>
          </cell>
          <cell r="AR270">
            <v>147.27474358999999</v>
          </cell>
          <cell r="AS270">
            <v>116.20800000000001</v>
          </cell>
          <cell r="AT270">
            <v>18.288999999999998</v>
          </cell>
          <cell r="AU270">
            <v>2126.4</v>
          </cell>
          <cell r="AV270">
            <v>2260.8969999999999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22.530999999999999</v>
          </cell>
          <cell r="V272">
            <v>37.673000000000002</v>
          </cell>
          <cell r="W272">
            <v>33.877749999999999</v>
          </cell>
          <cell r="X272">
            <v>72.569000000000017</v>
          </cell>
          <cell r="Y272">
            <v>9.1739999999999995</v>
          </cell>
          <cell r="Z272">
            <v>69.308999999999997</v>
          </cell>
          <cell r="AA272">
            <v>16.619</v>
          </cell>
          <cell r="AB272">
            <v>50.020999999999994</v>
          </cell>
          <cell r="AC272">
            <v>6.4660000000000011</v>
          </cell>
          <cell r="AD272">
            <v>0</v>
          </cell>
          <cell r="AE272">
            <v>22.908999999999999</v>
          </cell>
          <cell r="AF272">
            <v>57.56</v>
          </cell>
          <cell r="AG272">
            <v>63.667999999999999</v>
          </cell>
          <cell r="AH272">
            <v>5.6820000000000004</v>
          </cell>
          <cell r="AI272">
            <v>3.9488333333333325</v>
          </cell>
          <cell r="AJ272">
            <v>9.6308333333333334</v>
          </cell>
          <cell r="AK272">
            <v>42</v>
          </cell>
          <cell r="AL272">
            <v>137.69999999999999</v>
          </cell>
          <cell r="AM272">
            <v>109.76300000000001</v>
          </cell>
          <cell r="AN272">
            <v>2.7440000000000002</v>
          </cell>
          <cell r="AO272">
            <v>0</v>
          </cell>
          <cell r="AP272">
            <v>12.975</v>
          </cell>
          <cell r="AQ272">
            <v>0.36630825</v>
          </cell>
          <cell r="AR272">
            <v>15.861410999999999</v>
          </cell>
          <cell r="AS272">
            <v>63.667999999999992</v>
          </cell>
          <cell r="AT272">
            <v>4.18</v>
          </cell>
          <cell r="AU272">
            <v>292.49999999999994</v>
          </cell>
          <cell r="AV272">
            <v>360.34800000000001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4"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6.2229999999999999</v>
          </cell>
          <cell r="W274">
            <v>19.74966666666667</v>
          </cell>
          <cell r="X274">
            <v>3.105</v>
          </cell>
          <cell r="Y274">
            <v>4.9660000000000002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1.224</v>
          </cell>
          <cell r="AF274">
            <v>11.276</v>
          </cell>
          <cell r="AG274">
            <v>2.2650000000000001</v>
          </cell>
          <cell r="AH274">
            <v>-1.2879999999999998</v>
          </cell>
          <cell r="AI274">
            <v>0</v>
          </cell>
          <cell r="AJ274">
            <v>-1.2879999999999998</v>
          </cell>
          <cell r="AK274">
            <v>0</v>
          </cell>
          <cell r="AL274">
            <v>0</v>
          </cell>
          <cell r="AM274">
            <v>0</v>
          </cell>
          <cell r="AN274">
            <v>0.62999999999999989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2.2650000000000006</v>
          </cell>
          <cell r="AT274">
            <v>0.41199999999999992</v>
          </cell>
          <cell r="AU274">
            <v>0</v>
          </cell>
          <cell r="AV274">
            <v>2.6769999999999992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-1.194</v>
          </cell>
          <cell r="V275">
            <v>1.258</v>
          </cell>
          <cell r="W275">
            <v>11.305250000000001</v>
          </cell>
          <cell r="X275">
            <v>25.539000000000001</v>
          </cell>
          <cell r="Y275">
            <v>0</v>
          </cell>
          <cell r="Z275">
            <v>180.11366666666669</v>
          </cell>
          <cell r="AA275">
            <v>31.352333333333338</v>
          </cell>
          <cell r="AB275">
            <v>184.8656666666667</v>
          </cell>
          <cell r="AC275">
            <v>16.027999999999999</v>
          </cell>
          <cell r="AD275">
            <v>0</v>
          </cell>
          <cell r="AE275">
            <v>15.034000000000002</v>
          </cell>
          <cell r="AF275">
            <v>16.783999999999999</v>
          </cell>
          <cell r="AG275">
            <v>13.374000000000001</v>
          </cell>
          <cell r="AH275">
            <v>0</v>
          </cell>
          <cell r="AI275">
            <v>-4.9989999999999997</v>
          </cell>
          <cell r="AJ275">
            <v>8.6509999999999998</v>
          </cell>
          <cell r="AK275">
            <v>95.699999999999989</v>
          </cell>
          <cell r="AL275">
            <v>108.4</v>
          </cell>
          <cell r="AM275">
            <v>16.542000000000002</v>
          </cell>
          <cell r="AN275">
            <v>3.8999999999999993E-2</v>
          </cell>
          <cell r="AO275">
            <v>0</v>
          </cell>
          <cell r="AP275">
            <v>7.0810000000000004</v>
          </cell>
          <cell r="AQ275">
            <v>0.13100000000000001</v>
          </cell>
          <cell r="AR275">
            <v>4.676000000000001</v>
          </cell>
          <cell r="AS275">
            <v>13.373999999999999</v>
          </cell>
          <cell r="AT275">
            <v>0</v>
          </cell>
          <cell r="AU275">
            <v>144.99999999999997</v>
          </cell>
          <cell r="AV275">
            <v>158.37399999999997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8">
          <cell r="H278" t="str">
            <v>Invitrogen</v>
          </cell>
          <cell r="I278" t="str">
            <v>QIAGEN NV</v>
          </cell>
          <cell r="J278" t="str">
            <v>TECHNE</v>
          </cell>
          <cell r="K278" t="str">
            <v>Bio-Rad Laboratories</v>
          </cell>
          <cell r="L278" t="str">
            <v>Affymetrix</v>
          </cell>
          <cell r="M278" t="str">
            <v>Applied Biosystems*</v>
          </cell>
          <cell r="N278" t="str">
            <v>Mettler Toledo*</v>
          </cell>
          <cell r="O278" t="str">
            <v>Molecular Devices*</v>
          </cell>
          <cell r="P278" t="str">
            <v>PerkinElmer</v>
          </cell>
          <cell r="Q278" t="str">
            <v>Thermo Electron</v>
          </cell>
          <cell r="R278" t="str">
            <v>Varian</v>
          </cell>
          <cell r="S278" t="str">
            <v>Waters*</v>
          </cell>
          <cell r="T278" t="str">
            <v>Fisher Scientific*</v>
          </cell>
          <cell r="U278" t="str">
            <v>Ventana Medical Systems, Inc.</v>
          </cell>
          <cell r="V278" t="str">
            <v>Accredo Health*</v>
          </cell>
          <cell r="W278" t="str">
            <v>Invitrogen</v>
          </cell>
          <cell r="X278" t="str">
            <v>Millipore</v>
          </cell>
          <cell r="Y278" t="str">
            <v>Priority Healthcare</v>
          </cell>
          <cell r="Z278" t="str">
            <v>Bergen Brunswig</v>
          </cell>
          <cell r="AA278" t="str">
            <v>AmeriSource</v>
          </cell>
          <cell r="AB278" t="str">
            <v>AmerisourceBergen</v>
          </cell>
          <cell r="AC278" t="str">
            <v>Owens &amp; Minor</v>
          </cell>
          <cell r="AD278" t="str">
            <v>Short Name</v>
          </cell>
          <cell r="AE278" t="str">
            <v>PSS World Medical, Inc.</v>
          </cell>
          <cell r="AF278" t="str">
            <v>Henry Schein</v>
          </cell>
          <cell r="AG278" t="str">
            <v>Syncor</v>
          </cell>
          <cell r="AH278" t="str">
            <v>Accredo</v>
          </cell>
          <cell r="AI278" t="str">
            <v>Gentiva</v>
          </cell>
          <cell r="AJ278" t="str">
            <v>Accredo*</v>
          </cell>
          <cell r="AK278" t="str">
            <v>Fisher Scientific*</v>
          </cell>
          <cell r="AL278" t="str">
            <v>McKesson Corporation</v>
          </cell>
          <cell r="AM278" t="str">
            <v>Sigma-Aldrich</v>
          </cell>
          <cell r="AN278" t="str">
            <v>Chronimed</v>
          </cell>
          <cell r="AO278" t="str">
            <v>Short Name</v>
          </cell>
          <cell r="AP278" t="str">
            <v>Patterson Dental</v>
          </cell>
          <cell r="AQ278" t="str">
            <v>Short Name</v>
          </cell>
          <cell r="AR278" t="str">
            <v>Patterson Dental</v>
          </cell>
          <cell r="AS278" t="str">
            <v>Syncor</v>
          </cell>
          <cell r="AT278" t="str">
            <v>Boron, LePore</v>
          </cell>
          <cell r="AU278" t="str">
            <v>Cardinal Health</v>
          </cell>
          <cell r="AV278" t="str">
            <v>Cardinal Health</v>
          </cell>
          <cell r="AW278" t="str">
            <v>Short Name</v>
          </cell>
          <cell r="AX278" t="str">
            <v>Short Name</v>
          </cell>
          <cell r="AY278" t="str">
            <v>Short Name</v>
          </cell>
          <cell r="AZ278" t="str">
            <v>Short Name</v>
          </cell>
          <cell r="BA278" t="str">
            <v>Short Name</v>
          </cell>
          <cell r="BB278" t="str">
            <v>Short Name</v>
          </cell>
          <cell r="BC278" t="str">
            <v>Short Name</v>
          </cell>
          <cell r="BD278" t="str">
            <v>Short Name</v>
          </cell>
          <cell r="BE278" t="str">
            <v>Short Name</v>
          </cell>
        </row>
        <row r="283"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4.875</v>
          </cell>
          <cell r="V283">
            <v>0</v>
          </cell>
          <cell r="W283">
            <v>113.26199999999999</v>
          </cell>
          <cell r="X283">
            <v>111.226</v>
          </cell>
          <cell r="Y283">
            <v>15.169</v>
          </cell>
          <cell r="Z283">
            <v>264.28800000000001</v>
          </cell>
          <cell r="AA283">
            <v>179.416</v>
          </cell>
          <cell r="AB283">
            <v>386.459</v>
          </cell>
          <cell r="AC283">
            <v>27.307000000000002</v>
          </cell>
          <cell r="AD283">
            <v>0</v>
          </cell>
          <cell r="AE283">
            <v>39.140999999999998</v>
          </cell>
          <cell r="AF283">
            <v>40.996000000000002</v>
          </cell>
          <cell r="AG283">
            <v>31.448</v>
          </cell>
          <cell r="AH283">
            <v>38.585000000000001</v>
          </cell>
          <cell r="AI283">
            <v>34.248000000000005</v>
          </cell>
          <cell r="AJ283">
            <v>72.832999999999998</v>
          </cell>
          <cell r="AK283">
            <v>152.6</v>
          </cell>
          <cell r="AL283">
            <v>706.2</v>
          </cell>
          <cell r="AM283">
            <v>0</v>
          </cell>
          <cell r="AN283">
            <v>12.34</v>
          </cell>
          <cell r="AO283">
            <v>0</v>
          </cell>
          <cell r="AP283">
            <v>0</v>
          </cell>
          <cell r="AQ283">
            <v>0</v>
          </cell>
          <cell r="AR283">
            <v>110.62633092</v>
          </cell>
          <cell r="AS283">
            <v>85.836000000000013</v>
          </cell>
          <cell r="AT283">
            <v>13.683</v>
          </cell>
          <cell r="AU283">
            <v>1612.8</v>
          </cell>
          <cell r="AV283">
            <v>1712.3190000000002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3.9919999999999982</v>
          </cell>
          <cell r="V284">
            <v>0</v>
          </cell>
          <cell r="W284">
            <v>72.290133522820341</v>
          </cell>
          <cell r="X284">
            <v>98.924999999999983</v>
          </cell>
          <cell r="Y284">
            <v>12.629</v>
          </cell>
          <cell r="Z284">
            <v>217.44900000000001</v>
          </cell>
          <cell r="AA284">
            <v>144.625</v>
          </cell>
          <cell r="AB284">
            <v>324.94599999999997</v>
          </cell>
          <cell r="AC284">
            <v>24.847000000000001</v>
          </cell>
          <cell r="AD284">
            <v>0</v>
          </cell>
          <cell r="AE284">
            <v>51.414999999999999</v>
          </cell>
          <cell r="AF284">
            <v>37.048999999999999</v>
          </cell>
          <cell r="AG284">
            <v>29.677999999999997</v>
          </cell>
          <cell r="AH284">
            <v>21.817</v>
          </cell>
          <cell r="AI284">
            <v>33.5625</v>
          </cell>
          <cell r="AJ284">
            <v>55.379500000000007</v>
          </cell>
          <cell r="AK284">
            <v>135.80000000000001</v>
          </cell>
          <cell r="AL284">
            <v>588.29999999999995</v>
          </cell>
          <cell r="AM284">
            <v>0</v>
          </cell>
          <cell r="AN284">
            <v>10.000999999999999</v>
          </cell>
          <cell r="AO284">
            <v>0</v>
          </cell>
          <cell r="AP284">
            <v>26.949000000000002</v>
          </cell>
          <cell r="AQ284">
            <v>0.1998675</v>
          </cell>
          <cell r="AR284">
            <v>96.873057330000009</v>
          </cell>
          <cell r="AS284">
            <v>70.816999999999993</v>
          </cell>
          <cell r="AT284">
            <v>10.097000000000001</v>
          </cell>
          <cell r="AU284">
            <v>1379</v>
          </cell>
          <cell r="AV284">
            <v>1459.9139999999998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6.3789999999999978</v>
          </cell>
          <cell r="V285">
            <v>261.745</v>
          </cell>
          <cell r="W285">
            <v>96.386844697093792</v>
          </cell>
          <cell r="X285">
            <v>143.72399999999999</v>
          </cell>
          <cell r="Y285">
            <v>48.606999999999999</v>
          </cell>
          <cell r="Z285">
            <v>366</v>
          </cell>
          <cell r="AA285">
            <v>217.85399999999998</v>
          </cell>
          <cell r="AB285">
            <v>683.23799999999994</v>
          </cell>
          <cell r="AC285">
            <v>111.429</v>
          </cell>
          <cell r="AD285">
            <v>0</v>
          </cell>
          <cell r="AE285">
            <v>50.739999999999995</v>
          </cell>
          <cell r="AF285">
            <v>183.392</v>
          </cell>
          <cell r="AG285">
            <v>114.43799999999999</v>
          </cell>
          <cell r="AH285">
            <v>0</v>
          </cell>
          <cell r="AI285">
            <v>0</v>
          </cell>
          <cell r="AJ285">
            <v>72.442000000000007</v>
          </cell>
          <cell r="AK285">
            <v>291</v>
          </cell>
          <cell r="AL285">
            <v>822.9</v>
          </cell>
          <cell r="AM285">
            <v>290.74799999999999</v>
          </cell>
          <cell r="AN285">
            <v>-1.718</v>
          </cell>
          <cell r="AO285">
            <v>0</v>
          </cell>
          <cell r="AP285">
            <v>125.30499999999999</v>
          </cell>
          <cell r="AQ285">
            <v>11.30847</v>
          </cell>
          <cell r="AR285">
            <v>133.52146999999999</v>
          </cell>
          <cell r="AS285">
            <v>101.18899999999999</v>
          </cell>
          <cell r="AT285">
            <v>14.702999999999999</v>
          </cell>
          <cell r="AU285">
            <v>1892.6</v>
          </cell>
          <cell r="AV285">
            <v>2008.492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330.14100000000002</v>
          </cell>
          <cell r="AA286">
            <v>235.22499999999999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90">
          <cell r="H290" t="str">
            <v xml:space="preserve">NM  </v>
          </cell>
          <cell r="I290" t="str">
            <v xml:space="preserve">NM  </v>
          </cell>
          <cell r="J290" t="str">
            <v xml:space="preserve">NM  </v>
          </cell>
          <cell r="K290" t="str">
            <v xml:space="preserve">NM  </v>
          </cell>
          <cell r="L290" t="str">
            <v xml:space="preserve">NM  </v>
          </cell>
          <cell r="M290" t="str">
            <v xml:space="preserve">NM  </v>
          </cell>
          <cell r="N290" t="str">
            <v xml:space="preserve">NM  </v>
          </cell>
          <cell r="O290" t="str">
            <v xml:space="preserve">NM  </v>
          </cell>
          <cell r="P290" t="str">
            <v xml:space="preserve">NM  </v>
          </cell>
          <cell r="Q290" t="str">
            <v xml:space="preserve">NM  </v>
          </cell>
          <cell r="R290" t="str">
            <v xml:space="preserve">NM  </v>
          </cell>
          <cell r="S290" t="str">
            <v xml:space="preserve">NM  </v>
          </cell>
          <cell r="T290" t="str">
            <v xml:space="preserve">NM  </v>
          </cell>
          <cell r="U290" t="str">
            <v xml:space="preserve">NM  </v>
          </cell>
          <cell r="V290" t="str">
            <v xml:space="preserve">NM  </v>
          </cell>
          <cell r="W290" t="str">
            <v xml:space="preserve">NM  </v>
          </cell>
          <cell r="X290" t="str">
            <v xml:space="preserve">NM  </v>
          </cell>
          <cell r="Y290" t="str">
            <v xml:space="preserve">NM  </v>
          </cell>
          <cell r="Z290" t="str">
            <v xml:space="preserve">NM  </v>
          </cell>
          <cell r="AA290" t="str">
            <v xml:space="preserve">NM  </v>
          </cell>
          <cell r="AB290" t="str">
            <v xml:space="preserve">NM  </v>
          </cell>
          <cell r="AC290" t="str">
            <v xml:space="preserve">NM  </v>
          </cell>
          <cell r="AD290" t="str">
            <v xml:space="preserve">NM  </v>
          </cell>
          <cell r="AE290" t="str">
            <v xml:space="preserve">NM  </v>
          </cell>
          <cell r="AF290" t="str">
            <v xml:space="preserve">NM  </v>
          </cell>
          <cell r="AG290" t="str">
            <v xml:space="preserve">NM  </v>
          </cell>
          <cell r="AH290" t="str">
            <v xml:space="preserve">NM  </v>
          </cell>
          <cell r="AI290" t="str">
            <v xml:space="preserve">NM  </v>
          </cell>
          <cell r="AJ290" t="str">
            <v xml:space="preserve">NM  </v>
          </cell>
          <cell r="AK290" t="str">
            <v xml:space="preserve">NM  </v>
          </cell>
          <cell r="AL290" t="str">
            <v xml:space="preserve">NM  </v>
          </cell>
          <cell r="AM290" t="str">
            <v xml:space="preserve">NM  </v>
          </cell>
          <cell r="AN290" t="str">
            <v xml:space="preserve">NM  </v>
          </cell>
          <cell r="AO290" t="str">
            <v xml:space="preserve">NM  </v>
          </cell>
          <cell r="AP290" t="str">
            <v xml:space="preserve">NM  </v>
          </cell>
          <cell r="AQ290" t="str">
            <v xml:space="preserve">NM  </v>
          </cell>
          <cell r="AR290" t="str">
            <v xml:space="preserve">NM  </v>
          </cell>
          <cell r="AS290" t="str">
            <v xml:space="preserve">NM  </v>
          </cell>
          <cell r="AT290" t="str">
            <v xml:space="preserve">NM  </v>
          </cell>
          <cell r="AU290" t="str">
            <v xml:space="preserve">NM  </v>
          </cell>
          <cell r="AV290" t="str">
            <v xml:space="preserve">NM  </v>
          </cell>
          <cell r="AW290" t="str">
            <v xml:space="preserve">NM  </v>
          </cell>
          <cell r="AX290" t="str">
            <v xml:space="preserve">NM  </v>
          </cell>
          <cell r="AY290" t="str">
            <v xml:space="preserve">NM  </v>
          </cell>
          <cell r="AZ290" t="str">
            <v xml:space="preserve">NM  </v>
          </cell>
          <cell r="BA290" t="str">
            <v xml:space="preserve">NM  </v>
          </cell>
          <cell r="BB290" t="str">
            <v xml:space="preserve">NM  </v>
          </cell>
          <cell r="BC290" t="str">
            <v xml:space="preserve">NM  </v>
          </cell>
          <cell r="BD290" t="str">
            <v xml:space="preserve">NM  </v>
          </cell>
          <cell r="BE290" t="str">
            <v xml:space="preserve">NM  </v>
          </cell>
        </row>
        <row r="291">
          <cell r="H291" t="str">
            <v xml:space="preserve">NM  </v>
          </cell>
          <cell r="I291" t="str">
            <v xml:space="preserve">NM  </v>
          </cell>
          <cell r="J291" t="str">
            <v xml:space="preserve">NM  </v>
          </cell>
          <cell r="K291" t="str">
            <v xml:space="preserve">NM  </v>
          </cell>
          <cell r="L291" t="str">
            <v xml:space="preserve">NM  </v>
          </cell>
          <cell r="M291" t="str">
            <v xml:space="preserve">NM  </v>
          </cell>
          <cell r="N291" t="str">
            <v xml:space="preserve">NM  </v>
          </cell>
          <cell r="O291" t="str">
            <v xml:space="preserve">NM  </v>
          </cell>
          <cell r="P291" t="str">
            <v xml:space="preserve">NM  </v>
          </cell>
          <cell r="Q291" t="str">
            <v xml:space="preserve">NM  </v>
          </cell>
          <cell r="R291" t="str">
            <v xml:space="preserve">NM  </v>
          </cell>
          <cell r="S291" t="str">
            <v xml:space="preserve">NM  </v>
          </cell>
          <cell r="T291" t="str">
            <v xml:space="preserve">NM  </v>
          </cell>
          <cell r="U291" t="str">
            <v xml:space="preserve">NM  </v>
          </cell>
          <cell r="V291" t="str">
            <v xml:space="preserve">NM  </v>
          </cell>
          <cell r="W291" t="str">
            <v xml:space="preserve">NM  </v>
          </cell>
          <cell r="X291" t="str">
            <v xml:space="preserve">NM  </v>
          </cell>
          <cell r="Y291" t="str">
            <v xml:space="preserve">NM  </v>
          </cell>
          <cell r="Z291" t="str">
            <v xml:space="preserve">NM  </v>
          </cell>
          <cell r="AA291" t="str">
            <v xml:space="preserve">NM  </v>
          </cell>
          <cell r="AB291" t="str">
            <v xml:space="preserve">NM  </v>
          </cell>
          <cell r="AC291" t="str">
            <v xml:space="preserve">NM  </v>
          </cell>
          <cell r="AD291" t="str">
            <v xml:space="preserve">NM  </v>
          </cell>
          <cell r="AE291" t="str">
            <v xml:space="preserve">NM  </v>
          </cell>
          <cell r="AF291" t="str">
            <v xml:space="preserve">NM  </v>
          </cell>
          <cell r="AG291" t="str">
            <v xml:space="preserve">NM  </v>
          </cell>
          <cell r="AH291" t="str">
            <v xml:space="preserve">NM  </v>
          </cell>
          <cell r="AI291" t="str">
            <v xml:space="preserve">NM  </v>
          </cell>
          <cell r="AJ291" t="str">
            <v xml:space="preserve">NM  </v>
          </cell>
          <cell r="AK291" t="str">
            <v xml:space="preserve">NM  </v>
          </cell>
          <cell r="AL291" t="str">
            <v xml:space="preserve">NM  </v>
          </cell>
          <cell r="AM291" t="str">
            <v xml:space="preserve">NM  </v>
          </cell>
          <cell r="AN291" t="str">
            <v xml:space="preserve">NM  </v>
          </cell>
          <cell r="AO291" t="str">
            <v xml:space="preserve">NM  </v>
          </cell>
          <cell r="AP291" t="str">
            <v xml:space="preserve">NM  </v>
          </cell>
          <cell r="AQ291" t="str">
            <v xml:space="preserve">NM  </v>
          </cell>
          <cell r="AR291" t="str">
            <v xml:space="preserve">NM  </v>
          </cell>
          <cell r="AS291" t="str">
            <v xml:space="preserve">NM  </v>
          </cell>
          <cell r="AT291" t="str">
            <v xml:space="preserve">NM  </v>
          </cell>
          <cell r="AU291" t="str">
            <v xml:space="preserve">NM  </v>
          </cell>
          <cell r="AV291" t="str">
            <v xml:space="preserve">NM  </v>
          </cell>
          <cell r="AW291" t="str">
            <v xml:space="preserve">NM  </v>
          </cell>
          <cell r="AX291" t="str">
            <v xml:space="preserve">NM  </v>
          </cell>
          <cell r="AY291" t="str">
            <v xml:space="preserve">NM  </v>
          </cell>
          <cell r="AZ291" t="str">
            <v xml:space="preserve">NM  </v>
          </cell>
          <cell r="BA291" t="str">
            <v xml:space="preserve">NM  </v>
          </cell>
          <cell r="BB291" t="str">
            <v xml:space="preserve">NM  </v>
          </cell>
          <cell r="BC291" t="str">
            <v xml:space="preserve">NM  </v>
          </cell>
          <cell r="BD291" t="str">
            <v xml:space="preserve">NM  </v>
          </cell>
          <cell r="BE291" t="str">
            <v xml:space="preserve">NM  </v>
          </cell>
        </row>
        <row r="297"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40.082000000000001</v>
          </cell>
          <cell r="V297">
            <v>0</v>
          </cell>
          <cell r="W297">
            <v>672.03399999999999</v>
          </cell>
          <cell r="X297">
            <v>225.69399999999999</v>
          </cell>
          <cell r="Y297">
            <v>176.33999999999997</v>
          </cell>
          <cell r="Z297">
            <v>1516.5680000000002</v>
          </cell>
          <cell r="AA297">
            <v>897.29399999999987</v>
          </cell>
          <cell r="AB297">
            <v>2115.509</v>
          </cell>
          <cell r="AC297">
            <v>365.26499999999993</v>
          </cell>
          <cell r="AD297">
            <v>0</v>
          </cell>
          <cell r="AE297">
            <v>269.43100000000004</v>
          </cell>
          <cell r="AF297">
            <v>492.99599999999998</v>
          </cell>
          <cell r="AG297">
            <v>113.709</v>
          </cell>
          <cell r="AH297">
            <v>0</v>
          </cell>
          <cell r="AI297">
            <v>0</v>
          </cell>
          <cell r="AJ297">
            <v>327.29399999999998</v>
          </cell>
          <cell r="AK297">
            <v>0</v>
          </cell>
          <cell r="AL297">
            <v>2765.9000000000005</v>
          </cell>
          <cell r="AM297">
            <v>329.74800000000005</v>
          </cell>
          <cell r="AN297">
            <v>37.251000000000005</v>
          </cell>
          <cell r="AO297">
            <v>0</v>
          </cell>
          <cell r="AP297">
            <v>0</v>
          </cell>
          <cell r="AQ297">
            <v>0</v>
          </cell>
          <cell r="AR297">
            <v>344.90300000000002</v>
          </cell>
          <cell r="AS297">
            <v>113.709</v>
          </cell>
          <cell r="AT297">
            <v>42.294000000000004</v>
          </cell>
          <cell r="AU297">
            <v>5611.9000000000005</v>
          </cell>
          <cell r="AV297">
            <v>5767.9030000000002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e">
            <v>#VALUE!</v>
          </cell>
          <cell r="U298">
            <v>80.890999999999991</v>
          </cell>
          <cell r="V298">
            <v>471.05399999999997</v>
          </cell>
          <cell r="W298">
            <v>634.49500000000012</v>
          </cell>
          <cell r="X298">
            <v>347.14600000000002</v>
          </cell>
          <cell r="Y298">
            <v>187.65000000000003</v>
          </cell>
          <cell r="Z298" t="e">
            <v>#N/A</v>
          </cell>
          <cell r="AA298">
            <v>617.11899999999991</v>
          </cell>
          <cell r="AB298">
            <v>1223.605</v>
          </cell>
          <cell r="AC298">
            <v>180.13499999999999</v>
          </cell>
          <cell r="AD298" t="e">
            <v>#N/A</v>
          </cell>
          <cell r="AE298">
            <v>247.65600000000001</v>
          </cell>
          <cell r="AF298">
            <v>414.31899999999996</v>
          </cell>
          <cell r="AG298">
            <v>102.33199999999999</v>
          </cell>
          <cell r="AH298">
            <v>0</v>
          </cell>
          <cell r="AI298" t="e">
            <v>#DIV/0!</v>
          </cell>
          <cell r="AJ298" t="e">
            <v>#VALUE!</v>
          </cell>
          <cell r="AK298">
            <v>45.4</v>
          </cell>
          <cell r="AL298">
            <v>3004.8999999999996</v>
          </cell>
          <cell r="AM298">
            <v>677.97783000000004</v>
          </cell>
          <cell r="AN298">
            <v>45.271999999999991</v>
          </cell>
          <cell r="AO298" t="e">
            <v>#N/A</v>
          </cell>
          <cell r="AP298" t="e">
            <v>#DIV/0!</v>
          </cell>
          <cell r="AQ298" t="e">
            <v>#VALUE!</v>
          </cell>
          <cell r="AR298">
            <v>412.27100000000002</v>
          </cell>
          <cell r="AS298">
            <v>102.33199999999999</v>
          </cell>
          <cell r="AT298" t="e">
            <v>#N/A</v>
          </cell>
          <cell r="AU298" t="e">
            <v>#DIV/0!</v>
          </cell>
          <cell r="AV298">
            <v>4835.4490000000005</v>
          </cell>
          <cell r="AW298" t="e">
            <v>#VALUE!</v>
          </cell>
          <cell r="AX298" t="e">
            <v>#VALUE!</v>
          </cell>
          <cell r="AY298" t="e">
            <v>#VALUE!</v>
          </cell>
          <cell r="AZ298" t="e">
            <v>#VALUE!</v>
          </cell>
          <cell r="BA298" t="e">
            <v>#VALUE!</v>
          </cell>
          <cell r="BB298" t="e">
            <v>#VALUE!</v>
          </cell>
          <cell r="BC298" t="e">
            <v>#VALUE!</v>
          </cell>
          <cell r="BD298" t="e">
            <v>#VALUE!</v>
          </cell>
          <cell r="BE298" t="e">
            <v>#VALUE!</v>
          </cell>
        </row>
        <row r="299"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300</v>
          </cell>
          <cell r="AA299">
            <v>0</v>
          </cell>
          <cell r="AB299">
            <v>0</v>
          </cell>
          <cell r="AC299">
            <v>132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196.1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 t="e">
            <v>#VALUE!</v>
          </cell>
          <cell r="U300">
            <v>3.028</v>
          </cell>
          <cell r="V300">
            <v>224.68799999999999</v>
          </cell>
          <cell r="W300">
            <v>21.153999999999996</v>
          </cell>
          <cell r="X300">
            <v>377.41700000000003</v>
          </cell>
          <cell r="Y300">
            <v>0</v>
          </cell>
          <cell r="Z300" t="e">
            <v>#N/A</v>
          </cell>
          <cell r="AA300">
            <v>340.93399999999997</v>
          </cell>
          <cell r="AB300">
            <v>1238.8889999999999</v>
          </cell>
          <cell r="AC300">
            <v>242.01499999999999</v>
          </cell>
          <cell r="AD300" t="e">
            <v>#N/A</v>
          </cell>
          <cell r="AE300">
            <v>125</v>
          </cell>
          <cell r="AF300">
            <v>256.75</v>
          </cell>
          <cell r="AG300">
            <v>216.34400000000002</v>
          </cell>
          <cell r="AH300">
            <v>0</v>
          </cell>
          <cell r="AI300" t="e">
            <v>#DIV/0!</v>
          </cell>
          <cell r="AJ300" t="e">
            <v>#VALUE!</v>
          </cell>
          <cell r="AK300">
            <v>957.5</v>
          </cell>
          <cell r="AL300">
            <v>1326.8000000000002</v>
          </cell>
          <cell r="AM300">
            <v>448.08199999999999</v>
          </cell>
          <cell r="AN300">
            <v>10.4</v>
          </cell>
          <cell r="AO300" t="e">
            <v>#N/A</v>
          </cell>
          <cell r="AP300" t="e">
            <v>#DIV/0!</v>
          </cell>
          <cell r="AQ300" t="e">
            <v>#VALUE!</v>
          </cell>
          <cell r="AR300">
            <v>0</v>
          </cell>
          <cell r="AS300">
            <v>216.34400000000002</v>
          </cell>
          <cell r="AT300" t="e">
            <v>#N/A</v>
          </cell>
          <cell r="AU300" t="e">
            <v>#DIV/0!</v>
          </cell>
          <cell r="AV300">
            <v>2697.5439999999999</v>
          </cell>
          <cell r="AW300" t="e">
            <v>#VALUE!</v>
          </cell>
          <cell r="AX300" t="e">
            <v>#VALUE!</v>
          </cell>
          <cell r="AY300" t="e">
            <v>#VALUE!</v>
          </cell>
          <cell r="AZ300" t="e">
            <v>#VALUE!</v>
          </cell>
          <cell r="BA300" t="e">
            <v>#VALUE!</v>
          </cell>
          <cell r="BB300" t="e">
            <v>#VALUE!</v>
          </cell>
          <cell r="BC300" t="e">
            <v>#VALUE!</v>
          </cell>
          <cell r="BD300" t="e">
            <v>#VALUE!</v>
          </cell>
          <cell r="BE300" t="e">
            <v>#VALUE!</v>
          </cell>
        </row>
        <row r="301"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e">
            <v>#VALUE!</v>
          </cell>
          <cell r="U301">
            <v>16.299999999999997</v>
          </cell>
          <cell r="V301">
            <v>453.77499999999998</v>
          </cell>
          <cell r="W301">
            <v>350.19299999999976</v>
          </cell>
          <cell r="X301">
            <v>547.45100000000002</v>
          </cell>
          <cell r="Y301">
            <v>138.10899999999998</v>
          </cell>
          <cell r="Z301" t="e">
            <v>#N/A</v>
          </cell>
          <cell r="AA301">
            <v>2185.0190000000002</v>
          </cell>
          <cell r="AB301">
            <v>7250.4929999999986</v>
          </cell>
          <cell r="AC301">
            <v>618.97900000000004</v>
          </cell>
          <cell r="AD301" t="e">
            <v>#N/A</v>
          </cell>
          <cell r="AE301">
            <v>345.41200000000003</v>
          </cell>
          <cell r="AF301">
            <v>602.09400000000005</v>
          </cell>
          <cell r="AG301">
            <v>348.87900000000002</v>
          </cell>
          <cell r="AH301">
            <v>0</v>
          </cell>
          <cell r="AI301" t="e">
            <v>#DIV/0!</v>
          </cell>
          <cell r="AJ301" t="e">
            <v>#VALUE!</v>
          </cell>
          <cell r="AK301">
            <v>-45.4</v>
          </cell>
          <cell r="AL301">
            <v>8909.7000000000007</v>
          </cell>
          <cell r="AM301">
            <v>634.22216999999989</v>
          </cell>
          <cell r="AN301">
            <v>30.297000000000011</v>
          </cell>
          <cell r="AO301" t="e">
            <v>#N/A</v>
          </cell>
          <cell r="AP301" t="e">
            <v>#DIV/0!</v>
          </cell>
          <cell r="AQ301" t="e">
            <v>#VALUE!</v>
          </cell>
          <cell r="AR301">
            <v>177.53899999999999</v>
          </cell>
          <cell r="AS301">
            <v>348.87900000000002</v>
          </cell>
          <cell r="AT301" t="e">
            <v>#N/A</v>
          </cell>
          <cell r="AU301" t="e">
            <v>#DIV/0!</v>
          </cell>
          <cell r="AV301">
            <v>10795.365999999998</v>
          </cell>
          <cell r="AW301" t="e">
            <v>#VALUE!</v>
          </cell>
          <cell r="AX301" t="e">
            <v>#VALUE!</v>
          </cell>
          <cell r="AY301" t="e">
            <v>#VALUE!</v>
          </cell>
          <cell r="AZ301" t="e">
            <v>#VALUE!</v>
          </cell>
          <cell r="BA301" t="e">
            <v>#VALUE!</v>
          </cell>
          <cell r="BB301" t="e">
            <v>#VALUE!</v>
          </cell>
          <cell r="BC301" t="e">
            <v>#VALUE!</v>
          </cell>
          <cell r="BD301" t="e">
            <v>#VALUE!</v>
          </cell>
          <cell r="BE301" t="e">
            <v>#VALUE!</v>
          </cell>
        </row>
        <row r="302"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20.766999999999999</v>
          </cell>
          <cell r="V302">
            <v>0</v>
          </cell>
          <cell r="W302">
            <v>572.90300000000002</v>
          </cell>
          <cell r="X302">
            <v>70.257999999999996</v>
          </cell>
          <cell r="Y302">
            <v>91.347999999999999</v>
          </cell>
          <cell r="Z302">
            <v>60.804000000000002</v>
          </cell>
          <cell r="AA302">
            <v>94.298000000000002</v>
          </cell>
          <cell r="AB302">
            <v>463.815</v>
          </cell>
          <cell r="AC302">
            <v>0.68799999999999994</v>
          </cell>
          <cell r="AD302">
            <v>0</v>
          </cell>
          <cell r="AE302">
            <v>40.206000000000003</v>
          </cell>
          <cell r="AF302">
            <v>93.421000000000006</v>
          </cell>
          <cell r="AG302">
            <v>24.074999999999999</v>
          </cell>
          <cell r="AH302">
            <v>0</v>
          </cell>
          <cell r="AI302">
            <v>0</v>
          </cell>
          <cell r="AJ302">
            <v>58.841999999999999</v>
          </cell>
          <cell r="AK302">
            <v>0</v>
          </cell>
          <cell r="AL302">
            <v>385.5</v>
          </cell>
          <cell r="AM302">
            <v>33.501829999999998</v>
          </cell>
          <cell r="AN302">
            <v>3.6070000000000002</v>
          </cell>
          <cell r="AO302">
            <v>0</v>
          </cell>
          <cell r="AP302">
            <v>0</v>
          </cell>
          <cell r="AQ302">
            <v>0</v>
          </cell>
          <cell r="AR302">
            <v>132.43700000000001</v>
          </cell>
          <cell r="AS302">
            <v>24.074999999999999</v>
          </cell>
          <cell r="AT302">
            <v>14.052</v>
          </cell>
          <cell r="AU302">
            <v>869.2</v>
          </cell>
          <cell r="AV302">
            <v>703.32700000000011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 t="e">
            <v>#VALUE!</v>
          </cell>
          <cell r="U303">
            <v>91.567999999999998</v>
          </cell>
          <cell r="V303">
            <v>471.05399999999997</v>
          </cell>
          <cell r="W303">
            <v>1875.7080000000001</v>
          </cell>
          <cell r="X303">
            <v>375.39800000000002</v>
          </cell>
          <cell r="Y303">
            <v>271.21300000000002</v>
          </cell>
          <cell r="Z303" t="e">
            <v>#N/A</v>
          </cell>
          <cell r="AA303">
            <v>702.92499999999995</v>
          </cell>
          <cell r="AB303">
            <v>3349.7260000000001</v>
          </cell>
          <cell r="AC303">
            <v>378.459</v>
          </cell>
          <cell r="AD303" t="e">
            <v>#N/A</v>
          </cell>
          <cell r="AE303">
            <v>324.77800000000002</v>
          </cell>
          <cell r="AF303">
            <v>707.42499999999995</v>
          </cell>
          <cell r="AG303">
            <v>245.49199999999999</v>
          </cell>
          <cell r="AH303">
            <v>0</v>
          </cell>
          <cell r="AI303" t="e">
            <v>#DIV/0!</v>
          </cell>
          <cell r="AJ303" t="e">
            <v>#VALUE!</v>
          </cell>
          <cell r="AK303">
            <v>45.4</v>
          </cell>
          <cell r="AL303">
            <v>3979.2</v>
          </cell>
          <cell r="AM303">
            <v>805.57983000000002</v>
          </cell>
          <cell r="AN303">
            <v>75.504999999999995</v>
          </cell>
          <cell r="AO303" t="e">
            <v>#N/A</v>
          </cell>
          <cell r="AP303" t="e">
            <v>#DIV/0!</v>
          </cell>
          <cell r="AQ303" t="e">
            <v>#VALUE!</v>
          </cell>
          <cell r="AR303">
            <v>543.28300000000002</v>
          </cell>
          <cell r="AS303">
            <v>245.49199999999999</v>
          </cell>
          <cell r="AT303" t="e">
            <v>#N/A</v>
          </cell>
          <cell r="AU303" t="e">
            <v>#DIV/0!</v>
          </cell>
          <cell r="AV303">
            <v>6209</v>
          </cell>
          <cell r="AW303" t="e">
            <v>#VALUE!</v>
          </cell>
          <cell r="AX303" t="e">
            <v>#VALUE!</v>
          </cell>
          <cell r="AY303" t="e">
            <v>#VALUE!</v>
          </cell>
          <cell r="AZ303" t="e">
            <v>#VALUE!</v>
          </cell>
          <cell r="BA303" t="e">
            <v>#VALUE!</v>
          </cell>
          <cell r="BB303" t="e">
            <v>#VALUE!</v>
          </cell>
          <cell r="BC303" t="e">
            <v>#VALUE!</v>
          </cell>
          <cell r="BD303" t="e">
            <v>#VALUE!</v>
          </cell>
          <cell r="BE303" t="e">
            <v>#VALUE!</v>
          </cell>
        </row>
        <row r="304"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e">
            <v>#VALUE!</v>
          </cell>
          <cell r="U304">
            <v>3.028</v>
          </cell>
          <cell r="V304">
            <v>224.68799999999999</v>
          </cell>
          <cell r="W304">
            <v>21.153999999999996</v>
          </cell>
          <cell r="X304">
            <v>377.41700000000003</v>
          </cell>
          <cell r="Y304">
            <v>0</v>
          </cell>
          <cell r="Z304" t="e">
            <v>#N/A</v>
          </cell>
          <cell r="AA304">
            <v>340.93399999999997</v>
          </cell>
          <cell r="AB304">
            <v>1238.8889999999999</v>
          </cell>
          <cell r="AC304">
            <v>242.01499999999999</v>
          </cell>
          <cell r="AD304" t="e">
            <v>#N/A</v>
          </cell>
          <cell r="AE304">
            <v>125</v>
          </cell>
          <cell r="AF304">
            <v>256.75</v>
          </cell>
          <cell r="AG304">
            <v>216.34400000000002</v>
          </cell>
          <cell r="AH304">
            <v>0</v>
          </cell>
          <cell r="AI304" t="e">
            <v>#DIV/0!</v>
          </cell>
          <cell r="AJ304" t="e">
            <v>#VALUE!</v>
          </cell>
          <cell r="AK304">
            <v>957.5</v>
          </cell>
          <cell r="AL304">
            <v>1326.8000000000002</v>
          </cell>
          <cell r="AM304">
            <v>448.08199999999999</v>
          </cell>
          <cell r="AN304">
            <v>10.4</v>
          </cell>
          <cell r="AO304" t="e">
            <v>#N/A</v>
          </cell>
          <cell r="AP304" t="e">
            <v>#DIV/0!</v>
          </cell>
          <cell r="AQ304" t="e">
            <v>#VALUE!</v>
          </cell>
          <cell r="AR304">
            <v>0</v>
          </cell>
          <cell r="AS304">
            <v>216.34400000000002</v>
          </cell>
          <cell r="AT304" t="e">
            <v>#N/A</v>
          </cell>
          <cell r="AU304" t="e">
            <v>#DIV/0!</v>
          </cell>
          <cell r="AV304">
            <v>2697.5439999999999</v>
          </cell>
          <cell r="AW304" t="e">
            <v>#VALUE!</v>
          </cell>
          <cell r="AX304" t="e">
            <v>#VALUE!</v>
          </cell>
          <cell r="AY304" t="e">
            <v>#VALUE!</v>
          </cell>
          <cell r="AZ304" t="e">
            <v>#VALUE!</v>
          </cell>
          <cell r="BA304" t="e">
            <v>#VALUE!</v>
          </cell>
          <cell r="BB304" t="e">
            <v>#VALUE!</v>
          </cell>
          <cell r="BC304" t="e">
            <v>#VALUE!</v>
          </cell>
          <cell r="BD304" t="e">
            <v>#VALUE!</v>
          </cell>
          <cell r="BE304" t="e">
            <v>#VALUE!</v>
          </cell>
        </row>
        <row r="305"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e">
            <v>#VALUE!</v>
          </cell>
          <cell r="U305">
            <v>94.596000000000004</v>
          </cell>
          <cell r="V305">
            <v>695.74199999999996</v>
          </cell>
          <cell r="W305">
            <v>1896.8620000000001</v>
          </cell>
          <cell r="X305">
            <v>752.81500000000005</v>
          </cell>
          <cell r="Y305">
            <v>271.21300000000002</v>
          </cell>
          <cell r="Z305" t="e">
            <v>#N/A</v>
          </cell>
          <cell r="AA305">
            <v>1043.8589999999999</v>
          </cell>
          <cell r="AB305">
            <v>4588.6149999999998</v>
          </cell>
          <cell r="AC305">
            <v>620.47399999999993</v>
          </cell>
          <cell r="AD305" t="e">
            <v>#N/A</v>
          </cell>
          <cell r="AE305">
            <v>449.77800000000002</v>
          </cell>
          <cell r="AF305">
            <v>964.17499999999995</v>
          </cell>
          <cell r="AG305">
            <v>461.83600000000001</v>
          </cell>
          <cell r="AH305">
            <v>0</v>
          </cell>
          <cell r="AI305" t="e">
            <v>#DIV/0!</v>
          </cell>
          <cell r="AJ305" t="e">
            <v>#VALUE!</v>
          </cell>
          <cell r="AK305">
            <v>1002.9</v>
          </cell>
          <cell r="AL305">
            <v>5306</v>
          </cell>
          <cell r="AM305">
            <v>1253.66183</v>
          </cell>
          <cell r="AN305">
            <v>85.905000000000001</v>
          </cell>
          <cell r="AO305" t="e">
            <v>#N/A</v>
          </cell>
          <cell r="AP305" t="e">
            <v>#DIV/0!</v>
          </cell>
          <cell r="AQ305" t="e">
            <v>#VALUE!</v>
          </cell>
          <cell r="AR305">
            <v>543.28300000000002</v>
          </cell>
          <cell r="AS305">
            <v>461.83600000000001</v>
          </cell>
          <cell r="AT305" t="e">
            <v>#N/A</v>
          </cell>
          <cell r="AU305" t="e">
            <v>#DIV/0!</v>
          </cell>
          <cell r="AV305">
            <v>8906.5439999999999</v>
          </cell>
          <cell r="AW305" t="e">
            <v>#VALUE!</v>
          </cell>
          <cell r="AX305" t="e">
            <v>#VALUE!</v>
          </cell>
          <cell r="AY305" t="e">
            <v>#VALUE!</v>
          </cell>
          <cell r="AZ305" t="e">
            <v>#VALUE!</v>
          </cell>
          <cell r="BA305" t="e">
            <v>#VALUE!</v>
          </cell>
          <cell r="BB305" t="e">
            <v>#VALUE!</v>
          </cell>
          <cell r="BC305" t="e">
            <v>#VALUE!</v>
          </cell>
          <cell r="BD305" t="e">
            <v>#VALUE!</v>
          </cell>
          <cell r="BE305" t="e">
            <v>#VALUE!</v>
          </cell>
        </row>
        <row r="309">
          <cell r="H309">
            <v>0</v>
          </cell>
          <cell r="I309">
            <v>0</v>
          </cell>
          <cell r="J309">
            <v>0.5</v>
          </cell>
          <cell r="K309">
            <v>0</v>
          </cell>
          <cell r="L309">
            <v>0</v>
          </cell>
          <cell r="M309">
            <v>0.5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193.71250000000001</v>
          </cell>
          <cell r="S309">
            <v>0</v>
          </cell>
          <cell r="T309" t="str">
            <v xml:space="preserve">NA </v>
          </cell>
          <cell r="U309">
            <v>71.149000000000001</v>
          </cell>
          <cell r="V309">
            <v>430.10399999999998</v>
          </cell>
          <cell r="W309">
            <v>0</v>
          </cell>
          <cell r="X309">
            <v>598.23099999999999</v>
          </cell>
          <cell r="Y309">
            <v>805.12</v>
          </cell>
          <cell r="Z309" t="str">
            <v xml:space="preserve">NA </v>
          </cell>
          <cell r="AA309" t="str">
            <v xml:space="preserve">NA </v>
          </cell>
          <cell r="AB309">
            <v>36038.432499999995</v>
          </cell>
          <cell r="AC309">
            <v>3814.9940000000001</v>
          </cell>
          <cell r="AD309" t="str">
            <v xml:space="preserve">NA </v>
          </cell>
          <cell r="AE309">
            <v>1346.4490000000001</v>
          </cell>
          <cell r="AF309">
            <v>2558.2429999999999</v>
          </cell>
          <cell r="AG309">
            <v>774.71799999999996</v>
          </cell>
          <cell r="AH309">
            <v>430.10399999999998</v>
          </cell>
          <cell r="AI309" t="str">
            <v xml:space="preserve">NA </v>
          </cell>
          <cell r="AJ309" t="str">
            <v xml:space="preserve">NA </v>
          </cell>
          <cell r="AK309">
            <v>2880</v>
          </cell>
          <cell r="AL309">
            <v>23460.400000000001</v>
          </cell>
          <cell r="AM309">
            <v>1179.4469999999999</v>
          </cell>
          <cell r="AN309">
            <v>149.46250000000001</v>
          </cell>
          <cell r="AO309" t="str">
            <v xml:space="preserve">NA </v>
          </cell>
          <cell r="AP309">
            <v>871.06933333333325</v>
          </cell>
          <cell r="AQ309" t="str">
            <v xml:space="preserve">NA </v>
          </cell>
          <cell r="AR309">
            <v>871.06933333333325</v>
          </cell>
          <cell r="AS309">
            <v>774.71799999999996</v>
          </cell>
          <cell r="AT309" t="str">
            <v xml:space="preserve">NA </v>
          </cell>
          <cell r="AU309">
            <v>19772.669999999998</v>
          </cell>
          <cell r="AV309">
            <v>19772.669999999998</v>
          </cell>
          <cell r="AW309" t="str">
            <v xml:space="preserve">NA </v>
          </cell>
          <cell r="AX309" t="str">
            <v xml:space="preserve">NA </v>
          </cell>
          <cell r="AY309" t="str">
            <v xml:space="preserve">NA </v>
          </cell>
          <cell r="AZ309" t="str">
            <v xml:space="preserve">NA </v>
          </cell>
          <cell r="BA309" t="str">
            <v xml:space="preserve">NA </v>
          </cell>
          <cell r="BB309" t="str">
            <v xml:space="preserve">NA </v>
          </cell>
          <cell r="BC309" t="str">
            <v xml:space="preserve">NA </v>
          </cell>
          <cell r="BD309" t="str">
            <v xml:space="preserve">NA </v>
          </cell>
          <cell r="BE309" t="str">
            <v xml:space="preserve">NA </v>
          </cell>
        </row>
        <row r="310">
          <cell r="H310">
            <v>651.88599999999997</v>
          </cell>
          <cell r="I310">
            <v>297.774</v>
          </cell>
          <cell r="J310">
            <v>74.204000000000008</v>
          </cell>
          <cell r="K310">
            <v>865.8</v>
          </cell>
          <cell r="L310">
            <v>286.60300000000001</v>
          </cell>
          <cell r="M310">
            <v>863.29</v>
          </cell>
          <cell r="N310">
            <v>1179.02</v>
          </cell>
          <cell r="O310">
            <v>104.3</v>
          </cell>
          <cell r="P310">
            <v>1298.22</v>
          </cell>
          <cell r="Q310">
            <v>2055.6999999999998</v>
          </cell>
          <cell r="R310">
            <v>792.83749999999998</v>
          </cell>
          <cell r="S310">
            <v>902.26099999999997</v>
          </cell>
          <cell r="T310" t="str">
            <v xml:space="preserve">NA </v>
          </cell>
          <cell r="U310">
            <v>105.1</v>
          </cell>
          <cell r="V310">
            <v>1170.8699999999999</v>
          </cell>
          <cell r="W310">
            <v>651.88599999999997</v>
          </cell>
          <cell r="X310">
            <v>706.82500000000005</v>
          </cell>
          <cell r="Y310">
            <v>1181.761</v>
          </cell>
          <cell r="Z310" t="str">
            <v xml:space="preserve">NA </v>
          </cell>
          <cell r="AA310">
            <v>41782.035000000003</v>
          </cell>
          <cell r="AB310">
            <v>41782.035000000003</v>
          </cell>
          <cell r="AC310">
            <v>4007.8830000000003</v>
          </cell>
          <cell r="AD310" t="str">
            <v xml:space="preserve">NA </v>
          </cell>
          <cell r="AE310">
            <v>1873.2455</v>
          </cell>
          <cell r="AF310">
            <v>2805.6</v>
          </cell>
          <cell r="AG310">
            <v>931.6</v>
          </cell>
          <cell r="AH310">
            <v>1170.8699999999999</v>
          </cell>
          <cell r="AI310">
            <v>826.72300000000007</v>
          </cell>
          <cell r="AJ310" t="str">
            <v xml:space="preserve">NA </v>
          </cell>
          <cell r="AK310">
            <v>3203.14</v>
          </cell>
          <cell r="AL310">
            <v>39302.589999999997</v>
          </cell>
          <cell r="AM310">
            <v>1220.6500000000001</v>
          </cell>
          <cell r="AN310">
            <v>366.50400000000002</v>
          </cell>
          <cell r="AO310" t="str">
            <v xml:space="preserve">NA </v>
          </cell>
          <cell r="AP310">
            <v>1530.0246666666667</v>
          </cell>
          <cell r="AQ310" t="str">
            <v xml:space="preserve">NA </v>
          </cell>
          <cell r="AR310">
            <v>1530.0246666666667</v>
          </cell>
          <cell r="AS310">
            <v>931.6</v>
          </cell>
          <cell r="AT310" t="str">
            <v xml:space="preserve">NA </v>
          </cell>
          <cell r="AU310">
            <v>45340.45</v>
          </cell>
          <cell r="AV310">
            <v>45340.45</v>
          </cell>
          <cell r="AW310" t="str">
            <v xml:space="preserve">NA </v>
          </cell>
          <cell r="AX310" t="str">
            <v xml:space="preserve">NA </v>
          </cell>
          <cell r="AY310" t="str">
            <v xml:space="preserve">NA </v>
          </cell>
          <cell r="AZ310" t="str">
            <v xml:space="preserve">NA </v>
          </cell>
          <cell r="BA310" t="str">
            <v xml:space="preserve">NA </v>
          </cell>
          <cell r="BB310" t="str">
            <v xml:space="preserve">NA </v>
          </cell>
          <cell r="BC310" t="str">
            <v xml:space="preserve">NA </v>
          </cell>
          <cell r="BD310" t="str">
            <v xml:space="preserve">NA </v>
          </cell>
          <cell r="BE310" t="str">
            <v xml:space="preserve">NA </v>
          </cell>
        </row>
        <row r="311">
          <cell r="H311">
            <v>739.88300000000004</v>
          </cell>
          <cell r="I311">
            <v>346.4</v>
          </cell>
          <cell r="J311">
            <v>159.20400000000001</v>
          </cell>
          <cell r="K311">
            <v>937</v>
          </cell>
          <cell r="L311">
            <v>346.274</v>
          </cell>
          <cell r="M311">
            <v>1808.665</v>
          </cell>
          <cell r="N311">
            <v>1241.45</v>
          </cell>
          <cell r="O311">
            <v>122.65</v>
          </cell>
          <cell r="P311">
            <v>1396.81</v>
          </cell>
          <cell r="Q311">
            <v>2192.38</v>
          </cell>
          <cell r="R311">
            <v>881.87869000000001</v>
          </cell>
          <cell r="S311">
            <v>996.26700000000005</v>
          </cell>
          <cell r="T311" t="str">
            <v xml:space="preserve">NA </v>
          </cell>
          <cell r="U311">
            <v>131.9</v>
          </cell>
          <cell r="V311">
            <v>1665.0744999999999</v>
          </cell>
          <cell r="W311">
            <v>739.88300000000004</v>
          </cell>
          <cell r="X311">
            <v>788.39400000000001</v>
          </cell>
          <cell r="Y311">
            <v>1462.2560000000001</v>
          </cell>
          <cell r="Z311" t="str">
            <v xml:space="preserve">NA </v>
          </cell>
          <cell r="AA311">
            <v>47526.497499999998</v>
          </cell>
          <cell r="AB311">
            <v>47526.497499999998</v>
          </cell>
          <cell r="AC311">
            <v>4167.6499999999996</v>
          </cell>
          <cell r="AD311" t="str">
            <v xml:space="preserve">NA </v>
          </cell>
          <cell r="AE311">
            <v>2467.6355199999998</v>
          </cell>
          <cell r="AF311">
            <v>3000</v>
          </cell>
          <cell r="AG311">
            <v>1072.6500000000001</v>
          </cell>
          <cell r="AH311">
            <v>1665.0744999999999</v>
          </cell>
          <cell r="AI311">
            <v>799.10500000000002</v>
          </cell>
          <cell r="AJ311" t="str">
            <v xml:space="preserve">NA </v>
          </cell>
          <cell r="AK311">
            <v>3397.2649999999999</v>
          </cell>
          <cell r="AL311">
            <v>46176.817499999997</v>
          </cell>
          <cell r="AM311">
            <v>1309.6600000000001</v>
          </cell>
          <cell r="AN311">
            <v>574.30956000000003</v>
          </cell>
          <cell r="AO311" t="str">
            <v xml:space="preserve">NA </v>
          </cell>
          <cell r="AP311">
            <v>1763.9683333333332</v>
          </cell>
          <cell r="AQ311" t="str">
            <v xml:space="preserve">NA </v>
          </cell>
          <cell r="AR311">
            <v>1763.9683333333332</v>
          </cell>
          <cell r="AS311">
            <v>1072.6500000000001</v>
          </cell>
          <cell r="AT311" t="str">
            <v xml:space="preserve">NA </v>
          </cell>
          <cell r="AU311">
            <v>54681.75</v>
          </cell>
          <cell r="AV311">
            <v>54681.75</v>
          </cell>
          <cell r="AW311" t="str">
            <v xml:space="preserve">NA </v>
          </cell>
          <cell r="AX311" t="str">
            <v xml:space="preserve">NA </v>
          </cell>
          <cell r="AY311" t="str">
            <v xml:space="preserve">NA </v>
          </cell>
          <cell r="AZ311" t="str">
            <v xml:space="preserve">NA </v>
          </cell>
          <cell r="BA311" t="str">
            <v xml:space="preserve">NA </v>
          </cell>
          <cell r="BB311" t="str">
            <v xml:space="preserve">NA </v>
          </cell>
          <cell r="BC311" t="str">
            <v xml:space="preserve">NA </v>
          </cell>
          <cell r="BD311" t="str">
            <v xml:space="preserve">NA </v>
          </cell>
          <cell r="BE311" t="str">
            <v xml:space="preserve">NA </v>
          </cell>
        </row>
        <row r="312">
          <cell r="H312">
            <v>878.6850508</v>
          </cell>
          <cell r="I312">
            <v>418</v>
          </cell>
          <cell r="J312">
            <v>186.71949999999998</v>
          </cell>
          <cell r="K312">
            <v>1105.6600000000001</v>
          </cell>
          <cell r="L312">
            <v>407.96699999999998</v>
          </cell>
          <cell r="M312">
            <v>2046.16965</v>
          </cell>
          <cell r="N312">
            <v>1322.8</v>
          </cell>
          <cell r="O312">
            <v>150.12360000000001</v>
          </cell>
          <cell r="P312">
            <v>1616.8075749999998</v>
          </cell>
          <cell r="Q312">
            <v>2554.1227000000003</v>
          </cell>
          <cell r="R312">
            <v>881.87869000000001</v>
          </cell>
          <cell r="S312">
            <v>1177.7868473999999</v>
          </cell>
          <cell r="T312" t="str">
            <v xml:space="preserve">NA </v>
          </cell>
          <cell r="U312">
            <v>163.22624999999999</v>
          </cell>
          <cell r="V312">
            <v>2096.6757716000002</v>
          </cell>
          <cell r="W312">
            <v>878.6850508</v>
          </cell>
          <cell r="X312">
            <v>911.93533980000007</v>
          </cell>
          <cell r="Y312">
            <v>1839.0793712000002</v>
          </cell>
          <cell r="Z312" t="str">
            <v xml:space="preserve">NA </v>
          </cell>
          <cell r="AA312" t="str">
            <v xml:space="preserve">NA </v>
          </cell>
          <cell r="AB312" t="str">
            <v xml:space="preserve">NA </v>
          </cell>
          <cell r="AC312">
            <v>4709.4444999999987</v>
          </cell>
          <cell r="AD312" t="str">
            <v xml:space="preserve">NA </v>
          </cell>
          <cell r="AE312">
            <v>2467.6355199999998</v>
          </cell>
          <cell r="AF312">
            <v>3450</v>
          </cell>
          <cell r="AG312">
            <v>1304.6641950000001</v>
          </cell>
          <cell r="AH312">
            <v>2096.6757716000002</v>
          </cell>
          <cell r="AI312">
            <v>879.01550000000009</v>
          </cell>
          <cell r="AJ312" t="str">
            <v xml:space="preserve">NA </v>
          </cell>
          <cell r="AK312">
            <v>3935.0520495000001</v>
          </cell>
          <cell r="AL312">
            <v>52035.112500000003</v>
          </cell>
          <cell r="AM312">
            <v>1459.4851040000001</v>
          </cell>
          <cell r="AN312">
            <v>574.30956000000003</v>
          </cell>
          <cell r="AO312" t="str">
            <v xml:space="preserve">NA </v>
          </cell>
          <cell r="AP312">
            <v>2052.1066880000003</v>
          </cell>
          <cell r="AQ312" t="str">
            <v xml:space="preserve">NA </v>
          </cell>
          <cell r="AR312">
            <v>2052.1066880000003</v>
          </cell>
          <cell r="AS312">
            <v>1304.6641950000001</v>
          </cell>
          <cell r="AT312" t="str">
            <v xml:space="preserve">NA </v>
          </cell>
          <cell r="AU312">
            <v>62265.919999999998</v>
          </cell>
          <cell r="AV312">
            <v>62265.919999999998</v>
          </cell>
          <cell r="AW312" t="str">
            <v xml:space="preserve">NA </v>
          </cell>
          <cell r="AX312" t="str">
            <v xml:space="preserve">NA </v>
          </cell>
          <cell r="AY312" t="str">
            <v xml:space="preserve">NA </v>
          </cell>
          <cell r="AZ312" t="str">
            <v xml:space="preserve">NA </v>
          </cell>
          <cell r="BA312" t="str">
            <v xml:space="preserve">NA </v>
          </cell>
          <cell r="BB312" t="str">
            <v xml:space="preserve">NA </v>
          </cell>
          <cell r="BC312" t="str">
            <v xml:space="preserve">NA </v>
          </cell>
          <cell r="BD312" t="str">
            <v xml:space="preserve">NA </v>
          </cell>
          <cell r="BE312" t="str">
            <v xml:space="preserve">NA </v>
          </cell>
        </row>
        <row r="319"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2"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1018.396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88.572000000000003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9.9600000000000009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98.532000000000011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98.532000000000011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57.956000000000003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1.7173674697010106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3">
          <cell r="H333" t="e">
            <v>#DIV/0!</v>
          </cell>
          <cell r="I333" t="e">
            <v>#DIV/0!</v>
          </cell>
          <cell r="J333" t="e">
            <v>#DIV/0!</v>
          </cell>
          <cell r="K333" t="e">
            <v>#DIV/0!</v>
          </cell>
          <cell r="L333" t="e">
            <v>#DIV/0!</v>
          </cell>
          <cell r="M333" t="e">
            <v>#DIV/0!</v>
          </cell>
          <cell r="N333" t="e">
            <v>#DIV/0!</v>
          </cell>
          <cell r="O333" t="e">
            <v>#DIV/0!</v>
          </cell>
          <cell r="P333" t="e">
            <v>#DIV/0!</v>
          </cell>
          <cell r="Q333" t="e">
            <v>#DIV/0!</v>
          </cell>
          <cell r="R333" t="e">
            <v>#DIV/0!</v>
          </cell>
          <cell r="S333" t="e">
            <v>#DIV/0!</v>
          </cell>
          <cell r="T333" t="e">
            <v>#VALUE!</v>
          </cell>
          <cell r="U333">
            <v>3.3068320810763586E-2</v>
          </cell>
          <cell r="V333">
            <v>0.47698989924722007</v>
          </cell>
          <cell r="W333">
            <v>1.1277874807805904E-2</v>
          </cell>
          <cell r="X333">
            <v>1.0053782918395942</v>
          </cell>
          <cell r="Y333">
            <v>0</v>
          </cell>
          <cell r="Z333" t="e">
            <v>#N/A</v>
          </cell>
          <cell r="AA333">
            <v>0.48502187288828819</v>
          </cell>
          <cell r="AB333">
            <v>0.36984786218335464</v>
          </cell>
          <cell r="AC333">
            <v>0.63947481761564662</v>
          </cell>
          <cell r="AD333" t="e">
            <v>#N/A</v>
          </cell>
          <cell r="AE333">
            <v>0.3848782860908066</v>
          </cell>
          <cell r="AF333">
            <v>0.3629360002827155</v>
          </cell>
          <cell r="AG333">
            <v>0.88126700666416846</v>
          </cell>
          <cell r="AH333" t="e">
            <v>#DIV/0!</v>
          </cell>
          <cell r="AI333" t="e">
            <v>#DIV/0!</v>
          </cell>
          <cell r="AJ333" t="e">
            <v>#VALUE!</v>
          </cell>
          <cell r="AK333">
            <v>21.090308370044053</v>
          </cell>
          <cell r="AL333">
            <v>0.33343385605146769</v>
          </cell>
          <cell r="AM333">
            <v>0.55622296303024366</v>
          </cell>
          <cell r="AN333">
            <v>0.13773922256804186</v>
          </cell>
          <cell r="AO333" t="e">
            <v>#N/A</v>
          </cell>
          <cell r="AP333" t="e">
            <v>#DIV/0!</v>
          </cell>
          <cell r="AQ333" t="e">
            <v>#VALUE!</v>
          </cell>
          <cell r="AR333">
            <v>0</v>
          </cell>
          <cell r="AS333">
            <v>0.88126700666416846</v>
          </cell>
          <cell r="AT333" t="e">
            <v>#N/A</v>
          </cell>
          <cell r="AU333" t="e">
            <v>#DIV/0!</v>
          </cell>
          <cell r="AV333">
            <v>0.43445707843453052</v>
          </cell>
          <cell r="AW333" t="e">
            <v>#VALUE!</v>
          </cell>
          <cell r="AX333" t="e">
            <v>#VALUE!</v>
          </cell>
          <cell r="AY333" t="e">
            <v>#VALUE!</v>
          </cell>
          <cell r="AZ333" t="e">
            <v>#VALUE!</v>
          </cell>
          <cell r="BA333" t="e">
            <v>#VALUE!</v>
          </cell>
          <cell r="BB333" t="e">
            <v>#VALUE!</v>
          </cell>
          <cell r="BC333" t="e">
            <v>#VALUE!</v>
          </cell>
          <cell r="BD333" t="e">
            <v>#VALUE!</v>
          </cell>
          <cell r="BE333" t="e">
            <v>#VALUE!</v>
          </cell>
        </row>
        <row r="334">
          <cell r="H334" t="e">
            <v>#DIV/0!</v>
          </cell>
          <cell r="I334" t="e">
            <v>#DIV/0!</v>
          </cell>
          <cell r="J334" t="e">
            <v>#DIV/0!</v>
          </cell>
          <cell r="K334" t="e">
            <v>#DIV/0!</v>
          </cell>
          <cell r="L334" t="e">
            <v>#DIV/0!</v>
          </cell>
          <cell r="M334" t="e">
            <v>#DIV/0!</v>
          </cell>
          <cell r="N334" t="e">
            <v>#DIV/0!</v>
          </cell>
          <cell r="O334" t="e">
            <v>#DIV/0!</v>
          </cell>
          <cell r="P334" t="e">
            <v>#DIV/0!</v>
          </cell>
          <cell r="Q334" t="e">
            <v>#DIV/0!</v>
          </cell>
          <cell r="R334" t="e">
            <v>#DIV/0!</v>
          </cell>
          <cell r="S334" t="e">
            <v>#DIV/0!</v>
          </cell>
          <cell r="T334" t="e">
            <v>#VALUE!</v>
          </cell>
          <cell r="U334">
            <v>3.2009810139963631E-2</v>
          </cell>
          <cell r="V334">
            <v>0.32294729942996109</v>
          </cell>
          <cell r="W334">
            <v>1.1152102788711038E-2</v>
          </cell>
          <cell r="X334">
            <v>0.50134096690421948</v>
          </cell>
          <cell r="Y334">
            <v>0</v>
          </cell>
          <cell r="Z334" t="e">
            <v>#N/A</v>
          </cell>
          <cell r="AA334">
            <v>0.3266092451183541</v>
          </cell>
          <cell r="AB334">
            <v>0.26999192566820268</v>
          </cell>
          <cell r="AC334">
            <v>0.39004857576626906</v>
          </cell>
          <cell r="AD334" t="e">
            <v>#N/A</v>
          </cell>
          <cell r="AE334">
            <v>0.27791488245312129</v>
          </cell>
          <cell r="AF334">
            <v>0.26628983327715405</v>
          </cell>
          <cell r="AG334">
            <v>0.4684433435245412</v>
          </cell>
          <cell r="AH334" t="e">
            <v>#DIV/0!</v>
          </cell>
          <cell r="AI334" t="e">
            <v>#DIV/0!</v>
          </cell>
          <cell r="AJ334" t="e">
            <v>#VALUE!</v>
          </cell>
          <cell r="AK334">
            <v>0.95473127929005885</v>
          </cell>
          <cell r="AL334">
            <v>0.25005653976630232</v>
          </cell>
          <cell r="AM334">
            <v>0.35741855520958149</v>
          </cell>
          <cell r="AN334">
            <v>0.12106396600896339</v>
          </cell>
          <cell r="AO334" t="e">
            <v>#N/A</v>
          </cell>
          <cell r="AP334" t="e">
            <v>#DIV/0!</v>
          </cell>
          <cell r="AQ334" t="e">
            <v>#VALUE!</v>
          </cell>
          <cell r="AR334">
            <v>0</v>
          </cell>
          <cell r="AS334">
            <v>0.4684433435245412</v>
          </cell>
          <cell r="AT334" t="e">
            <v>#N/A</v>
          </cell>
          <cell r="AU334" t="e">
            <v>#DIV/0!</v>
          </cell>
          <cell r="AV334">
            <v>0.30287213536473856</v>
          </cell>
          <cell r="AW334" t="e">
            <v>#VALUE!</v>
          </cell>
          <cell r="AX334" t="e">
            <v>#VALUE!</v>
          </cell>
          <cell r="AY334" t="e">
            <v>#VALUE!</v>
          </cell>
          <cell r="AZ334" t="e">
            <v>#VALUE!</v>
          </cell>
          <cell r="BA334" t="e">
            <v>#VALUE!</v>
          </cell>
          <cell r="BB334" t="e">
            <v>#VALUE!</v>
          </cell>
          <cell r="BC334" t="e">
            <v>#VALUE!</v>
          </cell>
          <cell r="BD334" t="e">
            <v>#VALUE!</v>
          </cell>
          <cell r="BE334" t="e">
            <v>#VALUE!</v>
          </cell>
        </row>
        <row r="335"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 t="e">
            <v>#VALUE!</v>
          </cell>
          <cell r="U335">
            <v>8.8588866269284829E-3</v>
          </cell>
          <cell r="V335">
            <v>0.15307732625778603</v>
          </cell>
          <cell r="W335">
            <v>1.1574160335215539E-2</v>
          </cell>
          <cell r="X335">
            <v>0.22820228024703099</v>
          </cell>
          <cell r="Y335">
            <v>0</v>
          </cell>
          <cell r="Z335" t="e">
            <v>#N/A</v>
          </cell>
          <cell r="AA335">
            <v>8.8481266666178393E-2</v>
          </cell>
          <cell r="AB335">
            <v>0.15095192856660783</v>
          </cell>
          <cell r="AC335">
            <v>0.40164981543094397</v>
          </cell>
          <cell r="AD335" t="e">
            <v>#N/A</v>
          </cell>
          <cell r="AE335">
            <v>0.22387679760513463</v>
          </cell>
          <cell r="AF335">
            <v>0.10775239109060843</v>
          </cell>
          <cell r="AG335">
            <v>0.26001184308563613</v>
          </cell>
          <cell r="AH335">
            <v>0</v>
          </cell>
          <cell r="AI335" t="e">
            <v>#DIV/0!</v>
          </cell>
          <cell r="AJ335" t="e">
            <v>#VALUE!</v>
          </cell>
          <cell r="AK335">
            <v>0.57221913452976436</v>
          </cell>
          <cell r="AL335">
            <v>0.13857194033093087</v>
          </cell>
          <cell r="AM335">
            <v>0.12063472892986141</v>
          </cell>
          <cell r="AN335">
            <v>0.16923387716085408</v>
          </cell>
          <cell r="AO335" t="e">
            <v>#N/A</v>
          </cell>
          <cell r="AP335" t="e">
            <v>#DIV/0!</v>
          </cell>
          <cell r="AQ335" t="e">
            <v>#VALUE!</v>
          </cell>
          <cell r="AR335">
            <v>0</v>
          </cell>
          <cell r="AS335">
            <v>0.50002277516468485</v>
          </cell>
          <cell r="AT335" t="e">
            <v>#N/A</v>
          </cell>
          <cell r="AU335" t="e">
            <v>#DIV/0!</v>
          </cell>
          <cell r="AV335">
            <v>9.0651199365535964E-2</v>
          </cell>
          <cell r="AW335" t="e">
            <v>#VALUE!</v>
          </cell>
          <cell r="AX335" t="e">
            <v>#VALUE!</v>
          </cell>
          <cell r="AY335" t="e">
            <v>#VALUE!</v>
          </cell>
          <cell r="AZ335" t="e">
            <v>#VALUE!</v>
          </cell>
          <cell r="BA335" t="e">
            <v>#VALUE!</v>
          </cell>
          <cell r="BB335" t="e">
            <v>#VALUE!</v>
          </cell>
          <cell r="BC335" t="e">
            <v>#VALUE!</v>
          </cell>
          <cell r="BD335" t="e">
            <v>#VALUE!</v>
          </cell>
          <cell r="BE335" t="e">
            <v>#VALUE!</v>
          </cell>
        </row>
        <row r="336">
          <cell r="H336" t="e">
            <v>#DIV/0!</v>
          </cell>
          <cell r="I336" t="e">
            <v>#DIV/0!</v>
          </cell>
          <cell r="J336" t="e">
            <v>#DIV/0!</v>
          </cell>
          <cell r="K336" t="e">
            <v>#DIV/0!</v>
          </cell>
          <cell r="L336" t="e">
            <v>#DIV/0!</v>
          </cell>
          <cell r="M336" t="e">
            <v>#DIV/0!</v>
          </cell>
          <cell r="N336" t="e">
            <v>#DIV/0!</v>
          </cell>
          <cell r="O336" t="e">
            <v>#DIV/0!</v>
          </cell>
          <cell r="P336" t="e">
            <v>#DIV/0!</v>
          </cell>
          <cell r="Q336" t="e">
            <v>#DIV/0!</v>
          </cell>
          <cell r="R336" t="e">
            <v>#DIV/0!</v>
          </cell>
          <cell r="S336" t="e">
            <v>#DIV/0!</v>
          </cell>
          <cell r="T336" t="e">
            <v>#DIV/0!</v>
          </cell>
          <cell r="U336">
            <v>-6.082077051926297</v>
          </cell>
          <cell r="V336">
            <v>213.01112877583466</v>
          </cell>
          <cell r="W336">
            <v>13.896939726316541</v>
          </cell>
          <cell r="X336">
            <v>6.230862602294529</v>
          </cell>
          <cell r="Y336" t="e">
            <v>#DIV/0!</v>
          </cell>
          <cell r="Z336">
            <v>2.2921025796672843</v>
          </cell>
          <cell r="AA336">
            <v>8.0582519110751996</v>
          </cell>
          <cell r="AB336">
            <v>4.0286063574090729</v>
          </cell>
          <cell r="AC336">
            <v>7.1056276516096846</v>
          </cell>
          <cell r="AD336" t="e">
            <v>#DIV/0!</v>
          </cell>
          <cell r="AE336">
            <v>2.6400159638153511</v>
          </cell>
          <cell r="AF336">
            <v>11.833591515729267</v>
          </cell>
          <cell r="AG336">
            <v>8.8584567070435174</v>
          </cell>
          <cell r="AH336" t="e">
            <v>#DIV/0!</v>
          </cell>
          <cell r="AI336">
            <v>-0.13712742548509654</v>
          </cell>
          <cell r="AJ336">
            <v>10.242457519361924</v>
          </cell>
          <cell r="AK336">
            <v>3.2163009404388712</v>
          </cell>
          <cell r="AL336">
            <v>8.6789667896678964</v>
          </cell>
          <cell r="AM336">
            <v>17.576351106274934</v>
          </cell>
          <cell r="AN336">
            <v>32.076923076923066</v>
          </cell>
          <cell r="AO336" t="e">
            <v>#DIV/0!</v>
          </cell>
          <cell r="AP336">
            <v>13.890128512921903</v>
          </cell>
          <cell r="AQ336">
            <v>84.798492366412205</v>
          </cell>
          <cell r="AR336">
            <v>31.495881862703154</v>
          </cell>
          <cell r="AS336">
            <v>8.8584567070435192</v>
          </cell>
          <cell r="AT336" t="e">
            <v>#DIV/0!</v>
          </cell>
          <cell r="AU336">
            <v>14.664827586206901</v>
          </cell>
          <cell r="AV336">
            <v>14.292585904251965</v>
          </cell>
          <cell r="AW336" t="e">
            <v>#DIV/0!</v>
          </cell>
          <cell r="AX336" t="e">
            <v>#DIV/0!</v>
          </cell>
          <cell r="AY336" t="e">
            <v>#DIV/0!</v>
          </cell>
          <cell r="AZ336" t="e">
            <v>#DIV/0!</v>
          </cell>
          <cell r="BA336" t="e">
            <v>#DIV/0!</v>
          </cell>
          <cell r="BB336" t="e">
            <v>#DIV/0!</v>
          </cell>
          <cell r="BC336" t="e">
            <v>#DIV/0!</v>
          </cell>
          <cell r="BD336" t="e">
            <v>#DIV/0!</v>
          </cell>
          <cell r="BE336" t="e">
            <v>#DIV/0!</v>
          </cell>
        </row>
        <row r="337">
          <cell r="H337" t="e">
            <v>#DIV/0!</v>
          </cell>
          <cell r="I337" t="e">
            <v>#DIV/0!</v>
          </cell>
          <cell r="J337" t="e">
            <v>#DIV/0!</v>
          </cell>
          <cell r="K337" t="e">
            <v>#DIV/0!</v>
          </cell>
          <cell r="L337" t="e">
            <v>#DIV/0!</v>
          </cell>
          <cell r="M337" t="e">
            <v>#DIV/0!</v>
          </cell>
          <cell r="N337" t="e">
            <v>#DIV/0!</v>
          </cell>
          <cell r="O337" t="e">
            <v>#DIV/0!</v>
          </cell>
          <cell r="P337" t="e">
            <v>#DIV/0!</v>
          </cell>
          <cell r="Q337" t="e">
            <v>#DIV/0!</v>
          </cell>
          <cell r="R337" t="e">
            <v>#DIV/0!</v>
          </cell>
          <cell r="S337" t="e">
            <v>#DIV/0!</v>
          </cell>
          <cell r="T337" t="e">
            <v>#DIV/0!</v>
          </cell>
          <cell r="U337">
            <v>12.788107202680068</v>
          </cell>
          <cell r="V337">
            <v>183.0643879173291</v>
          </cell>
          <cell r="W337">
            <v>10.900300996522862</v>
          </cell>
          <cell r="X337">
            <v>3.3893652844668929</v>
          </cell>
          <cell r="Y337" t="e">
            <v>#DIV/0!</v>
          </cell>
          <cell r="Z337">
            <v>1.907295578162679</v>
          </cell>
          <cell r="AA337">
            <v>7.5281797208075956</v>
          </cell>
          <cell r="AB337">
            <v>3.7580260982298852</v>
          </cell>
          <cell r="AC337">
            <v>6.7022086348889447</v>
          </cell>
          <cell r="AD337" t="e">
            <v>#DIV/0!</v>
          </cell>
          <cell r="AE337">
            <v>1.1162032725821469</v>
          </cell>
          <cell r="AF337">
            <v>8.4041348903717843</v>
          </cell>
          <cell r="AG337">
            <v>4.0978764767459248</v>
          </cell>
          <cell r="AH337" t="e">
            <v>#DIV/0!</v>
          </cell>
          <cell r="AI337">
            <v>0.65279722611188939</v>
          </cell>
          <cell r="AJ337">
            <v>9.1291950834200293</v>
          </cell>
          <cell r="AK337">
            <v>2.7774294670846396</v>
          </cell>
          <cell r="AL337">
            <v>7.4086715867158661</v>
          </cell>
          <cell r="AM337">
            <v>10.940938217869663</v>
          </cell>
          <cell r="AN337">
            <v>-38.282051282051306</v>
          </cell>
          <cell r="AO337" t="e">
            <v>#DIV/0!</v>
          </cell>
          <cell r="AP337">
            <v>12.057760203361106</v>
          </cell>
          <cell r="AQ337">
            <v>82.002246183206111</v>
          </cell>
          <cell r="AR337">
            <v>28.103792256201871</v>
          </cell>
          <cell r="AS337">
            <v>4.0978764767459266</v>
          </cell>
          <cell r="AT337" t="e">
            <v>#DIV/0!</v>
          </cell>
          <cell r="AU337">
            <v>12.647586206896555</v>
          </cell>
          <cell r="AV337">
            <v>12.017288191243516</v>
          </cell>
          <cell r="AW337" t="e">
            <v>#DIV/0!</v>
          </cell>
          <cell r="AX337" t="e">
            <v>#DIV/0!</v>
          </cell>
          <cell r="AY337" t="e">
            <v>#DIV/0!</v>
          </cell>
          <cell r="AZ337" t="e">
            <v>#DIV/0!</v>
          </cell>
          <cell r="BA337" t="e">
            <v>#DIV/0!</v>
          </cell>
          <cell r="BB337" t="e">
            <v>#DIV/0!</v>
          </cell>
          <cell r="BC337" t="e">
            <v>#DIV/0!</v>
          </cell>
          <cell r="BD337" t="e">
            <v>#DIV/0!</v>
          </cell>
          <cell r="BE337" t="e">
            <v>#DIV/0!</v>
          </cell>
        </row>
        <row r="338">
          <cell r="H338" t="str">
            <v xml:space="preserve">NA </v>
          </cell>
          <cell r="I338" t="str">
            <v xml:space="preserve">NA </v>
          </cell>
          <cell r="J338" t="str">
            <v xml:space="preserve">NA </v>
          </cell>
          <cell r="K338" t="str">
            <v xml:space="preserve">NA </v>
          </cell>
          <cell r="L338" t="str">
            <v xml:space="preserve">NA </v>
          </cell>
          <cell r="M338" t="str">
            <v xml:space="preserve">NA </v>
          </cell>
          <cell r="N338" t="str">
            <v xml:space="preserve">NA </v>
          </cell>
          <cell r="O338" t="str">
            <v xml:space="preserve">NA </v>
          </cell>
          <cell r="P338" t="str">
            <v xml:space="preserve">NA </v>
          </cell>
          <cell r="Q338" t="str">
            <v xml:space="preserve">NA </v>
          </cell>
          <cell r="R338" t="str">
            <v xml:space="preserve">NA </v>
          </cell>
          <cell r="S338" t="str">
            <v xml:space="preserve">NA </v>
          </cell>
          <cell r="T338" t="str">
            <v xml:space="preserve">NA </v>
          </cell>
          <cell r="U338">
            <v>0.41696502340952912</v>
          </cell>
          <cell r="V338">
            <v>0.85842327456111855</v>
          </cell>
          <cell r="W338">
            <v>0.1540055218861287</v>
          </cell>
          <cell r="X338">
            <v>2.418952091011056</v>
          </cell>
          <cell r="Y338">
            <v>0</v>
          </cell>
          <cell r="Z338" t="e">
            <v>#N/A</v>
          </cell>
          <cell r="AA338">
            <v>1.3494587266718119</v>
          </cell>
          <cell r="AB338">
            <v>1.6634942416995746</v>
          </cell>
          <cell r="AC338">
            <v>2.1250076829193336</v>
          </cell>
          <cell r="AD338" t="str">
            <v xml:space="preserve">NA </v>
          </cell>
          <cell r="AE338">
            <v>3.2496230437269276</v>
          </cell>
          <cell r="AF338">
            <v>1.3705101447109251</v>
          </cell>
          <cell r="AG338">
            <v>1.861696268759466</v>
          </cell>
          <cell r="AH338">
            <v>0</v>
          </cell>
          <cell r="AI338" t="e">
            <v>#DIV/0!</v>
          </cell>
          <cell r="AJ338" t="e">
            <v>#VALUE!</v>
          </cell>
          <cell r="AK338">
            <v>3.1107862248213132</v>
          </cell>
          <cell r="AL338">
            <v>1.4102891156462587</v>
          </cell>
          <cell r="AM338">
            <v>1.5411352786605583</v>
          </cell>
          <cell r="AN338">
            <v>16.747181964573283</v>
          </cell>
          <cell r="AO338" t="str">
            <v xml:space="preserve">NA </v>
          </cell>
          <cell r="AP338" t="e">
            <v>#DIV/0!</v>
          </cell>
          <cell r="AQ338" t="e">
            <v>#VALUE!</v>
          </cell>
          <cell r="AR338">
            <v>0</v>
          </cell>
          <cell r="AS338">
            <v>1.8616962687594658</v>
          </cell>
          <cell r="AT338" t="e">
            <v>#N/A</v>
          </cell>
          <cell r="AU338" t="e">
            <v>#DIV/0!</v>
          </cell>
          <cell r="AV338">
            <v>1.1931299833650095</v>
          </cell>
          <cell r="AW338" t="str">
            <v xml:space="preserve">NA </v>
          </cell>
          <cell r="AX338" t="str">
            <v xml:space="preserve">NA </v>
          </cell>
          <cell r="AY338" t="str">
            <v xml:space="preserve">NA </v>
          </cell>
          <cell r="AZ338" t="str">
            <v xml:space="preserve">NA </v>
          </cell>
          <cell r="BA338" t="str">
            <v xml:space="preserve">NA </v>
          </cell>
          <cell r="BB338" t="str">
            <v xml:space="preserve">NA </v>
          </cell>
          <cell r="BC338" t="str">
            <v xml:space="preserve">NA </v>
          </cell>
          <cell r="BD338" t="str">
            <v xml:space="preserve">NA </v>
          </cell>
          <cell r="BE338" t="str">
            <v xml:space="preserve">NA </v>
          </cell>
        </row>
        <row r="339">
          <cell r="H339" t="e">
            <v>#DIV/0!</v>
          </cell>
          <cell r="I339" t="e">
            <v>#DIV/0!</v>
          </cell>
          <cell r="J339" t="e">
            <v>#DIV/0!</v>
          </cell>
          <cell r="K339" t="e">
            <v>#DIV/0!</v>
          </cell>
          <cell r="L339" t="e">
            <v>#DIV/0!</v>
          </cell>
          <cell r="M339" t="e">
            <v>#DIV/0!</v>
          </cell>
          <cell r="N339" t="e">
            <v>#DIV/0!</v>
          </cell>
          <cell r="O339" t="e">
            <v>#DIV/0!</v>
          </cell>
          <cell r="P339" t="e">
            <v>#DIV/0!</v>
          </cell>
          <cell r="Q339" t="e">
            <v>#DIV/0!</v>
          </cell>
          <cell r="R339" t="e">
            <v>#DIV/0!</v>
          </cell>
          <cell r="S339" t="e">
            <v>#DIV/0!</v>
          </cell>
          <cell r="T339" t="e">
            <v>#VALUE!</v>
          </cell>
          <cell r="U339">
            <v>3.7433088971579043E-2</v>
          </cell>
          <cell r="V339">
            <v>0.47698989924722007</v>
          </cell>
          <cell r="W339">
            <v>3.3339900235620445E-2</v>
          </cell>
          <cell r="X339">
            <v>1.0871996220610349</v>
          </cell>
          <cell r="Y339">
            <v>0</v>
          </cell>
          <cell r="Z339" t="e">
            <v>#N/A</v>
          </cell>
          <cell r="AA339">
            <v>0.55246070855053886</v>
          </cell>
          <cell r="AB339">
            <v>1.0124909590921907</v>
          </cell>
          <cell r="AC339">
            <v>1.3435201376745218</v>
          </cell>
          <cell r="AD339" t="e">
            <v>#N/A</v>
          </cell>
          <cell r="AE339">
            <v>0.5047323707077559</v>
          </cell>
          <cell r="AF339">
            <v>0.61969159029636589</v>
          </cell>
          <cell r="AG339">
            <v>2.1141382949614984</v>
          </cell>
          <cell r="AH339" t="e">
            <v>#DIV/0!</v>
          </cell>
          <cell r="AI339" t="e">
            <v>#DIV/0!</v>
          </cell>
          <cell r="AJ339" t="e">
            <v>#VALUE!</v>
          </cell>
          <cell r="AK339">
            <v>21.090308370044053</v>
          </cell>
          <cell r="AL339">
            <v>0.44154547572298591</v>
          </cell>
          <cell r="AM339">
            <v>0.66090951676104215</v>
          </cell>
          <cell r="AN339">
            <v>0.22972256582435063</v>
          </cell>
          <cell r="AO339" t="e">
            <v>#N/A</v>
          </cell>
          <cell r="AP339" t="e">
            <v>#DIV/0!</v>
          </cell>
          <cell r="AQ339" t="e">
            <v>#VALUE!</v>
          </cell>
          <cell r="AR339">
            <v>0</v>
          </cell>
          <cell r="AS339">
            <v>2.1141382949614984</v>
          </cell>
          <cell r="AT339" t="e">
            <v>#N/A</v>
          </cell>
          <cell r="AU339" t="e">
            <v>#DIV/0!</v>
          </cell>
          <cell r="AV339">
            <v>0.55786835927749412</v>
          </cell>
          <cell r="AW339" t="e">
            <v>#VALUE!</v>
          </cell>
          <cell r="AX339" t="e">
            <v>#VALUE!</v>
          </cell>
          <cell r="AY339" t="e">
            <v>#VALUE!</v>
          </cell>
          <cell r="AZ339" t="e">
            <v>#VALUE!</v>
          </cell>
          <cell r="BA339" t="e">
            <v>#VALUE!</v>
          </cell>
          <cell r="BB339" t="e">
            <v>#VALUE!</v>
          </cell>
          <cell r="BC339" t="e">
            <v>#VALUE!</v>
          </cell>
          <cell r="BD339" t="e">
            <v>#VALUE!</v>
          </cell>
          <cell r="BE339" t="e">
            <v>#VALUE!</v>
          </cell>
        </row>
        <row r="340">
          <cell r="H340" t="e">
            <v>#DIV/0!</v>
          </cell>
          <cell r="I340" t="e">
            <v>#DIV/0!</v>
          </cell>
          <cell r="J340" t="e">
            <v>#DIV/0!</v>
          </cell>
          <cell r="K340" t="e">
            <v>#DIV/0!</v>
          </cell>
          <cell r="L340" t="e">
            <v>#DIV/0!</v>
          </cell>
          <cell r="M340" t="e">
            <v>#DIV/0!</v>
          </cell>
          <cell r="N340" t="e">
            <v>#DIV/0!</v>
          </cell>
          <cell r="O340" t="e">
            <v>#DIV/0!</v>
          </cell>
          <cell r="P340" t="e">
            <v>#DIV/0!</v>
          </cell>
          <cell r="Q340" t="e">
            <v>#DIV/0!</v>
          </cell>
          <cell r="R340" t="e">
            <v>#DIV/0!</v>
          </cell>
          <cell r="S340" t="e">
            <v>#DIV/0!</v>
          </cell>
          <cell r="T340" t="e">
            <v>#DIV/0!</v>
          </cell>
          <cell r="U340">
            <v>4.0200421940928273</v>
          </cell>
          <cell r="V340" t="e">
            <v>#DIV/0!</v>
          </cell>
          <cell r="W340">
            <v>5.6952372302296492</v>
          </cell>
          <cell r="X340">
            <v>2.8304906039887427</v>
          </cell>
          <cell r="Y340">
            <v>2.2835275535531014</v>
          </cell>
          <cell r="Z340">
            <v>1.5380873546448712</v>
          </cell>
          <cell r="AA340">
            <v>1.4892992008550388</v>
          </cell>
          <cell r="AB340">
            <v>1.3696250405354029</v>
          </cell>
          <cell r="AC340">
            <v>2.0086264742186053</v>
          </cell>
          <cell r="AD340" t="e">
            <v>#DIV/0!</v>
          </cell>
          <cell r="AE340">
            <v>2.2765672158022165</v>
          </cell>
          <cell r="AF340">
            <v>2.4742130240152145</v>
          </cell>
          <cell r="AG340">
            <v>1.8503578399479506</v>
          </cell>
          <cell r="AH340" t="e">
            <v>#DIV/0!</v>
          </cell>
          <cell r="AI340" t="e">
            <v>#DIV/0!</v>
          </cell>
          <cell r="AJ340">
            <v>3.1035400277649234</v>
          </cell>
          <cell r="AK340" t="e">
            <v>#DIV/0!</v>
          </cell>
          <cell r="AL340">
            <v>1.3618488186504096</v>
          </cell>
          <cell r="AM340">
            <v>1.8294232612189767</v>
          </cell>
          <cell r="AN340">
            <v>2.2295276760075255</v>
          </cell>
          <cell r="AO340" t="e">
            <v>#DIV/0!</v>
          </cell>
          <cell r="AP340" t="e">
            <v>#DIV/0!</v>
          </cell>
          <cell r="AQ340" t="e">
            <v>#DIV/0!</v>
          </cell>
          <cell r="AR340">
            <v>2.9700975044125459</v>
          </cell>
          <cell r="AS340">
            <v>1.8503578399479506</v>
          </cell>
          <cell r="AT340">
            <v>1.8976949526679969</v>
          </cell>
          <cell r="AU340">
            <v>1.8288507835231218</v>
          </cell>
          <cell r="AV340">
            <v>1.8297310823382411</v>
          </cell>
          <cell r="AW340" t="e">
            <v>#DIV/0!</v>
          </cell>
          <cell r="AX340" t="e">
            <v>#DIV/0!</v>
          </cell>
          <cell r="AY340" t="e">
            <v>#DIV/0!</v>
          </cell>
          <cell r="AZ340" t="e">
            <v>#DIV/0!</v>
          </cell>
          <cell r="BA340" t="e">
            <v>#DIV/0!</v>
          </cell>
          <cell r="BB340" t="e">
            <v>#DIV/0!</v>
          </cell>
          <cell r="BC340" t="e">
            <v>#DIV/0!</v>
          </cell>
          <cell r="BD340" t="e">
            <v>#DIV/0!</v>
          </cell>
          <cell r="BE340" t="e">
            <v>#DIV/0!</v>
          </cell>
        </row>
        <row r="341">
          <cell r="H341" t="e">
            <v>#DIV/0!</v>
          </cell>
          <cell r="I341" t="e">
            <v>#DIV/0!</v>
          </cell>
          <cell r="J341" t="e">
            <v>#DIV/0!</v>
          </cell>
          <cell r="K341" t="e">
            <v>#DIV/0!</v>
          </cell>
          <cell r="L341" t="e">
            <v>#DIV/0!</v>
          </cell>
          <cell r="M341" t="e">
            <v>#DIV/0!</v>
          </cell>
          <cell r="N341" t="e">
            <v>#DIV/0!</v>
          </cell>
          <cell r="O341" t="e">
            <v>#DIV/0!</v>
          </cell>
          <cell r="P341" t="e">
            <v>#DIV/0!</v>
          </cell>
          <cell r="Q341" t="e">
            <v>#DIV/0!</v>
          </cell>
          <cell r="R341" t="e">
            <v>#DIV/0!</v>
          </cell>
          <cell r="S341" t="e">
            <v>#DIV/0!</v>
          </cell>
          <cell r="T341" t="e">
            <v>#DIV/0!</v>
          </cell>
          <cell r="U341">
            <v>3.2170735382760696</v>
          </cell>
          <cell r="V341" t="e">
            <v>#DIV/0!</v>
          </cell>
          <cell r="W341">
            <v>4.9949836164073469</v>
          </cell>
          <cell r="X341">
            <v>2.1273348094438629</v>
          </cell>
          <cell r="Y341">
            <v>1.7665354072801644</v>
          </cell>
          <cell r="Z341">
            <v>0.60121301059237708</v>
          </cell>
          <cell r="AA341">
            <v>0.42069106544481916</v>
          </cell>
          <cell r="AB341">
            <v>0.44119745773135927</v>
          </cell>
          <cell r="AC341">
            <v>1.0545726664475989</v>
          </cell>
          <cell r="AD341" t="e">
            <v>#DIV/0!</v>
          </cell>
          <cell r="AE341">
            <v>1.2656697890163415</v>
          </cell>
          <cell r="AF341">
            <v>1.4248847981388282</v>
          </cell>
          <cell r="AG341">
            <v>1.4328853790411236</v>
          </cell>
          <cell r="AH341" t="e">
            <v>#DIV/0!</v>
          </cell>
          <cell r="AI341" t="e">
            <v>#DIV/0!</v>
          </cell>
          <cell r="AJ341">
            <v>2.5559283253637717</v>
          </cell>
          <cell r="AK341" t="e">
            <v>#DIV/0!</v>
          </cell>
          <cell r="AL341">
            <v>0.52195243203642172</v>
          </cell>
          <cell r="AM341">
            <v>0.64992215070315917</v>
          </cell>
          <cell r="AN341">
            <v>1.8742779813182824</v>
          </cell>
          <cell r="AO341" t="e">
            <v>#DIV/0!</v>
          </cell>
          <cell r="AP341" t="e">
            <v>#DIV/0!</v>
          </cell>
          <cell r="AQ341" t="e">
            <v>#DIV/0!</v>
          </cell>
          <cell r="AR341">
            <v>2.0066202468740895</v>
          </cell>
          <cell r="AS341">
            <v>1.4328853790411236</v>
          </cell>
          <cell r="AT341">
            <v>1.7320117162626822</v>
          </cell>
          <cell r="AU341">
            <v>0.53315019126530494</v>
          </cell>
          <cell r="AV341">
            <v>0.55858268960242297</v>
          </cell>
          <cell r="AW341" t="e">
            <v>#DIV/0!</v>
          </cell>
          <cell r="AX341" t="e">
            <v>#DIV/0!</v>
          </cell>
          <cell r="AY341" t="e">
            <v>#DIV/0!</v>
          </cell>
          <cell r="AZ341" t="e">
            <v>#DIV/0!</v>
          </cell>
          <cell r="BA341" t="e">
            <v>#DIV/0!</v>
          </cell>
          <cell r="BB341" t="e">
            <v>#DIV/0!</v>
          </cell>
          <cell r="BC341" t="e">
            <v>#DIV/0!</v>
          </cell>
          <cell r="BD341" t="e">
            <v>#DIV/0!</v>
          </cell>
          <cell r="BE341" t="e">
            <v>#DIV/0!</v>
          </cell>
        </row>
        <row r="342">
          <cell r="H342" t="e">
            <v>#DIV/0!</v>
          </cell>
          <cell r="I342" t="e">
            <v>#DIV/0!</v>
          </cell>
          <cell r="J342" t="e">
            <v>#DIV/0!</v>
          </cell>
          <cell r="K342" t="e">
            <v>#DIV/0!</v>
          </cell>
          <cell r="L342" t="e">
            <v>#DIV/0!</v>
          </cell>
          <cell r="M342" t="e">
            <v>#DIV/0!</v>
          </cell>
          <cell r="N342" t="e">
            <v>#DIV/0!</v>
          </cell>
          <cell r="O342" t="e">
            <v>#DIV/0!</v>
          </cell>
          <cell r="P342" t="e">
            <v>#DIV/0!</v>
          </cell>
          <cell r="Q342" t="e">
            <v>#DIV/0!</v>
          </cell>
          <cell r="R342" t="e">
            <v>#DIV/0!</v>
          </cell>
          <cell r="S342" t="e">
            <v>#DIV/0!</v>
          </cell>
          <cell r="T342" t="e">
            <v>#DIV/0!</v>
          </cell>
          <cell r="U342">
            <v>75.504919925699056</v>
          </cell>
          <cell r="V342">
            <v>142.41876821444865</v>
          </cell>
          <cell r="W342">
            <v>60.599368063918767</v>
          </cell>
          <cell r="X342">
            <v>84.677561636395907</v>
          </cell>
          <cell r="Y342">
            <v>56.086920178780403</v>
          </cell>
          <cell r="Z342">
            <v>29.462047185628659</v>
          </cell>
          <cell r="AA342">
            <v>18.536786684089705</v>
          </cell>
          <cell r="AB342">
            <v>19.982262486254637</v>
          </cell>
          <cell r="AC342">
            <v>34.465296957431732</v>
          </cell>
          <cell r="AD342" t="e">
            <v>#DIV/0!</v>
          </cell>
          <cell r="AE342">
            <v>46.48769066035603</v>
          </cell>
          <cell r="AF342">
            <v>49.821284493886708</v>
          </cell>
          <cell r="AG342">
            <v>75.604776788915729</v>
          </cell>
          <cell r="AH342">
            <v>0</v>
          </cell>
          <cell r="AI342">
            <v>0</v>
          </cell>
          <cell r="AJ342">
            <v>88.100132337759732</v>
          </cell>
          <cell r="AK342">
            <v>0</v>
          </cell>
          <cell r="AL342">
            <v>37.06854479672689</v>
          </cell>
          <cell r="AM342">
            <v>56.152798726860979</v>
          </cell>
          <cell r="AN342">
            <v>46.245399669415441</v>
          </cell>
          <cell r="AO342" t="e">
            <v>#DIV/0!</v>
          </cell>
          <cell r="AP342">
            <v>0</v>
          </cell>
          <cell r="AQ342">
            <v>0</v>
          </cell>
          <cell r="AR342">
            <v>57.490491286528034</v>
          </cell>
          <cell r="AS342">
            <v>75.604776788915729</v>
          </cell>
          <cell r="AT342">
            <v>113.07913033368213</v>
          </cell>
          <cell r="AU342">
            <v>21.585394576367626</v>
          </cell>
          <cell r="AV342">
            <v>23.028541826063112</v>
          </cell>
          <cell r="AW342" t="e">
            <v>#DIV/0!</v>
          </cell>
          <cell r="AX342" t="e">
            <v>#DIV/0!</v>
          </cell>
          <cell r="AY342" t="e">
            <v>#DIV/0!</v>
          </cell>
          <cell r="AZ342" t="e">
            <v>#DIV/0!</v>
          </cell>
          <cell r="BA342" t="e">
            <v>#DIV/0!</v>
          </cell>
          <cell r="BB342" t="e">
            <v>#DIV/0!</v>
          </cell>
          <cell r="BC342" t="e">
            <v>#DIV/0!</v>
          </cell>
          <cell r="BD342" t="e">
            <v>#DIV/0!</v>
          </cell>
          <cell r="BE342" t="e">
            <v>#DIV/0!</v>
          </cell>
        </row>
        <row r="343">
          <cell r="H343" t="e">
            <v>#DIV/0!</v>
          </cell>
          <cell r="I343" t="e">
            <v>#DIV/0!</v>
          </cell>
          <cell r="J343" t="e">
            <v>#DIV/0!</v>
          </cell>
          <cell r="K343" t="e">
            <v>#DIV/0!</v>
          </cell>
          <cell r="L343" t="e">
            <v>#DIV/0!</v>
          </cell>
          <cell r="M343" t="e">
            <v>#DIV/0!</v>
          </cell>
          <cell r="N343" t="e">
            <v>#DIV/0!</v>
          </cell>
          <cell r="O343" t="e">
            <v>#DIV/0!</v>
          </cell>
          <cell r="P343">
            <v>0</v>
          </cell>
          <cell r="Q343" t="e">
            <v>#DIV/0!</v>
          </cell>
          <cell r="R343" t="e">
            <v>#DIV/0!</v>
          </cell>
          <cell r="S343" t="e">
            <v>#DIV/0!</v>
          </cell>
          <cell r="T343" t="e">
            <v>#DIV/0!</v>
          </cell>
          <cell r="U343">
            <v>2.4640100347356237</v>
          </cell>
          <cell r="V343" t="e">
            <v>#DIV/0!</v>
          </cell>
          <cell r="W343">
            <v>3.1927330194661949</v>
          </cell>
          <cell r="X343">
            <v>3.2764916894471545</v>
          </cell>
          <cell r="Y343">
            <v>11.303457791293573</v>
          </cell>
          <cell r="Z343">
            <v>7.1802045814174118</v>
          </cell>
          <cell r="AA343">
            <v>6.5265433661401726</v>
          </cell>
          <cell r="AB343">
            <v>6.7426007246327542</v>
          </cell>
          <cell r="AC343">
            <v>9.9703764377630222</v>
          </cell>
          <cell r="AD343" t="e">
            <v>#DIV/0!</v>
          </cell>
          <cell r="AE343">
            <v>8.030446782315428</v>
          </cell>
          <cell r="AF343">
            <v>6.4442341471385198</v>
          </cell>
          <cell r="AG343">
            <v>17.644835738734606</v>
          </cell>
          <cell r="AH343" t="e">
            <v>#DIV/0!</v>
          </cell>
          <cell r="AI343" t="e">
            <v>#DIV/0!</v>
          </cell>
          <cell r="AJ343">
            <v>12.415881197839962</v>
          </cell>
          <cell r="AK343" t="e">
            <v>#DIV/0!</v>
          </cell>
          <cell r="AL343">
            <v>5.237854073139169</v>
          </cell>
          <cell r="AM343">
            <v>1.3073320737173884</v>
          </cell>
          <cell r="AN343">
            <v>26.89027222893246</v>
          </cell>
          <cell r="AO343" t="e">
            <v>#DIV/0!</v>
          </cell>
          <cell r="AP343" t="e">
            <v>#DIV/0!</v>
          </cell>
          <cell r="AQ343" t="e">
            <v>#DIV/0!</v>
          </cell>
          <cell r="AR343">
            <v>5.8227891776362162</v>
          </cell>
          <cell r="AS343">
            <v>17.644835738734603</v>
          </cell>
          <cell r="AT343" t="e">
            <v>#DIV/0!</v>
          </cell>
          <cell r="AU343">
            <v>4.9258162490508726</v>
          </cell>
          <cell r="AV343">
            <v>4.990171164183522</v>
          </cell>
          <cell r="AW343" t="e">
            <v>#DIV/0!</v>
          </cell>
          <cell r="AX343" t="e">
            <v>#DIV/0!</v>
          </cell>
          <cell r="AY343" t="e">
            <v>#DIV/0!</v>
          </cell>
          <cell r="AZ343" t="e">
            <v>#DIV/0!</v>
          </cell>
          <cell r="BA343" t="e">
            <v>#DIV/0!</v>
          </cell>
          <cell r="BB343" t="e">
            <v>#DIV/0!</v>
          </cell>
          <cell r="BC343" t="e">
            <v>#DIV/0!</v>
          </cell>
          <cell r="BD343" t="e">
            <v>#DIV/0!</v>
          </cell>
          <cell r="BE343" t="e">
            <v>#DIV/0!</v>
          </cell>
        </row>
        <row r="344">
          <cell r="H344" t="e">
            <v>#DIV/0!</v>
          </cell>
          <cell r="I344" t="e">
            <v>#DIV/0!</v>
          </cell>
          <cell r="J344" t="e">
            <v>#DIV/0!</v>
          </cell>
          <cell r="K344" t="e">
            <v>#DIV/0!</v>
          </cell>
          <cell r="L344" t="e">
            <v>#DIV/0!</v>
          </cell>
          <cell r="M344" t="e">
            <v>#DIV/0!</v>
          </cell>
          <cell r="N344" t="e">
            <v>#DIV/0!</v>
          </cell>
          <cell r="O344" t="e">
            <v>#DIV/0!</v>
          </cell>
          <cell r="P344" t="e">
            <v>#DIV/0!</v>
          </cell>
          <cell r="Q344" t="e">
            <v>#DIV/0!</v>
          </cell>
          <cell r="R344" t="e">
            <v>#DIV/0!</v>
          </cell>
          <cell r="S344" t="e">
            <v>#DIV/0!</v>
          </cell>
          <cell r="T344" t="e">
            <v>#DIV/0!</v>
          </cell>
          <cell r="U344">
            <v>0.7386435272740759</v>
          </cell>
          <cell r="V344">
            <v>0.92904526134020449</v>
          </cell>
          <cell r="W344">
            <v>0.2775433408763463</v>
          </cell>
          <cell r="X344">
            <v>0.69034370736707718</v>
          </cell>
          <cell r="Y344">
            <v>2.206651487093291</v>
          </cell>
          <cell r="Z344">
            <v>3.7525759419016209</v>
          </cell>
          <cell r="AA344">
            <v>4.6171477009249502</v>
          </cell>
          <cell r="AB344">
            <v>3.5520666129633733</v>
          </cell>
          <cell r="AC344">
            <v>3.8670764498645527</v>
          </cell>
          <cell r="AD344" t="e">
            <v>#DIV/0!</v>
          </cell>
          <cell r="AE344">
            <v>2.6532207284501412</v>
          </cell>
          <cell r="AF344">
            <v>1.9941986332386166</v>
          </cell>
          <cell r="AG344">
            <v>1.3607427011075575</v>
          </cell>
          <cell r="AH344" t="e">
            <v>#DIV/0!</v>
          </cell>
          <cell r="AI344" t="e">
            <v>#DIV/0!</v>
          </cell>
          <cell r="AJ344">
            <v>1.6570307614330961</v>
          </cell>
          <cell r="AK344" t="e">
            <v>#DIV/0!</v>
          </cell>
          <cell r="AL344">
            <v>2.7534700401120342</v>
          </cell>
          <cell r="AM344">
            <v>0.81917305296144882</v>
          </cell>
          <cell r="AN344">
            <v>3.1049413054573636</v>
          </cell>
          <cell r="AO344" t="e">
            <v>#DIV/0!</v>
          </cell>
          <cell r="AP344" t="e">
            <v>#DIV/0!</v>
          </cell>
          <cell r="AQ344" t="e">
            <v>#DIV/0!</v>
          </cell>
          <cell r="AR344">
            <v>1.9276811751028688</v>
          </cell>
          <cell r="AS344">
            <v>1.3607427011075575</v>
          </cell>
          <cell r="AT344">
            <v>1.4008599628652396</v>
          </cell>
          <cell r="AU344">
            <v>2.6378802325223756</v>
          </cell>
          <cell r="AV344">
            <v>2.5820728041257168</v>
          </cell>
          <cell r="AW344" t="e">
            <v>#DIV/0!</v>
          </cell>
          <cell r="AX344" t="e">
            <v>#DIV/0!</v>
          </cell>
          <cell r="AY344" t="e">
            <v>#DIV/0!</v>
          </cell>
          <cell r="AZ344" t="e">
            <v>#DIV/0!</v>
          </cell>
          <cell r="BA344" t="e">
            <v>#DIV/0!</v>
          </cell>
          <cell r="BB344" t="e">
            <v>#DIV/0!</v>
          </cell>
          <cell r="BC344" t="e">
            <v>#DIV/0!</v>
          </cell>
          <cell r="BD344" t="e">
            <v>#DIV/0!</v>
          </cell>
          <cell r="BE344" t="e">
            <v>#DIV/0!</v>
          </cell>
        </row>
        <row r="345">
          <cell r="H345" t="e">
            <v>#DIV/0!</v>
          </cell>
          <cell r="I345" t="e">
            <v>#DIV/0!</v>
          </cell>
          <cell r="J345" t="e">
            <v>#DIV/0!</v>
          </cell>
          <cell r="K345" t="e">
            <v>#DIV/0!</v>
          </cell>
          <cell r="L345" t="e">
            <v>#DIV/0!</v>
          </cell>
          <cell r="M345" t="e">
            <v>#DIV/0!</v>
          </cell>
          <cell r="N345" t="e">
            <v>#DIV/0!</v>
          </cell>
          <cell r="O345" t="e">
            <v>#DIV/0!</v>
          </cell>
          <cell r="P345" t="e">
            <v>#DIV/0!</v>
          </cell>
          <cell r="Q345" t="e">
            <v>#DIV/0!</v>
          </cell>
          <cell r="R345" t="e">
            <v>#DIV/0!</v>
          </cell>
          <cell r="S345" t="e">
            <v>#DIV/0!</v>
          </cell>
          <cell r="T345" t="e">
            <v>#VALUE!</v>
          </cell>
          <cell r="U345">
            <v>27.408945083978104</v>
          </cell>
          <cell r="V345">
            <v>13.313445437991476</v>
          </cell>
          <cell r="W345">
            <v>74.208841920757138</v>
          </cell>
          <cell r="X345">
            <v>4.7245960228152333</v>
          </cell>
          <cell r="Y345" t="e">
            <v>#DIV/0!</v>
          </cell>
          <cell r="Z345" t="e">
            <v>#N/A</v>
          </cell>
          <cell r="AA345">
            <v>8.4690040552465558</v>
          </cell>
          <cell r="AB345">
            <v>6.8702200116394607</v>
          </cell>
          <cell r="AC345">
            <v>5.3781318159145979</v>
          </cell>
          <cell r="AD345" t="e">
            <v>#N/A</v>
          </cell>
          <cell r="AE345">
            <v>3.5168914285714279</v>
          </cell>
          <cell r="AF345">
            <v>8.3389177910696883</v>
          </cell>
          <cell r="AG345">
            <v>6.1387948293986812</v>
          </cell>
          <cell r="AH345" t="e">
            <v>#DIV/0!</v>
          </cell>
          <cell r="AI345" t="e">
            <v>#DIV/0!</v>
          </cell>
          <cell r="AJ345" t="e">
            <v>#VALUE!</v>
          </cell>
          <cell r="AK345">
            <v>3.6738530399104801</v>
          </cell>
          <cell r="AL345">
            <v>8.1037081700331601</v>
          </cell>
          <cell r="AM345">
            <v>7.4156834814035939</v>
          </cell>
          <cell r="AN345">
            <v>0.68241758241758177</v>
          </cell>
          <cell r="AO345" t="e">
            <v>#N/A</v>
          </cell>
          <cell r="AP345" t="e">
            <v>#DIV/0!</v>
          </cell>
          <cell r="AQ345" t="e">
            <v>#VALUE!</v>
          </cell>
          <cell r="AR345" t="e">
            <v>#DIV/0!</v>
          </cell>
          <cell r="AS345">
            <v>6.138794829398682</v>
          </cell>
          <cell r="AT345" t="e">
            <v>#N/A</v>
          </cell>
          <cell r="AU345" t="e">
            <v>#DIV/0!</v>
          </cell>
          <cell r="AV345">
            <v>9.5786474130330621</v>
          </cell>
          <cell r="AW345" t="e">
            <v>#VALUE!</v>
          </cell>
          <cell r="AX345" t="e">
            <v>#VALUE!</v>
          </cell>
          <cell r="AY345" t="e">
            <v>#VALUE!</v>
          </cell>
          <cell r="AZ345" t="e">
            <v>#VALUE!</v>
          </cell>
          <cell r="BA345" t="e">
            <v>#VALUE!</v>
          </cell>
          <cell r="BB345" t="e">
            <v>#VALUE!</v>
          </cell>
          <cell r="BC345" t="e">
            <v>#VALUE!</v>
          </cell>
          <cell r="BD345" t="e">
            <v>#VALUE!</v>
          </cell>
          <cell r="BE345" t="e">
            <v>#VALUE!</v>
          </cell>
        </row>
        <row r="346">
          <cell r="H346" t="e">
            <v>#DIV/0!</v>
          </cell>
          <cell r="I346" t="e">
            <v>#DIV/0!</v>
          </cell>
          <cell r="J346" t="e">
            <v>#DIV/0!</v>
          </cell>
          <cell r="K346" t="e">
            <v>#DIV/0!</v>
          </cell>
          <cell r="L346" t="e">
            <v>#DIV/0!</v>
          </cell>
          <cell r="M346" t="e">
            <v>#DIV/0!</v>
          </cell>
          <cell r="N346" t="e">
            <v>#DIV/0!</v>
          </cell>
          <cell r="O346" t="e">
            <v>#DIV/0!</v>
          </cell>
          <cell r="P346" t="e">
            <v>#DIV/0!</v>
          </cell>
          <cell r="Q346" t="e">
            <v>#DIV/0!</v>
          </cell>
          <cell r="R346" t="e">
            <v>#DIV/0!</v>
          </cell>
          <cell r="S346" t="e">
            <v>#DIV/0!</v>
          </cell>
          <cell r="T346" t="e">
            <v>#VALUE!</v>
          </cell>
          <cell r="U346">
            <v>3.3068320810763586E-2</v>
          </cell>
          <cell r="V346">
            <v>0.47698989924722007</v>
          </cell>
          <cell r="W346">
            <v>1.1277874807805904E-2</v>
          </cell>
          <cell r="X346">
            <v>1.0053782918395942</v>
          </cell>
          <cell r="Y346">
            <v>0</v>
          </cell>
          <cell r="Z346" t="e">
            <v>#N/A</v>
          </cell>
          <cell r="AA346">
            <v>0.48502187288828819</v>
          </cell>
          <cell r="AB346">
            <v>0.36984786218335464</v>
          </cell>
          <cell r="AC346">
            <v>0.63947481761564662</v>
          </cell>
          <cell r="AD346" t="e">
            <v>#N/A</v>
          </cell>
          <cell r="AE346">
            <v>0.3848782860908066</v>
          </cell>
          <cell r="AF346">
            <v>0.3629360002827155</v>
          </cell>
          <cell r="AG346">
            <v>0.88126700666416846</v>
          </cell>
          <cell r="AH346" t="e">
            <v>#DIV/0!</v>
          </cell>
          <cell r="AI346" t="e">
            <v>#DIV/0!</v>
          </cell>
          <cell r="AJ346" t="e">
            <v>#VALUE!</v>
          </cell>
          <cell r="AK346">
            <v>21.090308370044053</v>
          </cell>
          <cell r="AL346">
            <v>0.33343385605146769</v>
          </cell>
          <cell r="AM346">
            <v>0.55622296303024366</v>
          </cell>
          <cell r="AN346">
            <v>0.13773922256804186</v>
          </cell>
          <cell r="AO346" t="e">
            <v>#N/A</v>
          </cell>
          <cell r="AP346" t="e">
            <v>#DIV/0!</v>
          </cell>
          <cell r="AQ346" t="e">
            <v>#VALUE!</v>
          </cell>
          <cell r="AR346">
            <v>0</v>
          </cell>
          <cell r="AS346">
            <v>0.88126700666416846</v>
          </cell>
          <cell r="AT346" t="e">
            <v>#N/A</v>
          </cell>
          <cell r="AU346" t="e">
            <v>#DIV/0!</v>
          </cell>
          <cell r="AV346">
            <v>0.43445707843453052</v>
          </cell>
          <cell r="AW346" t="e">
            <v>#VALUE!</v>
          </cell>
          <cell r="AX346" t="e">
            <v>#VALUE!</v>
          </cell>
          <cell r="AY346" t="e">
            <v>#VALUE!</v>
          </cell>
          <cell r="AZ346" t="e">
            <v>#VALUE!</v>
          </cell>
          <cell r="BA346" t="e">
            <v>#VALUE!</v>
          </cell>
          <cell r="BB346" t="e">
            <v>#VALUE!</v>
          </cell>
          <cell r="BC346" t="e">
            <v>#VALUE!</v>
          </cell>
          <cell r="BD346" t="e">
            <v>#VALUE!</v>
          </cell>
          <cell r="BE346" t="e">
            <v>#VALUE!</v>
          </cell>
        </row>
        <row r="347">
          <cell r="H347" t="e">
            <v>#DIV/0!</v>
          </cell>
          <cell r="I347" t="e">
            <v>#DIV/0!</v>
          </cell>
          <cell r="J347" t="e">
            <v>#DIV/0!</v>
          </cell>
          <cell r="K347" t="e">
            <v>#DIV/0!</v>
          </cell>
          <cell r="L347" t="e">
            <v>#DIV/0!</v>
          </cell>
          <cell r="M347" t="e">
            <v>#DIV/0!</v>
          </cell>
          <cell r="N347" t="e">
            <v>#DIV/0!</v>
          </cell>
          <cell r="O347" t="e">
            <v>#DIV/0!</v>
          </cell>
          <cell r="P347" t="e">
            <v>#DIV/0!</v>
          </cell>
          <cell r="Q347" t="e">
            <v>#DIV/0!</v>
          </cell>
          <cell r="R347" t="e">
            <v>#DIV/0!</v>
          </cell>
          <cell r="S347" t="e">
            <v>#DIV/0!</v>
          </cell>
          <cell r="T347" t="e">
            <v>#VALUE!</v>
          </cell>
          <cell r="U347">
            <v>3.7433088971579043E-2</v>
          </cell>
          <cell r="V347">
            <v>0.47698989924722007</v>
          </cell>
          <cell r="W347">
            <v>3.3339900235620445E-2</v>
          </cell>
          <cell r="X347">
            <v>1.0871996220610349</v>
          </cell>
          <cell r="Y347">
            <v>0</v>
          </cell>
          <cell r="Z347" t="e">
            <v>#N/A</v>
          </cell>
          <cell r="AA347">
            <v>0.55246070855053886</v>
          </cell>
          <cell r="AB347">
            <v>1.0124909590921907</v>
          </cell>
          <cell r="AC347">
            <v>1.3435201376745218</v>
          </cell>
          <cell r="AD347" t="e">
            <v>#N/A</v>
          </cell>
          <cell r="AE347">
            <v>0.5047323707077559</v>
          </cell>
          <cell r="AF347">
            <v>0.61969159029636589</v>
          </cell>
          <cell r="AG347">
            <v>2.1141382949614984</v>
          </cell>
          <cell r="AH347" t="e">
            <v>#DIV/0!</v>
          </cell>
          <cell r="AI347" t="e">
            <v>#DIV/0!</v>
          </cell>
          <cell r="AJ347" t="e">
            <v>#VALUE!</v>
          </cell>
          <cell r="AK347">
            <v>21.090308370044053</v>
          </cell>
          <cell r="AL347">
            <v>0.44154547572298591</v>
          </cell>
          <cell r="AM347">
            <v>0.66090951676104215</v>
          </cell>
          <cell r="AN347">
            <v>0.22972256582435063</v>
          </cell>
          <cell r="AO347" t="e">
            <v>#N/A</v>
          </cell>
          <cell r="AP347" t="e">
            <v>#DIV/0!</v>
          </cell>
          <cell r="AQ347" t="e">
            <v>#VALUE!</v>
          </cell>
          <cell r="AR347">
            <v>0</v>
          </cell>
          <cell r="AS347">
            <v>2.1141382949614984</v>
          </cell>
          <cell r="AT347" t="e">
            <v>#N/A</v>
          </cell>
          <cell r="AU347" t="e">
            <v>#DIV/0!</v>
          </cell>
          <cell r="AV347">
            <v>0.55786835927749412</v>
          </cell>
          <cell r="AW347" t="e">
            <v>#VALUE!</v>
          </cell>
          <cell r="AX347" t="e">
            <v>#VALUE!</v>
          </cell>
          <cell r="AY347" t="e">
            <v>#VALUE!</v>
          </cell>
          <cell r="AZ347" t="e">
            <v>#VALUE!</v>
          </cell>
          <cell r="BA347" t="e">
            <v>#VALUE!</v>
          </cell>
          <cell r="BB347" t="e">
            <v>#VALUE!</v>
          </cell>
          <cell r="BC347" t="e">
            <v>#VALUE!</v>
          </cell>
          <cell r="BD347" t="e">
            <v>#VALUE!</v>
          </cell>
          <cell r="BE347" t="e">
            <v>#VALUE!</v>
          </cell>
        </row>
        <row r="348">
          <cell r="H348" t="e">
            <v>#DIV/0!</v>
          </cell>
          <cell r="I348" t="e">
            <v>#DIV/0!</v>
          </cell>
          <cell r="J348" t="e">
            <v>#DIV/0!</v>
          </cell>
          <cell r="K348" t="e">
            <v>#DIV/0!</v>
          </cell>
          <cell r="L348" t="e">
            <v>#DIV/0!</v>
          </cell>
          <cell r="M348" t="e">
            <v>#DIV/0!</v>
          </cell>
          <cell r="N348" t="e">
            <v>#DIV/0!</v>
          </cell>
          <cell r="O348" t="e">
            <v>#DIV/0!</v>
          </cell>
          <cell r="P348" t="e">
            <v>#DIV/0!</v>
          </cell>
          <cell r="Q348" t="e">
            <v>#DIV/0!</v>
          </cell>
          <cell r="R348" t="e">
            <v>#DIV/0!</v>
          </cell>
          <cell r="S348" t="e">
            <v>#DIV/0!</v>
          </cell>
          <cell r="T348" t="e">
            <v>#VALUE!</v>
          </cell>
          <cell r="U348">
            <v>3.2009810139963631E-2</v>
          </cell>
          <cell r="V348">
            <v>0.32294729942996109</v>
          </cell>
          <cell r="W348">
            <v>1.1152102788711038E-2</v>
          </cell>
          <cell r="X348">
            <v>0.50134096690421948</v>
          </cell>
          <cell r="Y348">
            <v>0</v>
          </cell>
          <cell r="Z348" t="e">
            <v>#N/A</v>
          </cell>
          <cell r="AA348">
            <v>0.3266092451183541</v>
          </cell>
          <cell r="AB348">
            <v>0.26999192566820268</v>
          </cell>
          <cell r="AC348">
            <v>0.39004857576626906</v>
          </cell>
          <cell r="AD348" t="e">
            <v>#N/A</v>
          </cell>
          <cell r="AE348">
            <v>0.27791488245312129</v>
          </cell>
          <cell r="AF348">
            <v>0.26628983327715405</v>
          </cell>
          <cell r="AG348">
            <v>0.4684433435245412</v>
          </cell>
          <cell r="AH348" t="e">
            <v>#DIV/0!</v>
          </cell>
          <cell r="AI348" t="e">
            <v>#DIV/0!</v>
          </cell>
          <cell r="AJ348" t="e">
            <v>#VALUE!</v>
          </cell>
          <cell r="AK348">
            <v>0.95473127929005885</v>
          </cell>
          <cell r="AL348">
            <v>0.25005653976630232</v>
          </cell>
          <cell r="AM348">
            <v>0.35741855520958149</v>
          </cell>
          <cell r="AN348">
            <v>0.12106396600896339</v>
          </cell>
          <cell r="AO348" t="e">
            <v>#N/A</v>
          </cell>
          <cell r="AP348" t="e">
            <v>#DIV/0!</v>
          </cell>
          <cell r="AQ348" t="e">
            <v>#VALUE!</v>
          </cell>
          <cell r="AR348">
            <v>0</v>
          </cell>
          <cell r="AS348">
            <v>0.4684433435245412</v>
          </cell>
          <cell r="AT348" t="e">
            <v>#N/A</v>
          </cell>
          <cell r="AU348" t="e">
            <v>#DIV/0!</v>
          </cell>
          <cell r="AV348">
            <v>0.30287213536473856</v>
          </cell>
          <cell r="AW348" t="e">
            <v>#VALUE!</v>
          </cell>
          <cell r="AX348" t="e">
            <v>#VALUE!</v>
          </cell>
          <cell r="AY348" t="e">
            <v>#VALUE!</v>
          </cell>
          <cell r="AZ348" t="e">
            <v>#VALUE!</v>
          </cell>
          <cell r="BA348" t="e">
            <v>#VALUE!</v>
          </cell>
          <cell r="BB348" t="e">
            <v>#VALUE!</v>
          </cell>
          <cell r="BC348" t="e">
            <v>#VALUE!</v>
          </cell>
          <cell r="BD348" t="e">
            <v>#VALUE!</v>
          </cell>
          <cell r="BE348" t="e">
            <v>#VALUE!</v>
          </cell>
        </row>
        <row r="349">
          <cell r="H349" t="e">
            <v>#DIV/0!</v>
          </cell>
          <cell r="I349" t="e">
            <v>#DIV/0!</v>
          </cell>
          <cell r="J349" t="e">
            <v>#DIV/0!</v>
          </cell>
          <cell r="K349" t="e">
            <v>#DIV/0!</v>
          </cell>
          <cell r="L349" t="e">
            <v>#DIV/0!</v>
          </cell>
          <cell r="M349" t="e">
            <v>#DIV/0!</v>
          </cell>
          <cell r="N349" t="e">
            <v>#DIV/0!</v>
          </cell>
          <cell r="O349" t="e">
            <v>#DIV/0!</v>
          </cell>
          <cell r="P349" t="e">
            <v>#DIV/0!</v>
          </cell>
          <cell r="Q349" t="e">
            <v>#DIV/0!</v>
          </cell>
          <cell r="R349" t="e">
            <v>#DIV/0!</v>
          </cell>
          <cell r="S349" t="e">
            <v>#DIV/0!</v>
          </cell>
          <cell r="T349" t="e">
            <v>#VALUE!</v>
          </cell>
          <cell r="U349" t="e">
            <v>#DIV/0!</v>
          </cell>
          <cell r="V349" t="e">
            <v>#DIV/0!</v>
          </cell>
          <cell r="W349" t="e">
            <v>#DIV/0!</v>
          </cell>
          <cell r="X349" t="e">
            <v>#DIV/0!</v>
          </cell>
          <cell r="Y349" t="e">
            <v>#DIV/0!</v>
          </cell>
          <cell r="Z349" t="e">
            <v>#N/A</v>
          </cell>
          <cell r="AA349" t="e">
            <v>#DIV/0!</v>
          </cell>
          <cell r="AB349" t="e">
            <v>#DIV/0!</v>
          </cell>
          <cell r="AC349" t="e">
            <v>#DIV/0!</v>
          </cell>
          <cell r="AD349" t="e">
            <v>#N/A</v>
          </cell>
          <cell r="AE349" t="e">
            <v>#DIV/0!</v>
          </cell>
          <cell r="AF349" t="e">
            <v>#DIV/0!</v>
          </cell>
          <cell r="AG349" t="e">
            <v>#DIV/0!</v>
          </cell>
          <cell r="AH349" t="e">
            <v>#DIV/0!</v>
          </cell>
          <cell r="AI349" t="e">
            <v>#DIV/0!</v>
          </cell>
          <cell r="AJ349" t="e">
            <v>#VALUE!</v>
          </cell>
          <cell r="AK349" t="e">
            <v>#DIV/0!</v>
          </cell>
          <cell r="AL349" t="e">
            <v>#DIV/0!</v>
          </cell>
          <cell r="AM349" t="e">
            <v>#DIV/0!</v>
          </cell>
          <cell r="AN349" t="e">
            <v>#DIV/0!</v>
          </cell>
          <cell r="AO349" t="e">
            <v>#N/A</v>
          </cell>
          <cell r="AP349" t="e">
            <v>#DIV/0!</v>
          </cell>
          <cell r="AQ349" t="e">
            <v>#VALUE!</v>
          </cell>
          <cell r="AR349" t="e">
            <v>#DIV/0!</v>
          </cell>
          <cell r="AS349" t="e">
            <v>#DIV/0!</v>
          </cell>
          <cell r="AT349" t="e">
            <v>#N/A</v>
          </cell>
          <cell r="AU349" t="e">
            <v>#DIV/0!</v>
          </cell>
          <cell r="AV349" t="e">
            <v>#DIV/0!</v>
          </cell>
          <cell r="AW349" t="e">
            <v>#VALUE!</v>
          </cell>
          <cell r="AX349" t="e">
            <v>#VALUE!</v>
          </cell>
          <cell r="AY349" t="e">
            <v>#VALUE!</v>
          </cell>
          <cell r="AZ349" t="e">
            <v>#VALUE!</v>
          </cell>
          <cell r="BA349" t="e">
            <v>#VALUE!</v>
          </cell>
          <cell r="BB349" t="e">
            <v>#VALUE!</v>
          </cell>
          <cell r="BC349" t="e">
            <v>#VALUE!</v>
          </cell>
          <cell r="BD349" t="e">
            <v>#VALUE!</v>
          </cell>
          <cell r="BE349" t="e">
            <v>#VALUE!</v>
          </cell>
        </row>
        <row r="350">
          <cell r="H350" t="e">
            <v>#DIV/0!</v>
          </cell>
          <cell r="I350" t="e">
            <v>#DIV/0!</v>
          </cell>
          <cell r="J350" t="e">
            <v>#DIV/0!</v>
          </cell>
          <cell r="K350" t="e">
            <v>#DIV/0!</v>
          </cell>
          <cell r="L350" t="e">
            <v>#DIV/0!</v>
          </cell>
          <cell r="M350" t="e">
            <v>#DIV/0!</v>
          </cell>
          <cell r="N350" t="e">
            <v>#DIV/0!</v>
          </cell>
          <cell r="O350" t="e">
            <v>#DIV/0!</v>
          </cell>
          <cell r="P350" t="e">
            <v>#DIV/0!</v>
          </cell>
          <cell r="Q350" t="e">
            <v>#DIV/0!</v>
          </cell>
          <cell r="R350" t="e">
            <v>#DIV/0!</v>
          </cell>
          <cell r="S350" t="e">
            <v>#DIV/0!</v>
          </cell>
          <cell r="T350" t="e">
            <v>#VALUE!</v>
          </cell>
          <cell r="U350" t="e">
            <v>#DIV/0!</v>
          </cell>
          <cell r="V350" t="e">
            <v>#DIV/0!</v>
          </cell>
          <cell r="W350" t="e">
            <v>#DIV/0!</v>
          </cell>
          <cell r="X350" t="e">
            <v>#DIV/0!</v>
          </cell>
          <cell r="Y350">
            <v>0</v>
          </cell>
          <cell r="Z350" t="e">
            <v>#N/A</v>
          </cell>
          <cell r="AA350" t="e">
            <v>#DIV/0!</v>
          </cell>
          <cell r="AB350" t="e">
            <v>#DIV/0!</v>
          </cell>
          <cell r="AC350" t="e">
            <v>#DIV/0!</v>
          </cell>
          <cell r="AD350" t="e">
            <v>#N/A</v>
          </cell>
          <cell r="AE350" t="e">
            <v>#DIV/0!</v>
          </cell>
          <cell r="AF350" t="e">
            <v>#DIV/0!</v>
          </cell>
          <cell r="AG350" t="e">
            <v>#DIV/0!</v>
          </cell>
          <cell r="AH350" t="e">
            <v>#DIV/0!</v>
          </cell>
          <cell r="AI350" t="e">
            <v>#DIV/0!</v>
          </cell>
          <cell r="AJ350" t="e">
            <v>#VALUE!</v>
          </cell>
          <cell r="AK350" t="e">
            <v>#DIV/0!</v>
          </cell>
          <cell r="AL350" t="e">
            <v>#DIV/0!</v>
          </cell>
          <cell r="AM350" t="e">
            <v>#DIV/0!</v>
          </cell>
          <cell r="AN350" t="e">
            <v>#DIV/0!</v>
          </cell>
          <cell r="AO350" t="e">
            <v>#N/A</v>
          </cell>
          <cell r="AP350" t="e">
            <v>#DIV/0!</v>
          </cell>
          <cell r="AQ350" t="e">
            <v>#VALUE!</v>
          </cell>
          <cell r="AR350" t="e">
            <v>#DIV/0!</v>
          </cell>
          <cell r="AS350" t="e">
            <v>#DIV/0!</v>
          </cell>
          <cell r="AT350" t="e">
            <v>#N/A</v>
          </cell>
          <cell r="AU350" t="e">
            <v>#DIV/0!</v>
          </cell>
          <cell r="AV350" t="e">
            <v>#DIV/0!</v>
          </cell>
          <cell r="AW350" t="e">
            <v>#VALUE!</v>
          </cell>
          <cell r="AX350" t="e">
            <v>#VALUE!</v>
          </cell>
          <cell r="AY350" t="e">
            <v>#VALUE!</v>
          </cell>
          <cell r="AZ350" t="e">
            <v>#VALUE!</v>
          </cell>
          <cell r="BA350" t="e">
            <v>#VALUE!</v>
          </cell>
          <cell r="BB350" t="e">
            <v>#VALUE!</v>
          </cell>
          <cell r="BC350" t="e">
            <v>#VALUE!</v>
          </cell>
          <cell r="BD350" t="e">
            <v>#VALUE!</v>
          </cell>
          <cell r="BE350" t="e">
            <v>#VALUE!</v>
          </cell>
        </row>
        <row r="351">
          <cell r="H351" t="e">
            <v>#DIV/0!</v>
          </cell>
          <cell r="I351" t="e">
            <v>#DIV/0!</v>
          </cell>
          <cell r="J351" t="e">
            <v>#DIV/0!</v>
          </cell>
          <cell r="K351" t="e">
            <v>#DIV/0!</v>
          </cell>
          <cell r="L351" t="e">
            <v>#DIV/0!</v>
          </cell>
          <cell r="M351" t="e">
            <v>#DIV/0!</v>
          </cell>
          <cell r="N351" t="e">
            <v>#DIV/0!</v>
          </cell>
          <cell r="O351" t="e">
            <v>#DIV/0!</v>
          </cell>
          <cell r="P351" t="e">
            <v>#DIV/0!</v>
          </cell>
          <cell r="Q351" t="e">
            <v>#DIV/0!</v>
          </cell>
          <cell r="R351" t="e">
            <v>#DIV/0!</v>
          </cell>
          <cell r="S351" t="e">
            <v>#DIV/0!</v>
          </cell>
          <cell r="T351" t="e">
            <v>#VALUE!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 t="e">
            <v>#DIV/0!</v>
          </cell>
          <cell r="Z351" t="e">
            <v>#N/A</v>
          </cell>
          <cell r="AA351">
            <v>0</v>
          </cell>
          <cell r="AB351">
            <v>0</v>
          </cell>
          <cell r="AC351">
            <v>0</v>
          </cell>
          <cell r="AD351" t="e">
            <v>#N/A</v>
          </cell>
          <cell r="AE351">
            <v>0</v>
          </cell>
          <cell r="AF351">
            <v>0</v>
          </cell>
          <cell r="AG351">
            <v>0</v>
          </cell>
          <cell r="AH351" t="e">
            <v>#DIV/0!</v>
          </cell>
          <cell r="AI351" t="e">
            <v>#DIV/0!</v>
          </cell>
          <cell r="AJ351" t="e">
            <v>#VALUE!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 t="e">
            <v>#N/A</v>
          </cell>
          <cell r="AP351" t="e">
            <v>#DIV/0!</v>
          </cell>
          <cell r="AQ351" t="e">
            <v>#VALUE!</v>
          </cell>
          <cell r="AR351" t="e">
            <v>#DIV/0!</v>
          </cell>
          <cell r="AS351">
            <v>0</v>
          </cell>
          <cell r="AT351" t="e">
            <v>#N/A</v>
          </cell>
          <cell r="AU351" t="e">
            <v>#DIV/0!</v>
          </cell>
          <cell r="AV351">
            <v>0</v>
          </cell>
          <cell r="AW351" t="e">
            <v>#VALUE!</v>
          </cell>
          <cell r="AX351" t="e">
            <v>#VALUE!</v>
          </cell>
          <cell r="AY351" t="e">
            <v>#VALUE!</v>
          </cell>
          <cell r="AZ351" t="e">
            <v>#VALUE!</v>
          </cell>
          <cell r="BA351" t="e">
            <v>#VALUE!</v>
          </cell>
          <cell r="BB351" t="e">
            <v>#VALUE!</v>
          </cell>
          <cell r="BC351" t="e">
            <v>#VALUE!</v>
          </cell>
          <cell r="BD351" t="e">
            <v>#VALUE!</v>
          </cell>
          <cell r="BE351" t="e">
            <v>#VALUE!</v>
          </cell>
        </row>
        <row r="352">
          <cell r="H352" t="e">
            <v>#DIV/0!</v>
          </cell>
          <cell r="I352" t="e">
            <v>#DIV/0!</v>
          </cell>
          <cell r="J352" t="e">
            <v>#DIV/0!</v>
          </cell>
          <cell r="K352" t="e">
            <v>#DIV/0!</v>
          </cell>
          <cell r="L352" t="e">
            <v>#DIV/0!</v>
          </cell>
          <cell r="M352" t="e">
            <v>#DIV/0!</v>
          </cell>
          <cell r="N352" t="e">
            <v>#DIV/0!</v>
          </cell>
          <cell r="O352" t="e">
            <v>#DIV/0!</v>
          </cell>
          <cell r="P352" t="e">
            <v>#DIV/0!</v>
          </cell>
          <cell r="Q352" t="e">
            <v>#DIV/0!</v>
          </cell>
          <cell r="R352" t="e">
            <v>#DIV/0!</v>
          </cell>
          <cell r="S352" t="e">
            <v>#DIV/0!</v>
          </cell>
          <cell r="T352" t="e">
            <v>#VALUE!</v>
          </cell>
          <cell r="U352" t="e">
            <v>#DIV/0!</v>
          </cell>
          <cell r="V352" t="e">
            <v>#DIV/0!</v>
          </cell>
          <cell r="W352" t="e">
            <v>#DIV/0!</v>
          </cell>
          <cell r="X352" t="e">
            <v>#DIV/0!</v>
          </cell>
          <cell r="Y352">
            <v>0</v>
          </cell>
          <cell r="Z352" t="e">
            <v>#N/A</v>
          </cell>
          <cell r="AA352" t="e">
            <v>#DIV/0!</v>
          </cell>
          <cell r="AB352" t="e">
            <v>#DIV/0!</v>
          </cell>
          <cell r="AC352" t="e">
            <v>#DIV/0!</v>
          </cell>
          <cell r="AD352" t="e">
            <v>#N/A</v>
          </cell>
          <cell r="AE352" t="e">
            <v>#DIV/0!</v>
          </cell>
          <cell r="AF352" t="e">
            <v>#DIV/0!</v>
          </cell>
          <cell r="AG352" t="e">
            <v>#DIV/0!</v>
          </cell>
          <cell r="AH352" t="e">
            <v>#DIV/0!</v>
          </cell>
          <cell r="AI352" t="e">
            <v>#DIV/0!</v>
          </cell>
          <cell r="AJ352" t="e">
            <v>#VALUE!</v>
          </cell>
          <cell r="AK352" t="e">
            <v>#DIV/0!</v>
          </cell>
          <cell r="AL352" t="e">
            <v>#DIV/0!</v>
          </cell>
          <cell r="AM352" t="e">
            <v>#DIV/0!</v>
          </cell>
          <cell r="AN352" t="e">
            <v>#DIV/0!</v>
          </cell>
          <cell r="AO352" t="e">
            <v>#N/A</v>
          </cell>
          <cell r="AP352" t="e">
            <v>#DIV/0!</v>
          </cell>
          <cell r="AQ352" t="e">
            <v>#VALUE!</v>
          </cell>
          <cell r="AR352" t="e">
            <v>#DIV/0!</v>
          </cell>
          <cell r="AS352" t="e">
            <v>#DIV/0!</v>
          </cell>
          <cell r="AT352" t="e">
            <v>#N/A</v>
          </cell>
          <cell r="AU352" t="e">
            <v>#DIV/0!</v>
          </cell>
          <cell r="AV352" t="e">
            <v>#DIV/0!</v>
          </cell>
          <cell r="AW352" t="e">
            <v>#VALUE!</v>
          </cell>
          <cell r="AX352" t="e">
            <v>#VALUE!</v>
          </cell>
          <cell r="AY352" t="e">
            <v>#VALUE!</v>
          </cell>
          <cell r="AZ352" t="e">
            <v>#VALUE!</v>
          </cell>
          <cell r="BA352" t="e">
            <v>#VALUE!</v>
          </cell>
          <cell r="BB352" t="e">
            <v>#VALUE!</v>
          </cell>
          <cell r="BC352" t="e">
            <v>#VALUE!</v>
          </cell>
          <cell r="BD352" t="e">
            <v>#VALUE!</v>
          </cell>
          <cell r="BE352" t="e">
            <v>#VALUE!</v>
          </cell>
        </row>
        <row r="355">
          <cell r="H355" t="str">
            <v>NA</v>
          </cell>
          <cell r="I355" t="str">
            <v>NA</v>
          </cell>
          <cell r="J355" t="str">
            <v>NA</v>
          </cell>
          <cell r="K355" t="str">
            <v>NA</v>
          </cell>
          <cell r="L355" t="str">
            <v>NA</v>
          </cell>
          <cell r="M355" t="str">
            <v>NA</v>
          </cell>
          <cell r="N355" t="str">
            <v>NA</v>
          </cell>
          <cell r="O355" t="str">
            <v>NA</v>
          </cell>
          <cell r="P355" t="str">
            <v>NA</v>
          </cell>
          <cell r="Q355" t="str">
            <v>NA</v>
          </cell>
          <cell r="R355" t="str">
            <v>NA</v>
          </cell>
          <cell r="S355" t="str">
            <v>NA</v>
          </cell>
          <cell r="T355" t="str">
            <v>NA</v>
          </cell>
          <cell r="U355">
            <v>0.20995586345605899</v>
          </cell>
          <cell r="V355">
            <v>0.10275023502492142</v>
          </cell>
          <cell r="W355">
            <v>0.10056437389770712</v>
          </cell>
          <cell r="X355">
            <v>6.3399138041506209E-2</v>
          </cell>
          <cell r="Y355">
            <v>0.58279376997374444</v>
          </cell>
          <cell r="Z355">
            <v>0.13959607886307257</v>
          </cell>
          <cell r="AA355">
            <v>0.20449890190537223</v>
          </cell>
          <cell r="AB355">
            <v>0.17130811424123071</v>
          </cell>
          <cell r="AC355">
            <v>4.5618858895758452E-2</v>
          </cell>
          <cell r="AD355" t="str">
            <v>NA</v>
          </cell>
          <cell r="AE355">
            <v>1.3168845155921094E-2</v>
          </cell>
          <cell r="AF355">
            <v>8.957475648052271E-2</v>
          </cell>
          <cell r="AG355">
            <v>0.18778939013096974</v>
          </cell>
          <cell r="AH355">
            <v>0.43624879304795638</v>
          </cell>
          <cell r="AI355">
            <v>-1.1964360020419562E-2</v>
          </cell>
          <cell r="AJ355">
            <v>0.17426680830826613</v>
          </cell>
          <cell r="AK355">
            <v>0.14263544018058694</v>
          </cell>
          <cell r="AL355">
            <v>0.20321891361665445</v>
          </cell>
          <cell r="AM355">
            <v>0.11318642402641155</v>
          </cell>
          <cell r="AN355">
            <v>0.48666539367322259</v>
          </cell>
          <cell r="AO355" t="str">
            <v>NA</v>
          </cell>
          <cell r="AP355">
            <v>0.12990297733669087</v>
          </cell>
          <cell r="AQ355">
            <v>0.12461481215605752</v>
          </cell>
          <cell r="AR355">
            <v>9.600139839123667E-2</v>
          </cell>
          <cell r="AS355">
            <v>0.18778939013096974</v>
          </cell>
          <cell r="AT355">
            <v>8.9152755768771463E-2</v>
          </cell>
          <cell r="AU355">
            <v>0.11680633237212357</v>
          </cell>
          <cell r="AV355">
            <v>0.11790497783355192</v>
          </cell>
          <cell r="AW355" t="str">
            <v>NA</v>
          </cell>
          <cell r="AX355" t="str">
            <v>NA</v>
          </cell>
          <cell r="AY355" t="str">
            <v>NA</v>
          </cell>
          <cell r="AZ355" t="str">
            <v>NA</v>
          </cell>
          <cell r="BA355" t="str">
            <v>NA</v>
          </cell>
          <cell r="BB355" t="str">
            <v>NA</v>
          </cell>
          <cell r="BC355" t="str">
            <v>NA</v>
          </cell>
          <cell r="BD355" t="str">
            <v>NA</v>
          </cell>
          <cell r="BE355" t="str">
            <v>NA</v>
          </cell>
        </row>
        <row r="356">
          <cell r="H356" t="str">
            <v>NA</v>
          </cell>
          <cell r="I356" t="str">
            <v>NA</v>
          </cell>
          <cell r="J356" t="str">
            <v>NA</v>
          </cell>
          <cell r="K356" t="str">
            <v>NA</v>
          </cell>
          <cell r="L356" t="str">
            <v>NA</v>
          </cell>
          <cell r="M356" t="str">
            <v>NA</v>
          </cell>
          <cell r="N356" t="str">
            <v>NA</v>
          </cell>
          <cell r="O356" t="str">
            <v>NA</v>
          </cell>
          <cell r="P356" t="str">
            <v>NA</v>
          </cell>
          <cell r="Q356" t="str">
            <v>NA</v>
          </cell>
          <cell r="R356" t="str">
            <v>NA</v>
          </cell>
          <cell r="S356" t="str">
            <v>NA</v>
          </cell>
          <cell r="T356" t="str">
            <v>NA</v>
          </cell>
          <cell r="U356" t="str">
            <v>NM</v>
          </cell>
          <cell r="V356">
            <v>0.15825544253408919</v>
          </cell>
          <cell r="W356">
            <v>0.10056437389770712</v>
          </cell>
          <cell r="X356">
            <v>9.0451419029002889E-3</v>
          </cell>
          <cell r="Y356">
            <v>8.5606160047799751E-2</v>
          </cell>
          <cell r="Z356">
            <v>0.64688017921677488</v>
          </cell>
          <cell r="AA356">
            <v>0.2096406524266361</v>
          </cell>
          <cell r="AB356">
            <v>-2.7622055860919703E-2</v>
          </cell>
          <cell r="AC356">
            <v>0.1512625224898354</v>
          </cell>
          <cell r="AD356" t="str">
            <v>NA</v>
          </cell>
          <cell r="AE356" t="str">
            <v>NM</v>
          </cell>
          <cell r="AF356">
            <v>0.21062712675200901</v>
          </cell>
          <cell r="AG356">
            <v>-5.9426053346557373E-3</v>
          </cell>
          <cell r="AH356" t="str">
            <v>NA</v>
          </cell>
          <cell r="AI356" t="str">
            <v>NA</v>
          </cell>
          <cell r="AJ356">
            <v>0.65257109552308123</v>
          </cell>
          <cell r="AK356">
            <v>0.5193474392623767</v>
          </cell>
          <cell r="AL356">
            <v>0.58974533339506641</v>
          </cell>
          <cell r="AM356">
            <v>9.7560975609756184E-2</v>
          </cell>
          <cell r="AN356" t="str">
            <v>NM</v>
          </cell>
          <cell r="AO356" t="str">
            <v>NA</v>
          </cell>
          <cell r="AP356">
            <v>0.16269030049301803</v>
          </cell>
          <cell r="AQ356">
            <v>0.21516485718497758</v>
          </cell>
          <cell r="AR356">
            <v>0.17410371280984438</v>
          </cell>
          <cell r="AS356">
            <v>-1.9477426139478782E-2</v>
          </cell>
          <cell r="AT356">
            <v>0.35565154787616993</v>
          </cell>
          <cell r="AU356" t="str">
            <v>NA</v>
          </cell>
          <cell r="AV356">
            <v>0.20532727299434717</v>
          </cell>
          <cell r="AW356" t="str">
            <v>NA</v>
          </cell>
          <cell r="AX356" t="str">
            <v>NA</v>
          </cell>
          <cell r="AY356" t="str">
            <v>NA</v>
          </cell>
          <cell r="AZ356" t="str">
            <v>NA</v>
          </cell>
          <cell r="BA356" t="str">
            <v>NA</v>
          </cell>
          <cell r="BB356" t="str">
            <v>NA</v>
          </cell>
          <cell r="BC356" t="str">
            <v>NA</v>
          </cell>
          <cell r="BD356" t="str">
            <v>NA</v>
          </cell>
          <cell r="BE356" t="str">
            <v>NA</v>
          </cell>
        </row>
        <row r="360">
          <cell r="H360">
            <v>0.10465116279069764</v>
          </cell>
          <cell r="I360">
            <v>-7.999999999999996E-2</v>
          </cell>
          <cell r="J360">
            <v>9.375E-2</v>
          </cell>
          <cell r="K360">
            <v>0.27064220183486221</v>
          </cell>
          <cell r="L360">
            <v>-1.5</v>
          </cell>
          <cell r="M360">
            <v>-8.7912087912087933E-2</v>
          </cell>
          <cell r="N360">
            <v>6.9306930693069368E-2</v>
          </cell>
          <cell r="O360">
            <v>0.1333333333333333</v>
          </cell>
          <cell r="P360">
            <v>-0.69724770642201839</v>
          </cell>
          <cell r="Q360">
            <v>4.39560439560438E-2</v>
          </cell>
          <cell r="R360">
            <v>5.6994818652849721E-2</v>
          </cell>
          <cell r="S360">
            <v>5.5118110236220597E-2</v>
          </cell>
          <cell r="T360" t="e">
            <v>#VALUE!</v>
          </cell>
          <cell r="U360">
            <v>2.5555555555555558</v>
          </cell>
          <cell r="V360">
            <v>0.75</v>
          </cell>
          <cell r="W360">
            <v>9.3023255813953432E-2</v>
          </cell>
          <cell r="X360">
            <v>0.14102564102564097</v>
          </cell>
          <cell r="Y360">
            <v>0.4027777777777779</v>
          </cell>
          <cell r="Z360" t="e">
            <v>#N/A</v>
          </cell>
          <cell r="AA360">
            <v>0.35586481113320079</v>
          </cell>
          <cell r="AB360">
            <v>0.35586481113320079</v>
          </cell>
          <cell r="AC360">
            <v>0.24271844660194164</v>
          </cell>
          <cell r="AD360" t="e">
            <v>#N/A</v>
          </cell>
          <cell r="AE360">
            <v>-0.35582822085889565</v>
          </cell>
          <cell r="AF360">
            <v>0.2736318407960201</v>
          </cell>
          <cell r="AG360">
            <v>0.30000000000000004</v>
          </cell>
          <cell r="AH360">
            <v>0.43577981651376141</v>
          </cell>
          <cell r="AI360">
            <v>-0.7303370786516854</v>
          </cell>
          <cell r="AJ360" t="e">
            <v>#VALUE!</v>
          </cell>
          <cell r="AK360">
            <v>0.34351145038167941</v>
          </cell>
          <cell r="AL360">
            <v>0.30347349177330907</v>
          </cell>
          <cell r="AM360">
            <v>0.21276595744680837</v>
          </cell>
          <cell r="AN360">
            <v>-0.48062015503875966</v>
          </cell>
          <cell r="AO360" t="e">
            <v>#N/A</v>
          </cell>
          <cell r="AP360">
            <v>0.25789473684210518</v>
          </cell>
          <cell r="AQ360" t="e">
            <v>#VALUE!</v>
          </cell>
          <cell r="AR360">
            <v>0.25789473684210518</v>
          </cell>
          <cell r="AS360">
            <v>0.30000000000000004</v>
          </cell>
          <cell r="AT360" t="e">
            <v>#N/A</v>
          </cell>
          <cell r="AU360">
            <v>0.59890109890109899</v>
          </cell>
          <cell r="AV360">
            <v>0.59890109890109899</v>
          </cell>
          <cell r="AW360" t="e">
            <v>#VALUE!</v>
          </cell>
          <cell r="AX360" t="e">
            <v>#VALUE!</v>
          </cell>
          <cell r="AY360" t="e">
            <v>#VALUE!</v>
          </cell>
          <cell r="AZ360" t="e">
            <v>#VALUE!</v>
          </cell>
          <cell r="BA360" t="e">
            <v>#VALUE!</v>
          </cell>
          <cell r="BB360" t="e">
            <v>#VALUE!</v>
          </cell>
          <cell r="BC360" t="e">
            <v>#VALUE!</v>
          </cell>
          <cell r="BD360" t="e">
            <v>#VALUE!</v>
          </cell>
          <cell r="BE360" t="e">
            <v>#VALUE!</v>
          </cell>
        </row>
        <row r="361">
          <cell r="H361">
            <v>0.12631578947368438</v>
          </cell>
          <cell r="I361">
            <v>0.47826086956521752</v>
          </cell>
          <cell r="J361">
            <v>0.1333333333333333</v>
          </cell>
          <cell r="K361">
            <v>0.12635379061371843</v>
          </cell>
          <cell r="L361">
            <v>3.5</v>
          </cell>
          <cell r="M361">
            <v>0.22891566265060259</v>
          </cell>
          <cell r="N361">
            <v>0.1064814814814814</v>
          </cell>
          <cell r="O361">
            <v>0.43137254901960786</v>
          </cell>
          <cell r="P361">
            <v>1.1212121212121211</v>
          </cell>
          <cell r="Q361">
            <v>0.16842105263157903</v>
          </cell>
          <cell r="R361">
            <v>0.16394558823529404</v>
          </cell>
          <cell r="S361">
            <v>0.15671641791044766</v>
          </cell>
          <cell r="T361">
            <v>0.15340909090909083</v>
          </cell>
          <cell r="U361">
            <v>1.03125</v>
          </cell>
          <cell r="V361">
            <v>0.48051948051948035</v>
          </cell>
          <cell r="W361">
            <v>0.13829787234042556</v>
          </cell>
          <cell r="X361">
            <v>0.15730337078651679</v>
          </cell>
          <cell r="Y361">
            <v>0.25742574257425743</v>
          </cell>
          <cell r="Z361" t="e">
            <v>#N/A</v>
          </cell>
          <cell r="AA361">
            <v>0.19648093841642233</v>
          </cell>
          <cell r="AB361">
            <v>0.19648093841642233</v>
          </cell>
          <cell r="AC361">
            <v>0.109375</v>
          </cell>
          <cell r="AD361" t="e">
            <v>#N/A</v>
          </cell>
          <cell r="AE361">
            <v>0.4095238095238094</v>
          </cell>
          <cell r="AF361">
            <v>0.15625</v>
          </cell>
          <cell r="AG361">
            <v>0.19780219780219777</v>
          </cell>
          <cell r="AH361">
            <v>0.41533546325878601</v>
          </cell>
          <cell r="AI361">
            <v>1</v>
          </cell>
          <cell r="AJ361" t="e">
            <v>#VALUE!</v>
          </cell>
          <cell r="AK361">
            <v>0.15340909090909083</v>
          </cell>
          <cell r="AL361">
            <v>0.21879382889200549</v>
          </cell>
          <cell r="AM361">
            <v>0.11403508771929838</v>
          </cell>
          <cell r="AN361">
            <v>0.49731343283582086</v>
          </cell>
          <cell r="AO361" t="e">
            <v>#N/A</v>
          </cell>
          <cell r="AP361">
            <v>0.19874476987447709</v>
          </cell>
          <cell r="AQ361" t="e">
            <v>#VALUE!</v>
          </cell>
          <cell r="AR361">
            <v>0.19874476987447709</v>
          </cell>
          <cell r="AS361">
            <v>0.19780219780219777</v>
          </cell>
          <cell r="AT361" t="e">
            <v>#N/A</v>
          </cell>
          <cell r="AU361">
            <v>0.20274914089347074</v>
          </cell>
          <cell r="AV361">
            <v>0.20274914089347074</v>
          </cell>
          <cell r="AW361" t="e">
            <v>#VALUE!</v>
          </cell>
          <cell r="AX361" t="e">
            <v>#VALUE!</v>
          </cell>
          <cell r="AY361" t="e">
            <v>#VALUE!</v>
          </cell>
          <cell r="AZ361" t="e">
            <v>#VALUE!</v>
          </cell>
          <cell r="BA361" t="e">
            <v>#VALUE!</v>
          </cell>
          <cell r="BB361" t="e">
            <v>#VALUE!</v>
          </cell>
          <cell r="BC361" t="e">
            <v>#VALUE!</v>
          </cell>
          <cell r="BD361" t="e">
            <v>#VALUE!</v>
          </cell>
          <cell r="BE361" t="e">
            <v>#VALUE!</v>
          </cell>
        </row>
        <row r="362">
          <cell r="H362">
            <v>-0.50345323741007197</v>
          </cell>
          <cell r="I362">
            <v>-0.68642659279778395</v>
          </cell>
          <cell r="J362">
            <v>-2.8714524207011705E-2</v>
          </cell>
          <cell r="K362">
            <v>0.63133640552995396</v>
          </cell>
          <cell r="L362">
            <v>-9.5238095238095122E-2</v>
          </cell>
          <cell r="M362">
            <v>-0.21292460646230327</v>
          </cell>
          <cell r="N362">
            <v>-0.34760869565217389</v>
          </cell>
          <cell r="O362">
            <v>-0.48140321217244297</v>
          </cell>
          <cell r="P362">
            <v>-0.81860006572461386</v>
          </cell>
          <cell r="Q362">
            <v>-0.18022705771050151</v>
          </cell>
          <cell r="R362">
            <v>0.18976545842217463</v>
          </cell>
          <cell r="S362">
            <v>-0.3235708251196846</v>
          </cell>
          <cell r="T362" t="e">
            <v>#VALUE!</v>
          </cell>
          <cell r="U362">
            <v>-0.20848845867460897</v>
          </cell>
          <cell r="V362">
            <v>0.51308139534883712</v>
          </cell>
          <cell r="W362">
            <v>-0.50345323741007197</v>
          </cell>
          <cell r="X362">
            <v>-0.41168478260869568</v>
          </cell>
          <cell r="Y362">
            <v>-8.5178236397748575E-2</v>
          </cell>
          <cell r="Z362" t="str">
            <v>NA</v>
          </cell>
          <cell r="AA362">
            <v>8.9791635436966111E-2</v>
          </cell>
          <cell r="AB362">
            <v>8.9791635436966111E-2</v>
          </cell>
          <cell r="AC362">
            <v>-0.27339901477832518</v>
          </cell>
          <cell r="AD362" t="str">
            <v>NA</v>
          </cell>
          <cell r="AE362">
            <v>-4.5066991473812545E-2</v>
          </cell>
          <cell r="AF362">
            <v>0.50169204737732653</v>
          </cell>
          <cell r="AG362">
            <v>-1.9562043795620543E-2</v>
          </cell>
          <cell r="AH362">
            <v>0.51308139534883712</v>
          </cell>
          <cell r="AI362">
            <v>-0.57641025641025645</v>
          </cell>
          <cell r="AJ362" t="e">
            <v>#VALUE!</v>
          </cell>
          <cell r="AK362">
            <v>0.14455445544554446</v>
          </cell>
          <cell r="AL362">
            <v>-0.20732618988288076</v>
          </cell>
          <cell r="AM362">
            <v>9.5517841601392428E-2</v>
          </cell>
          <cell r="AN362">
            <v>7.0815450643776812E-2</v>
          </cell>
          <cell r="AO362" t="str">
            <v>NA</v>
          </cell>
          <cell r="AP362">
            <v>0.35375886524822686</v>
          </cell>
          <cell r="AQ362" t="e">
            <v>#VALUE!</v>
          </cell>
          <cell r="AR362">
            <v>0.35375886524822686</v>
          </cell>
          <cell r="AS362">
            <v>-1.9562043795620543E-2</v>
          </cell>
          <cell r="AT362" t="str">
            <v>NA</v>
          </cell>
          <cell r="AU362">
            <v>-0.11770321876704848</v>
          </cell>
          <cell r="AV362">
            <v>-0.11770321876704848</v>
          </cell>
          <cell r="AW362" t="e">
            <v>#VALUE!</v>
          </cell>
          <cell r="AX362" t="e">
            <v>#VALUE!</v>
          </cell>
          <cell r="AY362" t="e">
            <v>#VALUE!</v>
          </cell>
          <cell r="AZ362" t="e">
            <v>#VALUE!</v>
          </cell>
          <cell r="BA362" t="e">
            <v>#VALUE!</v>
          </cell>
          <cell r="BB362" t="e">
            <v>#VALUE!</v>
          </cell>
          <cell r="BC362" t="e">
            <v>#VALUE!</v>
          </cell>
          <cell r="BD362" t="e">
            <v>#VALUE!</v>
          </cell>
          <cell r="BE362" t="e">
            <v>#VALUE!</v>
          </cell>
        </row>
        <row r="363">
          <cell r="H363">
            <v>2.8985507246370723E-4</v>
          </cell>
          <cell r="I363">
            <v>-0.17971014492753623</v>
          </cell>
          <cell r="J363">
            <v>8.788332086761419E-2</v>
          </cell>
          <cell r="K363">
            <v>9.2322883238706632E-2</v>
          </cell>
          <cell r="L363">
            <v>8.8004822182037534E-2</v>
          </cell>
          <cell r="M363">
            <v>0.1124121779859486</v>
          </cell>
          <cell r="N363">
            <v>9.6055514974433986E-2</v>
          </cell>
          <cell r="O363">
            <v>-0.11343930635838151</v>
          </cell>
          <cell r="P363">
            <v>-0.24487004103967169</v>
          </cell>
          <cell r="Q363">
            <v>4.5235223160434268E-2</v>
          </cell>
          <cell r="R363">
            <v>3.4930448222565635E-2</v>
          </cell>
          <cell r="S363">
            <v>0.11203703703703694</v>
          </cell>
          <cell r="T363" t="e">
            <v>#VALUE!</v>
          </cell>
          <cell r="U363">
            <v>-3.3636363636363575E-2</v>
          </cell>
          <cell r="V363">
            <v>0.15950100245043441</v>
          </cell>
          <cell r="W363">
            <v>2.8985507246370723E-4</v>
          </cell>
          <cell r="X363">
            <v>6.7488443759630146E-2</v>
          </cell>
          <cell r="Y363">
            <v>0.16372315035799523</v>
          </cell>
          <cell r="Z363" t="str">
            <v>NA</v>
          </cell>
          <cell r="AA363">
            <v>0.14236329352608434</v>
          </cell>
          <cell r="AB363">
            <v>0.14236329352608434</v>
          </cell>
          <cell r="AC363">
            <v>1.7241379310344751E-2</v>
          </cell>
          <cell r="AD363" t="str">
            <v>NA</v>
          </cell>
          <cell r="AE363">
            <v>9.3444909344490901E-2</v>
          </cell>
          <cell r="AF363">
            <v>0.24068033550792167</v>
          </cell>
          <cell r="AG363">
            <v>0.16395147313691494</v>
          </cell>
          <cell r="AH363">
            <v>0.15950100245043441</v>
          </cell>
          <cell r="AI363">
            <v>0</v>
          </cell>
          <cell r="AJ363" t="e">
            <v>#VALUE!</v>
          </cell>
          <cell r="AK363">
            <v>8.0373831775700788E-2</v>
          </cell>
          <cell r="AL363">
            <v>2.1515735388567769E-2</v>
          </cell>
          <cell r="AM363">
            <v>4.2011589403973426E-2</v>
          </cell>
          <cell r="AN363">
            <v>7.3118279569892364E-2</v>
          </cell>
          <cell r="AO363" t="str">
            <v>NA</v>
          </cell>
          <cell r="AP363">
            <v>5.5985837574684671E-2</v>
          </cell>
          <cell r="AQ363" t="e">
            <v>#VALUE!</v>
          </cell>
          <cell r="AR363">
            <v>5.5985837574684671E-2</v>
          </cell>
          <cell r="AS363">
            <v>0.16395147313691494</v>
          </cell>
          <cell r="AT363" t="str">
            <v>NA</v>
          </cell>
          <cell r="AU363">
            <v>0.16119188655537608</v>
          </cell>
          <cell r="AV363">
            <v>0.16119188655537608</v>
          </cell>
          <cell r="AW363" t="e">
            <v>#VALUE!</v>
          </cell>
          <cell r="AX363" t="e">
            <v>#VALUE!</v>
          </cell>
          <cell r="AY363" t="e">
            <v>#VALUE!</v>
          </cell>
          <cell r="AZ363" t="e">
            <v>#VALUE!</v>
          </cell>
          <cell r="BA363" t="e">
            <v>#VALUE!</v>
          </cell>
          <cell r="BB363" t="e">
            <v>#VALUE!</v>
          </cell>
          <cell r="BC363" t="e">
            <v>#VALUE!</v>
          </cell>
          <cell r="BD363" t="e">
            <v>#VALUE!</v>
          </cell>
          <cell r="BE363" t="e">
            <v>#VALUE!</v>
          </cell>
        </row>
        <row r="364">
          <cell r="H364">
            <v>7.4408468244084647E-2</v>
          </cell>
          <cell r="I364">
            <v>-0.59015206372194062</v>
          </cell>
          <cell r="J364">
            <v>3.1034482758620641E-3</v>
          </cell>
          <cell r="K364">
            <v>0.10184262948207179</v>
          </cell>
          <cell r="L364">
            <v>-0.21041119860017488</v>
          </cell>
          <cell r="M364">
            <v>3.4858387799564294E-2</v>
          </cell>
          <cell r="N364">
            <v>-0.22932717000513603</v>
          </cell>
          <cell r="O364">
            <v>-0.34664536741214069</v>
          </cell>
          <cell r="P364">
            <v>-0.58651685393258424</v>
          </cell>
          <cell r="Q364">
            <v>-2.0903954802259928E-2</v>
          </cell>
          <cell r="R364">
            <v>5.1507537688442184E-2</v>
          </cell>
          <cell r="S364">
            <v>-1.1115685467270486E-2</v>
          </cell>
          <cell r="T364" t="e">
            <v>#VALUE!</v>
          </cell>
          <cell r="U364">
            <v>4.4717444717444765E-2</v>
          </cell>
          <cell r="V364">
            <v>5.2152819890842972E-2</v>
          </cell>
          <cell r="W364">
            <v>7.4408468244084647E-2</v>
          </cell>
          <cell r="X364">
            <v>-8.5533262935586163E-2</v>
          </cell>
          <cell r="Y364">
            <v>8.6884567645841848E-3</v>
          </cell>
          <cell r="Z364" t="str">
            <v>NA</v>
          </cell>
          <cell r="AA364">
            <v>-4.6557377049180282E-2</v>
          </cell>
          <cell r="AB364">
            <v>-4.6557377049180282E-2</v>
          </cell>
          <cell r="AC364">
            <v>-0.19089413055403182</v>
          </cell>
          <cell r="AD364" t="str">
            <v>NA</v>
          </cell>
          <cell r="AE364">
            <v>-1.0101010101010055E-2</v>
          </cell>
          <cell r="AF364">
            <v>0.11262014208106974</v>
          </cell>
          <cell r="AG364">
            <v>0.11896034655114951</v>
          </cell>
          <cell r="AH364">
            <v>5.2152819890842972E-2</v>
          </cell>
          <cell r="AI364">
            <v>-0.66368078175895762</v>
          </cell>
          <cell r="AJ364" t="e">
            <v>#VALUE!</v>
          </cell>
          <cell r="AK364">
            <v>-1.7006802721088454E-2</v>
          </cell>
          <cell r="AL364">
            <v>-0.12344998622209979</v>
          </cell>
          <cell r="AM364">
            <v>4.939558149228862E-2</v>
          </cell>
          <cell r="AN364">
            <v>3.9583333333333526E-2</v>
          </cell>
          <cell r="AO364" t="str">
            <v>NA</v>
          </cell>
          <cell r="AP364">
            <v>-3.1065989847715803E-2</v>
          </cell>
          <cell r="AQ364" t="e">
            <v>#VALUE!</v>
          </cell>
          <cell r="AR364">
            <v>-3.1065989847715803E-2</v>
          </cell>
          <cell r="AS364">
            <v>0.11896034655114951</v>
          </cell>
          <cell r="AT364" t="str">
            <v>NA</v>
          </cell>
          <cell r="AU364">
            <v>2.6336665080120447E-2</v>
          </cell>
          <cell r="AV364">
            <v>2.6336665080120447E-2</v>
          </cell>
          <cell r="AW364" t="e">
            <v>#VALUE!</v>
          </cell>
          <cell r="AX364" t="e">
            <v>#VALUE!</v>
          </cell>
          <cell r="AY364" t="e">
            <v>#VALUE!</v>
          </cell>
          <cell r="AZ364" t="e">
            <v>#VALUE!</v>
          </cell>
          <cell r="BA364" t="e">
            <v>#VALUE!</v>
          </cell>
          <cell r="BB364" t="e">
            <v>#VALUE!</v>
          </cell>
          <cell r="BC364" t="e">
            <v>#VALUE!</v>
          </cell>
          <cell r="BD364" t="e">
            <v>#VALUE!</v>
          </cell>
          <cell r="BE364" t="e">
            <v>#VALUE!</v>
          </cell>
        </row>
        <row r="365">
          <cell r="H365">
            <v>-6.7297297297297387E-2</v>
          </cell>
          <cell r="I365">
            <v>-0.63717948717948714</v>
          </cell>
          <cell r="J365">
            <v>6.0904449307074948E-2</v>
          </cell>
          <cell r="K365">
            <v>0.32089552238805963</v>
          </cell>
          <cell r="L365">
            <v>-0.33123379029270095</v>
          </cell>
          <cell r="M365">
            <v>-0.20634920634920639</v>
          </cell>
          <cell r="N365">
            <v>-0.33664898320070735</v>
          </cell>
          <cell r="O365">
            <v>-0.39076464746772599</v>
          </cell>
          <cell r="P365">
            <v>-0.67529411764705882</v>
          </cell>
          <cell r="Q365">
            <v>-0.17001915708812265</v>
          </cell>
          <cell r="R365">
            <v>4.4617784711388442E-2</v>
          </cell>
          <cell r="S365">
            <v>-0.20986842105263159</v>
          </cell>
          <cell r="T365" t="e">
            <v>#VALUE!</v>
          </cell>
          <cell r="U365">
            <v>0.16174863387978156</v>
          </cell>
          <cell r="V365">
            <v>-3.0545725460979667E-2</v>
          </cell>
          <cell r="W365">
            <v>-6.7297297297297387E-2</v>
          </cell>
          <cell r="X365">
            <v>-0.26297872340425532</v>
          </cell>
          <cell r="Y365">
            <v>-8.9430894308943909E-3</v>
          </cell>
          <cell r="Z365" t="str">
            <v>NA</v>
          </cell>
          <cell r="AA365">
            <v>9.7192876546936313E-2</v>
          </cell>
          <cell r="AB365">
            <v>9.7192876546936313E-2</v>
          </cell>
          <cell r="AC365">
            <v>-0.22895974908520644</v>
          </cell>
          <cell r="AD365" t="str">
            <v>NA</v>
          </cell>
          <cell r="AE365">
            <v>-0.15969989281886388</v>
          </cell>
          <cell r="AF365">
            <v>0.24068033550792167</v>
          </cell>
          <cell r="AG365">
            <v>0.23365172667156497</v>
          </cell>
          <cell r="AH365">
            <v>-3.0545725460979667E-2</v>
          </cell>
          <cell r="AI365">
            <v>-0.65938144329896908</v>
          </cell>
          <cell r="AJ365" t="e">
            <v>#VALUE!</v>
          </cell>
          <cell r="AK365">
            <v>6.25E-2</v>
          </cell>
          <cell r="AL365">
            <v>-8.1072653570315456E-3</v>
          </cell>
          <cell r="AM365">
            <v>8.0008580008580132E-2</v>
          </cell>
          <cell r="AN365">
            <v>-0.25522388059701495</v>
          </cell>
          <cell r="AO365" t="str">
            <v>NA</v>
          </cell>
          <cell r="AP365">
            <v>0.19569030318215996</v>
          </cell>
          <cell r="AQ365" t="e">
            <v>#VALUE!</v>
          </cell>
          <cell r="AR365">
            <v>0.19569030318215996</v>
          </cell>
          <cell r="AS365">
            <v>0.23365172667156497</v>
          </cell>
          <cell r="AT365" t="str">
            <v>NA</v>
          </cell>
          <cell r="AU365">
            <v>-1.4623000761614713E-2</v>
          </cell>
          <cell r="AV365">
            <v>-1.4623000761614713E-2</v>
          </cell>
          <cell r="AW365" t="e">
            <v>#VALUE!</v>
          </cell>
          <cell r="AX365" t="e">
            <v>#VALUE!</v>
          </cell>
          <cell r="AY365" t="e">
            <v>#VALUE!</v>
          </cell>
          <cell r="AZ365" t="e">
            <v>#VALUE!</v>
          </cell>
          <cell r="BA365" t="e">
            <v>#VALUE!</v>
          </cell>
          <cell r="BB365" t="e">
            <v>#VALUE!</v>
          </cell>
          <cell r="BC365" t="e">
            <v>#VALUE!</v>
          </cell>
          <cell r="BD365" t="e">
            <v>#VALUE!</v>
          </cell>
          <cell r="BE365" t="e">
            <v>#VALUE!</v>
          </cell>
        </row>
        <row r="368">
          <cell r="H368" t="str">
            <v>NA</v>
          </cell>
          <cell r="I368" t="str">
            <v>NA</v>
          </cell>
          <cell r="J368" t="str">
            <v>NA</v>
          </cell>
          <cell r="K368" t="str">
            <v>NA</v>
          </cell>
          <cell r="L368" t="str">
            <v>NA</v>
          </cell>
          <cell r="M368" t="str">
            <v>NA</v>
          </cell>
          <cell r="N368" t="str">
            <v>NA</v>
          </cell>
          <cell r="O368" t="str">
            <v>NA</v>
          </cell>
          <cell r="P368" t="str">
            <v>NA</v>
          </cell>
          <cell r="Q368" t="str">
            <v>NA</v>
          </cell>
          <cell r="R368" t="str">
            <v>NA</v>
          </cell>
          <cell r="S368" t="str">
            <v>NA</v>
          </cell>
          <cell r="T368" t="str">
            <v>NA</v>
          </cell>
          <cell r="U368">
            <v>1.0693307896982774E-2</v>
          </cell>
          <cell r="V368">
            <v>0.26962970549622445</v>
          </cell>
          <cell r="W368">
            <v>0.18696819790456437</v>
          </cell>
          <cell r="X368">
            <v>0.19380520277577651</v>
          </cell>
          <cell r="Y368">
            <v>5.2594519010087125E-2</v>
          </cell>
          <cell r="Z368">
            <v>1.6443183851760568E-2</v>
          </cell>
          <cell r="AA368">
            <v>1.7640908278226348E-2</v>
          </cell>
          <cell r="AB368">
            <v>1.8085483627143288E-2</v>
          </cell>
          <cell r="AC368">
            <v>2.3776764772298026E-2</v>
          </cell>
          <cell r="AD368" t="str">
            <v>NA</v>
          </cell>
          <cell r="AE368">
            <v>9.4951978503645881E-3</v>
          </cell>
          <cell r="AF368">
            <v>6.1589367709245585E-2</v>
          </cell>
          <cell r="AG368">
            <v>9.1801786875638308E-2</v>
          </cell>
          <cell r="AH368">
            <v>0.12840506567192247</v>
          </cell>
          <cell r="AI368">
            <v>-0.3762399904386326</v>
          </cell>
          <cell r="AJ368">
            <v>5.7014234155848866E-2</v>
          </cell>
          <cell r="AK368">
            <v>7.4016158457127973E-2</v>
          </cell>
          <cell r="AL368">
            <v>2.0259684636452783E-2</v>
          </cell>
          <cell r="AM368">
            <v>0.18599818389465572</v>
          </cell>
          <cell r="AN368">
            <v>-1.0550700285228106E-2</v>
          </cell>
          <cell r="AO368" t="str">
            <v>NA</v>
          </cell>
          <cell r="AP368">
            <v>0.10256708201011942</v>
          </cell>
          <cell r="AQ368">
            <v>7.0224324920313538E-2</v>
          </cell>
          <cell r="AR368">
            <v>9.8081181987959801E-2</v>
          </cell>
          <cell r="AS368">
            <v>9.1801786875638308E-2</v>
          </cell>
          <cell r="AT368">
            <v>5.6732938030461574E-2</v>
          </cell>
          <cell r="AU368">
            <v>4.2896086300536124E-2</v>
          </cell>
          <cell r="AV368">
            <v>4.3864724300229654E-2</v>
          </cell>
          <cell r="AW368" t="str">
            <v>NA</v>
          </cell>
          <cell r="AX368" t="str">
            <v>NA</v>
          </cell>
          <cell r="AY368" t="str">
            <v>NA</v>
          </cell>
          <cell r="AZ368" t="str">
            <v>NA</v>
          </cell>
          <cell r="BA368" t="str">
            <v>NA</v>
          </cell>
          <cell r="BB368" t="str">
            <v>NA</v>
          </cell>
          <cell r="BC368" t="str">
            <v>NA</v>
          </cell>
          <cell r="BD368" t="str">
            <v>NA</v>
          </cell>
          <cell r="BE368" t="str">
            <v>NA</v>
          </cell>
        </row>
        <row r="369">
          <cell r="H369" t="str">
            <v>NA</v>
          </cell>
          <cell r="I369" t="str">
            <v>NA</v>
          </cell>
          <cell r="J369" t="str">
            <v>NA</v>
          </cell>
          <cell r="K369" t="str">
            <v>NA</v>
          </cell>
          <cell r="L369" t="str">
            <v>NA</v>
          </cell>
          <cell r="M369" t="str">
            <v>NA</v>
          </cell>
          <cell r="N369" t="str">
            <v>NA</v>
          </cell>
          <cell r="O369" t="str">
            <v>NA</v>
          </cell>
          <cell r="P369" t="str">
            <v>NA</v>
          </cell>
          <cell r="Q369" t="str">
            <v>NA</v>
          </cell>
          <cell r="R369" t="str">
            <v>NA</v>
          </cell>
          <cell r="S369" t="str">
            <v>NA</v>
          </cell>
          <cell r="T369" t="str">
            <v>NA</v>
          </cell>
          <cell r="U369">
            <v>9.1144133741653657E-2</v>
          </cell>
          <cell r="V369">
            <v>0.30463519892738433</v>
          </cell>
          <cell r="W369">
            <v>0.22234099810657673</v>
          </cell>
          <cell r="X369">
            <v>0.24490529491447746</v>
          </cell>
          <cell r="Y369">
            <v>5.6626710110702583E-2</v>
          </cell>
          <cell r="Z369">
            <v>2.0562085830529934E-2</v>
          </cell>
          <cell r="AA369">
            <v>1.8947336685949608E-2</v>
          </cell>
          <cell r="AB369">
            <v>1.9779493010378759E-2</v>
          </cell>
          <cell r="AC369">
            <v>2.9526577653195909E-2</v>
          </cell>
          <cell r="AD369" t="str">
            <v>NA</v>
          </cell>
          <cell r="AE369">
            <v>2.1632449686811436E-2</v>
          </cell>
          <cell r="AF369">
            <v>7.1737787681207435E-2</v>
          </cell>
          <cell r="AG369">
            <v>0.14368201229991615</v>
          </cell>
          <cell r="AH369">
            <v>0.13140653897996923</v>
          </cell>
          <cell r="AI369">
            <v>-0.10923867574997122</v>
          </cell>
          <cell r="AJ369">
            <v>6.8400569678198769E-2</v>
          </cell>
          <cell r="AK369">
            <v>0.10027365129007038</v>
          </cell>
          <cell r="AL369">
            <v>2.6509473304554627E-2</v>
          </cell>
          <cell r="AM369">
            <v>0.24651213661995836</v>
          </cell>
          <cell r="AN369">
            <v>1.8903591682419645E-3</v>
          </cell>
          <cell r="AO369" t="str">
            <v>NA</v>
          </cell>
          <cell r="AP369">
            <v>0.1109593136397737</v>
          </cell>
          <cell r="AQ369">
            <v>7.4231050658540979E-2</v>
          </cell>
          <cell r="AR369">
            <v>0.10599003507698727</v>
          </cell>
          <cell r="AS369">
            <v>0.1436820122999162</v>
          </cell>
          <cell r="AT369">
            <v>8.5055226136495757E-2</v>
          </cell>
          <cell r="AU369">
            <v>4.9586429958934496E-2</v>
          </cell>
          <cell r="AV369">
            <v>5.1493433399889148E-2</v>
          </cell>
          <cell r="AW369" t="str">
            <v>NA</v>
          </cell>
          <cell r="AX369" t="str">
            <v>NA</v>
          </cell>
          <cell r="AY369" t="str">
            <v>NA</v>
          </cell>
          <cell r="AZ369" t="str">
            <v>NA</v>
          </cell>
          <cell r="BA369" t="str">
            <v>NA</v>
          </cell>
          <cell r="BB369" t="str">
            <v>NA</v>
          </cell>
          <cell r="BC369" t="str">
            <v>NA</v>
          </cell>
          <cell r="BD369" t="str">
            <v>NA</v>
          </cell>
          <cell r="BE369" t="str">
            <v>NA</v>
          </cell>
        </row>
        <row r="370">
          <cell r="H370" t="str">
            <v>NA</v>
          </cell>
          <cell r="I370" t="str">
            <v>NA</v>
          </cell>
          <cell r="J370" t="str">
            <v>NA</v>
          </cell>
          <cell r="K370" t="str">
            <v>NA</v>
          </cell>
          <cell r="L370" t="str">
            <v>NA</v>
          </cell>
          <cell r="M370" t="str">
            <v>NA</v>
          </cell>
          <cell r="N370" t="str">
            <v>NA</v>
          </cell>
          <cell r="O370" t="str">
            <v>NA</v>
          </cell>
          <cell r="P370" t="str">
            <v>NA</v>
          </cell>
          <cell r="Q370" t="str">
            <v>NA</v>
          </cell>
          <cell r="R370" t="str">
            <v>NA</v>
          </cell>
          <cell r="S370" t="str">
            <v>NA</v>
          </cell>
          <cell r="T370" t="str">
            <v>NA</v>
          </cell>
          <cell r="U370" t="str">
            <v>NA</v>
          </cell>
          <cell r="V370" t="str">
            <v>NA</v>
          </cell>
          <cell r="W370" t="str">
            <v>NA</v>
          </cell>
          <cell r="X370" t="str">
            <v>NA</v>
          </cell>
          <cell r="Y370" t="str">
            <v>NA</v>
          </cell>
          <cell r="Z370" t="str">
            <v>NA</v>
          </cell>
          <cell r="AA370" t="str">
            <v>NA</v>
          </cell>
          <cell r="AB370" t="str">
            <v>NA</v>
          </cell>
          <cell r="AC370" t="str">
            <v>NA</v>
          </cell>
          <cell r="AD370" t="str">
            <v>NA</v>
          </cell>
          <cell r="AE370" t="str">
            <v>NA</v>
          </cell>
          <cell r="AF370" t="str">
            <v>NA</v>
          </cell>
          <cell r="AG370" t="str">
            <v>NA</v>
          </cell>
          <cell r="AH370" t="str">
            <v>NA</v>
          </cell>
          <cell r="AI370" t="str">
            <v>NA</v>
          </cell>
          <cell r="AJ370" t="str">
            <v>NA</v>
          </cell>
          <cell r="AK370" t="str">
            <v>NA</v>
          </cell>
          <cell r="AL370" t="str">
            <v>NA</v>
          </cell>
          <cell r="AM370" t="str">
            <v>NA</v>
          </cell>
          <cell r="AN370" t="str">
            <v>NA</v>
          </cell>
          <cell r="AO370" t="str">
            <v>NA</v>
          </cell>
          <cell r="AP370" t="str">
            <v>NA</v>
          </cell>
          <cell r="AQ370" t="str">
            <v>NA</v>
          </cell>
          <cell r="AR370" t="str">
            <v>NA</v>
          </cell>
          <cell r="AS370" t="str">
            <v>NA</v>
          </cell>
          <cell r="AT370" t="str">
            <v>NA</v>
          </cell>
          <cell r="AU370" t="str">
            <v>NA</v>
          </cell>
          <cell r="AV370" t="str">
            <v>NA</v>
          </cell>
          <cell r="AW370" t="str">
            <v>NA</v>
          </cell>
          <cell r="AX370" t="str">
            <v>NA</v>
          </cell>
          <cell r="AY370" t="str">
            <v>NA</v>
          </cell>
          <cell r="AZ370" t="str">
            <v>NA</v>
          </cell>
          <cell r="BA370" t="str">
            <v>NA</v>
          </cell>
          <cell r="BB370" t="str">
            <v>NA</v>
          </cell>
          <cell r="BC370" t="str">
            <v>NA</v>
          </cell>
          <cell r="BD370" t="str">
            <v>NA</v>
          </cell>
          <cell r="BE370" t="str">
            <v>NA</v>
          </cell>
        </row>
        <row r="371">
          <cell r="H371" t="str">
            <v>NA</v>
          </cell>
          <cell r="I371" t="str">
            <v>NA</v>
          </cell>
          <cell r="J371" t="str">
            <v>NA</v>
          </cell>
          <cell r="K371" t="str">
            <v>NA</v>
          </cell>
          <cell r="L371" t="str">
            <v>NA</v>
          </cell>
          <cell r="M371" t="str">
            <v>NA</v>
          </cell>
          <cell r="N371" t="str">
            <v>NA</v>
          </cell>
          <cell r="O371" t="str">
            <v>NA</v>
          </cell>
          <cell r="P371" t="str">
            <v>NA</v>
          </cell>
          <cell r="Q371" t="str">
            <v>NA</v>
          </cell>
          <cell r="R371" t="str">
            <v>NA</v>
          </cell>
          <cell r="S371" t="str">
            <v>NA</v>
          </cell>
          <cell r="T371" t="str">
            <v>NA</v>
          </cell>
          <cell r="U371">
            <v>2.5678999949796662E-2</v>
          </cell>
          <cell r="V371">
            <v>0.27540828297688108</v>
          </cell>
          <cell r="W371">
            <v>0.20063708001654312</v>
          </cell>
          <cell r="X371">
            <v>0.15859158068885848</v>
          </cell>
          <cell r="Y371">
            <v>5.809255882492962E-2</v>
          </cell>
          <cell r="Z371">
            <v>7.4723437100795318E-3</v>
          </cell>
          <cell r="AA371">
            <v>1.5289612129255312E-2</v>
          </cell>
          <cell r="AB371">
            <v>1.317572296661065E-2</v>
          </cell>
          <cell r="AC371">
            <v>1.9621385529127709E-2</v>
          </cell>
          <cell r="AD371" t="str">
            <v>NA</v>
          </cell>
          <cell r="AE371">
            <v>1.7287513736093773E-3</v>
          </cell>
          <cell r="AF371">
            <v>5.9480187375475835E-2</v>
          </cell>
          <cell r="AG371">
            <v>7.8066385916670172E-2</v>
          </cell>
          <cell r="AH371">
            <v>0.11831133820256415</v>
          </cell>
          <cell r="AI371">
            <v>-1.1728616389785422</v>
          </cell>
          <cell r="AJ371">
            <v>4.9451750360423978E-2</v>
          </cell>
          <cell r="AK371">
            <v>4.2839457909825393E-2</v>
          </cell>
          <cell r="AL371">
            <v>1.7205234268453502E-2</v>
          </cell>
          <cell r="AM371">
            <v>0.17197296699215819</v>
          </cell>
          <cell r="AN371">
            <v>-8.7516628159350282E-3</v>
          </cell>
          <cell r="AO371" t="str">
            <v>NA</v>
          </cell>
          <cell r="AP371">
            <v>9.4578724412380202E-2</v>
          </cell>
          <cell r="AQ371">
            <v>6.934894319374002E-2</v>
          </cell>
          <cell r="AR371">
            <v>9.4715979021457106E-2</v>
          </cell>
          <cell r="AS371">
            <v>7.8066385916670186E-2</v>
          </cell>
          <cell r="AT371">
            <v>5.864899430298802E-2</v>
          </cell>
          <cell r="AU371">
            <v>3.9514769359205469E-2</v>
          </cell>
          <cell r="AV371">
            <v>4.0318621536564375E-2</v>
          </cell>
          <cell r="AW371" t="str">
            <v>NA</v>
          </cell>
          <cell r="AX371" t="str">
            <v>NA</v>
          </cell>
          <cell r="AY371" t="str">
            <v>NA</v>
          </cell>
          <cell r="AZ371" t="str">
            <v>NA</v>
          </cell>
          <cell r="BA371" t="str">
            <v>NA</v>
          </cell>
          <cell r="BB371" t="str">
            <v>NA</v>
          </cell>
          <cell r="BC371" t="str">
            <v>NA</v>
          </cell>
          <cell r="BD371" t="str">
            <v>NA</v>
          </cell>
          <cell r="BE371" t="str">
            <v>NA</v>
          </cell>
        </row>
        <row r="372">
          <cell r="H372" t="str">
            <v>NA</v>
          </cell>
          <cell r="I372" t="str">
            <v>NA</v>
          </cell>
          <cell r="J372" t="str">
            <v>NA</v>
          </cell>
          <cell r="K372" t="str">
            <v>NA</v>
          </cell>
          <cell r="L372" t="str">
            <v>NA</v>
          </cell>
          <cell r="M372" t="str">
            <v>NA</v>
          </cell>
          <cell r="N372" t="str">
            <v>NA</v>
          </cell>
          <cell r="O372" t="str">
            <v>NA</v>
          </cell>
          <cell r="P372" t="str">
            <v>NA</v>
          </cell>
          <cell r="Q372" t="str">
            <v>NA</v>
          </cell>
          <cell r="R372" t="str">
            <v>NA</v>
          </cell>
          <cell r="S372" t="str">
            <v>NA</v>
          </cell>
          <cell r="T372" t="str">
            <v>NA</v>
          </cell>
          <cell r="U372">
            <v>-4.3927908027512038E-3</v>
          </cell>
          <cell r="V372">
            <v>0.20653206128125329</v>
          </cell>
          <cell r="W372">
            <v>0.12526303691905261</v>
          </cell>
          <cell r="X372">
            <v>0.1468841579511618</v>
          </cell>
          <cell r="Y372">
            <v>3.6255398674314765E-2</v>
          </cell>
          <cell r="Z372">
            <v>3.9994658745698764E-3</v>
          </cell>
          <cell r="AA372">
            <v>7.3751108439257503E-3</v>
          </cell>
          <cell r="AB372">
            <v>8.028278223140747E-3</v>
          </cell>
          <cell r="AC372">
            <v>9.3050110067772526E-3</v>
          </cell>
          <cell r="AD372" t="str">
            <v>NA</v>
          </cell>
          <cell r="AE372">
            <v>6.0696381994441457E-3</v>
          </cell>
          <cell r="AF372">
            <v>3.7696811836836451E-2</v>
          </cell>
          <cell r="AG372">
            <v>4.6554960150150961E-2</v>
          </cell>
          <cell r="AH372">
            <v>6.8077803203661316E-2</v>
          </cell>
          <cell r="AI372">
            <v>-0.83697860643003408</v>
          </cell>
          <cell r="AJ372">
            <v>3.2146262804111009E-2</v>
          </cell>
          <cell r="AK372">
            <v>2.8448788115715409E-2</v>
          </cell>
          <cell r="AL372">
            <v>1.1051249394181891E-2</v>
          </cell>
          <cell r="AM372">
            <v>0.11997147815883208</v>
          </cell>
          <cell r="AN372">
            <v>-9.3482979157344243E-3</v>
          </cell>
          <cell r="AO372" t="str">
            <v>NA</v>
          </cell>
          <cell r="AP372">
            <v>7.5426295809524882E-2</v>
          </cell>
          <cell r="AQ372">
            <v>5.1325100735721586E-2</v>
          </cell>
          <cell r="AR372">
            <v>5.7305606632530051E-2</v>
          </cell>
          <cell r="AS372">
            <v>4.6554960150150967E-2</v>
          </cell>
          <cell r="AT372">
            <v>3.3876991047552617E-2</v>
          </cell>
          <cell r="AU372">
            <v>3.0233637340932366E-2</v>
          </cell>
          <cell r="AV372">
            <v>3.0552129273036521E-2</v>
          </cell>
          <cell r="AW372" t="str">
            <v>NA</v>
          </cell>
          <cell r="AX372" t="str">
            <v>NA</v>
          </cell>
          <cell r="AY372" t="str">
            <v>NA</v>
          </cell>
          <cell r="AZ372" t="str">
            <v>NA</v>
          </cell>
          <cell r="BA372" t="str">
            <v>NA</v>
          </cell>
          <cell r="BB372" t="str">
            <v>NA</v>
          </cell>
          <cell r="BC372" t="str">
            <v>NA</v>
          </cell>
          <cell r="BD372" t="str">
            <v>NA</v>
          </cell>
          <cell r="BE372" t="str">
            <v>NA</v>
          </cell>
        </row>
        <row r="373">
          <cell r="H373" t="str">
            <v>NA</v>
          </cell>
          <cell r="I373" t="str">
            <v>NA</v>
          </cell>
          <cell r="J373" t="str">
            <v>NA</v>
          </cell>
          <cell r="K373" t="str">
            <v>NA</v>
          </cell>
          <cell r="L373" t="str">
            <v>NA</v>
          </cell>
          <cell r="M373" t="str">
            <v>NA</v>
          </cell>
          <cell r="N373" t="str">
            <v>NA</v>
          </cell>
          <cell r="O373" t="str">
            <v>NA</v>
          </cell>
          <cell r="P373" t="str">
            <v>NA</v>
          </cell>
          <cell r="Q373" t="str">
            <v>NA</v>
          </cell>
          <cell r="R373" t="str">
            <v>NA</v>
          </cell>
          <cell r="S373" t="str">
            <v>NA</v>
          </cell>
          <cell r="T373" t="str">
            <v>NA</v>
          </cell>
          <cell r="U373">
            <v>0.67948943220041169</v>
          </cell>
          <cell r="V373">
            <v>0.63776873585907012</v>
          </cell>
          <cell r="W373">
            <v>0.55173963082656829</v>
          </cell>
          <cell r="X373">
            <v>0.5541208916263658</v>
          </cell>
          <cell r="Y373">
            <v>0.11112218247602222</v>
          </cell>
          <cell r="Z373">
            <v>6.3213027440768607E-2</v>
          </cell>
          <cell r="AA373">
            <v>4.2909573555369403E-2</v>
          </cell>
          <cell r="AB373">
            <v>5.1639957459606381E-2</v>
          </cell>
          <cell r="AC373">
            <v>0.10691364573343819</v>
          </cell>
          <cell r="AD373" t="str">
            <v>NA</v>
          </cell>
          <cell r="AE373">
            <v>0.2260176519349755</v>
          </cell>
          <cell r="AF373">
            <v>0.27508069299670168</v>
          </cell>
          <cell r="AG373">
            <v>0.38174374927360266</v>
          </cell>
          <cell r="AH373">
            <v>0.19715682893953174</v>
          </cell>
          <cell r="AI373">
            <v>9.2147723198266154E-2</v>
          </cell>
          <cell r="AJ373">
            <v>0.23024886993596916</v>
          </cell>
          <cell r="AK373">
            <v>0.26081574146468567</v>
          </cell>
          <cell r="AL373">
            <v>7.61893759228158E-2</v>
          </cell>
          <cell r="AM373">
            <v>0.48022929389790292</v>
          </cell>
          <cell r="AN373">
            <v>0.11898912967376826</v>
          </cell>
          <cell r="AO373" t="str">
            <v>NA</v>
          </cell>
          <cell r="AP373">
            <v>0.35655872249454262</v>
          </cell>
          <cell r="AQ373">
            <v>0.25830443237174988</v>
          </cell>
          <cell r="AR373">
            <v>0.3461197772604111</v>
          </cell>
          <cell r="AS373">
            <v>0.38174374927360272</v>
          </cell>
          <cell r="AT373">
            <v>0.30281595163353076</v>
          </cell>
          <cell r="AU373">
            <v>9.2319280269199513E-2</v>
          </cell>
          <cell r="AV373">
            <v>9.8681537232598676E-2</v>
          </cell>
          <cell r="AW373" t="str">
            <v>NA</v>
          </cell>
          <cell r="AX373" t="str">
            <v>NA</v>
          </cell>
          <cell r="AY373" t="str">
            <v>NA</v>
          </cell>
          <cell r="AZ373" t="str">
            <v>NA</v>
          </cell>
          <cell r="BA373" t="str">
            <v>NA</v>
          </cell>
          <cell r="BB373" t="str">
            <v>NA</v>
          </cell>
          <cell r="BC373" t="str">
            <v>NA</v>
          </cell>
          <cell r="BD373" t="str">
            <v>NA</v>
          </cell>
          <cell r="BE373" t="str">
            <v>NA</v>
          </cell>
        </row>
        <row r="374">
          <cell r="H374" t="e">
            <v>#DIV/0!</v>
          </cell>
          <cell r="I374" t="e">
            <v>#DIV/0!</v>
          </cell>
          <cell r="J374" t="e">
            <v>#DIV/0!</v>
          </cell>
          <cell r="K374" t="e">
            <v>#DIV/0!</v>
          </cell>
          <cell r="L374" t="e">
            <v>#DIV/0!</v>
          </cell>
          <cell r="M374" t="e">
            <v>#DIV/0!</v>
          </cell>
          <cell r="N374" t="e">
            <v>#DIV/0!</v>
          </cell>
          <cell r="O374" t="e">
            <v>#DIV/0!</v>
          </cell>
          <cell r="P374" t="e">
            <v>#DIV/0!</v>
          </cell>
          <cell r="Q374" t="e">
            <v>#DIV/0!</v>
          </cell>
          <cell r="R374" t="e">
            <v>#DIV/0!</v>
          </cell>
          <cell r="S374" t="e">
            <v>#DIV/0!</v>
          </cell>
          <cell r="T374" t="e">
            <v>#VALUE!</v>
          </cell>
          <cell r="U374">
            <v>-3.822295998602186E-3</v>
          </cell>
          <cell r="V374">
            <v>0.37671689298751965</v>
          </cell>
          <cell r="W374">
            <v>4.1256688141224546E-2</v>
          </cell>
          <cell r="X374">
            <v>0.24927516928699672</v>
          </cell>
          <cell r="Y374">
            <v>0.12074273725816977</v>
          </cell>
          <cell r="Z374" t="e">
            <v>#N/A</v>
          </cell>
          <cell r="AA374">
            <v>0.13990141195717892</v>
          </cell>
          <cell r="AB374">
            <v>9.0242074426385918E-2</v>
          </cell>
          <cell r="AC374">
            <v>9.4834579175022929E-2</v>
          </cell>
          <cell r="AD374" t="e">
            <v>#N/A</v>
          </cell>
          <cell r="AE374">
            <v>3.3231314928966874E-2</v>
          </cell>
          <cell r="AF374">
            <v>0.13915680107431885</v>
          </cell>
          <cell r="AG374">
            <v>0.1533777068091832</v>
          </cell>
          <cell r="AH374" t="e">
            <v>#DIV/0!</v>
          </cell>
          <cell r="AI374" t="e">
            <v>#DIV/0!</v>
          </cell>
          <cell r="AJ374" t="e">
            <v>#VALUE!</v>
          </cell>
          <cell r="AK374">
            <v>1.9234889867841412</v>
          </cell>
          <cell r="AL374">
            <v>9.8562525130679521E-2</v>
          </cell>
          <cell r="AM374">
            <v>0.17564987941666813</v>
          </cell>
          <cell r="AN374">
            <v>-4.0672803125620827E-2</v>
          </cell>
          <cell r="AO374" t="e">
            <v>#N/A</v>
          </cell>
          <cell r="AP374" t="e">
            <v>#DIV/0!</v>
          </cell>
          <cell r="AQ374" t="e">
            <v>#VALUE!</v>
          </cell>
          <cell r="AR374">
            <v>0.14656633835404384</v>
          </cell>
          <cell r="AS374">
            <v>0.1533777068091832</v>
          </cell>
          <cell r="AT374" t="e">
            <v>#N/A</v>
          </cell>
          <cell r="AU374" t="e">
            <v>#DIV/0!</v>
          </cell>
          <cell r="AV374">
            <v>0.2160472539861491</v>
          </cell>
          <cell r="AW374" t="e">
            <v>#VALUE!</v>
          </cell>
          <cell r="AX374" t="e">
            <v>#VALUE!</v>
          </cell>
          <cell r="AY374" t="e">
            <v>#VALUE!</v>
          </cell>
          <cell r="AZ374" t="e">
            <v>#VALUE!</v>
          </cell>
          <cell r="BA374" t="e">
            <v>#VALUE!</v>
          </cell>
          <cell r="BB374" t="e">
            <v>#VALUE!</v>
          </cell>
          <cell r="BC374" t="e">
            <v>#VALUE!</v>
          </cell>
          <cell r="BD374" t="e">
            <v>#VALUE!</v>
          </cell>
          <cell r="BE374" t="e">
            <v>#VALUE!</v>
          </cell>
        </row>
        <row r="375">
          <cell r="H375" t="e">
            <v>#DIV/0!</v>
          </cell>
          <cell r="I375" t="e">
            <v>#DIV/0!</v>
          </cell>
          <cell r="J375" t="e">
            <v>#DIV/0!</v>
          </cell>
          <cell r="K375" t="e">
            <v>#DIV/0!</v>
          </cell>
          <cell r="L375" t="e">
            <v>#DIV/0!</v>
          </cell>
          <cell r="M375" t="e">
            <v>#DIV/0!</v>
          </cell>
          <cell r="N375" t="e">
            <v>#DIV/0!</v>
          </cell>
          <cell r="O375" t="e">
            <v>#DIV/0!</v>
          </cell>
          <cell r="P375" t="e">
            <v>#DIV/0!</v>
          </cell>
          <cell r="Q375" t="e">
            <v>#DIV/0!</v>
          </cell>
          <cell r="R375" t="e">
            <v>#DIV/0!</v>
          </cell>
          <cell r="S375" t="e">
            <v>#DIV/0!</v>
          </cell>
          <cell r="T375" t="e">
            <v>#DIV/0!</v>
          </cell>
          <cell r="U375">
            <v>-3.2447064931212686E-3</v>
          </cell>
          <cell r="V375">
            <v>0.19187763284817308</v>
          </cell>
          <cell r="W375">
            <v>3.4765921754830974E-2</v>
          </cell>
          <cell r="X375">
            <v>0.10140055415349639</v>
          </cell>
          <cell r="Y375">
            <v>8.0003029399836806E-2</v>
          </cell>
          <cell r="Z375">
            <v>1.5008299421367445E-2</v>
          </cell>
          <cell r="AA375">
            <v>3.405197607709845E-2</v>
          </cell>
          <cell r="AB375">
            <v>2.8516979035999163E-2</v>
          </cell>
          <cell r="AC375">
            <v>3.5983188930038768E-2</v>
          </cell>
          <cell r="AD375" t="e">
            <v>#DIV/0!</v>
          </cell>
          <cell r="AE375">
            <v>1.6104089884958001E-2</v>
          </cell>
          <cell r="AF375">
            <v>7.5174930642472548E-2</v>
          </cell>
          <cell r="AG375">
            <v>6.3349322224671129E-2</v>
          </cell>
          <cell r="AH375" t="e">
            <v>#DIV/0!</v>
          </cell>
          <cell r="AI375" t="e">
            <v>#DIV/0!</v>
          </cell>
          <cell r="AJ375">
            <v>5.3267346331524482E-2</v>
          </cell>
          <cell r="AK375" t="e">
            <v>#DIV/0!</v>
          </cell>
          <cell r="AL375">
            <v>3.0429284112686104E-2</v>
          </cell>
          <cell r="AM375">
            <v>9.8277402031668251E-2</v>
          </cell>
          <cell r="AN375">
            <v>-2.9025916334284797E-2</v>
          </cell>
          <cell r="AO375" t="e">
            <v>#DIV/0!</v>
          </cell>
          <cell r="AP375" t="e">
            <v>#DIV/0!</v>
          </cell>
          <cell r="AQ375" t="e">
            <v>#DIV/0!</v>
          </cell>
          <cell r="AR375">
            <v>0.11046693913337828</v>
          </cell>
          <cell r="AS375">
            <v>6.3349322224671129E-2</v>
          </cell>
          <cell r="AT375">
            <v>4.7456920420860617E-2</v>
          </cell>
          <cell r="AU375">
            <v>7.9752714298895841E-2</v>
          </cell>
          <cell r="AV375">
            <v>7.88878221040408E-2</v>
          </cell>
          <cell r="AW375" t="e">
            <v>#DIV/0!</v>
          </cell>
          <cell r="AX375" t="e">
            <v>#DIV/0!</v>
          </cell>
          <cell r="AY375" t="e">
            <v>#DIV/0!</v>
          </cell>
          <cell r="AZ375" t="e">
            <v>#DIV/0!</v>
          </cell>
          <cell r="BA375" t="e">
            <v>#DIV/0!</v>
          </cell>
          <cell r="BB375" t="e">
            <v>#DIV/0!</v>
          </cell>
          <cell r="BC375" t="e">
            <v>#DIV/0!</v>
          </cell>
          <cell r="BD375" t="e">
            <v>#DIV/0!</v>
          </cell>
          <cell r="BE375" t="e">
            <v>#DIV/0!</v>
          </cell>
        </row>
        <row r="376">
          <cell r="H376">
            <v>0.46767854722862168</v>
          </cell>
          <cell r="I376">
            <v>0.26498127340823974</v>
          </cell>
          <cell r="J376">
            <v>0.76431949553336831</v>
          </cell>
          <cell r="K376">
            <v>0.86764705882352944</v>
          </cell>
          <cell r="L376">
            <v>0.43027413587604291</v>
          </cell>
          <cell r="M376">
            <v>0.47006432459178621</v>
          </cell>
          <cell r="N376">
            <v>0.57733743747595234</v>
          </cell>
          <cell r="O376">
            <v>0.51018711018711016</v>
          </cell>
          <cell r="P376">
            <v>0.15206611570247933</v>
          </cell>
          <cell r="Q376">
            <v>0.70447154471544704</v>
          </cell>
          <cell r="R376">
            <v>0.84545454545454535</v>
          </cell>
          <cell r="S376">
            <v>0.58656898656898648</v>
          </cell>
          <cell r="T376" t="e">
            <v>#VALUE!</v>
          </cell>
          <cell r="U376">
            <v>0.79151154132539103</v>
          </cell>
          <cell r="V376">
            <v>0.80299290342486895</v>
          </cell>
          <cell r="W376">
            <v>0.46767854722862168</v>
          </cell>
          <cell r="X376">
            <v>0.61584225762367029</v>
          </cell>
          <cell r="Y376">
            <v>0.67797552836484976</v>
          </cell>
          <cell r="Z376" t="e">
            <v>#N/A</v>
          </cell>
          <cell r="AA376">
            <v>0.87748943874471952</v>
          </cell>
          <cell r="AB376">
            <v>0.87748943874471952</v>
          </cell>
          <cell r="AC376">
            <v>0.70574162679425845</v>
          </cell>
          <cell r="AD376" t="e">
            <v>#N/A</v>
          </cell>
          <cell r="AE376">
            <v>0.74809160305343503</v>
          </cell>
          <cell r="AF376">
            <v>0.99812558575445176</v>
          </cell>
          <cell r="AG376">
            <v>0.93798882681564244</v>
          </cell>
          <cell r="AH376">
            <v>0.80299290342486895</v>
          </cell>
          <cell r="AI376">
            <v>0.86938217029786347</v>
          </cell>
          <cell r="AJ376" t="e">
            <v>#VALUE!</v>
          </cell>
          <cell r="AK376">
            <v>0.86449297038588091</v>
          </cell>
          <cell r="AL376">
            <v>0.75576146353052975</v>
          </cell>
          <cell r="AM376">
            <v>0.95359848484848497</v>
          </cell>
          <cell r="AN376">
            <v>0.61226993865030677</v>
          </cell>
          <cell r="AO376" t="e">
            <v>#N/A</v>
          </cell>
          <cell r="AP376">
            <v>0.89246306340003745</v>
          </cell>
          <cell r="AQ376" t="e">
            <v>#VALUE!</v>
          </cell>
          <cell r="AR376">
            <v>0.89246306340003745</v>
          </cell>
          <cell r="AS376">
            <v>0.93798882681564244</v>
          </cell>
          <cell r="AT376" t="e">
            <v>#N/A</v>
          </cell>
          <cell r="AU376">
            <v>0.84451697127937342</v>
          </cell>
          <cell r="AV376">
            <v>0.84451697127937342</v>
          </cell>
          <cell r="AW376" t="e">
            <v>#VALUE!</v>
          </cell>
          <cell r="AX376" t="e">
            <v>#VALUE!</v>
          </cell>
          <cell r="AY376" t="e">
            <v>#VALUE!</v>
          </cell>
          <cell r="AZ376" t="e">
            <v>#VALUE!</v>
          </cell>
          <cell r="BA376" t="e">
            <v>#VALUE!</v>
          </cell>
          <cell r="BB376" t="e">
            <v>#VALUE!</v>
          </cell>
          <cell r="BC376" t="e">
            <v>#VALUE!</v>
          </cell>
          <cell r="BD376" t="e">
            <v>#VALUE!</v>
          </cell>
          <cell r="BE376" t="e">
            <v>#VALUE!</v>
          </cell>
        </row>
        <row r="377">
          <cell r="H377">
            <v>1.298344620015049</v>
          </cell>
          <cell r="I377">
            <v>1.0884615384615384</v>
          </cell>
          <cell r="J377">
            <v>1.3344036697247705</v>
          </cell>
          <cell r="K377">
            <v>2.1071428571428572</v>
          </cell>
          <cell r="L377">
            <v>1.3079710144927537</v>
          </cell>
          <cell r="M377">
            <v>1.4615384615384615</v>
          </cell>
          <cell r="N377">
            <v>1.2076458752515091</v>
          </cell>
          <cell r="O377">
            <v>1.2331658291457286</v>
          </cell>
          <cell r="P377">
            <v>1.2897196261682242</v>
          </cell>
          <cell r="Q377">
            <v>1.2093510118632238</v>
          </cell>
          <cell r="R377">
            <v>1.4993282579489475</v>
          </cell>
          <cell r="S377">
            <v>1.3449048152295633</v>
          </cell>
          <cell r="T377" t="e">
            <v>#VALUE!</v>
          </cell>
          <cell r="U377">
            <v>1.1811111111111112</v>
          </cell>
          <cell r="V377">
            <v>1.7794871794871794</v>
          </cell>
          <cell r="W377">
            <v>1.298344620015049</v>
          </cell>
          <cell r="X377">
            <v>1.2711926605504587</v>
          </cell>
          <cell r="Y377">
            <v>1.3425110132158589</v>
          </cell>
          <cell r="Z377" t="e">
            <v>#N/A</v>
          </cell>
          <cell r="AA377">
            <v>1.3500213552208873</v>
          </cell>
          <cell r="AB377">
            <v>1.3500213552208873</v>
          </cell>
          <cell r="AC377">
            <v>1.1115297663903543</v>
          </cell>
          <cell r="AD377" t="e">
            <v>#N/A</v>
          </cell>
          <cell r="AE377">
            <v>1.7230769230769232</v>
          </cell>
          <cell r="AF377">
            <v>1.6692789968652038</v>
          </cell>
          <cell r="AG377">
            <v>1.6380487804878048</v>
          </cell>
          <cell r="AH377">
            <v>1.7794871794871794</v>
          </cell>
          <cell r="AI377">
            <v>1.6920612419647574</v>
          </cell>
          <cell r="AJ377" t="e">
            <v>#VALUE!</v>
          </cell>
          <cell r="AK377">
            <v>1.3761904761904762</v>
          </cell>
          <cell r="AL377">
            <v>1.2003773584905659</v>
          </cell>
          <cell r="AM377">
            <v>1.3889655172413793</v>
          </cell>
          <cell r="AN377">
            <v>2.8514285714285714</v>
          </cell>
          <cell r="AO377" t="e">
            <v>#N/A</v>
          </cell>
          <cell r="AP377">
            <v>1.454878048780488</v>
          </cell>
          <cell r="AQ377" t="e">
            <v>#VALUE!</v>
          </cell>
          <cell r="AR377">
            <v>1.454878048780488</v>
          </cell>
          <cell r="AS377">
            <v>1.6380487804878048</v>
          </cell>
          <cell r="AT377" t="e">
            <v>#N/A</v>
          </cell>
          <cell r="AU377">
            <v>1.3881974248927038</v>
          </cell>
          <cell r="AV377">
            <v>1.3881974248927038</v>
          </cell>
          <cell r="AW377" t="e">
            <v>#VALUE!</v>
          </cell>
          <cell r="AX377" t="e">
            <v>#VALUE!</v>
          </cell>
          <cell r="AY377" t="e">
            <v>#VALUE!</v>
          </cell>
          <cell r="AZ377" t="e">
            <v>#VALUE!</v>
          </cell>
          <cell r="BA377" t="e">
            <v>#VALUE!</v>
          </cell>
          <cell r="BB377" t="e">
            <v>#VALUE!</v>
          </cell>
          <cell r="BC377" t="e">
            <v>#VALUE!</v>
          </cell>
          <cell r="BD377" t="e">
            <v>#VALUE!</v>
          </cell>
          <cell r="BE377" t="e">
            <v>#VALUE!</v>
          </cell>
        </row>
        <row r="378">
          <cell r="H378">
            <v>0.29834462001504902</v>
          </cell>
          <cell r="I378">
            <v>8.8461538461538369E-2</v>
          </cell>
          <cell r="J378">
            <v>0.33440366972477054</v>
          </cell>
          <cell r="K378">
            <v>1.1071428571428572</v>
          </cell>
          <cell r="L378">
            <v>0.30797101449275366</v>
          </cell>
          <cell r="M378">
            <v>0.46153846153846145</v>
          </cell>
          <cell r="N378">
            <v>0.20764587525150913</v>
          </cell>
          <cell r="O378">
            <v>0.23316582914572859</v>
          </cell>
          <cell r="P378">
            <v>0.28971962616822422</v>
          </cell>
          <cell r="Q378">
            <v>0.2093510118632238</v>
          </cell>
          <cell r="R378">
            <v>0.49932825794894753</v>
          </cell>
          <cell r="S378">
            <v>0.34490481522956329</v>
          </cell>
          <cell r="T378" t="e">
            <v>#VALUE!</v>
          </cell>
          <cell r="U378">
            <v>0.18111111111111122</v>
          </cell>
          <cell r="V378">
            <v>0.77948717948717938</v>
          </cell>
          <cell r="W378">
            <v>0.29834462001504902</v>
          </cell>
          <cell r="X378">
            <v>0.27119266055045865</v>
          </cell>
          <cell r="Y378">
            <v>0.34251101321585886</v>
          </cell>
          <cell r="Z378" t="e">
            <v>#N/A</v>
          </cell>
          <cell r="AA378">
            <v>0.35002135522088729</v>
          </cell>
          <cell r="AB378">
            <v>0.35002135522088729</v>
          </cell>
          <cell r="AC378">
            <v>0.11152976639035428</v>
          </cell>
          <cell r="AD378" t="e">
            <v>#N/A</v>
          </cell>
          <cell r="AE378">
            <v>0.72307692307692317</v>
          </cell>
          <cell r="AF378">
            <v>0.66927899686520376</v>
          </cell>
          <cell r="AG378">
            <v>0.63804878048780478</v>
          </cell>
          <cell r="AH378">
            <v>0.77948717948717938</v>
          </cell>
          <cell r="AI378">
            <v>0.69206124196475738</v>
          </cell>
          <cell r="AJ378" t="e">
            <v>#VALUE!</v>
          </cell>
          <cell r="AK378">
            <v>0.37619047619047619</v>
          </cell>
          <cell r="AL378">
            <v>0.20037735849056593</v>
          </cell>
          <cell r="AM378">
            <v>0.38896551724137929</v>
          </cell>
          <cell r="AN378">
            <v>1.8514285714285714</v>
          </cell>
          <cell r="AO378" t="e">
            <v>#N/A</v>
          </cell>
          <cell r="AP378">
            <v>0.45487804878048799</v>
          </cell>
          <cell r="AQ378" t="e">
            <v>#VALUE!</v>
          </cell>
          <cell r="AR378">
            <v>0.45487804878048799</v>
          </cell>
          <cell r="AS378">
            <v>0.63804878048780478</v>
          </cell>
          <cell r="AT378" t="e">
            <v>#N/A</v>
          </cell>
          <cell r="AU378">
            <v>0.38819742489270381</v>
          </cell>
          <cell r="AV378">
            <v>0.38819742489270381</v>
          </cell>
          <cell r="AW378" t="e">
            <v>#VALUE!</v>
          </cell>
          <cell r="AX378" t="e">
            <v>#VALUE!</v>
          </cell>
          <cell r="AY378" t="e">
            <v>#VALUE!</v>
          </cell>
          <cell r="AZ378" t="e">
            <v>#VALUE!</v>
          </cell>
          <cell r="BA378" t="e">
            <v>#VALUE!</v>
          </cell>
          <cell r="BB378" t="e">
            <v>#VALUE!</v>
          </cell>
          <cell r="BC378" t="e">
            <v>#VALUE!</v>
          </cell>
          <cell r="BD378" t="e">
            <v>#VALUE!</v>
          </cell>
          <cell r="BE378" t="e">
            <v>#VALUE!</v>
          </cell>
        </row>
        <row r="379">
          <cell r="H379" t="e">
            <v>#DIV/0!</v>
          </cell>
          <cell r="I379" t="e">
            <v>#DIV/0!</v>
          </cell>
          <cell r="J379" t="e">
            <v>#DIV/0!</v>
          </cell>
          <cell r="K379" t="e">
            <v>#DIV/0!</v>
          </cell>
          <cell r="L379" t="e">
            <v>#DIV/0!</v>
          </cell>
          <cell r="M379" t="e">
            <v>#DIV/0!</v>
          </cell>
          <cell r="N379" t="e">
            <v>#DIV/0!</v>
          </cell>
          <cell r="O379" t="e">
            <v>#DIV/0!</v>
          </cell>
          <cell r="P379" t="e">
            <v>#DIV/0!</v>
          </cell>
          <cell r="Q379" t="e">
            <v>#DIV/0!</v>
          </cell>
          <cell r="R379" t="e">
            <v>#DIV/0!</v>
          </cell>
          <cell r="S379" t="e">
            <v>#DIV/0!</v>
          </cell>
          <cell r="T379" t="e">
            <v>#DIV/0!</v>
          </cell>
          <cell r="U379" t="e">
            <v>#DIV/0!</v>
          </cell>
          <cell r="V379" t="e">
            <v>#DIV/0!</v>
          </cell>
          <cell r="W379" t="e">
            <v>#DIV/0!</v>
          </cell>
          <cell r="X379" t="e">
            <v>#DIV/0!</v>
          </cell>
          <cell r="Y379">
            <v>9.6752147494687746E-2</v>
          </cell>
          <cell r="Z379" t="e">
            <v>#DIV/0!</v>
          </cell>
          <cell r="AA379" t="e">
            <v>#DIV/0!</v>
          </cell>
          <cell r="AB379" t="e">
            <v>#DIV/0!</v>
          </cell>
          <cell r="AC379" t="e">
            <v>#DIV/0!</v>
          </cell>
          <cell r="AD379" t="e">
            <v>#DIV/0!</v>
          </cell>
          <cell r="AE379" t="e">
            <v>#DIV/0!</v>
          </cell>
          <cell r="AF379" t="e">
            <v>#DIV/0!</v>
          </cell>
          <cell r="AG379" t="e">
            <v>#DIV/0!</v>
          </cell>
          <cell r="AH379" t="e">
            <v>#DIV/0!</v>
          </cell>
          <cell r="AI379" t="e">
            <v>#DIV/0!</v>
          </cell>
          <cell r="AJ379" t="e">
            <v>#DIV/0!</v>
          </cell>
          <cell r="AK379" t="e">
            <v>#DIV/0!</v>
          </cell>
          <cell r="AL379" t="e">
            <v>#DIV/0!</v>
          </cell>
          <cell r="AM379" t="e">
            <v>#DIV/0!</v>
          </cell>
          <cell r="AN379" t="e">
            <v>#DIV/0!</v>
          </cell>
          <cell r="AO379" t="e">
            <v>#DIV/0!</v>
          </cell>
          <cell r="AP379" t="e">
            <v>#DIV/0!</v>
          </cell>
          <cell r="AQ379" t="e">
            <v>#DIV/0!</v>
          </cell>
          <cell r="AR379" t="e">
            <v>#DIV/0!</v>
          </cell>
          <cell r="AS379" t="e">
            <v>#DIV/0!</v>
          </cell>
          <cell r="AT379" t="e">
            <v>#DIV/0!</v>
          </cell>
          <cell r="AU379" t="e">
            <v>#DIV/0!</v>
          </cell>
          <cell r="AV379" t="e">
            <v>#DIV/0!</v>
          </cell>
          <cell r="AW379" t="e">
            <v>#DIV/0!</v>
          </cell>
          <cell r="AX379" t="e">
            <v>#DIV/0!</v>
          </cell>
          <cell r="AY379" t="e">
            <v>#DIV/0!</v>
          </cell>
          <cell r="AZ379" t="e">
            <v>#DIV/0!</v>
          </cell>
          <cell r="BA379" t="e">
            <v>#DIV/0!</v>
          </cell>
          <cell r="BB379" t="e">
            <v>#DIV/0!</v>
          </cell>
          <cell r="BC379" t="e">
            <v>#DIV/0!</v>
          </cell>
          <cell r="BD379" t="e">
            <v>#DIV/0!</v>
          </cell>
          <cell r="BE379" t="e">
            <v>#DIV/0!</v>
          </cell>
        </row>
        <row r="380">
          <cell r="H380" t="e">
            <v>#DIV/0!</v>
          </cell>
          <cell r="I380" t="e">
            <v>#DIV/0!</v>
          </cell>
          <cell r="J380" t="e">
            <v>#DIV/0!</v>
          </cell>
          <cell r="K380" t="e">
            <v>#DIV/0!</v>
          </cell>
          <cell r="L380" t="e">
            <v>#DIV/0!</v>
          </cell>
          <cell r="M380" t="e">
            <v>#DIV/0!</v>
          </cell>
          <cell r="N380" t="e">
            <v>#DIV/0!</v>
          </cell>
          <cell r="O380" t="e">
            <v>#DIV/0!</v>
          </cell>
          <cell r="P380" t="e">
            <v>#DIV/0!</v>
          </cell>
          <cell r="Q380" t="e">
            <v>#DIV/0!</v>
          </cell>
          <cell r="R380" t="e">
            <v>#DIV/0!</v>
          </cell>
          <cell r="S380" t="e">
            <v>#DIV/0!</v>
          </cell>
          <cell r="T380" t="e">
            <v>#DIV/0!</v>
          </cell>
          <cell r="U380" t="e">
            <v>#DIV/0!</v>
          </cell>
          <cell r="V380" t="e">
            <v>#DIV/0!</v>
          </cell>
          <cell r="W380" t="e">
            <v>#DIV/0!</v>
          </cell>
          <cell r="X380" t="e">
            <v>#DIV/0!</v>
          </cell>
          <cell r="Y380">
            <v>9.6752147494687746E-2</v>
          </cell>
          <cell r="Z380" t="e">
            <v>#DIV/0!</v>
          </cell>
          <cell r="AA380" t="e">
            <v>#DIV/0!</v>
          </cell>
          <cell r="AB380" t="e">
            <v>#DIV/0!</v>
          </cell>
          <cell r="AC380" t="e">
            <v>#DIV/0!</v>
          </cell>
          <cell r="AD380" t="e">
            <v>#DIV/0!</v>
          </cell>
          <cell r="AE380" t="e">
            <v>#DIV/0!</v>
          </cell>
          <cell r="AF380" t="e">
            <v>#DIV/0!</v>
          </cell>
          <cell r="AG380" t="e">
            <v>#DIV/0!</v>
          </cell>
          <cell r="AH380" t="e">
            <v>#DIV/0!</v>
          </cell>
          <cell r="AI380" t="e">
            <v>#DIV/0!</v>
          </cell>
          <cell r="AJ380" t="e">
            <v>#DIV/0!</v>
          </cell>
          <cell r="AK380" t="e">
            <v>#DIV/0!</v>
          </cell>
          <cell r="AL380" t="e">
            <v>#DIV/0!</v>
          </cell>
          <cell r="AM380" t="e">
            <v>#DIV/0!</v>
          </cell>
          <cell r="AN380" t="e">
            <v>#DIV/0!</v>
          </cell>
          <cell r="AO380" t="e">
            <v>#DIV/0!</v>
          </cell>
          <cell r="AP380" t="e">
            <v>#DIV/0!</v>
          </cell>
          <cell r="AQ380" t="e">
            <v>#DIV/0!</v>
          </cell>
          <cell r="AR380" t="e">
            <v>#DIV/0!</v>
          </cell>
          <cell r="AS380" t="e">
            <v>#DIV/0!</v>
          </cell>
          <cell r="AT380" t="e">
            <v>#DIV/0!</v>
          </cell>
          <cell r="AU380" t="e">
            <v>#DIV/0!</v>
          </cell>
          <cell r="AV380" t="e">
            <v>#DIV/0!</v>
          </cell>
          <cell r="AW380" t="e">
            <v>#DIV/0!</v>
          </cell>
          <cell r="AX380" t="e">
            <v>#DIV/0!</v>
          </cell>
          <cell r="AY380" t="e">
            <v>#DIV/0!</v>
          </cell>
          <cell r="AZ380" t="e">
            <v>#DIV/0!</v>
          </cell>
          <cell r="BA380" t="e">
            <v>#DIV/0!</v>
          </cell>
          <cell r="BB380" t="e">
            <v>#DIV/0!</v>
          </cell>
          <cell r="BC380" t="e">
            <v>#DIV/0!</v>
          </cell>
          <cell r="BD380" t="e">
            <v>#DIV/0!</v>
          </cell>
          <cell r="BE380" t="e">
            <v>#DIV/0!</v>
          </cell>
        </row>
        <row r="381">
          <cell r="H381" t="e">
            <v>#DIV/0!</v>
          </cell>
          <cell r="I381" t="e">
            <v>#DIV/0!</v>
          </cell>
          <cell r="J381" t="e">
            <v>#DIV/0!</v>
          </cell>
          <cell r="K381" t="e">
            <v>#DIV/0!</v>
          </cell>
          <cell r="L381" t="e">
            <v>#DIV/0!</v>
          </cell>
          <cell r="M381" t="e">
            <v>#DIV/0!</v>
          </cell>
          <cell r="N381" t="e">
            <v>#DIV/0!</v>
          </cell>
          <cell r="O381" t="e">
            <v>#DIV/0!</v>
          </cell>
          <cell r="P381" t="e">
            <v>#DIV/0!</v>
          </cell>
          <cell r="Q381" t="e">
            <v>#DIV/0!</v>
          </cell>
          <cell r="R381" t="e">
            <v>#DIV/0!</v>
          </cell>
          <cell r="S381" t="e">
            <v>#DIV/0!</v>
          </cell>
          <cell r="T381" t="e">
            <v>#DIV/0!</v>
          </cell>
          <cell r="U381" t="e">
            <v>#DIV/0!</v>
          </cell>
          <cell r="V381" t="e">
            <v>#DIV/0!</v>
          </cell>
          <cell r="W381" t="e">
            <v>#DIV/0!</v>
          </cell>
          <cell r="X381" t="e">
            <v>#DIV/0!</v>
          </cell>
          <cell r="Y381">
            <v>9.6752147494687746E-2</v>
          </cell>
          <cell r="Z381" t="e">
            <v>#DIV/0!</v>
          </cell>
          <cell r="AA381" t="e">
            <v>#DIV/0!</v>
          </cell>
          <cell r="AB381" t="e">
            <v>#DIV/0!</v>
          </cell>
          <cell r="AC381" t="e">
            <v>#DIV/0!</v>
          </cell>
          <cell r="AD381" t="e">
            <v>#DIV/0!</v>
          </cell>
          <cell r="AE381" t="e">
            <v>#DIV/0!</v>
          </cell>
          <cell r="AF381" t="e">
            <v>#DIV/0!</v>
          </cell>
          <cell r="AG381" t="e">
            <v>#DIV/0!</v>
          </cell>
          <cell r="AH381" t="e">
            <v>#DIV/0!</v>
          </cell>
          <cell r="AI381" t="e">
            <v>#DIV/0!</v>
          </cell>
          <cell r="AJ381" t="e">
            <v>#DIV/0!</v>
          </cell>
          <cell r="AK381" t="e">
            <v>#DIV/0!</v>
          </cell>
          <cell r="AL381" t="e">
            <v>#DIV/0!</v>
          </cell>
          <cell r="AM381" t="e">
            <v>#DIV/0!</v>
          </cell>
          <cell r="AN381" t="e">
            <v>#DIV/0!</v>
          </cell>
          <cell r="AO381" t="e">
            <v>#DIV/0!</v>
          </cell>
          <cell r="AP381" t="e">
            <v>#DIV/0!</v>
          </cell>
          <cell r="AQ381" t="e">
            <v>#DIV/0!</v>
          </cell>
          <cell r="AR381" t="e">
            <v>#DIV/0!</v>
          </cell>
          <cell r="AS381" t="e">
            <v>#DIV/0!</v>
          </cell>
          <cell r="AT381" t="e">
            <v>#DIV/0!</v>
          </cell>
          <cell r="AU381" t="e">
            <v>#DIV/0!</v>
          </cell>
          <cell r="AV381" t="e">
            <v>#DIV/0!</v>
          </cell>
          <cell r="AW381" t="e">
            <v>#DIV/0!</v>
          </cell>
          <cell r="AX381" t="e">
            <v>#DIV/0!</v>
          </cell>
          <cell r="AY381" t="e">
            <v>#DIV/0!</v>
          </cell>
          <cell r="AZ381" t="e">
            <v>#DIV/0!</v>
          </cell>
          <cell r="BA381" t="e">
            <v>#DIV/0!</v>
          </cell>
          <cell r="BB381" t="e">
            <v>#DIV/0!</v>
          </cell>
          <cell r="BC381" t="e">
            <v>#DIV/0!</v>
          </cell>
          <cell r="BD381" t="e">
            <v>#DIV/0!</v>
          </cell>
          <cell r="BE381" t="e">
            <v>#DIV/0!</v>
          </cell>
        </row>
        <row r="382">
          <cell r="H382" t="e">
            <v>#DIV/0!</v>
          </cell>
          <cell r="I382" t="e">
            <v>#DIV/0!</v>
          </cell>
          <cell r="J382" t="e">
            <v>#DIV/0!</v>
          </cell>
          <cell r="K382" t="e">
            <v>#DIV/0!</v>
          </cell>
          <cell r="L382" t="e">
            <v>#DIV/0!</v>
          </cell>
          <cell r="M382" t="e">
            <v>#DIV/0!</v>
          </cell>
          <cell r="N382" t="e">
            <v>#DIV/0!</v>
          </cell>
          <cell r="O382" t="e">
            <v>#DIV/0!</v>
          </cell>
          <cell r="P382" t="e">
            <v>#DIV/0!</v>
          </cell>
          <cell r="Q382" t="e">
            <v>#DIV/0!</v>
          </cell>
          <cell r="R382" t="e">
            <v>#DIV/0!</v>
          </cell>
          <cell r="S382" t="e">
            <v>#DIV/0!</v>
          </cell>
          <cell r="T382" t="e">
            <v>#DIV/0!</v>
          </cell>
          <cell r="U382" t="e">
            <v>#DIV/0!</v>
          </cell>
          <cell r="V382" t="e">
            <v>#DIV/0!</v>
          </cell>
          <cell r="W382" t="e">
            <v>#DIV/0!</v>
          </cell>
          <cell r="X382" t="e">
            <v>#DIV/0!</v>
          </cell>
          <cell r="Y382">
            <v>8.6972061948397295E-2</v>
          </cell>
          <cell r="Z382" t="e">
            <v>#DIV/0!</v>
          </cell>
          <cell r="AA382" t="e">
            <v>#DIV/0!</v>
          </cell>
          <cell r="AB382" t="e">
            <v>#DIV/0!</v>
          </cell>
          <cell r="AC382" t="e">
            <v>#DIV/0!</v>
          </cell>
          <cell r="AD382" t="e">
            <v>#DIV/0!</v>
          </cell>
          <cell r="AE382" t="e">
            <v>#DIV/0!</v>
          </cell>
          <cell r="AF382" t="e">
            <v>#DIV/0!</v>
          </cell>
          <cell r="AG382" t="e">
            <v>#DIV/0!</v>
          </cell>
          <cell r="AH382" t="e">
            <v>#DIV/0!</v>
          </cell>
          <cell r="AI382" t="e">
            <v>#DIV/0!</v>
          </cell>
          <cell r="AJ382" t="e">
            <v>#DIV/0!</v>
          </cell>
          <cell r="AK382" t="e">
            <v>#DIV/0!</v>
          </cell>
          <cell r="AL382" t="e">
            <v>#DIV/0!</v>
          </cell>
          <cell r="AM382" t="e">
            <v>#DIV/0!</v>
          </cell>
          <cell r="AN382" t="e">
            <v>#DIV/0!</v>
          </cell>
          <cell r="AO382" t="e">
            <v>#DIV/0!</v>
          </cell>
          <cell r="AP382" t="e">
            <v>#DIV/0!</v>
          </cell>
          <cell r="AQ382" t="e">
            <v>#DIV/0!</v>
          </cell>
          <cell r="AR382" t="e">
            <v>#DIV/0!</v>
          </cell>
          <cell r="AS382" t="e">
            <v>#DIV/0!</v>
          </cell>
          <cell r="AT382" t="e">
            <v>#DIV/0!</v>
          </cell>
          <cell r="AU382" t="e">
            <v>#DIV/0!</v>
          </cell>
          <cell r="AV382" t="e">
            <v>#DIV/0!</v>
          </cell>
          <cell r="AW382" t="e">
            <v>#DIV/0!</v>
          </cell>
          <cell r="AX382" t="e">
            <v>#DIV/0!</v>
          </cell>
          <cell r="AY382" t="e">
            <v>#DIV/0!</v>
          </cell>
          <cell r="AZ382" t="e">
            <v>#DIV/0!</v>
          </cell>
          <cell r="BA382" t="e">
            <v>#DIV/0!</v>
          </cell>
          <cell r="BB382" t="e">
            <v>#DIV/0!</v>
          </cell>
          <cell r="BC382" t="e">
            <v>#DIV/0!</v>
          </cell>
          <cell r="BD382" t="e">
            <v>#DIV/0!</v>
          </cell>
          <cell r="BE382" t="e">
            <v>#DIV/0!</v>
          </cell>
        </row>
        <row r="383">
          <cell r="H383" t="e">
            <v>#DIV/0!</v>
          </cell>
          <cell r="I383" t="e">
            <v>#DIV/0!</v>
          </cell>
          <cell r="J383" t="e">
            <v>#DIV/0!</v>
          </cell>
          <cell r="K383" t="e">
            <v>#DIV/0!</v>
          </cell>
          <cell r="L383" t="e">
            <v>#DIV/0!</v>
          </cell>
          <cell r="M383" t="e">
            <v>#DIV/0!</v>
          </cell>
          <cell r="N383" t="e">
            <v>#DIV/0!</v>
          </cell>
          <cell r="O383" t="e">
            <v>#DIV/0!</v>
          </cell>
          <cell r="P383" t="e">
            <v>#DIV/0!</v>
          </cell>
          <cell r="Q383" t="e">
            <v>#DIV/0!</v>
          </cell>
          <cell r="R383" t="e">
            <v>#DIV/0!</v>
          </cell>
          <cell r="S383" t="e">
            <v>#DIV/0!</v>
          </cell>
          <cell r="T383" t="e">
            <v>#DIV/0!</v>
          </cell>
          <cell r="U383" t="e">
            <v>#DIV/0!</v>
          </cell>
          <cell r="V383" t="e">
            <v>#DIV/0!</v>
          </cell>
          <cell r="W383" t="e">
            <v>#DIV/0!</v>
          </cell>
          <cell r="X383" t="e">
            <v>#DIV/0!</v>
          </cell>
          <cell r="Y383">
            <v>5.6909100192852294E-2</v>
          </cell>
          <cell r="Z383" t="e">
            <v>#DIV/0!</v>
          </cell>
          <cell r="AA383" t="e">
            <v>#DIV/0!</v>
          </cell>
          <cell r="AB383" t="e">
            <v>#DIV/0!</v>
          </cell>
          <cell r="AC383" t="e">
            <v>#DIV/0!</v>
          </cell>
          <cell r="AD383" t="e">
            <v>#DIV/0!</v>
          </cell>
          <cell r="AE383" t="e">
            <v>#DIV/0!</v>
          </cell>
          <cell r="AF383" t="e">
            <v>#DIV/0!</v>
          </cell>
          <cell r="AG383" t="e">
            <v>#DIV/0!</v>
          </cell>
          <cell r="AH383" t="e">
            <v>#DIV/0!</v>
          </cell>
          <cell r="AI383" t="e">
            <v>#DIV/0!</v>
          </cell>
          <cell r="AJ383" t="e">
            <v>#DIV/0!</v>
          </cell>
          <cell r="AK383" t="e">
            <v>#DIV/0!</v>
          </cell>
          <cell r="AL383" t="e">
            <v>#DIV/0!</v>
          </cell>
          <cell r="AM383" t="e">
            <v>#DIV/0!</v>
          </cell>
          <cell r="AN383" t="e">
            <v>#DIV/0!</v>
          </cell>
          <cell r="AO383" t="e">
            <v>#DIV/0!</v>
          </cell>
          <cell r="AP383" t="e">
            <v>#DIV/0!</v>
          </cell>
          <cell r="AQ383" t="e">
            <v>#DIV/0!</v>
          </cell>
          <cell r="AR383" t="e">
            <v>#DIV/0!</v>
          </cell>
          <cell r="AS383" t="e">
            <v>#DIV/0!</v>
          </cell>
          <cell r="AT383" t="e">
            <v>#DIV/0!</v>
          </cell>
          <cell r="AU383" t="e">
            <v>#DIV/0!</v>
          </cell>
          <cell r="AV383" t="e">
            <v>#DIV/0!</v>
          </cell>
          <cell r="AW383" t="e">
            <v>#DIV/0!</v>
          </cell>
          <cell r="AX383" t="e">
            <v>#DIV/0!</v>
          </cell>
          <cell r="AY383" t="e">
            <v>#DIV/0!</v>
          </cell>
          <cell r="AZ383" t="e">
            <v>#DIV/0!</v>
          </cell>
          <cell r="BA383" t="e">
            <v>#DIV/0!</v>
          </cell>
          <cell r="BB383" t="e">
            <v>#DIV/0!</v>
          </cell>
          <cell r="BC383" t="e">
            <v>#DIV/0!</v>
          </cell>
          <cell r="BD383" t="e">
            <v>#DIV/0!</v>
          </cell>
          <cell r="BE383" t="e">
            <v>#DIV/0!</v>
          </cell>
        </row>
        <row r="389">
          <cell r="H389">
            <v>34.51</v>
          </cell>
          <cell r="I389">
            <v>5.66</v>
          </cell>
          <cell r="J389">
            <v>29.09</v>
          </cell>
          <cell r="K389">
            <v>44.25</v>
          </cell>
          <cell r="L389">
            <v>18.05</v>
          </cell>
          <cell r="M389">
            <v>19</v>
          </cell>
          <cell r="N389">
            <v>30.01</v>
          </cell>
          <cell r="O389">
            <v>12.27</v>
          </cell>
          <cell r="P389">
            <v>5.52</v>
          </cell>
          <cell r="Q389">
            <v>17.329999999999998</v>
          </cell>
          <cell r="R389">
            <v>33.479999999999997</v>
          </cell>
          <cell r="S389">
            <v>24.02</v>
          </cell>
          <cell r="T389" t="e">
            <v>#VALUE!</v>
          </cell>
          <cell r="U389">
            <v>21.26</v>
          </cell>
          <cell r="V389">
            <v>52.05</v>
          </cell>
          <cell r="W389">
            <v>34.51</v>
          </cell>
          <cell r="X389">
            <v>34.64</v>
          </cell>
          <cell r="Y389">
            <v>24.38</v>
          </cell>
          <cell r="Z389" t="e">
            <v>#N/A</v>
          </cell>
          <cell r="AA389">
            <v>72.7</v>
          </cell>
          <cell r="AB389">
            <v>72.7</v>
          </cell>
          <cell r="AC389">
            <v>14.75</v>
          </cell>
          <cell r="AD389" t="e">
            <v>#N/A</v>
          </cell>
          <cell r="AE389">
            <v>7.84</v>
          </cell>
          <cell r="AF389">
            <v>53.25</v>
          </cell>
          <cell r="AG389">
            <v>33.58</v>
          </cell>
          <cell r="AH389">
            <v>52.05</v>
          </cell>
          <cell r="AI389">
            <v>8.26</v>
          </cell>
          <cell r="AJ389" t="e">
            <v>#VALUE!</v>
          </cell>
          <cell r="AK389">
            <v>28.9</v>
          </cell>
          <cell r="AL389">
            <v>31.81</v>
          </cell>
          <cell r="AM389">
            <v>50.35</v>
          </cell>
          <cell r="AN389">
            <v>4.99</v>
          </cell>
          <cell r="AO389" t="e">
            <v>#N/A</v>
          </cell>
          <cell r="AP389">
            <v>47.72</v>
          </cell>
          <cell r="AQ389" t="e">
            <v>#VALUE!</v>
          </cell>
          <cell r="AR389">
            <v>47.72</v>
          </cell>
          <cell r="AS389">
            <v>33.58</v>
          </cell>
          <cell r="AT389" t="e">
            <v>#N/A</v>
          </cell>
          <cell r="AU389">
            <v>64.69</v>
          </cell>
          <cell r="AV389">
            <v>64.69</v>
          </cell>
          <cell r="AW389" t="e">
            <v>#VALUE!</v>
          </cell>
          <cell r="AX389" t="e">
            <v>#VALUE!</v>
          </cell>
          <cell r="AY389" t="e">
            <v>#VALUE!</v>
          </cell>
          <cell r="AZ389" t="e">
            <v>#VALUE!</v>
          </cell>
          <cell r="BA389" t="e">
            <v>#VALUE!</v>
          </cell>
          <cell r="BB389" t="e">
            <v>#VALUE!</v>
          </cell>
          <cell r="BC389" t="e">
            <v>#VALUE!</v>
          </cell>
          <cell r="BD389" t="e">
            <v>#VALUE!</v>
          </cell>
          <cell r="BE389" t="e">
            <v>#VALUE!</v>
          </cell>
        </row>
        <row r="390">
          <cell r="H390">
            <v>59.207999999999998</v>
          </cell>
          <cell r="I390">
            <v>145.916</v>
          </cell>
          <cell r="J390">
            <v>42.494525000000003</v>
          </cell>
          <cell r="K390">
            <v>26.085000000000001</v>
          </cell>
          <cell r="L390">
            <v>60.100999999999999</v>
          </cell>
          <cell r="M390">
            <v>213.28299999999999</v>
          </cell>
          <cell r="N390">
            <v>45.409689999999998</v>
          </cell>
          <cell r="O390">
            <v>15.414</v>
          </cell>
          <cell r="P390">
            <v>125.556</v>
          </cell>
          <cell r="Q390">
            <v>186.74</v>
          </cell>
          <cell r="R390">
            <v>35.048999999999999</v>
          </cell>
          <cell r="S390">
            <v>136.77799999999999</v>
          </cell>
          <cell r="T390">
            <v>57.9</v>
          </cell>
          <cell r="U390">
            <v>16.077313</v>
          </cell>
          <cell r="V390">
            <v>28.199946000000001</v>
          </cell>
          <cell r="W390">
            <v>52.961227999999998</v>
          </cell>
          <cell r="X390">
            <v>47.744526999999998</v>
          </cell>
          <cell r="Y390">
            <v>44.61</v>
          </cell>
          <cell r="Z390">
            <v>135.58958899999999</v>
          </cell>
          <cell r="AA390">
            <v>53.001061999999997</v>
          </cell>
          <cell r="AB390">
            <v>112.89100000000001</v>
          </cell>
          <cell r="AC390">
            <v>40.850999999999999</v>
          </cell>
          <cell r="AD390">
            <v>0</v>
          </cell>
          <cell r="AE390">
            <v>71.217195000000004</v>
          </cell>
          <cell r="AF390">
            <v>44.747</v>
          </cell>
          <cell r="AG390">
            <v>24.778272999999999</v>
          </cell>
          <cell r="AH390">
            <v>26.098680000000002</v>
          </cell>
          <cell r="AI390">
            <v>0</v>
          </cell>
          <cell r="AJ390">
            <v>31.284690000000001</v>
          </cell>
          <cell r="AK390">
            <v>57.9</v>
          </cell>
          <cell r="AL390">
            <v>301</v>
          </cell>
          <cell r="AM390">
            <v>73.771000000000001</v>
          </cell>
          <cell r="AN390">
            <v>12.315314000000001</v>
          </cell>
          <cell r="AO390">
            <v>0</v>
          </cell>
          <cell r="AP390">
            <v>0</v>
          </cell>
          <cell r="AQ390">
            <v>0</v>
          </cell>
          <cell r="AR390">
            <v>68.506</v>
          </cell>
          <cell r="AS390">
            <v>12.884701959999999</v>
          </cell>
          <cell r="AT390">
            <v>0</v>
          </cell>
          <cell r="AU390">
            <v>0</v>
          </cell>
          <cell r="AV390">
            <v>460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3"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2.5030000000000001</v>
          </cell>
          <cell r="V393">
            <v>0</v>
          </cell>
          <cell r="W393">
            <v>5.6609999999999996</v>
          </cell>
          <cell r="X393">
            <v>5.0519999999999996</v>
          </cell>
          <cell r="Y393">
            <v>5.1552319999999998</v>
          </cell>
          <cell r="Z393">
            <v>8.721584</v>
          </cell>
          <cell r="AA393">
            <v>3.6339999999999999</v>
          </cell>
          <cell r="AB393">
            <v>0</v>
          </cell>
          <cell r="AC393">
            <v>2.2189999999999999</v>
          </cell>
          <cell r="AD393">
            <v>0</v>
          </cell>
          <cell r="AE393">
            <v>6.3520000000000012</v>
          </cell>
          <cell r="AF393">
            <v>0</v>
          </cell>
          <cell r="AG393">
            <v>7.7510000000000003</v>
          </cell>
          <cell r="AH393">
            <v>1.796775</v>
          </cell>
          <cell r="AI393">
            <v>0</v>
          </cell>
          <cell r="AJ393">
            <v>1.796775</v>
          </cell>
          <cell r="AK393">
            <v>0</v>
          </cell>
          <cell r="AL393">
            <v>60.732304999999997</v>
          </cell>
          <cell r="AM393">
            <v>3.5651830000000002</v>
          </cell>
          <cell r="AN393">
            <v>2.4042520000000001</v>
          </cell>
          <cell r="AO393">
            <v>0</v>
          </cell>
          <cell r="AP393">
            <v>0</v>
          </cell>
          <cell r="AQ393">
            <v>0</v>
          </cell>
          <cell r="AR393">
            <v>0.95021299999999997</v>
          </cell>
          <cell r="AS393">
            <v>4.0305200000000001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18.14</v>
          </cell>
          <cell r="V394">
            <v>0</v>
          </cell>
          <cell r="W394">
            <v>46.72</v>
          </cell>
          <cell r="X394">
            <v>36.450000000000003</v>
          </cell>
          <cell r="Y394">
            <v>22.4</v>
          </cell>
          <cell r="Z394">
            <v>13.83</v>
          </cell>
          <cell r="AA394">
            <v>24</v>
          </cell>
          <cell r="AB394">
            <v>42</v>
          </cell>
          <cell r="AC394">
            <v>13.46</v>
          </cell>
          <cell r="AD394">
            <v>0</v>
          </cell>
          <cell r="AE394">
            <v>10.304480478589419</v>
          </cell>
          <cell r="AF394">
            <v>26.04</v>
          </cell>
          <cell r="AG394">
            <v>18.55</v>
          </cell>
          <cell r="AH394">
            <v>13.52</v>
          </cell>
          <cell r="AI394">
            <v>0</v>
          </cell>
          <cell r="AJ394">
            <v>13.52</v>
          </cell>
          <cell r="AK394">
            <v>0</v>
          </cell>
          <cell r="AL394">
            <v>39.36</v>
          </cell>
          <cell r="AM394">
            <v>32.39</v>
          </cell>
          <cell r="AN394">
            <v>9.9</v>
          </cell>
          <cell r="AO394">
            <v>0</v>
          </cell>
          <cell r="AP394">
            <v>0</v>
          </cell>
          <cell r="AQ394">
            <v>0</v>
          </cell>
          <cell r="AR394">
            <v>20.514070571545538</v>
          </cell>
          <cell r="AS394">
            <v>9.6460000000000008</v>
          </cell>
          <cell r="AT394">
            <v>0</v>
          </cell>
          <cell r="AU394">
            <v>0</v>
          </cell>
          <cell r="AV394">
            <v>34.83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 t="e">
            <v>#VALUE!</v>
          </cell>
          <cell r="U395">
            <v>0.36732643461900283</v>
          </cell>
          <cell r="V395">
            <v>0</v>
          </cell>
          <cell r="W395">
            <v>0</v>
          </cell>
          <cell r="X395">
            <v>0</v>
          </cell>
          <cell r="Y395">
            <v>0.41867757834290398</v>
          </cell>
          <cell r="Z395" t="e">
            <v>#N/A</v>
          </cell>
          <cell r="AA395">
            <v>2.4343301237964239</v>
          </cell>
          <cell r="AB395">
            <v>0</v>
          </cell>
          <cell r="AC395">
            <v>0.19406847457627086</v>
          </cell>
          <cell r="AD395" t="e">
            <v>#N/A</v>
          </cell>
          <cell r="AE395">
            <v>0</v>
          </cell>
          <cell r="AF395">
            <v>0</v>
          </cell>
          <cell r="AG395">
            <v>3.4692534246575333</v>
          </cell>
          <cell r="AH395">
            <v>1.3300622622478386</v>
          </cell>
          <cell r="AI395">
            <v>0</v>
          </cell>
          <cell r="AJ395" t="e">
            <v>#VALUE!</v>
          </cell>
          <cell r="AK395">
            <v>0</v>
          </cell>
          <cell r="AL395">
            <v>0</v>
          </cell>
          <cell r="AM395">
            <v>1.2717117513406158</v>
          </cell>
          <cell r="AN395">
            <v>0</v>
          </cell>
          <cell r="AO395" t="e">
            <v>#N/A</v>
          </cell>
          <cell r="AP395">
            <v>0</v>
          </cell>
          <cell r="AQ395" t="e">
            <v>#VALUE!</v>
          </cell>
          <cell r="AR395">
            <v>0.54173151341156744</v>
          </cell>
          <cell r="AS395">
            <v>2.8727357260273969</v>
          </cell>
          <cell r="AT395" t="e">
            <v>#N/A</v>
          </cell>
          <cell r="AU395">
            <v>0</v>
          </cell>
          <cell r="AV395">
            <v>0</v>
          </cell>
          <cell r="AW395" t="e">
            <v>#VALUE!</v>
          </cell>
          <cell r="AX395" t="e">
            <v>#VALUE!</v>
          </cell>
          <cell r="AY395" t="e">
            <v>#VALUE!</v>
          </cell>
          <cell r="AZ395" t="e">
            <v>#VALUE!</v>
          </cell>
          <cell r="BA395" t="e">
            <v>#VALUE!</v>
          </cell>
          <cell r="BB395" t="e">
            <v>#VALUE!</v>
          </cell>
          <cell r="BC395" t="e">
            <v>#VALUE!</v>
          </cell>
          <cell r="BD395" t="e">
            <v>#VALUE!</v>
          </cell>
          <cell r="BE395" t="e">
            <v>#VALUE!</v>
          </cell>
        </row>
        <row r="398"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0.44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0.78749999999999998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5.82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14.8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 t="e">
            <v>#VALUE!</v>
          </cell>
          <cell r="U400">
            <v>0.31954844778927566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 t="e">
            <v>#N/A</v>
          </cell>
          <cell r="AA400">
            <v>0</v>
          </cell>
          <cell r="AB400">
            <v>0</v>
          </cell>
          <cell r="AC400">
            <v>0</v>
          </cell>
          <cell r="AD400" t="e">
            <v>#N/A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 t="e">
            <v>#VALUE!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 t="e">
            <v>#N/A</v>
          </cell>
          <cell r="AP400">
            <v>0</v>
          </cell>
          <cell r="AQ400" t="e">
            <v>#VALUE!</v>
          </cell>
          <cell r="AR400">
            <v>0</v>
          </cell>
          <cell r="AS400">
            <v>0</v>
          </cell>
          <cell r="AT400" t="e">
            <v>#N/A</v>
          </cell>
          <cell r="AU400">
            <v>0</v>
          </cell>
          <cell r="AV400">
            <v>0</v>
          </cell>
          <cell r="AW400" t="e">
            <v>#VALUE!</v>
          </cell>
          <cell r="AX400" t="e">
            <v>#VALUE!</v>
          </cell>
          <cell r="AY400" t="e">
            <v>#VALUE!</v>
          </cell>
          <cell r="AZ400" t="e">
            <v>#VALUE!</v>
          </cell>
          <cell r="BA400" t="e">
            <v>#VALUE!</v>
          </cell>
          <cell r="BB400" t="e">
            <v>#VALUE!</v>
          </cell>
          <cell r="BC400" t="e">
            <v>#VALUE!</v>
          </cell>
          <cell r="BD400" t="e">
            <v>#VALUE!</v>
          </cell>
          <cell r="BE400" t="e">
            <v>#VALUE!</v>
          </cell>
        </row>
        <row r="403"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172.5</v>
          </cell>
          <cell r="X403">
            <v>0</v>
          </cell>
          <cell r="Y403">
            <v>0</v>
          </cell>
          <cell r="Z403">
            <v>0</v>
          </cell>
          <cell r="AA403">
            <v>300</v>
          </cell>
          <cell r="AB403">
            <v>300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5.5E-2</v>
          </cell>
          <cell r="X404">
            <v>0</v>
          </cell>
          <cell r="Y404">
            <v>0</v>
          </cell>
          <cell r="Z404">
            <v>0</v>
          </cell>
          <cell r="AA404">
            <v>0.05</v>
          </cell>
          <cell r="AB404">
            <v>0.05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85.2</v>
          </cell>
          <cell r="X405">
            <v>0</v>
          </cell>
          <cell r="Y405">
            <v>0</v>
          </cell>
          <cell r="Z405">
            <v>0</v>
          </cell>
          <cell r="AA405">
            <v>52.968800000000002</v>
          </cell>
          <cell r="AB405">
            <v>52.97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2.0246478873239435</v>
          </cell>
          <cell r="X406">
            <v>0</v>
          </cell>
          <cell r="Y406">
            <v>0</v>
          </cell>
          <cell r="Z406">
            <v>0</v>
          </cell>
          <cell r="AA406">
            <v>5.6637114678829796</v>
          </cell>
          <cell r="AB406">
            <v>5.6635831602794031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 t="e">
            <v>#VALUE!</v>
          </cell>
          <cell r="U407">
            <v>-2.0877838070956129E-2</v>
          </cell>
          <cell r="V407">
            <v>6.2927070608341964</v>
          </cell>
          <cell r="W407">
            <v>1.4611726903311231</v>
          </cell>
          <cell r="X407">
            <v>1.959960772048281</v>
          </cell>
          <cell r="Y407">
            <v>0.7272476510780338</v>
          </cell>
          <cell r="Z407" t="e">
            <v>#N/A</v>
          </cell>
          <cell r="AA407">
            <v>1.7739605734255479</v>
          </cell>
          <cell r="AB407">
            <v>2.6776822155884878</v>
          </cell>
          <cell r="AC407">
            <v>0.87442904431335655</v>
          </cell>
          <cell r="AD407" t="e">
            <v>#N/A</v>
          </cell>
          <cell r="AE407">
            <v>0.15154767047480602</v>
          </cell>
          <cell r="AF407">
            <v>2.1999910608532418</v>
          </cell>
          <cell r="AG407">
            <v>1.3329662723010089</v>
          </cell>
          <cell r="AH407">
            <v>0.31671156908847936</v>
          </cell>
          <cell r="AI407" t="e">
            <v>#DIV/0!</v>
          </cell>
          <cell r="AJ407" t="e">
            <v>#VALUE!</v>
          </cell>
          <cell r="AK407">
            <v>1.5082279792746116</v>
          </cell>
          <cell r="AL407">
            <v>1.3029900332225912</v>
          </cell>
          <cell r="AM407">
            <v>1.8855928403663016</v>
          </cell>
          <cell r="AN407">
            <v>-0.24936432802281777</v>
          </cell>
          <cell r="AO407" t="e">
            <v>#N/A</v>
          </cell>
          <cell r="AP407" t="e">
            <v>#DIV/0!</v>
          </cell>
          <cell r="AQ407" t="e">
            <v>#VALUE!</v>
          </cell>
          <cell r="AR407">
            <v>1.1532167423130122</v>
          </cell>
          <cell r="AS407">
            <v>2.3895382453828815</v>
          </cell>
          <cell r="AT407" t="e">
            <v>#N/A</v>
          </cell>
          <cell r="AU407" t="e">
            <v>#DIV/0!</v>
          </cell>
          <cell r="AV407">
            <v>2.9161682608695649</v>
          </cell>
          <cell r="AW407" t="e">
            <v>#VALUE!</v>
          </cell>
          <cell r="AX407" t="e">
            <v>#VALUE!</v>
          </cell>
          <cell r="AY407" t="e">
            <v>#VALUE!</v>
          </cell>
          <cell r="AZ407" t="e">
            <v>#VALUE!</v>
          </cell>
          <cell r="BA407" t="e">
            <v>#VALUE!</v>
          </cell>
          <cell r="BB407" t="e">
            <v>#VALUE!</v>
          </cell>
          <cell r="BC407" t="e">
            <v>#VALUE!</v>
          </cell>
          <cell r="BD407" t="e">
            <v>#VALUE!</v>
          </cell>
          <cell r="BE407" t="e">
            <v>#VALUE!</v>
          </cell>
        </row>
        <row r="408"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 t="e">
            <v>#VALUE!</v>
          </cell>
          <cell r="U408">
            <v>-2.0877838070956129E-2</v>
          </cell>
          <cell r="V408">
            <v>6.2927070608341964</v>
          </cell>
          <cell r="W408">
            <v>1.4073705065383875</v>
          </cell>
          <cell r="X408">
            <v>1.959960772048281</v>
          </cell>
          <cell r="Y408">
            <v>0.7272476510780338</v>
          </cell>
          <cell r="Z408" t="e">
            <v>#N/A</v>
          </cell>
          <cell r="AA408">
            <v>1.6095195218771126</v>
          </cell>
          <cell r="AB408">
            <v>2.5878253171566397</v>
          </cell>
          <cell r="AC408">
            <v>0.87442904431335655</v>
          </cell>
          <cell r="AD408" t="e">
            <v>#N/A</v>
          </cell>
          <cell r="AE408">
            <v>0.15154767047480602</v>
          </cell>
          <cell r="AF408">
            <v>2.1999910608532418</v>
          </cell>
          <cell r="AG408">
            <v>1.3329662723010089</v>
          </cell>
          <cell r="AH408">
            <v>0.31671156908847936</v>
          </cell>
          <cell r="AI408" t="e">
            <v>#DIV/0!</v>
          </cell>
          <cell r="AJ408" t="e">
            <v>#VALUE!</v>
          </cell>
          <cell r="AK408">
            <v>1.5082279792746116</v>
          </cell>
          <cell r="AL408">
            <v>1.3029900332225912</v>
          </cell>
          <cell r="AM408">
            <v>1.8855928403663016</v>
          </cell>
          <cell r="AN408">
            <v>-0.24936432802281777</v>
          </cell>
          <cell r="AO408" t="e">
            <v>#N/A</v>
          </cell>
          <cell r="AP408" t="e">
            <v>#DIV/0!</v>
          </cell>
          <cell r="AQ408" t="e">
            <v>#VALUE!</v>
          </cell>
          <cell r="AR408">
            <v>1.1532167423130122</v>
          </cell>
          <cell r="AS408">
            <v>2.3895382453828815</v>
          </cell>
          <cell r="AT408" t="e">
            <v>#N/A</v>
          </cell>
          <cell r="AU408" t="e">
            <v>#DIV/0!</v>
          </cell>
          <cell r="AV408">
            <v>2.9161682608695649</v>
          </cell>
          <cell r="AW408" t="e">
            <v>#VALUE!</v>
          </cell>
          <cell r="AX408" t="e">
            <v>#VALUE!</v>
          </cell>
          <cell r="AY408" t="e">
            <v>#VALUE!</v>
          </cell>
          <cell r="AZ408" t="e">
            <v>#VALUE!</v>
          </cell>
          <cell r="BA408" t="e">
            <v>#VALUE!</v>
          </cell>
          <cell r="BB408" t="e">
            <v>#VALUE!</v>
          </cell>
          <cell r="BC408" t="e">
            <v>#VALUE!</v>
          </cell>
          <cell r="BD408" t="e">
            <v>#VALUE!</v>
          </cell>
          <cell r="BE408" t="e">
            <v>#VALUE!</v>
          </cell>
        </row>
        <row r="409">
          <cell r="H409" t="str">
            <v>No</v>
          </cell>
          <cell r="I409" t="str">
            <v>No</v>
          </cell>
          <cell r="J409" t="str">
            <v>No</v>
          </cell>
          <cell r="K409" t="str">
            <v>No</v>
          </cell>
          <cell r="L409" t="str">
            <v>No</v>
          </cell>
          <cell r="M409" t="str">
            <v>No</v>
          </cell>
          <cell r="N409" t="str">
            <v>No</v>
          </cell>
          <cell r="O409" t="str">
            <v>No</v>
          </cell>
          <cell r="P409" t="str">
            <v>No</v>
          </cell>
          <cell r="Q409" t="str">
            <v>No</v>
          </cell>
          <cell r="R409" t="str">
            <v>No</v>
          </cell>
          <cell r="S409" t="str">
            <v>No</v>
          </cell>
          <cell r="T409" t="e">
            <v>#VALUE!</v>
          </cell>
          <cell r="U409" t="str">
            <v>No</v>
          </cell>
          <cell r="V409" t="str">
            <v>No</v>
          </cell>
          <cell r="W409" t="str">
            <v>Yes</v>
          </cell>
          <cell r="X409" t="str">
            <v>No</v>
          </cell>
          <cell r="Y409" t="str">
            <v>No</v>
          </cell>
          <cell r="Z409" t="e">
            <v>#N/A</v>
          </cell>
          <cell r="AA409" t="str">
            <v>Yes</v>
          </cell>
          <cell r="AB409" t="str">
            <v>Yes</v>
          </cell>
          <cell r="AC409" t="str">
            <v>No</v>
          </cell>
          <cell r="AD409" t="e">
            <v>#N/A</v>
          </cell>
          <cell r="AE409" t="str">
            <v>No</v>
          </cell>
          <cell r="AF409" t="str">
            <v>No</v>
          </cell>
          <cell r="AG409" t="str">
            <v>No</v>
          </cell>
          <cell r="AH409" t="str">
            <v>No</v>
          </cell>
          <cell r="AI409" t="e">
            <v>#DIV/0!</v>
          </cell>
          <cell r="AJ409" t="e">
            <v>#VALUE!</v>
          </cell>
          <cell r="AK409" t="str">
            <v>No</v>
          </cell>
          <cell r="AL409" t="str">
            <v>No</v>
          </cell>
          <cell r="AM409" t="str">
            <v>No</v>
          </cell>
          <cell r="AN409" t="str">
            <v>No</v>
          </cell>
          <cell r="AO409" t="e">
            <v>#N/A</v>
          </cell>
          <cell r="AP409" t="e">
            <v>#DIV/0!</v>
          </cell>
          <cell r="AQ409" t="e">
            <v>#VALUE!</v>
          </cell>
          <cell r="AR409" t="str">
            <v>No</v>
          </cell>
          <cell r="AS409" t="str">
            <v>No</v>
          </cell>
          <cell r="AT409" t="e">
            <v>#N/A</v>
          </cell>
          <cell r="AU409" t="e">
            <v>#DIV/0!</v>
          </cell>
          <cell r="AV409" t="str">
            <v>No</v>
          </cell>
          <cell r="AW409" t="e">
            <v>#VALUE!</v>
          </cell>
          <cell r="AX409" t="e">
            <v>#VALUE!</v>
          </cell>
          <cell r="AY409" t="e">
            <v>#VALUE!</v>
          </cell>
          <cell r="AZ409" t="e">
            <v>#VALUE!</v>
          </cell>
          <cell r="BA409" t="e">
            <v>#VALUE!</v>
          </cell>
          <cell r="BB409" t="e">
            <v>#VALUE!</v>
          </cell>
          <cell r="BC409" t="e">
            <v>#VALUE!</v>
          </cell>
          <cell r="BD409" t="e">
            <v>#VALUE!</v>
          </cell>
          <cell r="BE409" t="e">
            <v>#VALUE!</v>
          </cell>
        </row>
        <row r="410"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4.5123287671232877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 t="e">
            <v>#VALUE!</v>
          </cell>
          <cell r="U411">
            <v>0</v>
          </cell>
          <cell r="V411">
            <v>0</v>
          </cell>
          <cell r="W411">
            <v>2.0246478873239435</v>
          </cell>
          <cell r="X411">
            <v>0</v>
          </cell>
          <cell r="Y411">
            <v>0</v>
          </cell>
          <cell r="Z411" t="e">
            <v>#N/A</v>
          </cell>
          <cell r="AA411">
            <v>5.6637114678829796</v>
          </cell>
          <cell r="AB411">
            <v>5.6635831602794031</v>
          </cell>
          <cell r="AC411">
            <v>0</v>
          </cell>
          <cell r="AD411" t="e">
            <v>#N/A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 t="e">
            <v>#DIV/0!</v>
          </cell>
          <cell r="AJ411" t="e">
            <v>#VALUE!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 t="e">
            <v>#N/A</v>
          </cell>
          <cell r="AP411" t="e">
            <v>#DIV/0!</v>
          </cell>
          <cell r="AQ411" t="e">
            <v>#VALUE!</v>
          </cell>
          <cell r="AR411">
            <v>0</v>
          </cell>
          <cell r="AS411">
            <v>0</v>
          </cell>
          <cell r="AT411" t="e">
            <v>#N/A</v>
          </cell>
          <cell r="AU411" t="e">
            <v>#DIV/0!</v>
          </cell>
          <cell r="AV411">
            <v>0</v>
          </cell>
          <cell r="AW411" t="e">
            <v>#VALUE!</v>
          </cell>
          <cell r="AX411" t="e">
            <v>#VALUE!</v>
          </cell>
          <cell r="AY411" t="e">
            <v>#VALUE!</v>
          </cell>
          <cell r="AZ411" t="e">
            <v>#VALUE!</v>
          </cell>
          <cell r="BA411" t="e">
            <v>#VALUE!</v>
          </cell>
          <cell r="BB411" t="e">
            <v>#VALUE!</v>
          </cell>
          <cell r="BC411" t="e">
            <v>#VALUE!</v>
          </cell>
          <cell r="BD411" t="e">
            <v>#VALUE!</v>
          </cell>
          <cell r="BE411" t="e">
            <v>#VALUE!</v>
          </cell>
        </row>
        <row r="412"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 t="e">
            <v>#VALUE!</v>
          </cell>
          <cell r="U412">
            <v>0</v>
          </cell>
          <cell r="V412">
            <v>0</v>
          </cell>
          <cell r="W412">
            <v>172.5</v>
          </cell>
          <cell r="X412">
            <v>0</v>
          </cell>
          <cell r="Y412">
            <v>0</v>
          </cell>
          <cell r="Z412" t="e">
            <v>#N/A</v>
          </cell>
          <cell r="AA412">
            <v>300</v>
          </cell>
          <cell r="AB412">
            <v>300</v>
          </cell>
          <cell r="AC412">
            <v>0</v>
          </cell>
          <cell r="AD412" t="e">
            <v>#N/A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 t="e">
            <v>#DIV/0!</v>
          </cell>
          <cell r="AJ412" t="e">
            <v>#VALUE!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 t="e">
            <v>#N/A</v>
          </cell>
          <cell r="AP412" t="e">
            <v>#DIV/0!</v>
          </cell>
          <cell r="AQ412" t="e">
            <v>#VALUE!</v>
          </cell>
          <cell r="AR412">
            <v>0</v>
          </cell>
          <cell r="AS412">
            <v>0</v>
          </cell>
          <cell r="AT412" t="e">
            <v>#N/A</v>
          </cell>
          <cell r="AU412" t="e">
            <v>#DIV/0!</v>
          </cell>
          <cell r="AV412">
            <v>0</v>
          </cell>
          <cell r="AW412" t="e">
            <v>#VALUE!</v>
          </cell>
          <cell r="AX412" t="e">
            <v>#VALUE!</v>
          </cell>
          <cell r="AY412" t="e">
            <v>#VALUE!</v>
          </cell>
          <cell r="AZ412" t="e">
            <v>#VALUE!</v>
          </cell>
          <cell r="BA412" t="e">
            <v>#VALUE!</v>
          </cell>
          <cell r="BB412" t="e">
            <v>#VALUE!</v>
          </cell>
          <cell r="BC412" t="e">
            <v>#VALUE!</v>
          </cell>
          <cell r="BD412" t="e">
            <v>#VALUE!</v>
          </cell>
          <cell r="BE412" t="e">
            <v>#VALUE!</v>
          </cell>
        </row>
        <row r="413">
          <cell r="H413">
            <v>0</v>
          </cell>
          <cell r="I413">
            <v>0</v>
          </cell>
          <cell r="J413">
            <v>1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1</v>
          </cell>
          <cell r="W413">
            <v>0</v>
          </cell>
          <cell r="X413">
            <v>1</v>
          </cell>
          <cell r="Y413">
            <v>0.75068493150684934</v>
          </cell>
          <cell r="Z413">
            <v>0</v>
          </cell>
          <cell r="AA413">
            <v>0</v>
          </cell>
          <cell r="AB413">
            <v>0.50136986301369868</v>
          </cell>
          <cell r="AC413">
            <v>0.75342465753424659</v>
          </cell>
          <cell r="AD413">
            <v>0</v>
          </cell>
          <cell r="AE413">
            <v>0.25205479452054791</v>
          </cell>
          <cell r="AF413">
            <v>0.75068493150684934</v>
          </cell>
          <cell r="AG413">
            <v>0.75342465753424659</v>
          </cell>
          <cell r="AH413">
            <v>0</v>
          </cell>
          <cell r="AI413">
            <v>0</v>
          </cell>
          <cell r="AJ413">
            <v>0.49589041095890407</v>
          </cell>
          <cell r="AK413">
            <v>0.50410958904109582</v>
          </cell>
          <cell r="AL413">
            <v>0.24657534246575341</v>
          </cell>
          <cell r="AM413">
            <v>0</v>
          </cell>
          <cell r="AN413">
            <v>0.75068493150684934</v>
          </cell>
          <cell r="AO413">
            <v>0</v>
          </cell>
          <cell r="AP413">
            <v>0</v>
          </cell>
          <cell r="AQ413">
            <v>0</v>
          </cell>
          <cell r="AR413">
            <v>1</v>
          </cell>
          <cell r="AS413">
            <v>0</v>
          </cell>
          <cell r="AT413">
            <v>0</v>
          </cell>
          <cell r="AU413">
            <v>0</v>
          </cell>
          <cell r="AV413">
            <v>0.24931506849315066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6"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300</v>
          </cell>
          <cell r="AA416">
            <v>0</v>
          </cell>
          <cell r="AB416">
            <v>0</v>
          </cell>
          <cell r="AC416">
            <v>132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196.1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7.8E-2</v>
          </cell>
          <cell r="AA417">
            <v>0</v>
          </cell>
          <cell r="AB417">
            <v>0</v>
          </cell>
          <cell r="AC417">
            <v>5.3749999999999999E-2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0.05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25</v>
          </cell>
          <cell r="AA418">
            <v>0</v>
          </cell>
          <cell r="AB418">
            <v>0</v>
          </cell>
          <cell r="AC418">
            <v>20.625360943816517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36.536741690266801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12</v>
          </cell>
          <cell r="AA419">
            <v>0</v>
          </cell>
          <cell r="AB419">
            <v>0</v>
          </cell>
          <cell r="AC419">
            <v>6.3998879999999998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5.3672000000000004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 t="e">
            <v>#VALUE!</v>
          </cell>
          <cell r="U420">
            <v>-2.0877838070956129E-2</v>
          </cell>
          <cell r="V420">
            <v>6.2927070608341964</v>
          </cell>
          <cell r="W420">
            <v>1.4611726903311231</v>
          </cell>
          <cell r="X420">
            <v>1.959960772048281</v>
          </cell>
          <cell r="Y420">
            <v>0.7272476510780338</v>
          </cell>
          <cell r="Z420" t="e">
            <v>#N/A</v>
          </cell>
          <cell r="AA420">
            <v>1.7739605734255479</v>
          </cell>
          <cell r="AB420">
            <v>2.6776822155884878</v>
          </cell>
          <cell r="AC420">
            <v>0.87442904431335655</v>
          </cell>
          <cell r="AD420" t="e">
            <v>#N/A</v>
          </cell>
          <cell r="AE420">
            <v>0.15154767047480602</v>
          </cell>
          <cell r="AF420">
            <v>2.1999910608532418</v>
          </cell>
          <cell r="AG420">
            <v>1.3329662723010089</v>
          </cell>
          <cell r="AH420">
            <v>0.31671156908847936</v>
          </cell>
          <cell r="AI420" t="e">
            <v>#DIV/0!</v>
          </cell>
          <cell r="AJ420" t="e">
            <v>#VALUE!</v>
          </cell>
          <cell r="AK420">
            <v>1.5082279792746116</v>
          </cell>
          <cell r="AL420">
            <v>1.3029900332225912</v>
          </cell>
          <cell r="AM420">
            <v>1.8855928403663016</v>
          </cell>
          <cell r="AN420">
            <v>-0.24936432802281777</v>
          </cell>
          <cell r="AO420" t="e">
            <v>#N/A</v>
          </cell>
          <cell r="AP420" t="e">
            <v>#DIV/0!</v>
          </cell>
          <cell r="AQ420" t="e">
            <v>#VALUE!</v>
          </cell>
          <cell r="AR420">
            <v>1.1532167423130122</v>
          </cell>
          <cell r="AS420">
            <v>2.3895382453828815</v>
          </cell>
          <cell r="AT420" t="e">
            <v>#N/A</v>
          </cell>
          <cell r="AU420" t="e">
            <v>#DIV/0!</v>
          </cell>
          <cell r="AV420">
            <v>2.9161682608695649</v>
          </cell>
          <cell r="AW420" t="e">
            <v>#VALUE!</v>
          </cell>
          <cell r="AX420" t="e">
            <v>#VALUE!</v>
          </cell>
          <cell r="AY420" t="e">
            <v>#VALUE!</v>
          </cell>
          <cell r="AZ420" t="e">
            <v>#VALUE!</v>
          </cell>
          <cell r="BA420" t="e">
            <v>#VALUE!</v>
          </cell>
          <cell r="BB420" t="e">
            <v>#VALUE!</v>
          </cell>
          <cell r="BC420" t="e">
            <v>#VALUE!</v>
          </cell>
          <cell r="BD420" t="e">
            <v>#VALUE!</v>
          </cell>
          <cell r="BE420" t="e">
            <v>#VALUE!</v>
          </cell>
        </row>
        <row r="421"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 t="e">
            <v>#VALUE!</v>
          </cell>
          <cell r="U421">
            <v>-2.0877838070956129E-2</v>
          </cell>
          <cell r="V421">
            <v>6.2927070608341964</v>
          </cell>
          <cell r="W421">
            <v>1.4611726903311231</v>
          </cell>
          <cell r="X421">
            <v>1.959960772048281</v>
          </cell>
          <cell r="Y421">
            <v>0.7272476510780338</v>
          </cell>
          <cell r="Z421" t="e">
            <v>#N/A</v>
          </cell>
          <cell r="AA421">
            <v>1.7739605734255479</v>
          </cell>
          <cell r="AB421">
            <v>2.6776822155884878</v>
          </cell>
          <cell r="AC421">
            <v>0.82407766119617842</v>
          </cell>
          <cell r="AD421" t="e">
            <v>#N/A</v>
          </cell>
          <cell r="AE421">
            <v>0.15154767047480602</v>
          </cell>
          <cell r="AF421">
            <v>2.1999910608532418</v>
          </cell>
          <cell r="AG421">
            <v>1.3329662723010089</v>
          </cell>
          <cell r="AH421">
            <v>0.31671156908847936</v>
          </cell>
          <cell r="AI421" t="e">
            <v>#DIV/0!</v>
          </cell>
          <cell r="AJ421" t="e">
            <v>#VALUE!</v>
          </cell>
          <cell r="AK421">
            <v>1.5082279792746116</v>
          </cell>
          <cell r="AL421">
            <v>1.2848980006336381</v>
          </cell>
          <cell r="AM421">
            <v>1.8855928403663016</v>
          </cell>
          <cell r="AN421">
            <v>-0.24936432802281777</v>
          </cell>
          <cell r="AO421" t="e">
            <v>#N/A</v>
          </cell>
          <cell r="AP421" t="e">
            <v>#DIV/0!</v>
          </cell>
          <cell r="AQ421" t="e">
            <v>#VALUE!</v>
          </cell>
          <cell r="AR421">
            <v>1.1532167423130122</v>
          </cell>
          <cell r="AS421">
            <v>2.3895382453828815</v>
          </cell>
          <cell r="AT421" t="e">
            <v>#N/A</v>
          </cell>
          <cell r="AU421" t="e">
            <v>#DIV/0!</v>
          </cell>
          <cell r="AV421">
            <v>2.9161682608695649</v>
          </cell>
          <cell r="AW421" t="e">
            <v>#VALUE!</v>
          </cell>
          <cell r="AX421" t="e">
            <v>#VALUE!</v>
          </cell>
          <cell r="AY421" t="e">
            <v>#VALUE!</v>
          </cell>
          <cell r="AZ421" t="e">
            <v>#VALUE!</v>
          </cell>
          <cell r="BA421" t="e">
            <v>#VALUE!</v>
          </cell>
          <cell r="BB421" t="e">
            <v>#VALUE!</v>
          </cell>
          <cell r="BC421" t="e">
            <v>#VALUE!</v>
          </cell>
          <cell r="BD421" t="e">
            <v>#VALUE!</v>
          </cell>
          <cell r="BE421" t="e">
            <v>#VALUE!</v>
          </cell>
        </row>
        <row r="422">
          <cell r="H422" t="str">
            <v>No</v>
          </cell>
          <cell r="I422" t="str">
            <v>No</v>
          </cell>
          <cell r="J422" t="str">
            <v>No</v>
          </cell>
          <cell r="K422" t="str">
            <v>No</v>
          </cell>
          <cell r="L422" t="str">
            <v>No</v>
          </cell>
          <cell r="M422" t="str">
            <v>No</v>
          </cell>
          <cell r="N422" t="str">
            <v>No</v>
          </cell>
          <cell r="O422" t="str">
            <v>No</v>
          </cell>
          <cell r="P422" t="str">
            <v>No</v>
          </cell>
          <cell r="Q422" t="str">
            <v>No</v>
          </cell>
          <cell r="R422" t="str">
            <v>No</v>
          </cell>
          <cell r="S422" t="str">
            <v>No</v>
          </cell>
          <cell r="T422" t="e">
            <v>#VALUE!</v>
          </cell>
          <cell r="U422" t="str">
            <v>No</v>
          </cell>
          <cell r="V422" t="str">
            <v>No</v>
          </cell>
          <cell r="W422" t="str">
            <v>No</v>
          </cell>
          <cell r="X422" t="str">
            <v>No</v>
          </cell>
          <cell r="Y422" t="str">
            <v>No</v>
          </cell>
          <cell r="Z422" t="e">
            <v>#N/A</v>
          </cell>
          <cell r="AA422" t="str">
            <v>No</v>
          </cell>
          <cell r="AB422" t="str">
            <v>No</v>
          </cell>
          <cell r="AC422" t="str">
            <v>Yes</v>
          </cell>
          <cell r="AD422" t="e">
            <v>#N/A</v>
          </cell>
          <cell r="AE422" t="str">
            <v>No</v>
          </cell>
          <cell r="AF422" t="str">
            <v>No</v>
          </cell>
          <cell r="AG422" t="str">
            <v>No</v>
          </cell>
          <cell r="AH422" t="str">
            <v>No</v>
          </cell>
          <cell r="AI422" t="e">
            <v>#DIV/0!</v>
          </cell>
          <cell r="AJ422" t="e">
            <v>#VALUE!</v>
          </cell>
          <cell r="AK422" t="str">
            <v>No</v>
          </cell>
          <cell r="AL422" t="str">
            <v>Yes</v>
          </cell>
          <cell r="AM422" t="str">
            <v>No</v>
          </cell>
          <cell r="AN422" t="str">
            <v>No</v>
          </cell>
          <cell r="AO422" t="e">
            <v>#N/A</v>
          </cell>
          <cell r="AP422" t="e">
            <v>#DIV/0!</v>
          </cell>
          <cell r="AQ422" t="e">
            <v>#VALUE!</v>
          </cell>
          <cell r="AR422" t="str">
            <v>No</v>
          </cell>
          <cell r="AS422" t="str">
            <v>No</v>
          </cell>
          <cell r="AT422" t="e">
            <v>#N/A</v>
          </cell>
          <cell r="AU422" t="e">
            <v>#DIV/0!</v>
          </cell>
          <cell r="AV422" t="str">
            <v>No</v>
          </cell>
          <cell r="AW422" t="e">
            <v>#VALUE!</v>
          </cell>
          <cell r="AX422" t="e">
            <v>#VALUE!</v>
          </cell>
          <cell r="AY422" t="e">
            <v>#VALUE!</v>
          </cell>
          <cell r="AZ422" t="e">
            <v>#VALUE!</v>
          </cell>
          <cell r="BA422" t="e">
            <v>#VALUE!</v>
          </cell>
          <cell r="BB422" t="e">
            <v>#VALUE!</v>
          </cell>
          <cell r="BC422" t="e">
            <v>#VALUE!</v>
          </cell>
          <cell r="BD422" t="e">
            <v>#VALUE!</v>
          </cell>
          <cell r="BE422" t="e">
            <v>#VALUE!</v>
          </cell>
        </row>
        <row r="423"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3.2073287671232875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1.4506027397260273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 t="e">
            <v>#VALUE!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 t="e">
            <v>#N/A</v>
          </cell>
          <cell r="AA424">
            <v>0</v>
          </cell>
          <cell r="AB424">
            <v>0</v>
          </cell>
          <cell r="AC424">
            <v>6.3998879999999998</v>
          </cell>
          <cell r="AD424" t="e">
            <v>#N/A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 t="e">
            <v>#DIV/0!</v>
          </cell>
          <cell r="AJ424" t="e">
            <v>#VALUE!</v>
          </cell>
          <cell r="AK424">
            <v>0</v>
          </cell>
          <cell r="AL424">
            <v>5.3672000000000004</v>
          </cell>
          <cell r="AM424">
            <v>0</v>
          </cell>
          <cell r="AN424">
            <v>0</v>
          </cell>
          <cell r="AO424" t="e">
            <v>#N/A</v>
          </cell>
          <cell r="AP424" t="e">
            <v>#DIV/0!</v>
          </cell>
          <cell r="AQ424" t="e">
            <v>#VALUE!</v>
          </cell>
          <cell r="AR424">
            <v>0</v>
          </cell>
          <cell r="AS424">
            <v>0</v>
          </cell>
          <cell r="AT424" t="e">
            <v>#N/A</v>
          </cell>
          <cell r="AU424" t="e">
            <v>#DIV/0!</v>
          </cell>
          <cell r="AV424">
            <v>0</v>
          </cell>
          <cell r="AW424" t="e">
            <v>#VALUE!</v>
          </cell>
          <cell r="AX424" t="e">
            <v>#VALUE!</v>
          </cell>
          <cell r="AY424" t="e">
            <v>#VALUE!</v>
          </cell>
          <cell r="AZ424" t="e">
            <v>#VALUE!</v>
          </cell>
          <cell r="BA424" t="e">
            <v>#VALUE!</v>
          </cell>
          <cell r="BB424" t="e">
            <v>#VALUE!</v>
          </cell>
          <cell r="BC424" t="e">
            <v>#VALUE!</v>
          </cell>
          <cell r="BD424" t="e">
            <v>#VALUE!</v>
          </cell>
          <cell r="BE424" t="e">
            <v>#VALUE!</v>
          </cell>
        </row>
        <row r="425"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 t="e">
            <v>#VALUE!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 t="e">
            <v>#N/A</v>
          </cell>
          <cell r="AA425">
            <v>0</v>
          </cell>
          <cell r="AB425">
            <v>0</v>
          </cell>
          <cell r="AC425">
            <v>132</v>
          </cell>
          <cell r="AD425" t="e">
            <v>#N/A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 t="e">
            <v>#DIV/0!</v>
          </cell>
          <cell r="AJ425" t="e">
            <v>#VALUE!</v>
          </cell>
          <cell r="AK425">
            <v>0</v>
          </cell>
          <cell r="AL425">
            <v>196.1</v>
          </cell>
          <cell r="AM425">
            <v>0</v>
          </cell>
          <cell r="AN425">
            <v>0</v>
          </cell>
          <cell r="AO425" t="e">
            <v>#N/A</v>
          </cell>
          <cell r="AP425" t="e">
            <v>#DIV/0!</v>
          </cell>
          <cell r="AQ425" t="e">
            <v>#VALUE!</v>
          </cell>
          <cell r="AR425">
            <v>0</v>
          </cell>
          <cell r="AS425">
            <v>0</v>
          </cell>
          <cell r="AT425" t="e">
            <v>#N/A</v>
          </cell>
          <cell r="AU425" t="e">
            <v>#DIV/0!</v>
          </cell>
          <cell r="AV425">
            <v>0</v>
          </cell>
          <cell r="AW425" t="e">
            <v>#VALUE!</v>
          </cell>
          <cell r="AX425" t="e">
            <v>#VALUE!</v>
          </cell>
          <cell r="AY425" t="e">
            <v>#VALUE!</v>
          </cell>
          <cell r="AZ425" t="e">
            <v>#VALUE!</v>
          </cell>
          <cell r="BA425" t="e">
            <v>#VALUE!</v>
          </cell>
          <cell r="BB425" t="e">
            <v>#VALUE!</v>
          </cell>
          <cell r="BC425" t="e">
            <v>#VALUE!</v>
          </cell>
          <cell r="BD425" t="e">
            <v>#VALUE!</v>
          </cell>
          <cell r="BE425" t="e">
            <v>#VALUE!</v>
          </cell>
        </row>
        <row r="426">
          <cell r="H426">
            <v>0</v>
          </cell>
          <cell r="I426">
            <v>0</v>
          </cell>
          <cell r="J426">
            <v>1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1</v>
          </cell>
          <cell r="W426">
            <v>0</v>
          </cell>
          <cell r="X426">
            <v>1</v>
          </cell>
          <cell r="Y426">
            <v>0.75068493150684934</v>
          </cell>
          <cell r="Z426">
            <v>0</v>
          </cell>
          <cell r="AA426">
            <v>0</v>
          </cell>
          <cell r="AB426">
            <v>0.50136986301369868</v>
          </cell>
          <cell r="AC426">
            <v>0.75342465753424659</v>
          </cell>
          <cell r="AD426">
            <v>0</v>
          </cell>
          <cell r="AE426">
            <v>0.25205479452054791</v>
          </cell>
          <cell r="AF426">
            <v>0.75068493150684934</v>
          </cell>
          <cell r="AG426">
            <v>0.75342465753424659</v>
          </cell>
          <cell r="AH426">
            <v>0</v>
          </cell>
          <cell r="AI426">
            <v>0</v>
          </cell>
          <cell r="AJ426">
            <v>0.49589041095890407</v>
          </cell>
          <cell r="AK426">
            <v>0.50410958904109582</v>
          </cell>
          <cell r="AL426">
            <v>0.24657534246575341</v>
          </cell>
          <cell r="AM426">
            <v>0</v>
          </cell>
          <cell r="AN426">
            <v>0.75068493150684934</v>
          </cell>
          <cell r="AO426">
            <v>0</v>
          </cell>
          <cell r="AP426">
            <v>0</v>
          </cell>
          <cell r="AQ426">
            <v>0</v>
          </cell>
          <cell r="AR426">
            <v>1</v>
          </cell>
          <cell r="AS426">
            <v>0</v>
          </cell>
          <cell r="AT426">
            <v>0</v>
          </cell>
          <cell r="AU426">
            <v>0</v>
          </cell>
          <cell r="AV426">
            <v>0.24931506849315066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H427">
            <v>59.207999999999998</v>
          </cell>
          <cell r="I427">
            <v>145.916</v>
          </cell>
          <cell r="J427">
            <v>42.494525000000003</v>
          </cell>
          <cell r="K427">
            <v>26.085000000000001</v>
          </cell>
          <cell r="L427">
            <v>60.100999999999999</v>
          </cell>
          <cell r="M427">
            <v>213.28299999999999</v>
          </cell>
          <cell r="N427">
            <v>45.409689999999998</v>
          </cell>
          <cell r="O427">
            <v>15.414</v>
          </cell>
          <cell r="P427">
            <v>125.556</v>
          </cell>
          <cell r="Q427">
            <v>186.74</v>
          </cell>
          <cell r="R427">
            <v>35.048999999999999</v>
          </cell>
          <cell r="S427">
            <v>136.77799999999999</v>
          </cell>
          <cell r="T427">
            <v>57.9</v>
          </cell>
          <cell r="U427">
            <v>16.077313</v>
          </cell>
          <cell r="V427">
            <v>28.199946000000001</v>
          </cell>
          <cell r="W427">
            <v>52.961227999999998</v>
          </cell>
          <cell r="X427">
            <v>47.744526999999998</v>
          </cell>
          <cell r="Y427">
            <v>44.61</v>
          </cell>
          <cell r="Z427">
            <v>135.58958899999999</v>
          </cell>
          <cell r="AA427">
            <v>53.001061999999997</v>
          </cell>
          <cell r="AB427">
            <v>112.89100000000001</v>
          </cell>
          <cell r="AC427">
            <v>40.850999999999999</v>
          </cell>
          <cell r="AD427">
            <v>0</v>
          </cell>
          <cell r="AE427">
            <v>71.217195000000004</v>
          </cell>
          <cell r="AF427">
            <v>44.747</v>
          </cell>
          <cell r="AG427">
            <v>24.778272999999999</v>
          </cell>
          <cell r="AH427">
            <v>26.098680000000002</v>
          </cell>
          <cell r="AI427">
            <v>0</v>
          </cell>
          <cell r="AJ427">
            <v>31.284690000000001</v>
          </cell>
          <cell r="AK427">
            <v>57.9</v>
          </cell>
          <cell r="AL427">
            <v>301</v>
          </cell>
          <cell r="AM427">
            <v>73.771000000000001</v>
          </cell>
          <cell r="AN427">
            <v>12.315314000000001</v>
          </cell>
          <cell r="AO427">
            <v>0</v>
          </cell>
          <cell r="AP427">
            <v>0</v>
          </cell>
          <cell r="AQ427">
            <v>0</v>
          </cell>
          <cell r="AR427">
            <v>68.506</v>
          </cell>
          <cell r="AS427">
            <v>12.884701959999999</v>
          </cell>
          <cell r="AT427">
            <v>0</v>
          </cell>
          <cell r="AU427">
            <v>0</v>
          </cell>
          <cell r="AV427">
            <v>460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H428">
            <v>59.207999999999998</v>
          </cell>
          <cell r="I428">
            <v>145.916</v>
          </cell>
          <cell r="J428">
            <v>42.494525000000003</v>
          </cell>
          <cell r="K428">
            <v>26.085000000000001</v>
          </cell>
          <cell r="L428">
            <v>60.100999999999999</v>
          </cell>
          <cell r="M428">
            <v>213.28299999999999</v>
          </cell>
          <cell r="N428">
            <v>45.409689999999998</v>
          </cell>
          <cell r="O428">
            <v>15.414</v>
          </cell>
          <cell r="P428">
            <v>125.556</v>
          </cell>
          <cell r="Q428">
            <v>186.74</v>
          </cell>
          <cell r="R428">
            <v>35.048999999999999</v>
          </cell>
          <cell r="S428">
            <v>136.77799999999999</v>
          </cell>
          <cell r="T428" t="e">
            <v>#VALUE!</v>
          </cell>
          <cell r="U428">
            <v>16.76418788240828</v>
          </cell>
          <cell r="V428">
            <v>28.199946000000001</v>
          </cell>
          <cell r="W428">
            <v>52.961227999999998</v>
          </cell>
          <cell r="X428">
            <v>47.744526999999998</v>
          </cell>
          <cell r="Y428">
            <v>45.028677578342901</v>
          </cell>
          <cell r="Z428" t="e">
            <v>#N/A</v>
          </cell>
          <cell r="AA428">
            <v>55.435392123796419</v>
          </cell>
          <cell r="AB428">
            <v>112.89100000000001</v>
          </cell>
          <cell r="AC428">
            <v>41.045068474576269</v>
          </cell>
          <cell r="AD428" t="e">
            <v>#N/A</v>
          </cell>
          <cell r="AE428">
            <v>71.217195000000004</v>
          </cell>
          <cell r="AF428">
            <v>44.747</v>
          </cell>
          <cell r="AG428">
            <v>28.247526424657533</v>
          </cell>
          <cell r="AH428">
            <v>27.428742262247841</v>
          </cell>
          <cell r="AI428">
            <v>0</v>
          </cell>
          <cell r="AJ428" t="e">
            <v>#VALUE!</v>
          </cell>
          <cell r="AK428">
            <v>57.9</v>
          </cell>
          <cell r="AL428">
            <v>301</v>
          </cell>
          <cell r="AM428">
            <v>75.042711751340619</v>
          </cell>
          <cell r="AN428">
            <v>12.315314000000001</v>
          </cell>
          <cell r="AO428" t="e">
            <v>#N/A</v>
          </cell>
          <cell r="AP428">
            <v>0</v>
          </cell>
          <cell r="AQ428" t="e">
            <v>#VALUE!</v>
          </cell>
          <cell r="AR428">
            <v>69.047731513411563</v>
          </cell>
          <cell r="AS428">
            <v>15.757437686027396</v>
          </cell>
          <cell r="AT428" t="e">
            <v>#N/A</v>
          </cell>
          <cell r="AU428">
            <v>0</v>
          </cell>
          <cell r="AV428">
            <v>460</v>
          </cell>
          <cell r="AW428" t="e">
            <v>#VALUE!</v>
          </cell>
          <cell r="AX428" t="e">
            <v>#VALUE!</v>
          </cell>
          <cell r="AY428" t="e">
            <v>#VALUE!</v>
          </cell>
          <cell r="AZ428" t="e">
            <v>#VALUE!</v>
          </cell>
          <cell r="BA428" t="e">
            <v>#VALUE!</v>
          </cell>
          <cell r="BB428" t="e">
            <v>#VALUE!</v>
          </cell>
          <cell r="BC428" t="e">
            <v>#VALUE!</v>
          </cell>
          <cell r="BD428" t="e">
            <v>#VALUE!</v>
          </cell>
          <cell r="BE428" t="e">
            <v>#VALUE!</v>
          </cell>
        </row>
        <row r="429">
          <cell r="H429">
            <v>59.207999999999998</v>
          </cell>
          <cell r="I429">
            <v>145.916</v>
          </cell>
          <cell r="J429">
            <v>42.494525000000003</v>
          </cell>
          <cell r="K429">
            <v>26.085000000000001</v>
          </cell>
          <cell r="L429">
            <v>60.100999999999999</v>
          </cell>
          <cell r="M429">
            <v>213.28299999999999</v>
          </cell>
          <cell r="N429">
            <v>45.409689999999998</v>
          </cell>
          <cell r="O429">
            <v>15.414</v>
          </cell>
          <cell r="P429">
            <v>125.556</v>
          </cell>
          <cell r="Q429">
            <v>186.74</v>
          </cell>
          <cell r="R429">
            <v>35.048999999999999</v>
          </cell>
          <cell r="S429">
            <v>136.77799999999999</v>
          </cell>
          <cell r="T429">
            <v>57.9</v>
          </cell>
          <cell r="U429">
            <v>16.077313</v>
          </cell>
          <cell r="V429">
            <v>28.199946000000001</v>
          </cell>
          <cell r="W429">
            <v>52.961227999999998</v>
          </cell>
          <cell r="X429">
            <v>47.744526999999998</v>
          </cell>
          <cell r="Y429">
            <v>44.61</v>
          </cell>
          <cell r="Z429">
            <v>135.58958899999999</v>
          </cell>
          <cell r="AA429">
            <v>53.001061999999997</v>
          </cell>
          <cell r="AB429">
            <v>112.89100000000001</v>
          </cell>
          <cell r="AC429">
            <v>40.850999999999999</v>
          </cell>
          <cell r="AD429">
            <v>0</v>
          </cell>
          <cell r="AE429">
            <v>71.217195000000004</v>
          </cell>
          <cell r="AF429">
            <v>44.747</v>
          </cell>
          <cell r="AG429">
            <v>24.778272999999999</v>
          </cell>
          <cell r="AH429">
            <v>26.098680000000002</v>
          </cell>
          <cell r="AI429">
            <v>0</v>
          </cell>
          <cell r="AJ429">
            <v>31.284690000000001</v>
          </cell>
          <cell r="AK429">
            <v>57.9</v>
          </cell>
          <cell r="AL429">
            <v>301</v>
          </cell>
          <cell r="AM429">
            <v>73.771000000000001</v>
          </cell>
          <cell r="AN429">
            <v>12.315314000000001</v>
          </cell>
          <cell r="AO429">
            <v>0</v>
          </cell>
          <cell r="AP429">
            <v>0</v>
          </cell>
          <cell r="AQ429">
            <v>0</v>
          </cell>
          <cell r="AR429">
            <v>68.506</v>
          </cell>
          <cell r="AS429">
            <v>12.884701959999999</v>
          </cell>
          <cell r="AT429">
            <v>0</v>
          </cell>
          <cell r="AU429">
            <v>0</v>
          </cell>
          <cell r="AV429">
            <v>460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1">
          <cell r="H431">
            <v>2043.2680799999998</v>
          </cell>
          <cell r="I431">
            <v>825.88455999999996</v>
          </cell>
          <cell r="J431">
            <v>1236.16573225</v>
          </cell>
          <cell r="K431">
            <v>1154.26125</v>
          </cell>
          <cell r="L431">
            <v>1084.82305</v>
          </cell>
          <cell r="M431">
            <v>4052.377</v>
          </cell>
          <cell r="N431">
            <v>1362.7447969</v>
          </cell>
          <cell r="O431">
            <v>189.12977999999998</v>
          </cell>
          <cell r="P431">
            <v>693.06911999999988</v>
          </cell>
          <cell r="Q431">
            <v>3236.2041999999997</v>
          </cell>
          <cell r="R431">
            <v>1173.4405199999999</v>
          </cell>
          <cell r="S431">
            <v>3285.4075599999996</v>
          </cell>
          <cell r="T431" t="e">
            <v>#VALUE!</v>
          </cell>
          <cell r="U431">
            <v>341.80367438000002</v>
          </cell>
          <cell r="V431">
            <v>1467.8071892999999</v>
          </cell>
          <cell r="W431">
            <v>1827.6919782799998</v>
          </cell>
          <cell r="X431">
            <v>1653.8704152799999</v>
          </cell>
          <cell r="Y431">
            <v>1087.5917999999999</v>
          </cell>
          <cell r="Z431" t="e">
            <v>#N/A</v>
          </cell>
          <cell r="AA431">
            <v>3853.1772074</v>
          </cell>
          <cell r="AB431">
            <v>8207.1757000000016</v>
          </cell>
          <cell r="AC431">
            <v>602.55224999999996</v>
          </cell>
          <cell r="AD431" t="e">
            <v>#N/A</v>
          </cell>
          <cell r="AE431">
            <v>558.34280880000006</v>
          </cell>
          <cell r="AF431">
            <v>2382.7777500000002</v>
          </cell>
          <cell r="AG431">
            <v>832.0544073399999</v>
          </cell>
          <cell r="AH431">
            <v>1358.4362940000001</v>
          </cell>
          <cell r="AI431">
            <v>0</v>
          </cell>
          <cell r="AJ431" t="e">
            <v>#VALUE!</v>
          </cell>
          <cell r="AK431">
            <v>1673.31</v>
          </cell>
          <cell r="AL431">
            <v>9574.81</v>
          </cell>
          <cell r="AM431">
            <v>3714.36985</v>
          </cell>
          <cell r="AN431">
            <v>61.453416860000004</v>
          </cell>
          <cell r="AO431" t="e">
            <v>#N/A</v>
          </cell>
          <cell r="AP431">
            <v>0</v>
          </cell>
          <cell r="AQ431" t="e">
            <v>#VALUE!</v>
          </cell>
          <cell r="AR431">
            <v>3269.1063199999999</v>
          </cell>
          <cell r="AS431">
            <v>432.66829181679998</v>
          </cell>
          <cell r="AT431" t="e">
            <v>#N/A</v>
          </cell>
          <cell r="AU431">
            <v>0</v>
          </cell>
          <cell r="AV431">
            <v>29757.399999999998</v>
          </cell>
          <cell r="AW431" t="e">
            <v>#VALUE!</v>
          </cell>
          <cell r="AX431" t="e">
            <v>#VALUE!</v>
          </cell>
          <cell r="AY431" t="e">
            <v>#VALUE!</v>
          </cell>
          <cell r="AZ431" t="e">
            <v>#VALUE!</v>
          </cell>
          <cell r="BA431" t="e">
            <v>#VALUE!</v>
          </cell>
          <cell r="BB431" t="e">
            <v>#VALUE!</v>
          </cell>
          <cell r="BC431" t="e">
            <v>#VALUE!</v>
          </cell>
          <cell r="BD431" t="e">
            <v>#VALUE!</v>
          </cell>
          <cell r="BE431" t="e">
            <v>#VALUE!</v>
          </cell>
        </row>
        <row r="432">
          <cell r="H432">
            <v>2043.2680799999998</v>
          </cell>
          <cell r="I432">
            <v>825.88455999999996</v>
          </cell>
          <cell r="J432">
            <v>1236.16573225</v>
          </cell>
          <cell r="K432">
            <v>1154.26125</v>
          </cell>
          <cell r="L432">
            <v>1084.82305</v>
          </cell>
          <cell r="M432">
            <v>4052.377</v>
          </cell>
          <cell r="N432">
            <v>1362.7447969</v>
          </cell>
          <cell r="O432">
            <v>189.12977999999998</v>
          </cell>
          <cell r="P432">
            <v>549.72611999999992</v>
          </cell>
          <cell r="Q432">
            <v>3236.2041999999997</v>
          </cell>
          <cell r="R432">
            <v>1173.4405199999999</v>
          </cell>
          <cell r="S432">
            <v>3285.4075599999996</v>
          </cell>
          <cell r="T432" t="e">
            <v>#VALUE!</v>
          </cell>
          <cell r="U432">
            <v>324.06467438000004</v>
          </cell>
          <cell r="V432">
            <v>1649.5821892999998</v>
          </cell>
          <cell r="W432">
            <v>1275.9429782799998</v>
          </cell>
          <cell r="X432">
            <v>1961.02941528</v>
          </cell>
          <cell r="Y432">
            <v>996.24379999999996</v>
          </cell>
          <cell r="Z432" t="e">
            <v>#N/A</v>
          </cell>
          <cell r="AA432">
            <v>4099.8132074000005</v>
          </cell>
          <cell r="AB432">
            <v>8982.2497000000003</v>
          </cell>
          <cell r="AC432">
            <v>843.87924999999996</v>
          </cell>
          <cell r="AD432" t="e">
            <v>#N/A</v>
          </cell>
          <cell r="AE432">
            <v>643.13680880000004</v>
          </cell>
          <cell r="AF432">
            <v>2546.1067500000004</v>
          </cell>
          <cell r="AG432">
            <v>1024.3234073399999</v>
          </cell>
          <cell r="AH432">
            <v>1358.4362940000001</v>
          </cell>
          <cell r="AI432" t="e">
            <v>#DIV/0!</v>
          </cell>
          <cell r="AJ432" t="e">
            <v>#VALUE!</v>
          </cell>
          <cell r="AK432">
            <v>2585.61</v>
          </cell>
          <cell r="AL432">
            <v>10516.11</v>
          </cell>
          <cell r="AM432">
            <v>4128.9500200000002</v>
          </cell>
          <cell r="AN432">
            <v>68.246416860000011</v>
          </cell>
          <cell r="AO432" t="e">
            <v>#N/A</v>
          </cell>
          <cell r="AP432" t="e">
            <v>#DIV/0!</v>
          </cell>
          <cell r="AQ432" t="e">
            <v>#VALUE!</v>
          </cell>
          <cell r="AR432">
            <v>3136.66932</v>
          </cell>
          <cell r="AS432">
            <v>624.93729181679998</v>
          </cell>
          <cell r="AT432" t="e">
            <v>#N/A</v>
          </cell>
          <cell r="AU432" t="e">
            <v>#DIV/0!</v>
          </cell>
          <cell r="AV432">
            <v>31751.616999999995</v>
          </cell>
          <cell r="AW432" t="e">
            <v>#VALUE!</v>
          </cell>
          <cell r="AX432" t="e">
            <v>#VALUE!</v>
          </cell>
          <cell r="AY432" t="e">
            <v>#VALUE!</v>
          </cell>
          <cell r="AZ432" t="e">
            <v>#VALUE!</v>
          </cell>
          <cell r="BA432" t="e">
            <v>#VALUE!</v>
          </cell>
          <cell r="BB432" t="e">
            <v>#VALUE!</v>
          </cell>
          <cell r="BC432" t="e">
            <v>#VALUE!</v>
          </cell>
          <cell r="BD432" t="e">
            <v>#VALUE!</v>
          </cell>
          <cell r="BE432" t="e">
            <v>#VALUE!</v>
          </cell>
        </row>
        <row r="438">
          <cell r="H438" t="str">
            <v xml:space="preserve">NA </v>
          </cell>
          <cell r="I438" t="str">
            <v xml:space="preserve">NA </v>
          </cell>
          <cell r="J438" t="str">
            <v xml:space="preserve">NA </v>
          </cell>
          <cell r="K438" t="str">
            <v xml:space="preserve">NA </v>
          </cell>
          <cell r="L438" t="str">
            <v xml:space="preserve">NA </v>
          </cell>
          <cell r="M438" t="str">
            <v xml:space="preserve">NA </v>
          </cell>
          <cell r="N438" t="str">
            <v xml:space="preserve">NA </v>
          </cell>
          <cell r="O438" t="str">
            <v xml:space="preserve">NA </v>
          </cell>
          <cell r="P438" t="str">
            <v xml:space="preserve">NA </v>
          </cell>
          <cell r="Q438" t="str">
            <v xml:space="preserve">NA </v>
          </cell>
          <cell r="R438" t="str">
            <v xml:space="preserve">NA </v>
          </cell>
          <cell r="S438" t="str">
            <v xml:space="preserve">NA </v>
          </cell>
          <cell r="T438" t="str">
            <v xml:space="preserve">NA </v>
          </cell>
          <cell r="U438">
            <v>4.0672809174657356</v>
          </cell>
          <cell r="V438">
            <v>1.9198869066628801</v>
          </cell>
          <cell r="W438">
            <v>2.0653545224220755</v>
          </cell>
          <cell r="X438">
            <v>3.0781380373985812</v>
          </cell>
          <cell r="Y438">
            <v>1.1029778650201332</v>
          </cell>
          <cell r="Z438" t="str">
            <v xml:space="preserve">NA </v>
          </cell>
          <cell r="AA438">
            <v>0.30746914124605967</v>
          </cell>
          <cell r="AB438">
            <v>0.23855536301210298</v>
          </cell>
          <cell r="AC438">
            <v>0.21878202640330252</v>
          </cell>
          <cell r="AD438" t="str">
            <v xml:space="preserve">NA </v>
          </cell>
          <cell r="AE438">
            <v>0.36168628550154597</v>
          </cell>
          <cell r="AF438">
            <v>0.97498153318416947</v>
          </cell>
          <cell r="AG438">
            <v>1.2664949780782553</v>
          </cell>
          <cell r="AH438">
            <v>10.645718739224472</v>
          </cell>
          <cell r="AI438" t="str">
            <v xml:space="preserve">NA </v>
          </cell>
          <cell r="AJ438" t="str">
            <v xml:space="preserve">NA </v>
          </cell>
          <cell r="AK438">
            <v>0.84232799061767027</v>
          </cell>
          <cell r="AL438">
            <v>0.29631859833414115</v>
          </cell>
          <cell r="AM438">
            <v>3.500750792532433</v>
          </cell>
          <cell r="AN438">
            <v>0.20774595782763944</v>
          </cell>
          <cell r="AO438" t="str">
            <v xml:space="preserve">NA </v>
          </cell>
          <cell r="AP438" t="str">
            <v xml:space="preserve">NA </v>
          </cell>
          <cell r="AQ438" t="str">
            <v xml:space="preserve">NA </v>
          </cell>
          <cell r="AR438">
            <v>2.2573842815658698</v>
          </cell>
          <cell r="AS438">
            <v>0.77268559522148017</v>
          </cell>
          <cell r="AT438" t="str">
            <v xml:space="preserve">NA </v>
          </cell>
          <cell r="AU438" t="str">
            <v xml:space="preserve">NA </v>
          </cell>
          <cell r="AV438">
            <v>0.72316420222959643</v>
          </cell>
          <cell r="AW438" t="str">
            <v xml:space="preserve">NA </v>
          </cell>
          <cell r="AX438" t="str">
            <v xml:space="preserve">NA </v>
          </cell>
          <cell r="AY438" t="str">
            <v xml:space="preserve">NA </v>
          </cell>
          <cell r="AZ438" t="str">
            <v xml:space="preserve">NA </v>
          </cell>
          <cell r="BA438" t="str">
            <v xml:space="preserve">NA </v>
          </cell>
          <cell r="BB438" t="str">
            <v xml:space="preserve">NA </v>
          </cell>
          <cell r="BC438" t="str">
            <v xml:space="preserve">NA </v>
          </cell>
          <cell r="BD438" t="str">
            <v xml:space="preserve">NA </v>
          </cell>
          <cell r="BE438" t="str">
            <v xml:space="preserve">NA </v>
          </cell>
        </row>
        <row r="439">
          <cell r="H439" t="str">
            <v xml:space="preserve">NA </v>
          </cell>
          <cell r="I439" t="str">
            <v xml:space="preserve">NA </v>
          </cell>
          <cell r="J439" t="str">
            <v xml:space="preserve">NA </v>
          </cell>
          <cell r="K439" t="str">
            <v xml:space="preserve">NA </v>
          </cell>
          <cell r="L439" t="str">
            <v xml:space="preserve">NA </v>
          </cell>
          <cell r="M439" t="str">
            <v xml:space="preserve">NA </v>
          </cell>
          <cell r="N439" t="str">
            <v xml:space="preserve">NA </v>
          </cell>
          <cell r="O439" t="str">
            <v xml:space="preserve">NA </v>
          </cell>
          <cell r="P439" t="str">
            <v xml:space="preserve">NA </v>
          </cell>
          <cell r="Q439" t="str">
            <v xml:space="preserve">NA </v>
          </cell>
          <cell r="R439" t="str">
            <v xml:space="preserve">NA </v>
          </cell>
          <cell r="S439" t="str">
            <v xml:space="preserve">NA </v>
          </cell>
          <cell r="T439" t="str">
            <v xml:space="preserve">NA </v>
          </cell>
          <cell r="U439">
            <v>380.35759903755888</v>
          </cell>
          <cell r="V439">
            <v>7.1204576777975364</v>
          </cell>
          <cell r="W439">
            <v>11.046555219387152</v>
          </cell>
          <cell r="X439">
            <v>15.882638821414108</v>
          </cell>
          <cell r="Y439">
            <v>20.971346174086936</v>
          </cell>
          <cell r="Z439" t="str">
            <v xml:space="preserve">NA </v>
          </cell>
          <cell r="AA439">
            <v>17.429325995961314</v>
          </cell>
          <cell r="AB439">
            <v>13.19043316342789</v>
          </cell>
          <cell r="AC439">
            <v>9.2015052719957247</v>
          </cell>
          <cell r="AD439" t="str">
            <v xml:space="preserve">NA </v>
          </cell>
          <cell r="AE439">
            <v>38.091495427623791</v>
          </cell>
          <cell r="AF439">
            <v>15.830354644764579</v>
          </cell>
          <cell r="AG439">
            <v>13.795973054358365</v>
          </cell>
          <cell r="AH439">
            <v>82.907311199267625</v>
          </cell>
          <cell r="AI439" t="str">
            <v xml:space="preserve">NA </v>
          </cell>
          <cell r="AJ439" t="str">
            <v xml:space="preserve">NA </v>
          </cell>
          <cell r="AK439">
            <v>11.380325704225353</v>
          </cell>
          <cell r="AL439">
            <v>14.626022253129348</v>
          </cell>
          <cell r="AM439">
            <v>18.821424592592592</v>
          </cell>
          <cell r="AN439">
            <v>-19.690252989036356</v>
          </cell>
          <cell r="AO439" t="str">
            <v xml:space="preserve">NA </v>
          </cell>
          <cell r="AP439" t="str">
            <v xml:space="preserve">NA </v>
          </cell>
          <cell r="AQ439" t="str">
            <v xml:space="preserve">NA </v>
          </cell>
          <cell r="AR439">
            <v>23.015467756526228</v>
          </cell>
          <cell r="AS439">
            <v>8.4168905804439174</v>
          </cell>
          <cell r="AT439" t="str">
            <v xml:space="preserve">NA </v>
          </cell>
          <cell r="AU439" t="str">
            <v xml:space="preserve">NA </v>
          </cell>
          <cell r="AV439">
            <v>16.486236121762435</v>
          </cell>
          <cell r="AW439" t="str">
            <v xml:space="preserve">NA </v>
          </cell>
          <cell r="AX439" t="str">
            <v xml:space="preserve">NA </v>
          </cell>
          <cell r="AY439" t="str">
            <v xml:space="preserve">NA </v>
          </cell>
          <cell r="AZ439" t="str">
            <v xml:space="preserve">NA </v>
          </cell>
          <cell r="BA439" t="str">
            <v xml:space="preserve">NA </v>
          </cell>
          <cell r="BB439" t="str">
            <v xml:space="preserve">NA </v>
          </cell>
          <cell r="BC439" t="str">
            <v xml:space="preserve">NA </v>
          </cell>
          <cell r="BD439" t="str">
            <v xml:space="preserve">NA </v>
          </cell>
          <cell r="BE439" t="str">
            <v xml:space="preserve">NA </v>
          </cell>
        </row>
        <row r="440">
          <cell r="H440" t="str">
            <v xml:space="preserve">NA </v>
          </cell>
          <cell r="I440" t="str">
            <v xml:space="preserve">NA </v>
          </cell>
          <cell r="J440" t="str">
            <v xml:space="preserve">NA </v>
          </cell>
          <cell r="K440" t="str">
            <v xml:space="preserve">NA </v>
          </cell>
          <cell r="L440" t="str">
            <v xml:space="preserve">NA </v>
          </cell>
          <cell r="M440" t="str">
            <v xml:space="preserve">NA </v>
          </cell>
          <cell r="N440" t="str">
            <v xml:space="preserve">NA </v>
          </cell>
          <cell r="O440" t="str">
            <v xml:space="preserve">NA </v>
          </cell>
          <cell r="P440" t="str">
            <v xml:space="preserve">NA </v>
          </cell>
          <cell r="Q440" t="str">
            <v xml:space="preserve">NA </v>
          </cell>
          <cell r="R440" t="str">
            <v xml:space="preserve">NA </v>
          </cell>
          <cell r="S440" t="str">
            <v xml:space="preserve">NA </v>
          </cell>
          <cell r="T440" t="str">
            <v xml:space="preserve">NA </v>
          </cell>
          <cell r="U440">
            <v>44.624714180666494</v>
          </cell>
          <cell r="V440">
            <v>6.3022490947296026</v>
          </cell>
          <cell r="W440">
            <v>9.2891303898531135</v>
          </cell>
          <cell r="X440">
            <v>12.56868716731293</v>
          </cell>
          <cell r="Y440">
            <v>19.478049543472732</v>
          </cell>
          <cell r="Z440" t="str">
            <v xml:space="preserve">NA </v>
          </cell>
          <cell r="AA440">
            <v>16.227565189890953</v>
          </cell>
          <cell r="AB440">
            <v>12.060742046670633</v>
          </cell>
          <cell r="AC440">
            <v>7.409664234473917</v>
          </cell>
          <cell r="AD440" t="str">
            <v xml:space="preserve">NA </v>
          </cell>
          <cell r="AE440">
            <v>16.719617553163832</v>
          </cell>
          <cell r="AF440">
            <v>13.590906058001806</v>
          </cell>
          <cell r="AG440">
            <v>8.8145687675547286</v>
          </cell>
          <cell r="AH440">
            <v>81.01361486164123</v>
          </cell>
          <cell r="AI440" t="str">
            <v xml:space="preserve">NA </v>
          </cell>
          <cell r="AJ440" t="str">
            <v xml:space="preserve">NA </v>
          </cell>
          <cell r="AK440">
            <v>8.4002923976608201</v>
          </cell>
          <cell r="AL440">
            <v>11.177838010204082</v>
          </cell>
          <cell r="AM440">
            <v>14.201129569248973</v>
          </cell>
          <cell r="AN440">
            <v>109.89761169082135</v>
          </cell>
          <cell r="AO440" t="str">
            <v xml:space="preserve">NA </v>
          </cell>
          <cell r="AP440" t="str">
            <v xml:space="preserve">NA </v>
          </cell>
          <cell r="AQ440" t="str">
            <v xml:space="preserve">NA </v>
          </cell>
          <cell r="AR440">
            <v>21.298080332987801</v>
          </cell>
          <cell r="AS440">
            <v>5.3777475889508457</v>
          </cell>
          <cell r="AT440" t="str">
            <v xml:space="preserve">NA </v>
          </cell>
          <cell r="AU440" t="str">
            <v xml:space="preserve">NA </v>
          </cell>
          <cell r="AV440">
            <v>14.043814026025952</v>
          </cell>
          <cell r="AW440" t="str">
            <v xml:space="preserve">NA </v>
          </cell>
          <cell r="AX440" t="str">
            <v xml:space="preserve">NA </v>
          </cell>
          <cell r="AY440" t="str">
            <v xml:space="preserve">NA </v>
          </cell>
          <cell r="AZ440" t="str">
            <v xml:space="preserve">NA </v>
          </cell>
          <cell r="BA440" t="str">
            <v xml:space="preserve">NA </v>
          </cell>
          <cell r="BB440" t="str">
            <v xml:space="preserve">NA </v>
          </cell>
          <cell r="BC440" t="str">
            <v xml:space="preserve">NA </v>
          </cell>
          <cell r="BD440" t="str">
            <v xml:space="preserve">NA </v>
          </cell>
          <cell r="BE440" t="str">
            <v xml:space="preserve">NA </v>
          </cell>
        </row>
        <row r="441">
          <cell r="H441" t="str">
            <v xml:space="preserve">NA </v>
          </cell>
          <cell r="I441" t="str">
            <v xml:space="preserve">NA </v>
          </cell>
          <cell r="J441">
            <v>2472.3314645</v>
          </cell>
          <cell r="K441" t="str">
            <v xml:space="preserve">NA </v>
          </cell>
          <cell r="L441" t="str">
            <v xml:space="preserve">NA </v>
          </cell>
          <cell r="M441">
            <v>8104.7539999999999</v>
          </cell>
          <cell r="N441" t="str">
            <v xml:space="preserve">NA </v>
          </cell>
          <cell r="O441" t="str">
            <v xml:space="preserve">NA </v>
          </cell>
          <cell r="P441" t="str">
            <v xml:space="preserve">NA </v>
          </cell>
          <cell r="Q441" t="str">
            <v xml:space="preserve">NA </v>
          </cell>
          <cell r="R441">
            <v>6.0576396463831701</v>
          </cell>
          <cell r="S441" t="str">
            <v xml:space="preserve">NA </v>
          </cell>
          <cell r="T441" t="str">
            <v xml:space="preserve">NA </v>
          </cell>
          <cell r="U441">
            <v>4.5547326649706958</v>
          </cell>
          <cell r="V441">
            <v>3.835310039664825</v>
          </cell>
          <cell r="W441" t="str">
            <v xml:space="preserve">NA </v>
          </cell>
          <cell r="X441">
            <v>3.2780471344346918</v>
          </cell>
          <cell r="Y441">
            <v>1.23738548290938</v>
          </cell>
          <cell r="Z441" t="str">
            <v xml:space="preserve">NA </v>
          </cell>
          <cell r="AA441" t="str">
            <v xml:space="preserve">NA </v>
          </cell>
          <cell r="AB441">
            <v>0.24924085419086975</v>
          </cell>
          <cell r="AC441">
            <v>0.22120067554496808</v>
          </cell>
          <cell r="AD441" t="str">
            <v xml:space="preserve">NA </v>
          </cell>
          <cell r="AE441">
            <v>0.47765404319064442</v>
          </cell>
          <cell r="AF441">
            <v>0.99525602141782488</v>
          </cell>
          <cell r="AG441">
            <v>1.322188728466358</v>
          </cell>
          <cell r="AH441">
            <v>3.1583902823503154</v>
          </cell>
          <cell r="AI441" t="str">
            <v xml:space="preserve">NA </v>
          </cell>
          <cell r="AJ441" t="str">
            <v xml:space="preserve">NA </v>
          </cell>
          <cell r="AK441">
            <v>0.89778125000000009</v>
          </cell>
          <cell r="AL441">
            <v>0.44824939046222573</v>
          </cell>
          <cell r="AM441">
            <v>3.500750792532433</v>
          </cell>
          <cell r="AN441">
            <v>0.4566123064982856</v>
          </cell>
          <cell r="AO441" t="str">
            <v xml:space="preserve">NA </v>
          </cell>
          <cell r="AP441" t="str">
            <v xml:space="preserve">NA </v>
          </cell>
          <cell r="AQ441" t="str">
            <v xml:space="preserve">NA </v>
          </cell>
          <cell r="AR441">
            <v>3.600941050234042</v>
          </cell>
          <cell r="AS441">
            <v>0.80666422080912026</v>
          </cell>
          <cell r="AT441" t="str">
            <v xml:space="preserve">NA </v>
          </cell>
          <cell r="AU441" t="str">
            <v xml:space="preserve">NA </v>
          </cell>
          <cell r="AV441">
            <v>1.605833557127085</v>
          </cell>
          <cell r="AW441" t="str">
            <v xml:space="preserve">NA </v>
          </cell>
          <cell r="AX441" t="str">
            <v xml:space="preserve">NA </v>
          </cell>
          <cell r="AY441" t="str">
            <v xml:space="preserve">NA </v>
          </cell>
          <cell r="AZ441" t="str">
            <v xml:space="preserve">NA </v>
          </cell>
          <cell r="BA441" t="str">
            <v xml:space="preserve">NA </v>
          </cell>
          <cell r="BB441" t="str">
            <v xml:space="preserve">NA </v>
          </cell>
          <cell r="BC441" t="str">
            <v xml:space="preserve">NA </v>
          </cell>
          <cell r="BD441" t="str">
            <v xml:space="preserve">NA </v>
          </cell>
          <cell r="BE441" t="str">
            <v xml:space="preserve">NA </v>
          </cell>
        </row>
        <row r="442">
          <cell r="H442">
            <v>3.1343947868185542</v>
          </cell>
          <cell r="I442">
            <v>2.7735281119238078</v>
          </cell>
          <cell r="J442">
            <v>16.659017468734838</v>
          </cell>
          <cell r="K442">
            <v>1.333173076923077</v>
          </cell>
          <cell r="L442">
            <v>3.7851070993674174</v>
          </cell>
          <cell r="M442">
            <v>4.6941085846007713</v>
          </cell>
          <cell r="N442">
            <v>1.1558283972282064</v>
          </cell>
          <cell r="O442">
            <v>1.813324832214765</v>
          </cell>
          <cell r="P442">
            <v>0.42344604150298093</v>
          </cell>
          <cell r="Q442">
            <v>1.5742589872063044</v>
          </cell>
          <cell r="R442">
            <v>1.4800517382187395</v>
          </cell>
          <cell r="S442">
            <v>3.6413050769123343</v>
          </cell>
          <cell r="T442" t="str">
            <v xml:space="preserve">NA </v>
          </cell>
          <cell r="U442">
            <v>3.0833936667935307</v>
          </cell>
          <cell r="V442">
            <v>1.4088516994200893</v>
          </cell>
          <cell r="W442">
            <v>1.9573099871449915</v>
          </cell>
          <cell r="X442">
            <v>2.7744199982739715</v>
          </cell>
          <cell r="Y442">
            <v>0.84301631209694683</v>
          </cell>
          <cell r="Z442" t="str">
            <v xml:space="preserve">NA </v>
          </cell>
          <cell r="AA442">
            <v>9.8123827798239124E-2</v>
          </cell>
          <cell r="AB442">
            <v>0.21497875103498429</v>
          </cell>
          <cell r="AC442">
            <v>0.21055486150668568</v>
          </cell>
          <cell r="AD442" t="str">
            <v xml:space="preserve">NA </v>
          </cell>
          <cell r="AE442">
            <v>0.34332756106981177</v>
          </cell>
          <cell r="AF442">
            <v>0.90750882164242963</v>
          </cell>
          <cell r="AG442">
            <v>1.0995313518033489</v>
          </cell>
          <cell r="AH442">
            <v>1.1601939532142767</v>
          </cell>
          <cell r="AI442" t="str">
            <v xml:space="preserve">NA </v>
          </cell>
          <cell r="AJ442" t="str">
            <v xml:space="preserve">NA </v>
          </cell>
          <cell r="AK442">
            <v>0.80721104915801378</v>
          </cell>
          <cell r="AL442">
            <v>0.26756786257597787</v>
          </cell>
          <cell r="AM442">
            <v>3.3825830663990497</v>
          </cell>
          <cell r="AN442">
            <v>0.18620920060899745</v>
          </cell>
          <cell r="AO442" t="str">
            <v xml:space="preserve">NA </v>
          </cell>
          <cell r="AP442" t="str">
            <v xml:space="preserve">NA </v>
          </cell>
          <cell r="AQ442" t="str">
            <v xml:space="preserve">NA </v>
          </cell>
          <cell r="AR442">
            <v>2.05007761530642</v>
          </cell>
          <cell r="AS442">
            <v>0.67082148112580509</v>
          </cell>
          <cell r="AT442" t="str">
            <v xml:space="preserve">NA </v>
          </cell>
          <cell r="AU442" t="str">
            <v xml:space="preserve">NA </v>
          </cell>
          <cell r="AV442">
            <v>0.70029338041417755</v>
          </cell>
          <cell r="AW442" t="str">
            <v xml:space="preserve">NA </v>
          </cell>
          <cell r="AX442" t="str">
            <v xml:space="preserve">NA </v>
          </cell>
          <cell r="AY442" t="str">
            <v xml:space="preserve">NA </v>
          </cell>
          <cell r="AZ442" t="str">
            <v xml:space="preserve">NA </v>
          </cell>
          <cell r="BA442" t="str">
            <v xml:space="preserve">NA </v>
          </cell>
          <cell r="BB442" t="str">
            <v xml:space="preserve">NA </v>
          </cell>
          <cell r="BC442" t="str">
            <v xml:space="preserve">NA </v>
          </cell>
          <cell r="BD442" t="str">
            <v xml:space="preserve">NA </v>
          </cell>
          <cell r="BE442" t="str">
            <v xml:space="preserve">NA </v>
          </cell>
        </row>
        <row r="443">
          <cell r="H443">
            <v>2.7616097139682894</v>
          </cell>
          <cell r="I443">
            <v>2.3841933025404156</v>
          </cell>
          <cell r="J443">
            <v>7.7646650351121824</v>
          </cell>
          <cell r="K443">
            <v>1.2318689967982925</v>
          </cell>
          <cell r="L443">
            <v>3.1328458099655183</v>
          </cell>
          <cell r="M443">
            <v>2.2405348696414205</v>
          </cell>
          <cell r="N443">
            <v>1.0977041337951587</v>
          </cell>
          <cell r="O443">
            <v>1.5420283734203015</v>
          </cell>
          <cell r="P443">
            <v>0.39355826490360174</v>
          </cell>
          <cell r="Q443">
            <v>1.4761146334120907</v>
          </cell>
          <cell r="R443">
            <v>1.3306144408592069</v>
          </cell>
          <cell r="S443">
            <v>3.2977179410740289</v>
          </cell>
          <cell r="T443" t="str">
            <v xml:space="preserve">NA </v>
          </cell>
          <cell r="U443">
            <v>2.4568966973464748</v>
          </cell>
          <cell r="V443">
            <v>0.99069572520628946</v>
          </cell>
          <cell r="W443">
            <v>1.7245199285292401</v>
          </cell>
          <cell r="X443">
            <v>2.4873723230770399</v>
          </cell>
          <cell r="Y443">
            <v>0.68130600934446495</v>
          </cell>
          <cell r="Z443" t="str">
            <v xml:space="preserve">NA </v>
          </cell>
          <cell r="AA443">
            <v>8.6263735454101167E-2</v>
          </cell>
          <cell r="AB443">
            <v>0.18899456455843397</v>
          </cell>
          <cell r="AC443">
            <v>0.20248323395678622</v>
          </cell>
          <cell r="AD443" t="str">
            <v xml:space="preserve">NA </v>
          </cell>
          <cell r="AE443">
            <v>0.26062876935731583</v>
          </cell>
          <cell r="AF443">
            <v>0.8487022500000001</v>
          </cell>
          <cell r="AG443">
            <v>0.95494654112711497</v>
          </cell>
          <cell r="AH443">
            <v>0.81584114945006969</v>
          </cell>
          <cell r="AI443" t="str">
            <v xml:space="preserve">NA </v>
          </cell>
          <cell r="AJ443" t="str">
            <v xml:space="preserve">NA </v>
          </cell>
          <cell r="AK443">
            <v>0.76108575574763826</v>
          </cell>
          <cell r="AL443">
            <v>0.22773570309387392</v>
          </cell>
          <cell r="AM443">
            <v>3.1526884993051629</v>
          </cell>
          <cell r="AN443">
            <v>0.11883211009059297</v>
          </cell>
          <cell r="AO443" t="str">
            <v xml:space="preserve">NA </v>
          </cell>
          <cell r="AP443" t="str">
            <v xml:space="preserve">NA </v>
          </cell>
          <cell r="AQ443" t="str">
            <v xml:space="preserve">NA </v>
          </cell>
          <cell r="AR443">
            <v>1.7781891322690033</v>
          </cell>
          <cell r="AS443">
            <v>0.58261062957796106</v>
          </cell>
          <cell r="AT443" t="str">
            <v xml:space="preserve">NA </v>
          </cell>
          <cell r="AU443" t="str">
            <v xml:space="preserve">NA </v>
          </cell>
          <cell r="AV443">
            <v>0.58066204903829877</v>
          </cell>
          <cell r="AW443" t="str">
            <v xml:space="preserve">NA </v>
          </cell>
          <cell r="AX443" t="str">
            <v xml:space="preserve">NA </v>
          </cell>
          <cell r="AY443" t="str">
            <v xml:space="preserve">NA </v>
          </cell>
          <cell r="AZ443" t="str">
            <v xml:space="preserve">NA </v>
          </cell>
          <cell r="BA443" t="str">
            <v xml:space="preserve">NA </v>
          </cell>
          <cell r="BB443" t="str">
            <v xml:space="preserve">NA </v>
          </cell>
          <cell r="BC443" t="str">
            <v xml:space="preserve">NA </v>
          </cell>
          <cell r="BD443" t="str">
            <v xml:space="preserve">NA </v>
          </cell>
          <cell r="BE443" t="str">
            <v xml:space="preserve">NA </v>
          </cell>
        </row>
        <row r="444">
          <cell r="H444">
            <v>2.325370254267674</v>
          </cell>
          <cell r="I444">
            <v>1.9758003827751196</v>
          </cell>
          <cell r="J444">
            <v>6.6204426010673769</v>
          </cell>
          <cell r="K444">
            <v>1.0439567769477054</v>
          </cell>
          <cell r="L444">
            <v>2.6590950983780552</v>
          </cell>
          <cell r="M444">
            <v>1.9804697034774217</v>
          </cell>
          <cell r="N444">
            <v>1.0301971552010887</v>
          </cell>
          <cell r="O444">
            <v>1.2598271024675665</v>
          </cell>
          <cell r="P444">
            <v>0.34000714030548751</v>
          </cell>
          <cell r="Q444">
            <v>1.2670511874781893</v>
          </cell>
          <cell r="R444">
            <v>1.3306144408592069</v>
          </cell>
          <cell r="S444">
            <v>2.7894755042074344</v>
          </cell>
          <cell r="T444" t="str">
            <v xml:space="preserve">NA </v>
          </cell>
          <cell r="U444">
            <v>1.9853710685628081</v>
          </cell>
          <cell r="V444">
            <v>0.78676074367053062</v>
          </cell>
          <cell r="W444">
            <v>1.452105025706669</v>
          </cell>
          <cell r="X444">
            <v>2.1504040140719631</v>
          </cell>
          <cell r="Y444">
            <v>0.5417078868923153</v>
          </cell>
          <cell r="Z444" t="str">
            <v xml:space="preserve">NA </v>
          </cell>
          <cell r="AA444" t="str">
            <v xml:space="preserve">NA </v>
          </cell>
          <cell r="AB444" t="str">
            <v xml:space="preserve">NA </v>
          </cell>
          <cell r="AC444">
            <v>0.17918870261662501</v>
          </cell>
          <cell r="AD444" t="str">
            <v xml:space="preserve">NA </v>
          </cell>
          <cell r="AE444">
            <v>0.26062876935731583</v>
          </cell>
          <cell r="AF444">
            <v>0.73800195652173928</v>
          </cell>
          <cell r="AG444">
            <v>0.78512418081650492</v>
          </cell>
          <cell r="AH444">
            <v>0.64790002937047342</v>
          </cell>
          <cell r="AI444" t="str">
            <v xml:space="preserve">NA </v>
          </cell>
          <cell r="AJ444" t="str">
            <v xml:space="preserve">NA </v>
          </cell>
          <cell r="AK444">
            <v>0.65707135953348716</v>
          </cell>
          <cell r="AL444">
            <v>0.2020964209503727</v>
          </cell>
          <cell r="AM444">
            <v>2.8290456741790768</v>
          </cell>
          <cell r="AN444">
            <v>0.11883211009059297</v>
          </cell>
          <cell r="AO444" t="str">
            <v xml:space="preserve">NA </v>
          </cell>
          <cell r="AP444" t="str">
            <v xml:space="preserve">NA </v>
          </cell>
          <cell r="AQ444" t="str">
            <v xml:space="preserve">NA </v>
          </cell>
          <cell r="AR444">
            <v>1.5285118158535038</v>
          </cell>
          <cell r="AS444">
            <v>0.47900240859817567</v>
          </cell>
          <cell r="AT444" t="str">
            <v xml:space="preserve">NA </v>
          </cell>
          <cell r="AU444" t="str">
            <v xml:space="preserve">NA </v>
          </cell>
          <cell r="AV444">
            <v>0.50993572406863974</v>
          </cell>
          <cell r="AW444" t="str">
            <v xml:space="preserve">NA </v>
          </cell>
          <cell r="AX444" t="str">
            <v xml:space="preserve">NA </v>
          </cell>
          <cell r="AY444" t="str">
            <v xml:space="preserve">NA </v>
          </cell>
          <cell r="AZ444" t="str">
            <v xml:space="preserve">NA </v>
          </cell>
          <cell r="BA444" t="str">
            <v xml:space="preserve">NA </v>
          </cell>
          <cell r="BB444" t="str">
            <v xml:space="preserve">NA </v>
          </cell>
          <cell r="BC444" t="str">
            <v xml:space="preserve">NA </v>
          </cell>
          <cell r="BD444" t="str">
            <v xml:space="preserve">NA </v>
          </cell>
          <cell r="BE444" t="str">
            <v xml:space="preserve">NA </v>
          </cell>
        </row>
        <row r="453">
          <cell r="H453" t="str">
            <v>NA</v>
          </cell>
          <cell r="I453" t="str">
            <v>NA</v>
          </cell>
          <cell r="J453" t="str">
            <v>NA</v>
          </cell>
          <cell r="K453" t="str">
            <v>NA</v>
          </cell>
          <cell r="L453" t="str">
            <v>NA</v>
          </cell>
          <cell r="M453" t="str">
            <v>NA</v>
          </cell>
          <cell r="N453" t="str">
            <v>NA</v>
          </cell>
          <cell r="O453" t="str">
            <v>NA</v>
          </cell>
          <cell r="P453" t="str">
            <v>NA</v>
          </cell>
          <cell r="Q453" t="str">
            <v>NA</v>
          </cell>
          <cell r="R453" t="str">
            <v>NA</v>
          </cell>
          <cell r="S453" t="str">
            <v>NA</v>
          </cell>
          <cell r="T453" t="str">
            <v>NA</v>
          </cell>
          <cell r="U453">
            <v>-1979.8164170195391</v>
          </cell>
          <cell r="V453">
            <v>40.291767243951924</v>
          </cell>
          <cell r="W453">
            <v>23.993849493768213</v>
          </cell>
          <cell r="X453">
            <v>17.585320079918652</v>
          </cell>
          <cell r="Y453">
            <v>33.174915801349037</v>
          </cell>
          <cell r="Z453" t="str">
            <v>NA</v>
          </cell>
          <cell r="AA453">
            <v>75.247732829504116</v>
          </cell>
          <cell r="AB453">
            <v>26.349617831207272</v>
          </cell>
          <cell r="AC453">
            <v>16.703121415305308</v>
          </cell>
          <cell r="AD453" t="str">
            <v>NA</v>
          </cell>
          <cell r="AE453">
            <v>52.216996413843695</v>
          </cell>
          <cell r="AF453">
            <v>23.646249770215494</v>
          </cell>
          <cell r="AG453">
            <v>24.009089690505899</v>
          </cell>
          <cell r="AH453" t="str">
            <v>NA</v>
          </cell>
          <cell r="AI453" t="str">
            <v>NA</v>
          </cell>
          <cell r="AJ453" t="str">
            <v>NA</v>
          </cell>
          <cell r="AK453">
            <v>18.933171398463799</v>
          </cell>
          <cell r="AL453">
            <v>24.160690875182929</v>
          </cell>
          <cell r="AM453">
            <v>24.801378091872788</v>
          </cell>
          <cell r="AN453">
            <v>-19.550976779420537</v>
          </cell>
          <cell r="AO453" t="str">
            <v>NA</v>
          </cell>
          <cell r="AP453" t="str">
            <v>NA</v>
          </cell>
          <cell r="AQ453" t="str">
            <v>NA</v>
          </cell>
          <cell r="AR453">
            <v>40.819726474688231</v>
          </cell>
          <cell r="AS453" t="str">
            <v>NA</v>
          </cell>
          <cell r="AT453" t="str">
            <v>NA</v>
          </cell>
          <cell r="AU453" t="str">
            <v>NA</v>
          </cell>
          <cell r="AV453">
            <v>22.897173451607394</v>
          </cell>
          <cell r="AW453" t="str">
            <v>NA</v>
          </cell>
          <cell r="AX453" t="str">
            <v>NA</v>
          </cell>
          <cell r="AY453" t="str">
            <v>NA</v>
          </cell>
          <cell r="AZ453" t="str">
            <v>NA</v>
          </cell>
          <cell r="BA453" t="str">
            <v>NA</v>
          </cell>
          <cell r="BB453" t="str">
            <v>NA</v>
          </cell>
          <cell r="BC453" t="str">
            <v>NA</v>
          </cell>
          <cell r="BD453" t="str">
            <v>NA</v>
          </cell>
          <cell r="BE453" t="str">
            <v>NA</v>
          </cell>
        </row>
        <row r="454">
          <cell r="H454" t="e">
            <v>#DIV/0!</v>
          </cell>
          <cell r="I454" t="e">
            <v>#DIV/0!</v>
          </cell>
          <cell r="J454" t="e">
            <v>#DIV/0!</v>
          </cell>
          <cell r="K454" t="e">
            <v>#DIV/0!</v>
          </cell>
          <cell r="L454" t="e">
            <v>#DIV/0!</v>
          </cell>
          <cell r="M454" t="e">
            <v>#DIV/0!</v>
          </cell>
          <cell r="N454" t="e">
            <v>#DIV/0!</v>
          </cell>
          <cell r="O454" t="e">
            <v>#DIV/0!</v>
          </cell>
          <cell r="P454" t="e">
            <v>#DIV/0!</v>
          </cell>
          <cell r="Q454" t="e">
            <v>#DIV/0!</v>
          </cell>
          <cell r="R454" t="e">
            <v>#DIV/0!</v>
          </cell>
          <cell r="S454" t="e">
            <v>#DIV/0!</v>
          </cell>
          <cell r="T454" t="e">
            <v>#VALUE!</v>
          </cell>
          <cell r="U454">
            <v>3.7327851911148002</v>
          </cell>
          <cell r="V454">
            <v>3.1160062101160375</v>
          </cell>
          <cell r="W454">
            <v>1.0730879483187019</v>
          </cell>
          <cell r="X454">
            <v>4.4056452492554561</v>
          </cell>
          <cell r="Y454">
            <v>4.0101020231331086</v>
          </cell>
          <cell r="Z454" t="e">
            <v>#N/A</v>
          </cell>
          <cell r="AA454">
            <v>9.5630134824098771</v>
          </cell>
          <cell r="AB454">
            <v>2.6911190382349108</v>
          </cell>
          <cell r="AC454">
            <v>2.4448376809124435</v>
          </cell>
          <cell r="AD454" t="e">
            <v>#N/A</v>
          </cell>
          <cell r="AE454">
            <v>1.7191521864165678</v>
          </cell>
          <cell r="AF454">
            <v>3.3682408029119699</v>
          </cell>
          <cell r="AG454">
            <v>3.3893341018851935</v>
          </cell>
          <cell r="AH454" t="e">
            <v>#DIV/0!</v>
          </cell>
          <cell r="AI454" t="e">
            <v>#DIV/0!</v>
          </cell>
          <cell r="AJ454" t="e">
            <v>#VALUE!</v>
          </cell>
          <cell r="AK454">
            <v>36.857048458149777</v>
          </cell>
          <cell r="AL454">
            <v>2.5309428775342973</v>
          </cell>
          <cell r="AM454">
            <v>4.6108029417767327</v>
          </cell>
          <cell r="AN454">
            <v>0.81389864061982664</v>
          </cell>
          <cell r="AO454" t="e">
            <v>#N/A</v>
          </cell>
          <cell r="AP454" t="e">
            <v>#DIV/0!</v>
          </cell>
          <cell r="AQ454" t="e">
            <v>#VALUE!</v>
          </cell>
          <cell r="AR454">
            <v>6.0173175306424085</v>
          </cell>
          <cell r="AS454">
            <v>1.7624537329803007</v>
          </cell>
          <cell r="AT454" t="e">
            <v>#N/A</v>
          </cell>
          <cell r="AU454">
            <v>0</v>
          </cell>
          <cell r="AV454">
            <v>4.7926236108874214</v>
          </cell>
          <cell r="AW454" t="e">
            <v>#VALUE!</v>
          </cell>
          <cell r="AX454" t="e">
            <v>#VALUE!</v>
          </cell>
          <cell r="AY454" t="e">
            <v>#VALUE!</v>
          </cell>
          <cell r="AZ454" t="e">
            <v>#VALUE!</v>
          </cell>
          <cell r="BA454" t="e">
            <v>#VALUE!</v>
          </cell>
          <cell r="BB454" t="e">
            <v>#VALUE!</v>
          </cell>
          <cell r="BC454" t="e">
            <v>#VALUE!</v>
          </cell>
          <cell r="BD454" t="e">
            <v>#VALUE!</v>
          </cell>
          <cell r="BE454" t="e">
            <v>#VALUE!</v>
          </cell>
        </row>
        <row r="455">
          <cell r="H455" t="e">
            <v>#DIV/0!</v>
          </cell>
          <cell r="I455" t="e">
            <v>#DIV/0!</v>
          </cell>
          <cell r="J455" t="e">
            <v>#DIV/0!</v>
          </cell>
          <cell r="K455" t="e">
            <v>#DIV/0!</v>
          </cell>
          <cell r="L455" t="e">
            <v>#DIV/0!</v>
          </cell>
          <cell r="M455" t="e">
            <v>#DIV/0!</v>
          </cell>
          <cell r="N455" t="e">
            <v>#DIV/0!</v>
          </cell>
          <cell r="O455" t="e">
            <v>#DIV/0!</v>
          </cell>
          <cell r="P455" t="e">
            <v>#DIV/0!</v>
          </cell>
          <cell r="Q455" t="e">
            <v>#DIV/0!</v>
          </cell>
          <cell r="R455" t="e">
            <v>#DIV/0!</v>
          </cell>
          <cell r="S455" t="e">
            <v>#DIV/0!</v>
          </cell>
          <cell r="T455" t="e">
            <v>#VALUE!</v>
          </cell>
          <cell r="U455">
            <v>4.2254845950723823</v>
          </cell>
          <cell r="V455">
            <v>3.1160062101160375</v>
          </cell>
          <cell r="W455">
            <v>2.880545911756593</v>
          </cell>
          <cell r="X455">
            <v>4.7641926315728824</v>
          </cell>
          <cell r="Y455">
            <v>5.795852917665866</v>
          </cell>
          <cell r="Z455" t="e">
            <v>#N/A</v>
          </cell>
          <cell r="AA455">
            <v>6.2438155483788389</v>
          </cell>
          <cell r="AB455">
            <v>6.7073734579378161</v>
          </cell>
          <cell r="AC455">
            <v>3.3450037471896077</v>
          </cell>
          <cell r="AD455" t="e">
            <v>#N/A</v>
          </cell>
          <cell r="AE455">
            <v>2.2545095164260105</v>
          </cell>
          <cell r="AF455">
            <v>5.7510704312377667</v>
          </cell>
          <cell r="AG455">
            <v>8.1309307678927407</v>
          </cell>
          <cell r="AH455" t="e">
            <v>#DIV/0!</v>
          </cell>
          <cell r="AI455" t="e">
            <v>#DIV/0!</v>
          </cell>
          <cell r="AJ455" t="e">
            <v>#VALUE!</v>
          </cell>
          <cell r="AK455">
            <v>36.857048458149777</v>
          </cell>
          <cell r="AL455">
            <v>3.1863988818263507</v>
          </cell>
          <cell r="AM455">
            <v>5.4786007530659226</v>
          </cell>
          <cell r="AN455">
            <v>1.3574265961300587</v>
          </cell>
          <cell r="AO455" t="e">
            <v>#N/A</v>
          </cell>
          <cell r="AP455" t="e">
            <v>#DIV/0!</v>
          </cell>
          <cell r="AQ455" t="e">
            <v>#VALUE!</v>
          </cell>
          <cell r="AR455">
            <v>7.9295083088550973</v>
          </cell>
          <cell r="AS455">
            <v>4.2280839993042258</v>
          </cell>
          <cell r="AT455" t="e">
            <v>#N/A</v>
          </cell>
          <cell r="AU455" t="e">
            <v>#DIV/0!</v>
          </cell>
          <cell r="AV455">
            <v>6.1540096896896221</v>
          </cell>
          <cell r="AW455" t="e">
            <v>#VALUE!</v>
          </cell>
          <cell r="AX455" t="e">
            <v>#VALUE!</v>
          </cell>
          <cell r="AY455" t="e">
            <v>#VALUE!</v>
          </cell>
          <cell r="AZ455" t="e">
            <v>#VALUE!</v>
          </cell>
          <cell r="BA455" t="e">
            <v>#VALUE!</v>
          </cell>
          <cell r="BB455" t="e">
            <v>#VALUE!</v>
          </cell>
          <cell r="BC455" t="e">
            <v>#VALUE!</v>
          </cell>
          <cell r="BD455" t="e">
            <v>#VALUE!</v>
          </cell>
          <cell r="BE455" t="e">
            <v>#VALUE!</v>
          </cell>
        </row>
        <row r="456">
          <cell r="H456">
            <v>18.163157894736841</v>
          </cell>
          <cell r="I456">
            <v>24.608695652173914</v>
          </cell>
          <cell r="J456">
            <v>27.704761904761902</v>
          </cell>
          <cell r="K456">
            <v>15.974729241877258</v>
          </cell>
          <cell r="L456">
            <v>180.49999999999997</v>
          </cell>
          <cell r="M456">
            <v>22.891566265060245</v>
          </cell>
          <cell r="N456">
            <v>13.893518518518517</v>
          </cell>
          <cell r="O456">
            <v>24.058823529411764</v>
          </cell>
          <cell r="P456">
            <v>16.727272727272723</v>
          </cell>
          <cell r="Q456">
            <v>18.242105263157892</v>
          </cell>
          <cell r="R456">
            <v>21.882352941176471</v>
          </cell>
          <cell r="S456">
            <v>17.925373134328357</v>
          </cell>
          <cell r="T456" t="e">
            <v>#VALUE!</v>
          </cell>
          <cell r="U456">
            <v>66.4375</v>
          </cell>
          <cell r="V456">
            <v>33.798701298701296</v>
          </cell>
          <cell r="W456">
            <v>18.356382978723406</v>
          </cell>
          <cell r="X456">
            <v>19.460674157303369</v>
          </cell>
          <cell r="Y456">
            <v>24.138613861386137</v>
          </cell>
          <cell r="Z456" t="str">
            <v>NA</v>
          </cell>
          <cell r="AA456">
            <v>21.319648093841643</v>
          </cell>
          <cell r="AB456">
            <v>21.319648093841643</v>
          </cell>
          <cell r="AC456">
            <v>11.5234375</v>
          </cell>
          <cell r="AD456" t="str">
            <v>NA</v>
          </cell>
          <cell r="AE456">
            <v>29.866666666666667</v>
          </cell>
          <cell r="AF456">
            <v>20.80078125</v>
          </cell>
          <cell r="AG456">
            <v>18.450549450549449</v>
          </cell>
          <cell r="AH456">
            <v>33.258785942492011</v>
          </cell>
          <cell r="AI456" t="e">
            <v>#DIV/0!</v>
          </cell>
          <cell r="AJ456" t="e">
            <v>#VALUE!</v>
          </cell>
          <cell r="AK456">
            <v>16.420454545454547</v>
          </cell>
          <cell r="AL456">
            <v>17.845722300140249</v>
          </cell>
          <cell r="AM456">
            <v>22.083333333333332</v>
          </cell>
          <cell r="AN456">
            <v>14.8955223880597</v>
          </cell>
          <cell r="AO456" t="str">
            <v>NA</v>
          </cell>
          <cell r="AP456" t="e">
            <v>#DIV/0!</v>
          </cell>
          <cell r="AQ456" t="e">
            <v>#VALUE!</v>
          </cell>
          <cell r="AR456">
            <v>29.94979079497908</v>
          </cell>
          <cell r="AS456">
            <v>18.450549450549453</v>
          </cell>
          <cell r="AT456" t="str">
            <v>NA</v>
          </cell>
          <cell r="AU456" t="e">
            <v>#DIV/0!</v>
          </cell>
          <cell r="AV456">
            <v>22.230240549828174</v>
          </cell>
          <cell r="AW456" t="e">
            <v>#VALUE!</v>
          </cell>
          <cell r="AX456" t="e">
            <v>#VALUE!</v>
          </cell>
          <cell r="AY456" t="e">
            <v>#VALUE!</v>
          </cell>
          <cell r="AZ456" t="e">
            <v>#VALUE!</v>
          </cell>
          <cell r="BA456" t="e">
            <v>#VALUE!</v>
          </cell>
          <cell r="BB456" t="e">
            <v>#VALUE!</v>
          </cell>
          <cell r="BC456" t="e">
            <v>#VALUE!</v>
          </cell>
          <cell r="BD456" t="e">
            <v>#VALUE!</v>
          </cell>
          <cell r="BE456" t="e">
            <v>#VALUE!</v>
          </cell>
        </row>
        <row r="457">
          <cell r="H457">
            <v>16.126168224299064</v>
          </cell>
          <cell r="I457">
            <v>16.647058823529409</v>
          </cell>
          <cell r="J457">
            <v>24.445378151260503</v>
          </cell>
          <cell r="K457">
            <v>14.182692307692307</v>
          </cell>
          <cell r="L457">
            <v>40.111111111111114</v>
          </cell>
          <cell r="M457">
            <v>18.627450980392158</v>
          </cell>
          <cell r="N457">
            <v>12.556485355648535</v>
          </cell>
          <cell r="O457">
            <v>16.80821917808219</v>
          </cell>
          <cell r="P457">
            <v>7.8857142857142852</v>
          </cell>
          <cell r="Q457">
            <v>15.61261261261261</v>
          </cell>
          <cell r="R457">
            <v>18.800151108741435</v>
          </cell>
          <cell r="S457">
            <v>15.496774193548386</v>
          </cell>
          <cell r="T457" t="e">
            <v>#VALUE!</v>
          </cell>
          <cell r="U457">
            <v>32.707692307692312</v>
          </cell>
          <cell r="V457">
            <v>22.828947368421051</v>
          </cell>
          <cell r="W457">
            <v>16.126168224299064</v>
          </cell>
          <cell r="X457">
            <v>16.815533980582526</v>
          </cell>
          <cell r="Y457">
            <v>19.196850393700785</v>
          </cell>
          <cell r="Z457" t="str">
            <v>NA</v>
          </cell>
          <cell r="AA457">
            <v>17.818627450980394</v>
          </cell>
          <cell r="AB457">
            <v>17.818627450980397</v>
          </cell>
          <cell r="AC457">
            <v>10.387323943661972</v>
          </cell>
          <cell r="AD457" t="str">
            <v>NA</v>
          </cell>
          <cell r="AE457">
            <v>21.189189189189189</v>
          </cell>
          <cell r="AF457">
            <v>17.989864864864867</v>
          </cell>
          <cell r="AG457">
            <v>15.403669724770641</v>
          </cell>
          <cell r="AH457">
            <v>23.498871331828447</v>
          </cell>
          <cell r="AI457" t="e">
            <v>#DIV/0!</v>
          </cell>
          <cell r="AJ457" t="e">
            <v>#VALUE!</v>
          </cell>
          <cell r="AK457">
            <v>14.236453201970443</v>
          </cell>
          <cell r="AL457">
            <v>14.642117376294591</v>
          </cell>
          <cell r="AM457">
            <v>19.822834645669289</v>
          </cell>
          <cell r="AN457">
            <v>9.9481658692184993</v>
          </cell>
          <cell r="AO457" t="str">
            <v>NA</v>
          </cell>
          <cell r="AP457" t="e">
            <v>#DIV/0!</v>
          </cell>
          <cell r="AQ457" t="e">
            <v>#VALUE!</v>
          </cell>
          <cell r="AR457">
            <v>24.984293193717274</v>
          </cell>
          <cell r="AS457">
            <v>15.403669724770642</v>
          </cell>
          <cell r="AT457" t="str">
            <v>NA</v>
          </cell>
          <cell r="AU457" t="e">
            <v>#DIV/0!</v>
          </cell>
          <cell r="AV457">
            <v>18.482857142857142</v>
          </cell>
          <cell r="AW457" t="e">
            <v>#VALUE!</v>
          </cell>
          <cell r="AX457" t="e">
            <v>#VALUE!</v>
          </cell>
          <cell r="AY457" t="e">
            <v>#VALUE!</v>
          </cell>
          <cell r="AZ457" t="e">
            <v>#VALUE!</v>
          </cell>
          <cell r="BA457" t="e">
            <v>#VALUE!</v>
          </cell>
          <cell r="BB457" t="e">
            <v>#VALUE!</v>
          </cell>
          <cell r="BC457" t="e">
            <v>#VALUE!</v>
          </cell>
          <cell r="BD457" t="e">
            <v>#VALUE!</v>
          </cell>
          <cell r="BE457" t="e">
            <v>#VALUE!</v>
          </cell>
        </row>
        <row r="458">
          <cell r="H458">
            <v>13.273076923076923</v>
          </cell>
          <cell r="I458">
            <v>12.304347826086957</v>
          </cell>
          <cell r="J458">
            <v>21.188145855146356</v>
          </cell>
          <cell r="K458">
            <v>12.019230769230768</v>
          </cell>
          <cell r="L458">
            <v>25.785714285714288</v>
          </cell>
          <cell r="M458">
            <v>15.200000000000001</v>
          </cell>
          <cell r="N458">
            <v>11.324528301886794</v>
          </cell>
          <cell r="O458">
            <v>14.11902789284728</v>
          </cell>
          <cell r="P458">
            <v>6.81271212588707</v>
          </cell>
          <cell r="Q458">
            <v>13.401384216834856</v>
          </cell>
          <cell r="R458">
            <v>18.800151108741435</v>
          </cell>
          <cell r="S458">
            <v>13.725714285714286</v>
          </cell>
          <cell r="T458" t="e">
            <v>#VALUE!</v>
          </cell>
          <cell r="U458">
            <v>26.430458430458433</v>
          </cell>
          <cell r="V458">
            <v>18.494803688585165</v>
          </cell>
          <cell r="W458">
            <v>13.273076923076923</v>
          </cell>
          <cell r="X458">
            <v>14.554621848739496</v>
          </cell>
          <cell r="Y458">
            <v>15.263457417270242</v>
          </cell>
          <cell r="Z458" t="str">
            <v>NA</v>
          </cell>
          <cell r="AA458" t="str">
            <v>NA</v>
          </cell>
          <cell r="AB458" t="str">
            <v>NA</v>
          </cell>
          <cell r="AC458">
            <v>9.1923220740371434</v>
          </cell>
          <cell r="AD458" t="str">
            <v>NA</v>
          </cell>
          <cell r="AE458">
            <v>17.5</v>
          </cell>
          <cell r="AF458">
            <v>15.643360752056408</v>
          </cell>
          <cell r="AG458">
            <v>12.664367117298891</v>
          </cell>
          <cell r="AH458">
            <v>18.494803688585169</v>
          </cell>
          <cell r="AI458" t="e">
            <v>#DIV/0!</v>
          </cell>
          <cell r="AJ458" t="e">
            <v>#VALUE!</v>
          </cell>
          <cell r="AK458">
            <v>12.844444444444443</v>
          </cell>
          <cell r="AL458">
            <v>12.523622047244094</v>
          </cell>
          <cell r="AM458">
            <v>17.787899000062176</v>
          </cell>
          <cell r="AN458">
            <v>9.9481658692184993</v>
          </cell>
          <cell r="AO458" t="str">
            <v>NA</v>
          </cell>
          <cell r="AP458" t="e">
            <v>#DIV/0!</v>
          </cell>
          <cell r="AQ458" t="e">
            <v>#VALUE!</v>
          </cell>
          <cell r="AR458">
            <v>21.008859645672867</v>
          </cell>
          <cell r="AS458">
            <v>12.664367117298893</v>
          </cell>
          <cell r="AT458" t="str">
            <v>NA</v>
          </cell>
          <cell r="AU458" t="e">
            <v>#DIV/0!</v>
          </cell>
          <cell r="AV458">
            <v>15.409058210939023</v>
          </cell>
          <cell r="AW458" t="e">
            <v>#VALUE!</v>
          </cell>
          <cell r="AX458" t="e">
            <v>#VALUE!</v>
          </cell>
          <cell r="AY458" t="e">
            <v>#VALUE!</v>
          </cell>
          <cell r="AZ458" t="e">
            <v>#VALUE!</v>
          </cell>
          <cell r="BA458" t="e">
            <v>#VALUE!</v>
          </cell>
          <cell r="BB458" t="e">
            <v>#VALUE!</v>
          </cell>
          <cell r="BC458" t="e">
            <v>#VALUE!</v>
          </cell>
          <cell r="BD458" t="e">
            <v>#VALUE!</v>
          </cell>
          <cell r="BE458" t="e">
            <v>#VALUE!</v>
          </cell>
        </row>
        <row r="460">
          <cell r="H460">
            <v>0.94859813084112132</v>
          </cell>
          <cell r="I460">
            <v>0.83235294117647041</v>
          </cell>
          <cell r="J460">
            <v>1.2865988500663426</v>
          </cell>
          <cell r="K460">
            <v>0.78792735042735051</v>
          </cell>
          <cell r="L460">
            <v>1.035125448028674</v>
          </cell>
          <cell r="M460">
            <v>1.0957324106113033</v>
          </cell>
          <cell r="N460">
            <v>0.96588348889604103</v>
          </cell>
          <cell r="O460">
            <v>0.84041095890410944</v>
          </cell>
          <cell r="P460">
            <v>0.50068027210884347</v>
          </cell>
          <cell r="Q460">
            <v>0.94621894621894598</v>
          </cell>
          <cell r="R460">
            <v>1.134589686707389</v>
          </cell>
          <cell r="S460">
            <v>0.91157495256166965</v>
          </cell>
          <cell r="T460" t="e">
            <v>#VALUE!</v>
          </cell>
          <cell r="U460">
            <v>1.3771659919028343</v>
          </cell>
          <cell r="V460">
            <v>0.76096491228070196</v>
          </cell>
          <cell r="W460">
            <v>0.85960384990933181</v>
          </cell>
          <cell r="X460">
            <v>1.0731036362847814</v>
          </cell>
          <cell r="Y460">
            <v>0.74493016661625089</v>
          </cell>
          <cell r="Z460" t="e">
            <v>#N/A</v>
          </cell>
          <cell r="AA460">
            <v>0.92228920553728744</v>
          </cell>
          <cell r="AB460">
            <v>0.92228920553728744</v>
          </cell>
          <cell r="AC460">
            <v>0.79902491874322867</v>
          </cell>
          <cell r="AD460" t="e">
            <v>#N/A</v>
          </cell>
          <cell r="AE460">
            <v>1.3243243243243241</v>
          </cell>
          <cell r="AF460">
            <v>1.1993243243243246</v>
          </cell>
          <cell r="AG460">
            <v>0.71214376906013133</v>
          </cell>
          <cell r="AH460">
            <v>0.8716198565218265</v>
          </cell>
          <cell r="AI460">
            <v>1.7208333333333332</v>
          </cell>
          <cell r="AJ460" t="e">
            <v>#VALUE!</v>
          </cell>
          <cell r="AK460">
            <v>0.88977832512315269</v>
          </cell>
          <cell r="AL460">
            <v>0.7804966618493917</v>
          </cell>
          <cell r="AM460">
            <v>1.7327652662298332</v>
          </cell>
          <cell r="AN460">
            <v>0.49740829346092502</v>
          </cell>
          <cell r="AO460" t="e">
            <v>#N/A</v>
          </cell>
          <cell r="AP460">
            <v>1.3382053130003897</v>
          </cell>
          <cell r="AQ460" t="e">
            <v>#VALUE!</v>
          </cell>
          <cell r="AR460">
            <v>1.3382053130003897</v>
          </cell>
          <cell r="AS460">
            <v>0.71214376906013133</v>
          </cell>
          <cell r="AT460" t="e">
            <v>#N/A</v>
          </cell>
          <cell r="AU460">
            <v>0.93347763347763335</v>
          </cell>
          <cell r="AV460">
            <v>0.93347763347763335</v>
          </cell>
          <cell r="AW460" t="e">
            <v>#VALUE!</v>
          </cell>
          <cell r="AX460" t="e">
            <v>#VALUE!</v>
          </cell>
          <cell r="AY460" t="e">
            <v>#VALUE!</v>
          </cell>
          <cell r="AZ460" t="e">
            <v>#VALUE!</v>
          </cell>
          <cell r="BA460" t="e">
            <v>#VALUE!</v>
          </cell>
          <cell r="BB460" t="e">
            <v>#VALUE!</v>
          </cell>
          <cell r="BC460" t="e">
            <v>#VALUE!</v>
          </cell>
          <cell r="BD460" t="e">
            <v>#VALUE!</v>
          </cell>
          <cell r="BE460" t="e">
            <v>#VALUE!</v>
          </cell>
        </row>
        <row r="461">
          <cell r="H461">
            <v>1.0684210526315787</v>
          </cell>
          <cell r="I461">
            <v>1.2304347826086957</v>
          </cell>
          <cell r="J461">
            <v>1.4581453634085213</v>
          </cell>
          <cell r="K461">
            <v>0.88748495788206982</v>
          </cell>
          <cell r="L461">
            <v>4.6580645161290324</v>
          </cell>
          <cell r="M461">
            <v>1.3465627214741318</v>
          </cell>
          <cell r="N461">
            <v>1.0687321937321936</v>
          </cell>
          <cell r="O461">
            <v>1.2029411764705882</v>
          </cell>
          <cell r="P461">
            <v>1.0620490620490619</v>
          </cell>
          <cell r="Q461">
            <v>1.1055821371610843</v>
          </cell>
          <cell r="R461">
            <v>1.32060066030033</v>
          </cell>
          <cell r="S461">
            <v>1.054433713784021</v>
          </cell>
          <cell r="T461" t="e">
            <v>#VALUE!</v>
          </cell>
          <cell r="U461">
            <v>2.7973684210526319</v>
          </cell>
          <cell r="V461">
            <v>1.1266233766233766</v>
          </cell>
          <cell r="W461">
            <v>0.97848523340743077</v>
          </cell>
          <cell r="X461">
            <v>1.2419064554756458</v>
          </cell>
          <cell r="Y461">
            <v>0.93669436792340466</v>
          </cell>
          <cell r="Z461" t="e">
            <v>#N/A</v>
          </cell>
          <cell r="AA461">
            <v>1.10350145413259</v>
          </cell>
          <cell r="AB461">
            <v>1.10350145413259</v>
          </cell>
          <cell r="AC461">
            <v>0.88641826923076916</v>
          </cell>
          <cell r="AD461" t="e">
            <v>#N/A</v>
          </cell>
          <cell r="AE461">
            <v>1.8666666666666665</v>
          </cell>
          <cell r="AF461">
            <v>1.38671875</v>
          </cell>
          <cell r="AG461">
            <v>0.85300737173136609</v>
          </cell>
          <cell r="AH461">
            <v>1.2336344934158758</v>
          </cell>
          <cell r="AI461">
            <v>3.4416666666666664</v>
          </cell>
          <cell r="AJ461" t="e">
            <v>#VALUE!</v>
          </cell>
          <cell r="AK461">
            <v>1.0262784090909089</v>
          </cell>
          <cell r="AL461">
            <v>0.95126451493284914</v>
          </cell>
          <cell r="AM461">
            <v>1.9303613053613053</v>
          </cell>
          <cell r="AN461">
            <v>0.74477611940298505</v>
          </cell>
          <cell r="AO461" t="e">
            <v>#N/A</v>
          </cell>
          <cell r="AP461">
            <v>1.6041666199774547</v>
          </cell>
          <cell r="AQ461" t="e">
            <v>#VALUE!</v>
          </cell>
          <cell r="AR461">
            <v>1.6041666199774547</v>
          </cell>
          <cell r="AS461">
            <v>0.85300737173136609</v>
          </cell>
          <cell r="AT461" t="e">
            <v>#N/A</v>
          </cell>
          <cell r="AU461">
            <v>1.1227394217084938</v>
          </cell>
          <cell r="AV461">
            <v>1.1227394217084938</v>
          </cell>
          <cell r="AW461" t="e">
            <v>#VALUE!</v>
          </cell>
          <cell r="AX461" t="e">
            <v>#VALUE!</v>
          </cell>
          <cell r="AY461" t="e">
            <v>#VALUE!</v>
          </cell>
          <cell r="AZ461" t="e">
            <v>#VALUE!</v>
          </cell>
          <cell r="BA461" t="e">
            <v>#VALUE!</v>
          </cell>
          <cell r="BB461" t="e">
            <v>#VALUE!</v>
          </cell>
          <cell r="BC461" t="e">
            <v>#VALUE!</v>
          </cell>
          <cell r="BD461" t="e">
            <v>#VALUE!</v>
          </cell>
          <cell r="BE461" t="e">
            <v>#VALUE!</v>
          </cell>
        </row>
        <row r="464">
          <cell r="H464" t="e">
            <v>#NAME?</v>
          </cell>
          <cell r="I464" t="e">
            <v>#NAME?</v>
          </cell>
          <cell r="J464" t="e">
            <v>#NAME?</v>
          </cell>
          <cell r="K464" t="e">
            <v>#NAME?</v>
          </cell>
          <cell r="L464" t="e">
            <v>#NAME?</v>
          </cell>
          <cell r="M464" t="e">
            <v>#NAME?</v>
          </cell>
          <cell r="N464" t="e">
            <v>#NAME?</v>
          </cell>
          <cell r="O464" t="e">
            <v>#NAME?</v>
          </cell>
          <cell r="P464" t="e">
            <v>#NAME?</v>
          </cell>
          <cell r="Q464" t="e">
            <v>#NAME?</v>
          </cell>
          <cell r="R464" t="e">
            <v>#NAME?</v>
          </cell>
          <cell r="S464" t="e">
            <v>#NAME?</v>
          </cell>
          <cell r="T464" t="e">
            <v>#NAME?</v>
          </cell>
          <cell r="U464" t="e">
            <v>#NAME?</v>
          </cell>
          <cell r="V464" t="e">
            <v>#NAME?</v>
          </cell>
          <cell r="W464" t="e">
            <v>#NAME?</v>
          </cell>
          <cell r="X464" t="e">
            <v>#NAME?</v>
          </cell>
          <cell r="Y464" t="e">
            <v>#NAME?</v>
          </cell>
          <cell r="Z464" t="e">
            <v>#NAME?</v>
          </cell>
          <cell r="AA464" t="e">
            <v>#NAME?</v>
          </cell>
          <cell r="AB464" t="e">
            <v>#NAME?</v>
          </cell>
          <cell r="AC464" t="e">
            <v>#NAME?</v>
          </cell>
          <cell r="AD464" t="e">
            <v>#NAME?</v>
          </cell>
          <cell r="AE464" t="e">
            <v>#NAME?</v>
          </cell>
          <cell r="AF464" t="e">
            <v>#NAME?</v>
          </cell>
          <cell r="AG464" t="e">
            <v>#NAME?</v>
          </cell>
          <cell r="AH464" t="e">
            <v>#NAME?</v>
          </cell>
          <cell r="AI464" t="e">
            <v>#NAME?</v>
          </cell>
          <cell r="AJ464" t="e">
            <v>#NAME?</v>
          </cell>
          <cell r="AK464" t="e">
            <v>#NAME?</v>
          </cell>
          <cell r="AL464" t="e">
            <v>#NAME?</v>
          </cell>
          <cell r="AM464" t="e">
            <v>#NAME?</v>
          </cell>
          <cell r="AN464" t="e">
            <v>#NAME?</v>
          </cell>
          <cell r="AO464" t="e">
            <v>#NAME?</v>
          </cell>
          <cell r="AP464" t="e">
            <v>#NAME?</v>
          </cell>
          <cell r="AQ464" t="e">
            <v>#NAME?</v>
          </cell>
          <cell r="AR464" t="e">
            <v>#NAME?</v>
          </cell>
          <cell r="AS464" t="e">
            <v>#NAME?</v>
          </cell>
          <cell r="AT464" t="e">
            <v>#NAME?</v>
          </cell>
          <cell r="AU464" t="e">
            <v>#NAME?</v>
          </cell>
          <cell r="AV464" t="e">
            <v>#NAME?</v>
          </cell>
          <cell r="AW464" t="e">
            <v>#NAME?</v>
          </cell>
          <cell r="AX464" t="e">
            <v>#NAME?</v>
          </cell>
          <cell r="AY464" t="e">
            <v>#NAME?</v>
          </cell>
          <cell r="AZ464" t="e">
            <v>#NAME?</v>
          </cell>
          <cell r="BA464" t="e">
            <v>#NAME?</v>
          </cell>
          <cell r="BB464" t="e">
            <v>#NAME?</v>
          </cell>
          <cell r="BC464" t="e">
            <v>#NAME?</v>
          </cell>
          <cell r="BD464" t="e">
            <v>#NAME?</v>
          </cell>
          <cell r="BE464" t="e">
            <v>#NAME?</v>
          </cell>
        </row>
        <row r="465">
          <cell r="H465" t="e">
            <v>#NAME?</v>
          </cell>
          <cell r="I465" t="e">
            <v>#NAME?</v>
          </cell>
          <cell r="J465" t="e">
            <v>#NAME?</v>
          </cell>
          <cell r="K465" t="e">
            <v>#NAME?</v>
          </cell>
          <cell r="L465" t="e">
            <v>#NAME?</v>
          </cell>
          <cell r="M465" t="e">
            <v>#NAME?</v>
          </cell>
          <cell r="N465" t="e">
            <v>#NAME?</v>
          </cell>
          <cell r="O465" t="e">
            <v>#NAME?</v>
          </cell>
          <cell r="P465" t="e">
            <v>#NAME?</v>
          </cell>
          <cell r="Q465" t="e">
            <v>#NAME?</v>
          </cell>
          <cell r="R465" t="e">
            <v>#NAME?</v>
          </cell>
          <cell r="S465" t="e">
            <v>#NAME?</v>
          </cell>
          <cell r="T465" t="e">
            <v>#NAME?</v>
          </cell>
          <cell r="U465" t="e">
            <v>#NAME?</v>
          </cell>
          <cell r="V465" t="e">
            <v>#NAME?</v>
          </cell>
          <cell r="W465" t="e">
            <v>#NAME?</v>
          </cell>
          <cell r="X465" t="e">
            <v>#NAME?</v>
          </cell>
          <cell r="Y465" t="e">
            <v>#NAME?</v>
          </cell>
          <cell r="Z465" t="e">
            <v>#NAME?</v>
          </cell>
          <cell r="AA465" t="e">
            <v>#NAME?</v>
          </cell>
          <cell r="AB465" t="e">
            <v>#NAME?</v>
          </cell>
          <cell r="AC465" t="e">
            <v>#NAME?</v>
          </cell>
          <cell r="AD465" t="e">
            <v>#NAME?</v>
          </cell>
          <cell r="AE465" t="e">
            <v>#NAME?</v>
          </cell>
          <cell r="AF465" t="e">
            <v>#NAME?</v>
          </cell>
          <cell r="AG465" t="e">
            <v>#NAME?</v>
          </cell>
          <cell r="AH465" t="e">
            <v>#NAME?</v>
          </cell>
          <cell r="AI465" t="e">
            <v>#NAME?</v>
          </cell>
          <cell r="AJ465" t="e">
            <v>#NAME?</v>
          </cell>
          <cell r="AK465" t="e">
            <v>#NAME?</v>
          </cell>
          <cell r="AL465" t="e">
            <v>#NAME?</v>
          </cell>
          <cell r="AM465" t="e">
            <v>#NAME?</v>
          </cell>
          <cell r="AN465" t="e">
            <v>#NAME?</v>
          </cell>
          <cell r="AO465" t="e">
            <v>#NAME?</v>
          </cell>
          <cell r="AP465" t="e">
            <v>#NAME?</v>
          </cell>
          <cell r="AQ465" t="e">
            <v>#NAME?</v>
          </cell>
          <cell r="AR465" t="e">
            <v>#NAME?</v>
          </cell>
          <cell r="AS465" t="e">
            <v>#NAME?</v>
          </cell>
          <cell r="AT465" t="e">
            <v>#NAME?</v>
          </cell>
          <cell r="AU465" t="e">
            <v>#NAME?</v>
          </cell>
          <cell r="AV465" t="e">
            <v>#NAME?</v>
          </cell>
          <cell r="AW465" t="e">
            <v>#NAME?</v>
          </cell>
          <cell r="AX465" t="e">
            <v>#NAME?</v>
          </cell>
          <cell r="AY465" t="e">
            <v>#NAME?</v>
          </cell>
          <cell r="AZ465" t="e">
            <v>#NAME?</v>
          </cell>
          <cell r="BA465" t="e">
            <v>#NAME?</v>
          </cell>
          <cell r="BB465" t="e">
            <v>#NAME?</v>
          </cell>
          <cell r="BC465" t="e">
            <v>#NAME?</v>
          </cell>
          <cell r="BD465" t="e">
            <v>#NAME?</v>
          </cell>
          <cell r="BE465" t="e">
            <v>#NAME?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Financials"/>
      <sheetName val="Changes"/>
      <sheetName val="DNA Call Sheet"/>
      <sheetName val="Valuation"/>
      <sheetName val="DCF"/>
    </sheetNames>
    <sheetDataSet>
      <sheetData sheetId="0" refreshError="1"/>
      <sheetData sheetId="1" refreshError="1">
        <row r="97">
          <cell r="AF97">
            <v>2005</v>
          </cell>
          <cell r="AG97" t="str">
            <v>1QA</v>
          </cell>
          <cell r="AH97" t="str">
            <v>2QA</v>
          </cell>
          <cell r="AI97" t="str">
            <v>3QE</v>
          </cell>
          <cell r="AJ97" t="str">
            <v>4QE</v>
          </cell>
          <cell r="AK97">
            <v>2006</v>
          </cell>
          <cell r="AL97">
            <v>2007</v>
          </cell>
          <cell r="AM97">
            <v>2008</v>
          </cell>
          <cell r="AN97">
            <v>2009</v>
          </cell>
          <cell r="AO97">
            <v>2010</v>
          </cell>
        </row>
        <row r="101">
          <cell r="AF101">
            <v>1989.5480000000002</v>
          </cell>
          <cell r="AG101">
            <v>541.16</v>
          </cell>
          <cell r="AH101">
            <v>560.0291749999999</v>
          </cell>
          <cell r="AI101">
            <v>599.31723399999987</v>
          </cell>
          <cell r="AJ101">
            <v>653.20446364999998</v>
          </cell>
          <cell r="AK101">
            <v>2353.7108726500001</v>
          </cell>
          <cell r="AL101">
            <v>2765.75</v>
          </cell>
          <cell r="AM101">
            <v>3043.7367707810545</v>
          </cell>
          <cell r="AN101">
            <v>3350.1371789953596</v>
          </cell>
          <cell r="AO101">
            <v>3678.0851107767521</v>
          </cell>
        </row>
        <row r="102">
          <cell r="AF102">
            <v>1831.498</v>
          </cell>
          <cell r="AG102">
            <v>496.50999999999993</v>
          </cell>
          <cell r="AH102">
            <v>517.61167499999988</v>
          </cell>
          <cell r="AI102">
            <v>559.02060899999992</v>
          </cell>
          <cell r="AJ102">
            <v>614.92266989999996</v>
          </cell>
          <cell r="AK102">
            <v>2188.0649538999996</v>
          </cell>
          <cell r="AL102">
            <v>2517.35</v>
          </cell>
          <cell r="AM102">
            <v>2769.085</v>
          </cell>
          <cell r="AN102">
            <v>3045.9935000000005</v>
          </cell>
          <cell r="AO102">
            <v>3350.5928500000009</v>
          </cell>
        </row>
        <row r="103">
          <cell r="AF103">
            <v>158.05000000000001</v>
          </cell>
          <cell r="AG103">
            <v>44.65</v>
          </cell>
          <cell r="AH103">
            <v>42.417499999999997</v>
          </cell>
          <cell r="AI103">
            <v>40.296624999999992</v>
          </cell>
          <cell r="AJ103">
            <v>38.281793749999991</v>
          </cell>
          <cell r="AK103">
            <v>165.64591874999996</v>
          </cell>
          <cell r="AL103">
            <v>248.39999999999998</v>
          </cell>
          <cell r="AM103">
            <v>274.65177078105449</v>
          </cell>
          <cell r="AN103">
            <v>304.14367899535893</v>
          </cell>
          <cell r="AO103">
            <v>327.49226077675121</v>
          </cell>
        </row>
        <row r="104">
          <cell r="AF104">
            <v>1183.0290000000002</v>
          </cell>
          <cell r="AG104">
            <v>397.95699999999999</v>
          </cell>
          <cell r="AH104">
            <v>436.10630000000009</v>
          </cell>
          <cell r="AI104">
            <v>495.27879800000017</v>
          </cell>
          <cell r="AJ104">
            <v>591.64543760000015</v>
          </cell>
          <cell r="AK104">
            <v>1920.9875356000005</v>
          </cell>
          <cell r="AL104">
            <v>2804.3</v>
          </cell>
          <cell r="AM104">
            <v>3645.5900000000006</v>
          </cell>
          <cell r="AN104">
            <v>4387.0905000000002</v>
          </cell>
          <cell r="AO104">
            <v>5060.6322</v>
          </cell>
        </row>
        <row r="105">
          <cell r="AF105">
            <v>1132.8400000000001</v>
          </cell>
          <cell r="AG105">
            <v>384.23700000000002</v>
          </cell>
          <cell r="AH105">
            <v>422.66070000000008</v>
          </cell>
          <cell r="AI105">
            <v>481.83319800000015</v>
          </cell>
          <cell r="AJ105">
            <v>578.19983760000014</v>
          </cell>
          <cell r="AK105">
            <v>1866.9307356000004</v>
          </cell>
          <cell r="AL105">
            <v>2613.8000000000002</v>
          </cell>
          <cell r="AM105">
            <v>3397.9400000000005</v>
          </cell>
          <cell r="AN105">
            <v>4077.5280000000002</v>
          </cell>
          <cell r="AO105">
            <v>4689.1571999999996</v>
          </cell>
        </row>
        <row r="106">
          <cell r="AF106">
            <v>50.189</v>
          </cell>
          <cell r="AG106">
            <v>13.719999999999999</v>
          </cell>
          <cell r="AH106">
            <v>13.445599999999999</v>
          </cell>
          <cell r="AI106">
            <v>13.445599999999999</v>
          </cell>
          <cell r="AJ106">
            <v>13.445599999999999</v>
          </cell>
          <cell r="AK106">
            <v>54.056799999999996</v>
          </cell>
          <cell r="AL106">
            <v>190.5</v>
          </cell>
          <cell r="AM106">
            <v>247.65</v>
          </cell>
          <cell r="AN106">
            <v>309.5625</v>
          </cell>
          <cell r="AO106">
            <v>371.47499999999997</v>
          </cell>
        </row>
        <row r="107">
          <cell r="AF107">
            <v>747.25700000000006</v>
          </cell>
          <cell r="AG107">
            <v>260.10399999999998</v>
          </cell>
          <cell r="AH107">
            <v>278.31128000000001</v>
          </cell>
          <cell r="AI107">
            <v>303.35929520000002</v>
          </cell>
          <cell r="AJ107">
            <v>333.69522472000006</v>
          </cell>
          <cell r="AK107">
            <v>1175.46979992</v>
          </cell>
          <cell r="AL107">
            <v>1270</v>
          </cell>
          <cell r="AM107">
            <v>1460.5</v>
          </cell>
          <cell r="AN107">
            <v>1606.5500000000002</v>
          </cell>
          <cell r="AO107">
            <v>1735.0740000000003</v>
          </cell>
        </row>
        <row r="108">
          <cell r="AF108">
            <v>320.53300000000002</v>
          </cell>
          <cell r="AG108">
            <v>103.00320000000001</v>
          </cell>
          <cell r="AH108">
            <v>114.33355200000001</v>
          </cell>
          <cell r="AI108">
            <v>128.05357824000004</v>
          </cell>
          <cell r="AJ108">
            <v>143.42000762880005</v>
          </cell>
          <cell r="AK108">
            <v>488.81033786880005</v>
          </cell>
          <cell r="AL108">
            <v>630.49310000000003</v>
          </cell>
          <cell r="AM108">
            <v>722.61387366545443</v>
          </cell>
          <cell r="AN108">
            <v>790.81055799263174</v>
          </cell>
          <cell r="AO108">
            <v>831.1418964502559</v>
          </cell>
        </row>
        <row r="109">
          <cell r="AF109">
            <v>79.215999999999994</v>
          </cell>
          <cell r="AG109">
            <v>22.44</v>
          </cell>
          <cell r="AH109">
            <v>24.684000000000005</v>
          </cell>
          <cell r="AI109">
            <v>27.646080000000008</v>
          </cell>
          <cell r="AJ109">
            <v>31.516531200000014</v>
          </cell>
          <cell r="AK109">
            <v>106.28661120000004</v>
          </cell>
          <cell r="AL109">
            <v>164.86580000000001</v>
          </cell>
          <cell r="AM109">
            <v>192.4533438666667</v>
          </cell>
          <cell r="AN109">
            <v>219.53152934870673</v>
          </cell>
          <cell r="AO109">
            <v>230.63982473375128</v>
          </cell>
        </row>
        <row r="110">
          <cell r="AF110">
            <v>798.80899999999997</v>
          </cell>
          <cell r="AG110">
            <v>211.20120000000003</v>
          </cell>
          <cell r="AH110">
            <v>221.76126000000005</v>
          </cell>
          <cell r="AI110">
            <v>232.84932300000006</v>
          </cell>
          <cell r="AJ110">
            <v>244.49178915000007</v>
          </cell>
          <cell r="AK110">
            <v>910.30357215000015</v>
          </cell>
          <cell r="AL110">
            <v>997.69999999999993</v>
          </cell>
          <cell r="AM110">
            <v>1097.47</v>
          </cell>
          <cell r="AN110">
            <v>1207.2170000000001</v>
          </cell>
          <cell r="AO110">
            <v>1327.9387000000002</v>
          </cell>
        </row>
        <row r="111">
          <cell r="AF111">
            <v>274.87099999999998</v>
          </cell>
          <cell r="AG111">
            <v>89.77300000000001</v>
          </cell>
          <cell r="AH111">
            <v>97.852570000000014</v>
          </cell>
          <cell r="AI111">
            <v>108.61635270000002</v>
          </cell>
          <cell r="AJ111">
            <v>122.73647855100002</v>
          </cell>
          <cell r="AK111">
            <v>418.97840125100004</v>
          </cell>
          <cell r="AL111">
            <v>584.42472162226807</v>
          </cell>
          <cell r="AM111">
            <v>722.80236351771703</v>
          </cell>
          <cell r="AN111">
            <v>846.53699011847323</v>
          </cell>
          <cell r="AO111">
            <v>947.44419934059522</v>
          </cell>
        </row>
        <row r="112"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40</v>
          </cell>
          <cell r="AK112">
            <v>40</v>
          </cell>
          <cell r="AL112">
            <v>287</v>
          </cell>
          <cell r="AM112">
            <v>387.45000000000005</v>
          </cell>
          <cell r="AN112">
            <v>542.43000000000006</v>
          </cell>
          <cell r="AO112">
            <v>705.15900000000011</v>
          </cell>
        </row>
        <row r="113"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</row>
        <row r="114">
          <cell r="AF114">
            <v>95.475999999999999</v>
          </cell>
          <cell r="AG114">
            <v>20.5</v>
          </cell>
          <cell r="AH114">
            <v>9</v>
          </cell>
          <cell r="AI114">
            <v>31.957775000000012</v>
          </cell>
          <cell r="AJ114">
            <v>20.5</v>
          </cell>
          <cell r="AK114">
            <v>81.957775000000012</v>
          </cell>
          <cell r="AL114">
            <v>50</v>
          </cell>
          <cell r="AM114">
            <v>50</v>
          </cell>
          <cell r="AN114">
            <v>50</v>
          </cell>
          <cell r="AO114">
            <v>50</v>
          </cell>
        </row>
        <row r="115">
          <cell r="AF115">
            <v>5488.7389999999996</v>
          </cell>
          <cell r="AG115">
            <v>1646.1384</v>
          </cell>
          <cell r="AH115">
            <v>1742.078137</v>
          </cell>
          <cell r="AI115">
            <v>1927.0784361400001</v>
          </cell>
          <cell r="AJ115">
            <v>2181.2099324998003</v>
          </cell>
          <cell r="AK115">
            <v>7496.5049056398002</v>
          </cell>
          <cell r="AL115">
            <v>9554.5336216222677</v>
          </cell>
          <cell r="AM115">
            <v>11322.616351830893</v>
          </cell>
          <cell r="AN115">
            <v>13000.303756455174</v>
          </cell>
          <cell r="AO115">
            <v>14566.114931301354</v>
          </cell>
        </row>
        <row r="116">
          <cell r="AF116">
            <v>210.1</v>
          </cell>
          <cell r="AG116">
            <v>56.1</v>
          </cell>
          <cell r="AH116">
            <v>61.710000000000008</v>
          </cell>
          <cell r="AI116">
            <v>67.881000000000014</v>
          </cell>
          <cell r="AJ116">
            <v>74.669100000000029</v>
          </cell>
          <cell r="AK116">
            <v>260.36010000000005</v>
          </cell>
          <cell r="AL116">
            <v>411.52</v>
          </cell>
          <cell r="AM116">
            <v>421.39648</v>
          </cell>
          <cell r="AN116">
            <v>467.32869632000001</v>
          </cell>
          <cell r="AO116">
            <v>497.47139723264002</v>
          </cell>
        </row>
        <row r="117">
          <cell r="AF117">
            <v>935</v>
          </cell>
          <cell r="AG117">
            <v>286.20000000000005</v>
          </cell>
          <cell r="AH117">
            <v>243.27000000000004</v>
          </cell>
          <cell r="AI117">
            <v>267.59700000000004</v>
          </cell>
          <cell r="AJ117">
            <v>315.76446000000004</v>
          </cell>
          <cell r="AK117">
            <v>1112.8314600000001</v>
          </cell>
          <cell r="AL117">
            <v>1435.2</v>
          </cell>
          <cell r="AM117">
            <v>1650.48</v>
          </cell>
          <cell r="AN117">
            <v>1815.5280000000002</v>
          </cell>
          <cell r="AO117">
            <v>1997.0808000000004</v>
          </cell>
        </row>
        <row r="118">
          <cell r="AF118">
            <v>6633.8389999999999</v>
          </cell>
          <cell r="AG118">
            <v>1988.4384</v>
          </cell>
          <cell r="AH118">
            <v>2047.058137</v>
          </cell>
          <cell r="AI118">
            <v>2262.5564361400002</v>
          </cell>
          <cell r="AJ118">
            <v>2571.6434924998002</v>
          </cell>
          <cell r="AK118">
            <v>8869.6964656397995</v>
          </cell>
          <cell r="AL118">
            <v>11401.253621622269</v>
          </cell>
          <cell r="AM118">
            <v>13394.492831830892</v>
          </cell>
          <cell r="AN118">
            <v>15283.160452775175</v>
          </cell>
          <cell r="AO118">
            <v>17060.667128533994</v>
          </cell>
        </row>
        <row r="119">
          <cell r="AF119">
            <v>995.51400000000001</v>
          </cell>
          <cell r="AG119">
            <v>271.61283600000002</v>
          </cell>
          <cell r="AH119">
            <v>278.73250192</v>
          </cell>
          <cell r="AI119">
            <v>308.33254978240001</v>
          </cell>
          <cell r="AJ119">
            <v>338.08753953746907</v>
          </cell>
          <cell r="AK119">
            <v>1196.765427239869</v>
          </cell>
          <cell r="AL119">
            <v>1528.7253794595629</v>
          </cell>
          <cell r="AM119">
            <v>1811.618616292943</v>
          </cell>
          <cell r="AN119">
            <v>2047.54784164169</v>
          </cell>
          <cell r="AO119">
            <v>2257.7478143517096</v>
          </cell>
        </row>
        <row r="120">
          <cell r="AF120">
            <v>1261.76</v>
          </cell>
          <cell r="AG120">
            <v>377.80329599999999</v>
          </cell>
          <cell r="AH120">
            <v>383.8234006875</v>
          </cell>
          <cell r="AI120">
            <v>418.57294068590005</v>
          </cell>
          <cell r="AJ120">
            <v>462.89582864996402</v>
          </cell>
          <cell r="AK120">
            <v>1643.095466023364</v>
          </cell>
          <cell r="AL120">
            <v>2177.6394417298529</v>
          </cell>
          <cell r="AM120">
            <v>2491.3756667205457</v>
          </cell>
          <cell r="AN120">
            <v>2789.176782631469</v>
          </cell>
          <cell r="AO120">
            <v>2934.4347461078469</v>
          </cell>
        </row>
        <row r="121">
          <cell r="AF121">
            <v>1450.4569999999999</v>
          </cell>
          <cell r="AG121">
            <v>437.45644800000002</v>
          </cell>
          <cell r="AH121">
            <v>440.11749945499997</v>
          </cell>
          <cell r="AI121">
            <v>486.44963377010004</v>
          </cell>
          <cell r="AJ121">
            <v>552.90335088745701</v>
          </cell>
          <cell r="AK121">
            <v>1916.9269321125571</v>
          </cell>
          <cell r="AL121">
            <v>2508.2757967568987</v>
          </cell>
          <cell r="AM121">
            <v>2879.815958843642</v>
          </cell>
          <cell r="AN121">
            <v>3285.879497346662</v>
          </cell>
          <cell r="AO121">
            <v>3497.4367613494687</v>
          </cell>
        </row>
        <row r="122">
          <cell r="AF122">
            <v>823.11700000000008</v>
          </cell>
          <cell r="AG122">
            <v>230</v>
          </cell>
          <cell r="AH122">
            <v>245</v>
          </cell>
          <cell r="AI122">
            <v>260</v>
          </cell>
          <cell r="AJ122">
            <v>280</v>
          </cell>
          <cell r="AK122">
            <v>1015</v>
          </cell>
          <cell r="AL122">
            <v>1169.0107535682141</v>
          </cell>
          <cell r="AM122">
            <v>1322.0210110219352</v>
          </cell>
          <cell r="AN122">
            <v>1470.6857710768622</v>
          </cell>
          <cell r="AO122">
            <v>1607.9456311573808</v>
          </cell>
        </row>
        <row r="123">
          <cell r="AF123" t="str">
            <v>------</v>
          </cell>
          <cell r="AG123" t="str">
            <v>------</v>
          </cell>
          <cell r="AH123" t="str">
            <v>------</v>
          </cell>
          <cell r="AI123" t="str">
            <v>------</v>
          </cell>
          <cell r="AJ123" t="str">
            <v>------</v>
          </cell>
          <cell r="AK123" t="str">
            <v>------</v>
          </cell>
          <cell r="AL123" t="str">
            <v>------</v>
          </cell>
          <cell r="AM123" t="str">
            <v>------</v>
          </cell>
          <cell r="AN123" t="str">
            <v>------</v>
          </cell>
          <cell r="AO123" t="str">
            <v>------</v>
          </cell>
        </row>
        <row r="124">
          <cell r="AF124">
            <v>4530.848</v>
          </cell>
          <cell r="AG124">
            <v>1316.8725800000002</v>
          </cell>
          <cell r="AH124">
            <v>1347.6734020624999</v>
          </cell>
          <cell r="AI124">
            <v>1473.3551242384001</v>
          </cell>
          <cell r="AJ124">
            <v>1633.8867190748902</v>
          </cell>
          <cell r="AK124">
            <v>5771.7878253757899</v>
          </cell>
          <cell r="AL124">
            <v>7383.6513715145284</v>
          </cell>
          <cell r="AM124">
            <v>8504.8312528790666</v>
          </cell>
          <cell r="AN124">
            <v>9593.2898926966827</v>
          </cell>
          <cell r="AO124">
            <v>10297.564952966406</v>
          </cell>
        </row>
        <row r="125"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</row>
        <row r="126">
          <cell r="AF126">
            <v>2102.991</v>
          </cell>
          <cell r="AG126">
            <v>671.5658199999998</v>
          </cell>
          <cell r="AH126">
            <v>699.38473493750007</v>
          </cell>
          <cell r="AI126">
            <v>789.20131190160009</v>
          </cell>
          <cell r="AJ126">
            <v>937.75677342491008</v>
          </cell>
          <cell r="AK126">
            <v>3097.9086402640096</v>
          </cell>
          <cell r="AL126">
            <v>4017.6022501077405</v>
          </cell>
          <cell r="AM126">
            <v>4889.6615789518255</v>
          </cell>
          <cell r="AN126">
            <v>5689.8705600784924</v>
          </cell>
          <cell r="AO126">
            <v>6763.1021755675883</v>
          </cell>
        </row>
        <row r="128"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</row>
        <row r="129"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</row>
        <row r="130">
          <cell r="AF130">
            <v>90.600999999999999</v>
          </cell>
          <cell r="AG130">
            <v>16</v>
          </cell>
          <cell r="AH130">
            <v>31.501999999999999</v>
          </cell>
          <cell r="AI130">
            <v>45</v>
          </cell>
          <cell r="AJ130">
            <v>48</v>
          </cell>
          <cell r="AK130">
            <v>140.50200000000001</v>
          </cell>
          <cell r="AL130">
            <v>255</v>
          </cell>
          <cell r="AM130">
            <v>345</v>
          </cell>
          <cell r="AN130">
            <v>504</v>
          </cell>
          <cell r="AO130">
            <v>670</v>
          </cell>
        </row>
        <row r="131">
          <cell r="AF131">
            <v>2193.5920000000001</v>
          </cell>
          <cell r="AG131">
            <v>687.5658199999998</v>
          </cell>
          <cell r="AH131">
            <v>730.88673493750002</v>
          </cell>
          <cell r="AI131">
            <v>834.20131190160009</v>
          </cell>
          <cell r="AJ131">
            <v>985.75677342491008</v>
          </cell>
          <cell r="AK131">
            <v>3238.4106402640095</v>
          </cell>
          <cell r="AL131">
            <v>4272.6022501077405</v>
          </cell>
          <cell r="AM131">
            <v>5234.6615789518255</v>
          </cell>
          <cell r="AN131">
            <v>6193.8705600784924</v>
          </cell>
          <cell r="AO131">
            <v>7433.1021755675883</v>
          </cell>
        </row>
        <row r="132">
          <cell r="AF132">
            <v>0.36746350278447404</v>
          </cell>
          <cell r="AG132">
            <v>0.37</v>
          </cell>
          <cell r="AH132">
            <v>0.37</v>
          </cell>
          <cell r="AI132">
            <v>0.37</v>
          </cell>
          <cell r="AJ132">
            <v>0.37</v>
          </cell>
          <cell r="AK132">
            <v>0.37</v>
          </cell>
          <cell r="AL132">
            <v>0.36499999999999999</v>
          </cell>
          <cell r="AM132">
            <v>0.36499999999999999</v>
          </cell>
          <cell r="AN132">
            <v>0.36499999999999999</v>
          </cell>
          <cell r="AO132">
            <v>0.36499999999999999</v>
          </cell>
        </row>
        <row r="133">
          <cell r="AF133">
            <v>806.06500000000005</v>
          </cell>
          <cell r="AG133">
            <v>254.39935339999991</v>
          </cell>
          <cell r="AH133">
            <v>270.42809192687503</v>
          </cell>
          <cell r="AI133">
            <v>308.65448540359205</v>
          </cell>
          <cell r="AJ133">
            <v>364.73000616721674</v>
          </cell>
          <cell r="AK133">
            <v>1198.2119368976835</v>
          </cell>
          <cell r="AL133">
            <v>1559.4998212893252</v>
          </cell>
          <cell r="AM133">
            <v>1910.6514763174162</v>
          </cell>
          <cell r="AN133">
            <v>2260.7627544286497</v>
          </cell>
          <cell r="AO133">
            <v>2713.0822940821695</v>
          </cell>
        </row>
        <row r="134">
          <cell r="AF134">
            <v>1387.527</v>
          </cell>
          <cell r="AG134">
            <v>433.16646659999992</v>
          </cell>
          <cell r="AH134">
            <v>460.458643010625</v>
          </cell>
          <cell r="AI134">
            <v>525.54682649800804</v>
          </cell>
          <cell r="AJ134">
            <v>621.02676725769334</v>
          </cell>
          <cell r="AK134">
            <v>2040.1987033663261</v>
          </cell>
          <cell r="AL134">
            <v>2713.1024288184153</v>
          </cell>
          <cell r="AM134">
            <v>3324.0101026344091</v>
          </cell>
          <cell r="AN134">
            <v>3933.1078056498427</v>
          </cell>
          <cell r="AO134">
            <v>4720.0198814854193</v>
          </cell>
        </row>
        <row r="137">
          <cell r="AF137">
            <v>1387.527</v>
          </cell>
          <cell r="AG137">
            <v>433.16646659999992</v>
          </cell>
          <cell r="AH137">
            <v>460.458643010625</v>
          </cell>
          <cell r="AI137">
            <v>525.54682649800804</v>
          </cell>
          <cell r="AJ137">
            <v>621.02676725769334</v>
          </cell>
          <cell r="AK137">
            <v>2040.1987033663261</v>
          </cell>
          <cell r="AL137">
            <v>2713.1024288184153</v>
          </cell>
          <cell r="AM137">
            <v>3324.0101026344091</v>
          </cell>
          <cell r="AN137">
            <v>3933.1078056498427</v>
          </cell>
          <cell r="AO137">
            <v>4720.0198814854193</v>
          </cell>
        </row>
        <row r="138">
          <cell r="AF138">
            <v>1054.952</v>
          </cell>
          <cell r="AG138">
            <v>1046.8320000000001</v>
          </cell>
          <cell r="AH138">
            <v>1057.5640000000001</v>
          </cell>
          <cell r="AI138">
            <v>1060.539</v>
          </cell>
          <cell r="AJ138">
            <v>1060.539</v>
          </cell>
          <cell r="AK138">
            <v>1061</v>
          </cell>
          <cell r="AL138">
            <v>1055</v>
          </cell>
          <cell r="AM138">
            <v>1050</v>
          </cell>
          <cell r="AN138">
            <v>1045</v>
          </cell>
          <cell r="AO138">
            <v>1025</v>
          </cell>
        </row>
        <row r="139">
          <cell r="AF139">
            <v>1080.9490000000001</v>
          </cell>
          <cell r="AG139">
            <v>1081</v>
          </cell>
          <cell r="AH139">
            <v>1082</v>
          </cell>
          <cell r="AI139">
            <v>1083</v>
          </cell>
          <cell r="AJ139">
            <v>1084</v>
          </cell>
          <cell r="AK139">
            <v>1082</v>
          </cell>
          <cell r="AL139">
            <v>1070</v>
          </cell>
          <cell r="AM139">
            <v>1065</v>
          </cell>
          <cell r="AN139">
            <v>1055</v>
          </cell>
          <cell r="AO139">
            <v>1045</v>
          </cell>
        </row>
        <row r="140">
          <cell r="AF140">
            <v>1.2836193011881225</v>
          </cell>
          <cell r="AG140">
            <v>0.38590792469935237</v>
          </cell>
          <cell r="AH140">
            <v>0.42556251664567929</v>
          </cell>
          <cell r="AI140">
            <v>0.48526946121699727</v>
          </cell>
          <cell r="AJ140">
            <v>0.57290292182444036</v>
          </cell>
          <cell r="AK140">
            <v>1.8855810567156432</v>
          </cell>
          <cell r="AL140">
            <v>2.5356097465592669</v>
          </cell>
          <cell r="AM140">
            <v>3.1211362466050789</v>
          </cell>
          <cell r="AN140">
            <v>3.7280642707581446</v>
          </cell>
          <cell r="AO140">
            <v>4.5167654368281527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tings sheet"/>
      <sheetName val="DCF Valuation"/>
      <sheetName val="FCFF"/>
      <sheetName val="Quarterly"/>
      <sheetName val="Cashflow"/>
      <sheetName val="Balance Sheet"/>
      <sheetName val="MS Est vs Rpt"/>
      <sheetName val="Annual"/>
      <sheetName val="NY UPLOAD"/>
      <sheetName val="Bal Sheet"/>
      <sheetName val="calc"/>
      <sheetName val="Cash Flow"/>
      <sheetName val="Pipeline"/>
      <sheetName val="Milestones"/>
      <sheetName val="Charts"/>
      <sheetName val="MainCode"/>
      <sheetName val="mStartup"/>
      <sheetName val="NY UPLOAD shadow"/>
      <sheetName val="MS Week2"/>
    </sheetNames>
    <sheetDataSet>
      <sheetData sheetId="0"/>
      <sheetData sheetId="1"/>
      <sheetData sheetId="2"/>
      <sheetData sheetId="3" refreshError="1">
        <row r="40">
          <cell r="CH40">
            <v>0.44418472286113037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/>
      <sheetData sheetId="18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page"/>
      <sheetName val="Data"/>
      <sheetName val="Control"/>
      <sheetName val="Profile"/>
      <sheetName val="Stock"/>
      <sheetName val="Disclosures"/>
      <sheetName val="Retail - May 010504-ML"/>
    </sheetNames>
    <sheetDataSet>
      <sheetData sheetId="0" refreshError="1"/>
      <sheetData sheetId="1" refreshError="1"/>
      <sheetData sheetId="2" refreshError="1">
        <row r="26">
          <cell r="A26" t="b">
            <v>1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curity_Large"/>
      <sheetName val="Comparison"/>
      <sheetName val="Historical Financial Statements"/>
      <sheetName val="Calculations"/>
      <sheetName val="Ratio Analysis"/>
      <sheetName val="Charts"/>
      <sheetName val="#REF"/>
      <sheetName val="Data_Download"/>
      <sheetName val="IS"/>
      <sheetName val="Security_Comparable_Large"/>
      <sheetName val="Invested capital_VDF"/>
      <sheetName val="Forecasts_VDF"/>
      <sheetName val="Summary Page_VDF"/>
      <sheetName val="NOPAT_VDF"/>
      <sheetName val="DCF_VDF"/>
      <sheetName val="PV of Op Leases_VDF"/>
      <sheetName val="Income Statement_VDF"/>
      <sheetName val="WACC_VDF"/>
      <sheetName val="Charts_VDF"/>
    </sheetNames>
    <sheetDataSet>
      <sheetData sheetId="0"/>
      <sheetData sheetId="1" refreshError="1">
        <row r="5">
          <cell r="E5">
            <v>0.35523561630796929</v>
          </cell>
        </row>
        <row r="6">
          <cell r="E6">
            <v>-0.78947368421052633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 shadow"/>
      <sheetName val="NY UPLOAD"/>
      <sheetName val="Title Page"/>
      <sheetName val="__FDSCACHE__"/>
      <sheetName val="Drivers"/>
      <sheetName val="Valuations"/>
      <sheetName val="Five Year Sales &amp; Earnings"/>
      <sheetName val="Qtr Income"/>
      <sheetName val=" Qtr Margin"/>
      <sheetName val="Qtr Sales"/>
      <sheetName val="ROIC"/>
      <sheetName val="BS2"/>
      <sheetName val="CF2"/>
      <sheetName val="ICOS JV"/>
      <sheetName val="Q-Preview"/>
      <sheetName val="US Feed"/>
      <sheetName val="MainCode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Eli Lilly</v>
          </cell>
        </row>
        <row r="2">
          <cell r="A2" t="str">
            <v>Estimated Sales and Earnings (2000-2007E)</v>
          </cell>
        </row>
        <row r="3">
          <cell r="A3" t="str">
            <v xml:space="preserve">($ Millions) </v>
          </cell>
          <cell r="B3" t="str">
            <v>1995</v>
          </cell>
          <cell r="C3" t="str">
            <v>1996</v>
          </cell>
          <cell r="D3">
            <v>1997</v>
          </cell>
          <cell r="E3" t="str">
            <v>1998</v>
          </cell>
          <cell r="F3" t="str">
            <v>1999</v>
          </cell>
          <cell r="G3">
            <v>2000</v>
          </cell>
          <cell r="H3">
            <v>2001</v>
          </cell>
          <cell r="I3" t="str">
            <v>2002A</v>
          </cell>
          <cell r="J3" t="str">
            <v>2003E</v>
          </cell>
          <cell r="K3" t="str">
            <v>2004E</v>
          </cell>
          <cell r="L3" t="str">
            <v>2005E</v>
          </cell>
          <cell r="M3" t="str">
            <v>2006E</v>
          </cell>
          <cell r="N3" t="str">
            <v>2007E</v>
          </cell>
          <cell r="P3" t="str">
            <v>Comments</v>
          </cell>
        </row>
        <row r="4">
          <cell r="A4" t="str">
            <v>Prozac</v>
          </cell>
          <cell r="B4">
            <v>2066</v>
          </cell>
          <cell r="C4">
            <v>2355.9</v>
          </cell>
          <cell r="D4">
            <v>2559.1999999999998</v>
          </cell>
          <cell r="E4">
            <v>2811.5</v>
          </cell>
          <cell r="F4">
            <v>2601.8000000000002</v>
          </cell>
          <cell r="G4">
            <v>2585.25</v>
          </cell>
          <cell r="H4">
            <v>1989.8999999999999</v>
          </cell>
          <cell r="I4">
            <v>733.8</v>
          </cell>
          <cell r="J4">
            <v>496.68299999999999</v>
          </cell>
          <cell r="K4">
            <v>434.59294999999997</v>
          </cell>
          <cell r="L4">
            <v>391.13365499999998</v>
          </cell>
          <cell r="M4">
            <v>352.02028949999999</v>
          </cell>
          <cell r="N4">
            <v>316.81826054999999</v>
          </cell>
          <cell r="P4" t="str">
            <v>Facing generic competition</v>
          </cell>
        </row>
        <row r="5">
          <cell r="A5" t="str">
            <v>Zyprexa</v>
          </cell>
          <cell r="B5" t="str">
            <v>-</v>
          </cell>
          <cell r="C5">
            <v>86.899999999999991</v>
          </cell>
          <cell r="D5">
            <v>730.19999999999993</v>
          </cell>
          <cell r="E5">
            <v>1443.2</v>
          </cell>
          <cell r="F5">
            <v>1868.1</v>
          </cell>
          <cell r="G5">
            <v>2366.1999999999998</v>
          </cell>
          <cell r="H5">
            <v>3086.6</v>
          </cell>
          <cell r="I5">
            <v>3689</v>
          </cell>
          <cell r="J5">
            <v>4204.3580000000002</v>
          </cell>
          <cell r="K5">
            <v>4653.54108</v>
          </cell>
          <cell r="L5">
            <v>5086.9857071999995</v>
          </cell>
          <cell r="M5">
            <v>5392.2048496320003</v>
          </cell>
          <cell r="N5">
            <v>5688.4510056019199</v>
          </cell>
          <cell r="P5" t="str">
            <v>Solid grower, litigation and diabetes risk pose a threat</v>
          </cell>
        </row>
        <row r="6">
          <cell r="A6" t="str">
            <v>Humulin</v>
          </cell>
          <cell r="B6">
            <v>794</v>
          </cell>
          <cell r="C6">
            <v>884.00000000000011</v>
          </cell>
          <cell r="D6">
            <v>936</v>
          </cell>
          <cell r="E6">
            <v>960.19999999999993</v>
          </cell>
          <cell r="F6">
            <v>1064.5</v>
          </cell>
          <cell r="G6">
            <v>1137.4000000000001</v>
          </cell>
          <cell r="H6">
            <v>1060.5</v>
          </cell>
          <cell r="I6">
            <v>1004</v>
          </cell>
          <cell r="J6">
            <v>942.68799999999987</v>
          </cell>
          <cell r="K6">
            <v>900.64123999999993</v>
          </cell>
          <cell r="L6">
            <v>900.64123999999993</v>
          </cell>
          <cell r="M6">
            <v>900.64123999999993</v>
          </cell>
          <cell r="N6">
            <v>900.64123999999993</v>
          </cell>
          <cell r="P6" t="str">
            <v>Declining sales from switching to Humalog</v>
          </cell>
        </row>
        <row r="7">
          <cell r="A7" t="str">
            <v>Gemzar</v>
          </cell>
          <cell r="B7" t="str">
            <v>-</v>
          </cell>
          <cell r="C7">
            <v>61.9</v>
          </cell>
          <cell r="D7">
            <v>174.8</v>
          </cell>
          <cell r="E7">
            <v>306.8</v>
          </cell>
          <cell r="F7">
            <v>453.09999999999997</v>
          </cell>
          <cell r="G7">
            <v>561.79999999999995</v>
          </cell>
          <cell r="H7">
            <v>722.7</v>
          </cell>
          <cell r="I7">
            <v>874.7</v>
          </cell>
          <cell r="J7">
            <v>969.12299999999993</v>
          </cell>
          <cell r="K7">
            <v>1060.7793199999999</v>
          </cell>
          <cell r="L7">
            <v>1151.3706837999998</v>
          </cell>
          <cell r="M7">
            <v>1238.211261504</v>
          </cell>
          <cell r="N7">
            <v>1319.2481374192798</v>
          </cell>
          <cell r="P7" t="str">
            <v xml:space="preserve">Enjoying solid growth from expanding indications  </v>
          </cell>
        </row>
        <row r="8">
          <cell r="A8" t="str">
            <v xml:space="preserve">ReoPro </v>
          </cell>
          <cell r="B8">
            <v>23</v>
          </cell>
          <cell r="C8">
            <v>148.69999999999999</v>
          </cell>
          <cell r="D8">
            <v>254.5</v>
          </cell>
          <cell r="E8">
            <v>365.4</v>
          </cell>
          <cell r="F8">
            <v>446.5</v>
          </cell>
          <cell r="G8">
            <v>418.9</v>
          </cell>
          <cell r="H8">
            <v>431.4</v>
          </cell>
          <cell r="I8">
            <v>384</v>
          </cell>
          <cell r="J8">
            <v>326.39999999999998</v>
          </cell>
          <cell r="K8">
            <v>293.76</v>
          </cell>
          <cell r="L8">
            <v>279.072</v>
          </cell>
          <cell r="M8">
            <v>265.11840000000001</v>
          </cell>
          <cell r="N8">
            <v>251.86248000000001</v>
          </cell>
          <cell r="P8" t="str">
            <v>Integrilin has taken share through pricing advantages.</v>
          </cell>
        </row>
        <row r="9">
          <cell r="A9" t="str">
            <v>Evista</v>
          </cell>
          <cell r="B9" t="str">
            <v>-</v>
          </cell>
          <cell r="C9" t="str">
            <v>-</v>
          </cell>
          <cell r="D9" t="str">
            <v>-</v>
          </cell>
          <cell r="E9">
            <v>144</v>
          </cell>
          <cell r="F9">
            <v>325.39999999999998</v>
          </cell>
          <cell r="G9">
            <v>522.20000000000005</v>
          </cell>
          <cell r="H9">
            <v>664.80000000000007</v>
          </cell>
          <cell r="I9">
            <v>821.90000000000009</v>
          </cell>
          <cell r="J9">
            <v>927.19900000000007</v>
          </cell>
          <cell r="K9">
            <v>1032.6744100000001</v>
          </cell>
          <cell r="L9">
            <v>1135.5047128000001</v>
          </cell>
          <cell r="M9">
            <v>1239.6301198240001</v>
          </cell>
          <cell r="N9">
            <v>1345.00327021168</v>
          </cell>
          <cell r="P9" t="str">
            <v xml:space="preserve">Strong growth on heels of the MORE study (reduced fracture risk, increased bone density). </v>
          </cell>
        </row>
        <row r="10">
          <cell r="A10" t="str">
            <v>Ceclor</v>
          </cell>
          <cell r="B10">
            <v>722</v>
          </cell>
          <cell r="C10">
            <v>542</v>
          </cell>
          <cell r="D10">
            <v>442.30000000000007</v>
          </cell>
          <cell r="E10">
            <v>398.70000000000005</v>
          </cell>
          <cell r="F10">
            <v>336.79999999999995</v>
          </cell>
          <cell r="G10">
            <v>292.14</v>
          </cell>
          <cell r="H10">
            <v>231.6</v>
          </cell>
          <cell r="I10">
            <v>197.39999999999998</v>
          </cell>
          <cell r="J10">
            <v>190.79899999999998</v>
          </cell>
          <cell r="K10">
            <v>185.07502999999997</v>
          </cell>
          <cell r="L10">
            <v>179.52277909999998</v>
          </cell>
          <cell r="M10">
            <v>174.13709572699997</v>
          </cell>
          <cell r="N10">
            <v>168.91298285518997</v>
          </cell>
          <cell r="P10" t="str">
            <v>Faces generic competition</v>
          </cell>
        </row>
        <row r="11">
          <cell r="A11" t="str">
            <v>Axid</v>
          </cell>
          <cell r="B11">
            <v>548</v>
          </cell>
          <cell r="C11">
            <v>531.29999999999995</v>
          </cell>
          <cell r="D11">
            <v>526.5</v>
          </cell>
          <cell r="E11">
            <v>418.4</v>
          </cell>
          <cell r="F11">
            <v>349.8</v>
          </cell>
          <cell r="G11">
            <v>326.27</v>
          </cell>
          <cell r="H11">
            <v>284.7</v>
          </cell>
          <cell r="I11">
            <v>112.7</v>
          </cell>
          <cell r="J11">
            <v>69.41</v>
          </cell>
          <cell r="K11">
            <v>65.718000000000004</v>
          </cell>
          <cell r="L11">
            <v>62.432099999999998</v>
          </cell>
          <cell r="M11">
            <v>60.559137</v>
          </cell>
          <cell r="N11">
            <v>58.742362890000003</v>
          </cell>
          <cell r="P11" t="str">
            <v>Patent expiration and PPI's further pressuring franchise sales.</v>
          </cell>
        </row>
        <row r="12">
          <cell r="A12" t="str">
            <v>Humatrope</v>
          </cell>
          <cell r="B12">
            <v>269</v>
          </cell>
          <cell r="C12">
            <v>267.89999999999998</v>
          </cell>
          <cell r="D12">
            <v>259.8</v>
          </cell>
          <cell r="E12">
            <v>268.10000000000002</v>
          </cell>
          <cell r="F12">
            <v>297.39999999999998</v>
          </cell>
          <cell r="G12">
            <v>303.29999999999995</v>
          </cell>
          <cell r="H12">
            <v>312.7</v>
          </cell>
          <cell r="I12">
            <v>329.29999999999995</v>
          </cell>
          <cell r="J12">
            <v>345.76499999999993</v>
          </cell>
          <cell r="K12">
            <v>359.59559999999993</v>
          </cell>
          <cell r="L12">
            <v>373.97942399999994</v>
          </cell>
          <cell r="M12">
            <v>388.93860095999992</v>
          </cell>
          <cell r="N12">
            <v>404.49614499839993</v>
          </cell>
          <cell r="P12" t="str">
            <v>Human Growth Hormone has flat growth</v>
          </cell>
        </row>
        <row r="13">
          <cell r="A13" t="str">
            <v>Humalog</v>
          </cell>
          <cell r="B13" t="str">
            <v>-</v>
          </cell>
          <cell r="C13">
            <v>20</v>
          </cell>
          <cell r="D13">
            <v>67.8</v>
          </cell>
          <cell r="E13">
            <v>129.89999999999998</v>
          </cell>
          <cell r="F13">
            <v>224.50000000000003</v>
          </cell>
          <cell r="G13">
            <v>350.24</v>
          </cell>
          <cell r="H13">
            <v>627.80000000000007</v>
          </cell>
          <cell r="I13">
            <v>834.19999999999993</v>
          </cell>
          <cell r="J13">
            <v>1011.606</v>
          </cell>
          <cell r="K13">
            <v>1176.2374199999999</v>
          </cell>
          <cell r="L13">
            <v>1352.673033</v>
          </cell>
          <cell r="M13">
            <v>1542.04725762</v>
          </cell>
          <cell r="N13">
            <v>1757.9338736868003</v>
          </cell>
          <cell r="P13" t="str">
            <v>Driven by Humulin switches and upgrades to pen delivery, mixtures</v>
          </cell>
        </row>
        <row r="14">
          <cell r="A14" t="str">
            <v>Actos</v>
          </cell>
          <cell r="G14">
            <v>224</v>
          </cell>
          <cell r="H14">
            <v>361</v>
          </cell>
          <cell r="I14">
            <v>392.09999999999997</v>
          </cell>
          <cell r="J14">
            <v>443.07299999999998</v>
          </cell>
          <cell r="K14">
            <v>487.38029999999998</v>
          </cell>
          <cell r="L14">
            <v>531.24452699999995</v>
          </cell>
          <cell r="M14">
            <v>318.74671619999992</v>
          </cell>
          <cell r="N14">
            <v>127.49868647999998</v>
          </cell>
          <cell r="P14" t="str">
            <v>Co-promoted w/Takeda; new competitive pressure from Avandamet</v>
          </cell>
        </row>
        <row r="15">
          <cell r="A15" t="str">
            <v>Xigris</v>
          </cell>
          <cell r="G15">
            <v>0</v>
          </cell>
          <cell r="H15">
            <v>21.1</v>
          </cell>
          <cell r="I15">
            <v>100.19999999999999</v>
          </cell>
          <cell r="J15">
            <v>168.62</v>
          </cell>
          <cell r="K15">
            <v>241.006</v>
          </cell>
          <cell r="L15">
            <v>329.28210000000001</v>
          </cell>
          <cell r="M15">
            <v>428.06673000000001</v>
          </cell>
          <cell r="N15">
            <v>522.23706990000005</v>
          </cell>
          <cell r="P15" t="str">
            <v>Ramp has been slower than expected due to restricitve labeling</v>
          </cell>
        </row>
        <row r="16">
          <cell r="A16" t="str">
            <v>Other diabetes</v>
          </cell>
          <cell r="F16">
            <v>137.19999999999999</v>
          </cell>
          <cell r="G16">
            <v>72.599999999999994</v>
          </cell>
          <cell r="H16">
            <v>75.899999999999991</v>
          </cell>
          <cell r="I16">
            <v>57.8</v>
          </cell>
          <cell r="J16">
            <v>52.019999999999996</v>
          </cell>
          <cell r="K16">
            <v>52.019999999999996</v>
          </cell>
          <cell r="L16">
            <v>52.019999999999996</v>
          </cell>
          <cell r="M16">
            <v>52.019999999999996</v>
          </cell>
          <cell r="N16">
            <v>52.019999999999996</v>
          </cell>
        </row>
        <row r="17">
          <cell r="A17" t="str">
            <v xml:space="preserve">  Forteo</v>
          </cell>
          <cell r="E17" t="str">
            <v xml:space="preserve"> </v>
          </cell>
          <cell r="I17">
            <v>5.5</v>
          </cell>
          <cell r="J17">
            <v>75</v>
          </cell>
          <cell r="K17">
            <v>150</v>
          </cell>
          <cell r="L17">
            <v>250</v>
          </cell>
          <cell r="M17">
            <v>335</v>
          </cell>
          <cell r="N17">
            <v>400</v>
          </cell>
          <cell r="P17" t="str">
            <v>PTH for treatment of osteoporosis; Approved 4Q02</v>
          </cell>
        </row>
        <row r="18">
          <cell r="A18" t="str">
            <v xml:space="preserve">  Glycopeptide/Oritavancin</v>
          </cell>
          <cell r="B18" t="str">
            <v>-</v>
          </cell>
          <cell r="C18" t="str">
            <v>-</v>
          </cell>
          <cell r="D18" t="str">
            <v>-</v>
          </cell>
          <cell r="H18" t="str">
            <v xml:space="preserve"> 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P18" t="str">
            <v>Outlicensed</v>
          </cell>
        </row>
        <row r="20">
          <cell r="A20" t="str">
            <v xml:space="preserve">  Strattera</v>
          </cell>
          <cell r="D20" t="str">
            <v>-</v>
          </cell>
          <cell r="H20" t="str">
            <v xml:space="preserve"> </v>
          </cell>
          <cell r="I20">
            <v>2.6</v>
          </cell>
          <cell r="J20">
            <v>175</v>
          </cell>
          <cell r="K20">
            <v>300</v>
          </cell>
          <cell r="L20">
            <v>400</v>
          </cell>
          <cell r="M20">
            <v>500</v>
          </cell>
          <cell r="N20">
            <v>600</v>
          </cell>
          <cell r="P20" t="str">
            <v xml:space="preserve">Approved 4Q02with non-stimulant label </v>
          </cell>
        </row>
        <row r="21">
          <cell r="A21" t="str">
            <v xml:space="preserve">  Alimta</v>
          </cell>
          <cell r="H21" t="str">
            <v xml:space="preserve"> </v>
          </cell>
          <cell r="I21">
            <v>0</v>
          </cell>
          <cell r="J21">
            <v>25</v>
          </cell>
          <cell r="K21">
            <v>100</v>
          </cell>
          <cell r="L21">
            <v>175</v>
          </cell>
          <cell r="M21">
            <v>250</v>
          </cell>
          <cell r="N21">
            <v>300</v>
          </cell>
          <cell r="P21" t="str">
            <v>Anticancer.  Rolling submission for mesothelioma started 4Q02.</v>
          </cell>
        </row>
        <row r="22">
          <cell r="A22" t="str">
            <v xml:space="preserve">  R- fluoxetine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P22" t="str">
            <v>Sepracor's single isomer version of Prozac was cancelled due to cardiac warning signals</v>
          </cell>
        </row>
        <row r="23">
          <cell r="A23" t="str">
            <v xml:space="preserve">  Cymbalta</v>
          </cell>
          <cell r="B23" t="str">
            <v>-</v>
          </cell>
          <cell r="C23" t="str">
            <v>-</v>
          </cell>
          <cell r="D23" t="str">
            <v>-</v>
          </cell>
          <cell r="J23">
            <v>50</v>
          </cell>
          <cell r="K23">
            <v>250</v>
          </cell>
          <cell r="L23">
            <v>500</v>
          </cell>
          <cell r="M23">
            <v>700</v>
          </cell>
          <cell r="N23">
            <v>1000</v>
          </cell>
          <cell r="P23" t="str">
            <v>Approvable for Dperession, SUI filed 4Q02</v>
          </cell>
        </row>
        <row r="24">
          <cell r="A24" t="str">
            <v xml:space="preserve">  PKC inhibitor</v>
          </cell>
          <cell r="K24">
            <v>0</v>
          </cell>
          <cell r="L24">
            <v>125</v>
          </cell>
          <cell r="M24">
            <v>300</v>
          </cell>
          <cell r="N24">
            <v>500</v>
          </cell>
          <cell r="P24" t="str">
            <v>Diabetic retinopathy and diabetic macular edema. Plan filing for late 2003.</v>
          </cell>
        </row>
        <row r="25">
          <cell r="A25" t="str">
            <v xml:space="preserve">  Olanzapine-fluoxetine combination</v>
          </cell>
          <cell r="K25">
            <v>100</v>
          </cell>
          <cell r="L25">
            <v>200</v>
          </cell>
          <cell r="M25">
            <v>300</v>
          </cell>
          <cell r="N25">
            <v>400</v>
          </cell>
          <cell r="P25" t="str">
            <v>Prozac/Zyprexa combination. Filed 4Q02</v>
          </cell>
        </row>
        <row r="26">
          <cell r="A26" t="str">
            <v xml:space="preserve">  Arzoxifene</v>
          </cell>
          <cell r="L26">
            <v>50</v>
          </cell>
          <cell r="M26">
            <v>100</v>
          </cell>
          <cell r="N26">
            <v>200</v>
          </cell>
          <cell r="P26" t="str">
            <v>SERM in Phase II</v>
          </cell>
        </row>
        <row r="27">
          <cell r="A27" t="str">
            <v xml:space="preserve">  Moxonidine</v>
          </cell>
          <cell r="D27" t="str">
            <v>-</v>
          </cell>
          <cell r="H27" t="str">
            <v xml:space="preserve"> </v>
          </cell>
          <cell r="J27">
            <v>0</v>
          </cell>
          <cell r="K27">
            <v>0</v>
          </cell>
          <cell r="L27">
            <v>0</v>
          </cell>
          <cell r="P27" t="str">
            <v>Programs discontinued for both congestive heart failure and hypertension.</v>
          </cell>
        </row>
        <row r="28">
          <cell r="A28" t="str">
            <v xml:space="preserve">  Exendin</v>
          </cell>
          <cell r="M28">
            <v>100</v>
          </cell>
          <cell r="N28">
            <v>200</v>
          </cell>
          <cell r="P28" t="str">
            <v>GLP Analogue in collaboration with Amylin</v>
          </cell>
        </row>
        <row r="30">
          <cell r="A30" t="str">
            <v xml:space="preserve">    New Product Total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8.1</v>
          </cell>
          <cell r="J30">
            <v>325</v>
          </cell>
          <cell r="K30">
            <v>900</v>
          </cell>
          <cell r="L30">
            <v>1700</v>
          </cell>
          <cell r="M30">
            <v>2585</v>
          </cell>
          <cell r="N30">
            <v>3600</v>
          </cell>
        </row>
        <row r="31">
          <cell r="A31" t="str">
            <v>Other</v>
          </cell>
          <cell r="B31">
            <v>1571.6</v>
          </cell>
          <cell r="C31">
            <v>1531</v>
          </cell>
          <cell r="D31">
            <v>1421.7</v>
          </cell>
          <cell r="E31">
            <v>1242.7000000000025</v>
          </cell>
          <cell r="F31">
            <v>1123.8000000000002</v>
          </cell>
          <cell r="G31">
            <v>1110.8999999999996</v>
          </cell>
          <cell r="H31">
            <v>975.10000000000036</v>
          </cell>
          <cell r="I31">
            <v>844.58</v>
          </cell>
          <cell r="J31">
            <v>789.90139999999997</v>
          </cell>
          <cell r="K31">
            <v>754.50791000000004</v>
          </cell>
          <cell r="L31">
            <v>728.82752870000013</v>
          </cell>
          <cell r="M31">
            <v>704.89576523899996</v>
          </cell>
          <cell r="N31">
            <v>682.57018820183021</v>
          </cell>
        </row>
        <row r="32">
          <cell r="A32" t="str">
            <v>Total Pharmaceuticals</v>
          </cell>
          <cell r="B32">
            <v>5993.6</v>
          </cell>
          <cell r="C32">
            <v>6429.5999999999995</v>
          </cell>
          <cell r="D32">
            <v>7372.8</v>
          </cell>
          <cell r="E32">
            <v>8488.9000000000015</v>
          </cell>
          <cell r="F32">
            <v>9228.9</v>
          </cell>
          <cell r="G32">
            <v>10271.199999999999</v>
          </cell>
          <cell r="H32">
            <v>10845.800000000001</v>
          </cell>
          <cell r="I32">
            <v>10383.780000000001</v>
          </cell>
          <cell r="J32">
            <v>11262.645400000001</v>
          </cell>
          <cell r="K32">
            <v>12597.529260000001</v>
          </cell>
          <cell r="L32">
            <v>14254.6894906</v>
          </cell>
          <cell r="M32">
            <v>15642.237463206002</v>
          </cell>
          <cell r="N32">
            <v>17196.435702795101</v>
          </cell>
          <cell r="P32">
            <v>0.18311688912318069</v>
          </cell>
          <cell r="Q32">
            <v>0.10615654258630615</v>
          </cell>
        </row>
        <row r="33">
          <cell r="A33" t="str">
            <v>Animal Health/Industrials</v>
          </cell>
          <cell r="B33">
            <v>512.4</v>
          </cell>
          <cell r="C33">
            <v>547.29999999999995</v>
          </cell>
          <cell r="D33">
            <v>589.79999999999995</v>
          </cell>
          <cell r="E33">
            <v>620.9</v>
          </cell>
          <cell r="F33">
            <v>635.5</v>
          </cell>
          <cell r="G33">
            <v>682.00000000000011</v>
          </cell>
          <cell r="H33">
            <v>696.6</v>
          </cell>
          <cell r="I33">
            <v>693.7</v>
          </cell>
          <cell r="J33">
            <v>693.7</v>
          </cell>
          <cell r="K33">
            <v>693.7</v>
          </cell>
          <cell r="L33">
            <v>693.7</v>
          </cell>
          <cell r="M33">
            <v>693.7</v>
          </cell>
          <cell r="N33">
            <v>693.7</v>
          </cell>
          <cell r="P33" t="str">
            <v>3-Year CAGR</v>
          </cell>
          <cell r="Q33" t="str">
            <v>5-Year CAGR</v>
          </cell>
        </row>
        <row r="34">
          <cell r="A34" t="str">
            <v>Total Revenues</v>
          </cell>
          <cell r="B34">
            <v>6506</v>
          </cell>
          <cell r="C34">
            <v>6976.9</v>
          </cell>
          <cell r="D34">
            <v>7962.6</v>
          </cell>
          <cell r="E34">
            <v>9109.8000000000011</v>
          </cell>
          <cell r="F34">
            <v>9864.2999999999993</v>
          </cell>
          <cell r="G34">
            <v>10953.199999999999</v>
          </cell>
          <cell r="H34">
            <v>11542.400000000001</v>
          </cell>
          <cell r="I34">
            <v>11077.480000000001</v>
          </cell>
          <cell r="J34">
            <v>11956.345400000002</v>
          </cell>
          <cell r="K34">
            <v>13291.229260000002</v>
          </cell>
          <cell r="L34">
            <v>14948.3894906</v>
          </cell>
          <cell r="M34">
            <v>16335.937463206003</v>
          </cell>
          <cell r="N34">
            <v>17890.135702795102</v>
          </cell>
          <cell r="P34">
            <v>0.17325087492637559</v>
          </cell>
          <cell r="Q34">
            <v>0.10061273094390182</v>
          </cell>
        </row>
        <row r="35">
          <cell r="A35" t="str">
            <v>COGS</v>
          </cell>
          <cell r="B35">
            <v>1885.7</v>
          </cell>
          <cell r="C35">
            <v>2118.4</v>
          </cell>
          <cell r="D35">
            <v>2362.9</v>
          </cell>
          <cell r="E35">
            <v>2015.1000000000001</v>
          </cell>
          <cell r="F35">
            <v>2085.8000000000002</v>
          </cell>
          <cell r="G35">
            <v>2067.8999999999996</v>
          </cell>
          <cell r="H35">
            <v>2160.1999999999998</v>
          </cell>
          <cell r="I35">
            <v>2176.5</v>
          </cell>
          <cell r="J35">
            <v>2546.7015701999999</v>
          </cell>
          <cell r="K35">
            <v>2804.4493738600004</v>
          </cell>
          <cell r="L35">
            <v>3109.2650140448004</v>
          </cell>
          <cell r="M35">
            <v>3365.2031174204362</v>
          </cell>
          <cell r="N35">
            <v>3649.5876833701996</v>
          </cell>
          <cell r="P35" t="str">
            <v>Improved product mix is driving gross margin expansion.</v>
          </cell>
        </row>
        <row r="36">
          <cell r="A36" t="str">
            <v>SG&amp;A</v>
          </cell>
          <cell r="B36">
            <v>1854</v>
          </cell>
          <cell r="C36">
            <v>1991.9</v>
          </cell>
          <cell r="D36">
            <v>2294</v>
          </cell>
          <cell r="E36">
            <v>2658.3</v>
          </cell>
          <cell r="F36">
            <v>2757.6000000000004</v>
          </cell>
          <cell r="G36">
            <v>3228.3</v>
          </cell>
          <cell r="H36">
            <v>3417.3999999999996</v>
          </cell>
          <cell r="I36">
            <v>3424</v>
          </cell>
          <cell r="J36">
            <v>3784.1833191000001</v>
          </cell>
          <cell r="K36">
            <v>4160.1547583800002</v>
          </cell>
          <cell r="L36">
            <v>4604.1039631048006</v>
          </cell>
          <cell r="M36">
            <v>4949.7890513514185</v>
          </cell>
          <cell r="N36">
            <v>5411.7660500955171</v>
          </cell>
          <cell r="P36" t="str">
            <v>Expect higher SG&amp;A spend in support of salesforce expansion in US and international</v>
          </cell>
        </row>
        <row r="37">
          <cell r="A37" t="str">
            <v>R&amp;D</v>
          </cell>
          <cell r="B37">
            <v>1042.3</v>
          </cell>
          <cell r="C37">
            <v>1189.5</v>
          </cell>
          <cell r="D37">
            <v>1382</v>
          </cell>
          <cell r="E37">
            <v>1738.9</v>
          </cell>
          <cell r="F37">
            <v>1783.6</v>
          </cell>
          <cell r="G37">
            <v>2018.5</v>
          </cell>
          <cell r="H37">
            <v>2235.1</v>
          </cell>
          <cell r="I37">
            <v>2149.3000000000002</v>
          </cell>
          <cell r="J37">
            <v>2331.487353</v>
          </cell>
          <cell r="K37">
            <v>2551.9160179200003</v>
          </cell>
          <cell r="L37">
            <v>2840.1940032140005</v>
          </cell>
          <cell r="M37">
            <v>3030.3163994247134</v>
          </cell>
          <cell r="N37">
            <v>3309.6751050170933</v>
          </cell>
        </row>
        <row r="38">
          <cell r="A38" t="str">
            <v>Operating Income</v>
          </cell>
          <cell r="D38">
            <v>2478.7000000000003</v>
          </cell>
          <cell r="E38">
            <v>2824.5</v>
          </cell>
          <cell r="F38">
            <v>3237.2999999999988</v>
          </cell>
          <cell r="G38">
            <v>3638.4999999999991</v>
          </cell>
          <cell r="H38">
            <v>3729.7000000000012</v>
          </cell>
          <cell r="I38">
            <v>3327.6800000000012</v>
          </cell>
          <cell r="J38">
            <v>3293.9731577000025</v>
          </cell>
          <cell r="K38">
            <v>3774.7091098400001</v>
          </cell>
          <cell r="L38">
            <v>4394.8265102363985</v>
          </cell>
          <cell r="M38">
            <v>4990.628895009434</v>
          </cell>
          <cell r="N38">
            <v>5519.1068643122926</v>
          </cell>
        </row>
        <row r="39">
          <cell r="A39" t="str">
            <v>Other Inc. (Exp). Net</v>
          </cell>
          <cell r="B39">
            <v>216.2</v>
          </cell>
          <cell r="C39">
            <v>107.5</v>
          </cell>
          <cell r="D39">
            <v>137.19999999999999</v>
          </cell>
          <cell r="E39">
            <v>-32</v>
          </cell>
          <cell r="F39">
            <v>-58.7</v>
          </cell>
          <cell r="G39">
            <v>85.6</v>
          </cell>
          <cell r="H39">
            <v>134.19999999999999</v>
          </cell>
          <cell r="I39">
            <v>214</v>
          </cell>
          <cell r="J39">
            <v>210.60578754264637</v>
          </cell>
          <cell r="K39">
            <v>290.40384863715224</v>
          </cell>
          <cell r="L39">
            <v>346.33804660956059</v>
          </cell>
          <cell r="M39">
            <v>420.79985125319928</v>
          </cell>
          <cell r="N39">
            <v>450</v>
          </cell>
          <cell r="P39" t="str">
            <v>Includes ICOS joint venture.</v>
          </cell>
        </row>
        <row r="40">
          <cell r="A40" t="str">
            <v>Pretax Income</v>
          </cell>
          <cell r="B40">
            <v>1507.8000000000002</v>
          </cell>
          <cell r="C40">
            <v>1569.5999999999995</v>
          </cell>
          <cell r="D40">
            <v>-692.20000000000073</v>
          </cell>
          <cell r="E40">
            <v>2792.5</v>
          </cell>
          <cell r="F40">
            <v>3178.599999999999</v>
          </cell>
          <cell r="G40">
            <v>3724.099999999999</v>
          </cell>
          <cell r="H40">
            <v>3863.900000000001</v>
          </cell>
          <cell r="I40">
            <v>3541.6800000000012</v>
          </cell>
          <cell r="J40">
            <v>3504.5789452426488</v>
          </cell>
          <cell r="K40">
            <v>4065.1129584771525</v>
          </cell>
          <cell r="L40">
            <v>4741.1645568459589</v>
          </cell>
          <cell r="M40">
            <v>5411.4287462626335</v>
          </cell>
          <cell r="N40">
            <v>5969.1068643122926</v>
          </cell>
        </row>
        <row r="41">
          <cell r="A41" t="str">
            <v>Taxes</v>
          </cell>
          <cell r="B41">
            <v>392.02800000000008</v>
          </cell>
          <cell r="C41">
            <v>391.77215999999987</v>
          </cell>
          <cell r="D41">
            <v>585.4</v>
          </cell>
          <cell r="E41">
            <v>619.39999999999986</v>
          </cell>
          <cell r="F41">
            <v>709.8</v>
          </cell>
          <cell r="G41">
            <v>819.2</v>
          </cell>
          <cell r="H41">
            <v>850.05800000000022</v>
          </cell>
          <cell r="I41">
            <v>779.16960000000029</v>
          </cell>
          <cell r="J41">
            <v>771.00736795338275</v>
          </cell>
          <cell r="K41">
            <v>894.32485086497354</v>
          </cell>
          <cell r="L41">
            <v>1043.056202506111</v>
          </cell>
          <cell r="M41">
            <v>1190.5143241777794</v>
          </cell>
          <cell r="N41">
            <v>1313.2035101487045</v>
          </cell>
        </row>
        <row r="42">
          <cell r="A42" t="str">
            <v>Tax Rate</v>
          </cell>
          <cell r="B42">
            <v>0.26</v>
          </cell>
          <cell r="C42">
            <v>0.24959999999999999</v>
          </cell>
          <cell r="D42">
            <v>-0.8457093325628422</v>
          </cell>
          <cell r="E42">
            <v>0.2218084153983885</v>
          </cell>
          <cell r="F42">
            <v>0.22330585792487265</v>
          </cell>
          <cell r="G42">
            <v>0.21997261083214745</v>
          </cell>
          <cell r="H42">
            <v>0.22</v>
          </cell>
          <cell r="I42">
            <v>0.22</v>
          </cell>
          <cell r="J42">
            <v>0.22</v>
          </cell>
          <cell r="K42">
            <v>0.22</v>
          </cell>
          <cell r="L42">
            <v>0.22</v>
          </cell>
          <cell r="M42">
            <v>0.22</v>
          </cell>
          <cell r="N42">
            <v>0.22</v>
          </cell>
        </row>
        <row r="43">
          <cell r="A43" t="str">
            <v>Net Income</v>
          </cell>
          <cell r="B43">
            <v>1115.7720000000002</v>
          </cell>
          <cell r="C43">
            <v>1177.8278399999995</v>
          </cell>
          <cell r="D43">
            <v>-1277.6000000000008</v>
          </cell>
          <cell r="E43">
            <v>2173.1000000000004</v>
          </cell>
          <cell r="F43">
            <v>2468.7999999999993</v>
          </cell>
          <cell r="G43">
            <v>2904.8999999999987</v>
          </cell>
          <cell r="H43">
            <v>3013.8420000000006</v>
          </cell>
          <cell r="I43">
            <v>2762.510400000001</v>
          </cell>
          <cell r="J43">
            <v>2733.5715772892663</v>
          </cell>
          <cell r="K43">
            <v>3170.7881076121789</v>
          </cell>
          <cell r="L43">
            <v>3698.1083543398481</v>
          </cell>
          <cell r="M43">
            <v>4220.9144220848539</v>
          </cell>
          <cell r="N43">
            <v>4655.9033541635881</v>
          </cell>
          <cell r="P43" t="str">
            <v>3-Year CAGR</v>
          </cell>
          <cell r="Q43" t="str">
            <v>5-Year CAGR</v>
          </cell>
        </row>
        <row r="44">
          <cell r="A44" t="str">
            <v xml:space="preserve">EPS </v>
          </cell>
          <cell r="C44" t="e">
            <v>#REF!</v>
          </cell>
          <cell r="D44" t="e">
            <v>#REF!</v>
          </cell>
          <cell r="E44">
            <v>1.9300000000000002</v>
          </cell>
          <cell r="F44">
            <v>2.2331776721953069</v>
          </cell>
          <cell r="G44">
            <v>2.6475219306655244</v>
          </cell>
          <cell r="H44">
            <v>2.7629825273906241</v>
          </cell>
          <cell r="I44">
            <v>2.5458860479518721</v>
          </cell>
          <cell r="J44">
            <v>2.5218938916036246</v>
          </cell>
          <cell r="K44">
            <v>2.9252539888076226</v>
          </cell>
          <cell r="L44">
            <v>3.4117405034428678</v>
          </cell>
          <cell r="M44">
            <v>3.8940624004414044</v>
          </cell>
          <cell r="N44">
            <v>4.2953673963809562</v>
          </cell>
          <cell r="P44">
            <v>0.19047547181752694</v>
          </cell>
          <cell r="Q44">
            <v>0.11027937193316943</v>
          </cell>
        </row>
        <row r="45">
          <cell r="A45" t="str">
            <v>ANNUAL EPS GROWTH</v>
          </cell>
          <cell r="E45">
            <v>0.22929936305732479</v>
          </cell>
          <cell r="F45">
            <v>0.15708687678513303</v>
          </cell>
          <cell r="G45">
            <v>0.18554021188242481</v>
          </cell>
          <cell r="H45">
            <v>4.3610817870005557E-2</v>
          </cell>
          <cell r="I45">
            <v>-7.85732364524864E-2</v>
          </cell>
          <cell r="J45">
            <v>-9.4238924666517621E-3</v>
          </cell>
          <cell r="K45">
            <v>0.15994332614347578</v>
          </cell>
          <cell r="L45">
            <v>0.16630573498800508</v>
          </cell>
          <cell r="M45">
            <v>0.14137121405095557</v>
          </cell>
          <cell r="N45">
            <v>0.10305561510623523</v>
          </cell>
        </row>
        <row r="46">
          <cell r="A46" t="str">
            <v>Avg. Shares Out.</v>
          </cell>
          <cell r="C46">
            <v>1117.1099999999999</v>
          </cell>
          <cell r="D46">
            <v>1130.579</v>
          </cell>
          <cell r="E46">
            <v>1121.4860000000001</v>
          </cell>
          <cell r="F46">
            <v>1106.0550000000001</v>
          </cell>
          <cell r="G46">
            <v>1097.7</v>
          </cell>
          <cell r="H46">
            <v>1090.7929999999999</v>
          </cell>
          <cell r="I46">
            <v>1085.088</v>
          </cell>
          <cell r="J46">
            <v>1083.9359999999999</v>
          </cell>
          <cell r="K46">
            <v>1083.9359999999999</v>
          </cell>
          <cell r="L46">
            <v>1083.9359999999999</v>
          </cell>
          <cell r="M46">
            <v>1083.9359999999999</v>
          </cell>
          <cell r="N46">
            <v>1083.9359999999999</v>
          </cell>
        </row>
        <row r="47">
          <cell r="A47" t="str">
            <v>DPS</v>
          </cell>
          <cell r="D47">
            <v>0.74</v>
          </cell>
          <cell r="E47">
            <v>0.8</v>
          </cell>
          <cell r="F47">
            <v>0.92</v>
          </cell>
          <cell r="G47">
            <v>1.04</v>
          </cell>
          <cell r="H47">
            <v>1.2</v>
          </cell>
          <cell r="I47">
            <v>1.36</v>
          </cell>
          <cell r="J47">
            <v>1.52</v>
          </cell>
          <cell r="K47">
            <v>1.68</v>
          </cell>
          <cell r="L47">
            <v>1.86</v>
          </cell>
          <cell r="M47">
            <v>2.0646000000000004</v>
          </cell>
          <cell r="N47">
            <v>2.0646000000000004</v>
          </cell>
        </row>
        <row r="48">
          <cell r="A48" t="str">
            <v>Dividend Payout Ratio</v>
          </cell>
          <cell r="E48">
            <v>0.41450777202072536</v>
          </cell>
          <cell r="F48">
            <v>0.41196901234266847</v>
          </cell>
          <cell r="G48">
            <v>0.39282016437860767</v>
          </cell>
          <cell r="H48">
            <v>0.43431327853284929</v>
          </cell>
          <cell r="I48">
            <v>0.53419515814311491</v>
          </cell>
          <cell r="J48">
            <v>0.60272163117594957</v>
          </cell>
          <cell r="K48">
            <v>0.57430910492828458</v>
          </cell>
          <cell r="L48">
            <v>0.5451762811746762</v>
          </cell>
          <cell r="M48">
            <v>0.53019181196633403</v>
          </cell>
          <cell r="N48">
            <v>0.48065737094794742</v>
          </cell>
        </row>
        <row r="49">
          <cell r="A49" t="str">
            <v>E= Morgan Stanley Research estimates</v>
          </cell>
        </row>
        <row r="53">
          <cell r="A53" t="str">
            <v>Margin Analysis</v>
          </cell>
        </row>
        <row r="54">
          <cell r="A54" t="str">
            <v>COGS</v>
          </cell>
          <cell r="B54">
            <v>0.28984014755610205</v>
          </cell>
          <cell r="C54">
            <v>0.30363055225099977</v>
          </cell>
          <cell r="D54">
            <v>0.29674980533996431</v>
          </cell>
          <cell r="E54">
            <v>0.2212013436079826</v>
          </cell>
          <cell r="F54">
            <v>0.21144936792271121</v>
          </cell>
          <cell r="G54">
            <v>0.18879414235109374</v>
          </cell>
          <cell r="H54">
            <v>0.18715345162184638</v>
          </cell>
          <cell r="I54">
            <v>0.19647970477039903</v>
          </cell>
          <cell r="J54">
            <v>0.21299999999999997</v>
          </cell>
          <cell r="K54">
            <v>0.21099999999999999</v>
          </cell>
          <cell r="L54">
            <v>0.20800000000000002</v>
          </cell>
          <cell r="M54">
            <v>0.20599999999999999</v>
          </cell>
          <cell r="N54">
            <v>0.20399999999999993</v>
          </cell>
        </row>
        <row r="55">
          <cell r="A55" t="str">
            <v>SG&amp;A</v>
          </cell>
          <cell r="B55">
            <v>28.496772210267444</v>
          </cell>
          <cell r="C55">
            <v>28.549929051584517</v>
          </cell>
          <cell r="D55">
            <v>28.809685278677815</v>
          </cell>
          <cell r="E55">
            <v>29.180662583152206</v>
          </cell>
          <cell r="F55">
            <v>27.955354155895506</v>
          </cell>
          <cell r="G55">
            <v>29.47357849760801</v>
          </cell>
          <cell r="H55">
            <v>29.607360687551974</v>
          </cell>
          <cell r="I55">
            <v>30.909557047270674</v>
          </cell>
          <cell r="J55">
            <v>31.649999999999995</v>
          </cell>
          <cell r="K55">
            <v>31.299999999999994</v>
          </cell>
          <cell r="L55">
            <v>30.800000000000004</v>
          </cell>
          <cell r="M55">
            <v>30.3</v>
          </cell>
          <cell r="N55">
            <v>30.249999999999993</v>
          </cell>
        </row>
        <row r="56">
          <cell r="A56" t="str">
            <v>R&amp;D</v>
          </cell>
          <cell r="B56">
            <v>16.020596372579156</v>
          </cell>
          <cell r="C56">
            <v>17.049119236337056</v>
          </cell>
          <cell r="D56">
            <v>17.356139954286288</v>
          </cell>
          <cell r="E56">
            <v>19.088234648400622</v>
          </cell>
          <cell r="F56">
            <v>18.08136411098608</v>
          </cell>
          <cell r="G56">
            <v>18.428404484534202</v>
          </cell>
          <cell r="H56">
            <v>19.364257000277235</v>
          </cell>
          <cell r="I56">
            <v>19.402427266851305</v>
          </cell>
          <cell r="J56">
            <v>19.499999999999996</v>
          </cell>
          <cell r="K56">
            <v>19.2</v>
          </cell>
          <cell r="L56">
            <v>19.000000000000004</v>
          </cell>
          <cell r="M56">
            <v>18.55</v>
          </cell>
          <cell r="N56">
            <v>18.499999999999996</v>
          </cell>
        </row>
        <row r="57">
          <cell r="A57" t="str">
            <v>Operating Income</v>
          </cell>
          <cell r="E57">
            <v>31.005071461502993</v>
          </cell>
          <cell r="F57">
            <v>32.81834494084729</v>
          </cell>
          <cell r="G57">
            <v>33.218602782748412</v>
          </cell>
          <cell r="H57">
            <v>32.313037149986144</v>
          </cell>
          <cell r="I57">
            <v>30.040045208838116</v>
          </cell>
          <cell r="J57">
            <v>27.550000000000018</v>
          </cell>
          <cell r="K57">
            <v>28.4</v>
          </cell>
          <cell r="L57">
            <v>29.399999999999988</v>
          </cell>
          <cell r="M57">
            <v>30.55</v>
          </cell>
          <cell r="N57">
            <v>30.850000000000023</v>
          </cell>
        </row>
        <row r="58">
          <cell r="A58" t="str">
            <v>Pretax Income</v>
          </cell>
          <cell r="B58">
            <v>23.175530279741778</v>
          </cell>
          <cell r="C58">
            <v>22.497097564821043</v>
          </cell>
          <cell r="D58">
            <v>-8.6931404315173531</v>
          </cell>
          <cell r="E58">
            <v>30.65380140068936</v>
          </cell>
          <cell r="F58">
            <v>32.223269770789607</v>
          </cell>
          <cell r="G58">
            <v>34.00010955702443</v>
          </cell>
          <cell r="H58">
            <v>33.47570695869144</v>
          </cell>
          <cell r="I58">
            <v>31.971892524292535</v>
          </cell>
          <cell r="J58">
            <v>29.311456201680556</v>
          </cell>
          <cell r="K58">
            <v>30.58492844383569</v>
          </cell>
          <cell r="L58">
            <v>31.7168920426334</v>
          </cell>
          <cell r="M58">
            <v>33.125914924998831</v>
          </cell>
          <cell r="N58">
            <v>33.365352636088147</v>
          </cell>
        </row>
        <row r="59">
          <cell r="A59" t="str">
            <v xml:space="preserve">Net Income </v>
          </cell>
          <cell r="B59">
            <v>17.149892407008917</v>
          </cell>
          <cell r="C59">
            <v>16.881822012641713</v>
          </cell>
          <cell r="D59">
            <v>-16.04501042373095</v>
          </cell>
          <cell r="E59">
            <v>23.854530286065557</v>
          </cell>
          <cell r="F59">
            <v>25.027624869478821</v>
          </cell>
          <cell r="G59">
            <v>26.521016689186709</v>
          </cell>
          <cell r="H59">
            <v>26.111051427779319</v>
          </cell>
          <cell r="I59">
            <v>24.938076168948179</v>
          </cell>
          <cell r="J59">
            <v>22.86293583731084</v>
          </cell>
          <cell r="K59">
            <v>23.856244186191837</v>
          </cell>
          <cell r="L59">
            <v>24.739175793254052</v>
          </cell>
          <cell r="M59">
            <v>25.838213641499092</v>
          </cell>
          <cell r="N59">
            <v>26.024975056148758</v>
          </cell>
        </row>
        <row r="61">
          <cell r="A61" t="str">
            <v>Growth Analysis</v>
          </cell>
        </row>
        <row r="62">
          <cell r="A62" t="str">
            <v>Sales</v>
          </cell>
          <cell r="B62" t="str">
            <v>-</v>
          </cell>
          <cell r="C62">
            <v>7.2379342145711595E-2</v>
          </cell>
          <cell r="D62">
            <v>0.14128051140191214</v>
          </cell>
          <cell r="E62" t="str">
            <v>--</v>
          </cell>
          <cell r="F62">
            <v>8.2822894026213317E-2</v>
          </cell>
          <cell r="G62">
            <v>0.11038796468071731</v>
          </cell>
          <cell r="H62">
            <v>5.3792498995727515E-2</v>
          </cell>
          <cell r="I62">
            <v>-4.0279317992791795E-2</v>
          </cell>
          <cell r="J62">
            <v>7.933802633812026E-2</v>
          </cell>
          <cell r="K62">
            <v>0.11164647853013679</v>
          </cell>
          <cell r="L62">
            <v>0.12468073480511151</v>
          </cell>
          <cell r="M62">
            <v>9.2822572858335964E-2</v>
          </cell>
          <cell r="N62">
            <v>9.513982549759839E-2</v>
          </cell>
        </row>
        <row r="63">
          <cell r="A63" t="str">
            <v>COGS</v>
          </cell>
          <cell r="B63" t="str">
            <v>-</v>
          </cell>
          <cell r="C63">
            <v>12.340245001856076</v>
          </cell>
          <cell r="D63">
            <v>11.541729607250755</v>
          </cell>
          <cell r="E63" t="str">
            <v>--</v>
          </cell>
          <cell r="F63">
            <v>3.5085107438836802</v>
          </cell>
          <cell r="G63">
            <v>-0.85818391025028973</v>
          </cell>
          <cell r="H63">
            <v>4.4634653513226077</v>
          </cell>
          <cell r="I63">
            <v>0.75455976298491734</v>
          </cell>
          <cell r="J63">
            <v>17.009031481736727</v>
          </cell>
          <cell r="K63">
            <v>10.120848342656764</v>
          </cell>
          <cell r="L63">
            <v>10.869001345717164</v>
          </cell>
          <cell r="M63">
            <v>8.2314663503928678</v>
          </cell>
          <cell r="N63">
            <v>8.4507400007330187</v>
          </cell>
        </row>
        <row r="64">
          <cell r="A64" t="str">
            <v xml:space="preserve">SG&amp;A </v>
          </cell>
          <cell r="B64" t="str">
            <v>-</v>
          </cell>
          <cell r="C64">
            <v>7.4379719525350652</v>
          </cell>
          <cell r="D64">
            <v>15.166424017269939</v>
          </cell>
          <cell r="E64" t="str">
            <v>--</v>
          </cell>
          <cell r="F64">
            <v>3.735470037241853</v>
          </cell>
          <cell r="G64">
            <v>17.069190600522184</v>
          </cell>
          <cell r="H64">
            <v>5.8575720967691796</v>
          </cell>
          <cell r="I64">
            <v>0.19312927956927384</v>
          </cell>
          <cell r="J64">
            <v>10.519372637266358</v>
          </cell>
          <cell r="K64">
            <v>9.9353389510056349</v>
          </cell>
          <cell r="L64">
            <v>10.671458888170738</v>
          </cell>
          <cell r="M64">
            <v>7.5081946675570581</v>
          </cell>
          <cell r="N64">
            <v>9.333266406938435</v>
          </cell>
        </row>
        <row r="65">
          <cell r="A65" t="str">
            <v>R&amp;D</v>
          </cell>
          <cell r="B65" t="str">
            <v>-</v>
          </cell>
          <cell r="C65">
            <v>14.122613451021785</v>
          </cell>
          <cell r="D65">
            <v>16.183270281630939</v>
          </cell>
          <cell r="E65" t="str">
            <v>--</v>
          </cell>
          <cell r="F65">
            <v>2.5705906032549208</v>
          </cell>
          <cell r="G65">
            <v>13.169993272034095</v>
          </cell>
          <cell r="H65">
            <v>10.730740648996775</v>
          </cell>
          <cell r="I65">
            <v>-3.8387544181468272</v>
          </cell>
          <cell r="J65">
            <v>8.4765901921555749</v>
          </cell>
          <cell r="K65">
            <v>9.4544225014288674</v>
          </cell>
          <cell r="L65">
            <v>11.296531048422514</v>
          </cell>
          <cell r="M65">
            <v>6.6939932974848864</v>
          </cell>
          <cell r="N65">
            <v>9.2187966129680188</v>
          </cell>
        </row>
        <row r="66">
          <cell r="A66" t="str">
            <v>Operating Income</v>
          </cell>
          <cell r="E66" t="str">
            <v>--</v>
          </cell>
          <cell r="F66">
            <v>14.614976101964908</v>
          </cell>
          <cell r="G66">
            <v>12.393043585704149</v>
          </cell>
          <cell r="H66">
            <v>2.506527415143661</v>
          </cell>
          <cell r="I66">
            <v>-10.77888302008204</v>
          </cell>
          <cell r="J66">
            <v>-1.0129231867246455</v>
          </cell>
          <cell r="K66">
            <v>14.594410127970461</v>
          </cell>
          <cell r="L66">
            <v>16.428216912923482</v>
          </cell>
          <cell r="M66">
            <v>13.556903404157067</v>
          </cell>
          <cell r="N66">
            <v>10.589406273652804</v>
          </cell>
        </row>
        <row r="67">
          <cell r="A67" t="str">
            <v>Pretax Income</v>
          </cell>
          <cell r="B67" t="str">
            <v>-</v>
          </cell>
          <cell r="C67">
            <v>4.0986868284917941</v>
          </cell>
          <cell r="D67">
            <v>-144.10040774719678</v>
          </cell>
          <cell r="E67" t="str">
            <v>--</v>
          </cell>
          <cell r="F67">
            <v>13.826320501342849</v>
          </cell>
          <cell r="G67">
            <v>17.161643490845034</v>
          </cell>
          <cell r="H67">
            <v>3.7539271233318661</v>
          </cell>
          <cell r="I67">
            <v>-8.3392427340252002</v>
          </cell>
          <cell r="J67">
            <v>-1.0475552494113627</v>
          </cell>
          <cell r="K67">
            <v>15.994332614347586</v>
          </cell>
          <cell r="L67">
            <v>16.630573498800505</v>
          </cell>
          <cell r="M67">
            <v>14.137121405095568</v>
          </cell>
          <cell r="N67">
            <v>10.305561510623525</v>
          </cell>
        </row>
        <row r="68">
          <cell r="A68" t="str">
            <v xml:space="preserve">Net Income </v>
          </cell>
          <cell r="B68" t="str">
            <v>-</v>
          </cell>
          <cell r="C68">
            <v>5.5616954001354486</v>
          </cell>
          <cell r="D68">
            <v>-208.47086107253173</v>
          </cell>
          <cell r="E68" t="str">
            <v>--</v>
          </cell>
          <cell r="F68">
            <v>13.607289126133121</v>
          </cell>
          <cell r="G68">
            <v>17.664452365521694</v>
          </cell>
          <cell r="H68">
            <v>3.7502840028917301</v>
          </cell>
          <cell r="I68">
            <v>-8.3392427340251896</v>
          </cell>
          <cell r="J68">
            <v>-1.0475552494113578</v>
          </cell>
          <cell r="K68">
            <v>15.994332614347575</v>
          </cell>
          <cell r="L68">
            <v>16.630573498800512</v>
          </cell>
          <cell r="M68">
            <v>14.137121405095558</v>
          </cell>
          <cell r="N68">
            <v>10.305561510623528</v>
          </cell>
        </row>
        <row r="69">
          <cell r="A69" t="str">
            <v xml:space="preserve">EPS </v>
          </cell>
          <cell r="B69" t="str">
            <v>-</v>
          </cell>
          <cell r="C69" t="e">
            <v>#REF!</v>
          </cell>
          <cell r="D69" t="e">
            <v>#REF!</v>
          </cell>
          <cell r="E69" t="str">
            <v>--</v>
          </cell>
          <cell r="F69">
            <v>15.708687678513304</v>
          </cell>
          <cell r="G69">
            <v>18.55402118824248</v>
          </cell>
          <cell r="H69">
            <v>4.3610817870005558</v>
          </cell>
          <cell r="I69">
            <v>-7.8573236452486404</v>
          </cell>
          <cell r="J69">
            <v>-0.94238924666517621</v>
          </cell>
          <cell r="K69">
            <v>15.994332614347579</v>
          </cell>
          <cell r="L69">
            <v>16.630573498800509</v>
          </cell>
          <cell r="M69">
            <v>14.137121405095558</v>
          </cell>
          <cell r="N69">
            <v>10.305561510623523</v>
          </cell>
        </row>
        <row r="71">
          <cell r="A71" t="str">
            <v>(a) LLY books the total sales of CNTO's ReoPro but recognizes 50% of its profits.</v>
          </cell>
        </row>
        <row r="72">
          <cell r="A72" t="str">
            <v>E = Morgan Stanley Research Estimates</v>
          </cell>
        </row>
      </sheetData>
      <sheetData sheetId="7" refreshError="1">
        <row r="1">
          <cell r="A1" t="str">
            <v>Table 3</v>
          </cell>
        </row>
        <row r="2">
          <cell r="A2" t="str">
            <v>Eli Lilly</v>
          </cell>
        </row>
        <row r="3">
          <cell r="A3" t="str">
            <v>Quarterly Income Statement Analysis, 2000-2007E</v>
          </cell>
        </row>
        <row r="4">
          <cell r="A4" t="str">
            <v>($ Millions Except EPS)</v>
          </cell>
          <cell r="G4" t="str">
            <v xml:space="preserve"> </v>
          </cell>
          <cell r="H4" t="str">
            <v>Non-Operating Items</v>
          </cell>
        </row>
        <row r="5">
          <cell r="D5" t="str">
            <v xml:space="preserve">  Gross</v>
          </cell>
          <cell r="G5" t="str">
            <v xml:space="preserve"> Oper.</v>
          </cell>
          <cell r="H5" t="str">
            <v>Net Int</v>
          </cell>
          <cell r="I5" t="str">
            <v>Dow</v>
          </cell>
          <cell r="J5" t="str">
            <v>PCS</v>
          </cell>
          <cell r="K5" t="str">
            <v xml:space="preserve">ICOS </v>
          </cell>
          <cell r="N5" t="str">
            <v>Pretax</v>
          </cell>
          <cell r="O5" t="str">
            <v xml:space="preserve">    Tax</v>
          </cell>
          <cell r="Q5" t="str">
            <v xml:space="preserve">   Net</v>
          </cell>
          <cell r="R5" t="str">
            <v xml:space="preserve">Avg. </v>
          </cell>
          <cell r="S5" t="str">
            <v>Oper.</v>
          </cell>
          <cell r="T5" t="str">
            <v>Payout</v>
          </cell>
          <cell r="V5" t="str">
            <v>Cont.</v>
          </cell>
          <cell r="W5" t="str">
            <v>80%</v>
          </cell>
          <cell r="X5" t="str">
            <v>Rep.</v>
          </cell>
        </row>
        <row r="6">
          <cell r="B6" t="str">
            <v>Sales</v>
          </cell>
          <cell r="C6" t="str">
            <v>COGS</v>
          </cell>
          <cell r="D6" t="str">
            <v>Profit</v>
          </cell>
          <cell r="E6" t="str">
            <v>SG&amp;A</v>
          </cell>
          <cell r="F6" t="str">
            <v>R&amp;D</v>
          </cell>
          <cell r="G6" t="str">
            <v>Inc.</v>
          </cell>
          <cell r="H6" t="str">
            <v>Inc.</v>
          </cell>
          <cell r="I6" t="str">
            <v>Elanco</v>
          </cell>
          <cell r="J6" t="str">
            <v>Gdwill</v>
          </cell>
          <cell r="K6" t="str">
            <v>JV</v>
          </cell>
          <cell r="L6" t="str">
            <v>Other</v>
          </cell>
          <cell r="M6" t="str">
            <v>Total</v>
          </cell>
          <cell r="N6" t="str">
            <v>Inc.</v>
          </cell>
          <cell r="O6" t="str">
            <v xml:space="preserve">   Rate</v>
          </cell>
          <cell r="P6" t="str">
            <v>Tax</v>
          </cell>
          <cell r="Q6" t="str">
            <v>Inc.</v>
          </cell>
          <cell r="R6" t="str">
            <v xml:space="preserve">Shs. </v>
          </cell>
          <cell r="S6" t="str">
            <v>EPS</v>
          </cell>
          <cell r="T6" t="str">
            <v>Ratio</v>
          </cell>
          <cell r="U6" t="str">
            <v>DPS</v>
          </cell>
          <cell r="V6" t="str">
            <v>Oper.</v>
          </cell>
          <cell r="W6" t="str">
            <v>Guidant</v>
          </cell>
          <cell r="X6" t="str">
            <v>EPS</v>
          </cell>
        </row>
        <row r="8">
          <cell r="A8" t="str">
            <v>1989</v>
          </cell>
          <cell r="B8">
            <v>4175.6000000000004</v>
          </cell>
          <cell r="C8">
            <v>1255.8</v>
          </cell>
          <cell r="D8">
            <v>2919.8</v>
          </cell>
          <cell r="E8">
            <v>1149.5999999999999</v>
          </cell>
          <cell r="F8">
            <v>605.4</v>
          </cell>
          <cell r="G8">
            <v>1164.8</v>
          </cell>
          <cell r="H8">
            <v>74.599999999999994</v>
          </cell>
          <cell r="I8">
            <v>66.5</v>
          </cell>
          <cell r="L8">
            <v>24</v>
          </cell>
          <cell r="M8">
            <v>165.1</v>
          </cell>
          <cell r="N8">
            <v>1329.9</v>
          </cell>
          <cell r="O8">
            <v>0.29355590645913227</v>
          </cell>
          <cell r="P8">
            <v>390.4</v>
          </cell>
          <cell r="Q8">
            <v>939.5</v>
          </cell>
          <cell r="R8">
            <v>1178.028</v>
          </cell>
          <cell r="S8">
            <v>0.8</v>
          </cell>
        </row>
        <row r="9">
          <cell r="A9" t="str">
            <v>1990</v>
          </cell>
          <cell r="B9">
            <v>5191.6000000000004</v>
          </cell>
          <cell r="C9">
            <v>1523.3</v>
          </cell>
          <cell r="D9">
            <v>3668.3</v>
          </cell>
          <cell r="E9">
            <v>1426.2</v>
          </cell>
          <cell r="F9">
            <v>702.7</v>
          </cell>
          <cell r="G9">
            <v>1539.4</v>
          </cell>
          <cell r="H9">
            <v>59</v>
          </cell>
          <cell r="I9">
            <v>58.9</v>
          </cell>
          <cell r="L9">
            <v>-58.3</v>
          </cell>
          <cell r="M9">
            <v>59.6</v>
          </cell>
          <cell r="N9">
            <v>1599</v>
          </cell>
          <cell r="O9">
            <v>0.29499687304565353</v>
          </cell>
          <cell r="P9">
            <v>471.7</v>
          </cell>
          <cell r="Q9">
            <v>1127.3</v>
          </cell>
          <cell r="R9">
            <v>1160</v>
          </cell>
          <cell r="S9">
            <v>0.97499999999999998</v>
          </cell>
        </row>
        <row r="10">
          <cell r="A10" t="str">
            <v>1991</v>
          </cell>
          <cell r="B10">
            <v>5725.7</v>
          </cell>
          <cell r="C10">
            <v>1717.7</v>
          </cell>
          <cell r="D10">
            <v>4008</v>
          </cell>
          <cell r="E10">
            <v>1472.8</v>
          </cell>
          <cell r="F10">
            <v>766.9</v>
          </cell>
          <cell r="G10">
            <v>1768.3</v>
          </cell>
          <cell r="H10">
            <v>65.400000000000006</v>
          </cell>
          <cell r="I10">
            <v>57</v>
          </cell>
          <cell r="L10">
            <v>-11.5</v>
          </cell>
          <cell r="M10">
            <v>110.9</v>
          </cell>
          <cell r="N10">
            <v>1879.2</v>
          </cell>
          <cell r="O10">
            <v>0.30039378458918692</v>
          </cell>
          <cell r="P10">
            <v>564.5</v>
          </cell>
          <cell r="Q10">
            <v>1314.7</v>
          </cell>
          <cell r="R10">
            <v>1176.9760000000001</v>
          </cell>
          <cell r="S10">
            <v>1.125</v>
          </cell>
        </row>
        <row r="11">
          <cell r="A11" t="str">
            <v>1992</v>
          </cell>
          <cell r="B11">
            <v>6167.3</v>
          </cell>
          <cell r="C11">
            <v>1809.5</v>
          </cell>
          <cell r="D11">
            <v>4357.8</v>
          </cell>
          <cell r="E11">
            <v>1575</v>
          </cell>
          <cell r="F11">
            <v>861.3</v>
          </cell>
          <cell r="G11">
            <v>1921.5</v>
          </cell>
          <cell r="H11">
            <v>4.3</v>
          </cell>
          <cell r="I11">
            <v>52</v>
          </cell>
          <cell r="L11">
            <v>-29.3</v>
          </cell>
          <cell r="M11">
            <v>27</v>
          </cell>
          <cell r="N11">
            <v>1948.5</v>
          </cell>
          <cell r="O11">
            <v>0.30254041570438794</v>
          </cell>
          <cell r="P11">
            <v>589.5</v>
          </cell>
          <cell r="Q11">
            <v>1359</v>
          </cell>
          <cell r="R11">
            <v>1178.259</v>
          </cell>
          <cell r="S11">
            <v>1.156125632060605</v>
          </cell>
        </row>
        <row r="12">
          <cell r="A12">
            <v>1993</v>
          </cell>
          <cell r="B12">
            <v>5198.5</v>
          </cell>
          <cell r="C12">
            <v>1448</v>
          </cell>
          <cell r="D12">
            <v>3750.5</v>
          </cell>
          <cell r="E12">
            <v>1332.5</v>
          </cell>
          <cell r="F12">
            <v>754.9</v>
          </cell>
          <cell r="G12">
            <v>1663.1</v>
          </cell>
          <cell r="H12">
            <v>-20.2</v>
          </cell>
          <cell r="I12">
            <v>64</v>
          </cell>
          <cell r="J12" t="str">
            <v xml:space="preserve">    --</v>
          </cell>
          <cell r="L12">
            <v>-11.4</v>
          </cell>
          <cell r="M12">
            <v>32.4</v>
          </cell>
          <cell r="N12">
            <v>1695.5</v>
          </cell>
          <cell r="O12">
            <v>0.32851666175169564</v>
          </cell>
          <cell r="P12">
            <v>557</v>
          </cell>
          <cell r="Q12">
            <v>1138.5</v>
          </cell>
          <cell r="R12">
            <v>1176.068</v>
          </cell>
          <cell r="S12">
            <v>0.96821542116443005</v>
          </cell>
        </row>
        <row r="14">
          <cell r="A14" t="str">
            <v xml:space="preserve">1990/89 </v>
          </cell>
          <cell r="B14">
            <v>0.24331832551010632</v>
          </cell>
          <cell r="C14">
            <v>0.21301162605510432</v>
          </cell>
          <cell r="D14">
            <v>0.25635317487499143</v>
          </cell>
          <cell r="E14">
            <v>0.24060542797494794</v>
          </cell>
          <cell r="F14">
            <v>0.16072018500165192</v>
          </cell>
          <cell r="G14">
            <v>0.32160027472527486</v>
          </cell>
          <cell r="H14">
            <v>-0.20911528150134043</v>
          </cell>
          <cell r="I14">
            <v>-0.11428571428571431</v>
          </cell>
          <cell r="L14" t="str">
            <v xml:space="preserve">    --</v>
          </cell>
          <cell r="M14">
            <v>-0.63900666262870987</v>
          </cell>
          <cell r="N14">
            <v>0.20234604105571841</v>
          </cell>
          <cell r="O14" t="str">
            <v xml:space="preserve">    --</v>
          </cell>
          <cell r="P14" t="str">
            <v xml:space="preserve">    --</v>
          </cell>
          <cell r="Q14">
            <v>0.19989356040447043</v>
          </cell>
          <cell r="R14" t="str">
            <v xml:space="preserve">    --</v>
          </cell>
          <cell r="S14">
            <v>0.21875</v>
          </cell>
        </row>
        <row r="15">
          <cell r="A15" t="str">
            <v xml:space="preserve">1991/90 </v>
          </cell>
          <cell r="B15">
            <v>0.10287772555666835</v>
          </cell>
          <cell r="C15">
            <v>0.12761767215912828</v>
          </cell>
          <cell r="D15">
            <v>9.2604203582040676E-2</v>
          </cell>
          <cell r="E15">
            <v>3.2674239237133577E-2</v>
          </cell>
          <cell r="F15">
            <v>9.1361889853422404E-2</v>
          </cell>
          <cell r="G15">
            <v>0.14869429647914761</v>
          </cell>
          <cell r="H15">
            <v>0.10847457627118653</v>
          </cell>
          <cell r="I15">
            <v>-3.2258064516129011E-2</v>
          </cell>
          <cell r="L15" t="str">
            <v xml:space="preserve">    --</v>
          </cell>
          <cell r="M15">
            <v>0.86073825503355705</v>
          </cell>
          <cell r="N15">
            <v>0.17523452157598501</v>
          </cell>
          <cell r="O15" t="str">
            <v xml:space="preserve">    --</v>
          </cell>
          <cell r="P15" t="str">
            <v xml:space="preserve">    --</v>
          </cell>
          <cell r="Q15">
            <v>0.16623791359886464</v>
          </cell>
          <cell r="R15" t="str">
            <v xml:space="preserve">    --</v>
          </cell>
          <cell r="S15">
            <v>0.15384615384615388</v>
          </cell>
        </row>
        <row r="16">
          <cell r="A16" t="str">
            <v>1992/91</v>
          </cell>
          <cell r="B16">
            <v>7.7125940932986262E-2</v>
          </cell>
          <cell r="C16">
            <v>5.3443558246492377E-2</v>
          </cell>
          <cell r="D16">
            <v>8.7275449101796229E-2</v>
          </cell>
          <cell r="E16">
            <v>6.9391634980988631E-2</v>
          </cell>
          <cell r="F16">
            <v>0.12309297170426389</v>
          </cell>
          <cell r="G16">
            <v>8.6636882881863969E-2</v>
          </cell>
          <cell r="H16">
            <v>-0.93425076452599398</v>
          </cell>
          <cell r="I16">
            <v>-8.771929824561403E-2</v>
          </cell>
          <cell r="L16" t="str">
            <v xml:space="preserve">    --</v>
          </cell>
          <cell r="M16">
            <v>-0.75653742110009015</v>
          </cell>
          <cell r="N16">
            <v>3.6877394636015422E-2</v>
          </cell>
          <cell r="O16" t="str">
            <v xml:space="preserve">    --</v>
          </cell>
          <cell r="P16" t="str">
            <v xml:space="preserve">    --</v>
          </cell>
          <cell r="Q16">
            <v>3.3695900205370014E-2</v>
          </cell>
          <cell r="R16" t="str">
            <v xml:space="preserve">    --</v>
          </cell>
          <cell r="S16">
            <v>2.7667228498316376E-2</v>
          </cell>
        </row>
        <row r="17">
          <cell r="A17" t="str">
            <v>1993/92</v>
          </cell>
          <cell r="B17">
            <v>-0.15708656948745794</v>
          </cell>
          <cell r="C17">
            <v>-0.19977894445979552</v>
          </cell>
          <cell r="D17">
            <v>-0.13935930974344837</v>
          </cell>
          <cell r="E17">
            <v>-0.15396825396825398</v>
          </cell>
          <cell r="F17">
            <v>-0.12353419249970972</v>
          </cell>
          <cell r="G17">
            <v>-0.13447827218319025</v>
          </cell>
          <cell r="H17" t="str">
            <v xml:space="preserve">    --</v>
          </cell>
          <cell r="I17" t="str">
            <v xml:space="preserve">    --</v>
          </cell>
          <cell r="L17" t="str">
            <v xml:space="preserve">    --</v>
          </cell>
          <cell r="M17" t="str">
            <v xml:space="preserve">    --</v>
          </cell>
          <cell r="N17">
            <v>-0.12984346933538629</v>
          </cell>
          <cell r="O17" t="str">
            <v xml:space="preserve">    --</v>
          </cell>
          <cell r="P17" t="str">
            <v xml:space="preserve">    --</v>
          </cell>
          <cell r="Q17">
            <v>-0.1622516556291389</v>
          </cell>
          <cell r="R17" t="str">
            <v xml:space="preserve">    --</v>
          </cell>
          <cell r="S17">
            <v>-0.58126721079665822</v>
          </cell>
        </row>
        <row r="18">
          <cell r="A18">
            <v>1992</v>
          </cell>
        </row>
        <row r="19">
          <cell r="A19" t="str">
            <v xml:space="preserve"> 1Q (a)</v>
          </cell>
          <cell r="B19">
            <v>1557.1</v>
          </cell>
          <cell r="C19">
            <v>435.1</v>
          </cell>
          <cell r="D19">
            <v>1122</v>
          </cell>
          <cell r="E19">
            <v>344.8</v>
          </cell>
          <cell r="F19">
            <v>197.1</v>
          </cell>
          <cell r="G19">
            <v>580.1</v>
          </cell>
          <cell r="H19">
            <v>12.4</v>
          </cell>
          <cell r="I19">
            <v>27</v>
          </cell>
          <cell r="L19">
            <v>17</v>
          </cell>
          <cell r="M19">
            <v>56.4</v>
          </cell>
          <cell r="N19">
            <v>636.5</v>
          </cell>
          <cell r="O19">
            <v>0.30196386488609583</v>
          </cell>
          <cell r="P19">
            <v>192.2</v>
          </cell>
          <cell r="Q19">
            <v>444.3</v>
          </cell>
          <cell r="R19">
            <v>1179.424</v>
          </cell>
          <cell r="S19">
            <v>0.37670930895081001</v>
          </cell>
        </row>
        <row r="20">
          <cell r="A20" t="str">
            <v xml:space="preserve"> 2Q</v>
          </cell>
          <cell r="B20">
            <v>1478.3</v>
          </cell>
          <cell r="C20">
            <v>445.6</v>
          </cell>
          <cell r="D20">
            <v>1032.7</v>
          </cell>
          <cell r="E20">
            <v>385.3</v>
          </cell>
          <cell r="F20">
            <v>209.9</v>
          </cell>
          <cell r="G20">
            <v>437.5</v>
          </cell>
          <cell r="H20">
            <v>0.7</v>
          </cell>
          <cell r="I20">
            <v>18</v>
          </cell>
          <cell r="L20">
            <v>30.3</v>
          </cell>
          <cell r="M20">
            <v>49</v>
          </cell>
          <cell r="N20">
            <v>486.5</v>
          </cell>
          <cell r="O20">
            <v>0.30483042137718408</v>
          </cell>
          <cell r="P20">
            <v>148.30000000000001</v>
          </cell>
          <cell r="Q20">
            <v>338.2</v>
          </cell>
          <cell r="R20">
            <v>1177.7760000000001</v>
          </cell>
          <cell r="S20">
            <v>0.28999999999999998</v>
          </cell>
        </row>
        <row r="21">
          <cell r="A21" t="str">
            <v xml:space="preserve"> 3Q (b)</v>
          </cell>
          <cell r="B21">
            <v>1476.5</v>
          </cell>
          <cell r="C21">
            <v>445</v>
          </cell>
          <cell r="D21">
            <v>1031.5</v>
          </cell>
          <cell r="E21">
            <v>403</v>
          </cell>
          <cell r="F21">
            <v>216</v>
          </cell>
          <cell r="G21">
            <v>412.5</v>
          </cell>
          <cell r="H21">
            <v>-2.4</v>
          </cell>
          <cell r="I21">
            <v>2</v>
          </cell>
          <cell r="L21">
            <v>-77.2</v>
          </cell>
          <cell r="M21">
            <v>-77.599999999999994</v>
          </cell>
          <cell r="N21">
            <v>334.9</v>
          </cell>
          <cell r="O21">
            <v>0.30399999999999999</v>
          </cell>
          <cell r="P21">
            <v>102</v>
          </cell>
          <cell r="Q21">
            <v>232.9</v>
          </cell>
          <cell r="R21">
            <v>1177.836</v>
          </cell>
          <cell r="S21">
            <v>0.19773550816921875</v>
          </cell>
        </row>
        <row r="22">
          <cell r="A22" t="str">
            <v xml:space="preserve"> 4Q (c)</v>
          </cell>
          <cell r="B22">
            <v>1655.4</v>
          </cell>
          <cell r="C22">
            <v>483.8</v>
          </cell>
          <cell r="D22">
            <v>1171.5999999999999</v>
          </cell>
          <cell r="E22">
            <v>441.9</v>
          </cell>
          <cell r="F22">
            <v>238.3</v>
          </cell>
          <cell r="G22">
            <v>491.4</v>
          </cell>
          <cell r="H22">
            <v>-6.4</v>
          </cell>
          <cell r="I22">
            <v>5</v>
          </cell>
          <cell r="L22">
            <v>0.6</v>
          </cell>
          <cell r="M22">
            <v>-0.80000000000000215</v>
          </cell>
          <cell r="N22">
            <v>490.6</v>
          </cell>
          <cell r="O22">
            <v>0.3</v>
          </cell>
          <cell r="P22">
            <v>147</v>
          </cell>
          <cell r="Q22">
            <v>343.6</v>
          </cell>
          <cell r="R22">
            <v>1178</v>
          </cell>
          <cell r="S22">
            <v>0.29168081494057752</v>
          </cell>
        </row>
        <row r="24">
          <cell r="A24" t="str">
            <v>1992</v>
          </cell>
          <cell r="B24">
            <v>6167.3</v>
          </cell>
          <cell r="C24">
            <v>1809.5</v>
          </cell>
          <cell r="D24">
            <v>4357.8</v>
          </cell>
          <cell r="E24">
            <v>1575</v>
          </cell>
          <cell r="F24">
            <v>861.3</v>
          </cell>
          <cell r="G24">
            <v>1921.5</v>
          </cell>
          <cell r="H24">
            <v>4.3</v>
          </cell>
          <cell r="I24">
            <v>52</v>
          </cell>
          <cell r="L24">
            <v>-29.3</v>
          </cell>
          <cell r="M24">
            <v>27</v>
          </cell>
          <cell r="N24">
            <v>1948.5</v>
          </cell>
          <cell r="O24">
            <v>0.30254041570438794</v>
          </cell>
          <cell r="P24">
            <v>589.5</v>
          </cell>
          <cell r="Q24">
            <v>1359</v>
          </cell>
          <cell r="R24">
            <v>1178.259</v>
          </cell>
          <cell r="S24">
            <v>1.156125632060605</v>
          </cell>
        </row>
        <row r="25">
          <cell r="A25" t="str">
            <v>1994/93</v>
          </cell>
          <cell r="B25">
            <v>9.8701548523612653E-2</v>
          </cell>
          <cell r="C25">
            <v>0.16001381215469632</v>
          </cell>
          <cell r="D25">
            <v>7.5029996000533283E-2</v>
          </cell>
          <cell r="E25">
            <v>4.9380863039399758E-2</v>
          </cell>
          <cell r="F25">
            <v>0.11100808054046887</v>
          </cell>
          <cell r="G25">
            <v>7.9249594131441267E-2</v>
          </cell>
          <cell r="H25">
            <v>0.84158415841584144</v>
          </cell>
          <cell r="I25">
            <v>0.1796875</v>
          </cell>
          <cell r="J25" t="str">
            <v>--</v>
          </cell>
          <cell r="L25">
            <v>-1.0877192982456141</v>
          </cell>
          <cell r="M25">
            <v>-0.13271604938271619</v>
          </cell>
          <cell r="N25">
            <v>7.5199056325567684E-2</v>
          </cell>
          <cell r="O25">
            <v>-7.0975082552779067E-2</v>
          </cell>
          <cell r="P25">
            <v>-1.1132854578096579E-3</v>
          </cell>
          <cell r="Q25">
            <v>0.11253412384716721</v>
          </cell>
          <cell r="R25">
            <v>-1.6420819204331635E-2</v>
          </cell>
          <cell r="S25">
            <v>0.12578252336562154</v>
          </cell>
        </row>
        <row r="26">
          <cell r="A26" t="str">
            <v>1993/92</v>
          </cell>
        </row>
        <row r="27">
          <cell r="A27" t="str">
            <v xml:space="preserve"> 1Q</v>
          </cell>
          <cell r="B27">
            <v>-0.18470233125682353</v>
          </cell>
          <cell r="C27">
            <v>-0.25235578028039535</v>
          </cell>
          <cell r="D27">
            <v>-0.15846702317290548</v>
          </cell>
          <cell r="E27">
            <v>-0.14211136890951276</v>
          </cell>
          <cell r="F27">
            <v>-0.13901572805682397</v>
          </cell>
          <cell r="G27">
            <v>-0.17479744871573852</v>
          </cell>
          <cell r="H27" t="str">
            <v xml:space="preserve">    --</v>
          </cell>
          <cell r="I27" t="str">
            <v xml:space="preserve">    --</v>
          </cell>
          <cell r="L27" t="str">
            <v xml:space="preserve">    --</v>
          </cell>
          <cell r="M27" t="str">
            <v xml:space="preserve">    --</v>
          </cell>
          <cell r="N27">
            <v>-0.21759622937941853</v>
          </cell>
          <cell r="O27" t="str">
            <v xml:space="preserve">    --</v>
          </cell>
          <cell r="P27" t="str">
            <v xml:space="preserve">    --</v>
          </cell>
          <cell r="Q27">
            <v>-0.23092505064145827</v>
          </cell>
          <cell r="R27" t="str">
            <v xml:space="preserve">    --</v>
          </cell>
          <cell r="S27">
            <v>-0.61385169694090069</v>
          </cell>
        </row>
        <row r="28">
          <cell r="A28" t="str">
            <v xml:space="preserve"> 2Q</v>
          </cell>
          <cell r="B28">
            <v>-0.15206656294392204</v>
          </cell>
          <cell r="C28">
            <v>-0.22060143626570916</v>
          </cell>
          <cell r="D28">
            <v>-0.12249443207126928</v>
          </cell>
          <cell r="E28">
            <v>-0.18998183233843755</v>
          </cell>
          <cell r="F28">
            <v>-0.1300619342544069</v>
          </cell>
          <cell r="G28">
            <v>-5.9428571428571185E-2</v>
          </cell>
          <cell r="H28" t="str">
            <v xml:space="preserve">    --</v>
          </cell>
          <cell r="I28" t="str">
            <v xml:space="preserve">    --</v>
          </cell>
          <cell r="L28" t="str">
            <v xml:space="preserve">    --</v>
          </cell>
          <cell r="M28" t="str">
            <v xml:space="preserve">    --</v>
          </cell>
          <cell r="N28">
            <v>-8.3247687564234119E-2</v>
          </cell>
          <cell r="O28" t="str">
            <v xml:space="preserve">    --</v>
          </cell>
          <cell r="P28" t="str">
            <v xml:space="preserve">    --</v>
          </cell>
          <cell r="Q28">
            <v>-0.11028976936723806</v>
          </cell>
          <cell r="R28" t="str">
            <v xml:space="preserve">    --</v>
          </cell>
          <cell r="S28">
            <v>-0.55816711567499144</v>
          </cell>
        </row>
        <row r="29">
          <cell r="A29" t="str">
            <v xml:space="preserve"> 3Q</v>
          </cell>
          <cell r="B29">
            <v>-0.17480528276329152</v>
          </cell>
          <cell r="C29">
            <v>-0.23820224719101124</v>
          </cell>
          <cell r="D29">
            <v>-0.1474551623848763</v>
          </cell>
          <cell r="E29">
            <v>-0.19230769230769232</v>
          </cell>
          <cell r="F29">
            <v>-0.15740740740740741</v>
          </cell>
          <cell r="G29">
            <v>-9.8424242424242206E-2</v>
          </cell>
          <cell r="H29" t="str">
            <v xml:space="preserve">    --</v>
          </cell>
          <cell r="I29" t="str">
            <v xml:space="preserve">    --</v>
          </cell>
          <cell r="L29" t="str">
            <v xml:space="preserve">    --</v>
          </cell>
          <cell r="M29" t="str">
            <v xml:space="preserve">    --</v>
          </cell>
          <cell r="N29">
            <v>9.4356524335622985E-2</v>
          </cell>
          <cell r="O29" t="str">
            <v xml:space="preserve">    --</v>
          </cell>
          <cell r="P29" t="str">
            <v xml:space="preserve">    --</v>
          </cell>
          <cell r="Q29">
            <v>4.465435809360304E-2</v>
          </cell>
          <cell r="R29" t="str">
            <v xml:space="preserve">    --</v>
          </cell>
          <cell r="S29">
            <v>-0.4759661369167219</v>
          </cell>
        </row>
        <row r="30">
          <cell r="A30" t="str">
            <v xml:space="preserve"> 4Q</v>
          </cell>
          <cell r="B30">
            <v>-0.11978977890540062</v>
          </cell>
          <cell r="C30">
            <v>-9.7974369574204287E-2</v>
          </cell>
          <cell r="D30">
            <v>-0.12879822465005136</v>
          </cell>
          <cell r="E30">
            <v>-9.6854491966508166E-2</v>
          </cell>
          <cell r="F30">
            <v>-7.4276122534620292E-2</v>
          </cell>
          <cell r="G30">
            <v>-0.18396418396418443</v>
          </cell>
          <cell r="H30" t="str">
            <v xml:space="preserve">    --</v>
          </cell>
          <cell r="I30" t="str">
            <v xml:space="preserve">    --</v>
          </cell>
          <cell r="L30" t="str">
            <v xml:space="preserve">    --</v>
          </cell>
          <cell r="M30" t="str">
            <v xml:space="preserve">    --</v>
          </cell>
          <cell r="N30">
            <v>-0.2152466367713009</v>
          </cell>
          <cell r="O30" t="str">
            <v xml:space="preserve">    --</v>
          </cell>
          <cell r="P30" t="str">
            <v xml:space="preserve">    --</v>
          </cell>
          <cell r="Q30">
            <v>-0.26484284051222418</v>
          </cell>
          <cell r="R30" t="str">
            <v xml:space="preserve">    --</v>
          </cell>
          <cell r="S30">
            <v>-0.63353636564281501</v>
          </cell>
        </row>
        <row r="32">
          <cell r="A32" t="str">
            <v>Year</v>
          </cell>
          <cell r="B32">
            <v>-0.15708656948745794</v>
          </cell>
          <cell r="C32">
            <v>-0.19977894445979552</v>
          </cell>
          <cell r="D32">
            <v>-0.13935930974344837</v>
          </cell>
          <cell r="E32">
            <v>-0.15396825396825398</v>
          </cell>
          <cell r="F32">
            <v>-0.12353419249970972</v>
          </cell>
          <cell r="G32">
            <v>-0.13447827218319025</v>
          </cell>
          <cell r="H32" t="str">
            <v xml:space="preserve">    --</v>
          </cell>
          <cell r="I32" t="str">
            <v xml:space="preserve">    --</v>
          </cell>
          <cell r="L32" t="str">
            <v xml:space="preserve">    --</v>
          </cell>
          <cell r="M32" t="str">
            <v xml:space="preserve">    --</v>
          </cell>
          <cell r="N32">
            <v>-0.12984346933538629</v>
          </cell>
          <cell r="O32" t="str">
            <v xml:space="preserve">    --</v>
          </cell>
          <cell r="P32" t="str">
            <v xml:space="preserve">    --</v>
          </cell>
          <cell r="Q32">
            <v>-0.1622516556291389</v>
          </cell>
          <cell r="R32" t="str">
            <v xml:space="preserve">    --</v>
          </cell>
          <cell r="S32">
            <v>-0.58126721079665822</v>
          </cell>
        </row>
        <row r="34">
          <cell r="A34">
            <v>1993</v>
          </cell>
        </row>
        <row r="35">
          <cell r="A35" t="str">
            <v xml:space="preserve"> 1Q (a)</v>
          </cell>
          <cell r="B35">
            <v>1269.5</v>
          </cell>
          <cell r="C35">
            <v>325.3</v>
          </cell>
          <cell r="D35">
            <v>944.2</v>
          </cell>
          <cell r="E35">
            <v>295.8</v>
          </cell>
          <cell r="F35">
            <v>169.7</v>
          </cell>
          <cell r="G35">
            <v>478.7</v>
          </cell>
          <cell r="H35">
            <v>-4.7</v>
          </cell>
          <cell r="I35">
            <v>32</v>
          </cell>
          <cell r="J35" t="str">
            <v xml:space="preserve">    --</v>
          </cell>
          <cell r="L35">
            <v>-8</v>
          </cell>
          <cell r="M35">
            <v>19.3</v>
          </cell>
          <cell r="N35">
            <v>498</v>
          </cell>
          <cell r="O35">
            <v>0.31385542168674696</v>
          </cell>
          <cell r="P35">
            <v>156.30000000000001</v>
          </cell>
          <cell r="Q35">
            <v>341.7</v>
          </cell>
          <cell r="R35">
            <v>1174.5039999999999</v>
          </cell>
          <cell r="S35">
            <v>0.2909313207958425</v>
          </cell>
          <cell r="V35">
            <v>0.6</v>
          </cell>
        </row>
        <row r="36">
          <cell r="A36" t="str">
            <v xml:space="preserve"> 2Q</v>
          </cell>
          <cell r="B36">
            <v>1253.5</v>
          </cell>
          <cell r="C36">
            <v>347.3</v>
          </cell>
          <cell r="D36">
            <v>906.2</v>
          </cell>
          <cell r="E36">
            <v>312.10000000000002</v>
          </cell>
          <cell r="F36">
            <v>182.6</v>
          </cell>
          <cell r="G36">
            <v>411.5</v>
          </cell>
          <cell r="H36">
            <v>-5.5</v>
          </cell>
          <cell r="I36">
            <v>30</v>
          </cell>
          <cell r="J36" t="str">
            <v xml:space="preserve">    --</v>
          </cell>
          <cell r="L36">
            <v>10</v>
          </cell>
          <cell r="M36">
            <v>34.5</v>
          </cell>
          <cell r="N36">
            <v>446</v>
          </cell>
          <cell r="O36">
            <v>0.32533632286995512</v>
          </cell>
          <cell r="P36">
            <v>145.1</v>
          </cell>
          <cell r="Q36">
            <v>300.89999999999998</v>
          </cell>
          <cell r="R36">
            <v>1174.184</v>
          </cell>
          <cell r="S36">
            <v>0.25626307290850497</v>
          </cell>
          <cell r="V36">
            <v>0.53500000000000003</v>
          </cell>
        </row>
        <row r="37">
          <cell r="A37" t="str">
            <v xml:space="preserve"> 3Q</v>
          </cell>
          <cell r="B37">
            <v>1218.4000000000001</v>
          </cell>
          <cell r="C37">
            <v>339</v>
          </cell>
          <cell r="D37">
            <v>879.4</v>
          </cell>
          <cell r="E37">
            <v>325.5</v>
          </cell>
          <cell r="F37">
            <v>182</v>
          </cell>
          <cell r="G37">
            <v>371.9</v>
          </cell>
          <cell r="H37">
            <v>-4</v>
          </cell>
          <cell r="I37">
            <v>3</v>
          </cell>
          <cell r="J37" t="str">
            <v xml:space="preserve">    --</v>
          </cell>
          <cell r="L37">
            <v>-4.4000000000000004</v>
          </cell>
          <cell r="M37">
            <v>-5.4</v>
          </cell>
          <cell r="N37">
            <v>366.5</v>
          </cell>
          <cell r="O37">
            <v>0.33615279672578435</v>
          </cell>
          <cell r="P37">
            <v>123.2</v>
          </cell>
          <cell r="Q37">
            <v>243.3</v>
          </cell>
          <cell r="R37">
            <v>1174</v>
          </cell>
          <cell r="S37">
            <v>0.20724020442930149</v>
          </cell>
          <cell r="V37">
            <v>0.44</v>
          </cell>
        </row>
        <row r="38">
          <cell r="A38" t="str">
            <v xml:space="preserve"> 4Q</v>
          </cell>
          <cell r="B38">
            <v>1457.1</v>
          </cell>
          <cell r="C38">
            <v>436.4</v>
          </cell>
          <cell r="D38">
            <v>1020.7</v>
          </cell>
          <cell r="E38">
            <v>399.1</v>
          </cell>
          <cell r="F38">
            <v>220.6</v>
          </cell>
          <cell r="G38">
            <v>401</v>
          </cell>
          <cell r="H38">
            <v>-6</v>
          </cell>
          <cell r="I38">
            <v>-1</v>
          </cell>
          <cell r="J38" t="str">
            <v xml:space="preserve">    --</v>
          </cell>
          <cell r="L38">
            <v>-9</v>
          </cell>
          <cell r="M38">
            <v>-16</v>
          </cell>
          <cell r="N38">
            <v>385</v>
          </cell>
          <cell r="O38">
            <v>0.34389610389610403</v>
          </cell>
          <cell r="P38">
            <v>132.4</v>
          </cell>
          <cell r="Q38">
            <v>252.6</v>
          </cell>
          <cell r="R38">
            <v>1181.5840000000001</v>
          </cell>
          <cell r="S38">
            <v>0.213780823030779</v>
          </cell>
          <cell r="V38">
            <v>-0.78500000000000003</v>
          </cell>
        </row>
        <row r="40">
          <cell r="A40" t="str">
            <v>Year(a)</v>
          </cell>
          <cell r="B40">
            <v>5198.5</v>
          </cell>
          <cell r="C40">
            <v>1448</v>
          </cell>
          <cell r="D40">
            <v>3750.5</v>
          </cell>
          <cell r="E40">
            <v>1332.5</v>
          </cell>
          <cell r="F40">
            <v>754.9</v>
          </cell>
          <cell r="G40">
            <v>1663.1</v>
          </cell>
          <cell r="H40">
            <v>-20.2</v>
          </cell>
          <cell r="I40">
            <v>64</v>
          </cell>
          <cell r="J40" t="str">
            <v xml:space="preserve">    --</v>
          </cell>
          <cell r="L40">
            <v>-11.4</v>
          </cell>
          <cell r="M40">
            <v>32.4</v>
          </cell>
          <cell r="N40">
            <v>1695.5</v>
          </cell>
          <cell r="O40">
            <v>0.32851666175169564</v>
          </cell>
          <cell r="P40">
            <v>557</v>
          </cell>
          <cell r="Q40">
            <v>1138.5</v>
          </cell>
          <cell r="R40">
            <v>1176.068</v>
          </cell>
          <cell r="S40">
            <v>0.96821542116443005</v>
          </cell>
          <cell r="V40">
            <v>0.79</v>
          </cell>
        </row>
        <row r="42">
          <cell r="A42" t="str">
            <v>1994/93</v>
          </cell>
        </row>
        <row r="43">
          <cell r="A43" t="str">
            <v xml:space="preserve"> 1Q</v>
          </cell>
          <cell r="B43">
            <v>3.119338322174077E-2</v>
          </cell>
          <cell r="C43">
            <v>0.17460805410390412</v>
          </cell>
          <cell r="D43">
            <v>-1.8216479559415546E-2</v>
          </cell>
          <cell r="E43">
            <v>-5.3414469235970284E-2</v>
          </cell>
          <cell r="F43">
            <v>4.4784914555097366E-2</v>
          </cell>
          <cell r="G43">
            <v>-1.8800919156047868E-2</v>
          </cell>
          <cell r="H43">
            <v>-0.23404255319148948</v>
          </cell>
          <cell r="I43">
            <v>0.125</v>
          </cell>
          <cell r="J43" t="str">
            <v>--</v>
          </cell>
          <cell r="L43">
            <v>0.66250000000000009</v>
          </cell>
          <cell r="M43">
            <v>-1.0362694300518281E-2</v>
          </cell>
          <cell r="N43">
            <v>-1.8473895582329522E-2</v>
          </cell>
          <cell r="O43">
            <v>3.6468330134357958E-3</v>
          </cell>
          <cell r="P43">
            <v>-1.4894433781190219E-2</v>
          </cell>
          <cell r="Q43">
            <v>-2.0111208662569713E-2</v>
          </cell>
          <cell r="R43">
            <v>-1.4348184425084856E-2</v>
          </cell>
          <cell r="S43">
            <v>-5.8469168791860787E-3</v>
          </cell>
          <cell r="V43">
            <v>-0.56666666666666665</v>
          </cell>
        </row>
        <row r="44">
          <cell r="A44" t="str">
            <v xml:space="preserve"> 2Q</v>
          </cell>
          <cell r="B44">
            <v>7.4431591543677664E-2</v>
          </cell>
          <cell r="C44">
            <v>0.11085516844226893</v>
          </cell>
          <cell r="D44">
            <v>6.0472301920105886E-2</v>
          </cell>
          <cell r="E44">
            <v>5.9275873117590513E-2</v>
          </cell>
          <cell r="F44">
            <v>0.10733844468784225</v>
          </cell>
          <cell r="G44">
            <v>4.058323207776425E-2</v>
          </cell>
          <cell r="H44">
            <v>-0.78181818181818197</v>
          </cell>
          <cell r="I44">
            <v>0.45</v>
          </cell>
          <cell r="J44" t="str">
            <v>--</v>
          </cell>
          <cell r="L44">
            <v>-1</v>
          </cell>
          <cell r="M44">
            <v>0.22608695652173905</v>
          </cell>
          <cell r="N44">
            <v>5.4932735426008968E-2</v>
          </cell>
          <cell r="O44">
            <v>-5.6361130254996457E-2</v>
          </cell>
          <cell r="P44">
            <v>-4.5244658855961E-3</v>
          </cell>
          <cell r="Q44">
            <v>8.3604187437687119E-2</v>
          </cell>
          <cell r="R44">
            <v>-1.4604184693369958E-2</v>
          </cell>
          <cell r="S44">
            <v>9.9663881869132054E-2</v>
          </cell>
          <cell r="V44">
            <v>-0.48598130841121495</v>
          </cell>
        </row>
        <row r="45">
          <cell r="A45" t="str">
            <v xml:space="preserve"> 3Q</v>
          </cell>
          <cell r="B45">
            <v>0.23711424819435312</v>
          </cell>
          <cell r="C45">
            <v>0.33156342182890847</v>
          </cell>
          <cell r="D45">
            <v>0.20070502615419616</v>
          </cell>
          <cell r="E45">
            <v>0.1093701996927804</v>
          </cell>
          <cell r="F45">
            <v>0.20219780219780226</v>
          </cell>
          <cell r="G45">
            <v>0.27991395536434549</v>
          </cell>
          <cell r="H45">
            <v>-1.4749999999999996</v>
          </cell>
          <cell r="I45">
            <v>-0.33333333333333331</v>
          </cell>
          <cell r="J45" t="str">
            <v>--</v>
          </cell>
          <cell r="L45">
            <v>-2.2045454545454541</v>
          </cell>
          <cell r="M45" t="str">
            <v>NM</v>
          </cell>
          <cell r="N45">
            <v>0.32387448840382005</v>
          </cell>
          <cell r="O45">
            <v>-8.672483766233742E-2</v>
          </cell>
          <cell r="P45">
            <v>0.20906168831168831</v>
          </cell>
          <cell r="Q45">
            <v>0.3820123304562269</v>
          </cell>
          <cell r="R45">
            <v>-1.5093696763202749E-2</v>
          </cell>
          <cell r="S45">
            <v>0.40319168017747509</v>
          </cell>
          <cell r="V45">
            <v>-0.42045454545454547</v>
          </cell>
        </row>
        <row r="46">
          <cell r="A46" t="str">
            <v xml:space="preserve"> 4Q</v>
          </cell>
          <cell r="B46">
            <v>6.2658705648205471E-2</v>
          </cell>
          <cell r="C46">
            <v>5.4995417048579291E-2</v>
          </cell>
          <cell r="D46">
            <v>6.5935142549230871E-2</v>
          </cell>
          <cell r="E46">
            <v>6.8905036331746425E-2</v>
          </cell>
          <cell r="F46">
            <v>8.9755213055303776E-2</v>
          </cell>
          <cell r="G46">
            <v>4.9875311720698257E-2</v>
          </cell>
          <cell r="H46">
            <v>4.7166666666666659</v>
          </cell>
          <cell r="I46">
            <v>5</v>
          </cell>
          <cell r="J46" t="str">
            <v>--</v>
          </cell>
          <cell r="L46">
            <v>-2</v>
          </cell>
          <cell r="M46">
            <v>1.65625</v>
          </cell>
          <cell r="N46">
            <v>-1.6883116883116882E-2</v>
          </cell>
          <cell r="O46">
            <v>-0.16253776435045356</v>
          </cell>
          <cell r="P46">
            <v>-0.17667673716012092</v>
          </cell>
          <cell r="Q46">
            <v>6.6872525732383309E-2</v>
          </cell>
          <cell r="R46">
            <v>-2.1604896477948263E-2</v>
          </cell>
          <cell r="S46">
            <v>9.0431178459324135E-2</v>
          </cell>
          <cell r="V46">
            <v>-1.2993630573248407</v>
          </cell>
        </row>
        <row r="48">
          <cell r="A48" t="str">
            <v>Year</v>
          </cell>
          <cell r="B48">
            <v>9.8701548523612653E-2</v>
          </cell>
          <cell r="C48">
            <v>0.16001381215469632</v>
          </cell>
          <cell r="D48">
            <v>7.5029996000533283E-2</v>
          </cell>
          <cell r="E48">
            <v>4.9380863039399758E-2</v>
          </cell>
          <cell r="F48">
            <v>0.11100808054046887</v>
          </cell>
          <cell r="G48">
            <v>7.9249594131441267E-2</v>
          </cell>
          <cell r="H48">
            <v>0.84158415841584144</v>
          </cell>
          <cell r="I48">
            <v>0.1796875</v>
          </cell>
          <cell r="J48" t="str">
            <v>--</v>
          </cell>
          <cell r="L48">
            <v>-1.0877192982456141</v>
          </cell>
          <cell r="M48">
            <v>-0.13271604938271619</v>
          </cell>
          <cell r="N48">
            <v>7.5199056325567684E-2</v>
          </cell>
          <cell r="O48">
            <v>-7.0975082552779067E-2</v>
          </cell>
          <cell r="P48">
            <v>-1.1132854578096579E-3</v>
          </cell>
          <cell r="Q48">
            <v>0.11253412384716721</v>
          </cell>
          <cell r="R48">
            <v>-1.6420819204331635E-2</v>
          </cell>
          <cell r="S48">
            <v>0.12578252336562154</v>
          </cell>
          <cell r="V48">
            <v>0.29746835443037956</v>
          </cell>
        </row>
        <row r="50">
          <cell r="A50" t="str">
            <v>1994</v>
          </cell>
        </row>
        <row r="51">
          <cell r="A51" t="str">
            <v xml:space="preserve"> 1Q (a)</v>
          </cell>
          <cell r="B51">
            <v>1309.0999999999999</v>
          </cell>
          <cell r="C51">
            <v>382.1</v>
          </cell>
          <cell r="D51">
            <v>926.99999999999989</v>
          </cell>
          <cell r="E51">
            <v>280</v>
          </cell>
          <cell r="F51">
            <v>177.3</v>
          </cell>
          <cell r="G51">
            <v>469.69999999999987</v>
          </cell>
          <cell r="H51">
            <v>-3.5999999999999996</v>
          </cell>
          <cell r="I51">
            <v>36</v>
          </cell>
          <cell r="J51">
            <v>0</v>
          </cell>
          <cell r="L51">
            <v>-13.3</v>
          </cell>
          <cell r="M51">
            <v>19.099999999999998</v>
          </cell>
          <cell r="N51">
            <v>488.7999999999999</v>
          </cell>
          <cell r="O51">
            <v>0.315</v>
          </cell>
          <cell r="P51">
            <v>153.97199999999998</v>
          </cell>
          <cell r="Q51">
            <v>334.82799999999992</v>
          </cell>
          <cell r="R51">
            <v>1157.652</v>
          </cell>
          <cell r="S51">
            <v>0.28923026954559738</v>
          </cell>
          <cell r="V51">
            <v>0.26</v>
          </cell>
          <cell r="W51">
            <v>2.5000000000000001E-2</v>
          </cell>
          <cell r="X51">
            <v>0.28499999999999998</v>
          </cell>
        </row>
        <row r="52">
          <cell r="A52" t="str">
            <v xml:space="preserve"> 2Q (b)</v>
          </cell>
          <cell r="B52">
            <v>1346.8</v>
          </cell>
          <cell r="C52">
            <v>385.8</v>
          </cell>
          <cell r="D52">
            <v>961</v>
          </cell>
          <cell r="E52">
            <v>330.6</v>
          </cell>
          <cell r="F52">
            <v>202.2</v>
          </cell>
          <cell r="G52">
            <v>428.2</v>
          </cell>
          <cell r="H52">
            <v>-1.1999999999999993</v>
          </cell>
          <cell r="I52">
            <v>43.5</v>
          </cell>
          <cell r="J52">
            <v>0</v>
          </cell>
          <cell r="L52">
            <v>0</v>
          </cell>
          <cell r="M52">
            <v>42.3</v>
          </cell>
          <cell r="N52">
            <v>470.5</v>
          </cell>
          <cell r="O52">
            <v>0.307</v>
          </cell>
          <cell r="P52">
            <v>144.4435</v>
          </cell>
          <cell r="Q52">
            <v>326.05650000000003</v>
          </cell>
          <cell r="R52">
            <v>1157.0360000000001</v>
          </cell>
          <cell r="S52">
            <v>0.28180324553427899</v>
          </cell>
          <cell r="V52">
            <v>0.27500000000000002</v>
          </cell>
          <cell r="W52">
            <v>2.5000000000000001E-2</v>
          </cell>
          <cell r="X52">
            <v>0.3</v>
          </cell>
        </row>
        <row r="53">
          <cell r="A53" t="str">
            <v xml:space="preserve"> 3Q (c)</v>
          </cell>
          <cell r="B53">
            <v>1507.3</v>
          </cell>
          <cell r="C53">
            <v>451.4</v>
          </cell>
          <cell r="D53">
            <v>1055.9000000000001</v>
          </cell>
          <cell r="E53">
            <v>361.1</v>
          </cell>
          <cell r="F53">
            <v>218.8</v>
          </cell>
          <cell r="G53">
            <v>476.00000000000006</v>
          </cell>
          <cell r="H53">
            <v>1.8999999999999986</v>
          </cell>
          <cell r="I53">
            <v>2</v>
          </cell>
          <cell r="J53">
            <v>0</v>
          </cell>
          <cell r="L53">
            <v>5.3</v>
          </cell>
          <cell r="M53">
            <v>9.1999999999999993</v>
          </cell>
          <cell r="N53">
            <v>485.20000000000005</v>
          </cell>
          <cell r="O53">
            <v>0.307</v>
          </cell>
          <cell r="P53">
            <v>148.9564</v>
          </cell>
          <cell r="Q53">
            <v>336.24360000000001</v>
          </cell>
          <cell r="R53">
            <v>1156.28</v>
          </cell>
          <cell r="S53">
            <v>0.29079773065347497</v>
          </cell>
          <cell r="V53">
            <v>0.255</v>
          </cell>
          <cell r="W53">
            <v>1.7500000000000002E-2</v>
          </cell>
          <cell r="X53">
            <v>0.27500000000000002</v>
          </cell>
        </row>
        <row r="54">
          <cell r="A54" t="str">
            <v xml:space="preserve"> 4Q </v>
          </cell>
          <cell r="B54">
            <v>1548.4</v>
          </cell>
          <cell r="C54">
            <v>460.4</v>
          </cell>
          <cell r="D54">
            <v>1088</v>
          </cell>
          <cell r="E54">
            <v>426.6</v>
          </cell>
          <cell r="F54">
            <v>240.4</v>
          </cell>
          <cell r="G54">
            <v>421</v>
          </cell>
          <cell r="H54">
            <v>-34.299999999999997</v>
          </cell>
          <cell r="I54">
            <v>-6</v>
          </cell>
          <cell r="J54">
            <v>-11.2</v>
          </cell>
          <cell r="L54">
            <v>9</v>
          </cell>
          <cell r="M54">
            <v>-42.5</v>
          </cell>
          <cell r="N54">
            <v>378.5</v>
          </cell>
          <cell r="O54">
            <v>0.28799999999999998</v>
          </cell>
          <cell r="P54">
            <v>109.008</v>
          </cell>
          <cell r="Q54">
            <v>269.49200000000002</v>
          </cell>
          <cell r="R54">
            <v>1156.056</v>
          </cell>
          <cell r="S54">
            <v>0.23311327478945656</v>
          </cell>
          <cell r="V54">
            <v>0.23499999999999999</v>
          </cell>
          <cell r="W54">
            <v>1.7500000000000002E-2</v>
          </cell>
          <cell r="X54">
            <v>0.25</v>
          </cell>
        </row>
        <row r="56">
          <cell r="A56" t="str">
            <v>1994</v>
          </cell>
          <cell r="B56">
            <v>5711.6</v>
          </cell>
          <cell r="C56">
            <v>1679.7000000000003</v>
          </cell>
          <cell r="D56">
            <v>4031.9</v>
          </cell>
          <cell r="E56">
            <v>1398.3000000000002</v>
          </cell>
          <cell r="F56">
            <v>838.69999999999993</v>
          </cell>
          <cell r="G56">
            <v>1794.8999999999999</v>
          </cell>
          <cell r="H56">
            <v>-37.199999999999996</v>
          </cell>
          <cell r="I56">
            <v>75.5</v>
          </cell>
          <cell r="J56">
            <v>-11.2</v>
          </cell>
          <cell r="L56">
            <v>1</v>
          </cell>
          <cell r="M56">
            <v>28.099999999999994</v>
          </cell>
          <cell r="N56">
            <v>1823</v>
          </cell>
          <cell r="O56">
            <v>0.30520016456390564</v>
          </cell>
          <cell r="P56">
            <v>556.37990000000002</v>
          </cell>
          <cell r="Q56">
            <v>1266.6200999999999</v>
          </cell>
          <cell r="R56">
            <v>1156.7560000000001</v>
          </cell>
          <cell r="S56">
            <v>1.0900000000000001</v>
          </cell>
          <cell r="V56">
            <v>1.0249999999999999</v>
          </cell>
          <cell r="W56">
            <v>8.5000000000000006E-2</v>
          </cell>
          <cell r="X56">
            <v>1.1100000000000001</v>
          </cell>
        </row>
        <row r="58">
          <cell r="A58" t="str">
            <v>1995/94</v>
          </cell>
        </row>
        <row r="59">
          <cell r="A59" t="str">
            <v xml:space="preserve"> 1Q</v>
          </cell>
          <cell r="B59">
            <v>0.31181727904667333</v>
          </cell>
          <cell r="C59">
            <v>0.34127191834598264</v>
          </cell>
          <cell r="D59">
            <v>0.29967637540453085</v>
          </cell>
          <cell r="E59">
            <v>0.45428571428571424</v>
          </cell>
          <cell r="F59">
            <v>0.33502538071065974</v>
          </cell>
          <cell r="G59">
            <v>0.19416648924845648</v>
          </cell>
          <cell r="H59" t="str">
            <v>NM</v>
          </cell>
          <cell r="I59" t="str">
            <v>NM</v>
          </cell>
          <cell r="J59" t="str">
            <v>NM</v>
          </cell>
          <cell r="L59" t="str">
            <v>NM</v>
          </cell>
          <cell r="M59" t="str">
            <v>NM</v>
          </cell>
          <cell r="N59">
            <v>7.9378068739770907E-2</v>
          </cell>
          <cell r="O59" t="str">
            <v>NM</v>
          </cell>
          <cell r="P59" t="str">
            <v>NM</v>
          </cell>
          <cell r="Q59">
            <v>0.11848471454000256</v>
          </cell>
          <cell r="R59">
            <v>-1.2127997014646857E-3</v>
          </cell>
          <cell r="S59">
            <v>0.12367215406118999</v>
          </cell>
          <cell r="V59">
            <v>0.25</v>
          </cell>
          <cell r="W59" t="str">
            <v>NM</v>
          </cell>
          <cell r="X59">
            <v>0.19298245614035106</v>
          </cell>
        </row>
        <row r="60">
          <cell r="A60" t="str">
            <v xml:space="preserve"> 2Q</v>
          </cell>
          <cell r="B60">
            <v>0.19899019899019899</v>
          </cell>
          <cell r="C60">
            <v>0.19077242094349395</v>
          </cell>
          <cell r="D60">
            <v>0.20228928199791893</v>
          </cell>
          <cell r="E60">
            <v>0.31972171808832422</v>
          </cell>
          <cell r="F60">
            <v>0.28832838773491598</v>
          </cell>
          <cell r="G60">
            <v>7.0994862213919083E-2</v>
          </cell>
          <cell r="H60" t="str">
            <v>NM</v>
          </cell>
          <cell r="I60" t="str">
            <v>NM</v>
          </cell>
          <cell r="J60" t="str">
            <v>NM</v>
          </cell>
          <cell r="L60" t="str">
            <v>NM</v>
          </cell>
          <cell r="M60" t="str">
            <v>NM</v>
          </cell>
          <cell r="N60">
            <v>-7.2476089266737195E-2</v>
          </cell>
          <cell r="O60" t="str">
            <v>NM</v>
          </cell>
          <cell r="P60" t="str">
            <v>NM</v>
          </cell>
          <cell r="Q60">
            <v>-5.016461870872032E-2</v>
          </cell>
          <cell r="R60">
            <v>8.6427734314151888E-5</v>
          </cell>
          <cell r="S60">
            <v>-4.1884704031356537E-2</v>
          </cell>
          <cell r="V60">
            <v>-1.8181818181818195E-2</v>
          </cell>
          <cell r="W60" t="str">
            <v>NM</v>
          </cell>
          <cell r="X60">
            <v>-5.0000000000000044E-2</v>
          </cell>
        </row>
        <row r="61">
          <cell r="A61" t="str">
            <v xml:space="preserve"> 3Q</v>
          </cell>
          <cell r="B61">
            <v>8.2730710542028824E-2</v>
          </cell>
          <cell r="C61">
            <v>-6.9561364643331847E-2</v>
          </cell>
          <cell r="D61">
            <v>0.14783596931527596</v>
          </cell>
          <cell r="E61">
            <v>0.22957629465522009</v>
          </cell>
          <cell r="F61">
            <v>0.19287020109689207</v>
          </cell>
          <cell r="G61">
            <v>6.5126050420167947E-2</v>
          </cell>
          <cell r="H61" t="str">
            <v>NM</v>
          </cell>
          <cell r="I61" t="str">
            <v>NM</v>
          </cell>
          <cell r="J61" t="str">
            <v>NM</v>
          </cell>
          <cell r="L61" t="str">
            <v>NM</v>
          </cell>
          <cell r="M61" t="str">
            <v>NM</v>
          </cell>
          <cell r="N61">
            <v>-9.9546578730420582E-2</v>
          </cell>
          <cell r="O61" t="str">
            <v>NM</v>
          </cell>
          <cell r="P61" t="str">
            <v>NM</v>
          </cell>
          <cell r="Q61">
            <v>-7.8346770020306808E-2</v>
          </cell>
          <cell r="R61">
            <v>-8.762583457294134E-3</v>
          </cell>
          <cell r="S61">
            <v>-7.1519576878191937E-2</v>
          </cell>
          <cell r="V61">
            <v>5.8823529411764754E-2</v>
          </cell>
          <cell r="W61" t="str">
            <v>NM</v>
          </cell>
          <cell r="X61">
            <v>2.8909090909090907</v>
          </cell>
        </row>
        <row r="62">
          <cell r="A62" t="str">
            <v xml:space="preserve"> 4Q</v>
          </cell>
          <cell r="B62">
            <v>0.16236114699044166</v>
          </cell>
          <cell r="C62">
            <v>7.3197219808861957E-2</v>
          </cell>
          <cell r="D62">
            <v>0.20009191176470573</v>
          </cell>
          <cell r="E62">
            <v>0.32770745428973264</v>
          </cell>
          <cell r="F62">
            <v>0.18344425956738766</v>
          </cell>
          <cell r="G62">
            <v>8.02850356294533E-2</v>
          </cell>
          <cell r="H62" t="str">
            <v>NM</v>
          </cell>
          <cell r="I62" t="str">
            <v>NM</v>
          </cell>
          <cell r="J62" t="str">
            <v>NM</v>
          </cell>
          <cell r="L62" t="str">
            <v>NM</v>
          </cell>
          <cell r="M62" t="str">
            <v>NM</v>
          </cell>
          <cell r="N62">
            <v>-3.8573315719947522E-2</v>
          </cell>
          <cell r="O62" t="str">
            <v>NM</v>
          </cell>
          <cell r="P62" t="str">
            <v>NM</v>
          </cell>
          <cell r="Q62">
            <v>0.15550739910646641</v>
          </cell>
          <cell r="R62">
            <v>-5.4826063789297455E-2</v>
          </cell>
          <cell r="S62">
            <v>0.22258159796951291</v>
          </cell>
          <cell r="V62">
            <v>0.21276595744680848</v>
          </cell>
          <cell r="W62" t="str">
            <v>NM</v>
          </cell>
          <cell r="X62">
            <v>0.26</v>
          </cell>
        </row>
        <row r="64">
          <cell r="A64" t="str">
            <v>1995/94</v>
          </cell>
          <cell r="B64">
            <v>0.18423909237341551</v>
          </cell>
          <cell r="C64">
            <v>0.12281955111031713</v>
          </cell>
          <cell r="D64">
            <v>0.20982663260497542</v>
          </cell>
          <cell r="E64">
            <v>0.32582421511835791</v>
          </cell>
          <cell r="F64">
            <v>0.24323357577202828</v>
          </cell>
          <cell r="G64">
            <v>0.10384979664605264</v>
          </cell>
          <cell r="H64" t="str">
            <v>NM</v>
          </cell>
          <cell r="I64" t="str">
            <v>NM</v>
          </cell>
          <cell r="J64" t="str">
            <v>NM</v>
          </cell>
          <cell r="L64" t="str">
            <v>NM</v>
          </cell>
          <cell r="M64" t="str">
            <v>NM</v>
          </cell>
          <cell r="N64">
            <v>-3.1925397696105348E-2</v>
          </cell>
          <cell r="O64" t="str">
            <v>NM</v>
          </cell>
          <cell r="P64" t="str">
            <v>NM</v>
          </cell>
          <cell r="Q64">
            <v>3.0695786368777931E-2</v>
          </cell>
          <cell r="R64">
            <v>-1.6169356372476285E-2</v>
          </cell>
          <cell r="S64">
            <v>5.5045871559632871E-2</v>
          </cell>
          <cell r="V64">
            <v>0.12195121951219513</v>
          </cell>
          <cell r="W64" t="str">
            <v>NM</v>
          </cell>
          <cell r="X64">
            <v>0.81531531531531531</v>
          </cell>
        </row>
        <row r="66">
          <cell r="A66" t="str">
            <v>1995</v>
          </cell>
        </row>
        <row r="67">
          <cell r="A67" t="str">
            <v xml:space="preserve"> 1Q</v>
          </cell>
          <cell r="B67">
            <v>1717.3</v>
          </cell>
          <cell r="C67">
            <v>512.5</v>
          </cell>
          <cell r="D67">
            <v>1204.8</v>
          </cell>
          <cell r="E67">
            <v>407.2</v>
          </cell>
          <cell r="F67">
            <v>236.7</v>
          </cell>
          <cell r="G67">
            <v>560.89999999999986</v>
          </cell>
          <cell r="H67">
            <v>-52.300000000000004</v>
          </cell>
          <cell r="I67">
            <v>35</v>
          </cell>
          <cell r="J67">
            <v>-25</v>
          </cell>
          <cell r="L67">
            <v>9</v>
          </cell>
          <cell r="M67">
            <v>-33.300000000000004</v>
          </cell>
          <cell r="N67">
            <v>527.59999999999991</v>
          </cell>
          <cell r="O67">
            <v>0.29018195602729346</v>
          </cell>
          <cell r="P67">
            <v>153.1</v>
          </cell>
          <cell r="Q67">
            <v>374.49999999999989</v>
          </cell>
          <cell r="R67">
            <v>1156.248</v>
          </cell>
          <cell r="S67">
            <v>0.32500000000000001</v>
          </cell>
          <cell r="V67">
            <v>0.32500000000000001</v>
          </cell>
          <cell r="W67">
            <v>1.4999999999999999E-2</v>
          </cell>
          <cell r="X67">
            <v>0.34</v>
          </cell>
        </row>
        <row r="68">
          <cell r="A68" t="str">
            <v xml:space="preserve"> 2Q</v>
          </cell>
          <cell r="B68">
            <v>1614.8</v>
          </cell>
          <cell r="C68">
            <v>459.4</v>
          </cell>
          <cell r="D68">
            <v>1155.4000000000001</v>
          </cell>
          <cell r="E68">
            <v>436.3</v>
          </cell>
          <cell r="F68">
            <v>260.5</v>
          </cell>
          <cell r="G68">
            <v>458.60000000000014</v>
          </cell>
          <cell r="H68">
            <v>-52.2</v>
          </cell>
          <cell r="I68">
            <v>40</v>
          </cell>
          <cell r="J68">
            <v>-25</v>
          </cell>
          <cell r="L68">
            <v>15</v>
          </cell>
          <cell r="M68">
            <v>-22.200000000000003</v>
          </cell>
          <cell r="N68">
            <v>436.40000000000015</v>
          </cell>
          <cell r="O68">
            <v>0.29032997250229137</v>
          </cell>
          <cell r="P68">
            <v>126.7</v>
          </cell>
          <cell r="Q68">
            <v>309.70000000000016</v>
          </cell>
          <cell r="R68">
            <v>1157.136</v>
          </cell>
          <cell r="S68">
            <v>0.27</v>
          </cell>
          <cell r="V68">
            <v>0.27</v>
          </cell>
          <cell r="W68">
            <v>1.4999999999999999E-2</v>
          </cell>
          <cell r="X68">
            <v>0.28499999999999998</v>
          </cell>
        </row>
        <row r="69">
          <cell r="A69" t="str">
            <v xml:space="preserve"> 3Q</v>
          </cell>
          <cell r="B69">
            <v>1632</v>
          </cell>
          <cell r="C69">
            <v>420</v>
          </cell>
          <cell r="D69">
            <v>1212</v>
          </cell>
          <cell r="E69">
            <v>444</v>
          </cell>
          <cell r="F69">
            <v>261</v>
          </cell>
          <cell r="G69">
            <v>507</v>
          </cell>
          <cell r="H69">
            <v>-52.1</v>
          </cell>
          <cell r="I69">
            <v>0</v>
          </cell>
          <cell r="J69">
            <v>-25</v>
          </cell>
          <cell r="L69">
            <v>7</v>
          </cell>
          <cell r="M69">
            <v>-70.099999999999994</v>
          </cell>
          <cell r="N69">
            <v>436.9</v>
          </cell>
          <cell r="O69">
            <v>0.29068436713206686</v>
          </cell>
          <cell r="P69">
            <v>127</v>
          </cell>
          <cell r="Q69">
            <v>309.89999999999998</v>
          </cell>
          <cell r="R69">
            <v>1146.1479999999999</v>
          </cell>
          <cell r="S69">
            <v>0.27</v>
          </cell>
          <cell r="V69">
            <v>0.27</v>
          </cell>
          <cell r="W69">
            <v>5.0000000000000001E-3</v>
          </cell>
          <cell r="X69">
            <v>1.07</v>
          </cell>
        </row>
        <row r="70">
          <cell r="A70" t="str">
            <v xml:space="preserve"> 4Q</v>
          </cell>
          <cell r="B70">
            <v>1799.8</v>
          </cell>
          <cell r="C70">
            <v>494.1</v>
          </cell>
          <cell r="D70">
            <v>1305.6999999999998</v>
          </cell>
          <cell r="E70">
            <v>566.4</v>
          </cell>
          <cell r="F70">
            <v>284.5</v>
          </cell>
          <cell r="G70">
            <v>454.79999999999984</v>
          </cell>
          <cell r="H70">
            <v>-50.4</v>
          </cell>
          <cell r="I70">
            <v>0</v>
          </cell>
          <cell r="J70">
            <v>-25.9</v>
          </cell>
          <cell r="L70">
            <v>-14.6</v>
          </cell>
          <cell r="M70">
            <v>-90.899999999999991</v>
          </cell>
          <cell r="N70">
            <v>363.89999999999986</v>
          </cell>
          <cell r="O70">
            <v>0.14427040395713114</v>
          </cell>
          <cell r="P70">
            <v>52.5</v>
          </cell>
          <cell r="Q70">
            <v>311.39999999999986</v>
          </cell>
          <cell r="R70">
            <v>1092.674</v>
          </cell>
          <cell r="S70">
            <v>0.28499999999999998</v>
          </cell>
          <cell r="V70">
            <v>0.28499999999999998</v>
          </cell>
          <cell r="W70">
            <v>0.02</v>
          </cell>
          <cell r="X70">
            <v>0.315</v>
          </cell>
        </row>
        <row r="72">
          <cell r="A72" t="str">
            <v>1995</v>
          </cell>
          <cell r="B72">
            <v>6763.9000000000005</v>
          </cell>
          <cell r="C72">
            <v>1886</v>
          </cell>
          <cell r="D72">
            <v>4877.9000000000005</v>
          </cell>
          <cell r="E72">
            <v>1853.9</v>
          </cell>
          <cell r="F72">
            <v>1042.7</v>
          </cell>
          <cell r="G72">
            <v>1981.2999999999997</v>
          </cell>
          <cell r="H72">
            <v>-207</v>
          </cell>
          <cell r="I72">
            <v>75</v>
          </cell>
          <cell r="J72">
            <v>-100.9</v>
          </cell>
          <cell r="L72">
            <v>16.399999999999999</v>
          </cell>
          <cell r="M72">
            <v>-216.5</v>
          </cell>
          <cell r="N72">
            <v>1764.8</v>
          </cell>
          <cell r="O72">
            <v>0.26025611967361745</v>
          </cell>
          <cell r="P72">
            <v>459.3</v>
          </cell>
          <cell r="Q72">
            <v>1305.5</v>
          </cell>
          <cell r="R72">
            <v>1138.0519999999999</v>
          </cell>
          <cell r="S72">
            <v>1.1499999999999999</v>
          </cell>
          <cell r="V72">
            <v>1.1499999999999999</v>
          </cell>
          <cell r="W72" t="str">
            <v xml:space="preserve">       --</v>
          </cell>
          <cell r="X72">
            <v>2.0150000000000001</v>
          </cell>
        </row>
        <row r="74">
          <cell r="A74" t="str">
            <v>1996/95</v>
          </cell>
        </row>
        <row r="75">
          <cell r="A75" t="str">
            <v xml:space="preserve"> 1Q</v>
          </cell>
          <cell r="B75">
            <v>3.8432422989576664E-2</v>
          </cell>
          <cell r="C75">
            <v>1.073170731707318E-2</v>
          </cell>
          <cell r="D75">
            <v>5.021580345285525E-2</v>
          </cell>
          <cell r="E75">
            <v>0.12966601178781928</v>
          </cell>
          <cell r="F75">
            <v>0.1660329531051965</v>
          </cell>
          <cell r="G75">
            <v>-5.6338028169013933E-2</v>
          </cell>
          <cell r="H75">
            <v>-1.5296367112810651E-2</v>
          </cell>
          <cell r="I75">
            <v>-5.7142857142857162E-2</v>
          </cell>
          <cell r="J75">
            <v>0</v>
          </cell>
          <cell r="L75" t="str">
            <v>NM</v>
          </cell>
          <cell r="M75" t="str">
            <v>NM</v>
          </cell>
          <cell r="N75">
            <v>-5.8377558756633738E-2</v>
          </cell>
          <cell r="O75">
            <v>-0.1143487916394515</v>
          </cell>
          <cell r="P75">
            <v>-0.16605094709340298</v>
          </cell>
          <cell r="Q75">
            <v>-1.4359412550066536E-2</v>
          </cell>
          <cell r="R75">
            <v>-5.4100850336606054E-2</v>
          </cell>
          <cell r="S75">
            <v>1.5384615384615398E-2</v>
          </cell>
          <cell r="V75">
            <v>9.2307692307692216E-2</v>
          </cell>
          <cell r="W75" t="str">
            <v>NM</v>
          </cell>
          <cell r="X75">
            <v>2.9411764705882214E-2</v>
          </cell>
        </row>
        <row r="76">
          <cell r="A76" t="str">
            <v xml:space="preserve"> 2Q</v>
          </cell>
          <cell r="B76">
            <v>5.1709189992568738E-2</v>
          </cell>
          <cell r="C76">
            <v>9.9477579451458631E-2</v>
          </cell>
          <cell r="D76">
            <v>3.2715942530725052E-2</v>
          </cell>
          <cell r="E76">
            <v>9.7868439147375627E-2</v>
          </cell>
          <cell r="F76">
            <v>4.9520153550863637E-2</v>
          </cell>
          <cell r="G76">
            <v>-3.8813781072830983E-2</v>
          </cell>
          <cell r="H76">
            <v>-3.6398467432950297E-2</v>
          </cell>
          <cell r="I76">
            <v>-5.0000000000000044E-2</v>
          </cell>
          <cell r="J76">
            <v>0</v>
          </cell>
          <cell r="L76" t="str">
            <v>NM</v>
          </cell>
          <cell r="M76" t="str">
            <v>NM</v>
          </cell>
          <cell r="N76">
            <v>2.7726856095324652E-2</v>
          </cell>
          <cell r="O76">
            <v>-0.11480031570639269</v>
          </cell>
          <cell r="P76">
            <v>-9.0256511444357118E-2</v>
          </cell>
          <cell r="Q76">
            <v>7.5994510816918687E-2</v>
          </cell>
          <cell r="R76">
            <v>-5.4083530371537902E-2</v>
          </cell>
          <cell r="S76">
            <v>0.14814814814814806</v>
          </cell>
          <cell r="V76">
            <v>0.1666666666666666</v>
          </cell>
          <cell r="W76" t="str">
            <v>NM</v>
          </cell>
          <cell r="X76">
            <v>8.7719298245614127E-2</v>
          </cell>
        </row>
        <row r="77">
          <cell r="A77" t="str">
            <v xml:space="preserve"> 3Q</v>
          </cell>
          <cell r="B77">
            <v>0.10533088235294123</v>
          </cell>
          <cell r="C77">
            <v>0.19738095238095243</v>
          </cell>
          <cell r="D77">
            <v>7.3432343234323433E-2</v>
          </cell>
          <cell r="E77">
            <v>3.1756756756756807E-2</v>
          </cell>
          <cell r="F77">
            <v>0.11379310344827581</v>
          </cell>
          <cell r="G77">
            <v>8.9151873767258472E-2</v>
          </cell>
          <cell r="H77">
            <v>9.5969289827253917E-3</v>
          </cell>
          <cell r="I77" t="str">
            <v>NM</v>
          </cell>
          <cell r="J77">
            <v>0</v>
          </cell>
          <cell r="L77" t="str">
            <v>NM</v>
          </cell>
          <cell r="M77" t="str">
            <v>NM</v>
          </cell>
          <cell r="N77">
            <v>0.10917830167086301</v>
          </cell>
          <cell r="O77">
            <v>-0.11587952755905516</v>
          </cell>
          <cell r="P77">
            <v>-1.9352755905511745E-2</v>
          </cell>
          <cell r="Q77">
            <v>0.16185156502097472</v>
          </cell>
          <cell r="R77">
            <v>-4.6430303939805295E-2</v>
          </cell>
          <cell r="S77">
            <v>0.14814814814814806</v>
          </cell>
          <cell r="V77">
            <v>0.40740740740740733</v>
          </cell>
          <cell r="W77" t="str">
            <v>NM</v>
          </cell>
          <cell r="X77">
            <v>-0.65420560747663559</v>
          </cell>
        </row>
        <row r="78">
          <cell r="A78" t="str">
            <v xml:space="preserve"> 4Q</v>
          </cell>
          <cell r="B78">
            <v>0.14518279808867648</v>
          </cell>
          <cell r="C78">
            <v>0.19894758146124247</v>
          </cell>
          <cell r="D78">
            <v>0.12483725204870952</v>
          </cell>
          <cell r="E78">
            <v>2.3658192090395443E-2</v>
          </cell>
          <cell r="F78">
            <v>0.22811950790861152</v>
          </cell>
          <cell r="G78">
            <v>0.18623570800351819</v>
          </cell>
          <cell r="H78">
            <v>3.968253968253968E-2</v>
          </cell>
          <cell r="I78" t="str">
            <v>NM</v>
          </cell>
          <cell r="J78">
            <v>-3.474903474903468E-2</v>
          </cell>
          <cell r="L78" t="str">
            <v>NM</v>
          </cell>
          <cell r="M78" t="str">
            <v>NM</v>
          </cell>
          <cell r="N78">
            <v>0.32756251717504836</v>
          </cell>
          <cell r="O78">
            <v>0.57538989265753859</v>
          </cell>
          <cell r="P78">
            <v>1.0914285714285714</v>
          </cell>
          <cell r="Q78">
            <v>0.19877970456005159</v>
          </cell>
          <cell r="R78">
            <v>1.6711297239615508E-3</v>
          </cell>
          <cell r="S78">
            <v>0.15789473684210542</v>
          </cell>
          <cell r="V78">
            <v>0.15789473684210542</v>
          </cell>
          <cell r="W78" t="str">
            <v>NM</v>
          </cell>
          <cell r="X78">
            <v>4.7619047619047658E-2</v>
          </cell>
        </row>
        <row r="80">
          <cell r="A80" t="str">
            <v>1996/95</v>
          </cell>
          <cell r="B80">
            <v>8.6148523780659056E-2</v>
          </cell>
          <cell r="C80">
            <v>0.12322375397667029</v>
          </cell>
          <cell r="D80">
            <v>7.1813690317554524E-2</v>
          </cell>
          <cell r="E80">
            <v>6.6346620637574835E-2</v>
          </cell>
          <cell r="F80">
            <v>0.14078833796873497</v>
          </cell>
          <cell r="G80">
            <v>4.0629889466511665E-2</v>
          </cell>
          <cell r="H80">
            <v>-9.6618357487917217E-4</v>
          </cell>
          <cell r="I80">
            <v>-5.3333333333333344E-2</v>
          </cell>
          <cell r="J80">
            <v>-8.9197224975223754E-3</v>
          </cell>
          <cell r="L80" t="str">
            <v>NM</v>
          </cell>
          <cell r="M80" t="str">
            <v>NM</v>
          </cell>
          <cell r="N80">
            <v>8.3975521305530265E-2</v>
          </cell>
          <cell r="O80">
            <v>-4.1347457601848742E-2</v>
          </cell>
          <cell r="P80">
            <v>3.9155889396908131E-2</v>
          </cell>
          <cell r="Q80">
            <v>9.97439295289161E-2</v>
          </cell>
          <cell r="R80">
            <v>-3.8778544389887148E-2</v>
          </cell>
          <cell r="S80">
            <v>0.11304347826086968</v>
          </cell>
          <cell r="V80">
            <v>0.2</v>
          </cell>
          <cell r="W80" t="str">
            <v>NM</v>
          </cell>
          <cell r="X80">
            <v>-0.32506203473945411</v>
          </cell>
        </row>
        <row r="82">
          <cell r="A82" t="str">
            <v>1996</v>
          </cell>
        </row>
        <row r="83">
          <cell r="A83" t="str">
            <v xml:space="preserve"> 1Q (b)</v>
          </cell>
          <cell r="B83">
            <v>1783.3</v>
          </cell>
          <cell r="C83">
            <v>518</v>
          </cell>
          <cell r="D83">
            <v>1265.3</v>
          </cell>
          <cell r="E83">
            <v>460</v>
          </cell>
          <cell r="F83">
            <v>276</v>
          </cell>
          <cell r="G83">
            <v>529.29999999999995</v>
          </cell>
          <cell r="H83">
            <v>-51.500000000000007</v>
          </cell>
          <cell r="I83">
            <v>33</v>
          </cell>
          <cell r="J83">
            <v>-25</v>
          </cell>
          <cell r="L83">
            <v>11</v>
          </cell>
          <cell r="M83">
            <v>-32.500000000000007</v>
          </cell>
          <cell r="N83">
            <v>496.79999999999995</v>
          </cell>
          <cell r="O83">
            <v>0.25700000000000001</v>
          </cell>
          <cell r="P83">
            <v>127.6776</v>
          </cell>
          <cell r="Q83">
            <v>369.12239999999997</v>
          </cell>
          <cell r="R83">
            <v>1093.694</v>
          </cell>
          <cell r="S83">
            <v>0.33</v>
          </cell>
          <cell r="V83">
            <v>0.35499999999999998</v>
          </cell>
          <cell r="W83" t="str">
            <v xml:space="preserve">       --</v>
          </cell>
          <cell r="X83">
            <v>0.35</v>
          </cell>
        </row>
        <row r="84">
          <cell r="A84" t="str">
            <v xml:space="preserve"> 2Q (c)</v>
          </cell>
          <cell r="B84">
            <v>1698.3</v>
          </cell>
          <cell r="C84">
            <v>505.1</v>
          </cell>
          <cell r="D84">
            <v>1193.1999999999998</v>
          </cell>
          <cell r="E84">
            <v>479</v>
          </cell>
          <cell r="F84">
            <v>273.39999999999998</v>
          </cell>
          <cell r="G84">
            <v>440.79999999999984</v>
          </cell>
          <cell r="H84">
            <v>-50.3</v>
          </cell>
          <cell r="I84">
            <v>38</v>
          </cell>
          <cell r="J84">
            <v>-25</v>
          </cell>
          <cell r="L84">
            <v>45</v>
          </cell>
          <cell r="M84">
            <v>7.7000000000000028</v>
          </cell>
          <cell r="N84">
            <v>448.49999999999983</v>
          </cell>
          <cell r="O84">
            <v>0.25700000000000001</v>
          </cell>
          <cell r="P84">
            <v>115.26449999999996</v>
          </cell>
          <cell r="Q84">
            <v>333.23549999999989</v>
          </cell>
          <cell r="R84">
            <v>1094.5540000000001</v>
          </cell>
          <cell r="S84">
            <v>0.31</v>
          </cell>
          <cell r="V84">
            <v>0.315</v>
          </cell>
          <cell r="W84" t="str">
            <v xml:space="preserve">       --</v>
          </cell>
          <cell r="X84">
            <v>0.31</v>
          </cell>
        </row>
        <row r="85">
          <cell r="A85" t="str">
            <v xml:space="preserve"> 3Q (d)</v>
          </cell>
          <cell r="B85">
            <v>1803.9</v>
          </cell>
          <cell r="C85">
            <v>502.9</v>
          </cell>
          <cell r="D85">
            <v>1301</v>
          </cell>
          <cell r="E85">
            <v>458.1</v>
          </cell>
          <cell r="F85">
            <v>290.7</v>
          </cell>
          <cell r="G85">
            <v>552.20000000000005</v>
          </cell>
          <cell r="H85">
            <v>-52.599999999999994</v>
          </cell>
          <cell r="I85">
            <v>0</v>
          </cell>
          <cell r="J85">
            <v>-25</v>
          </cell>
          <cell r="L85">
            <v>10</v>
          </cell>
          <cell r="M85">
            <v>-67.599999999999994</v>
          </cell>
          <cell r="N85">
            <v>484.6</v>
          </cell>
          <cell r="O85">
            <v>0.25700000000000001</v>
          </cell>
          <cell r="P85">
            <v>124.54220000000001</v>
          </cell>
          <cell r="Q85">
            <v>360.05780000000004</v>
          </cell>
          <cell r="R85">
            <v>1092.932</v>
          </cell>
          <cell r="S85">
            <v>0.31</v>
          </cell>
          <cell r="V85">
            <v>0.38</v>
          </cell>
          <cell r="W85" t="str">
            <v xml:space="preserve">       --</v>
          </cell>
          <cell r="X85">
            <v>0.37</v>
          </cell>
        </row>
        <row r="86">
          <cell r="A86" t="str">
            <v xml:space="preserve"> 4Q</v>
          </cell>
          <cell r="B86">
            <v>2061.1</v>
          </cell>
          <cell r="C86">
            <v>592.4</v>
          </cell>
          <cell r="D86">
            <v>1468.6999999999998</v>
          </cell>
          <cell r="E86">
            <v>579.79999999999995</v>
          </cell>
          <cell r="F86">
            <v>349.4</v>
          </cell>
          <cell r="G86">
            <v>539.49999999999989</v>
          </cell>
          <cell r="H86">
            <v>-52.4</v>
          </cell>
          <cell r="I86">
            <v>0</v>
          </cell>
          <cell r="J86">
            <v>-25</v>
          </cell>
          <cell r="L86">
            <v>21</v>
          </cell>
          <cell r="M86">
            <v>-56.400000000000006</v>
          </cell>
          <cell r="N86">
            <v>483.09999999999991</v>
          </cell>
          <cell r="O86">
            <v>0.22728213620368456</v>
          </cell>
          <cell r="P86">
            <v>109.8</v>
          </cell>
          <cell r="Q86">
            <v>373.2999999999999</v>
          </cell>
          <cell r="R86">
            <v>1094.5</v>
          </cell>
          <cell r="S86">
            <v>0.33</v>
          </cell>
          <cell r="V86">
            <v>0.33</v>
          </cell>
          <cell r="W86" t="str">
            <v xml:space="preserve">       --</v>
          </cell>
          <cell r="X86">
            <v>0.33</v>
          </cell>
        </row>
        <row r="88">
          <cell r="A88" t="str">
            <v>Year</v>
          </cell>
          <cell r="B88">
            <v>7346.6</v>
          </cell>
          <cell r="C88">
            <v>2118.4</v>
          </cell>
          <cell r="D88">
            <v>5228.2</v>
          </cell>
          <cell r="E88">
            <v>1976.9</v>
          </cell>
          <cell r="F88">
            <v>1189.5</v>
          </cell>
          <cell r="G88">
            <v>2061.7999999999993</v>
          </cell>
          <cell r="H88">
            <v>-206.8</v>
          </cell>
          <cell r="I88">
            <v>71</v>
          </cell>
          <cell r="J88">
            <v>-100</v>
          </cell>
          <cell r="L88">
            <v>87</v>
          </cell>
          <cell r="M88">
            <v>-148.80000000000001</v>
          </cell>
          <cell r="N88">
            <v>1912.9999999999998</v>
          </cell>
          <cell r="O88">
            <v>0.24949519079979088</v>
          </cell>
          <cell r="P88">
            <v>477.28429999999992</v>
          </cell>
          <cell r="Q88">
            <v>1435.7157</v>
          </cell>
          <cell r="R88">
            <v>1093.92</v>
          </cell>
          <cell r="S88">
            <v>1.28</v>
          </cell>
          <cell r="V88">
            <v>1.38</v>
          </cell>
          <cell r="W88" t="str">
            <v xml:space="preserve">       --</v>
          </cell>
          <cell r="X88">
            <v>1.36</v>
          </cell>
        </row>
        <row r="90">
          <cell r="A90" t="str">
            <v>1997/96</v>
          </cell>
        </row>
        <row r="91">
          <cell r="A91" t="str">
            <v xml:space="preserve"> 1Q</v>
          </cell>
          <cell r="B91">
            <v>9.5160657208545982E-2</v>
          </cell>
          <cell r="C91">
            <v>4.4980694980694895E-2</v>
          </cell>
          <cell r="D91">
            <v>0.11570378566347909</v>
          </cell>
          <cell r="E91">
            <v>2.5434782608695628E-2</v>
          </cell>
          <cell r="F91">
            <v>9.1304347826086915E-2</v>
          </cell>
          <cell r="G91">
            <v>0.2068770073682222</v>
          </cell>
          <cell r="H91">
            <v>-0.10873786407766992</v>
          </cell>
          <cell r="I91">
            <v>-0.36363636363636365</v>
          </cell>
          <cell r="J91">
            <v>0</v>
          </cell>
          <cell r="L91">
            <v>7.2727272727272793E-2</v>
          </cell>
          <cell r="M91">
            <v>0.1723076923076923</v>
          </cell>
          <cell r="N91">
            <v>0.20913848631239934</v>
          </cell>
          <cell r="O91">
            <v>-2.7075415905827124E-2</v>
          </cell>
          <cell r="P91">
            <v>0.17640055890774883</v>
          </cell>
          <cell r="Q91">
            <v>0.22046237237295807</v>
          </cell>
          <cell r="R91">
            <v>2.9125148350452726E-2</v>
          </cell>
          <cell r="S91">
            <v>0.21212121212121213</v>
          </cell>
          <cell r="V91">
            <v>0.1267605633802818</v>
          </cell>
          <cell r="W91" t="str">
            <v>NM</v>
          </cell>
          <cell r="X91">
            <v>8.5714285714285798E-2</v>
          </cell>
        </row>
        <row r="92">
          <cell r="A92" t="str">
            <v xml:space="preserve"> 2Q</v>
          </cell>
          <cell r="B92">
            <v>0.17099452393570047</v>
          </cell>
          <cell r="C92">
            <v>8.6517521282914137E-2</v>
          </cell>
          <cell r="D92">
            <v>0.20675494468655742</v>
          </cell>
          <cell r="E92">
            <v>0.15302713987473895</v>
          </cell>
          <cell r="F92">
            <v>0.19495245062179961</v>
          </cell>
          <cell r="G92">
            <v>0.27245916515426566</v>
          </cell>
          <cell r="H92">
            <v>-0.10337972166998004</v>
          </cell>
          <cell r="I92">
            <v>0</v>
          </cell>
          <cell r="J92">
            <v>0</v>
          </cell>
          <cell r="L92">
            <v>-0.37777777777777777</v>
          </cell>
          <cell r="M92" t="str">
            <v>NM</v>
          </cell>
          <cell r="N92">
            <v>0.24147157190635513</v>
          </cell>
          <cell r="O92">
            <v>-2.7936177825484364E-2</v>
          </cell>
          <cell r="P92">
            <v>0.20678960130829568</v>
          </cell>
          <cell r="Q92">
            <v>0.25346789282654514</v>
          </cell>
          <cell r="R92">
            <v>2.9580998287887055E-2</v>
          </cell>
          <cell r="S92">
            <v>0.19354838709677419</v>
          </cell>
          <cell r="V92">
            <v>0.20634920634920637</v>
          </cell>
          <cell r="W92" t="str">
            <v>NM</v>
          </cell>
          <cell r="X92" t="str">
            <v>NM</v>
          </cell>
        </row>
        <row r="93">
          <cell r="A93" t="str">
            <v xml:space="preserve"> 3Q</v>
          </cell>
          <cell r="B93">
            <v>0.19746105659958968</v>
          </cell>
          <cell r="C93">
            <v>0.16882083913302839</v>
          </cell>
          <cell r="D93">
            <v>0.2085318985395849</v>
          </cell>
          <cell r="E93">
            <v>0.28181619733682606</v>
          </cell>
          <cell r="F93">
            <v>0.18816649466804261</v>
          </cell>
          <cell r="G93">
            <v>0.15845708076783752</v>
          </cell>
          <cell r="H93">
            <v>-0.38403041825095052</v>
          </cell>
          <cell r="I93" t="str">
            <v>NM</v>
          </cell>
          <cell r="J93">
            <v>-0.7</v>
          </cell>
          <cell r="L93">
            <v>-1.1099999999999999</v>
          </cell>
          <cell r="M93">
            <v>-0.39349112426035499</v>
          </cell>
          <cell r="N93">
            <v>0.23545191910854293</v>
          </cell>
          <cell r="O93">
            <v>-2.7074874939801367E-2</v>
          </cell>
          <cell r="P93">
            <v>0.20200221290454143</v>
          </cell>
          <cell r="Q93">
            <v>0.24702200591127282</v>
          </cell>
          <cell r="R93">
            <v>3.3780692668894378E-2</v>
          </cell>
          <cell r="S93">
            <v>0.29032258064516137</v>
          </cell>
          <cell r="V93">
            <v>5.2631578947368467E-2</v>
          </cell>
          <cell r="W93" t="str">
            <v>NM</v>
          </cell>
          <cell r="X93">
            <v>8.1081081081081155E-2</v>
          </cell>
        </row>
        <row r="94">
          <cell r="A94" t="str">
            <v xml:space="preserve"> 4Q</v>
          </cell>
          <cell r="B94">
            <v>0.1720925719276116</v>
          </cell>
          <cell r="C94">
            <v>0.15631330182309255</v>
          </cell>
          <cell r="D94">
            <v>0.17845713896643317</v>
          </cell>
          <cell r="E94">
            <v>0.17764746464298034</v>
          </cell>
          <cell r="F94">
            <v>0.16971951917572986</v>
          </cell>
          <cell r="G94">
            <v>0.18498609823911089</v>
          </cell>
          <cell r="H94">
            <v>-0.59732824427480913</v>
          </cell>
          <cell r="I94" t="str">
            <v>NM</v>
          </cell>
          <cell r="J94">
            <v>-0.7</v>
          </cell>
          <cell r="L94">
            <v>-1.0333333333333332</v>
          </cell>
          <cell r="M94">
            <v>-0.48049645390070927</v>
          </cell>
          <cell r="N94">
            <v>0.26267853446491479</v>
          </cell>
          <cell r="O94">
            <v>9.9954462659380197E-2</v>
          </cell>
          <cell r="P94">
            <v>0.38888888888888895</v>
          </cell>
          <cell r="Q94">
            <v>0.22555585320117963</v>
          </cell>
          <cell r="R94">
            <v>3.4762905436272272E-2</v>
          </cell>
          <cell r="S94">
            <v>0.21212121212121213</v>
          </cell>
          <cell r="V94">
            <v>0.21212121212121213</v>
          </cell>
          <cell r="W94" t="str">
            <v>NM</v>
          </cell>
          <cell r="X94">
            <v>0.21212121212121213</v>
          </cell>
        </row>
        <row r="96">
          <cell r="A96" t="str">
            <v>Year</v>
          </cell>
          <cell r="B96">
            <v>0.15939346092069775</v>
          </cell>
          <cell r="C96">
            <v>0.11541729607250734</v>
          </cell>
          <cell r="D96">
            <v>0.17721204238552485</v>
          </cell>
          <cell r="E96">
            <v>0.16040265061459857</v>
          </cell>
          <cell r="F96">
            <v>0.16183270281630938</v>
          </cell>
          <cell r="G96">
            <v>0.20220195945290578</v>
          </cell>
          <cell r="H96">
            <v>-0.30125725338491299</v>
          </cell>
          <cell r="I96">
            <v>-0.16901408450704225</v>
          </cell>
          <cell r="J96">
            <v>-0.35</v>
          </cell>
          <cell r="L96">
            <v>-0.56321839080459779</v>
          </cell>
          <cell r="M96">
            <v>-0.24395161290322576</v>
          </cell>
          <cell r="N96">
            <v>0.23690538421327786</v>
          </cell>
          <cell r="O96">
            <v>1.9386276402102781E-3</v>
          </cell>
          <cell r="P96">
            <v>0.23930328317943855</v>
          </cell>
          <cell r="Q96">
            <v>0.23610823507746018</v>
          </cell>
          <cell r="R96">
            <v>3.1812198332601974E-2</v>
          </cell>
          <cell r="S96">
            <v>0.22656250000000003</v>
          </cell>
          <cell r="V96">
            <v>0.1449275362318842</v>
          </cell>
          <cell r="W96" t="str">
            <v>NM</v>
          </cell>
          <cell r="X96" t="str">
            <v>NM</v>
          </cell>
        </row>
        <row r="98">
          <cell r="A98" t="str">
            <v>1997</v>
          </cell>
        </row>
        <row r="99">
          <cell r="A99" t="str">
            <v xml:space="preserve"> 1Q (a)</v>
          </cell>
          <cell r="B99">
            <v>1953</v>
          </cell>
          <cell r="C99">
            <v>541.29999999999995</v>
          </cell>
          <cell r="D99">
            <v>1411.7</v>
          </cell>
          <cell r="E99">
            <v>471.7</v>
          </cell>
          <cell r="F99">
            <v>301.2</v>
          </cell>
          <cell r="G99">
            <v>638.79999999999995</v>
          </cell>
          <cell r="H99">
            <v>-45.900000000000006</v>
          </cell>
          <cell r="I99">
            <v>21</v>
          </cell>
          <cell r="J99">
            <v>-25</v>
          </cell>
          <cell r="L99">
            <v>11.8</v>
          </cell>
          <cell r="M99">
            <v>-38.100000000000009</v>
          </cell>
          <cell r="N99">
            <v>600.69999999999993</v>
          </cell>
          <cell r="O99">
            <v>0.25004161811220244</v>
          </cell>
          <cell r="P99">
            <v>150.19999999999999</v>
          </cell>
          <cell r="Q99">
            <v>450.49999999999994</v>
          </cell>
          <cell r="R99">
            <v>1125.548</v>
          </cell>
          <cell r="S99">
            <v>0.4</v>
          </cell>
          <cell r="U99">
            <v>0.18</v>
          </cell>
          <cell r="V99">
            <v>0.4</v>
          </cell>
          <cell r="W99">
            <v>0.4</v>
          </cell>
          <cell r="X99">
            <v>0.38</v>
          </cell>
        </row>
        <row r="100">
          <cell r="A100" t="str">
            <v xml:space="preserve"> 2Q (b)</v>
          </cell>
          <cell r="B100">
            <v>1988.7</v>
          </cell>
          <cell r="C100">
            <v>548.79999999999995</v>
          </cell>
          <cell r="D100">
            <v>1439.9</v>
          </cell>
          <cell r="E100">
            <v>552.29999999999995</v>
          </cell>
          <cell r="F100">
            <v>326.7</v>
          </cell>
          <cell r="G100">
            <v>560.90000000000009</v>
          </cell>
          <cell r="H100">
            <v>-45.1</v>
          </cell>
          <cell r="I100">
            <v>38</v>
          </cell>
          <cell r="J100">
            <v>-25</v>
          </cell>
          <cell r="L100">
            <v>28</v>
          </cell>
          <cell r="M100">
            <v>-4.1000000000000014</v>
          </cell>
          <cell r="N100">
            <v>556.80000000000007</v>
          </cell>
          <cell r="O100">
            <v>0.24982040229885052</v>
          </cell>
          <cell r="P100">
            <v>139.1</v>
          </cell>
          <cell r="Q100">
            <v>417.70000000000005</v>
          </cell>
          <cell r="R100">
            <v>1126.932</v>
          </cell>
          <cell r="S100">
            <v>0.37</v>
          </cell>
          <cell r="U100">
            <v>0.18</v>
          </cell>
          <cell r="V100">
            <v>0.38</v>
          </cell>
          <cell r="W100" t="str">
            <v xml:space="preserve">       --</v>
          </cell>
          <cell r="X100">
            <v>-1.57</v>
          </cell>
        </row>
        <row r="101">
          <cell r="A101" t="str">
            <v xml:space="preserve"> 3Q</v>
          </cell>
          <cell r="B101">
            <v>2160.1</v>
          </cell>
          <cell r="C101">
            <v>587.79999999999995</v>
          </cell>
          <cell r="D101">
            <v>1572.3</v>
          </cell>
          <cell r="E101">
            <v>587.20000000000005</v>
          </cell>
          <cell r="F101">
            <v>345.4</v>
          </cell>
          <cell r="G101">
            <v>639.69999999999993</v>
          </cell>
          <cell r="H101">
            <v>-32.4</v>
          </cell>
          <cell r="I101">
            <v>0</v>
          </cell>
          <cell r="J101">
            <v>-7.5</v>
          </cell>
          <cell r="L101">
            <v>-1.1000000000000001</v>
          </cell>
          <cell r="M101">
            <v>-41</v>
          </cell>
          <cell r="N101">
            <v>598.69999999999993</v>
          </cell>
          <cell r="O101">
            <v>0.25004175714047105</v>
          </cell>
          <cell r="P101">
            <v>149.69999999999999</v>
          </cell>
          <cell r="Q101">
            <v>448.99999999999994</v>
          </cell>
          <cell r="R101">
            <v>1129.8520000000001</v>
          </cell>
          <cell r="S101">
            <v>0.4</v>
          </cell>
          <cell r="U101">
            <v>0.18</v>
          </cell>
          <cell r="V101">
            <v>0.4</v>
          </cell>
          <cell r="W101">
            <v>0.4</v>
          </cell>
          <cell r="X101">
            <v>0.4</v>
          </cell>
        </row>
        <row r="102">
          <cell r="A102" t="str">
            <v xml:space="preserve"> 4Q</v>
          </cell>
          <cell r="B102">
            <v>2415.8000000000002</v>
          </cell>
          <cell r="C102">
            <v>685</v>
          </cell>
          <cell r="D102">
            <v>1730.8000000000002</v>
          </cell>
          <cell r="E102">
            <v>682.8</v>
          </cell>
          <cell r="F102">
            <v>408.7</v>
          </cell>
          <cell r="G102">
            <v>639.30000000000018</v>
          </cell>
          <cell r="H102">
            <v>-21.1</v>
          </cell>
          <cell r="I102">
            <v>0</v>
          </cell>
          <cell r="J102">
            <v>-7.5</v>
          </cell>
          <cell r="L102">
            <v>-0.7</v>
          </cell>
          <cell r="M102">
            <v>-29.3</v>
          </cell>
          <cell r="N102">
            <v>610.00000000000023</v>
          </cell>
          <cell r="O102">
            <v>0.24999999999999992</v>
          </cell>
          <cell r="P102">
            <v>152.5</v>
          </cell>
          <cell r="Q102">
            <v>457.50000000000023</v>
          </cell>
          <cell r="R102">
            <v>1132.548</v>
          </cell>
          <cell r="S102">
            <v>0.4</v>
          </cell>
          <cell r="U102">
            <v>0.2</v>
          </cell>
          <cell r="V102">
            <v>0.4</v>
          </cell>
          <cell r="W102">
            <v>0.4</v>
          </cell>
          <cell r="X102">
            <v>0.4</v>
          </cell>
        </row>
        <row r="104">
          <cell r="A104" t="str">
            <v>Year</v>
          </cell>
          <cell r="B104">
            <v>8517.5999999999985</v>
          </cell>
          <cell r="C104">
            <v>2362.8999999999996</v>
          </cell>
          <cell r="D104">
            <v>6154.7000000000007</v>
          </cell>
          <cell r="E104">
            <v>2294</v>
          </cell>
          <cell r="F104">
            <v>1382</v>
          </cell>
          <cell r="G104">
            <v>2478.7000000000003</v>
          </cell>
          <cell r="H104">
            <v>-144.5</v>
          </cell>
          <cell r="I104">
            <v>59</v>
          </cell>
          <cell r="J104">
            <v>-65</v>
          </cell>
          <cell r="L104">
            <v>37.999999999999993</v>
          </cell>
          <cell r="M104">
            <v>-112.50000000000001</v>
          </cell>
          <cell r="N104">
            <v>2366.2000000000003</v>
          </cell>
          <cell r="O104">
            <v>0.24997886907277489</v>
          </cell>
          <cell r="P104">
            <v>591.5</v>
          </cell>
          <cell r="Q104">
            <v>1774.7000000000003</v>
          </cell>
          <cell r="R104">
            <v>1128.72</v>
          </cell>
          <cell r="S104">
            <v>1.57</v>
          </cell>
          <cell r="U104">
            <v>0.74</v>
          </cell>
          <cell r="V104">
            <v>1.58</v>
          </cell>
          <cell r="W104" t="str">
            <v xml:space="preserve">       --</v>
          </cell>
          <cell r="X104">
            <v>-0.35</v>
          </cell>
        </row>
        <row r="106">
          <cell r="A106" t="str">
            <v>1998/97</v>
          </cell>
        </row>
        <row r="107">
          <cell r="A107" t="str">
            <v xml:space="preserve"> 1Q</v>
          </cell>
          <cell r="B107">
            <v>6.8612391193036359E-2</v>
          </cell>
          <cell r="C107">
            <v>-0.15518196933308692</v>
          </cell>
          <cell r="D107">
            <v>0.15442374442161932</v>
          </cell>
          <cell r="E107">
            <v>0.15221539113843546</v>
          </cell>
          <cell r="F107">
            <v>0.20484727755644086</v>
          </cell>
          <cell r="G107">
            <v>0.13227927363807157</v>
          </cell>
          <cell r="H107">
            <v>-0.47930283224400883</v>
          </cell>
          <cell r="I107" t="str">
            <v>NM</v>
          </cell>
          <cell r="J107" t="str">
            <v>NM</v>
          </cell>
          <cell r="L107" t="str">
            <v>NM</v>
          </cell>
          <cell r="M107" t="str">
            <v>NM</v>
          </cell>
          <cell r="N107">
            <v>0.170800732478775</v>
          </cell>
          <cell r="O107">
            <v>-2.3623367336371232E-2</v>
          </cell>
          <cell r="P107">
            <v>0.14314247669773636</v>
          </cell>
          <cell r="Q107">
            <v>0.18002219755826904</v>
          </cell>
          <cell r="R107">
            <v>4.5186877858607657E-3</v>
          </cell>
          <cell r="S107">
            <v>0.15</v>
          </cell>
          <cell r="U107">
            <v>0.11111111111111122</v>
          </cell>
          <cell r="V107">
            <v>0.15</v>
          </cell>
          <cell r="W107" t="str">
            <v>NM</v>
          </cell>
          <cell r="X107">
            <v>0.2368421052631578</v>
          </cell>
        </row>
        <row r="108">
          <cell r="A108" t="str">
            <v xml:space="preserve"> 2Q</v>
          </cell>
          <cell r="B108">
            <v>8.3622466938200815E-2</v>
          </cell>
          <cell r="C108">
            <v>-0.12791545189504361</v>
          </cell>
          <cell r="D108">
            <v>0.16424751718869365</v>
          </cell>
          <cell r="E108">
            <v>0.15408292594604386</v>
          </cell>
          <cell r="F108">
            <v>0.27548209366391185</v>
          </cell>
          <cell r="G108">
            <v>0.10946692815118533</v>
          </cell>
          <cell r="H108">
            <v>-0.57871396895787142</v>
          </cell>
          <cell r="I108" t="str">
            <v>NM</v>
          </cell>
          <cell r="J108" t="str">
            <v>NM</v>
          </cell>
          <cell r="L108" t="str">
            <v>NM</v>
          </cell>
          <cell r="M108" t="str">
            <v>NM</v>
          </cell>
          <cell r="N108">
            <v>0.16253591954022967</v>
          </cell>
          <cell r="O108">
            <v>-3.2829061667760159E-2</v>
          </cell>
          <cell r="P108">
            <v>0.12437095614665716</v>
          </cell>
          <cell r="Q108">
            <v>0.17524539142925527</v>
          </cell>
          <cell r="R108">
            <v>-1.7055155058158127E-3</v>
          </cell>
          <cell r="S108">
            <v>0.1891891891891892</v>
          </cell>
          <cell r="U108">
            <v>0.11111111111111122</v>
          </cell>
          <cell r="V108">
            <v>0.15789473684210525</v>
          </cell>
          <cell r="W108" t="str">
            <v>NM</v>
          </cell>
          <cell r="X108">
            <v>-1.2802547770700639</v>
          </cell>
        </row>
        <row r="109">
          <cell r="A109" t="str">
            <v xml:space="preserve"> 3Q</v>
          </cell>
          <cell r="B109">
            <v>9.2264247025600751E-2</v>
          </cell>
          <cell r="C109">
            <v>-0.15668594760122487</v>
          </cell>
          <cell r="D109">
            <v>0.18533358773770917</v>
          </cell>
          <cell r="E109">
            <v>0.13692098092643046</v>
          </cell>
          <cell r="F109">
            <v>0.27359583092067169</v>
          </cell>
          <cell r="G109">
            <v>0.18211661716429578</v>
          </cell>
          <cell r="H109">
            <v>-0.28086419753086417</v>
          </cell>
          <cell r="I109" t="str">
            <v>NM</v>
          </cell>
          <cell r="J109" t="str">
            <v>NM</v>
          </cell>
          <cell r="L109" t="str">
            <v>NM</v>
          </cell>
          <cell r="M109" t="str">
            <v>NM</v>
          </cell>
          <cell r="N109">
            <v>0.21362953064974108</v>
          </cell>
          <cell r="O109">
            <v>-0.242625814984405</v>
          </cell>
          <cell r="P109">
            <v>-8.0828323313293218E-2</v>
          </cell>
          <cell r="Q109">
            <v>0.31180400890868587</v>
          </cell>
          <cell r="R109">
            <v>-1.0327901353451687E-2</v>
          </cell>
          <cell r="S109">
            <v>0.32500000000000001</v>
          </cell>
          <cell r="U109">
            <v>0.11111111111111122</v>
          </cell>
          <cell r="V109">
            <v>0.32500000000000001</v>
          </cell>
          <cell r="W109" t="str">
            <v>NM</v>
          </cell>
          <cell r="X109">
            <v>0.32500000000000001</v>
          </cell>
        </row>
        <row r="110">
          <cell r="A110" t="str">
            <v xml:space="preserve"> 4Q</v>
          </cell>
          <cell r="B110">
            <v>9.0901564699064449E-2</v>
          </cell>
          <cell r="C110">
            <v>-0.14817518248175182</v>
          </cell>
          <cell r="D110">
            <v>0.18552114629073255</v>
          </cell>
          <cell r="E110">
            <v>0.18599882835383716</v>
          </cell>
          <cell r="F110">
            <v>0.2708588206508441</v>
          </cell>
          <cell r="G110">
            <v>0.13045518535898631</v>
          </cell>
          <cell r="H110">
            <v>-0.16587677725118499</v>
          </cell>
          <cell r="I110" t="str">
            <v>NM</v>
          </cell>
          <cell r="J110" t="str">
            <v>NM</v>
          </cell>
          <cell r="L110" t="str">
            <v>NM</v>
          </cell>
          <cell r="M110" t="str">
            <v>NM</v>
          </cell>
          <cell r="N110">
            <v>0.17262295081967199</v>
          </cell>
          <cell r="O110">
            <v>-0.1405004893051866</v>
          </cell>
          <cell r="P110">
            <v>7.8688524590163188E-3</v>
          </cell>
          <cell r="Q110">
            <v>0.22754098360655706</v>
          </cell>
          <cell r="R110">
            <v>-1.2759724091164368E-2</v>
          </cell>
          <cell r="S110">
            <v>0.24999999999999994</v>
          </cell>
          <cell r="U110">
            <v>0</v>
          </cell>
          <cell r="V110">
            <v>0.24999999999999994</v>
          </cell>
          <cell r="W110" t="str">
            <v>NM</v>
          </cell>
          <cell r="X110">
            <v>0.24999999999999994</v>
          </cell>
        </row>
        <row r="112">
          <cell r="A112" t="str">
            <v>Year</v>
          </cell>
          <cell r="B112">
            <v>8.4436930590776851E-2</v>
          </cell>
          <cell r="C112">
            <v>-0.14719200981844324</v>
          </cell>
          <cell r="D112">
            <v>0.1733634458218922</v>
          </cell>
          <cell r="E112">
            <v>0.1588055797733218</v>
          </cell>
          <cell r="F112">
            <v>0.2582489146164979</v>
          </cell>
          <cell r="G112">
            <v>0.139508613386049</v>
          </cell>
          <cell r="H112">
            <v>-0.42006920415224913</v>
          </cell>
          <cell r="I112" t="str">
            <v>NM</v>
          </cell>
          <cell r="J112" t="str">
            <v>NM</v>
          </cell>
          <cell r="L112" t="str">
            <v>NM</v>
          </cell>
          <cell r="M112" t="str">
            <v>NM</v>
          </cell>
          <cell r="N112">
            <v>0.18016228552108854</v>
          </cell>
          <cell r="O112">
            <v>-0.11269133978754538</v>
          </cell>
          <cell r="P112">
            <v>4.7168216398985399E-2</v>
          </cell>
          <cell r="Q112">
            <v>0.22448864596833271</v>
          </cell>
          <cell r="R112">
            <v>-6.4090296973562293E-3</v>
          </cell>
          <cell r="S112">
            <v>0.2292993630573249</v>
          </cell>
          <cell r="U112">
            <v>8.1081081081081155E-2</v>
          </cell>
          <cell r="V112">
            <v>0.22151898734177219</v>
          </cell>
          <cell r="W112" t="str">
            <v>NM</v>
          </cell>
          <cell r="X112">
            <v>-6.5428571428571436</v>
          </cell>
        </row>
        <row r="114">
          <cell r="A114" t="str">
            <v>1998 (R)</v>
          </cell>
        </row>
        <row r="115">
          <cell r="A115" t="str">
            <v xml:space="preserve"> 1Q (c)</v>
          </cell>
          <cell r="B115">
            <v>2087</v>
          </cell>
          <cell r="C115">
            <v>457.3</v>
          </cell>
          <cell r="D115">
            <v>1629.7</v>
          </cell>
          <cell r="E115">
            <v>543.5</v>
          </cell>
          <cell r="F115">
            <v>362.9</v>
          </cell>
          <cell r="G115">
            <v>723.30000000000007</v>
          </cell>
          <cell r="H115">
            <v>-23.9</v>
          </cell>
          <cell r="I115">
            <v>0</v>
          </cell>
          <cell r="J115">
            <v>0</v>
          </cell>
          <cell r="L115">
            <v>3.9</v>
          </cell>
          <cell r="M115">
            <v>-20</v>
          </cell>
          <cell r="N115">
            <v>703.30000000000007</v>
          </cell>
          <cell r="O115">
            <v>0.24413479311815722</v>
          </cell>
          <cell r="P115">
            <v>171.7</v>
          </cell>
          <cell r="Q115">
            <v>531.60000000000014</v>
          </cell>
          <cell r="R115">
            <v>1130.634</v>
          </cell>
          <cell r="S115">
            <v>0.46</v>
          </cell>
          <cell r="U115">
            <v>0.2</v>
          </cell>
          <cell r="V115">
            <v>0.46</v>
          </cell>
          <cell r="W115" t="str">
            <v xml:space="preserve">       --</v>
          </cell>
          <cell r="X115">
            <v>0.47</v>
          </cell>
        </row>
        <row r="116">
          <cell r="A116" t="str">
            <v xml:space="preserve"> 2Q </v>
          </cell>
          <cell r="B116">
            <v>2155</v>
          </cell>
          <cell r="C116">
            <v>478.6</v>
          </cell>
          <cell r="D116">
            <v>1676.4</v>
          </cell>
          <cell r="E116">
            <v>637.4</v>
          </cell>
          <cell r="F116">
            <v>416.7</v>
          </cell>
          <cell r="G116">
            <v>622.29999999999995</v>
          </cell>
          <cell r="H116">
            <v>-19</v>
          </cell>
          <cell r="I116">
            <v>0</v>
          </cell>
          <cell r="J116">
            <v>0</v>
          </cell>
          <cell r="L116">
            <v>44</v>
          </cell>
          <cell r="M116">
            <v>25</v>
          </cell>
          <cell r="N116">
            <v>647.29999999999995</v>
          </cell>
          <cell r="O116">
            <v>0.24161903290591691</v>
          </cell>
          <cell r="P116">
            <v>156.4</v>
          </cell>
          <cell r="Q116">
            <v>490.9</v>
          </cell>
          <cell r="R116">
            <v>1125.01</v>
          </cell>
          <cell r="S116">
            <v>0.44</v>
          </cell>
          <cell r="U116">
            <v>0.2</v>
          </cell>
          <cell r="V116">
            <v>0.44</v>
          </cell>
          <cell r="W116" t="str">
            <v xml:space="preserve">       --</v>
          </cell>
          <cell r="X116">
            <v>0.44</v>
          </cell>
        </row>
        <row r="117">
          <cell r="A117" t="str">
            <v xml:space="preserve"> 3Q (d)</v>
          </cell>
          <cell r="B117">
            <v>2359.4</v>
          </cell>
          <cell r="C117">
            <v>495.7</v>
          </cell>
          <cell r="D117">
            <v>1863.7</v>
          </cell>
          <cell r="E117">
            <v>667.6</v>
          </cell>
          <cell r="F117">
            <v>439.9</v>
          </cell>
          <cell r="G117">
            <v>756.19999999999993</v>
          </cell>
          <cell r="H117">
            <v>-23.3</v>
          </cell>
          <cell r="I117">
            <v>0</v>
          </cell>
          <cell r="J117">
            <v>0</v>
          </cell>
          <cell r="L117">
            <v>-6.3</v>
          </cell>
          <cell r="M117">
            <v>-29.6</v>
          </cell>
          <cell r="N117">
            <v>726.59999999999991</v>
          </cell>
          <cell r="O117">
            <v>0.18937517203413159</v>
          </cell>
          <cell r="P117">
            <v>137.6</v>
          </cell>
          <cell r="Q117">
            <v>588.99999999999989</v>
          </cell>
          <cell r="R117">
            <v>1118.183</v>
          </cell>
          <cell r="S117">
            <v>0.53</v>
          </cell>
          <cell r="U117">
            <v>0.2</v>
          </cell>
          <cell r="V117">
            <v>0.53</v>
          </cell>
          <cell r="W117" t="str">
            <v xml:space="preserve">       --</v>
          </cell>
          <cell r="X117">
            <v>0.53</v>
          </cell>
        </row>
        <row r="118">
          <cell r="A118" t="str">
            <v xml:space="preserve"> 4Q</v>
          </cell>
          <cell r="B118">
            <v>2635.4</v>
          </cell>
          <cell r="C118">
            <v>583.5</v>
          </cell>
          <cell r="D118">
            <v>2051.9</v>
          </cell>
          <cell r="E118">
            <v>809.8</v>
          </cell>
          <cell r="F118">
            <v>519.4</v>
          </cell>
          <cell r="G118">
            <v>722.70000000000016</v>
          </cell>
          <cell r="H118">
            <v>-17.599999999999998</v>
          </cell>
          <cell r="I118">
            <v>0</v>
          </cell>
          <cell r="J118">
            <v>0</v>
          </cell>
          <cell r="L118">
            <v>10.199999999999999</v>
          </cell>
          <cell r="M118">
            <v>-7.3999999999999986</v>
          </cell>
          <cell r="N118">
            <v>715.30000000000018</v>
          </cell>
          <cell r="O118">
            <v>0.21487487767370328</v>
          </cell>
          <cell r="P118">
            <v>153.69999999999999</v>
          </cell>
          <cell r="Q118">
            <v>561.60000000000014</v>
          </cell>
          <cell r="R118">
            <v>1118.097</v>
          </cell>
          <cell r="S118">
            <v>0.5</v>
          </cell>
          <cell r="U118">
            <v>0.2</v>
          </cell>
          <cell r="V118">
            <v>0.5</v>
          </cell>
          <cell r="W118" t="str">
            <v xml:space="preserve">       --</v>
          </cell>
          <cell r="X118">
            <v>0.5</v>
          </cell>
        </row>
        <row r="120">
          <cell r="A120" t="str">
            <v>Year</v>
          </cell>
          <cell r="B120">
            <v>9236.7999999999993</v>
          </cell>
          <cell r="C120">
            <v>2015.1000000000001</v>
          </cell>
          <cell r="D120">
            <v>7221.7000000000007</v>
          </cell>
          <cell r="E120">
            <v>2658.3</v>
          </cell>
          <cell r="F120">
            <v>1738.9</v>
          </cell>
          <cell r="G120">
            <v>2824.5</v>
          </cell>
          <cell r="H120">
            <v>-83.8</v>
          </cell>
          <cell r="I120">
            <v>0</v>
          </cell>
          <cell r="J120">
            <v>0</v>
          </cell>
          <cell r="L120">
            <v>51.8</v>
          </cell>
          <cell r="M120">
            <v>-32</v>
          </cell>
          <cell r="N120">
            <v>2792.5</v>
          </cell>
          <cell r="O120">
            <v>0.2218084153983885</v>
          </cell>
          <cell r="P120">
            <v>619.39999999999986</v>
          </cell>
          <cell r="Q120">
            <v>2173.1000000000004</v>
          </cell>
          <cell r="R120">
            <v>1121.4860000000001</v>
          </cell>
          <cell r="S120">
            <v>1.9300000000000002</v>
          </cell>
          <cell r="U120">
            <v>0.8</v>
          </cell>
          <cell r="V120">
            <v>1.9300000000000002</v>
          </cell>
          <cell r="W120" t="str">
            <v xml:space="preserve">       --</v>
          </cell>
          <cell r="X120">
            <v>1.94</v>
          </cell>
        </row>
        <row r="122">
          <cell r="A122" t="str">
            <v>1999/98</v>
          </cell>
        </row>
        <row r="123">
          <cell r="A123" t="str">
            <v xml:space="preserve"> 1Q</v>
          </cell>
          <cell r="B123">
            <v>8.0785816962146581E-2</v>
          </cell>
          <cell r="C123">
            <v>7.9160288650776275E-2</v>
          </cell>
          <cell r="D123">
            <v>8.1241946370497545E-2</v>
          </cell>
          <cell r="E123">
            <v>9.0892364305427742E-2</v>
          </cell>
          <cell r="F123">
            <v>0.13833011848994226</v>
          </cell>
          <cell r="G123">
            <v>4.5347711876122944E-2</v>
          </cell>
          <cell r="H123">
            <v>-0.65690376569037667</v>
          </cell>
          <cell r="I123" t="str">
            <v>NM</v>
          </cell>
          <cell r="J123" t="str">
            <v>NM</v>
          </cell>
          <cell r="L123" t="str">
            <v>NM</v>
          </cell>
          <cell r="M123" t="str">
            <v>NM</v>
          </cell>
          <cell r="N123">
            <v>7.3368406085596014E-2</v>
          </cell>
          <cell r="O123">
            <v>-9.8739101778301794E-2</v>
          </cell>
          <cell r="P123">
            <v>-3.2615026208503171E-2</v>
          </cell>
          <cell r="Q123">
            <v>0.10759969902182012</v>
          </cell>
          <cell r="R123">
            <v>-1.4063790758105689E-2</v>
          </cell>
          <cell r="S123">
            <v>0.14825702657048767</v>
          </cell>
          <cell r="U123">
            <v>0.15</v>
          </cell>
          <cell r="V123">
            <v>3.8547340699897976</v>
          </cell>
          <cell r="W123" t="str">
            <v>NM</v>
          </cell>
          <cell r="X123">
            <v>0.12382602600515825</v>
          </cell>
        </row>
        <row r="124">
          <cell r="A124" t="str">
            <v xml:space="preserve"> 2Q</v>
          </cell>
          <cell r="B124">
            <v>8.1067285382830548E-2</v>
          </cell>
          <cell r="C124">
            <v>2.6117843710823232E-2</v>
          </cell>
          <cell r="D124">
            <v>9.6754951085659638E-2</v>
          </cell>
          <cell r="E124">
            <v>1.9140257295262073E-2</v>
          </cell>
          <cell r="F124">
            <v>0.10511159107271421</v>
          </cell>
          <cell r="G124">
            <v>0.1706572392736623</v>
          </cell>
          <cell r="H124">
            <v>-0.44210526315789467</v>
          </cell>
          <cell r="I124" t="str">
            <v>NM</v>
          </cell>
          <cell r="J124" t="str">
            <v>NM</v>
          </cell>
          <cell r="L124" t="str">
            <v>NM</v>
          </cell>
          <cell r="M124" t="str">
            <v>NM</v>
          </cell>
          <cell r="N124">
            <v>0.12328132241619044</v>
          </cell>
          <cell r="O124">
            <v>-7.4459867722420539E-2</v>
          </cell>
          <cell r="P124">
            <v>3.9641943734015271E-2</v>
          </cell>
          <cell r="Q124">
            <v>0.14992870238337752</v>
          </cell>
          <cell r="R124">
            <v>-1.5069199384894334E-2</v>
          </cell>
          <cell r="S124">
            <v>0.15784165025314159</v>
          </cell>
          <cell r="U124">
            <v>0.15</v>
          </cell>
          <cell r="V124">
            <v>-1</v>
          </cell>
          <cell r="W124" t="str">
            <v>NM</v>
          </cell>
          <cell r="X124">
            <v>0.15784165025314159</v>
          </cell>
        </row>
        <row r="125">
          <cell r="A125" t="str">
            <v xml:space="preserve"> 3Q</v>
          </cell>
          <cell r="B125">
            <v>8.6377892684580515E-2</v>
          </cell>
          <cell r="C125">
            <v>0.10591083316522101</v>
          </cell>
          <cell r="D125">
            <v>8.1182593765090558E-2</v>
          </cell>
          <cell r="E125">
            <v>4.3139604553624852E-2</v>
          </cell>
          <cell r="F125">
            <v>6.8197317572175498E-3</v>
          </cell>
          <cell r="G125">
            <v>0.15802697699021365</v>
          </cell>
          <cell r="H125">
            <v>-0.61802575107296143</v>
          </cell>
          <cell r="I125" t="str">
            <v>NM</v>
          </cell>
          <cell r="J125" t="str">
            <v>NM</v>
          </cell>
          <cell r="L125" t="str">
            <v>NM</v>
          </cell>
          <cell r="M125" t="str">
            <v>NM</v>
          </cell>
          <cell r="N125">
            <v>0.16900633085604133</v>
          </cell>
          <cell r="O125">
            <v>0.19175454219394317</v>
          </cell>
          <cell r="P125">
            <v>0.39316860465116277</v>
          </cell>
          <cell r="Q125">
            <v>0.11663837011884502</v>
          </cell>
          <cell r="R125">
            <v>-1.5860552342505566E-2</v>
          </cell>
          <cell r="S125">
            <v>0.12767109052532627</v>
          </cell>
          <cell r="U125">
            <v>0.15</v>
          </cell>
          <cell r="V125" t="e">
            <v>#NULL!</v>
          </cell>
          <cell r="W125" t="str">
            <v>NM</v>
          </cell>
          <cell r="X125">
            <v>0.12767109052532627</v>
          </cell>
        </row>
        <row r="126">
          <cell r="A126" t="str">
            <v xml:space="preserve"> 4Q</v>
          </cell>
          <cell r="B126">
            <v>3.0507702815511739E-2</v>
          </cell>
          <cell r="C126">
            <v>-5.2270779777206511E-2</v>
          </cell>
          <cell r="D126">
            <v>5.4047468200204507E-2</v>
          </cell>
          <cell r="E126">
            <v>1.0990367992096926E-2</v>
          </cell>
          <cell r="F126">
            <v>-0.10069310743165183</v>
          </cell>
          <cell r="G126">
            <v>0.21350491213504838</v>
          </cell>
          <cell r="H126">
            <v>-1.1306818181818181</v>
          </cell>
          <cell r="I126" t="str">
            <v>NM</v>
          </cell>
          <cell r="J126" t="str">
            <v>NM</v>
          </cell>
          <cell r="L126" t="str">
            <v>NM</v>
          </cell>
          <cell r="M126" t="str">
            <v>NM</v>
          </cell>
          <cell r="N126">
            <v>0.18439815462043826</v>
          </cell>
          <cell r="O126">
            <v>4.0968588478223954E-2</v>
          </cell>
          <cell r="P126">
            <v>0.23292127521145098</v>
          </cell>
          <cell r="Q126">
            <v>0.17111823361823281</v>
          </cell>
          <cell r="R126">
            <v>-1.6110409025334942E-2</v>
          </cell>
          <cell r="S126">
            <v>0.19572687176615533</v>
          </cell>
          <cell r="U126">
            <v>0.15</v>
          </cell>
          <cell r="V126" t="e">
            <v>#NULL!</v>
          </cell>
          <cell r="W126" t="str">
            <v>NM</v>
          </cell>
          <cell r="X126">
            <v>0.19572687176615533</v>
          </cell>
        </row>
        <row r="128">
          <cell r="A128" t="str">
            <v>Year</v>
          </cell>
          <cell r="B128">
            <v>6.7934782608695454E-2</v>
          </cell>
          <cell r="C128">
            <v>3.5085107438836804E-2</v>
          </cell>
          <cell r="D128">
            <v>7.7100959607848213E-2</v>
          </cell>
          <cell r="E128">
            <v>3.7354700372418531E-2</v>
          </cell>
          <cell r="F128">
            <v>2.5705906032549207E-2</v>
          </cell>
          <cell r="G128">
            <v>0.14614976101964908</v>
          </cell>
          <cell r="H128">
            <v>-0.69689737470167068</v>
          </cell>
          <cell r="I128" t="str">
            <v>NM</v>
          </cell>
          <cell r="J128" t="str">
            <v>NM</v>
          </cell>
          <cell r="L128" t="str">
            <v>NM</v>
          </cell>
          <cell r="M128" t="str">
            <v>NM</v>
          </cell>
          <cell r="N128">
            <v>0.13826320501342848</v>
          </cell>
          <cell r="O128">
            <v>6.7510627303955257E-3</v>
          </cell>
          <cell r="P128">
            <v>0.14594769131417518</v>
          </cell>
          <cell r="Q128">
            <v>0.13607289126133121</v>
          </cell>
          <cell r="R128">
            <v>-1.3759422765866038E-2</v>
          </cell>
          <cell r="S128">
            <v>0.15708687678513303</v>
          </cell>
          <cell r="U128">
            <v>0.15</v>
          </cell>
          <cell r="V128" t="e">
            <v>#NULL!</v>
          </cell>
          <cell r="W128" t="str">
            <v>NM</v>
          </cell>
          <cell r="X128">
            <v>0.1511225114408799</v>
          </cell>
        </row>
        <row r="130">
          <cell r="A130">
            <v>1999</v>
          </cell>
        </row>
        <row r="131">
          <cell r="A131" t="str">
            <v xml:space="preserve"> 1Q</v>
          </cell>
          <cell r="B131">
            <v>2255.6</v>
          </cell>
          <cell r="C131">
            <v>493.5</v>
          </cell>
          <cell r="D131">
            <v>1762.1</v>
          </cell>
          <cell r="E131">
            <v>592.9</v>
          </cell>
          <cell r="F131">
            <v>413.1</v>
          </cell>
          <cell r="G131">
            <v>756.0999999999998</v>
          </cell>
          <cell r="H131">
            <v>-8.1999999999999957</v>
          </cell>
          <cell r="I131">
            <v>0</v>
          </cell>
          <cell r="J131">
            <v>0</v>
          </cell>
          <cell r="L131">
            <v>7</v>
          </cell>
          <cell r="M131">
            <v>-1.1999999999999957</v>
          </cell>
          <cell r="N131">
            <v>754.89999999999975</v>
          </cell>
          <cell r="O131">
            <v>0.22002914293283884</v>
          </cell>
          <cell r="P131">
            <v>166.1</v>
          </cell>
          <cell r="Q131">
            <v>588.79999999999973</v>
          </cell>
          <cell r="R131">
            <v>1114.7329999999999</v>
          </cell>
          <cell r="S131">
            <v>0.52819823222242435</v>
          </cell>
          <cell r="U131">
            <v>0.23</v>
          </cell>
          <cell r="V131">
            <v>0.52819823222242435</v>
          </cell>
          <cell r="W131" t="str">
            <v xml:space="preserve">       --</v>
          </cell>
          <cell r="X131">
            <v>0.52819823222242435</v>
          </cell>
        </row>
        <row r="132">
          <cell r="A132" t="str">
            <v xml:space="preserve"> 2Q</v>
          </cell>
          <cell r="B132">
            <v>2329.6999999999998</v>
          </cell>
          <cell r="C132">
            <v>491.1</v>
          </cell>
          <cell r="D132">
            <v>1838.6</v>
          </cell>
          <cell r="E132">
            <v>649.6</v>
          </cell>
          <cell r="F132">
            <v>460.5</v>
          </cell>
          <cell r="G132">
            <v>728.5</v>
          </cell>
          <cell r="H132">
            <v>-10.600000000000001</v>
          </cell>
          <cell r="I132">
            <v>0</v>
          </cell>
          <cell r="J132">
            <v>0</v>
          </cell>
          <cell r="L132">
            <v>9.1999999999999993</v>
          </cell>
          <cell r="M132">
            <v>-1.4000000000000021</v>
          </cell>
          <cell r="N132">
            <v>727.1</v>
          </cell>
          <cell r="O132">
            <v>0.22362811167652316</v>
          </cell>
          <cell r="P132">
            <v>162.6</v>
          </cell>
          <cell r="Q132">
            <v>564.5</v>
          </cell>
          <cell r="R132">
            <v>1108.057</v>
          </cell>
          <cell r="S132">
            <v>0.5094503261113823</v>
          </cell>
          <cell r="U132">
            <v>0.23</v>
          </cell>
          <cell r="V132">
            <v>0.5094503261113823</v>
          </cell>
          <cell r="W132" t="str">
            <v xml:space="preserve">       --</v>
          </cell>
          <cell r="X132">
            <v>0.5094503261113823</v>
          </cell>
        </row>
        <row r="133">
          <cell r="A133" t="str">
            <v xml:space="preserve"> 3Q</v>
          </cell>
          <cell r="B133">
            <v>2563.1999999999994</v>
          </cell>
          <cell r="C133">
            <v>548.20000000000005</v>
          </cell>
          <cell r="D133">
            <v>2014.9999999999993</v>
          </cell>
          <cell r="E133">
            <v>696.4</v>
          </cell>
          <cell r="F133">
            <v>442.9</v>
          </cell>
          <cell r="G133">
            <v>875.69999999999948</v>
          </cell>
          <cell r="H133">
            <v>-8.8999999999999986</v>
          </cell>
          <cell r="I133">
            <v>0</v>
          </cell>
          <cell r="J133">
            <v>0</v>
          </cell>
          <cell r="L133">
            <v>-17.399999999999999</v>
          </cell>
          <cell r="M133">
            <v>-26.299999999999997</v>
          </cell>
          <cell r="N133">
            <v>849.39999999999952</v>
          </cell>
          <cell r="O133">
            <v>0.22568872145043573</v>
          </cell>
          <cell r="P133">
            <v>191.7</v>
          </cell>
          <cell r="Q133">
            <v>657.69999999999959</v>
          </cell>
          <cell r="R133">
            <v>1100.4480000000001</v>
          </cell>
          <cell r="S133">
            <v>0.59766567797842296</v>
          </cell>
          <cell r="U133">
            <v>0.23</v>
          </cell>
          <cell r="V133">
            <v>0.59766567797842296</v>
          </cell>
          <cell r="W133" t="str">
            <v xml:space="preserve">       --</v>
          </cell>
          <cell r="X133">
            <v>0.59766567797842296</v>
          </cell>
        </row>
        <row r="134">
          <cell r="A134" t="str">
            <v xml:space="preserve"> 4Q</v>
          </cell>
          <cell r="B134">
            <v>2715.7999999999997</v>
          </cell>
          <cell r="C134">
            <v>553</v>
          </cell>
          <cell r="D134">
            <v>2162.7999999999997</v>
          </cell>
          <cell r="E134">
            <v>818.7</v>
          </cell>
          <cell r="F134">
            <v>467.1</v>
          </cell>
          <cell r="G134">
            <v>876.99999999999966</v>
          </cell>
          <cell r="H134">
            <v>2.2999999999999972</v>
          </cell>
          <cell r="I134">
            <v>0</v>
          </cell>
          <cell r="J134">
            <v>0</v>
          </cell>
          <cell r="L134">
            <v>-32.1</v>
          </cell>
          <cell r="M134">
            <v>-29.800000000000004</v>
          </cell>
          <cell r="N134">
            <v>847.1999999999997</v>
          </cell>
          <cell r="O134">
            <v>0.22367799811142594</v>
          </cell>
          <cell r="P134">
            <v>189.5</v>
          </cell>
          <cell r="Q134">
            <v>657.6999999999997</v>
          </cell>
          <cell r="R134">
            <v>1100.0840000000001</v>
          </cell>
          <cell r="S134">
            <v>0.59786343588307767</v>
          </cell>
          <cell r="U134">
            <v>0.23</v>
          </cell>
          <cell r="V134">
            <v>0.59786343588307767</v>
          </cell>
          <cell r="W134" t="str">
            <v xml:space="preserve">       --</v>
          </cell>
          <cell r="X134">
            <v>0.59786343588307767</v>
          </cell>
        </row>
        <row r="136">
          <cell r="A136" t="str">
            <v>Year</v>
          </cell>
          <cell r="B136">
            <v>9864.2999999999975</v>
          </cell>
          <cell r="C136">
            <v>2085.8000000000002</v>
          </cell>
          <cell r="D136">
            <v>7778.4999999999982</v>
          </cell>
          <cell r="E136">
            <v>2757.6000000000004</v>
          </cell>
          <cell r="F136">
            <v>1783.6</v>
          </cell>
          <cell r="G136">
            <v>3237.2999999999988</v>
          </cell>
          <cell r="H136">
            <v>-25.4</v>
          </cell>
          <cell r="I136">
            <v>0</v>
          </cell>
          <cell r="J136">
            <v>0</v>
          </cell>
          <cell r="L136">
            <v>-33.299999999999997</v>
          </cell>
          <cell r="M136">
            <v>-58.7</v>
          </cell>
          <cell r="N136">
            <v>3178.599999999999</v>
          </cell>
          <cell r="O136">
            <v>0.22330585792487265</v>
          </cell>
          <cell r="P136">
            <v>709.8</v>
          </cell>
          <cell r="Q136">
            <v>2468.7999999999993</v>
          </cell>
          <cell r="R136">
            <v>1106.0550000000001</v>
          </cell>
          <cell r="S136">
            <v>2.2331776721953069</v>
          </cell>
          <cell r="U136">
            <v>0.92</v>
          </cell>
          <cell r="V136">
            <v>2.2331776721953069</v>
          </cell>
          <cell r="W136" t="str">
            <v xml:space="preserve">       --</v>
          </cell>
          <cell r="X136">
            <v>2.2331776721953069</v>
          </cell>
        </row>
        <row r="137">
          <cell r="C137" t="str">
            <v xml:space="preserve">  </v>
          </cell>
        </row>
        <row r="138">
          <cell r="A138" t="str">
            <v>2000/99</v>
          </cell>
        </row>
        <row r="139">
          <cell r="A139" t="str">
            <v xml:space="preserve"> 1QA</v>
          </cell>
          <cell r="B139">
            <v>0.1268886327363008</v>
          </cell>
          <cell r="C139">
            <v>5.5521783181357698E-2</v>
          </cell>
          <cell r="D139">
            <v>0.14687588672606555</v>
          </cell>
          <cell r="E139">
            <v>0.16090403103390116</v>
          </cell>
          <cell r="F139">
            <v>0.10990075042362624</v>
          </cell>
          <cell r="G139">
            <v>0.15607723846052135</v>
          </cell>
          <cell r="H139">
            <v>-2.5731707317073189</v>
          </cell>
          <cell r="I139" t="str">
            <v>NM</v>
          </cell>
          <cell r="J139" t="str">
            <v>NM</v>
          </cell>
          <cell r="L139" t="str">
            <v>NM</v>
          </cell>
          <cell r="M139" t="str">
            <v>NM</v>
          </cell>
          <cell r="N139">
            <v>0.17579811895615349</v>
          </cell>
          <cell r="O139">
            <v>-3.4592213871142974E-7</v>
          </cell>
          <cell r="P139">
            <v>0.17579771222155349</v>
          </cell>
          <cell r="Q139">
            <v>0.17579823369565273</v>
          </cell>
          <cell r="R139">
            <v>-1.5279892135605433E-2</v>
          </cell>
          <cell r="S139">
            <v>0.19404308321240382</v>
          </cell>
          <cell r="V139">
            <v>0.19404308321240382</v>
          </cell>
          <cell r="W139" t="e">
            <v>#VALUE!</v>
          </cell>
          <cell r="X139">
            <v>0.19404308321240382</v>
          </cell>
        </row>
        <row r="140">
          <cell r="A140" t="str">
            <v xml:space="preserve"> 2QA</v>
          </cell>
          <cell r="B140">
            <v>0.12520925441043906</v>
          </cell>
          <cell r="C140">
            <v>1.2217470983506562E-3</v>
          </cell>
          <cell r="D140">
            <v>0.15832698792559552</v>
          </cell>
          <cell r="E140">
            <v>0.22444581280788167</v>
          </cell>
          <cell r="F140">
            <v>0.10488599348534211</v>
          </cell>
          <cell r="G140">
            <v>0.13315030885380885</v>
          </cell>
          <cell r="H140">
            <v>-2.283018867924528</v>
          </cell>
          <cell r="I140" t="str">
            <v>NM</v>
          </cell>
          <cell r="J140" t="str">
            <v>NM</v>
          </cell>
          <cell r="L140" t="str">
            <v>NM</v>
          </cell>
          <cell r="M140" t="str">
            <v>NM</v>
          </cell>
          <cell r="N140">
            <v>0.17452895062577323</v>
          </cell>
          <cell r="O140">
            <v>-1.6119138357659657E-2</v>
          </cell>
          <cell r="P140">
            <v>0.15559655596555966</v>
          </cell>
          <cell r="Q140">
            <v>0.17998228520814852</v>
          </cell>
          <cell r="R140">
            <v>-1.0429968855392824E-2</v>
          </cell>
          <cell r="S140">
            <v>0.19241918011936665</v>
          </cell>
          <cell r="V140">
            <v>0.19241918011936665</v>
          </cell>
          <cell r="W140" t="e">
            <v>#VALUE!</v>
          </cell>
          <cell r="X140">
            <v>0.19241918011936665</v>
          </cell>
        </row>
        <row r="141">
          <cell r="A141" t="str">
            <v xml:space="preserve"> 3QA</v>
          </cell>
          <cell r="B141">
            <v>9.6984238451935267E-2</v>
          </cell>
          <cell r="C141">
            <v>-0.10598321780372133</v>
          </cell>
          <cell r="D141">
            <v>0.15220347394540967</v>
          </cell>
          <cell r="E141">
            <v>0.14919586444572075</v>
          </cell>
          <cell r="F141">
            <v>0.14269586814179291</v>
          </cell>
          <cell r="G141">
            <v>0.15940390544707128</v>
          </cell>
          <cell r="H141">
            <v>-3.7191011235955056</v>
          </cell>
          <cell r="I141" t="str">
            <v>NM</v>
          </cell>
          <cell r="J141" t="str">
            <v>NM</v>
          </cell>
          <cell r="L141" t="str">
            <v>NM</v>
          </cell>
          <cell r="M141" t="str">
            <v>NM</v>
          </cell>
          <cell r="N141">
            <v>0.1752884388980458</v>
          </cell>
          <cell r="O141">
            <v>-2.5311686740194572E-2</v>
          </cell>
          <cell r="P141">
            <v>0.14553990610328649</v>
          </cell>
          <cell r="Q141">
            <v>0.18395925193857399</v>
          </cell>
          <cell r="R141">
            <v>-2.0428043851231648E-3</v>
          </cell>
          <cell r="S141">
            <v>0.18638279992469475</v>
          </cell>
          <cell r="V141">
            <v>0.18638279992469475</v>
          </cell>
          <cell r="W141" t="e">
            <v>#VALUE!</v>
          </cell>
          <cell r="X141">
            <v>0.18638279992469475</v>
          </cell>
        </row>
        <row r="142">
          <cell r="A142" t="str">
            <v xml:space="preserve"> 4QA</v>
          </cell>
          <cell r="B142">
            <v>9.66197805434863E-2</v>
          </cell>
          <cell r="C142">
            <v>2.2061482820976641E-2</v>
          </cell>
          <cell r="D142">
            <v>0.11568337340484569</v>
          </cell>
          <cell r="E142">
            <v>0.15341394894344673</v>
          </cell>
          <cell r="F142">
            <v>0.16698779704560041</v>
          </cell>
          <cell r="G142">
            <v>5.3135689851767864E-2</v>
          </cell>
          <cell r="H142" t="str">
            <v>NM</v>
          </cell>
          <cell r="I142" t="str">
            <v>NM</v>
          </cell>
          <cell r="J142" t="str">
            <v>NM</v>
          </cell>
          <cell r="L142" t="str">
            <v>NM</v>
          </cell>
          <cell r="M142" t="str">
            <v>NM</v>
          </cell>
          <cell r="N142">
            <v>0.16170915958451415</v>
          </cell>
          <cell r="O142">
            <v>-1.7006539739493842E-2</v>
          </cell>
          <cell r="P142">
            <v>0.14195250659630609</v>
          </cell>
          <cell r="Q142">
            <v>0.16740155085905495</v>
          </cell>
          <cell r="R142">
            <v>-3.3488351798589555E-3</v>
          </cell>
          <cell r="S142">
            <v>0.17132412228678651</v>
          </cell>
          <cell r="V142">
            <v>0.17132412228678651</v>
          </cell>
          <cell r="W142" t="e">
            <v>#VALUE!</v>
          </cell>
          <cell r="X142">
            <v>0.17132412228678651</v>
          </cell>
        </row>
        <row r="144">
          <cell r="A144" t="str">
            <v>Year</v>
          </cell>
          <cell r="B144">
            <v>0.11038796468071732</v>
          </cell>
          <cell r="C144">
            <v>-8.5818391025028976E-3</v>
          </cell>
          <cell r="D144">
            <v>0.14228964453300783</v>
          </cell>
          <cell r="E144">
            <v>0.17069190600522188</v>
          </cell>
          <cell r="F144">
            <v>0.13169993272034097</v>
          </cell>
          <cell r="G144">
            <v>0.12393043585704148</v>
          </cell>
          <cell r="H144" t="str">
            <v>NM</v>
          </cell>
          <cell r="I144" t="str">
            <v>NM</v>
          </cell>
          <cell r="J144" t="str">
            <v>NM</v>
          </cell>
          <cell r="L144" t="str">
            <v>NM</v>
          </cell>
          <cell r="M144" t="str">
            <v>NM</v>
          </cell>
          <cell r="N144">
            <v>0.17161643490845047</v>
          </cell>
          <cell r="O144">
            <v>-1.4926823343105673E-2</v>
          </cell>
          <cell r="P144">
            <v>0.15412792335869271</v>
          </cell>
          <cell r="Q144">
            <v>0.17664452365521732</v>
          </cell>
          <cell r="R144">
            <v>-7.5538739031965115E-3</v>
          </cell>
          <cell r="S144">
            <v>0.18554021188242481</v>
          </cell>
          <cell r="V144" t="e">
            <v>#NULL!</v>
          </cell>
          <cell r="W144" t="str">
            <v>NM</v>
          </cell>
          <cell r="X144">
            <v>0.18554021188242481</v>
          </cell>
        </row>
        <row r="146">
          <cell r="A146">
            <v>2000</v>
          </cell>
        </row>
        <row r="147">
          <cell r="A147" t="str">
            <v xml:space="preserve"> 1QA</v>
          </cell>
          <cell r="B147">
            <v>2541.81</v>
          </cell>
          <cell r="C147">
            <v>520.9</v>
          </cell>
          <cell r="D147">
            <v>2020.9099999999999</v>
          </cell>
          <cell r="E147">
            <v>688.3</v>
          </cell>
          <cell r="F147">
            <v>458.5</v>
          </cell>
          <cell r="G147">
            <v>874.1099999999999</v>
          </cell>
          <cell r="H147">
            <v>12.900000000000006</v>
          </cell>
          <cell r="I147">
            <v>0</v>
          </cell>
          <cell r="J147">
            <v>0</v>
          </cell>
          <cell r="L147">
            <v>0.6</v>
          </cell>
          <cell r="M147">
            <v>13.500000000000005</v>
          </cell>
          <cell r="N147">
            <v>887.6099999999999</v>
          </cell>
          <cell r="O147">
            <v>0.22002906681988715</v>
          </cell>
          <cell r="P147">
            <v>195.3</v>
          </cell>
          <cell r="Q147">
            <v>692.31</v>
          </cell>
          <cell r="R147">
            <v>1097.7</v>
          </cell>
          <cell r="S147">
            <v>0.63069144575020486</v>
          </cell>
          <cell r="T147">
            <v>0.41224595918013618</v>
          </cell>
          <cell r="U147">
            <v>0.26</v>
          </cell>
          <cell r="V147">
            <v>0.63069144575020486</v>
          </cell>
          <cell r="W147" t="str">
            <v xml:space="preserve">       --</v>
          </cell>
          <cell r="X147">
            <v>0.63069144575020486</v>
          </cell>
        </row>
        <row r="148">
          <cell r="A148" t="str">
            <v xml:space="preserve"> 2QA</v>
          </cell>
          <cell r="B148">
            <v>2621.3999999999996</v>
          </cell>
          <cell r="C148">
            <v>491.7</v>
          </cell>
          <cell r="D148">
            <v>2129.6999999999998</v>
          </cell>
          <cell r="E148">
            <v>795.4</v>
          </cell>
          <cell r="F148">
            <v>508.8</v>
          </cell>
          <cell r="G148">
            <v>825.49999999999977</v>
          </cell>
          <cell r="H148">
            <v>13.600000000000001</v>
          </cell>
          <cell r="I148">
            <v>0</v>
          </cell>
          <cell r="J148">
            <v>0</v>
          </cell>
          <cell r="L148">
            <v>14.9</v>
          </cell>
          <cell r="M148">
            <v>28.5</v>
          </cell>
          <cell r="N148">
            <v>853.99999999999977</v>
          </cell>
          <cell r="O148">
            <v>0.22002341920374713</v>
          </cell>
          <cell r="P148">
            <v>187.9</v>
          </cell>
          <cell r="Q148">
            <v>666.0999999999998</v>
          </cell>
          <cell r="R148">
            <v>1096.5</v>
          </cell>
          <cell r="S148">
            <v>0.6074783401732784</v>
          </cell>
          <cell r="T148">
            <v>0.42799879897913246</v>
          </cell>
          <cell r="U148">
            <v>0.26</v>
          </cell>
          <cell r="V148">
            <v>0.6074783401732784</v>
          </cell>
          <cell r="W148" t="str">
            <v xml:space="preserve">       --</v>
          </cell>
          <cell r="X148">
            <v>0.6074783401732784</v>
          </cell>
        </row>
        <row r="149">
          <cell r="A149" t="str">
            <v xml:space="preserve"> 3QA</v>
          </cell>
          <cell r="B149">
            <v>2811.7899999999995</v>
          </cell>
          <cell r="C149">
            <v>490.1</v>
          </cell>
          <cell r="D149">
            <v>2321.6899999999996</v>
          </cell>
          <cell r="E149">
            <v>800.3</v>
          </cell>
          <cell r="F149">
            <v>506.1</v>
          </cell>
          <cell r="G149">
            <v>1015.2899999999996</v>
          </cell>
          <cell r="H149">
            <v>24.199999999999996</v>
          </cell>
          <cell r="I149">
            <v>0</v>
          </cell>
          <cell r="J149">
            <v>0</v>
          </cell>
          <cell r="L149">
            <v>-41.2</v>
          </cell>
          <cell r="M149">
            <v>-17.000000000000007</v>
          </cell>
          <cell r="N149">
            <v>998.28999999999962</v>
          </cell>
          <cell r="O149">
            <v>0.21997615923228728</v>
          </cell>
          <cell r="P149">
            <v>219.6</v>
          </cell>
          <cell r="Q149">
            <v>778.6899999999996</v>
          </cell>
          <cell r="R149">
            <v>1098.2</v>
          </cell>
          <cell r="S149">
            <v>0.70906028045893243</v>
          </cell>
          <cell r="T149">
            <v>0.36668250523314816</v>
          </cell>
          <cell r="U149">
            <v>0.26</v>
          </cell>
          <cell r="V149">
            <v>0.70906028045893243</v>
          </cell>
          <cell r="W149" t="str">
            <v xml:space="preserve">       --</v>
          </cell>
          <cell r="X149">
            <v>0.70906028045893243</v>
          </cell>
        </row>
        <row r="150">
          <cell r="A150" t="str">
            <v xml:space="preserve"> 4QA</v>
          </cell>
          <cell r="B150">
            <v>2978.2</v>
          </cell>
          <cell r="C150">
            <v>565.20000000000005</v>
          </cell>
          <cell r="D150">
            <v>2413</v>
          </cell>
          <cell r="E150">
            <v>944.3</v>
          </cell>
          <cell r="F150">
            <v>545.1</v>
          </cell>
          <cell r="G150">
            <v>923.6</v>
          </cell>
          <cell r="H150">
            <v>-45.9</v>
          </cell>
          <cell r="I150">
            <v>0</v>
          </cell>
          <cell r="J150">
            <v>0</v>
          </cell>
          <cell r="L150">
            <v>106.5</v>
          </cell>
          <cell r="M150">
            <v>60.6</v>
          </cell>
          <cell r="N150">
            <v>984.2</v>
          </cell>
          <cell r="O150">
            <v>0.21987400934769355</v>
          </cell>
          <cell r="P150">
            <v>216.4</v>
          </cell>
          <cell r="Q150">
            <v>767.80000000000007</v>
          </cell>
          <cell r="R150">
            <v>1096.4000000000001</v>
          </cell>
          <cell r="S150">
            <v>0.70029186428310841</v>
          </cell>
          <cell r="T150">
            <v>0.37127376921073196</v>
          </cell>
          <cell r="U150">
            <v>0.26</v>
          </cell>
          <cell r="V150">
            <v>0.70029186428310841</v>
          </cell>
          <cell r="W150" t="str">
            <v xml:space="preserve">       --</v>
          </cell>
          <cell r="X150">
            <v>0.70029186428310841</v>
          </cell>
        </row>
        <row r="152">
          <cell r="A152" t="str">
            <v>Year</v>
          </cell>
          <cell r="B152">
            <v>10953.199999999997</v>
          </cell>
          <cell r="C152">
            <v>2067.8999999999996</v>
          </cell>
          <cell r="D152">
            <v>8885.2999999999993</v>
          </cell>
          <cell r="E152">
            <v>3228.3</v>
          </cell>
          <cell r="F152">
            <v>2018.5</v>
          </cell>
          <cell r="G152">
            <v>3638.4999999999991</v>
          </cell>
          <cell r="H152">
            <v>4.8000000000000043</v>
          </cell>
          <cell r="I152">
            <v>0</v>
          </cell>
          <cell r="J152">
            <v>0</v>
          </cell>
          <cell r="L152">
            <v>80.8</v>
          </cell>
          <cell r="M152">
            <v>85.6</v>
          </cell>
          <cell r="N152">
            <v>3724.0999999999995</v>
          </cell>
          <cell r="O152">
            <v>0.21997261083214742</v>
          </cell>
          <cell r="P152">
            <v>819.2</v>
          </cell>
          <cell r="Q152">
            <v>2904.8999999999996</v>
          </cell>
          <cell r="R152">
            <v>1097.7</v>
          </cell>
          <cell r="S152">
            <v>2.6475219306655244</v>
          </cell>
          <cell r="T152">
            <v>0.39282016437860767</v>
          </cell>
          <cell r="U152">
            <v>1.04</v>
          </cell>
          <cell r="V152">
            <v>2.6475219306655244</v>
          </cell>
          <cell r="W152" t="str">
            <v xml:space="preserve">       --</v>
          </cell>
          <cell r="X152">
            <v>2.6475219306655244</v>
          </cell>
        </row>
        <row r="154">
          <cell r="A154" t="str">
            <v>2001/00</v>
          </cell>
        </row>
        <row r="155">
          <cell r="A155" t="str">
            <v xml:space="preserve"> 1QA</v>
          </cell>
          <cell r="B155">
            <v>0.10381971901912435</v>
          </cell>
          <cell r="C155">
            <v>2.68765598003462E-3</v>
          </cell>
          <cell r="D155">
            <v>0.12988703108995492</v>
          </cell>
          <cell r="E155">
            <v>0.11710010169984031</v>
          </cell>
          <cell r="F155">
            <v>0.12431842966194107</v>
          </cell>
          <cell r="G155">
            <v>0.142876754641865</v>
          </cell>
          <cell r="H155">
            <v>1.3720930232558128</v>
          </cell>
          <cell r="I155" t="str">
            <v>NM</v>
          </cell>
          <cell r="J155" t="str">
            <v>NM</v>
          </cell>
          <cell r="L155">
            <v>7</v>
          </cell>
          <cell r="M155">
            <v>1.6222222222222209</v>
          </cell>
          <cell r="N155">
            <v>0.16537668570656106</v>
          </cell>
          <cell r="O155">
            <v>8.4942791320763433E-6</v>
          </cell>
          <cell r="P155">
            <v>0.16538658474142331</v>
          </cell>
          <cell r="Q155">
            <v>0.16537389319813456</v>
          </cell>
          <cell r="R155">
            <v>-5.1006650268743403E-3</v>
          </cell>
          <cell r="S155">
            <v>0.17134854978027891</v>
          </cell>
          <cell r="U155">
            <v>7.6923076923077094E-2</v>
          </cell>
          <cell r="V155">
            <v>0.17134854978027891</v>
          </cell>
          <cell r="W155" t="e">
            <v>#VALUE!</v>
          </cell>
          <cell r="X155">
            <v>0.17134854978027891</v>
          </cell>
        </row>
        <row r="156">
          <cell r="A156" t="str">
            <v xml:space="preserve"> 2QA</v>
          </cell>
          <cell r="B156">
            <v>0.15720607309071477</v>
          </cell>
          <cell r="C156">
            <v>6.2029692902176192E-2</v>
          </cell>
          <cell r="D156">
            <v>0.17918016622059429</v>
          </cell>
          <cell r="E156">
            <v>0.13138043751571526</v>
          </cell>
          <cell r="F156">
            <v>0.10790094339622658</v>
          </cell>
          <cell r="G156">
            <v>0.26917019987886071</v>
          </cell>
          <cell r="H156">
            <v>1.1470588235294117</v>
          </cell>
          <cell r="I156" t="str">
            <v>NM</v>
          </cell>
          <cell r="J156" t="str">
            <v>NM</v>
          </cell>
          <cell r="L156" t="str">
            <v>NM</v>
          </cell>
          <cell r="M156">
            <v>-0.52982456140350886</v>
          </cell>
          <cell r="N156">
            <v>0.24250585480093623</v>
          </cell>
          <cell r="O156">
            <v>-2.863366557709357E-4</v>
          </cell>
          <cell r="P156">
            <v>0.24215007982969672</v>
          </cell>
          <cell r="Q156">
            <v>0.24260621528298976</v>
          </cell>
          <cell r="R156">
            <v>-3.7674418604651816E-3</v>
          </cell>
          <cell r="S156">
            <v>0.24730536573062634</v>
          </cell>
          <cell r="U156">
            <v>0</v>
          </cell>
          <cell r="V156">
            <v>0.24730536573062634</v>
          </cell>
          <cell r="W156" t="e">
            <v>#VALUE!</v>
          </cell>
          <cell r="X156">
            <v>0.24730536573062634</v>
          </cell>
        </row>
        <row r="157">
          <cell r="A157" t="str">
            <v xml:space="preserve"> 3QA</v>
          </cell>
          <cell r="B157">
            <v>2.2266954502292435E-2</v>
          </cell>
          <cell r="C157">
            <v>0.12017955519281776</v>
          </cell>
          <cell r="D157">
            <v>1.5979738897098361E-3</v>
          </cell>
          <cell r="E157">
            <v>8.1969261526927406E-2</v>
          </cell>
          <cell r="F157">
            <v>0.11835605611539224</v>
          </cell>
          <cell r="G157">
            <v>-0.11995587467620061</v>
          </cell>
          <cell r="H157">
            <v>0.36776859504132253</v>
          </cell>
          <cell r="I157" t="str">
            <v>NM</v>
          </cell>
          <cell r="J157" t="str">
            <v>NM</v>
          </cell>
          <cell r="L157" t="str">
            <v>NM</v>
          </cell>
          <cell r="M157" t="str">
            <v>NM</v>
          </cell>
          <cell r="N157">
            <v>-7.1211772130342466E-2</v>
          </cell>
          <cell r="O157">
            <v>1.8682489615562403E-4</v>
          </cell>
          <cell r="P157">
            <v>-7.1038251366120186E-2</v>
          </cell>
          <cell r="Q157">
            <v>-7.1260707084975561E-2</v>
          </cell>
          <cell r="R157">
            <v>-7.5651065379712668E-3</v>
          </cell>
          <cell r="S157">
            <v>-6.4181137691367796E-2</v>
          </cell>
          <cell r="U157">
            <v>0</v>
          </cell>
          <cell r="V157">
            <v>-6.4181137691367796E-2</v>
          </cell>
          <cell r="W157" t="e">
            <v>#VALUE!</v>
          </cell>
          <cell r="X157">
            <v>-6.4181137691367796E-2</v>
          </cell>
        </row>
        <row r="158">
          <cell r="A158" t="str">
            <v xml:space="preserve"> 4QA</v>
          </cell>
          <cell r="B158">
            <v>-5.0164528910079609E-2</v>
          </cell>
          <cell r="C158">
            <v>2.6539278131634259E-3</v>
          </cell>
          <cell r="D158">
            <v>-6.253626191462891E-2</v>
          </cell>
          <cell r="E158">
            <v>-6.5233506300963584E-2</v>
          </cell>
          <cell r="F158">
            <v>8.2186754723903688E-2</v>
          </cell>
          <cell r="G158">
            <v>-0.14519272412299666</v>
          </cell>
          <cell r="H158">
            <v>-1.925925925925926</v>
          </cell>
          <cell r="I158" t="str">
            <v>NM</v>
          </cell>
          <cell r="J158" t="str">
            <v>NM</v>
          </cell>
          <cell r="L158" t="str">
            <v>NM</v>
          </cell>
          <cell r="M158">
            <v>-0.14686468646864681</v>
          </cell>
          <cell r="N158">
            <v>-0.14529567161146073</v>
          </cell>
          <cell r="O158">
            <v>7.6765170432468999E-4</v>
          </cell>
          <cell r="P158">
            <v>-0.14463955637707948</v>
          </cell>
          <cell r="Q158">
            <v>-0.14548059390466228</v>
          </cell>
          <cell r="R158">
            <v>-5.4377964246624666E-3</v>
          </cell>
          <cell r="S158">
            <v>-0.14080848535824297</v>
          </cell>
          <cell r="U158">
            <v>0</v>
          </cell>
          <cell r="V158">
            <v>-0.14080848535824297</v>
          </cell>
          <cell r="W158" t="e">
            <v>#VALUE!</v>
          </cell>
          <cell r="X158">
            <v>-0.14080848535824297</v>
          </cell>
        </row>
        <row r="160">
          <cell r="A160" t="str">
            <v>2001/00A</v>
          </cell>
          <cell r="B160">
            <v>5.3792498995727522E-2</v>
          </cell>
          <cell r="C160">
            <v>4.4634653513226076E-2</v>
          </cell>
          <cell r="D160">
            <v>5.5923829246058265E-2</v>
          </cell>
          <cell r="E160">
            <v>5.8575720967691813E-2</v>
          </cell>
          <cell r="F160">
            <v>0.10730740648996773</v>
          </cell>
          <cell r="G160">
            <v>2.5065274151436362E-2</v>
          </cell>
          <cell r="H160" t="str">
            <v>NM</v>
          </cell>
          <cell r="I160" t="str">
            <v>NM</v>
          </cell>
          <cell r="J160" t="str">
            <v>NM</v>
          </cell>
          <cell r="L160">
            <v>-1.0148514851485149</v>
          </cell>
          <cell r="M160">
            <v>0.56775700934579432</v>
          </cell>
          <cell r="N160">
            <v>3.7539271233318294E-2</v>
          </cell>
          <cell r="O160">
            <v>1.7392626398337271E-4</v>
          </cell>
          <cell r="P160">
            <v>3.7719726562499972E-2</v>
          </cell>
          <cell r="Q160">
            <v>3.752280629281559E-2</v>
          </cell>
          <cell r="R160">
            <v>-6.2922474264372344E-3</v>
          </cell>
          <cell r="S160">
            <v>4.3129155662702347E-2</v>
          </cell>
          <cell r="U160">
            <v>1.9230769230769246E-2</v>
          </cell>
          <cell r="V160" t="e">
            <v>#NULL!</v>
          </cell>
          <cell r="W160" t="str">
            <v>NM</v>
          </cell>
          <cell r="X160">
            <v>4.3129155662702347E-2</v>
          </cell>
        </row>
        <row r="162">
          <cell r="A162">
            <v>2001</v>
          </cell>
        </row>
        <row r="163">
          <cell r="A163" t="str">
            <v xml:space="preserve"> 1QA</v>
          </cell>
          <cell r="B163">
            <v>2805.7000000000003</v>
          </cell>
          <cell r="C163">
            <v>522.29999999999995</v>
          </cell>
          <cell r="D163">
            <v>2283.4000000000005</v>
          </cell>
          <cell r="E163">
            <v>768.9</v>
          </cell>
          <cell r="F163">
            <v>515.5</v>
          </cell>
          <cell r="G163">
            <v>999.00000000000045</v>
          </cell>
          <cell r="H163">
            <v>30.6</v>
          </cell>
          <cell r="I163">
            <v>0</v>
          </cell>
          <cell r="J163">
            <v>0</v>
          </cell>
          <cell r="L163">
            <v>4.8</v>
          </cell>
          <cell r="M163">
            <v>35.4</v>
          </cell>
          <cell r="N163">
            <v>1034.4000000000005</v>
          </cell>
          <cell r="O163">
            <v>0.22003093580819788</v>
          </cell>
          <cell r="P163">
            <v>227.6</v>
          </cell>
          <cell r="Q163">
            <v>806.80000000000052</v>
          </cell>
          <cell r="R163">
            <v>1092.1010000000001</v>
          </cell>
          <cell r="S163">
            <v>0.73875951033832987</v>
          </cell>
          <cell r="T163">
            <v>0.37901373326722843</v>
          </cell>
          <cell r="U163">
            <v>0.28000000000000003</v>
          </cell>
          <cell r="V163">
            <v>0.73875951033832987</v>
          </cell>
          <cell r="W163" t="str">
            <v xml:space="preserve">       --</v>
          </cell>
          <cell r="X163">
            <v>0.73875951033832987</v>
          </cell>
        </row>
        <row r="164">
          <cell r="A164" t="str">
            <v xml:space="preserve"> 2QA</v>
          </cell>
          <cell r="B164">
            <v>3033.4999999999991</v>
          </cell>
          <cell r="C164">
            <v>522.20000000000005</v>
          </cell>
          <cell r="D164">
            <v>2511.2999999999993</v>
          </cell>
          <cell r="E164">
            <v>899.9</v>
          </cell>
          <cell r="F164">
            <v>563.70000000000005</v>
          </cell>
          <cell r="G164">
            <v>1047.6999999999991</v>
          </cell>
          <cell r="H164">
            <v>29.2</v>
          </cell>
          <cell r="I164">
            <v>0</v>
          </cell>
          <cell r="J164">
            <v>0</v>
          </cell>
          <cell r="L164">
            <v>-15.8</v>
          </cell>
          <cell r="M164">
            <v>13.399999999999999</v>
          </cell>
          <cell r="N164">
            <v>1061.0999999999992</v>
          </cell>
          <cell r="O164">
            <v>0.21996041843370104</v>
          </cell>
          <cell r="P164">
            <v>233.4</v>
          </cell>
          <cell r="Q164">
            <v>827.69999999999925</v>
          </cell>
          <cell r="R164">
            <v>1092.3689999999999</v>
          </cell>
          <cell r="S164">
            <v>0.75771099326326485</v>
          </cell>
          <cell r="T164">
            <v>0.34313874592243593</v>
          </cell>
          <cell r="U164">
            <v>0.26</v>
          </cell>
          <cell r="V164">
            <v>0.75771099326326485</v>
          </cell>
          <cell r="W164" t="str">
            <v xml:space="preserve">       --</v>
          </cell>
          <cell r="X164">
            <v>0.75771099326326485</v>
          </cell>
        </row>
        <row r="165">
          <cell r="A165" t="str">
            <v xml:space="preserve"> 3QA</v>
          </cell>
          <cell r="B165">
            <v>2874.4</v>
          </cell>
          <cell r="C165">
            <v>549</v>
          </cell>
          <cell r="D165">
            <v>2325.4</v>
          </cell>
          <cell r="E165">
            <v>865.9</v>
          </cell>
          <cell r="F165">
            <v>566</v>
          </cell>
          <cell r="G165">
            <v>893.5</v>
          </cell>
          <cell r="H165">
            <v>33.1</v>
          </cell>
          <cell r="I165">
            <v>0</v>
          </cell>
          <cell r="J165">
            <v>0</v>
          </cell>
          <cell r="L165">
            <v>0.6</v>
          </cell>
          <cell r="M165">
            <v>33.700000000000003</v>
          </cell>
          <cell r="N165">
            <v>927.2</v>
          </cell>
          <cell r="O165">
            <v>0.22001725625539256</v>
          </cell>
          <cell r="P165">
            <v>204</v>
          </cell>
          <cell r="Q165">
            <v>723.2</v>
          </cell>
          <cell r="R165">
            <v>1089.8920000000001</v>
          </cell>
          <cell r="S165">
            <v>0.66355198496731782</v>
          </cell>
          <cell r="T165">
            <v>0.39183064159292041</v>
          </cell>
          <cell r="U165">
            <v>0.26</v>
          </cell>
          <cell r="V165">
            <v>0.66355198496731782</v>
          </cell>
          <cell r="W165" t="str">
            <v xml:space="preserve">       --</v>
          </cell>
          <cell r="X165">
            <v>0.66355198496731782</v>
          </cell>
        </row>
        <row r="166">
          <cell r="A166" t="str">
            <v xml:space="preserve"> 4QA</v>
          </cell>
          <cell r="B166">
            <v>2828.8000000000006</v>
          </cell>
          <cell r="C166">
            <v>566.70000000000005</v>
          </cell>
          <cell r="D166">
            <v>2262.1000000000004</v>
          </cell>
          <cell r="E166">
            <v>882.7</v>
          </cell>
          <cell r="F166">
            <v>589.9</v>
          </cell>
          <cell r="G166">
            <v>789.50000000000034</v>
          </cell>
          <cell r="H166">
            <v>42.5</v>
          </cell>
          <cell r="I166">
            <v>0</v>
          </cell>
          <cell r="J166">
            <v>0</v>
          </cell>
          <cell r="L166">
            <v>9.1999999999999993</v>
          </cell>
          <cell r="M166">
            <v>51.7</v>
          </cell>
          <cell r="N166">
            <v>841.20000000000039</v>
          </cell>
          <cell r="O166">
            <v>0.22004279600570603</v>
          </cell>
          <cell r="P166">
            <v>185.1</v>
          </cell>
          <cell r="Q166">
            <v>656.10000000000036</v>
          </cell>
          <cell r="R166">
            <v>1090.4380000000001</v>
          </cell>
          <cell r="S166">
            <v>0.60168482756470365</v>
          </cell>
          <cell r="T166">
            <v>0.43211992074378885</v>
          </cell>
          <cell r="U166">
            <v>0.26</v>
          </cell>
          <cell r="V166">
            <v>0.60168482756470365</v>
          </cell>
          <cell r="W166" t="str">
            <v xml:space="preserve">       --</v>
          </cell>
          <cell r="X166">
            <v>0.60168482756470365</v>
          </cell>
        </row>
        <row r="168">
          <cell r="A168" t="str">
            <v>Year</v>
          </cell>
          <cell r="B168">
            <v>11542.4</v>
          </cell>
          <cell r="C168">
            <v>2160.1999999999998</v>
          </cell>
          <cell r="D168">
            <v>9382.2000000000007</v>
          </cell>
          <cell r="E168">
            <v>3417.3999999999996</v>
          </cell>
          <cell r="F168">
            <v>2235.1</v>
          </cell>
          <cell r="G168">
            <v>3729.7000000000003</v>
          </cell>
          <cell r="H168">
            <v>135.4</v>
          </cell>
          <cell r="I168">
            <v>0</v>
          </cell>
          <cell r="J168">
            <v>0</v>
          </cell>
          <cell r="L168">
            <v>-1.2000000000000011</v>
          </cell>
          <cell r="M168">
            <v>134.19999999999999</v>
          </cell>
          <cell r="N168">
            <v>3863.9</v>
          </cell>
          <cell r="O168">
            <v>0.22001086984652812</v>
          </cell>
          <cell r="P168">
            <v>850.1</v>
          </cell>
          <cell r="Q168">
            <v>3013.8999999999996</v>
          </cell>
          <cell r="R168">
            <v>1090.7929999999999</v>
          </cell>
          <cell r="S168">
            <v>2.7617073161336161</v>
          </cell>
          <cell r="T168">
            <v>0.38382054238969743</v>
          </cell>
          <cell r="U168">
            <v>1.06</v>
          </cell>
          <cell r="V168">
            <v>2.7617073161336161</v>
          </cell>
          <cell r="W168" t="str">
            <v xml:space="preserve">       --</v>
          </cell>
          <cell r="X168">
            <v>2.7617073161336161</v>
          </cell>
        </row>
        <row r="170">
          <cell r="A170" t="str">
            <v>2002/01</v>
          </cell>
        </row>
        <row r="171">
          <cell r="A171" t="str">
            <v xml:space="preserve"> 1QA</v>
          </cell>
          <cell r="B171">
            <v>-8.7179669957586414E-2</v>
          </cell>
          <cell r="C171">
            <v>1.4933946008041543E-2</v>
          </cell>
          <cell r="D171">
            <v>-0.11053691863011317</v>
          </cell>
          <cell r="E171">
            <v>1.0924697619976609E-2</v>
          </cell>
          <cell r="F171">
            <v>-2.4636275460717783E-2</v>
          </cell>
          <cell r="G171">
            <v>-0.24834834834834862</v>
          </cell>
          <cell r="H171">
            <v>0.28431372549019596</v>
          </cell>
          <cell r="I171" t="str">
            <v>NM</v>
          </cell>
          <cell r="J171" t="str">
            <v>NM</v>
          </cell>
          <cell r="L171">
            <v>2.4375</v>
          </cell>
          <cell r="M171">
            <v>0.57627118644067798</v>
          </cell>
          <cell r="N171">
            <v>-0.2201276102088171</v>
          </cell>
          <cell r="O171">
            <v>5.8821953141663386E-6</v>
          </cell>
          <cell r="P171">
            <v>-0.22012302284710017</v>
          </cell>
          <cell r="Q171">
            <v>-0.22012890431333709</v>
          </cell>
          <cell r="R171">
            <v>-3.5720139437653842E-3</v>
          </cell>
          <cell r="S171">
            <v>-0.2173332076176252</v>
          </cell>
          <cell r="U171">
            <v>0.21428571428571419</v>
          </cell>
          <cell r="V171">
            <v>-0.78051561021733384</v>
          </cell>
          <cell r="W171" t="e">
            <v>#VALUE!</v>
          </cell>
          <cell r="X171">
            <v>-0.78051561021733384</v>
          </cell>
        </row>
        <row r="172">
          <cell r="A172" t="str">
            <v xml:space="preserve"> 2QA</v>
          </cell>
          <cell r="B172">
            <v>-8.515576067249031E-2</v>
          </cell>
          <cell r="C172">
            <v>5.1704327843735687E-3</v>
          </cell>
          <cell r="D172">
            <v>-0.10393819933898762</v>
          </cell>
          <cell r="E172">
            <v>1.7001889098788858E-2</v>
          </cell>
          <cell r="F172">
            <v>-3.2286677310626288E-2</v>
          </cell>
          <cell r="G172">
            <v>-0.24636823518182649</v>
          </cell>
          <cell r="H172">
            <v>-0.26027397260273966</v>
          </cell>
          <cell r="I172" t="str">
            <v>NM</v>
          </cell>
          <cell r="J172" t="str">
            <v>NM</v>
          </cell>
          <cell r="L172" t="str">
            <v>NM</v>
          </cell>
          <cell r="M172">
            <v>3.0746268656716422</v>
          </cell>
          <cell r="N172">
            <v>-0.20442936575252069</v>
          </cell>
          <cell r="O172">
            <v>7.4394153563028809E-5</v>
          </cell>
          <cell r="P172">
            <v>-0.20437017994858619</v>
          </cell>
          <cell r="Q172">
            <v>-0.2044460553340578</v>
          </cell>
          <cell r="R172">
            <v>-5.507296527089145E-3</v>
          </cell>
          <cell r="S172">
            <v>-0.20004044083204031</v>
          </cell>
          <cell r="U172">
            <v>0.30769230769230771</v>
          </cell>
          <cell r="V172">
            <v>-0.78694779421401606</v>
          </cell>
          <cell r="W172" t="e">
            <v>#VALUE!</v>
          </cell>
          <cell r="X172">
            <v>-0.78694779421401606</v>
          </cell>
        </row>
        <row r="173">
          <cell r="A173" t="str">
            <v xml:space="preserve"> 3QE</v>
          </cell>
          <cell r="B173">
            <v>-3.0893403840801636E-2</v>
          </cell>
          <cell r="C173">
            <v>8.5610200364298894E-3</v>
          </cell>
          <cell r="D173">
            <v>-4.020813623462649E-2</v>
          </cell>
          <cell r="E173">
            <v>-6.374870077376138E-2</v>
          </cell>
          <cell r="F173">
            <v>-6.9434628975264978E-2</v>
          </cell>
          <cell r="G173">
            <v>1.1191941801897975E-3</v>
          </cell>
          <cell r="H173">
            <v>-0.30815709969788518</v>
          </cell>
          <cell r="I173" t="str">
            <v>NM</v>
          </cell>
          <cell r="J173" t="str">
            <v>NM</v>
          </cell>
          <cell r="L173" t="str">
            <v>NM</v>
          </cell>
          <cell r="M173" t="str">
            <v>NM</v>
          </cell>
          <cell r="N173">
            <v>2.1138912855909631E-2</v>
          </cell>
          <cell r="O173">
            <v>-5.9229437443963917E-5</v>
          </cell>
          <cell r="P173">
            <v>2.1078431372549167E-2</v>
          </cell>
          <cell r="Q173">
            <v>2.1155973451326693E-2</v>
          </cell>
          <cell r="R173">
            <v>-3.8279022141644026E-3</v>
          </cell>
          <cell r="S173">
            <v>2.5079878989807236E-2</v>
          </cell>
          <cell r="U173">
            <v>0.30769230769230771</v>
          </cell>
          <cell r="V173">
            <v>-1</v>
          </cell>
          <cell r="W173" t="e">
            <v>#VALUE!</v>
          </cell>
          <cell r="X173">
            <v>-1</v>
          </cell>
        </row>
        <row r="174">
          <cell r="A174" t="str">
            <v xml:space="preserve"> 4QA</v>
          </cell>
          <cell r="B174">
            <v>4.4824660633483671E-2</v>
          </cell>
          <cell r="C174">
            <v>1.9410622904534325E-3</v>
          </cell>
          <cell r="D174">
            <v>5.5567835197382509E-2</v>
          </cell>
          <cell r="E174">
            <v>4.316302254446569E-2</v>
          </cell>
          <cell r="F174">
            <v>-2.6445160196643558E-2</v>
          </cell>
          <cell r="G174">
            <v>0.13071564281190495</v>
          </cell>
          <cell r="H174">
            <v>-0.44705882352941173</v>
          </cell>
          <cell r="I174" t="str">
            <v>NM</v>
          </cell>
          <cell r="J174" t="str">
            <v>NM</v>
          </cell>
          <cell r="L174" t="str">
            <v>NM</v>
          </cell>
          <cell r="M174" t="str">
            <v>NM</v>
          </cell>
          <cell r="N174">
            <v>0.12220637184973704</v>
          </cell>
          <cell r="O174">
            <v>-9.8206191796235132E-5</v>
          </cell>
          <cell r="P174">
            <v>0.12209616423554825</v>
          </cell>
          <cell r="Q174">
            <v>0.122237463801248</v>
          </cell>
          <cell r="R174">
            <v>-5.9627415772379733E-3</v>
          </cell>
          <cell r="S174">
            <v>0.12896921548182316</v>
          </cell>
          <cell r="U174">
            <v>0.30769230769230771</v>
          </cell>
          <cell r="V174" t="e">
            <v>#DIV/0!</v>
          </cell>
          <cell r="W174" t="e">
            <v>#VALUE!</v>
          </cell>
          <cell r="X174" t="e">
            <v>#DIV/0!</v>
          </cell>
        </row>
        <row r="176">
          <cell r="A176" t="str">
            <v>2002A/01A</v>
          </cell>
          <cell r="B176">
            <v>-4.0279317992791802E-2</v>
          </cell>
          <cell r="C176">
            <v>7.5455976298491731E-3</v>
          </cell>
          <cell r="D176">
            <v>-5.1290742043444089E-2</v>
          </cell>
          <cell r="E176">
            <v>1.9312927956927073E-3</v>
          </cell>
          <cell r="F176">
            <v>-3.8387544181468281E-2</v>
          </cell>
          <cell r="G176">
            <v>-0.10778883020082079</v>
          </cell>
          <cell r="H176">
            <v>-0.20753323485967512</v>
          </cell>
          <cell r="I176" t="str">
            <v>NM</v>
          </cell>
          <cell r="J176" t="str">
            <v>NM</v>
          </cell>
          <cell r="L176" t="str">
            <v>NM</v>
          </cell>
          <cell r="M176">
            <v>0.59463487332339804</v>
          </cell>
          <cell r="N176">
            <v>-8.3392427340252498E-2</v>
          </cell>
          <cell r="O176">
            <v>-4.9405952240925582E-5</v>
          </cell>
          <cell r="P176">
            <v>-8.3401952711445682E-2</v>
          </cell>
          <cell r="Q176">
            <v>-8.3420153289757798E-2</v>
          </cell>
          <cell r="R176">
            <v>-5.2301399073884118E-3</v>
          </cell>
          <cell r="S176">
            <v>-7.8157914519644198E-2</v>
          </cell>
          <cell r="U176">
            <v>0.28301886792452835</v>
          </cell>
          <cell r="V176">
            <v>-7.8157914519644198E-2</v>
          </cell>
          <cell r="W176" t="str">
            <v>NM</v>
          </cell>
          <cell r="X176">
            <v>-7.8157914519644198E-2</v>
          </cell>
        </row>
        <row r="178">
          <cell r="A178">
            <v>2002</v>
          </cell>
        </row>
        <row r="179">
          <cell r="A179" t="str">
            <v xml:space="preserve"> 1QA</v>
          </cell>
          <cell r="B179">
            <v>2561.1</v>
          </cell>
          <cell r="C179">
            <v>530.1</v>
          </cell>
          <cell r="D179">
            <v>2031</v>
          </cell>
          <cell r="E179">
            <v>777.3</v>
          </cell>
          <cell r="F179">
            <v>502.8</v>
          </cell>
          <cell r="G179">
            <v>750.90000000000009</v>
          </cell>
          <cell r="H179">
            <v>39.299999999999997</v>
          </cell>
          <cell r="I179">
            <v>0</v>
          </cell>
          <cell r="J179">
            <v>0</v>
          </cell>
          <cell r="K179">
            <v>0</v>
          </cell>
          <cell r="L179">
            <v>16.5</v>
          </cell>
          <cell r="M179">
            <v>55.8</v>
          </cell>
          <cell r="N179">
            <v>806.7</v>
          </cell>
          <cell r="O179">
            <v>0.22003223007313746</v>
          </cell>
          <cell r="P179">
            <v>177.5</v>
          </cell>
          <cell r="Q179">
            <v>629.20000000000005</v>
          </cell>
          <cell r="R179">
            <v>1088.2</v>
          </cell>
          <cell r="S179">
            <v>0.57820253629847451</v>
          </cell>
          <cell r="T179">
            <v>0.58802924348378904</v>
          </cell>
          <cell r="U179">
            <v>0.34</v>
          </cell>
          <cell r="V179">
            <v>0.57820253629847451</v>
          </cell>
          <cell r="W179" t="str">
            <v xml:space="preserve">       --</v>
          </cell>
          <cell r="X179">
            <v>0.57820253629847451</v>
          </cell>
        </row>
        <row r="180">
          <cell r="A180" t="str">
            <v xml:space="preserve"> 2QA</v>
          </cell>
          <cell r="B180">
            <v>2775.18</v>
          </cell>
          <cell r="C180">
            <v>524.9</v>
          </cell>
          <cell r="D180">
            <v>2250.2799999999997</v>
          </cell>
          <cell r="E180">
            <v>915.2</v>
          </cell>
          <cell r="F180">
            <v>545.5</v>
          </cell>
          <cell r="G180">
            <v>789.5799999999997</v>
          </cell>
          <cell r="H180">
            <v>21.6</v>
          </cell>
          <cell r="I180">
            <v>0</v>
          </cell>
          <cell r="J180">
            <v>0</v>
          </cell>
          <cell r="K180">
            <v>0</v>
          </cell>
          <cell r="L180">
            <v>33</v>
          </cell>
          <cell r="M180">
            <v>54.6</v>
          </cell>
          <cell r="N180">
            <v>844.17999999999972</v>
          </cell>
          <cell r="O180">
            <v>0.2199767822028478</v>
          </cell>
          <cell r="P180">
            <v>185.7</v>
          </cell>
          <cell r="Q180">
            <v>658.47999999999979</v>
          </cell>
          <cell r="R180">
            <v>1086.3530000000001</v>
          </cell>
          <cell r="S180">
            <v>0.60613815214759825</v>
          </cell>
          <cell r="T180">
            <v>0.56092822864779512</v>
          </cell>
          <cell r="U180">
            <v>0.34</v>
          </cell>
          <cell r="V180">
            <v>0.60613815214759825</v>
          </cell>
          <cell r="W180" t="str">
            <v xml:space="preserve">       --</v>
          </cell>
          <cell r="X180">
            <v>0.60613815214759825</v>
          </cell>
        </row>
        <row r="181">
          <cell r="A181" t="str">
            <v xml:space="preserve"> 3QA</v>
          </cell>
          <cell r="B181">
            <v>2785.6</v>
          </cell>
          <cell r="C181">
            <v>553.70000000000005</v>
          </cell>
          <cell r="D181">
            <v>2231.8999999999996</v>
          </cell>
          <cell r="E181">
            <v>810.7</v>
          </cell>
          <cell r="F181">
            <v>526.70000000000005</v>
          </cell>
          <cell r="G181">
            <v>894.49999999999955</v>
          </cell>
          <cell r="H181">
            <v>22.900000000000002</v>
          </cell>
          <cell r="I181">
            <v>0</v>
          </cell>
          <cell r="J181">
            <v>0</v>
          </cell>
          <cell r="K181">
            <v>0</v>
          </cell>
          <cell r="L181">
            <v>29.4</v>
          </cell>
          <cell r="M181">
            <v>52.3</v>
          </cell>
          <cell r="N181">
            <v>946.7999999999995</v>
          </cell>
          <cell r="O181">
            <v>0.22000422475707659</v>
          </cell>
          <cell r="P181">
            <v>208.3</v>
          </cell>
          <cell r="Q181">
            <v>738.49999999999955</v>
          </cell>
          <cell r="R181">
            <v>1085.72</v>
          </cell>
          <cell r="S181">
            <v>0.68019378845374456</v>
          </cell>
          <cell r="T181">
            <v>0.49985754908598545</v>
          </cell>
          <cell r="U181">
            <v>0.34</v>
          </cell>
          <cell r="V181">
            <v>0.68019378845374456</v>
          </cell>
          <cell r="W181" t="str">
            <v xml:space="preserve">       --</v>
          </cell>
          <cell r="X181">
            <v>0.68019378845374456</v>
          </cell>
        </row>
        <row r="182">
          <cell r="A182" t="str">
            <v xml:space="preserve"> 4QA</v>
          </cell>
          <cell r="B182">
            <v>2955.5999999999995</v>
          </cell>
          <cell r="C182">
            <v>567.79999999999995</v>
          </cell>
          <cell r="D182">
            <v>2387.7999999999993</v>
          </cell>
          <cell r="E182">
            <v>920.8</v>
          </cell>
          <cell r="F182">
            <v>574.29999999999995</v>
          </cell>
          <cell r="G182">
            <v>892.69999999999936</v>
          </cell>
          <cell r="H182">
            <v>23.5</v>
          </cell>
          <cell r="I182">
            <v>0</v>
          </cell>
          <cell r="J182">
            <v>0</v>
          </cell>
          <cell r="K182">
            <v>-10</v>
          </cell>
          <cell r="L182">
            <v>37.799999999999997</v>
          </cell>
          <cell r="M182">
            <v>51.3</v>
          </cell>
          <cell r="N182">
            <v>943.99999999999932</v>
          </cell>
          <cell r="O182">
            <v>0.22002118644067811</v>
          </cell>
          <cell r="P182">
            <v>207.7</v>
          </cell>
          <cell r="Q182">
            <v>736.29999999999927</v>
          </cell>
          <cell r="R182">
            <v>1083.9359999999999</v>
          </cell>
          <cell r="S182">
            <v>0.67928364774303951</v>
          </cell>
          <cell r="T182">
            <v>0.50052728507401922</v>
          </cell>
          <cell r="U182">
            <v>0.34</v>
          </cell>
          <cell r="V182">
            <v>0.67928364774303951</v>
          </cell>
          <cell r="W182" t="str">
            <v xml:space="preserve">       --</v>
          </cell>
          <cell r="X182">
            <v>0.67928364774303951</v>
          </cell>
        </row>
        <row r="184">
          <cell r="A184" t="str">
            <v>Year</v>
          </cell>
          <cell r="B184">
            <v>11077.48</v>
          </cell>
          <cell r="C184">
            <v>2176.5</v>
          </cell>
          <cell r="D184">
            <v>8900.98</v>
          </cell>
          <cell r="E184">
            <v>3424</v>
          </cell>
          <cell r="F184">
            <v>2149.3000000000002</v>
          </cell>
          <cell r="G184">
            <v>3327.6799999999989</v>
          </cell>
          <cell r="H184">
            <v>107.3</v>
          </cell>
          <cell r="I184">
            <v>0</v>
          </cell>
          <cell r="J184">
            <v>0</v>
          </cell>
          <cell r="K184">
            <v>-10</v>
          </cell>
          <cell r="L184">
            <v>116.7</v>
          </cell>
          <cell r="M184">
            <v>214</v>
          </cell>
          <cell r="N184">
            <v>3541.6799999999985</v>
          </cell>
          <cell r="O184">
            <v>0.22</v>
          </cell>
          <cell r="P184">
            <v>779.2</v>
          </cell>
          <cell r="Q184">
            <v>2762.4799999999987</v>
          </cell>
          <cell r="R184">
            <v>1085.088</v>
          </cell>
          <cell r="S184">
            <v>2.5458580317909689</v>
          </cell>
          <cell r="T184">
            <v>0.53420103674958763</v>
          </cell>
          <cell r="U184">
            <v>1.36</v>
          </cell>
          <cell r="V184">
            <v>2.5458580317909689</v>
          </cell>
          <cell r="W184" t="str">
            <v xml:space="preserve">       --</v>
          </cell>
          <cell r="X184">
            <v>2.5458580317909689</v>
          </cell>
        </row>
        <row r="185">
          <cell r="I185">
            <v>0</v>
          </cell>
          <cell r="J185">
            <v>0</v>
          </cell>
        </row>
        <row r="186">
          <cell r="A186">
            <v>2003</v>
          </cell>
        </row>
        <row r="187">
          <cell r="A187" t="str">
            <v xml:space="preserve"> 1QE</v>
          </cell>
          <cell r="B187">
            <v>8.4827222677755776E-2</v>
          </cell>
          <cell r="C187">
            <v>0.12685430107526874</v>
          </cell>
          <cell r="D187">
            <v>7.3857968980797661E-2</v>
          </cell>
          <cell r="E187">
            <v>0.12234943265148601</v>
          </cell>
          <cell r="F187">
            <v>8.8574278042959476E-2</v>
          </cell>
          <cell r="G187">
            <v>1.3807662804634413E-2</v>
          </cell>
          <cell r="H187">
            <v>-0.31297709923664119</v>
          </cell>
          <cell r="I187" t="e">
            <v>#DIV/0!</v>
          </cell>
          <cell r="J187" t="e">
            <v>#DIV/0!</v>
          </cell>
          <cell r="K187" t="str">
            <v>NM</v>
          </cell>
          <cell r="L187">
            <v>0.51515151515151514</v>
          </cell>
          <cell r="M187">
            <v>-0.24731182795698925</v>
          </cell>
          <cell r="N187">
            <v>-4.2541539605801537E-3</v>
          </cell>
          <cell r="O187">
            <v>-1.4647887323937514E-4</v>
          </cell>
          <cell r="P187">
            <v>-4.4000096901407604E-3</v>
          </cell>
          <cell r="Q187">
            <v>-4.2130074380165583E-3</v>
          </cell>
          <cell r="R187">
            <v>-3.9183973534278049E-3</v>
          </cell>
          <cell r="S187">
            <v>-2.9576902515404679E-4</v>
          </cell>
        </row>
        <row r="188">
          <cell r="A188" t="str">
            <v xml:space="preserve"> 2QE</v>
          </cell>
          <cell r="B188">
            <v>6.6296600580863174E-2</v>
          </cell>
          <cell r="C188">
            <v>0.20080423890264787</v>
          </cell>
          <cell r="D188">
            <v>3.4921367563147454E-2</v>
          </cell>
          <cell r="E188">
            <v>5.0839843749999725E-2</v>
          </cell>
          <cell r="F188">
            <v>6.3238020164986031E-2</v>
          </cell>
          <cell r="G188">
            <v>-3.0929228197268399E-3</v>
          </cell>
          <cell r="H188">
            <v>0.20370370370370372</v>
          </cell>
          <cell r="I188" t="e">
            <v>#DIV/0!</v>
          </cell>
          <cell r="J188" t="e">
            <v>#DIV/0!</v>
          </cell>
          <cell r="K188" t="str">
            <v>NM</v>
          </cell>
          <cell r="L188">
            <v>-0.24242424242424243</v>
          </cell>
          <cell r="M188">
            <v>-6.5934065934065922E-2</v>
          </cell>
          <cell r="N188">
            <v>-7.1573716505958229E-3</v>
          </cell>
          <cell r="O188">
            <v>1.0554658050598853E-4</v>
          </cell>
          <cell r="P188">
            <v>-7.0525805061930624E-3</v>
          </cell>
          <cell r="Q188">
            <v>-7.1869241282955798E-3</v>
          </cell>
          <cell r="R188">
            <v>-2.2248753397837717E-3</v>
          </cell>
          <cell r="S188">
            <v>-4.9731133457566745E-3</v>
          </cell>
        </row>
        <row r="189">
          <cell r="A189" t="str">
            <v xml:space="preserve"> 3QE</v>
          </cell>
          <cell r="B189">
            <v>7.7179063756461774E-2</v>
          </cell>
          <cell r="C189">
            <v>0.15428150623081072</v>
          </cell>
          <cell r="D189">
            <v>5.8051135803575571E-2</v>
          </cell>
          <cell r="E189">
            <v>0.15108361909460943</v>
          </cell>
          <cell r="F189">
            <v>0.10521067021074604</v>
          </cell>
          <cell r="G189">
            <v>-5.4034231414197498E-2</v>
          </cell>
          <cell r="H189">
            <v>0.17903930131004353</v>
          </cell>
          <cell r="I189" t="e">
            <v>#DIV/0!</v>
          </cell>
          <cell r="J189" t="e">
            <v>#DIV/0!</v>
          </cell>
          <cell r="K189" t="str">
            <v>NM</v>
          </cell>
          <cell r="L189">
            <v>-0.14965986394557818</v>
          </cell>
          <cell r="M189">
            <v>8.9866156787762996E-2</v>
          </cell>
          <cell r="N189">
            <v>-4.6085361216729681E-2</v>
          </cell>
          <cell r="O189">
            <v>-1.9203072492146589E-5</v>
          </cell>
          <cell r="P189">
            <v>-4.6103679308689527E-2</v>
          </cell>
          <cell r="Q189">
            <v>-4.6080194448205436E-2</v>
          </cell>
          <cell r="R189">
            <v>-1.6431492465830422E-3</v>
          </cell>
          <cell r="S189">
            <v>-4.4510182073762228E-2</v>
          </cell>
        </row>
        <row r="190">
          <cell r="A190" t="str">
            <v xml:space="preserve"> 4QE</v>
          </cell>
          <cell r="B190">
            <v>8.8861618622276595E-2</v>
          </cell>
          <cell r="C190">
            <v>0.19747849630151459</v>
          </cell>
          <cell r="D190">
            <v>6.3033382109054736E-2</v>
          </cell>
          <cell r="E190">
            <v>0.10433209176802816</v>
          </cell>
          <cell r="F190">
            <v>8.3129733588716892E-2</v>
          </cell>
          <cell r="G190">
            <v>7.5061204211943622E-3</v>
          </cell>
          <cell r="H190">
            <v>0.16170212765957426</v>
          </cell>
          <cell r="I190" t="e">
            <v>#DIV/0!</v>
          </cell>
          <cell r="J190" t="e">
            <v>#DIV/0!</v>
          </cell>
          <cell r="K190" t="str">
            <v>NM</v>
          </cell>
          <cell r="L190">
            <v>-0.33862433862433861</v>
          </cell>
          <cell r="M190">
            <v>0.18139936730304829</v>
          </cell>
          <cell r="N190">
            <v>1.6956039451956118E-2</v>
          </cell>
          <cell r="O190">
            <v>-9.6292729899527529E-5</v>
          </cell>
          <cell r="P190">
            <v>1.6858113978729605E-2</v>
          </cell>
          <cell r="Q190">
            <v>1.6983662867397165E-2</v>
          </cell>
          <cell r="R190">
            <v>0</v>
          </cell>
          <cell r="S190">
            <v>1.6983662867397387E-2</v>
          </cell>
        </row>
        <row r="192">
          <cell r="A192" t="str">
            <v xml:space="preserve">2003E/02E </v>
          </cell>
          <cell r="B192">
            <v>7.9338026338120274E-2</v>
          </cell>
          <cell r="C192">
            <v>0.17009031481736728</v>
          </cell>
          <cell r="D192">
            <v>5.714694671822651E-2</v>
          </cell>
          <cell r="E192">
            <v>0.10519372637266357</v>
          </cell>
          <cell r="F192">
            <v>8.4765901921555753E-2</v>
          </cell>
          <cell r="G192">
            <v>-1.0129231867246872E-2</v>
          </cell>
          <cell r="H192" t="str">
            <v>NM</v>
          </cell>
          <cell r="I192" t="str">
            <v>NM</v>
          </cell>
          <cell r="J192" t="str">
            <v>NM</v>
          </cell>
          <cell r="K192" t="str">
            <v>NM</v>
          </cell>
          <cell r="L192">
            <v>-0.14310197086546705</v>
          </cell>
          <cell r="M192" t="str">
            <v>NM</v>
          </cell>
          <cell r="N192">
            <v>-1.0475552494113891E-2</v>
          </cell>
          <cell r="O192">
            <v>0</v>
          </cell>
          <cell r="P192">
            <v>-1.0514158170711097E-2</v>
          </cell>
          <cell r="Q192">
            <v>-1.0464663168868385E-2</v>
          </cell>
          <cell r="R192">
            <v>-1.061665044678417E-3</v>
          </cell>
          <cell r="S192">
            <v>-9.4129915683039897E-3</v>
          </cell>
          <cell r="U192">
            <v>0.11764705882352934</v>
          </cell>
          <cell r="V192">
            <v>-9.4129915683039897E-3</v>
          </cell>
          <cell r="W192" t="str">
            <v>NM</v>
          </cell>
          <cell r="X192">
            <v>-9.4129915683039897E-3</v>
          </cell>
        </row>
        <row r="194">
          <cell r="A194">
            <v>2003</v>
          </cell>
        </row>
        <row r="195">
          <cell r="A195" t="str">
            <v xml:space="preserve"> 1QE</v>
          </cell>
          <cell r="B195">
            <v>2778.3510000000001</v>
          </cell>
          <cell r="C195">
            <v>597.34546499999999</v>
          </cell>
          <cell r="D195">
            <v>2181.0055350000002</v>
          </cell>
          <cell r="E195">
            <v>872.40221400000007</v>
          </cell>
          <cell r="F195">
            <v>547.33514700000001</v>
          </cell>
          <cell r="G195">
            <v>761.26817400000004</v>
          </cell>
          <cell r="H195">
            <v>27</v>
          </cell>
          <cell r="I195">
            <v>0</v>
          </cell>
          <cell r="J195">
            <v>0</v>
          </cell>
          <cell r="K195">
            <v>-10</v>
          </cell>
          <cell r="L195">
            <v>25</v>
          </cell>
          <cell r="M195">
            <v>42</v>
          </cell>
          <cell r="N195">
            <v>803.26817400000004</v>
          </cell>
          <cell r="O195">
            <v>0.22</v>
          </cell>
          <cell r="P195">
            <v>176.71899828000002</v>
          </cell>
          <cell r="Q195">
            <v>626.54917571999999</v>
          </cell>
          <cell r="R195">
            <v>1083.9359999999999</v>
          </cell>
          <cell r="S195">
            <v>0.57803152189797191</v>
          </cell>
        </row>
        <row r="196">
          <cell r="A196" t="str">
            <v xml:space="preserve"> 2QE</v>
          </cell>
          <cell r="B196">
            <v>2959.1649999999995</v>
          </cell>
          <cell r="C196">
            <v>630.30214499999988</v>
          </cell>
          <cell r="D196">
            <v>2328.8628549999994</v>
          </cell>
          <cell r="E196">
            <v>961.72862499999985</v>
          </cell>
          <cell r="F196">
            <v>579.99633999999992</v>
          </cell>
          <cell r="G196">
            <v>787.13788999999974</v>
          </cell>
          <cell r="H196">
            <v>26</v>
          </cell>
          <cell r="I196">
            <v>0</v>
          </cell>
          <cell r="J196">
            <v>0</v>
          </cell>
          <cell r="K196">
            <v>0</v>
          </cell>
          <cell r="L196">
            <v>25</v>
          </cell>
          <cell r="M196">
            <v>51</v>
          </cell>
          <cell r="N196">
            <v>838.13788999999974</v>
          </cell>
          <cell r="O196">
            <v>0.22</v>
          </cell>
          <cell r="P196">
            <v>184.39033579999995</v>
          </cell>
          <cell r="Q196">
            <v>653.74755419999974</v>
          </cell>
          <cell r="R196">
            <v>1083.9359999999999</v>
          </cell>
          <cell r="S196">
            <v>0.60312375841378074</v>
          </cell>
        </row>
        <row r="197">
          <cell r="A197" t="str">
            <v xml:space="preserve"> 3QE</v>
          </cell>
          <cell r="B197">
            <v>3000.5899999999997</v>
          </cell>
          <cell r="C197">
            <v>639.1256699999999</v>
          </cell>
          <cell r="D197">
            <v>2361.4643299999998</v>
          </cell>
          <cell r="E197">
            <v>933.18348999999989</v>
          </cell>
          <cell r="F197">
            <v>582.11446000000001</v>
          </cell>
          <cell r="G197">
            <v>846.16637999999989</v>
          </cell>
          <cell r="H197">
            <v>27</v>
          </cell>
          <cell r="I197">
            <v>0</v>
          </cell>
          <cell r="J197">
            <v>0</v>
          </cell>
          <cell r="K197">
            <v>5</v>
          </cell>
          <cell r="L197">
            <v>25</v>
          </cell>
          <cell r="M197">
            <v>57</v>
          </cell>
          <cell r="N197">
            <v>903.16637999999989</v>
          </cell>
          <cell r="O197">
            <v>0.22</v>
          </cell>
          <cell r="P197">
            <v>198.69660359999997</v>
          </cell>
          <cell r="Q197">
            <v>704.46977639999989</v>
          </cell>
          <cell r="R197">
            <v>1083.9359999999999</v>
          </cell>
          <cell r="S197">
            <v>0.6499182390842263</v>
          </cell>
        </row>
        <row r="198">
          <cell r="A198" t="str">
            <v xml:space="preserve"> 4QE</v>
          </cell>
          <cell r="B198">
            <v>3218.2393999999999</v>
          </cell>
          <cell r="C198">
            <v>679.92829019999999</v>
          </cell>
          <cell r="D198">
            <v>2538.3111097999999</v>
          </cell>
          <cell r="E198">
            <v>1016.8689901000002</v>
          </cell>
          <cell r="F198">
            <v>622.04140600000005</v>
          </cell>
          <cell r="G198">
            <v>899.40071369999964</v>
          </cell>
          <cell r="H198">
            <v>27.299999999999997</v>
          </cell>
          <cell r="I198">
            <v>0</v>
          </cell>
          <cell r="J198">
            <v>0</v>
          </cell>
          <cell r="K198">
            <v>8.3057875426463728</v>
          </cell>
          <cell r="L198">
            <v>25</v>
          </cell>
          <cell r="M198">
            <v>60.605787542646368</v>
          </cell>
          <cell r="N198">
            <v>960.00650124264598</v>
          </cell>
          <cell r="O198">
            <v>0.22</v>
          </cell>
          <cell r="P198">
            <v>211.20143027338213</v>
          </cell>
          <cell r="Q198">
            <v>748.80507096926385</v>
          </cell>
          <cell r="R198">
            <v>1083.9359999999999</v>
          </cell>
          <cell r="S198">
            <v>0.69082037220764314</v>
          </cell>
        </row>
        <row r="200">
          <cell r="A200" t="str">
            <v>2003E</v>
          </cell>
          <cell r="B200">
            <v>11956.3454</v>
          </cell>
          <cell r="C200">
            <v>2546.7015701999999</v>
          </cell>
          <cell r="D200">
            <v>9409.6438297999994</v>
          </cell>
          <cell r="E200">
            <v>3784.1833191000001</v>
          </cell>
          <cell r="F200">
            <v>2331.487353</v>
          </cell>
          <cell r="G200">
            <v>3293.9731576999989</v>
          </cell>
          <cell r="H200">
            <v>107.3</v>
          </cell>
          <cell r="I200">
            <v>0</v>
          </cell>
          <cell r="J200">
            <v>0</v>
          </cell>
          <cell r="K200">
            <v>3.3057875426463723</v>
          </cell>
          <cell r="L200">
            <v>100</v>
          </cell>
          <cell r="M200">
            <v>210.60578754264637</v>
          </cell>
          <cell r="N200">
            <v>3504.5789452426452</v>
          </cell>
          <cell r="O200">
            <v>0.22</v>
          </cell>
          <cell r="P200">
            <v>771.00736795338196</v>
          </cell>
          <cell r="Q200">
            <v>2733.5715772892631</v>
          </cell>
          <cell r="R200">
            <v>1083.9359999999999</v>
          </cell>
          <cell r="S200">
            <v>2.5218938916036215</v>
          </cell>
          <cell r="T200">
            <v>0.60272163117595035</v>
          </cell>
          <cell r="U200">
            <v>1.52</v>
          </cell>
          <cell r="V200">
            <v>2.5218938916036215</v>
          </cell>
          <cell r="W200" t="str">
            <v xml:space="preserve">       --</v>
          </cell>
          <cell r="X200">
            <v>2.5218938916036215</v>
          </cell>
        </row>
        <row r="202">
          <cell r="A202" t="str">
            <v xml:space="preserve">2004E/03E </v>
          </cell>
          <cell r="B202">
            <v>0.11164647853013696</v>
          </cell>
          <cell r="C202">
            <v>0.10120848342656764</v>
          </cell>
          <cell r="D202">
            <v>0.11447150134724021</v>
          </cell>
          <cell r="E202">
            <v>9.9353389510056345E-2</v>
          </cell>
          <cell r="F202">
            <v>9.4544225014288677E-2</v>
          </cell>
          <cell r="G202">
            <v>0.14594410127970589</v>
          </cell>
          <cell r="H202" t="str">
            <v>NM</v>
          </cell>
          <cell r="I202" t="str">
            <v>NM</v>
          </cell>
          <cell r="J202" t="str">
            <v>NM</v>
          </cell>
          <cell r="K202" t="str">
            <v>NM</v>
          </cell>
          <cell r="L202">
            <v>-0.30000000000000004</v>
          </cell>
          <cell r="M202" t="str">
            <v>NM</v>
          </cell>
          <cell r="N202">
            <v>0.15994332614347706</v>
          </cell>
          <cell r="O202">
            <v>0</v>
          </cell>
          <cell r="P202">
            <v>0.15994332614347703</v>
          </cell>
          <cell r="Q202">
            <v>0.15994332614347712</v>
          </cell>
          <cell r="R202">
            <v>0</v>
          </cell>
          <cell r="S202">
            <v>0.15994332614347723</v>
          </cell>
          <cell r="U202">
            <v>0.10526315789473679</v>
          </cell>
          <cell r="V202">
            <v>0.15994332614347723</v>
          </cell>
          <cell r="W202" t="str">
            <v>NM</v>
          </cell>
          <cell r="X202">
            <v>0.15994332614347723</v>
          </cell>
        </row>
        <row r="203">
          <cell r="A203" t="str">
            <v xml:space="preserve">2005E/04E </v>
          </cell>
          <cell r="B203">
            <v>0.12468073480511163</v>
          </cell>
          <cell r="C203">
            <v>0.10869001345717165</v>
          </cell>
          <cell r="D203">
            <v>0.12895708740893347</v>
          </cell>
          <cell r="E203">
            <v>0.10671458888170739</v>
          </cell>
          <cell r="F203">
            <v>0.11296531048422513</v>
          </cell>
          <cell r="G203">
            <v>0.16428216912923532</v>
          </cell>
          <cell r="H203" t="str">
            <v>NM</v>
          </cell>
          <cell r="I203" t="str">
            <v>NM</v>
          </cell>
          <cell r="J203" t="str">
            <v>NM</v>
          </cell>
          <cell r="K203" t="str">
            <v>NM</v>
          </cell>
          <cell r="L203">
            <v>-0.2857142857142857</v>
          </cell>
          <cell r="M203" t="str">
            <v>NM</v>
          </cell>
          <cell r="N203">
            <v>0.16630573498800549</v>
          </cell>
          <cell r="O203">
            <v>0</v>
          </cell>
          <cell r="P203">
            <v>0.16630573498800538</v>
          </cell>
          <cell r="Q203">
            <v>0.16630573498800552</v>
          </cell>
          <cell r="R203">
            <v>0</v>
          </cell>
          <cell r="S203">
            <v>0.16630573498800555</v>
          </cell>
          <cell r="U203">
            <v>0.10714285714285725</v>
          </cell>
          <cell r="V203">
            <v>0.16630573498800555</v>
          </cell>
          <cell r="W203" t="str">
            <v>NM</v>
          </cell>
          <cell r="X203">
            <v>0.16630573498800555</v>
          </cell>
        </row>
        <row r="204">
          <cell r="A204" t="str">
            <v>2006/05E</v>
          </cell>
          <cell r="B204">
            <v>9.2822572858335825E-2</v>
          </cell>
          <cell r="C204">
            <v>8.2314663503928673E-2</v>
          </cell>
          <cell r="D204">
            <v>9.5582225820099273E-2</v>
          </cell>
          <cell r="E204">
            <v>7.5081946675570582E-2</v>
          </cell>
          <cell r="F204">
            <v>6.6939932974848862E-2</v>
          </cell>
          <cell r="G204">
            <v>0.1355690340415702</v>
          </cell>
          <cell r="H204" t="str">
            <v>NM</v>
          </cell>
          <cell r="I204" t="str">
            <v>NM</v>
          </cell>
          <cell r="J204" t="str">
            <v>NM</v>
          </cell>
          <cell r="K204" t="str">
            <v>NM</v>
          </cell>
          <cell r="L204">
            <v>0</v>
          </cell>
          <cell r="M204" t="str">
            <v>NM</v>
          </cell>
          <cell r="N204">
            <v>0.14137121405095526</v>
          </cell>
          <cell r="O204">
            <v>0</v>
          </cell>
          <cell r="P204">
            <v>0.14137121405095535</v>
          </cell>
          <cell r="Q204">
            <v>0.14137121405095515</v>
          </cell>
          <cell r="R204">
            <v>0</v>
          </cell>
          <cell r="S204">
            <v>0.14137121405095512</v>
          </cell>
          <cell r="U204">
            <v>0.11</v>
          </cell>
          <cell r="V204">
            <v>0.14137121405095512</v>
          </cell>
          <cell r="W204" t="str">
            <v>NM</v>
          </cell>
          <cell r="X204">
            <v>0.14137121405095512</v>
          </cell>
        </row>
        <row r="205">
          <cell r="A205" t="str">
            <v>2006/05E</v>
          </cell>
          <cell r="B205">
            <v>9.5139825497598154E-2</v>
          </cell>
          <cell r="C205">
            <v>8.4507400007330188E-2</v>
          </cell>
          <cell r="D205">
            <v>9.7898364100866789E-2</v>
          </cell>
          <cell r="E205">
            <v>9.3332664069384355E-2</v>
          </cell>
          <cell r="F205">
            <v>9.2187966129680193E-2</v>
          </cell>
          <cell r="G205">
            <v>0.10589406273652731</v>
          </cell>
          <cell r="H205" t="str">
            <v>NM</v>
          </cell>
          <cell r="I205" t="str">
            <v>NM</v>
          </cell>
          <cell r="J205" t="str">
            <v>NM</v>
          </cell>
          <cell r="K205" t="str">
            <v>NM</v>
          </cell>
          <cell r="L205">
            <v>0</v>
          </cell>
          <cell r="M205" t="str">
            <v>NM</v>
          </cell>
          <cell r="N205">
            <v>0.10305561510623458</v>
          </cell>
          <cell r="O205">
            <v>0</v>
          </cell>
          <cell r="P205">
            <v>0.10305561510623457</v>
          </cell>
          <cell r="Q205">
            <v>0.10305561510623464</v>
          </cell>
          <cell r="R205">
            <v>0</v>
          </cell>
          <cell r="S205">
            <v>0.10305561510623455</v>
          </cell>
          <cell r="U205">
            <v>0.11</v>
          </cell>
          <cell r="V205">
            <v>0.10305561510623455</v>
          </cell>
          <cell r="W205" t="str">
            <v>NM</v>
          </cell>
          <cell r="X205">
            <v>0.10305561510623455</v>
          </cell>
        </row>
        <row r="207">
          <cell r="A207" t="str">
            <v>2001E</v>
          </cell>
          <cell r="B207">
            <v>11542.4</v>
          </cell>
          <cell r="C207">
            <v>2160.1999999999998</v>
          </cell>
          <cell r="D207">
            <v>9382.2000000000007</v>
          </cell>
          <cell r="E207">
            <v>3417.3999999999996</v>
          </cell>
          <cell r="F207">
            <v>2235.1</v>
          </cell>
          <cell r="G207">
            <v>3729.7000000000003</v>
          </cell>
          <cell r="H207">
            <v>135.4</v>
          </cell>
          <cell r="I207">
            <v>0</v>
          </cell>
          <cell r="J207">
            <v>0</v>
          </cell>
          <cell r="L207">
            <v>-1.2000000000000011</v>
          </cell>
          <cell r="M207">
            <v>134.19999999999999</v>
          </cell>
          <cell r="N207">
            <v>3863.9</v>
          </cell>
          <cell r="O207">
            <v>0.22001086984652812</v>
          </cell>
          <cell r="P207">
            <v>850.1</v>
          </cell>
          <cell r="Q207">
            <v>3013.8999999999996</v>
          </cell>
          <cell r="R207">
            <v>1090.7929999999999</v>
          </cell>
          <cell r="S207">
            <v>2.7617073161336161</v>
          </cell>
          <cell r="U207">
            <v>1.2</v>
          </cell>
          <cell r="V207">
            <v>2.7617073161336161</v>
          </cell>
          <cell r="W207" t="str">
            <v xml:space="preserve">       --</v>
          </cell>
          <cell r="X207">
            <v>2.7617073161336161</v>
          </cell>
        </row>
        <row r="208">
          <cell r="A208" t="str">
            <v>2004E</v>
          </cell>
          <cell r="B208">
            <v>13291.229260000002</v>
          </cell>
          <cell r="C208">
            <v>2804.4493738600004</v>
          </cell>
          <cell r="D208">
            <v>10486.779886140001</v>
          </cell>
          <cell r="E208">
            <v>4160.1547583800002</v>
          </cell>
          <cell r="F208">
            <v>2551.9160179200003</v>
          </cell>
          <cell r="G208">
            <v>3774.7091098400001</v>
          </cell>
          <cell r="H208">
            <v>100</v>
          </cell>
          <cell r="I208">
            <v>0</v>
          </cell>
          <cell r="J208">
            <v>0</v>
          </cell>
          <cell r="K208">
            <v>120.40384863715227</v>
          </cell>
          <cell r="L208">
            <v>70</v>
          </cell>
          <cell r="M208">
            <v>290.40384863715224</v>
          </cell>
          <cell r="N208">
            <v>4065.1129584771525</v>
          </cell>
          <cell r="O208">
            <v>0.22</v>
          </cell>
          <cell r="P208">
            <v>894.32485086497354</v>
          </cell>
          <cell r="Q208">
            <v>3170.7881076121789</v>
          </cell>
          <cell r="R208">
            <v>1083.9359999999999</v>
          </cell>
          <cell r="S208">
            <v>2.9252539888076226</v>
          </cell>
          <cell r="T208">
            <v>0.57430910492828458</v>
          </cell>
          <cell r="U208">
            <v>1.68</v>
          </cell>
          <cell r="V208">
            <v>2.9252539888076226</v>
          </cell>
          <cell r="W208" t="str">
            <v xml:space="preserve">       --</v>
          </cell>
          <cell r="X208">
            <v>2.9252539888076226</v>
          </cell>
        </row>
        <row r="209">
          <cell r="A209" t="str">
            <v>2005E</v>
          </cell>
          <cell r="B209">
            <v>14948.389490600002</v>
          </cell>
          <cell r="C209">
            <v>3109.2650140448004</v>
          </cell>
          <cell r="D209">
            <v>11839.124476555202</v>
          </cell>
          <cell r="E209">
            <v>4604.1039631048006</v>
          </cell>
          <cell r="F209">
            <v>2840.1940032140005</v>
          </cell>
          <cell r="G209">
            <v>4394.8265102364003</v>
          </cell>
          <cell r="H209">
            <v>100</v>
          </cell>
          <cell r="I209">
            <v>0</v>
          </cell>
          <cell r="J209">
            <v>0</v>
          </cell>
          <cell r="K209">
            <v>196.33804660956059</v>
          </cell>
          <cell r="L209">
            <v>50</v>
          </cell>
          <cell r="M209">
            <v>346.33804660956059</v>
          </cell>
          <cell r="N209">
            <v>4741.1645568459608</v>
          </cell>
          <cell r="O209">
            <v>0.22</v>
          </cell>
          <cell r="P209">
            <v>1043.0562025061113</v>
          </cell>
          <cell r="Q209">
            <v>3698.1083543398495</v>
          </cell>
          <cell r="R209">
            <v>1083.9359999999999</v>
          </cell>
          <cell r="S209">
            <v>3.4117405034428692</v>
          </cell>
          <cell r="T209">
            <v>0.54517628117467598</v>
          </cell>
          <cell r="U209">
            <v>1.86</v>
          </cell>
          <cell r="V209">
            <v>3.4117405034428692</v>
          </cell>
          <cell r="W209" t="str">
            <v xml:space="preserve">       --</v>
          </cell>
          <cell r="X209">
            <v>3.4117405034428692</v>
          </cell>
        </row>
        <row r="210">
          <cell r="A210" t="str">
            <v>2006E</v>
          </cell>
          <cell r="B210">
            <v>16335.937463206003</v>
          </cell>
          <cell r="C210">
            <v>3365.2031174204362</v>
          </cell>
          <cell r="D210">
            <v>12970.734345785566</v>
          </cell>
          <cell r="E210">
            <v>4949.7890513514185</v>
          </cell>
          <cell r="F210">
            <v>3030.3163994247134</v>
          </cell>
          <cell r="G210">
            <v>4990.628895009434</v>
          </cell>
          <cell r="H210">
            <v>100</v>
          </cell>
          <cell r="I210">
            <v>0</v>
          </cell>
          <cell r="J210">
            <v>0</v>
          </cell>
          <cell r="K210">
            <v>270.79985125319928</v>
          </cell>
          <cell r="L210">
            <v>50</v>
          </cell>
          <cell r="M210">
            <v>420.79985125319928</v>
          </cell>
          <cell r="N210">
            <v>5411.4287462626335</v>
          </cell>
          <cell r="O210">
            <v>0.22</v>
          </cell>
          <cell r="P210">
            <v>1190.5143241777794</v>
          </cell>
          <cell r="Q210">
            <v>4220.9144220848539</v>
          </cell>
          <cell r="R210">
            <v>1083.9359999999999</v>
          </cell>
          <cell r="S210">
            <v>3.8940624004414044</v>
          </cell>
          <cell r="T210">
            <v>0.53019181196633403</v>
          </cell>
          <cell r="U210">
            <v>2.0646000000000004</v>
          </cell>
          <cell r="V210">
            <v>3.8940624004414044</v>
          </cell>
          <cell r="W210" t="str">
            <v xml:space="preserve">       --</v>
          </cell>
          <cell r="X210">
            <v>3.8940624004414044</v>
          </cell>
        </row>
        <row r="211">
          <cell r="A211" t="str">
            <v>2007E</v>
          </cell>
          <cell r="B211">
            <v>17890.135702795098</v>
          </cell>
          <cell r="C211">
            <v>3649.5876833701996</v>
          </cell>
          <cell r="D211">
            <v>14240.548019424899</v>
          </cell>
          <cell r="E211">
            <v>5411.7660500955171</v>
          </cell>
          <cell r="F211">
            <v>3309.6751050170933</v>
          </cell>
          <cell r="G211">
            <v>5519.106864312289</v>
          </cell>
          <cell r="H211">
            <v>100</v>
          </cell>
          <cell r="I211">
            <v>0</v>
          </cell>
          <cell r="J211">
            <v>0</v>
          </cell>
          <cell r="K211">
            <v>300</v>
          </cell>
          <cell r="L211">
            <v>50</v>
          </cell>
          <cell r="M211">
            <v>450</v>
          </cell>
          <cell r="N211">
            <v>5969.106864312289</v>
          </cell>
          <cell r="O211">
            <v>0.22</v>
          </cell>
          <cell r="P211">
            <v>1313.2035101487036</v>
          </cell>
          <cell r="Q211">
            <v>4655.9033541635854</v>
          </cell>
          <cell r="R211">
            <v>1083.9359999999999</v>
          </cell>
          <cell r="S211">
            <v>4.2953673963809536</v>
          </cell>
          <cell r="T211">
            <v>0.53352968175222193</v>
          </cell>
          <cell r="U211">
            <v>2.2917060000000005</v>
          </cell>
          <cell r="V211">
            <v>4.2953673963809536</v>
          </cell>
          <cell r="W211" t="str">
            <v xml:space="preserve">       --</v>
          </cell>
          <cell r="X211">
            <v>4.2953673963809536</v>
          </cell>
        </row>
        <row r="213">
          <cell r="A213" t="str">
            <v>See footnotes on Quarterly Margin Analysis table.</v>
          </cell>
        </row>
        <row r="214">
          <cell r="A214" t="str">
            <v xml:space="preserve">E = Morgan Stanley Research Estimates       A = Actual       NM = Not Meaningful         </v>
          </cell>
        </row>
      </sheetData>
      <sheetData sheetId="8" refreshError="1">
        <row r="1">
          <cell r="A1" t="str">
            <v>Table 4</v>
          </cell>
        </row>
        <row r="2">
          <cell r="A2" t="str">
            <v>Eli Lilly</v>
          </cell>
        </row>
        <row r="3">
          <cell r="A3" t="str">
            <v>Quarterly Margin Analysis, 2000-2007E</v>
          </cell>
        </row>
        <row r="4">
          <cell r="H4" t="str">
            <v>Non-Operating Items</v>
          </cell>
        </row>
        <row r="5">
          <cell r="D5" t="str">
            <v xml:space="preserve">  Gross</v>
          </cell>
          <cell r="G5" t="str">
            <v xml:space="preserve">  Oper</v>
          </cell>
          <cell r="H5" t="str">
            <v xml:space="preserve">  Net Int</v>
          </cell>
          <cell r="I5" t="str">
            <v xml:space="preserve">   Dow</v>
          </cell>
          <cell r="J5" t="str">
            <v>PCS</v>
          </cell>
          <cell r="K5" t="str">
            <v>Actos</v>
          </cell>
          <cell r="N5" t="str">
            <v xml:space="preserve"> Pretax</v>
          </cell>
          <cell r="O5" t="str">
            <v>Net</v>
          </cell>
        </row>
        <row r="6">
          <cell r="B6" t="str">
            <v xml:space="preserve">  Sales</v>
          </cell>
          <cell r="C6" t="str">
            <v xml:space="preserve">   COGS</v>
          </cell>
          <cell r="D6" t="str">
            <v xml:space="preserve">  Margin</v>
          </cell>
          <cell r="E6" t="str">
            <v xml:space="preserve">   SG&amp;A</v>
          </cell>
          <cell r="F6" t="str">
            <v xml:space="preserve">   R&amp;D</v>
          </cell>
          <cell r="G6" t="str">
            <v xml:space="preserve"> Income</v>
          </cell>
          <cell r="H6" t="str">
            <v>Inc.</v>
          </cell>
          <cell r="I6" t="str">
            <v xml:space="preserve">  Elanco</v>
          </cell>
          <cell r="J6" t="str">
            <v>Goodwill</v>
          </cell>
          <cell r="K6" t="str">
            <v>Revs (a)</v>
          </cell>
          <cell r="L6" t="str">
            <v xml:space="preserve">  Other</v>
          </cell>
          <cell r="M6" t="str">
            <v xml:space="preserve">  Total</v>
          </cell>
          <cell r="N6" t="str">
            <v xml:space="preserve"> Income</v>
          </cell>
          <cell r="O6" t="str">
            <v>Income</v>
          </cell>
        </row>
        <row r="8">
          <cell r="A8">
            <v>1994</v>
          </cell>
        </row>
        <row r="9">
          <cell r="A9" t="str">
            <v xml:space="preserve"> 1Q (a)</v>
          </cell>
          <cell r="B9">
            <v>1</v>
          </cell>
          <cell r="C9">
            <v>0.29187991750057296</v>
          </cell>
          <cell r="D9">
            <v>0.70812008249942704</v>
          </cell>
          <cell r="E9">
            <v>0.21388740355969751</v>
          </cell>
          <cell r="F9">
            <v>0.13543655946833705</v>
          </cell>
          <cell r="G9">
            <v>0.35879611947139251</v>
          </cell>
          <cell r="H9">
            <v>-2.7499809029103966E-3</v>
          </cell>
          <cell r="I9">
            <v>2.7499809029103966E-2</v>
          </cell>
          <cell r="J9" t="str">
            <v>NM</v>
          </cell>
          <cell r="K9" t="str">
            <v>NM</v>
          </cell>
          <cell r="L9">
            <v>-1.0159651669085633E-2</v>
          </cell>
          <cell r="M9">
            <v>1.4590176457107936E-2</v>
          </cell>
          <cell r="N9">
            <v>0.37338629592850042</v>
          </cell>
          <cell r="O9">
            <v>0.25576961271102278</v>
          </cell>
        </row>
        <row r="10">
          <cell r="A10" t="str">
            <v xml:space="preserve"> 2Q (b)</v>
          </cell>
          <cell r="B10">
            <v>1</v>
          </cell>
          <cell r="C10">
            <v>0.28645678645678646</v>
          </cell>
          <cell r="D10">
            <v>0.71354321354321359</v>
          </cell>
          <cell r="E10">
            <v>0.24547074547074549</v>
          </cell>
          <cell r="F10">
            <v>0.15013365013365013</v>
          </cell>
          <cell r="G10">
            <v>0.31793881793881795</v>
          </cell>
          <cell r="H10">
            <v>-8.9100089100089055E-4</v>
          </cell>
          <cell r="I10">
            <v>3.2298782298782303E-2</v>
          </cell>
          <cell r="J10" t="str">
            <v>NM</v>
          </cell>
          <cell r="K10" t="str">
            <v>NM</v>
          </cell>
          <cell r="L10">
            <v>0</v>
          </cell>
          <cell r="M10">
            <v>3.1407781407781409E-2</v>
          </cell>
          <cell r="N10">
            <v>0.34934659934659934</v>
          </cell>
          <cell r="O10">
            <v>0.24209719334719337</v>
          </cell>
        </row>
        <row r="11">
          <cell r="A11" t="str">
            <v xml:space="preserve"> 3Q (c)</v>
          </cell>
          <cell r="B11">
            <v>1</v>
          </cell>
          <cell r="C11">
            <v>0.29947588403104891</v>
          </cell>
          <cell r="D11">
            <v>0.70052411596895103</v>
          </cell>
          <cell r="E11">
            <v>0.23956743846613152</v>
          </cell>
          <cell r="F11">
            <v>0.14516022026139455</v>
          </cell>
          <cell r="G11">
            <v>0.31579645724142502</v>
          </cell>
          <cell r="H11">
            <v>1.2605320772241747E-3</v>
          </cell>
          <cell r="I11">
            <v>1.3268758707622903E-3</v>
          </cell>
          <cell r="J11" t="str">
            <v>NM</v>
          </cell>
          <cell r="K11" t="str">
            <v>NM</v>
          </cell>
          <cell r="L11">
            <v>3.5162210575200689E-3</v>
          </cell>
          <cell r="M11">
            <v>6.1036290055065346E-3</v>
          </cell>
          <cell r="N11">
            <v>0.32190008624693162</v>
          </cell>
          <cell r="O11">
            <v>0.22307675976912361</v>
          </cell>
        </row>
        <row r="12">
          <cell r="A12" t="str">
            <v xml:space="preserve"> 4Q </v>
          </cell>
          <cell r="B12">
            <v>1</v>
          </cell>
          <cell r="C12">
            <v>0.29733918884009297</v>
          </cell>
          <cell r="D12">
            <v>0.70266081115990708</v>
          </cell>
          <cell r="E12">
            <v>0.27551020408163263</v>
          </cell>
          <cell r="F12">
            <v>0.15525703952467063</v>
          </cell>
          <cell r="G12">
            <v>0.27189356755360383</v>
          </cell>
          <cell r="H12">
            <v>-2.2151898734177212E-2</v>
          </cell>
          <cell r="I12">
            <v>-3.874967708602428E-3</v>
          </cell>
          <cell r="J12">
            <v>-7.2332730560578651E-3</v>
          </cell>
          <cell r="K12" t="e">
            <v>#NULL!</v>
          </cell>
          <cell r="L12">
            <v>5.8124515629036418E-3</v>
          </cell>
          <cell r="M12">
            <v>-2.7447687935933867E-2</v>
          </cell>
          <cell r="N12">
            <v>0.24444587961766984</v>
          </cell>
          <cell r="O12">
            <v>0.17404546628778095</v>
          </cell>
        </row>
        <row r="14">
          <cell r="A14">
            <v>1993</v>
          </cell>
        </row>
        <row r="15">
          <cell r="A15" t="str">
            <v xml:space="preserve"> 1Q </v>
          </cell>
          <cell r="B15">
            <v>1</v>
          </cell>
          <cell r="C15">
            <v>0.25624261520283576</v>
          </cell>
          <cell r="D15">
            <v>0.74375738479716424</v>
          </cell>
          <cell r="E15">
            <v>0.23300512012603389</v>
          </cell>
          <cell r="F15">
            <v>0.13367467506892478</v>
          </cell>
          <cell r="G15">
            <v>0.37707758960220555</v>
          </cell>
          <cell r="H15">
            <v>-3.7022449783379284E-3</v>
          </cell>
          <cell r="I15">
            <v>2.520677432059866E-2</v>
          </cell>
          <cell r="J15" t="str">
            <v>NM</v>
          </cell>
          <cell r="K15" t="str">
            <v>NM</v>
          </cell>
          <cell r="L15">
            <v>-6.301693580149665E-3</v>
          </cell>
          <cell r="M15">
            <v>1.5202835762111068E-2</v>
          </cell>
          <cell r="N15">
            <v>0.39228042536431668</v>
          </cell>
          <cell r="O15">
            <v>0.26916108704214259</v>
          </cell>
        </row>
        <row r="16">
          <cell r="A16" t="str">
            <v xml:space="preserve"> 2Q</v>
          </cell>
          <cell r="B16">
            <v>1</v>
          </cell>
          <cell r="C16">
            <v>0.27706422018348625</v>
          </cell>
          <cell r="D16">
            <v>0.72293577981651369</v>
          </cell>
          <cell r="E16">
            <v>0.24898284802552853</v>
          </cell>
          <cell r="F16">
            <v>0.14567211806940566</v>
          </cell>
          <cell r="G16">
            <v>0.32828081372157952</v>
          </cell>
          <cell r="H16">
            <v>-4.3877143996808934E-3</v>
          </cell>
          <cell r="I16">
            <v>2.3932987634623055E-2</v>
          </cell>
          <cell r="J16" t="str">
            <v>NM</v>
          </cell>
          <cell r="K16" t="str">
            <v>NM</v>
          </cell>
          <cell r="L16">
            <v>7.9776625448743522E-3</v>
          </cell>
          <cell r="M16">
            <v>2.7522935779816515E-2</v>
          </cell>
          <cell r="N16">
            <v>0.35580374950139609</v>
          </cell>
          <cell r="O16">
            <v>0.24004786597526923</v>
          </cell>
        </row>
        <row r="17">
          <cell r="A17" t="str">
            <v xml:space="preserve"> 3Q</v>
          </cell>
          <cell r="B17">
            <v>1</v>
          </cell>
          <cell r="C17">
            <v>0.27823374917925148</v>
          </cell>
          <cell r="D17">
            <v>0.72176625082074852</v>
          </cell>
          <cell r="E17">
            <v>0.26715364412344056</v>
          </cell>
          <cell r="F17">
            <v>0.14937623112278398</v>
          </cell>
          <cell r="G17">
            <v>0.30523637557452399</v>
          </cell>
          <cell r="H17">
            <v>-3.2829940906106366E-3</v>
          </cell>
          <cell r="I17">
            <v>2.4622455679579776E-3</v>
          </cell>
          <cell r="J17" t="str">
            <v>NM</v>
          </cell>
          <cell r="K17" t="str">
            <v>NM</v>
          </cell>
          <cell r="L17">
            <v>-3.6112934996717005E-3</v>
          </cell>
          <cell r="M17">
            <v>-4.43204202232436E-3</v>
          </cell>
          <cell r="N17">
            <v>0.3008043335521996</v>
          </cell>
          <cell r="O17">
            <v>0.19968811556139199</v>
          </cell>
        </row>
        <row r="18">
          <cell r="A18" t="str">
            <v xml:space="preserve"> 4Q</v>
          </cell>
          <cell r="B18">
            <v>1</v>
          </cell>
          <cell r="C18">
            <v>0.29949900487269232</v>
          </cell>
          <cell r="D18">
            <v>0.70050099512730768</v>
          </cell>
          <cell r="E18">
            <v>0.27390021275135545</v>
          </cell>
          <cell r="F18">
            <v>0.15139660970420699</v>
          </cell>
          <cell r="G18">
            <v>0.27520417267174524</v>
          </cell>
          <cell r="H18">
            <v>-4.1177681696520484E-3</v>
          </cell>
          <cell r="I18">
            <v>-6.8629469494200818E-4</v>
          </cell>
          <cell r="J18" t="str">
            <v>NM</v>
          </cell>
          <cell r="K18" t="str">
            <v>NM</v>
          </cell>
          <cell r="L18">
            <v>-6.1766522544780735E-3</v>
          </cell>
          <cell r="M18">
            <v>-1.0980715119072131E-2</v>
          </cell>
          <cell r="N18">
            <v>0.26422345755267312</v>
          </cell>
          <cell r="O18">
            <v>0.17335803994235124</v>
          </cell>
        </row>
        <row r="20">
          <cell r="A20" t="str">
            <v>1993</v>
          </cell>
          <cell r="B20">
            <v>1</v>
          </cell>
          <cell r="C20">
            <v>0.27854188708281236</v>
          </cell>
          <cell r="D20">
            <v>0.72145811291718764</v>
          </cell>
          <cell r="E20">
            <v>0.25632393959796096</v>
          </cell>
          <cell r="F20">
            <v>0.14521496585553526</v>
          </cell>
          <cell r="G20">
            <v>0.3199192074636914</v>
          </cell>
          <cell r="H20">
            <v>-3.885736270077907E-3</v>
          </cell>
          <cell r="I20">
            <v>1.2311243627969606E-2</v>
          </cell>
          <cell r="J20" t="str">
            <v>NM</v>
          </cell>
          <cell r="K20" t="str">
            <v>NM</v>
          </cell>
          <cell r="L20">
            <v>-2.1929402712320863E-3</v>
          </cell>
          <cell r="M20">
            <v>6.2325670866596131E-3</v>
          </cell>
          <cell r="N20">
            <v>0.32615177455035105</v>
          </cell>
          <cell r="O20">
            <v>0.21900548235067807</v>
          </cell>
        </row>
        <row r="22">
          <cell r="A22" t="str">
            <v>1994</v>
          </cell>
          <cell r="B22">
            <v>1</v>
          </cell>
          <cell r="C22">
            <v>0.29408572028853563</v>
          </cell>
          <cell r="D22">
            <v>0.70591427971146437</v>
          </cell>
          <cell r="E22">
            <v>0.24481756425519996</v>
          </cell>
          <cell r="F22">
            <v>0.14684151551229074</v>
          </cell>
          <cell r="G22">
            <v>0.31425519994397361</v>
          </cell>
          <cell r="H22">
            <v>-6.5130611387352044E-3</v>
          </cell>
          <cell r="I22">
            <v>1.3218712795013656E-2</v>
          </cell>
          <cell r="J22">
            <v>-1.9609216331675887E-3</v>
          </cell>
          <cell r="K22" t="e">
            <v>#NULL!</v>
          </cell>
          <cell r="L22">
            <v>1.7508228867567756E-4</v>
          </cell>
          <cell r="M22">
            <v>4.9198123117865384E-3</v>
          </cell>
          <cell r="N22">
            <v>0.31917501225576017</v>
          </cell>
          <cell r="O22">
            <v>0.22176274599061555</v>
          </cell>
        </row>
        <row r="24">
          <cell r="A24">
            <v>1995</v>
          </cell>
        </row>
        <row r="25">
          <cell r="A25" t="str">
            <v xml:space="preserve"> 1Q</v>
          </cell>
          <cell r="B25">
            <v>1</v>
          </cell>
          <cell r="C25">
            <v>0.29843358760845512</v>
          </cell>
          <cell r="D25">
            <v>0.70156641239154482</v>
          </cell>
          <cell r="E25">
            <v>0.23711640365690329</v>
          </cell>
          <cell r="F25">
            <v>0.13783264426716357</v>
          </cell>
          <cell r="G25">
            <v>0.32661736446747797</v>
          </cell>
          <cell r="H25">
            <v>-3.0454783672043326E-2</v>
          </cell>
          <cell r="I25">
            <v>2.0380830373260352E-2</v>
          </cell>
          <cell r="J25">
            <v>-1.455773598090025E-2</v>
          </cell>
          <cell r="K25" t="e">
            <v>#NULL!</v>
          </cell>
          <cell r="L25">
            <v>5.2407849531240901E-3</v>
          </cell>
          <cell r="M25">
            <v>-1.9390904326559138E-2</v>
          </cell>
          <cell r="N25">
            <v>0.30722646014091887</v>
          </cell>
          <cell r="O25">
            <v>0.21807488499388569</v>
          </cell>
        </row>
        <row r="26">
          <cell r="A26" t="str">
            <v xml:space="preserve"> 2Q</v>
          </cell>
          <cell r="B26">
            <v>1</v>
          </cell>
          <cell r="C26">
            <v>0.28449343571959373</v>
          </cell>
          <cell r="D26">
            <v>0.71550656428040627</v>
          </cell>
          <cell r="E26">
            <v>0.27018825860787715</v>
          </cell>
          <cell r="F26">
            <v>0.1613202873420857</v>
          </cell>
          <cell r="G26">
            <v>0.28399801833044347</v>
          </cell>
          <cell r="H26">
            <v>-3.2325984642060941E-2</v>
          </cell>
          <cell r="I26">
            <v>2.4770869457517958E-2</v>
          </cell>
          <cell r="J26">
            <v>-1.5481793410948725E-2</v>
          </cell>
          <cell r="K26" t="e">
            <v>#NULL!</v>
          </cell>
          <cell r="L26">
            <v>9.2890760465692349E-3</v>
          </cell>
          <cell r="M26">
            <v>-1.374783254892247E-2</v>
          </cell>
          <cell r="N26">
            <v>0.27025018578152105</v>
          </cell>
          <cell r="O26">
            <v>0.19178845677483289</v>
          </cell>
        </row>
        <row r="27">
          <cell r="A27" t="str">
            <v xml:space="preserve"> 3Q</v>
          </cell>
          <cell r="B27">
            <v>1</v>
          </cell>
          <cell r="C27">
            <v>0.25735294117647056</v>
          </cell>
          <cell r="D27">
            <v>0.74264705882352944</v>
          </cell>
          <cell r="E27">
            <v>0.27205882352941174</v>
          </cell>
          <cell r="F27">
            <v>0.15992647058823528</v>
          </cell>
          <cell r="G27">
            <v>0.31066176470588236</v>
          </cell>
          <cell r="H27">
            <v>-3.1924019607843135E-2</v>
          </cell>
          <cell r="I27">
            <v>0</v>
          </cell>
          <cell r="J27">
            <v>-1.5318627450980392E-2</v>
          </cell>
          <cell r="K27" t="e">
            <v>#NULL!</v>
          </cell>
          <cell r="L27">
            <v>4.2892156862745102E-3</v>
          </cell>
          <cell r="M27">
            <v>-4.2953431372549013E-2</v>
          </cell>
          <cell r="N27">
            <v>0.26770833333333333</v>
          </cell>
          <cell r="O27">
            <v>0.18988970588235293</v>
          </cell>
        </row>
        <row r="28">
          <cell r="A28" t="str">
            <v xml:space="preserve"> 4Q</v>
          </cell>
          <cell r="B28">
            <v>1</v>
          </cell>
          <cell r="C28">
            <v>0.27453050338926549</v>
          </cell>
          <cell r="D28">
            <v>0.72546949661073445</v>
          </cell>
          <cell r="E28">
            <v>0.31470163351483499</v>
          </cell>
          <cell r="F28">
            <v>0.1580731192354706</v>
          </cell>
          <cell r="G28">
            <v>0.25269474386042884</v>
          </cell>
          <cell r="H28">
            <v>-2.8003111456828537E-2</v>
          </cell>
          <cell r="I28">
            <v>0</v>
          </cell>
          <cell r="J28">
            <v>-1.4390487831981331E-2</v>
          </cell>
          <cell r="K28" t="e">
            <v>#NULL!</v>
          </cell>
          <cell r="L28">
            <v>-8.1120124458273143E-3</v>
          </cell>
          <cell r="M28">
            <v>-5.0505611734637176E-2</v>
          </cell>
          <cell r="N28">
            <v>0.20218913212579168</v>
          </cell>
          <cell r="O28">
            <v>0.17301922435826195</v>
          </cell>
        </row>
        <row r="30">
          <cell r="A30" t="str">
            <v>Year</v>
          </cell>
          <cell r="B30">
            <v>1</v>
          </cell>
          <cell r="C30">
            <v>0.27883321752243528</v>
          </cell>
          <cell r="D30">
            <v>0.72116678247756472</v>
          </cell>
          <cell r="E30">
            <v>0.27408743476396752</v>
          </cell>
          <cell r="F30">
            <v>0.15415662561539939</v>
          </cell>
          <cell r="G30">
            <v>0.2929227220981977</v>
          </cell>
          <cell r="H30">
            <v>-3.0603645825633137E-2</v>
          </cell>
          <cell r="I30">
            <v>1.1088277473055484E-2</v>
          </cell>
          <cell r="J30">
            <v>-1.4917429293750646E-2</v>
          </cell>
          <cell r="K30" t="e">
            <v>#NULL!</v>
          </cell>
          <cell r="L30">
            <v>2.4246366741081326E-3</v>
          </cell>
          <cell r="M30">
            <v>-3.2008160972220166E-2</v>
          </cell>
          <cell r="N30">
            <v>0.26091456112597761</v>
          </cell>
          <cell r="O30">
            <v>0.1930099498809858</v>
          </cell>
        </row>
        <row r="32">
          <cell r="A32">
            <v>1996</v>
          </cell>
        </row>
        <row r="33">
          <cell r="A33" t="str">
            <v xml:space="preserve"> 1Q (b)</v>
          </cell>
          <cell r="B33">
            <v>1</v>
          </cell>
          <cell r="C33">
            <v>0.29047271911624517</v>
          </cell>
          <cell r="D33">
            <v>0.70952728088375483</v>
          </cell>
          <cell r="E33">
            <v>0.25794874670554591</v>
          </cell>
          <cell r="F33">
            <v>0.15476924802332753</v>
          </cell>
          <cell r="G33">
            <v>0.29680928615488139</v>
          </cell>
          <cell r="H33">
            <v>-2.8879044468120903E-2</v>
          </cell>
          <cell r="I33">
            <v>1.8505018785397859E-2</v>
          </cell>
          <cell r="J33">
            <v>-1.4018953625301409E-2</v>
          </cell>
          <cell r="K33" t="e">
            <v>#NULL!</v>
          </cell>
          <cell r="L33">
            <v>6.1683395951326195E-3</v>
          </cell>
          <cell r="M33">
            <v>-1.8224639712891833E-2</v>
          </cell>
          <cell r="N33">
            <v>0.27858464644198955</v>
          </cell>
          <cell r="O33">
            <v>0.20698839230639823</v>
          </cell>
        </row>
        <row r="34">
          <cell r="A34" t="str">
            <v xml:space="preserve"> 2Q (c)</v>
          </cell>
          <cell r="B34">
            <v>1</v>
          </cell>
          <cell r="C34">
            <v>0.29741506212094448</v>
          </cell>
          <cell r="D34">
            <v>0.70258493787905552</v>
          </cell>
          <cell r="E34">
            <v>0.28204675263498796</v>
          </cell>
          <cell r="F34">
            <v>0.16098451392569038</v>
          </cell>
          <cell r="G34">
            <v>0.25955367131837709</v>
          </cell>
          <cell r="H34">
            <v>-2.9617853147264912E-2</v>
          </cell>
          <cell r="I34">
            <v>2.2375316492963551E-2</v>
          </cell>
          <cell r="J34">
            <v>-1.4720602955897074E-2</v>
          </cell>
          <cell r="K34" t="e">
            <v>#NULL!</v>
          </cell>
          <cell r="L34">
            <v>2.6497085320614733E-2</v>
          </cell>
          <cell r="M34">
            <v>4.5339457104163006E-3</v>
          </cell>
          <cell r="N34">
            <v>0.26408761702879341</v>
          </cell>
          <cell r="O34">
            <v>0.19621709945239352</v>
          </cell>
        </row>
        <row r="35">
          <cell r="A35" t="str">
            <v xml:space="preserve"> 3Q (d)</v>
          </cell>
          <cell r="B35">
            <v>1</v>
          </cell>
          <cell r="C35">
            <v>0.27878485503631018</v>
          </cell>
          <cell r="D35">
            <v>0.72121514496368988</v>
          </cell>
          <cell r="E35">
            <v>0.25394977548644604</v>
          </cell>
          <cell r="F35">
            <v>0.16115083984699816</v>
          </cell>
          <cell r="G35">
            <v>0.3061145296302456</v>
          </cell>
          <cell r="H35">
            <v>-2.9159044292920887E-2</v>
          </cell>
          <cell r="I35">
            <v>0</v>
          </cell>
          <cell r="J35">
            <v>-1.3858861355950994E-2</v>
          </cell>
          <cell r="K35" t="e">
            <v>#NULL!</v>
          </cell>
          <cell r="L35">
            <v>5.5435445423803976E-3</v>
          </cell>
          <cell r="M35">
            <v>-3.7474361106491487E-2</v>
          </cell>
          <cell r="N35">
            <v>0.26864016852375411</v>
          </cell>
          <cell r="O35">
            <v>0.1995996452131493</v>
          </cell>
        </row>
        <row r="36">
          <cell r="A36" t="str">
            <v xml:space="preserve"> 4Q</v>
          </cell>
          <cell r="B36">
            <v>1</v>
          </cell>
          <cell r="C36">
            <v>0.28741933918781232</v>
          </cell>
          <cell r="D36">
            <v>0.71258066081218763</v>
          </cell>
          <cell r="E36">
            <v>0.28130609868516809</v>
          </cell>
          <cell r="F36">
            <v>0.16952112949395953</v>
          </cell>
          <cell r="G36">
            <v>0.26175343263305995</v>
          </cell>
          <cell r="H36">
            <v>-2.542331764591723E-2</v>
          </cell>
          <cell r="I36">
            <v>0</v>
          </cell>
          <cell r="J36">
            <v>-1.2129445441754403E-2</v>
          </cell>
          <cell r="K36" t="e">
            <v>#NULL!</v>
          </cell>
          <cell r="L36">
            <v>1.0188734171073698E-2</v>
          </cell>
          <cell r="M36">
            <v>-2.7364028916597938E-2</v>
          </cell>
          <cell r="N36">
            <v>0.23438940371646205</v>
          </cell>
          <cell r="O36">
            <v>0.18111687933627671</v>
          </cell>
        </row>
        <row r="38">
          <cell r="A38" t="str">
            <v>Year</v>
          </cell>
          <cell r="B38">
            <v>1</v>
          </cell>
          <cell r="C38">
            <v>0.28835107396618842</v>
          </cell>
          <cell r="D38">
            <v>0.71164892603381158</v>
          </cell>
          <cell r="E38">
            <v>0.26909046361582228</v>
          </cell>
          <cell r="F38">
            <v>0.1619116325919473</v>
          </cell>
          <cell r="G38">
            <v>0.28064682982604189</v>
          </cell>
          <cell r="H38">
            <v>-2.8149075762937958E-2</v>
          </cell>
          <cell r="I38">
            <v>9.6643345220918508E-3</v>
          </cell>
          <cell r="J38">
            <v>-1.361173876350965E-2</v>
          </cell>
          <cell r="K38" t="e">
            <v>#NULL!</v>
          </cell>
          <cell r="L38">
            <v>1.1842212724253396E-2</v>
          </cell>
          <cell r="M38">
            <v>-2.0254267280102361E-2</v>
          </cell>
          <cell r="N38">
            <v>0.26039256254593957</v>
          </cell>
          <cell r="O38">
            <v>0.1954258704706939</v>
          </cell>
        </row>
        <row r="40">
          <cell r="A40">
            <v>1997</v>
          </cell>
        </row>
        <row r="41">
          <cell r="A41" t="str">
            <v xml:space="preserve"> 1Q (a)</v>
          </cell>
          <cell r="B41">
            <v>1</v>
          </cell>
          <cell r="C41">
            <v>0.27716333845366103</v>
          </cell>
          <cell r="D41">
            <v>0.72283666154633897</v>
          </cell>
          <cell r="E41">
            <v>0.2415258576548899</v>
          </cell>
          <cell r="F41">
            <v>0.15422427035330261</v>
          </cell>
          <cell r="G41">
            <v>0.32708653353814643</v>
          </cell>
          <cell r="H41">
            <v>-2.3502304147465441E-2</v>
          </cell>
          <cell r="I41">
            <v>1.0752688172043012E-2</v>
          </cell>
          <cell r="J41">
            <v>-1.2800819252432157E-2</v>
          </cell>
          <cell r="K41" t="e">
            <v>#NULL!</v>
          </cell>
          <cell r="L41">
            <v>6.0419866871479775E-3</v>
          </cell>
          <cell r="M41">
            <v>-1.9508448540706609E-2</v>
          </cell>
          <cell r="N41">
            <v>0.30757808499743983</v>
          </cell>
          <cell r="O41">
            <v>0.23067076292882741</v>
          </cell>
        </row>
        <row r="42">
          <cell r="A42" t="str">
            <v xml:space="preserve"> 2Q (b)</v>
          </cell>
          <cell r="B42">
            <v>1</v>
          </cell>
          <cell r="C42">
            <v>0.27595916930658215</v>
          </cell>
          <cell r="D42">
            <v>0.72404083069341785</v>
          </cell>
          <cell r="E42">
            <v>0.27771911298838436</v>
          </cell>
          <cell r="F42">
            <v>0.16427817166993514</v>
          </cell>
          <cell r="G42">
            <v>0.28204354603509835</v>
          </cell>
          <cell r="H42">
            <v>-2.2678131442650979E-2</v>
          </cell>
          <cell r="I42">
            <v>1.9107959973852263E-2</v>
          </cell>
          <cell r="J42">
            <v>-1.2571026298587017E-2</v>
          </cell>
          <cell r="K42" t="e">
            <v>#NULL!</v>
          </cell>
          <cell r="L42">
            <v>1.4079549454417459E-2</v>
          </cell>
          <cell r="M42">
            <v>-2.0616483129682712E-3</v>
          </cell>
          <cell r="N42">
            <v>0.27998189772213006</v>
          </cell>
          <cell r="O42">
            <v>0.21003670739679189</v>
          </cell>
        </row>
        <row r="43">
          <cell r="A43" t="str">
            <v xml:space="preserve"> 3Q</v>
          </cell>
          <cell r="B43">
            <v>1</v>
          </cell>
          <cell r="C43">
            <v>0.27211703161890655</v>
          </cell>
          <cell r="D43">
            <v>0.72788296838109345</v>
          </cell>
          <cell r="E43">
            <v>0.27183926670061576</v>
          </cell>
          <cell r="F43">
            <v>0.15990000462941531</v>
          </cell>
          <cell r="G43">
            <v>0.29614369705106242</v>
          </cell>
          <cell r="H43">
            <v>-1.4999305587704273E-2</v>
          </cell>
          <cell r="I43">
            <v>0</v>
          </cell>
          <cell r="J43">
            <v>-3.4720614786352484E-3</v>
          </cell>
          <cell r="K43" t="e">
            <v>#NULL!</v>
          </cell>
          <cell r="L43">
            <v>-5.0923568353316987E-4</v>
          </cell>
          <cell r="M43">
            <v>-1.8980602749872691E-2</v>
          </cell>
          <cell r="N43">
            <v>0.27716309430118974</v>
          </cell>
          <cell r="O43">
            <v>0.20786074718763017</v>
          </cell>
        </row>
        <row r="44">
          <cell r="A44" t="str">
            <v xml:space="preserve"> 4Q</v>
          </cell>
          <cell r="B44">
            <v>1</v>
          </cell>
          <cell r="C44">
            <v>0.28354996274526034</v>
          </cell>
          <cell r="D44">
            <v>0.71645003725473966</v>
          </cell>
          <cell r="E44">
            <v>0.28263929133206389</v>
          </cell>
          <cell r="F44">
            <v>0.16917791207881444</v>
          </cell>
          <cell r="G44">
            <v>0.26463283384386133</v>
          </cell>
          <cell r="H44">
            <v>-8.7341667356569258E-3</v>
          </cell>
          <cell r="I44">
            <v>0</v>
          </cell>
          <cell r="J44">
            <v>-3.1045616358970113E-3</v>
          </cell>
          <cell r="K44" t="e">
            <v>#NULL!</v>
          </cell>
          <cell r="L44">
            <v>-2.8975908601705438E-4</v>
          </cell>
          <cell r="M44">
            <v>-1.212848745757099E-2</v>
          </cell>
          <cell r="N44">
            <v>0.25250434638629032</v>
          </cell>
          <cell r="O44">
            <v>0.18937825978971778</v>
          </cell>
        </row>
        <row r="46">
          <cell r="A46" t="str">
            <v>Year</v>
          </cell>
          <cell r="B46">
            <v>1</v>
          </cell>
          <cell r="C46">
            <v>0.27741382549074856</v>
          </cell>
          <cell r="D46">
            <v>0.72258617450925144</v>
          </cell>
          <cell r="E46">
            <v>0.26932469240161555</v>
          </cell>
          <cell r="F46">
            <v>0.16225227763689304</v>
          </cell>
          <cell r="G46">
            <v>0.29100920447074302</v>
          </cell>
          <cell r="H46">
            <v>-1.6964872734103506E-2</v>
          </cell>
          <cell r="I46">
            <v>6.926833849910774E-3</v>
          </cell>
          <cell r="J46">
            <v>-7.6312576312576328E-3</v>
          </cell>
          <cell r="K46" t="e">
            <v>#NULL!</v>
          </cell>
          <cell r="L46">
            <v>4.4613506151967687E-3</v>
          </cell>
          <cell r="M46">
            <v>-1.3207945900253596E-2</v>
          </cell>
          <cell r="N46">
            <v>0.27780125857048943</v>
          </cell>
          <cell r="O46">
            <v>0.20835681412604495</v>
          </cell>
        </row>
        <row r="48">
          <cell r="A48" t="str">
            <v>1998R</v>
          </cell>
        </row>
        <row r="49">
          <cell r="A49" t="str">
            <v xml:space="preserve"> 1Q (a)</v>
          </cell>
          <cell r="B49">
            <v>1</v>
          </cell>
          <cell r="C49">
            <v>0.21911835170100624</v>
          </cell>
          <cell r="D49">
            <v>0.78088164829899376</v>
          </cell>
          <cell r="E49">
            <v>0.26042165788212746</v>
          </cell>
          <cell r="F49">
            <v>0.17388596070915188</v>
          </cell>
          <cell r="G49">
            <v>0.34657402970771445</v>
          </cell>
          <cell r="H49">
            <v>-1.1451844753234307E-2</v>
          </cell>
          <cell r="I49">
            <v>0</v>
          </cell>
          <cell r="J49">
            <v>0</v>
          </cell>
          <cell r="K49" t="e">
            <v>#NULL!</v>
          </cell>
          <cell r="L49">
            <v>1.8687110685194058E-3</v>
          </cell>
          <cell r="M49">
            <v>-9.5831336847149017E-3</v>
          </cell>
          <cell r="N49">
            <v>0.33699089602299953</v>
          </cell>
          <cell r="O49">
            <v>0.25471969333972216</v>
          </cell>
        </row>
        <row r="50">
          <cell r="A50" t="str">
            <v xml:space="preserve"> 2Q </v>
          </cell>
          <cell r="B50">
            <v>1</v>
          </cell>
          <cell r="C50">
            <v>0.22208816705336429</v>
          </cell>
          <cell r="D50">
            <v>0.77791183294663568</v>
          </cell>
          <cell r="E50">
            <v>0.29577726218097444</v>
          </cell>
          <cell r="F50">
            <v>0.19336426914153132</v>
          </cell>
          <cell r="G50">
            <v>0.28877030162412992</v>
          </cell>
          <cell r="H50">
            <v>-8.8167053364269134E-3</v>
          </cell>
          <cell r="I50">
            <v>0</v>
          </cell>
          <cell r="J50">
            <v>0</v>
          </cell>
          <cell r="K50" t="e">
            <v>#NULL!</v>
          </cell>
          <cell r="L50">
            <v>2.0417633410672854E-2</v>
          </cell>
          <cell r="M50">
            <v>1.1600928074245939E-2</v>
          </cell>
          <cell r="N50">
            <v>0.30037122969837587</v>
          </cell>
          <cell r="O50">
            <v>0.22779582366589327</v>
          </cell>
        </row>
        <row r="51">
          <cell r="A51" t="str">
            <v xml:space="preserve"> 3Q (b)</v>
          </cell>
          <cell r="B51">
            <v>1</v>
          </cell>
          <cell r="C51">
            <v>0.21009578706450791</v>
          </cell>
          <cell r="D51">
            <v>0.78990421293549207</v>
          </cell>
          <cell r="E51">
            <v>0.28295329321013818</v>
          </cell>
          <cell r="F51">
            <v>0.18644570653555986</v>
          </cell>
          <cell r="G51">
            <v>0.32050521318979397</v>
          </cell>
          <cell r="H51">
            <v>-9.875392048825973E-3</v>
          </cell>
          <cell r="I51">
            <v>0</v>
          </cell>
          <cell r="J51">
            <v>0</v>
          </cell>
          <cell r="K51" t="e">
            <v>#NULL!</v>
          </cell>
          <cell r="L51">
            <v>-2.6701703823005848E-3</v>
          </cell>
          <cell r="M51">
            <v>-1.2545562431126558E-2</v>
          </cell>
          <cell r="N51">
            <v>0.30795965075866738</v>
          </cell>
          <cell r="O51">
            <v>0.24963973891667368</v>
          </cell>
        </row>
        <row r="52">
          <cell r="A52" t="str">
            <v xml:space="preserve"> 4Q</v>
          </cell>
          <cell r="B52">
            <v>1</v>
          </cell>
          <cell r="C52">
            <v>0.22140851483645746</v>
          </cell>
          <cell r="D52">
            <v>0.77859148516354248</v>
          </cell>
          <cell r="E52">
            <v>0.30727783258708352</v>
          </cell>
          <cell r="F52">
            <v>0.1970858313728466</v>
          </cell>
          <cell r="G52">
            <v>0.27422782120361239</v>
          </cell>
          <cell r="H52">
            <v>-6.6783031038931458E-3</v>
          </cell>
          <cell r="I52">
            <v>0</v>
          </cell>
          <cell r="J52">
            <v>0</v>
          </cell>
          <cell r="K52" t="e">
            <v>#NULL!</v>
          </cell>
          <cell r="L52">
            <v>3.8703802079380735E-3</v>
          </cell>
          <cell r="M52">
            <v>-2.8079228959550727E-3</v>
          </cell>
          <cell r="N52">
            <v>0.27141989830765734</v>
          </cell>
          <cell r="O52">
            <v>0.21309858086059047</v>
          </cell>
        </row>
        <row r="54">
          <cell r="A54" t="str">
            <v>Year</v>
          </cell>
          <cell r="B54">
            <v>1</v>
          </cell>
          <cell r="C54">
            <v>0.21815996882037073</v>
          </cell>
          <cell r="D54">
            <v>0.78184003117962941</v>
          </cell>
          <cell r="E54">
            <v>0.28779447427680588</v>
          </cell>
          <cell r="F54">
            <v>0.18825783821236794</v>
          </cell>
          <cell r="G54">
            <v>0.30578771869045557</v>
          </cell>
          <cell r="H54">
            <v>-9.0724060280616674E-3</v>
          </cell>
          <cell r="I54">
            <v>0</v>
          </cell>
          <cell r="J54">
            <v>0</v>
          </cell>
          <cell r="K54" t="e">
            <v>#NULL!</v>
          </cell>
          <cell r="L54">
            <v>5.6080027715226053E-3</v>
          </cell>
          <cell r="M54">
            <v>-3.4644032565390613E-3</v>
          </cell>
          <cell r="N54">
            <v>0.30232331543391655</v>
          </cell>
          <cell r="O54">
            <v>0.23526545989953238</v>
          </cell>
        </row>
        <row r="56">
          <cell r="A56">
            <v>1999</v>
          </cell>
        </row>
        <row r="57">
          <cell r="A57" t="str">
            <v xml:space="preserve"> 1Q</v>
          </cell>
          <cell r="B57">
            <v>1</v>
          </cell>
          <cell r="C57">
            <v>0.21878879233906723</v>
          </cell>
          <cell r="D57">
            <v>0.78121120766093277</v>
          </cell>
          <cell r="E57">
            <v>0.26285688951941832</v>
          </cell>
          <cell r="F57">
            <v>0.18314417449902468</v>
          </cell>
          <cell r="G57">
            <v>0.33521014364248974</v>
          </cell>
          <cell r="H57">
            <v>-3.6353963468700105E-3</v>
          </cell>
          <cell r="I57">
            <v>0</v>
          </cell>
          <cell r="J57">
            <v>0</v>
          </cell>
          <cell r="K57" t="e">
            <v>#NULL!</v>
          </cell>
          <cell r="L57">
            <v>3.10338712537684E-3</v>
          </cell>
          <cell r="M57">
            <v>-5.3200922149317066E-4</v>
          </cell>
          <cell r="N57">
            <v>0.33467813442099653</v>
          </cell>
          <cell r="O57">
            <v>0.26103919134598325</v>
          </cell>
        </row>
        <row r="58">
          <cell r="A58" t="str">
            <v xml:space="preserve"> 2Q</v>
          </cell>
          <cell r="B58">
            <v>1</v>
          </cell>
          <cell r="C58">
            <v>0.21079967377773964</v>
          </cell>
          <cell r="D58">
            <v>0.78920032622226033</v>
          </cell>
          <cell r="E58">
            <v>0.27883418465896898</v>
          </cell>
          <cell r="F58">
            <v>0.19766493539940766</v>
          </cell>
          <cell r="G58">
            <v>0.3127012061638838</v>
          </cell>
          <cell r="H58">
            <v>-4.5499420526248025E-3</v>
          </cell>
          <cell r="I58">
            <v>0</v>
          </cell>
          <cell r="J58">
            <v>0</v>
          </cell>
          <cell r="K58" t="e">
            <v>#NULL!</v>
          </cell>
          <cell r="L58">
            <v>3.9490063098252997E-3</v>
          </cell>
          <cell r="M58">
            <v>-6.0093574279950304E-4</v>
          </cell>
          <cell r="N58">
            <v>0.31210027042108429</v>
          </cell>
          <cell r="O58">
            <v>0.24230587629308498</v>
          </cell>
        </row>
        <row r="59">
          <cell r="A59" t="str">
            <v xml:space="preserve"> 3Q</v>
          </cell>
          <cell r="B59">
            <v>1</v>
          </cell>
          <cell r="C59">
            <v>0.21387328339575537</v>
          </cell>
          <cell r="D59">
            <v>0.7861267166042446</v>
          </cell>
          <cell r="E59">
            <v>0.27169163545568048</v>
          </cell>
          <cell r="F59">
            <v>0.17279182272159804</v>
          </cell>
          <cell r="G59">
            <v>0.34164325842696619</v>
          </cell>
          <cell r="H59">
            <v>-3.4722222222222225E-3</v>
          </cell>
          <cell r="I59">
            <v>0</v>
          </cell>
          <cell r="J59">
            <v>0</v>
          </cell>
          <cell r="K59" t="e">
            <v>#NULL!</v>
          </cell>
          <cell r="L59">
            <v>-6.7883895131086152E-3</v>
          </cell>
          <cell r="M59">
            <v>-1.0260611735330837E-2</v>
          </cell>
          <cell r="N59">
            <v>0.33138264669163536</v>
          </cell>
          <cell r="O59">
            <v>0.25659332084893871</v>
          </cell>
        </row>
        <row r="60">
          <cell r="A60" t="str">
            <v xml:space="preserve"> 4Q</v>
          </cell>
          <cell r="B60">
            <v>1</v>
          </cell>
          <cell r="C60">
            <v>0.20362324177038074</v>
          </cell>
          <cell r="D60">
            <v>0.79637675822961929</v>
          </cell>
          <cell r="E60">
            <v>0.30145813388320203</v>
          </cell>
          <cell r="F60">
            <v>0.17199351940496357</v>
          </cell>
          <cell r="G60">
            <v>0.3229251049414536</v>
          </cell>
          <cell r="H60">
            <v>8.4689594226378877E-4</v>
          </cell>
          <cell r="I60">
            <v>0</v>
          </cell>
          <cell r="J60">
            <v>0</v>
          </cell>
          <cell r="K60" t="e">
            <v>#NULL!</v>
          </cell>
          <cell r="L60">
            <v>-1.1819721628985936E-2</v>
          </cell>
          <cell r="M60">
            <v>-1.0972825686722146E-2</v>
          </cell>
          <cell r="N60">
            <v>0.31195227925473151</v>
          </cell>
          <cell r="O60">
            <v>0.24217541792473665</v>
          </cell>
        </row>
        <row r="62">
          <cell r="A62" t="str">
            <v>Year</v>
          </cell>
          <cell r="B62">
            <v>1</v>
          </cell>
          <cell r="C62">
            <v>0.21144936792271127</v>
          </cell>
          <cell r="D62">
            <v>0.78855063207728882</v>
          </cell>
          <cell r="E62">
            <v>0.27955354155895512</v>
          </cell>
          <cell r="F62">
            <v>0.18081364110986084</v>
          </cell>
          <cell r="G62">
            <v>0.32818344940847294</v>
          </cell>
          <cell r="H62">
            <v>-2.5749419624301779E-3</v>
          </cell>
          <cell r="I62">
            <v>0</v>
          </cell>
          <cell r="J62">
            <v>0</v>
          </cell>
          <cell r="K62" t="e">
            <v>#NULL!</v>
          </cell>
          <cell r="L62">
            <v>-3.3758097381466506E-3</v>
          </cell>
          <cell r="M62">
            <v>-5.950751700576829E-3</v>
          </cell>
          <cell r="N62">
            <v>0.32223269770789614</v>
          </cell>
          <cell r="O62">
            <v>0.25027624869478826</v>
          </cell>
        </row>
        <row r="65">
          <cell r="A65">
            <v>2000</v>
          </cell>
        </row>
        <row r="66">
          <cell r="A66" t="str">
            <v xml:space="preserve"> 1QA</v>
          </cell>
          <cell r="B66">
            <v>1</v>
          </cell>
          <cell r="C66">
            <v>0.20493270543431649</v>
          </cell>
          <cell r="D66">
            <v>0.79506729456568348</v>
          </cell>
          <cell r="E66">
            <v>0.27079128652416978</v>
          </cell>
          <cell r="F66">
            <v>0.18038327018935327</v>
          </cell>
          <cell r="G66">
            <v>0.34389273785216046</v>
          </cell>
          <cell r="H66">
            <v>5.0751236323722092E-3</v>
          </cell>
          <cell r="I66">
            <v>0</v>
          </cell>
          <cell r="J66">
            <v>0</v>
          </cell>
          <cell r="L66">
            <v>2.3605226197080033E-4</v>
          </cell>
          <cell r="M66">
            <v>5.3111758943430098E-3</v>
          </cell>
          <cell r="N66">
            <v>0.34920391374650345</v>
          </cell>
          <cell r="O66">
            <v>0.27236890247500795</v>
          </cell>
        </row>
        <row r="67">
          <cell r="A67" t="str">
            <v xml:space="preserve"> 2QA</v>
          </cell>
          <cell r="B67">
            <v>1</v>
          </cell>
          <cell r="C67">
            <v>0.18757152666514079</v>
          </cell>
          <cell r="D67">
            <v>0.81242847333485924</v>
          </cell>
          <cell r="E67">
            <v>0.30342565041580838</v>
          </cell>
          <cell r="F67">
            <v>0.19409475852597852</v>
          </cell>
          <cell r="G67">
            <v>0.31490806439307234</v>
          </cell>
          <cell r="H67">
            <v>5.1880674448767849E-3</v>
          </cell>
          <cell r="I67">
            <v>0</v>
          </cell>
          <cell r="J67">
            <v>0</v>
          </cell>
          <cell r="L67">
            <v>5.6839856565194177E-3</v>
          </cell>
          <cell r="M67">
            <v>1.0872053101396202E-2</v>
          </cell>
          <cell r="N67">
            <v>0.32578011749446856</v>
          </cell>
          <cell r="O67">
            <v>0.25410086213473709</v>
          </cell>
        </row>
        <row r="68">
          <cell r="A68" t="str">
            <v xml:space="preserve"> 3QA</v>
          </cell>
          <cell r="B68">
            <v>1</v>
          </cell>
          <cell r="C68">
            <v>0.17430177929361726</v>
          </cell>
          <cell r="D68">
            <v>0.82569822070638277</v>
          </cell>
          <cell r="E68">
            <v>0.28462296259677999</v>
          </cell>
          <cell r="F68">
            <v>0.17999210467353541</v>
          </cell>
          <cell r="G68">
            <v>0.36108315343606734</v>
          </cell>
          <cell r="H68">
            <v>8.606617137126172E-3</v>
          </cell>
          <cell r="I68">
            <v>0</v>
          </cell>
          <cell r="J68">
            <v>0</v>
          </cell>
          <cell r="L68">
            <v>-1.4652587853289189E-2</v>
          </cell>
          <cell r="M68">
            <v>-6.0459707161630172E-3</v>
          </cell>
          <cell r="N68">
            <v>0.35503718271990431</v>
          </cell>
          <cell r="O68">
            <v>0.27693746688052795</v>
          </cell>
        </row>
        <row r="69">
          <cell r="A69" t="str">
            <v xml:space="preserve"> 4QA</v>
          </cell>
          <cell r="B69">
            <v>1</v>
          </cell>
          <cell r="C69">
            <v>0.18977906117789273</v>
          </cell>
          <cell r="D69">
            <v>0.81022093882210733</v>
          </cell>
          <cell r="E69">
            <v>0.31707071385400576</v>
          </cell>
          <cell r="F69">
            <v>0.18303001813175745</v>
          </cell>
          <cell r="G69">
            <v>0.31012020683634411</v>
          </cell>
          <cell r="H69">
            <v>-1.541199382177154E-2</v>
          </cell>
          <cell r="I69">
            <v>0</v>
          </cell>
          <cell r="J69">
            <v>0</v>
          </cell>
          <cell r="L69">
            <v>3.57598549459405E-2</v>
          </cell>
          <cell r="M69">
            <v>2.0347861124168962E-2</v>
          </cell>
          <cell r="N69">
            <v>0.33046806796051309</v>
          </cell>
          <cell r="O69">
            <v>0.25780672889664902</v>
          </cell>
        </row>
        <row r="71">
          <cell r="A71" t="str">
            <v>YearA</v>
          </cell>
          <cell r="B71">
            <v>1</v>
          </cell>
          <cell r="C71">
            <v>0.18879414235109376</v>
          </cell>
          <cell r="D71">
            <v>0.8112058576489064</v>
          </cell>
          <cell r="E71">
            <v>0.29473578497608016</v>
          </cell>
          <cell r="F71">
            <v>0.18428404484534205</v>
          </cell>
          <cell r="G71">
            <v>0.33218602782748419</v>
          </cell>
          <cell r="H71">
            <v>4.3822809772486632E-4</v>
          </cell>
          <cell r="I71">
            <v>0</v>
          </cell>
          <cell r="J71">
            <v>0</v>
          </cell>
          <cell r="K71">
            <v>-3.3758097381466506E-3</v>
          </cell>
          <cell r="L71">
            <v>7.3768396450352427E-3</v>
          </cell>
          <cell r="M71">
            <v>7.8150677427601088E-3</v>
          </cell>
          <cell r="N71">
            <v>0.34000109557024433</v>
          </cell>
          <cell r="O71">
            <v>0.26521016689186727</v>
          </cell>
        </row>
        <row r="73">
          <cell r="A73">
            <v>2001</v>
          </cell>
        </row>
        <row r="74">
          <cell r="A74" t="str">
            <v xml:space="preserve"> 1QA</v>
          </cell>
          <cell r="B74">
            <v>1</v>
          </cell>
          <cell r="C74">
            <v>0.18615675232562282</v>
          </cell>
          <cell r="D74">
            <v>0.81384324767437721</v>
          </cell>
          <cell r="E74">
            <v>0.2740492568699433</v>
          </cell>
          <cell r="F74">
            <v>0.1837331147307267</v>
          </cell>
          <cell r="G74">
            <v>0.35606087607370723</v>
          </cell>
          <cell r="H74">
            <v>1.0906369177032469E-2</v>
          </cell>
          <cell r="I74">
            <v>0</v>
          </cell>
          <cell r="J74">
            <v>0</v>
          </cell>
          <cell r="K74">
            <v>1.7108030081619558E-3</v>
          </cell>
          <cell r="L74">
            <v>1.7108030081619558E-3</v>
          </cell>
          <cell r="M74">
            <v>1.2617172185194423E-2</v>
          </cell>
          <cell r="N74">
            <v>0.36867804825890166</v>
          </cell>
          <cell r="O74">
            <v>0.2875574722885556</v>
          </cell>
        </row>
        <row r="75">
          <cell r="A75" t="str">
            <v xml:space="preserve"> 2QA</v>
          </cell>
          <cell r="B75">
            <v>1</v>
          </cell>
          <cell r="C75">
            <v>0.17214438767100715</v>
          </cell>
          <cell r="D75">
            <v>0.82785561232899285</v>
          </cell>
          <cell r="E75">
            <v>0.29665402999835183</v>
          </cell>
          <cell r="F75">
            <v>0.18582495467282026</v>
          </cell>
          <cell r="G75">
            <v>0.34537662765782084</v>
          </cell>
          <cell r="H75">
            <v>9.625844733805837E-3</v>
          </cell>
          <cell r="I75">
            <v>0</v>
          </cell>
          <cell r="J75">
            <v>0</v>
          </cell>
          <cell r="K75">
            <v>-5.2085050271963099E-3</v>
          </cell>
          <cell r="L75">
            <v>-5.2085050271963099E-3</v>
          </cell>
          <cell r="M75">
            <v>4.417339706609528E-3</v>
          </cell>
          <cell r="N75">
            <v>0.34979396736443036</v>
          </cell>
          <cell r="O75">
            <v>0.27285313993736593</v>
          </cell>
        </row>
        <row r="76">
          <cell r="A76" t="str">
            <v xml:space="preserve"> 3QA</v>
          </cell>
          <cell r="B76">
            <v>1</v>
          </cell>
          <cell r="C76">
            <v>0.19099638185360424</v>
          </cell>
          <cell r="D76">
            <v>0.80900361814639576</v>
          </cell>
          <cell r="E76">
            <v>0.30124547731700529</v>
          </cell>
          <cell r="F76">
            <v>0.19691065961591983</v>
          </cell>
          <cell r="G76">
            <v>0.31084748121347061</v>
          </cell>
          <cell r="H76">
            <v>1.1515446701920401E-2</v>
          </cell>
          <cell r="I76">
            <v>0</v>
          </cell>
          <cell r="J76">
            <v>0</v>
          </cell>
          <cell r="K76">
            <v>2.0873921514055107E-4</v>
          </cell>
          <cell r="L76">
            <v>2.0873921514055107E-4</v>
          </cell>
          <cell r="M76">
            <v>1.1724185917060953E-2</v>
          </cell>
          <cell r="N76">
            <v>0.32257166713053159</v>
          </cell>
          <cell r="O76">
            <v>0.25160033398274423</v>
          </cell>
        </row>
        <row r="77">
          <cell r="A77" t="str">
            <v>4QA</v>
          </cell>
          <cell r="B77">
            <v>1</v>
          </cell>
          <cell r="C77">
            <v>0.20033229638009048</v>
          </cell>
          <cell r="D77">
            <v>0.79966770361990958</v>
          </cell>
          <cell r="E77">
            <v>0.31204044117647051</v>
          </cell>
          <cell r="F77">
            <v>0.2085336538461538</v>
          </cell>
          <cell r="G77">
            <v>0.2790936085972851</v>
          </cell>
          <cell r="H77">
            <v>1.5024038461538458E-2</v>
          </cell>
          <cell r="I77">
            <v>0</v>
          </cell>
          <cell r="J77">
            <v>0</v>
          </cell>
          <cell r="K77">
            <v>3.2522624434389129E-3</v>
          </cell>
          <cell r="L77">
            <v>3.2522624434389129E-3</v>
          </cell>
          <cell r="M77">
            <v>1.8276300904977373E-2</v>
          </cell>
          <cell r="N77">
            <v>0.2973699095022625</v>
          </cell>
          <cell r="O77">
            <v>0.23193580316742088</v>
          </cell>
        </row>
        <row r="79">
          <cell r="A79" t="str">
            <v>Year A</v>
          </cell>
          <cell r="B79">
            <v>1</v>
          </cell>
          <cell r="C79">
            <v>0.18715345162184641</v>
          </cell>
          <cell r="D79">
            <v>0.81284654837815362</v>
          </cell>
          <cell r="E79">
            <v>0.29607360687551981</v>
          </cell>
          <cell r="F79">
            <v>0.19364257000277238</v>
          </cell>
          <cell r="G79">
            <v>0.3231303714998614</v>
          </cell>
          <cell r="H79">
            <v>1.173066260049903E-2</v>
          </cell>
          <cell r="I79">
            <v>0</v>
          </cell>
          <cell r="J79">
            <v>0</v>
          </cell>
          <cell r="K79">
            <v>-1.0396451344607717E-4</v>
          </cell>
          <cell r="L79">
            <v>-1.0396451344607717E-4</v>
          </cell>
          <cell r="M79">
            <v>1.1626698087052951E-2</v>
          </cell>
          <cell r="N79">
            <v>0.33475706958691437</v>
          </cell>
          <cell r="O79">
            <v>0.26111553922927638</v>
          </cell>
        </row>
        <row r="81">
          <cell r="A81">
            <v>2002</v>
          </cell>
        </row>
        <row r="82">
          <cell r="A82" t="str">
            <v xml:space="preserve"> 1QA</v>
          </cell>
          <cell r="B82">
            <v>1</v>
          </cell>
          <cell r="C82">
            <v>0.20698137519034793</v>
          </cell>
          <cell r="D82">
            <v>0.79301862480965202</v>
          </cell>
          <cell r="E82">
            <v>0.30350240131193629</v>
          </cell>
          <cell r="F82">
            <v>0.1963218929366288</v>
          </cell>
          <cell r="G82">
            <v>0.29319433056108707</v>
          </cell>
          <cell r="H82">
            <v>1.534496895865058E-2</v>
          </cell>
          <cell r="I82">
            <v>0</v>
          </cell>
          <cell r="J82">
            <v>0</v>
          </cell>
          <cell r="K82">
            <v>6.4425442192807781E-3</v>
          </cell>
          <cell r="L82">
            <v>6.4425442192807781E-3</v>
          </cell>
          <cell r="M82">
            <v>2.1787513177931359E-2</v>
          </cell>
          <cell r="N82">
            <v>0.31498184373901844</v>
          </cell>
          <cell r="O82">
            <v>0.24567568622857369</v>
          </cell>
        </row>
        <row r="83">
          <cell r="A83" t="str">
            <v xml:space="preserve"> 2QA</v>
          </cell>
          <cell r="B83">
            <v>1</v>
          </cell>
          <cell r="C83">
            <v>0.18914088455523606</v>
          </cell>
          <cell r="D83">
            <v>0.81085911544476397</v>
          </cell>
          <cell r="E83">
            <v>0.32978041064003061</v>
          </cell>
          <cell r="F83">
            <v>0.19656382649053397</v>
          </cell>
          <cell r="G83">
            <v>0.28451487831419936</v>
          </cell>
          <cell r="H83">
            <v>7.7832789224482743E-3</v>
          </cell>
          <cell r="I83">
            <v>0</v>
          </cell>
          <cell r="J83">
            <v>0</v>
          </cell>
          <cell r="K83">
            <v>1.189112057596264E-2</v>
          </cell>
          <cell r="L83">
            <v>1.189112057596264E-2</v>
          </cell>
          <cell r="M83">
            <v>1.9674399498410915E-2</v>
          </cell>
          <cell r="N83">
            <v>0.30418927781261029</v>
          </cell>
          <cell r="O83">
            <v>0.23727469929878417</v>
          </cell>
        </row>
        <row r="84">
          <cell r="A84" t="str">
            <v xml:space="preserve"> 3QA</v>
          </cell>
          <cell r="B84">
            <v>1</v>
          </cell>
          <cell r="C84">
            <v>0.19877225732337739</v>
          </cell>
          <cell r="D84">
            <v>0.80122774267662256</v>
          </cell>
          <cell r="E84">
            <v>0.29103245261344057</v>
          </cell>
          <cell r="F84">
            <v>0.18907955198161977</v>
          </cell>
          <cell r="G84">
            <v>0.32111573808156219</v>
          </cell>
          <cell r="H84">
            <v>8.2208500861573816E-3</v>
          </cell>
          <cell r="I84">
            <v>0</v>
          </cell>
          <cell r="J84">
            <v>0</v>
          </cell>
          <cell r="K84">
            <v>1.0554279149913843E-2</v>
          </cell>
          <cell r="L84">
            <v>1.0554279149913843E-2</v>
          </cell>
          <cell r="M84">
            <v>1.8775129236071223E-2</v>
          </cell>
          <cell r="N84">
            <v>0.33989086731763335</v>
          </cell>
          <cell r="O84">
            <v>0.26511344055140706</v>
          </cell>
        </row>
        <row r="85">
          <cell r="A85" t="str">
            <v xml:space="preserve"> 4QA</v>
          </cell>
          <cell r="B85">
            <v>1</v>
          </cell>
          <cell r="C85">
            <v>0.19210989308431453</v>
          </cell>
          <cell r="D85">
            <v>0.80789010691568541</v>
          </cell>
          <cell r="E85">
            <v>0.31154418730545408</v>
          </cell>
          <cell r="F85">
            <v>0.1943091081337123</v>
          </cell>
          <cell r="G85">
            <v>0.30203681147651901</v>
          </cell>
          <cell r="H85">
            <v>7.9510082555149554E-3</v>
          </cell>
          <cell r="I85">
            <v>0</v>
          </cell>
          <cell r="J85">
            <v>0</v>
          </cell>
          <cell r="K85">
            <v>1.2789281364190013E-2</v>
          </cell>
          <cell r="L85">
            <v>1.2789281364190013E-2</v>
          </cell>
          <cell r="M85">
            <v>1.7356881851400732E-2</v>
          </cell>
          <cell r="N85">
            <v>0.31939369332791973</v>
          </cell>
          <cell r="O85">
            <v>0.2491203139802407</v>
          </cell>
        </row>
        <row r="87">
          <cell r="A87" t="str">
            <v>Year A</v>
          </cell>
          <cell r="B87">
            <v>1</v>
          </cell>
          <cell r="C87">
            <v>0.19647970477039906</v>
          </cell>
          <cell r="D87">
            <v>0.803520295229601</v>
          </cell>
          <cell r="E87">
            <v>0.3090955704727068</v>
          </cell>
          <cell r="F87">
            <v>0.19402427266851308</v>
          </cell>
          <cell r="G87">
            <v>0.30040045208838101</v>
          </cell>
          <cell r="H87">
            <v>9.6863185489840659E-3</v>
          </cell>
          <cell r="I87">
            <v>0</v>
          </cell>
          <cell r="J87">
            <v>0</v>
          </cell>
          <cell r="K87" t="e">
            <v>#NULL!</v>
          </cell>
          <cell r="L87">
            <v>1.0534886995959371E-2</v>
          </cell>
          <cell r="M87">
            <v>1.9318473154544175E-2</v>
          </cell>
          <cell r="N87">
            <v>0.31971892524292517</v>
          </cell>
          <cell r="O87">
            <v>0.24937801738301479</v>
          </cell>
        </row>
        <row r="89">
          <cell r="A89">
            <v>2003</v>
          </cell>
        </row>
        <row r="90">
          <cell r="A90" t="str">
            <v xml:space="preserve"> 1QE</v>
          </cell>
          <cell r="B90">
            <v>1</v>
          </cell>
          <cell r="C90">
            <v>0.215</v>
          </cell>
          <cell r="D90">
            <v>0.78500000000000003</v>
          </cell>
          <cell r="E90">
            <v>0.314</v>
          </cell>
          <cell r="F90">
            <v>0.19700000000000001</v>
          </cell>
          <cell r="G90">
            <v>0.27400000000000002</v>
          </cell>
          <cell r="H90">
            <v>9.7179945946354509E-3</v>
          </cell>
          <cell r="L90">
            <v>8.9981431431809724E-3</v>
          </cell>
        </row>
        <row r="91">
          <cell r="A91" t="str">
            <v xml:space="preserve"> 2QE</v>
          </cell>
          <cell r="B91">
            <v>1</v>
          </cell>
          <cell r="C91">
            <v>0.21299999999999999</v>
          </cell>
          <cell r="D91">
            <v>0.78700000000000003</v>
          </cell>
          <cell r="E91">
            <v>0.32500000000000001</v>
          </cell>
          <cell r="F91">
            <v>0.19600000000000001</v>
          </cell>
          <cell r="G91">
            <v>0.26599999999999996</v>
          </cell>
          <cell r="H91">
            <v>8.7862623408968415E-3</v>
          </cell>
          <cell r="L91">
            <v>8.4483291739392719E-3</v>
          </cell>
        </row>
        <row r="92">
          <cell r="A92" t="str">
            <v xml:space="preserve"> 3QE</v>
          </cell>
          <cell r="B92">
            <v>1</v>
          </cell>
          <cell r="C92">
            <v>0.21299999999999999</v>
          </cell>
          <cell r="D92">
            <v>0.78700000000000003</v>
          </cell>
          <cell r="E92">
            <v>0.311</v>
          </cell>
          <cell r="F92">
            <v>0.19400000000000001</v>
          </cell>
          <cell r="G92">
            <v>0.28199999999999997</v>
          </cell>
          <cell r="H92">
            <v>8.9982303480315544E-3</v>
          </cell>
          <cell r="L92">
            <v>8.3316947666958845E-3</v>
          </cell>
        </row>
        <row r="93">
          <cell r="A93" t="str">
            <v xml:space="preserve"> 4QE</v>
          </cell>
          <cell r="B93">
            <v>1</v>
          </cell>
          <cell r="C93">
            <v>0.21127337208039898</v>
          </cell>
          <cell r="D93">
            <v>0.78872662791960102</v>
          </cell>
          <cell r="E93">
            <v>0.315970586308775</v>
          </cell>
          <cell r="F93">
            <v>0.19328624402522698</v>
          </cell>
          <cell r="G93">
            <v>0.27946979758559903</v>
          </cell>
          <cell r="H93">
            <v>8.4828990658681255E-3</v>
          </cell>
          <cell r="L93">
            <v>7.7682225877913251E-3</v>
          </cell>
        </row>
        <row r="95">
          <cell r="A95" t="str">
            <v>2003E</v>
          </cell>
          <cell r="B95">
            <v>1</v>
          </cell>
          <cell r="C95">
            <v>0.21299999999999999</v>
          </cell>
          <cell r="D95">
            <v>0.78700000000000003</v>
          </cell>
          <cell r="E95">
            <v>0.3165</v>
          </cell>
          <cell r="F95">
            <v>0.19500000000000001</v>
          </cell>
          <cell r="G95">
            <v>0.27549999999999991</v>
          </cell>
          <cell r="H95">
            <v>8.9743141746306525E-3</v>
          </cell>
          <cell r="I95">
            <v>0</v>
          </cell>
          <cell r="J95">
            <v>0</v>
          </cell>
          <cell r="K95" t="e">
            <v>#NULL!</v>
          </cell>
          <cell r="L95">
            <v>8.3637597154060141E-3</v>
          </cell>
          <cell r="M95">
            <v>1.7614562016805432E-2</v>
          </cell>
          <cell r="N95">
            <v>0.29311456201680536</v>
          </cell>
          <cell r="O95">
            <v>0.22862935837310816</v>
          </cell>
        </row>
        <row r="97">
          <cell r="A97" t="str">
            <v>2004E</v>
          </cell>
          <cell r="B97">
            <v>1</v>
          </cell>
          <cell r="C97">
            <v>0.21099999999999999</v>
          </cell>
          <cell r="D97">
            <v>0.78900000000000003</v>
          </cell>
          <cell r="E97">
            <v>0.313</v>
          </cell>
          <cell r="F97">
            <v>0.192</v>
          </cell>
          <cell r="G97">
            <v>0.28399999999999997</v>
          </cell>
          <cell r="H97">
            <v>7.5237585661809573E-3</v>
          </cell>
          <cell r="I97">
            <v>0</v>
          </cell>
          <cell r="J97">
            <v>0</v>
          </cell>
          <cell r="K97" t="e">
            <v>#NULL!</v>
          </cell>
          <cell r="L97">
            <v>5.26663099632667E-3</v>
          </cell>
          <cell r="M97">
            <v>2.1849284438356924E-2</v>
          </cell>
          <cell r="N97">
            <v>0.30584928443835691</v>
          </cell>
          <cell r="O97">
            <v>0.23856244186191838</v>
          </cell>
        </row>
        <row r="98">
          <cell r="A98" t="str">
            <v>2005E</v>
          </cell>
          <cell r="B98">
            <v>1</v>
          </cell>
          <cell r="C98">
            <v>0.20799999999999999</v>
          </cell>
          <cell r="D98">
            <v>0.79200000000000004</v>
          </cell>
          <cell r="E98">
            <v>0.308</v>
          </cell>
          <cell r="F98">
            <v>0.19</v>
          </cell>
          <cell r="G98">
            <v>0.29399999999999998</v>
          </cell>
          <cell r="H98">
            <v>6.6896838661370858E-3</v>
          </cell>
          <cell r="I98">
            <v>0</v>
          </cell>
          <cell r="J98">
            <v>0</v>
          </cell>
          <cell r="K98" t="e">
            <v>#NULL!</v>
          </cell>
          <cell r="L98">
            <v>3.3448419330685429E-3</v>
          </cell>
          <cell r="M98">
            <v>2.3168920426334113E-2</v>
          </cell>
          <cell r="N98">
            <v>0.3171689204263341</v>
          </cell>
          <cell r="O98">
            <v>0.24739175793254059</v>
          </cell>
        </row>
        <row r="99">
          <cell r="A99" t="str">
            <v>2006E</v>
          </cell>
          <cell r="B99">
            <v>1</v>
          </cell>
          <cell r="C99">
            <v>0.20599999999999999</v>
          </cell>
          <cell r="D99">
            <v>0.79400000000000004</v>
          </cell>
          <cell r="E99">
            <v>0.30299999999999999</v>
          </cell>
          <cell r="F99">
            <v>0.1855</v>
          </cell>
          <cell r="G99">
            <v>0.30549999999999999</v>
          </cell>
          <cell r="H99">
            <v>6.1214729932232825E-3</v>
          </cell>
          <cell r="I99">
            <v>0</v>
          </cell>
          <cell r="J99">
            <v>0</v>
          </cell>
          <cell r="L99">
            <v>3.0607364966116412E-3</v>
          </cell>
          <cell r="M99">
            <v>2.5759149249988338E-2</v>
          </cell>
          <cell r="N99">
            <v>0.33125914924998834</v>
          </cell>
          <cell r="O99">
            <v>0.25838213641499091</v>
          </cell>
        </row>
        <row r="100">
          <cell r="A100" t="str">
            <v>2007E</v>
          </cell>
          <cell r="B100">
            <v>1</v>
          </cell>
          <cell r="C100">
            <v>0.20399999999999999</v>
          </cell>
          <cell r="D100">
            <v>0.79600000000000004</v>
          </cell>
          <cell r="E100">
            <v>0.30249999999999999</v>
          </cell>
          <cell r="F100">
            <v>0.185</v>
          </cell>
          <cell r="G100">
            <v>0.30850000000000005</v>
          </cell>
          <cell r="H100">
            <v>5.5896725246402865E-3</v>
          </cell>
          <cell r="I100">
            <v>0</v>
          </cell>
          <cell r="J100">
            <v>0</v>
          </cell>
          <cell r="L100">
            <v>2.7948362623201432E-3</v>
          </cell>
          <cell r="M100">
            <v>2.5153526360881289E-2</v>
          </cell>
          <cell r="N100">
            <v>0.33365352636088136</v>
          </cell>
          <cell r="O100">
            <v>0.26024975056148747</v>
          </cell>
        </row>
        <row r="102">
          <cell r="A102" t="str">
            <v xml:space="preserve">E = Morgan Stanley Research Estimates        A = Actual       NM = Not Meaningful      </v>
          </cell>
        </row>
        <row r="103">
          <cell r="A103" t="str">
            <v>(a) Actos Revenues include royalty payments (we assume 20%) from Takeda.</v>
          </cell>
        </row>
        <row r="104">
          <cell r="A104" t="str">
            <v>(a) 1Q97 includes $24.1 million ($18.1 million after-tax) in other income ($0.03 per share) due to Somatogen charge.</v>
          </cell>
        </row>
        <row r="105">
          <cell r="A105" t="str">
            <v>(b) 2Q97 excludes $4.41 charge for the PCS write-down, $0.03 for the pricing litigation settlement, and a $0.54 gain of the Dow Elanco sale.</v>
          </cell>
        </row>
        <row r="107">
          <cell r="A107" t="str">
            <v>(a)  1Q98 excludes $7.2 million after-tax ($0.01 per share) one-time charge related to the early extinguishment of debt in ESOP plan.</v>
          </cell>
        </row>
        <row r="108">
          <cell r="A108" t="str">
            <v>(b)  3Q98 excludes $127.5 million pretax ($0.07 per share) one-time charge related to the Icos collaboration.</v>
          </cell>
        </row>
      </sheetData>
      <sheetData sheetId="9" refreshError="1">
        <row r="1">
          <cell r="A1" t="str">
            <v>Table 5</v>
          </cell>
          <cell r="T1" t="str">
            <v>Table 5</v>
          </cell>
          <cell r="AU1" t="str">
            <v>Table 5</v>
          </cell>
          <cell r="AV1" t="str">
            <v>(continued)</v>
          </cell>
        </row>
        <row r="2">
          <cell r="A2" t="str">
            <v>Eli Lilly</v>
          </cell>
          <cell r="B2" t="str">
            <v>.</v>
          </cell>
          <cell r="T2" t="str">
            <v>Eli Lilly</v>
          </cell>
          <cell r="AU2" t="str">
            <v>Eli Lilly</v>
          </cell>
        </row>
        <row r="3">
          <cell r="A3" t="str">
            <v>Quarterly Sales Analysis, 2000-2007E</v>
          </cell>
          <cell r="T3" t="str">
            <v>Quarterly Sales Analysis, 2000-2007E</v>
          </cell>
          <cell r="AU3" t="str">
            <v>Quarterly Sales Analysis, 2000-2006E</v>
          </cell>
        </row>
        <row r="4">
          <cell r="A4" t="str">
            <v>($ Millions Except EPS)</v>
          </cell>
          <cell r="T4" t="str">
            <v>($ Millions Except EPS)</v>
          </cell>
          <cell r="AU4" t="str">
            <v>($ Millions Except EPS)</v>
          </cell>
        </row>
        <row r="5">
          <cell r="U5" t="str">
            <v>Antibiotics</v>
          </cell>
        </row>
        <row r="6">
          <cell r="B6" t="str">
            <v>Central Nervous System</v>
          </cell>
          <cell r="Y6" t="str">
            <v>Dyna-</v>
          </cell>
          <cell r="AB6" t="str">
            <v>Other</v>
          </cell>
          <cell r="AF6" t="str">
            <v>Cardiovascular</v>
          </cell>
          <cell r="AV6" t="str">
            <v>Hormones/ Diabetes</v>
          </cell>
          <cell r="BK6" t="str">
            <v>Ulcer</v>
          </cell>
          <cell r="BO6" t="str">
            <v>Oncology</v>
          </cell>
          <cell r="BX6" t="str">
            <v>Other</v>
          </cell>
        </row>
        <row r="7">
          <cell r="B7" t="str">
            <v>Prozac &amp; Sarafem</v>
          </cell>
          <cell r="F7" t="str">
            <v>Zyprexa</v>
          </cell>
          <cell r="J7" t="str">
            <v>Dar-</v>
          </cell>
          <cell r="L7" t="str">
            <v>Per-</v>
          </cell>
          <cell r="N7" t="str">
            <v>Straterra</v>
          </cell>
          <cell r="U7" t="str">
            <v>Ceclor</v>
          </cell>
          <cell r="Y7" t="str">
            <v xml:space="preserve">abac </v>
          </cell>
          <cell r="Z7" t="str">
            <v>Keflex/</v>
          </cell>
          <cell r="AA7" t="str">
            <v>Van-</v>
          </cell>
          <cell r="AB7" t="str">
            <v>Injecta-</v>
          </cell>
          <cell r="AF7" t="str">
            <v>Dobu-</v>
          </cell>
          <cell r="AG7" t="str">
            <v>ReoPro</v>
          </cell>
          <cell r="AI7" t="str">
            <v>Xigris</v>
          </cell>
          <cell r="AM7" t="str">
            <v>Evista</v>
          </cell>
          <cell r="AV7" t="str">
            <v>Huma-</v>
          </cell>
          <cell r="AX7" t="str">
            <v>Humulin</v>
          </cell>
          <cell r="BD7" t="str">
            <v>Other</v>
          </cell>
          <cell r="BF7" t="str">
            <v>Humalog</v>
          </cell>
          <cell r="BK7" t="str">
            <v>Axid</v>
          </cell>
          <cell r="BO7" t="str">
            <v>Gemzar</v>
          </cell>
          <cell r="BV7" t="str">
            <v>New</v>
          </cell>
          <cell r="BX7" t="str">
            <v>Pharma</v>
          </cell>
          <cell r="BY7" t="str">
            <v xml:space="preserve">Total </v>
          </cell>
          <cell r="BZ7" t="str">
            <v>Animal/</v>
          </cell>
          <cell r="CA7" t="str">
            <v>Grand</v>
          </cell>
        </row>
        <row r="8">
          <cell r="B8" t="str">
            <v>U.S.</v>
          </cell>
          <cell r="C8" t="str">
            <v>Intl</v>
          </cell>
          <cell r="D8" t="str">
            <v>Total</v>
          </cell>
          <cell r="F8" t="str">
            <v>U.S.</v>
          </cell>
          <cell r="G8" t="str">
            <v>Intl</v>
          </cell>
          <cell r="H8" t="str">
            <v>Total</v>
          </cell>
          <cell r="J8" t="str">
            <v>von</v>
          </cell>
          <cell r="L8" t="str">
            <v>max</v>
          </cell>
          <cell r="N8" t="str">
            <v>U.S.</v>
          </cell>
          <cell r="O8" t="str">
            <v>Intl</v>
          </cell>
          <cell r="P8" t="str">
            <v>Total</v>
          </cell>
          <cell r="R8" t="str">
            <v>Total</v>
          </cell>
          <cell r="U8" t="str">
            <v>U.S.</v>
          </cell>
          <cell r="V8" t="str">
            <v>Intl</v>
          </cell>
          <cell r="W8" t="str">
            <v>Total</v>
          </cell>
          <cell r="Y8" t="str">
            <v>(a)</v>
          </cell>
          <cell r="Z8" t="str">
            <v>Keftab</v>
          </cell>
          <cell r="AA8" t="str">
            <v>cocin</v>
          </cell>
          <cell r="AB8" t="str">
            <v>bles (b)</v>
          </cell>
          <cell r="AD8" t="str">
            <v>Total</v>
          </cell>
          <cell r="AF8" t="str">
            <v>trex</v>
          </cell>
          <cell r="AG8" t="str">
            <v xml:space="preserve">(c)   </v>
          </cell>
          <cell r="AI8" t="str">
            <v>U.S.</v>
          </cell>
          <cell r="AJ8" t="str">
            <v>Intl</v>
          </cell>
          <cell r="AK8" t="str">
            <v>Total</v>
          </cell>
          <cell r="AM8" t="str">
            <v>U.S.</v>
          </cell>
          <cell r="AN8" t="str">
            <v>Intl</v>
          </cell>
          <cell r="AO8" t="str">
            <v>Total</v>
          </cell>
          <cell r="AV8" t="str">
            <v xml:space="preserve">trope  </v>
          </cell>
          <cell r="AX8" t="str">
            <v>U.S.</v>
          </cell>
          <cell r="AY8" t="str">
            <v>Intl</v>
          </cell>
          <cell r="AZ8" t="str">
            <v>Total</v>
          </cell>
          <cell r="BB8" t="str">
            <v>Actos</v>
          </cell>
          <cell r="BD8" t="str">
            <v>Diabetes</v>
          </cell>
          <cell r="BF8" t="str">
            <v>U.S.</v>
          </cell>
          <cell r="BG8" t="str">
            <v>Intl</v>
          </cell>
          <cell r="BH8" t="str">
            <v>Total</v>
          </cell>
          <cell r="BI8" t="str">
            <v>Total</v>
          </cell>
          <cell r="BK8" t="str">
            <v>U.S.</v>
          </cell>
          <cell r="BL8" t="str">
            <v>Intl</v>
          </cell>
          <cell r="BM8" t="str">
            <v>Total</v>
          </cell>
          <cell r="BO8" t="str">
            <v>U.S.</v>
          </cell>
          <cell r="BP8" t="str">
            <v>Intl</v>
          </cell>
          <cell r="BQ8" t="str">
            <v>Total</v>
          </cell>
          <cell r="BS8" t="str">
            <v>Other</v>
          </cell>
          <cell r="BT8" t="str">
            <v>Total</v>
          </cell>
          <cell r="BV8" t="str">
            <v>Prods</v>
          </cell>
          <cell r="BX8" t="str">
            <v>(d)</v>
          </cell>
          <cell r="BY8" t="str">
            <v>Pharm.</v>
          </cell>
          <cell r="BZ8" t="str">
            <v>Indust.</v>
          </cell>
          <cell r="CA8" t="str">
            <v>Total</v>
          </cell>
        </row>
        <row r="10">
          <cell r="A10">
            <v>1994</v>
          </cell>
          <cell r="T10">
            <v>1994</v>
          </cell>
          <cell r="AU10">
            <v>1994</v>
          </cell>
        </row>
        <row r="11">
          <cell r="A11" t="str">
            <v xml:space="preserve"> 1Q</v>
          </cell>
          <cell r="B11">
            <v>234.8</v>
          </cell>
          <cell r="C11">
            <v>100.9</v>
          </cell>
          <cell r="D11">
            <v>335.70000000000005</v>
          </cell>
          <cell r="F11">
            <v>0</v>
          </cell>
          <cell r="G11">
            <v>0</v>
          </cell>
          <cell r="H11">
            <v>0</v>
          </cell>
          <cell r="J11">
            <v>21.4</v>
          </cell>
          <cell r="L11">
            <v>4.1999999999999673</v>
          </cell>
          <cell r="R11">
            <v>361.3</v>
          </cell>
          <cell r="T11" t="str">
            <v xml:space="preserve"> 1Q</v>
          </cell>
          <cell r="U11">
            <v>118.9</v>
          </cell>
          <cell r="V11">
            <v>91.2</v>
          </cell>
          <cell r="W11">
            <v>210.10000000000002</v>
          </cell>
          <cell r="Y11">
            <v>0</v>
          </cell>
          <cell r="Z11">
            <v>30.4</v>
          </cell>
          <cell r="AA11">
            <v>73.599999999999994</v>
          </cell>
          <cell r="AB11">
            <v>62</v>
          </cell>
          <cell r="AD11">
            <v>376.1</v>
          </cell>
          <cell r="AF11">
            <v>30.1</v>
          </cell>
          <cell r="AG11">
            <v>0</v>
          </cell>
          <cell r="AU11" t="str">
            <v xml:space="preserve"> 1Q</v>
          </cell>
          <cell r="AV11">
            <v>49.7</v>
          </cell>
          <cell r="AX11">
            <v>98.7</v>
          </cell>
          <cell r="AY11">
            <v>48</v>
          </cell>
          <cell r="AZ11">
            <v>146.69999999999999</v>
          </cell>
          <cell r="BD11">
            <v>18.2</v>
          </cell>
          <cell r="BF11">
            <v>0</v>
          </cell>
          <cell r="BG11">
            <v>0</v>
          </cell>
          <cell r="BH11">
            <v>0</v>
          </cell>
          <cell r="BI11">
            <v>214.59999999999997</v>
          </cell>
          <cell r="BK11">
            <v>79.2</v>
          </cell>
          <cell r="BL11">
            <v>30.6</v>
          </cell>
          <cell r="BM11">
            <v>109.80000000000001</v>
          </cell>
          <cell r="BO11">
            <v>0</v>
          </cell>
          <cell r="BP11">
            <v>0</v>
          </cell>
          <cell r="BQ11">
            <v>0</v>
          </cell>
          <cell r="BS11">
            <v>0</v>
          </cell>
          <cell r="BT11">
            <v>0</v>
          </cell>
          <cell r="BV11">
            <v>0</v>
          </cell>
          <cell r="BX11">
            <v>66.92</v>
          </cell>
          <cell r="BY11">
            <v>1158.8200000000002</v>
          </cell>
          <cell r="BZ11">
            <v>108.10000000000001</v>
          </cell>
          <cell r="CA11">
            <v>1266.92</v>
          </cell>
        </row>
        <row r="12">
          <cell r="A12" t="str">
            <v xml:space="preserve"> 2Q</v>
          </cell>
          <cell r="B12">
            <v>289.60000000000002</v>
          </cell>
          <cell r="C12">
            <v>121</v>
          </cell>
          <cell r="D12">
            <v>410.6</v>
          </cell>
          <cell r="F12">
            <v>0</v>
          </cell>
          <cell r="G12">
            <v>0</v>
          </cell>
          <cell r="H12">
            <v>0</v>
          </cell>
          <cell r="J12">
            <v>26.200000000000003</v>
          </cell>
          <cell r="L12">
            <v>5.3999999999999631</v>
          </cell>
          <cell r="R12">
            <v>442.2</v>
          </cell>
          <cell r="T12" t="str">
            <v xml:space="preserve"> 2Q</v>
          </cell>
          <cell r="U12">
            <v>83.5</v>
          </cell>
          <cell r="V12">
            <v>88.8</v>
          </cell>
          <cell r="W12">
            <v>172.3</v>
          </cell>
          <cell r="Y12">
            <v>0</v>
          </cell>
          <cell r="Z12">
            <v>31.9</v>
          </cell>
          <cell r="AA12">
            <v>54.4</v>
          </cell>
          <cell r="AB12">
            <v>53.7</v>
          </cell>
          <cell r="AD12">
            <v>312.3</v>
          </cell>
          <cell r="AF12">
            <v>24.4</v>
          </cell>
          <cell r="AG12">
            <v>0</v>
          </cell>
          <cell r="AU12" t="str">
            <v xml:space="preserve"> 2Q</v>
          </cell>
          <cell r="AV12">
            <v>53.9</v>
          </cell>
          <cell r="AX12">
            <v>115.5</v>
          </cell>
          <cell r="AY12">
            <v>52.3</v>
          </cell>
          <cell r="AZ12">
            <v>167.8</v>
          </cell>
          <cell r="BD12">
            <v>20.099999999999998</v>
          </cell>
          <cell r="BF12">
            <v>0</v>
          </cell>
          <cell r="BG12">
            <v>0</v>
          </cell>
          <cell r="BH12">
            <v>0</v>
          </cell>
          <cell r="BI12">
            <v>241.8</v>
          </cell>
          <cell r="BK12">
            <v>87.3</v>
          </cell>
          <cell r="BL12">
            <v>29.5</v>
          </cell>
          <cell r="BM12">
            <v>116.8</v>
          </cell>
          <cell r="BO12">
            <v>0</v>
          </cell>
          <cell r="BP12">
            <v>0</v>
          </cell>
          <cell r="BQ12">
            <v>0</v>
          </cell>
          <cell r="BS12">
            <v>0</v>
          </cell>
          <cell r="BT12">
            <v>0</v>
          </cell>
          <cell r="BV12">
            <v>0</v>
          </cell>
          <cell r="BX12">
            <v>77.12</v>
          </cell>
          <cell r="BY12">
            <v>1214.6199999999999</v>
          </cell>
          <cell r="BZ12">
            <v>104.6</v>
          </cell>
          <cell r="CA12">
            <v>1319.2199999999998</v>
          </cell>
        </row>
        <row r="13">
          <cell r="A13" t="str">
            <v xml:space="preserve"> 3Q</v>
          </cell>
          <cell r="B13">
            <v>420.9</v>
          </cell>
          <cell r="C13">
            <v>122.9</v>
          </cell>
          <cell r="D13">
            <v>543.79999999999995</v>
          </cell>
          <cell r="F13">
            <v>0</v>
          </cell>
          <cell r="G13">
            <v>0</v>
          </cell>
          <cell r="H13">
            <v>0</v>
          </cell>
          <cell r="J13">
            <v>28.599999999999998</v>
          </cell>
          <cell r="L13">
            <v>6.1000000000000476</v>
          </cell>
          <cell r="R13">
            <v>578.5</v>
          </cell>
          <cell r="T13" t="str">
            <v xml:space="preserve"> 3Q</v>
          </cell>
          <cell r="U13">
            <v>63.4</v>
          </cell>
          <cell r="V13">
            <v>99.7</v>
          </cell>
          <cell r="W13">
            <v>163.1</v>
          </cell>
          <cell r="Y13">
            <v>0</v>
          </cell>
          <cell r="Z13">
            <v>38.6</v>
          </cell>
          <cell r="AA13">
            <v>65.2</v>
          </cell>
          <cell r="AB13">
            <v>57.9</v>
          </cell>
          <cell r="AD13">
            <v>324.79999999999995</v>
          </cell>
          <cell r="AF13">
            <v>24.7</v>
          </cell>
          <cell r="AG13">
            <v>0</v>
          </cell>
          <cell r="AU13" t="str">
            <v xml:space="preserve"> 3Q</v>
          </cell>
          <cell r="AV13">
            <v>57.4</v>
          </cell>
          <cell r="AX13">
            <v>114.1</v>
          </cell>
          <cell r="AY13">
            <v>54.9</v>
          </cell>
          <cell r="AZ13">
            <v>169</v>
          </cell>
          <cell r="BD13">
            <v>18.7</v>
          </cell>
          <cell r="BF13">
            <v>0</v>
          </cell>
          <cell r="BG13">
            <v>0</v>
          </cell>
          <cell r="BH13">
            <v>0</v>
          </cell>
          <cell r="BI13">
            <v>245.1</v>
          </cell>
          <cell r="BK13">
            <v>92.85</v>
          </cell>
          <cell r="BL13">
            <v>39</v>
          </cell>
          <cell r="BM13">
            <v>131.85</v>
          </cell>
          <cell r="BO13">
            <v>0</v>
          </cell>
          <cell r="BP13">
            <v>0</v>
          </cell>
          <cell r="BQ13">
            <v>0</v>
          </cell>
          <cell r="BS13">
            <v>0</v>
          </cell>
          <cell r="BT13">
            <v>0</v>
          </cell>
          <cell r="BV13">
            <v>0</v>
          </cell>
          <cell r="BX13">
            <v>65.22</v>
          </cell>
          <cell r="BY13">
            <v>1370.1699999999998</v>
          </cell>
          <cell r="BZ13">
            <v>118.1</v>
          </cell>
          <cell r="CA13">
            <v>1488.2699999999998</v>
          </cell>
        </row>
        <row r="14">
          <cell r="A14" t="str">
            <v xml:space="preserve"> 4Q</v>
          </cell>
          <cell r="B14">
            <v>235</v>
          </cell>
          <cell r="C14">
            <v>141</v>
          </cell>
          <cell r="D14">
            <v>376</v>
          </cell>
          <cell r="F14">
            <v>0</v>
          </cell>
          <cell r="G14">
            <v>0</v>
          </cell>
          <cell r="H14">
            <v>0</v>
          </cell>
          <cell r="J14">
            <v>26.6</v>
          </cell>
          <cell r="L14">
            <v>9.3999999999999986</v>
          </cell>
          <cell r="R14">
            <v>412</v>
          </cell>
          <cell r="T14" t="str">
            <v xml:space="preserve"> 4Q</v>
          </cell>
          <cell r="U14">
            <v>127.9</v>
          </cell>
          <cell r="V14">
            <v>138.69999999999999</v>
          </cell>
          <cell r="W14">
            <v>266.60000000000002</v>
          </cell>
          <cell r="Y14">
            <v>0</v>
          </cell>
          <cell r="Z14">
            <v>39.200000000000003</v>
          </cell>
          <cell r="AA14">
            <v>55.7</v>
          </cell>
          <cell r="AB14">
            <v>58.3</v>
          </cell>
          <cell r="AD14">
            <v>419.8</v>
          </cell>
          <cell r="AF14">
            <v>22.8</v>
          </cell>
          <cell r="AG14">
            <v>0</v>
          </cell>
          <cell r="AU14" t="str">
            <v xml:space="preserve"> 4Q</v>
          </cell>
          <cell r="AV14">
            <v>64.7</v>
          </cell>
          <cell r="AX14">
            <v>124</v>
          </cell>
          <cell r="AY14">
            <v>57.5</v>
          </cell>
          <cell r="AZ14">
            <v>181.5</v>
          </cell>
          <cell r="BD14">
            <v>21.1</v>
          </cell>
          <cell r="BF14">
            <v>0</v>
          </cell>
          <cell r="BG14">
            <v>0</v>
          </cell>
          <cell r="BH14">
            <v>0</v>
          </cell>
          <cell r="BI14">
            <v>267.3</v>
          </cell>
          <cell r="BK14">
            <v>104.8</v>
          </cell>
          <cell r="BL14">
            <v>24.15</v>
          </cell>
          <cell r="BM14">
            <v>128.94999999999999</v>
          </cell>
          <cell r="BO14">
            <v>0</v>
          </cell>
          <cell r="BP14">
            <v>0</v>
          </cell>
          <cell r="BQ14">
            <v>0</v>
          </cell>
          <cell r="BS14">
            <v>0</v>
          </cell>
          <cell r="BT14">
            <v>0</v>
          </cell>
          <cell r="BV14">
            <v>0</v>
          </cell>
          <cell r="BX14">
            <v>90.2</v>
          </cell>
          <cell r="BY14">
            <v>1341.05</v>
          </cell>
          <cell r="BZ14">
            <v>142.5</v>
          </cell>
          <cell r="CA14">
            <v>1483.55</v>
          </cell>
        </row>
        <row r="16">
          <cell r="A16" t="str">
            <v>1994</v>
          </cell>
          <cell r="B16">
            <v>1180.3000000000002</v>
          </cell>
          <cell r="C16">
            <v>485.8</v>
          </cell>
          <cell r="D16">
            <v>1666.1</v>
          </cell>
          <cell r="F16">
            <v>0</v>
          </cell>
          <cell r="G16">
            <v>0</v>
          </cell>
          <cell r="H16">
            <v>0</v>
          </cell>
          <cell r="J16">
            <v>102.80000000000001</v>
          </cell>
          <cell r="L16">
            <v>25.099999999999977</v>
          </cell>
          <cell r="R16">
            <v>1794</v>
          </cell>
          <cell r="T16" t="str">
            <v>1994</v>
          </cell>
          <cell r="U16">
            <v>393.70000000000005</v>
          </cell>
          <cell r="V16">
            <v>418.4</v>
          </cell>
          <cell r="W16">
            <v>812.1</v>
          </cell>
          <cell r="Y16">
            <v>0</v>
          </cell>
          <cell r="Z16">
            <v>140.10000000000002</v>
          </cell>
          <cell r="AA16">
            <v>248.89999999999998</v>
          </cell>
          <cell r="AB16">
            <v>231.89999999999998</v>
          </cell>
          <cell r="AD16">
            <v>1433</v>
          </cell>
          <cell r="AF16">
            <v>102</v>
          </cell>
          <cell r="AG16">
            <v>0</v>
          </cell>
          <cell r="AM16">
            <v>0</v>
          </cell>
          <cell r="AN16">
            <v>0</v>
          </cell>
          <cell r="AO16">
            <v>0</v>
          </cell>
          <cell r="AU16" t="str">
            <v>1994</v>
          </cell>
          <cell r="AV16">
            <v>225.7</v>
          </cell>
          <cell r="AX16">
            <v>452.29999999999995</v>
          </cell>
          <cell r="AY16">
            <v>212.7</v>
          </cell>
          <cell r="AZ16">
            <v>665</v>
          </cell>
          <cell r="BD16">
            <v>78.099999999999994</v>
          </cell>
          <cell r="BF16">
            <v>0</v>
          </cell>
          <cell r="BG16">
            <v>0</v>
          </cell>
          <cell r="BH16">
            <v>0</v>
          </cell>
          <cell r="BI16">
            <v>968.80000000000007</v>
          </cell>
          <cell r="BK16">
            <v>364.15000000000003</v>
          </cell>
          <cell r="BL16">
            <v>123.25</v>
          </cell>
          <cell r="BM16">
            <v>487.40000000000003</v>
          </cell>
          <cell r="BO16">
            <v>0</v>
          </cell>
          <cell r="BP16">
            <v>0</v>
          </cell>
          <cell r="BQ16">
            <v>0</v>
          </cell>
          <cell r="BS16">
            <v>0</v>
          </cell>
          <cell r="BT16">
            <v>0</v>
          </cell>
          <cell r="BV16">
            <v>0</v>
          </cell>
          <cell r="BX16">
            <v>299.46000000000004</v>
          </cell>
          <cell r="BY16">
            <v>5084.66</v>
          </cell>
          <cell r="BZ16">
            <v>473.29999999999995</v>
          </cell>
          <cell r="CA16">
            <v>5557.96</v>
          </cell>
        </row>
        <row r="18">
          <cell r="A18" t="str">
            <v>1995/94</v>
          </cell>
          <cell r="T18" t="str">
            <v>1995/94</v>
          </cell>
          <cell r="AU18" t="str">
            <v>1995/94</v>
          </cell>
        </row>
        <row r="19">
          <cell r="A19" t="str">
            <v xml:space="preserve"> 1Q</v>
          </cell>
          <cell r="B19">
            <v>0.33134582623509373</v>
          </cell>
          <cell r="C19">
            <v>0.42814667988107025</v>
          </cell>
          <cell r="D19">
            <v>0.36044086982424778</v>
          </cell>
          <cell r="F19" t="str">
            <v>NM</v>
          </cell>
          <cell r="G19" t="str">
            <v>NM</v>
          </cell>
          <cell r="H19" t="str">
            <v>NM</v>
          </cell>
          <cell r="J19">
            <v>0.28971962616822444</v>
          </cell>
          <cell r="L19">
            <v>1.5238095238095268</v>
          </cell>
          <cell r="R19">
            <v>0.36977580957652911</v>
          </cell>
          <cell r="T19" t="str">
            <v xml:space="preserve"> 1Q</v>
          </cell>
          <cell r="U19">
            <v>0.1000841042893188</v>
          </cell>
          <cell r="V19">
            <v>0.49780701754385953</v>
          </cell>
          <cell r="W19">
            <v>0.27272727272727249</v>
          </cell>
          <cell r="Y19" t="str">
            <v>NM</v>
          </cell>
          <cell r="Z19">
            <v>0.37894736842105275</v>
          </cell>
          <cell r="AA19">
            <v>-1.9293478260869398E-2</v>
          </cell>
          <cell r="AB19">
            <v>0.11935483870967752</v>
          </cell>
          <cell r="AD19">
            <v>0.20180802977931395</v>
          </cell>
          <cell r="AF19">
            <v>-0.16611295681063123</v>
          </cell>
          <cell r="AG19" t="str">
            <v>NM</v>
          </cell>
          <cell r="AU19" t="str">
            <v xml:space="preserve"> 1Q</v>
          </cell>
          <cell r="AV19">
            <v>0.14084507042253505</v>
          </cell>
          <cell r="AX19">
            <v>0.55521783181357642</v>
          </cell>
          <cell r="AY19">
            <v>0.23749999999999996</v>
          </cell>
          <cell r="AZ19">
            <v>0.45126107702794832</v>
          </cell>
          <cell r="BD19">
            <v>0.23626373626373631</v>
          </cell>
          <cell r="BF19" t="str">
            <v>NM</v>
          </cell>
          <cell r="BG19" t="str">
            <v>NM</v>
          </cell>
          <cell r="BH19" t="str">
            <v>NM</v>
          </cell>
          <cell r="BI19">
            <v>0.36113699906803387</v>
          </cell>
          <cell r="BK19">
            <v>0.37373737373737365</v>
          </cell>
          <cell r="BL19">
            <v>0.12091503267973842</v>
          </cell>
          <cell r="BM19">
            <v>0.30327868852459</v>
          </cell>
          <cell r="BO19" t="str">
            <v>NM</v>
          </cell>
          <cell r="BP19" t="str">
            <v>NM</v>
          </cell>
          <cell r="BQ19" t="str">
            <v>NM</v>
          </cell>
          <cell r="BS19" t="str">
            <v>NM</v>
          </cell>
          <cell r="BT19" t="str">
            <v>NM</v>
          </cell>
          <cell r="BV19" t="str">
            <v>NM</v>
          </cell>
          <cell r="BX19">
            <v>-0.1497310221159594</v>
          </cell>
          <cell r="BY19">
            <v>0.27301910564194576</v>
          </cell>
          <cell r="BZ19">
            <v>0.14893617021276576</v>
          </cell>
          <cell r="CA19">
            <v>0.26243172418147931</v>
          </cell>
        </row>
        <row r="20">
          <cell r="A20" t="str">
            <v xml:space="preserve"> 2Q</v>
          </cell>
          <cell r="B20">
            <v>0.22651933701657445</v>
          </cell>
          <cell r="C20">
            <v>0.30743801652892555</v>
          </cell>
          <cell r="D20">
            <v>0.25036531904529946</v>
          </cell>
          <cell r="F20" t="str">
            <v>NM</v>
          </cell>
          <cell r="G20" t="str">
            <v>NM</v>
          </cell>
          <cell r="H20" t="str">
            <v>NM</v>
          </cell>
          <cell r="J20">
            <v>1.1450381679389204E-2</v>
          </cell>
          <cell r="L20">
            <v>1.7407407407407722</v>
          </cell>
          <cell r="R20">
            <v>0.25440976933514259</v>
          </cell>
          <cell r="T20" t="str">
            <v xml:space="preserve"> 2Q</v>
          </cell>
          <cell r="U20">
            <v>-0.548502994011976</v>
          </cell>
          <cell r="V20">
            <v>0.30405405405405406</v>
          </cell>
          <cell r="W20">
            <v>-0.10911201392919333</v>
          </cell>
          <cell r="Y20" t="str">
            <v>NM</v>
          </cell>
          <cell r="Z20">
            <v>0.27335423197492159</v>
          </cell>
          <cell r="AA20">
            <v>0.51250000000000007</v>
          </cell>
          <cell r="AB20">
            <v>0.22998137802607063</v>
          </cell>
          <cell r="AD20">
            <v>0.10358629522894641</v>
          </cell>
          <cell r="AF20">
            <v>0.30327868852459028</v>
          </cell>
          <cell r="AG20" t="str">
            <v>NM</v>
          </cell>
          <cell r="AU20" t="str">
            <v xml:space="preserve"> 2Q</v>
          </cell>
          <cell r="AV20">
            <v>0.31539888682745837</v>
          </cell>
          <cell r="AX20">
            <v>-9.4372294372294427E-2</v>
          </cell>
          <cell r="AY20">
            <v>0.30401529636711294</v>
          </cell>
          <cell r="AZ20">
            <v>2.9797377830750892E-2</v>
          </cell>
          <cell r="BD20">
            <v>-9.9502487562188706E-3</v>
          </cell>
          <cell r="BF20" t="str">
            <v>NM</v>
          </cell>
          <cell r="BG20" t="str">
            <v>NM</v>
          </cell>
          <cell r="BH20" t="str">
            <v>NM</v>
          </cell>
          <cell r="BI20">
            <v>9.0157154673283751E-2</v>
          </cell>
          <cell r="BK20">
            <v>-2.6345933562428377E-2</v>
          </cell>
          <cell r="BL20">
            <v>0.31525423728813551</v>
          </cell>
          <cell r="BM20">
            <v>5.9931506849315072E-2</v>
          </cell>
          <cell r="BO20" t="str">
            <v>NM</v>
          </cell>
          <cell r="BP20" t="str">
            <v>NM</v>
          </cell>
          <cell r="BQ20" t="str">
            <v>NM</v>
          </cell>
          <cell r="BS20" t="str">
            <v>NM</v>
          </cell>
          <cell r="BT20" t="str">
            <v>NM</v>
          </cell>
          <cell r="BV20" t="str">
            <v>NM</v>
          </cell>
          <cell r="BX20">
            <v>-7.3521784232365162E-2</v>
          </cell>
          <cell r="BY20">
            <v>0.15616406777428338</v>
          </cell>
          <cell r="BZ20">
            <v>0.14244741873804978</v>
          </cell>
          <cell r="CA20">
            <v>0.1550764845893787</v>
          </cell>
        </row>
        <row r="21">
          <cell r="A21" t="str">
            <v xml:space="preserve"> 3Q</v>
          </cell>
          <cell r="B21">
            <v>2.0432406747446005E-2</v>
          </cell>
          <cell r="C21">
            <v>0.23026851098454013</v>
          </cell>
          <cell r="D21">
            <v>6.7855829349025551E-2</v>
          </cell>
          <cell r="F21" t="str">
            <v>NM</v>
          </cell>
          <cell r="G21" t="str">
            <v>NM</v>
          </cell>
          <cell r="H21" t="str">
            <v>NM</v>
          </cell>
          <cell r="J21">
            <v>-0.11188811188811187</v>
          </cell>
          <cell r="L21">
            <v>1.4754098360655548</v>
          </cell>
          <cell r="R21">
            <v>7.3811581676750296E-2</v>
          </cell>
          <cell r="T21" t="str">
            <v xml:space="preserve"> 3Q</v>
          </cell>
          <cell r="U21">
            <v>-0.70977917981072558</v>
          </cell>
          <cell r="V21">
            <v>1.0030090270811867E-3</v>
          </cell>
          <cell r="W21">
            <v>-0.27529123237277747</v>
          </cell>
          <cell r="Y21" t="str">
            <v>NM</v>
          </cell>
          <cell r="Z21">
            <v>-2.4870466321243543E-2</v>
          </cell>
          <cell r="AA21">
            <v>-0.11687116564417184</v>
          </cell>
          <cell r="AB21">
            <v>-6.8739205526770236E-2</v>
          </cell>
          <cell r="AD21">
            <v>-0.15431034482758624</v>
          </cell>
          <cell r="AF21">
            <v>0.125506072874494</v>
          </cell>
          <cell r="AG21" t="str">
            <v>NM</v>
          </cell>
          <cell r="AU21" t="str">
            <v xml:space="preserve"> 3Q</v>
          </cell>
          <cell r="AV21">
            <v>0.14982578397212545</v>
          </cell>
          <cell r="AX21">
            <v>0.12708150744960561</v>
          </cell>
          <cell r="AY21">
            <v>0.22404371584699462</v>
          </cell>
          <cell r="AZ21">
            <v>0.15857988165680481</v>
          </cell>
          <cell r="BD21">
            <v>1.0695187165775364E-2</v>
          </cell>
          <cell r="BF21" t="str">
            <v>NM</v>
          </cell>
          <cell r="BG21" t="str">
            <v>NM</v>
          </cell>
          <cell r="BH21" t="str">
            <v>NM</v>
          </cell>
          <cell r="BI21">
            <v>0.14524683802529578</v>
          </cell>
          <cell r="BK21">
            <v>9.1007000538502997E-2</v>
          </cell>
          <cell r="BL21">
            <v>-0.21025641025641023</v>
          </cell>
          <cell r="BM21">
            <v>1.8960940462646948E-3</v>
          </cell>
          <cell r="BO21" t="str">
            <v>NM</v>
          </cell>
          <cell r="BP21" t="str">
            <v>NM</v>
          </cell>
          <cell r="BQ21" t="str">
            <v>NM</v>
          </cell>
          <cell r="BS21" t="str">
            <v>NM</v>
          </cell>
          <cell r="BT21" t="str">
            <v>NM</v>
          </cell>
          <cell r="BV21" t="str">
            <v>NM</v>
          </cell>
          <cell r="BX21">
            <v>-4.0171726464274721E-2</v>
          </cell>
          <cell r="BY21">
            <v>3.3360823839377461E-2</v>
          </cell>
          <cell r="BZ21">
            <v>6.8585944115156727E-2</v>
          </cell>
          <cell r="CA21">
            <v>3.6156073830689292E-2</v>
          </cell>
        </row>
        <row r="22">
          <cell r="A22" t="str">
            <v xml:space="preserve"> 4Q</v>
          </cell>
          <cell r="B22">
            <v>0.45148936170212778</v>
          </cell>
          <cell r="C22">
            <v>0.23333333333333336</v>
          </cell>
          <cell r="D22">
            <v>0.36968085106382981</v>
          </cell>
          <cell r="F22" t="str">
            <v>NM</v>
          </cell>
          <cell r="G22" t="str">
            <v>NM</v>
          </cell>
          <cell r="H22" t="str">
            <v>NM</v>
          </cell>
          <cell r="J22">
            <v>7.5187969924812026E-2</v>
          </cell>
          <cell r="L22">
            <v>1.1063829787234021</v>
          </cell>
          <cell r="R22">
            <v>0.36747572815533974</v>
          </cell>
          <cell r="T22" t="str">
            <v xml:space="preserve"> 4Q</v>
          </cell>
          <cell r="U22">
            <v>-0.68256450351837383</v>
          </cell>
          <cell r="V22">
            <v>2.7397260273972688E-2</v>
          </cell>
          <cell r="W22">
            <v>-0.31320330082520637</v>
          </cell>
          <cell r="Y22" t="str">
            <v>NM</v>
          </cell>
          <cell r="Z22">
            <v>0.19642857142857148</v>
          </cell>
          <cell r="AA22">
            <v>0.19389587073608611</v>
          </cell>
          <cell r="AB22">
            <v>0.14579759862778732</v>
          </cell>
          <cell r="AD22">
            <v>-0.10290614578370649</v>
          </cell>
          <cell r="AF22">
            <v>0.21929824561403508</v>
          </cell>
          <cell r="AG22" t="str">
            <v>NM</v>
          </cell>
          <cell r="AU22" t="str">
            <v xml:space="preserve"> 4Q</v>
          </cell>
          <cell r="AV22">
            <v>0.168469860896445</v>
          </cell>
          <cell r="AX22">
            <v>0.12580645161290319</v>
          </cell>
          <cell r="AY22">
            <v>0.26956521739130435</v>
          </cell>
          <cell r="AZ22">
            <v>0.17134986225895313</v>
          </cell>
          <cell r="BD22">
            <v>0</v>
          </cell>
          <cell r="BF22" t="str">
            <v>NM</v>
          </cell>
          <cell r="BG22" t="str">
            <v>NM</v>
          </cell>
          <cell r="BH22" t="str">
            <v>NM</v>
          </cell>
          <cell r="BI22">
            <v>0.15712682379349047</v>
          </cell>
          <cell r="BK22">
            <v>7.0610687022900825E-2</v>
          </cell>
          <cell r="BL22">
            <v>0.53623188405797118</v>
          </cell>
          <cell r="BM22">
            <v>0.15781310585498273</v>
          </cell>
          <cell r="BO22" t="str">
            <v>NM</v>
          </cell>
          <cell r="BP22" t="str">
            <v>NM</v>
          </cell>
          <cell r="BQ22" t="str">
            <v>NM</v>
          </cell>
          <cell r="BS22" t="str">
            <v>NM</v>
          </cell>
          <cell r="BT22" t="str">
            <v>NM</v>
          </cell>
          <cell r="BV22" t="str">
            <v>NM</v>
          </cell>
          <cell r="BX22">
            <v>-0.2328159645232816</v>
          </cell>
          <cell r="BY22">
            <v>0.13321650945154906</v>
          </cell>
          <cell r="BZ22">
            <v>6.7368421052631536E-2</v>
          </cell>
          <cell r="CA22">
            <v>0.12689157763472736</v>
          </cell>
        </row>
        <row r="24">
          <cell r="A24" t="str">
            <v>1995/94</v>
          </cell>
          <cell r="B24">
            <v>0.21867321867321857</v>
          </cell>
          <cell r="C24">
            <v>0.29147797447509255</v>
          </cell>
          <cell r="D24">
            <v>0.23990156653262126</v>
          </cell>
          <cell r="F24" t="str">
            <v>NM</v>
          </cell>
          <cell r="G24" t="str">
            <v>NM</v>
          </cell>
          <cell r="H24" t="str">
            <v>NM</v>
          </cell>
          <cell r="J24">
            <v>5.1556420233462866E-2</v>
          </cell>
          <cell r="L24">
            <v>1.4023904382470134</v>
          </cell>
          <cell r="R24" t="str">
            <v>NM</v>
          </cell>
          <cell r="T24" t="str">
            <v>1995/94</v>
          </cell>
          <cell r="U24">
            <v>-0.42214884429768867</v>
          </cell>
          <cell r="V24">
            <v>0.1823613766730402</v>
          </cell>
          <cell r="W24">
            <v>-0.11070065262898669</v>
          </cell>
          <cell r="Y24" t="str">
            <v>NM</v>
          </cell>
          <cell r="Z24">
            <v>0.19257673090649505</v>
          </cell>
          <cell r="AA24">
            <v>0.11908396946564904</v>
          </cell>
          <cell r="AB24">
            <v>0.10465717981888763</v>
          </cell>
          <cell r="AD24">
            <v>1.0418702023726334E-2</v>
          </cell>
          <cell r="AF24">
            <v>0.10294117647058823</v>
          </cell>
          <cell r="AG24" t="str">
            <v>NM</v>
          </cell>
          <cell r="AM24" t="str">
            <v>NM</v>
          </cell>
          <cell r="AN24" t="str">
            <v>NM</v>
          </cell>
          <cell r="AO24" t="str">
            <v>NM</v>
          </cell>
          <cell r="AU24" t="str">
            <v>1995/94</v>
          </cell>
          <cell r="AV24">
            <v>0.19273371732388128</v>
          </cell>
          <cell r="AX24">
            <v>0.16360822462967084</v>
          </cell>
          <cell r="AY24">
            <v>0.25905030559473446</v>
          </cell>
          <cell r="AZ24">
            <v>0.19413533834586469</v>
          </cell>
          <cell r="BD24">
            <v>5.5057618437900274E-2</v>
          </cell>
          <cell r="BF24" t="str">
            <v>NM</v>
          </cell>
          <cell r="BG24" t="str">
            <v>NM</v>
          </cell>
          <cell r="BH24" t="str">
            <v>NM</v>
          </cell>
          <cell r="BI24">
            <v>0.18259702725020641</v>
          </cell>
          <cell r="BK24">
            <v>0.11849512563504043</v>
          </cell>
          <cell r="BL24">
            <v>0.1440162271805274</v>
          </cell>
          <cell r="BM24">
            <v>0.12494870742716438</v>
          </cell>
          <cell r="BO24" t="str">
            <v>NM</v>
          </cell>
          <cell r="BP24" t="str">
            <v>NM</v>
          </cell>
          <cell r="BQ24" t="str">
            <v>NM</v>
          </cell>
          <cell r="BS24" t="str">
            <v>NM</v>
          </cell>
          <cell r="BT24" t="str">
            <v>NM</v>
          </cell>
          <cell r="BV24" t="str">
            <v>NM</v>
          </cell>
          <cell r="BX24">
            <v>-0.13126961864689793</v>
          </cell>
          <cell r="BY24">
            <v>0.14365168959183094</v>
          </cell>
          <cell r="BZ24">
            <v>0.10289457004014378</v>
          </cell>
          <cell r="CA24">
            <v>0.14018092969362858</v>
          </cell>
        </row>
        <row r="26">
          <cell r="A26" t="str">
            <v>1995</v>
          </cell>
          <cell r="T26" t="str">
            <v>1995</v>
          </cell>
          <cell r="AU26" t="str">
            <v>1995</v>
          </cell>
        </row>
        <row r="27">
          <cell r="A27" t="str">
            <v xml:space="preserve"> 1Q</v>
          </cell>
          <cell r="B27">
            <v>312.60000000000002</v>
          </cell>
          <cell r="C27">
            <v>144.1</v>
          </cell>
          <cell r="D27">
            <v>456.70000000000005</v>
          </cell>
          <cell r="F27">
            <v>0</v>
          </cell>
          <cell r="G27">
            <v>0</v>
          </cell>
          <cell r="H27">
            <v>0</v>
          </cell>
          <cell r="J27">
            <v>27.6</v>
          </cell>
          <cell r="L27">
            <v>10.59999999999993</v>
          </cell>
          <cell r="R27">
            <v>494.9</v>
          </cell>
          <cell r="T27" t="str">
            <v xml:space="preserve"> 1Q</v>
          </cell>
          <cell r="U27">
            <v>130.80000000000001</v>
          </cell>
          <cell r="V27">
            <v>136.6</v>
          </cell>
          <cell r="W27">
            <v>267.39999999999998</v>
          </cell>
          <cell r="Y27">
            <v>1.1000000000000001</v>
          </cell>
          <cell r="Z27">
            <v>41.92</v>
          </cell>
          <cell r="AA27">
            <v>72.180000000000007</v>
          </cell>
          <cell r="AB27">
            <v>69.400000000000006</v>
          </cell>
          <cell r="AD27">
            <v>452</v>
          </cell>
          <cell r="AF27">
            <v>25.1</v>
          </cell>
          <cell r="AG27">
            <v>1</v>
          </cell>
          <cell r="AM27">
            <v>0</v>
          </cell>
          <cell r="AN27">
            <v>0</v>
          </cell>
          <cell r="AO27">
            <v>0</v>
          </cell>
          <cell r="AU27" t="str">
            <v xml:space="preserve"> 1Q</v>
          </cell>
          <cell r="AV27">
            <v>56.699999999999996</v>
          </cell>
          <cell r="AX27">
            <v>153.5</v>
          </cell>
          <cell r="AY27">
            <v>59.4</v>
          </cell>
          <cell r="AZ27">
            <v>212.9</v>
          </cell>
          <cell r="BD27">
            <v>22.5</v>
          </cell>
          <cell r="BF27">
            <v>0</v>
          </cell>
          <cell r="BG27">
            <v>0</v>
          </cell>
          <cell r="BH27">
            <v>0</v>
          </cell>
          <cell r="BI27">
            <v>292.10000000000002</v>
          </cell>
          <cell r="BK27">
            <v>108.8</v>
          </cell>
          <cell r="BL27">
            <v>34.299999999999997</v>
          </cell>
          <cell r="BM27">
            <v>143.1</v>
          </cell>
          <cell r="BO27">
            <v>0</v>
          </cell>
          <cell r="BP27">
            <v>0.1</v>
          </cell>
          <cell r="BQ27">
            <v>0.1</v>
          </cell>
          <cell r="BS27">
            <v>10</v>
          </cell>
          <cell r="BT27">
            <v>10.1</v>
          </cell>
          <cell r="BV27">
            <v>0</v>
          </cell>
          <cell r="BX27">
            <v>56.9</v>
          </cell>
          <cell r="BY27">
            <v>1475.1999999999998</v>
          </cell>
          <cell r="BZ27">
            <v>124.19999999999999</v>
          </cell>
          <cell r="CA27">
            <v>1599.3999999999999</v>
          </cell>
        </row>
        <row r="28">
          <cell r="A28" t="str">
            <v xml:space="preserve"> 2Q</v>
          </cell>
          <cell r="B28">
            <v>355.2</v>
          </cell>
          <cell r="C28">
            <v>158.19999999999999</v>
          </cell>
          <cell r="D28">
            <v>513.4</v>
          </cell>
          <cell r="F28">
            <v>0</v>
          </cell>
          <cell r="G28">
            <v>0</v>
          </cell>
          <cell r="H28">
            <v>0</v>
          </cell>
          <cell r="J28">
            <v>26.5</v>
          </cell>
          <cell r="L28">
            <v>14.800000000000068</v>
          </cell>
          <cell r="R28">
            <v>554.70000000000005</v>
          </cell>
          <cell r="T28" t="str">
            <v xml:space="preserve"> 2Q</v>
          </cell>
          <cell r="U28">
            <v>37.700000000000003</v>
          </cell>
          <cell r="V28">
            <v>115.8</v>
          </cell>
          <cell r="W28">
            <v>153.5</v>
          </cell>
          <cell r="Y28">
            <v>2.2000000000000002</v>
          </cell>
          <cell r="Z28">
            <v>40.619999999999997</v>
          </cell>
          <cell r="AA28">
            <v>82.28</v>
          </cell>
          <cell r="AB28">
            <v>66.05</v>
          </cell>
          <cell r="AD28">
            <v>344.65</v>
          </cell>
          <cell r="AF28">
            <v>31.8</v>
          </cell>
          <cell r="AG28">
            <v>3</v>
          </cell>
          <cell r="AM28">
            <v>0</v>
          </cell>
          <cell r="AN28">
            <v>0</v>
          </cell>
          <cell r="AO28">
            <v>0</v>
          </cell>
          <cell r="AU28" t="str">
            <v xml:space="preserve"> 2Q</v>
          </cell>
          <cell r="AV28">
            <v>70.900000000000006</v>
          </cell>
          <cell r="AX28">
            <v>104.6</v>
          </cell>
          <cell r="AY28">
            <v>68.2</v>
          </cell>
          <cell r="AZ28">
            <v>172.8</v>
          </cell>
          <cell r="BD28">
            <v>19.899999999999999</v>
          </cell>
          <cell r="BF28">
            <v>0</v>
          </cell>
          <cell r="BG28">
            <v>0</v>
          </cell>
          <cell r="BH28">
            <v>0</v>
          </cell>
          <cell r="BI28">
            <v>263.60000000000002</v>
          </cell>
          <cell r="BK28">
            <v>85</v>
          </cell>
          <cell r="BL28">
            <v>38.799999999999997</v>
          </cell>
          <cell r="BM28">
            <v>123.8</v>
          </cell>
          <cell r="BO28">
            <v>0</v>
          </cell>
          <cell r="BP28">
            <v>0.3</v>
          </cell>
          <cell r="BQ28">
            <v>0.3</v>
          </cell>
          <cell r="BS28">
            <v>11</v>
          </cell>
          <cell r="BT28">
            <v>11.3</v>
          </cell>
          <cell r="BV28">
            <v>0</v>
          </cell>
          <cell r="BX28">
            <v>71.45</v>
          </cell>
          <cell r="BY28">
            <v>1404.3</v>
          </cell>
          <cell r="BZ28">
            <v>119.5</v>
          </cell>
          <cell r="CA28">
            <v>1523.8</v>
          </cell>
        </row>
        <row r="29">
          <cell r="A29" t="str">
            <v xml:space="preserve"> 3Q</v>
          </cell>
          <cell r="B29">
            <v>429.5</v>
          </cell>
          <cell r="C29">
            <v>151.19999999999999</v>
          </cell>
          <cell r="D29">
            <v>580.70000000000005</v>
          </cell>
          <cell r="F29">
            <v>0</v>
          </cell>
          <cell r="G29">
            <v>0</v>
          </cell>
          <cell r="H29">
            <v>0</v>
          </cell>
          <cell r="J29">
            <v>25.4</v>
          </cell>
          <cell r="L29">
            <v>15.100000000000001</v>
          </cell>
          <cell r="R29">
            <v>621.20000000000005</v>
          </cell>
          <cell r="T29" t="str">
            <v xml:space="preserve"> 3Q</v>
          </cell>
          <cell r="U29">
            <v>18.399999999999999</v>
          </cell>
          <cell r="V29">
            <v>99.8</v>
          </cell>
          <cell r="W29">
            <v>118.19999999999999</v>
          </cell>
          <cell r="Y29">
            <v>7.34</v>
          </cell>
          <cell r="Z29">
            <v>37.64</v>
          </cell>
          <cell r="AA29">
            <v>57.58</v>
          </cell>
          <cell r="AB29">
            <v>53.92</v>
          </cell>
          <cell r="AD29">
            <v>274.67999999999995</v>
          </cell>
          <cell r="AF29">
            <v>27.8</v>
          </cell>
          <cell r="AG29">
            <v>6.5</v>
          </cell>
          <cell r="AM29">
            <v>0</v>
          </cell>
          <cell r="AN29">
            <v>0</v>
          </cell>
          <cell r="AO29">
            <v>0</v>
          </cell>
          <cell r="AU29" t="str">
            <v xml:space="preserve"> 3Q</v>
          </cell>
          <cell r="AV29">
            <v>66</v>
          </cell>
          <cell r="AX29">
            <v>128.6</v>
          </cell>
          <cell r="AY29">
            <v>67.2</v>
          </cell>
          <cell r="AZ29">
            <v>195.8</v>
          </cell>
          <cell r="BD29">
            <v>18.899999999999999</v>
          </cell>
          <cell r="BF29">
            <v>0</v>
          </cell>
          <cell r="BG29">
            <v>0</v>
          </cell>
          <cell r="BH29">
            <v>0</v>
          </cell>
          <cell r="BI29">
            <v>280.7</v>
          </cell>
          <cell r="BK29">
            <v>101.3</v>
          </cell>
          <cell r="BL29">
            <v>30.8</v>
          </cell>
          <cell r="BM29">
            <v>132.1</v>
          </cell>
          <cell r="BO29">
            <v>0</v>
          </cell>
          <cell r="BP29">
            <v>1.3</v>
          </cell>
          <cell r="BQ29">
            <v>1.3</v>
          </cell>
          <cell r="BS29">
            <v>9</v>
          </cell>
          <cell r="BT29">
            <v>10.3</v>
          </cell>
          <cell r="BV29">
            <v>0</v>
          </cell>
          <cell r="BX29">
            <v>62.6</v>
          </cell>
          <cell r="BY29">
            <v>1415.8799999999997</v>
          </cell>
          <cell r="BZ29">
            <v>126.2</v>
          </cell>
          <cell r="CA29">
            <v>1542.0799999999997</v>
          </cell>
        </row>
        <row r="30">
          <cell r="A30" t="str">
            <v xml:space="preserve"> 4Q</v>
          </cell>
          <cell r="B30">
            <v>341.1</v>
          </cell>
          <cell r="C30">
            <v>173.9</v>
          </cell>
          <cell r="D30">
            <v>515</v>
          </cell>
          <cell r="F30">
            <v>0</v>
          </cell>
          <cell r="G30">
            <v>0</v>
          </cell>
          <cell r="H30">
            <v>0</v>
          </cell>
          <cell r="J30">
            <v>28.6</v>
          </cell>
          <cell r="L30">
            <v>19.799999999999976</v>
          </cell>
          <cell r="R30">
            <v>563.4</v>
          </cell>
          <cell r="T30" t="str">
            <v xml:space="preserve"> 4Q</v>
          </cell>
          <cell r="U30">
            <v>40.6</v>
          </cell>
          <cell r="V30">
            <v>142.5</v>
          </cell>
          <cell r="W30">
            <v>183.1</v>
          </cell>
          <cell r="Y30">
            <v>13.3</v>
          </cell>
          <cell r="Z30">
            <v>46.900000000000006</v>
          </cell>
          <cell r="AA30">
            <v>66.5</v>
          </cell>
          <cell r="AB30">
            <v>66.8</v>
          </cell>
          <cell r="AD30">
            <v>376.6</v>
          </cell>
          <cell r="AF30">
            <v>27.8</v>
          </cell>
          <cell r="AG30">
            <v>12.3</v>
          </cell>
          <cell r="AM30">
            <v>0</v>
          </cell>
          <cell r="AN30">
            <v>0</v>
          </cell>
          <cell r="AO30">
            <v>0</v>
          </cell>
          <cell r="AU30" t="str">
            <v xml:space="preserve"> 4Q</v>
          </cell>
          <cell r="AV30">
            <v>75.599999999999994</v>
          </cell>
          <cell r="AX30">
            <v>139.6</v>
          </cell>
          <cell r="AY30">
            <v>73</v>
          </cell>
          <cell r="AZ30">
            <v>212.6</v>
          </cell>
          <cell r="BD30">
            <v>21.1</v>
          </cell>
          <cell r="BF30">
            <v>0</v>
          </cell>
          <cell r="BG30">
            <v>0</v>
          </cell>
          <cell r="BH30">
            <v>0</v>
          </cell>
          <cell r="BI30">
            <v>309.3</v>
          </cell>
          <cell r="BK30">
            <v>112.2</v>
          </cell>
          <cell r="BL30">
            <v>37.1</v>
          </cell>
          <cell r="BM30">
            <v>149.30000000000001</v>
          </cell>
          <cell r="BO30">
            <v>0</v>
          </cell>
          <cell r="BP30">
            <v>2.7</v>
          </cell>
          <cell r="BQ30">
            <v>2.7</v>
          </cell>
          <cell r="BS30">
            <v>9.1</v>
          </cell>
          <cell r="BT30">
            <v>11.8</v>
          </cell>
          <cell r="BV30">
            <v>0</v>
          </cell>
          <cell r="BX30">
            <v>69.2</v>
          </cell>
          <cell r="BY30">
            <v>1519.6999999999998</v>
          </cell>
          <cell r="BZ30">
            <v>152.1</v>
          </cell>
          <cell r="CA30">
            <v>1671.7999999999997</v>
          </cell>
        </row>
        <row r="32">
          <cell r="A32" t="str">
            <v>1995</v>
          </cell>
          <cell r="B32">
            <v>1438.4</v>
          </cell>
          <cell r="C32">
            <v>627.4</v>
          </cell>
          <cell r="D32">
            <v>2065.8000000000002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108.1</v>
          </cell>
          <cell r="K32">
            <v>0</v>
          </cell>
          <cell r="L32">
            <v>60.299999999999976</v>
          </cell>
          <cell r="M32">
            <v>0</v>
          </cell>
          <cell r="R32">
            <v>2234.1999999999998</v>
          </cell>
          <cell r="T32" t="str">
            <v>1995</v>
          </cell>
          <cell r="U32">
            <v>227.5</v>
          </cell>
          <cell r="V32">
            <v>494.7</v>
          </cell>
          <cell r="W32">
            <v>722.19999999999993</v>
          </cell>
          <cell r="Y32">
            <v>23.94</v>
          </cell>
          <cell r="Z32">
            <v>167.07999999999998</v>
          </cell>
          <cell r="AA32">
            <v>278.54000000000002</v>
          </cell>
          <cell r="AB32">
            <v>256.17</v>
          </cell>
          <cell r="AD32">
            <v>1447.9299999999998</v>
          </cell>
          <cell r="AF32">
            <v>112.5</v>
          </cell>
          <cell r="AG32">
            <v>22.8</v>
          </cell>
          <cell r="AM32">
            <v>0</v>
          </cell>
          <cell r="AN32">
            <v>0</v>
          </cell>
          <cell r="AO32">
            <v>0</v>
          </cell>
          <cell r="AU32" t="str">
            <v>1995</v>
          </cell>
          <cell r="AV32">
            <v>269.2</v>
          </cell>
          <cell r="AX32">
            <v>526.30000000000007</v>
          </cell>
          <cell r="AY32">
            <v>267.8</v>
          </cell>
          <cell r="AZ32">
            <v>794.1</v>
          </cell>
          <cell r="BD32">
            <v>82.4</v>
          </cell>
          <cell r="BF32">
            <v>0</v>
          </cell>
          <cell r="BG32">
            <v>0</v>
          </cell>
          <cell r="BH32">
            <v>0</v>
          </cell>
          <cell r="BI32">
            <v>1145.7</v>
          </cell>
          <cell r="BK32">
            <v>407.3</v>
          </cell>
          <cell r="BL32">
            <v>141</v>
          </cell>
          <cell r="BM32">
            <v>548.29999999999995</v>
          </cell>
          <cell r="BO32">
            <v>0</v>
          </cell>
          <cell r="BP32">
            <v>4.4000000000000004</v>
          </cell>
          <cell r="BQ32">
            <v>4.4000000000000004</v>
          </cell>
          <cell r="BS32">
            <v>39.1</v>
          </cell>
          <cell r="BT32">
            <v>43.5</v>
          </cell>
          <cell r="BV32">
            <v>0</v>
          </cell>
          <cell r="BX32">
            <v>260.14999999999998</v>
          </cell>
          <cell r="BY32">
            <v>5815.079999999999</v>
          </cell>
          <cell r="BZ32">
            <v>522</v>
          </cell>
          <cell r="CA32">
            <v>6337.08</v>
          </cell>
        </row>
        <row r="34">
          <cell r="A34" t="str">
            <v>1996/95</v>
          </cell>
          <cell r="T34" t="str">
            <v>1996/95</v>
          </cell>
          <cell r="AU34" t="str">
            <v>1996/95</v>
          </cell>
        </row>
        <row r="35">
          <cell r="A35" t="str">
            <v xml:space="preserve"> 1Q</v>
          </cell>
          <cell r="B35">
            <v>0.35988483685220729</v>
          </cell>
          <cell r="C35">
            <v>6.6620402498265063E-2</v>
          </cell>
          <cell r="D35">
            <v>0.26735274797460018</v>
          </cell>
          <cell r="F35" t="str">
            <v>NM</v>
          </cell>
          <cell r="G35" t="str">
            <v>NM</v>
          </cell>
          <cell r="H35" t="str">
            <v>NM</v>
          </cell>
          <cell r="J35">
            <v>-0.15942028985507253</v>
          </cell>
          <cell r="L35">
            <v>0.57547169811322652</v>
          </cell>
          <cell r="R35">
            <v>0.25015154576682175</v>
          </cell>
          <cell r="T35" t="str">
            <v xml:space="preserve"> 1Q</v>
          </cell>
          <cell r="U35">
            <v>-0.8379204892966361</v>
          </cell>
          <cell r="V35">
            <v>-3.6603221083455345E-3</v>
          </cell>
          <cell r="W35">
            <v>-0.41174270755422587</v>
          </cell>
          <cell r="Y35" t="str">
            <v>NM</v>
          </cell>
          <cell r="Z35">
            <v>-1.001908396946569E-2</v>
          </cell>
          <cell r="AA35">
            <v>-0.10640066500415636</v>
          </cell>
          <cell r="AB35">
            <v>-9.6541786743515878E-2</v>
          </cell>
          <cell r="AD35">
            <v>-0.25685840707964619</v>
          </cell>
          <cell r="AF35">
            <v>4.3824701195219036E-2</v>
          </cell>
          <cell r="AG35" t="str">
            <v>NM</v>
          </cell>
          <cell r="AM35" t="str">
            <v>NM</v>
          </cell>
          <cell r="AN35" t="str">
            <v>NM</v>
          </cell>
          <cell r="AO35" t="str">
            <v>NM</v>
          </cell>
          <cell r="AU35" t="str">
            <v xml:space="preserve"> 1Q</v>
          </cell>
          <cell r="AV35">
            <v>4.9382716049382797E-2</v>
          </cell>
          <cell r="AX35">
            <v>-0.16091205211726378</v>
          </cell>
          <cell r="AY35">
            <v>0.32323232323232315</v>
          </cell>
          <cell r="AZ35">
            <v>-2.5833724753405354E-2</v>
          </cell>
          <cell r="BD35">
            <v>-0.15111111111111106</v>
          </cell>
          <cell r="BF35" t="str">
            <v>NM</v>
          </cell>
          <cell r="BG35" t="str">
            <v>NM</v>
          </cell>
          <cell r="BH35" t="str">
            <v>NM</v>
          </cell>
          <cell r="BI35">
            <v>-2.0883259157822739E-2</v>
          </cell>
          <cell r="BK35">
            <v>6.2499999999999972E-2</v>
          </cell>
          <cell r="BL35">
            <v>-5.8309037900873394E-3</v>
          </cell>
          <cell r="BM35">
            <v>4.6121593291404576E-2</v>
          </cell>
          <cell r="BO35" t="str">
            <v>NM</v>
          </cell>
          <cell r="BP35" t="str">
            <v>NM</v>
          </cell>
          <cell r="BQ35" t="str">
            <v>NM</v>
          </cell>
          <cell r="BS35">
            <v>-0.05</v>
          </cell>
          <cell r="BT35">
            <v>0.33663366336633666</v>
          </cell>
          <cell r="BV35" t="str">
            <v>NM</v>
          </cell>
          <cell r="BX35">
            <v>0.19332161687170488</v>
          </cell>
          <cell r="BY35">
            <v>3.0843275488069571E-2</v>
          </cell>
          <cell r="BZ35">
            <v>8.9371980676328691E-2</v>
          </cell>
          <cell r="CA35">
            <v>3.538827060147564E-2</v>
          </cell>
        </row>
        <row r="36">
          <cell r="A36" t="str">
            <v xml:space="preserve"> 2Q</v>
          </cell>
          <cell r="B36">
            <v>3.9132882882882983E-2</v>
          </cell>
          <cell r="C36">
            <v>5.8786346396965942E-2</v>
          </cell>
          <cell r="D36">
            <v>4.518893650175311E-2</v>
          </cell>
          <cell r="F36" t="str">
            <v>NM</v>
          </cell>
          <cell r="G36" t="str">
            <v>NM</v>
          </cell>
          <cell r="H36" t="str">
            <v>NM</v>
          </cell>
          <cell r="J36">
            <v>-3.7735849056603772E-2</v>
          </cell>
          <cell r="L36">
            <v>0.42567567567567066</v>
          </cell>
          <cell r="R36">
            <v>5.1379123850730117E-2</v>
          </cell>
          <cell r="T36" t="str">
            <v xml:space="preserve"> 2Q</v>
          </cell>
          <cell r="U36">
            <v>-0.70557029177718833</v>
          </cell>
          <cell r="V36">
            <v>-2.5906735751295339E-2</v>
          </cell>
          <cell r="W36">
            <v>-0.19283387622149842</v>
          </cell>
          <cell r="Y36" t="str">
            <v>NM</v>
          </cell>
          <cell r="Z36">
            <v>2.9049729197439679E-2</v>
          </cell>
          <cell r="AA36">
            <v>-0.17233835683033552</v>
          </cell>
          <cell r="AB36">
            <v>-0.13247539742619227</v>
          </cell>
          <cell r="AD36">
            <v>-0.14086754678659513</v>
          </cell>
          <cell r="AF36">
            <v>-0.14465408805031452</v>
          </cell>
          <cell r="AG36" t="str">
            <v>NM</v>
          </cell>
          <cell r="AM36" t="str">
            <v>NM</v>
          </cell>
          <cell r="AN36" t="str">
            <v>NM</v>
          </cell>
          <cell r="AO36" t="str">
            <v>NM</v>
          </cell>
          <cell r="AU36" t="str">
            <v xml:space="preserve"> 2Q</v>
          </cell>
          <cell r="AV36">
            <v>-5.5007052186177789E-2</v>
          </cell>
          <cell r="AX36">
            <v>0.34799235181644367</v>
          </cell>
          <cell r="AY36">
            <v>4.5454545454545373E-2</v>
          </cell>
          <cell r="AZ36">
            <v>0.22858796296296294</v>
          </cell>
          <cell r="BD36">
            <v>-2.5125628140703519E-2</v>
          </cell>
          <cell r="BF36" t="str">
            <v>NM</v>
          </cell>
          <cell r="BG36" t="str">
            <v>NM</v>
          </cell>
          <cell r="BH36" t="str">
            <v>NM</v>
          </cell>
          <cell r="BI36">
            <v>0.13884673748103171</v>
          </cell>
          <cell r="BK36">
            <v>6.5882352941176406E-2</v>
          </cell>
          <cell r="BL36">
            <v>-0.29896907216494845</v>
          </cell>
          <cell r="BM36">
            <v>-4.8465266558966075E-2</v>
          </cell>
          <cell r="BO36" t="str">
            <v>NM</v>
          </cell>
          <cell r="BP36" t="str">
            <v>NM</v>
          </cell>
          <cell r="BQ36" t="str">
            <v>NM</v>
          </cell>
          <cell r="BS36">
            <v>-0.14545454545454542</v>
          </cell>
          <cell r="BT36">
            <v>0.85840707964601759</v>
          </cell>
          <cell r="BV36" t="str">
            <v>NM</v>
          </cell>
          <cell r="BX36">
            <v>-3.0090972708187624E-2</v>
          </cell>
          <cell r="BY36">
            <v>3.3967101046784909E-2</v>
          </cell>
          <cell r="BZ36">
            <v>1.4225941422594167E-2</v>
          </cell>
          <cell r="CA36">
            <v>3.2418952618453928E-2</v>
          </cell>
        </row>
        <row r="37">
          <cell r="A37" t="str">
            <v xml:space="preserve"> 3Q</v>
          </cell>
          <cell r="B37">
            <v>0.14994179278230496</v>
          </cell>
          <cell r="C37">
            <v>-5.0264550264550234E-2</v>
          </cell>
          <cell r="D37">
            <v>9.781298432925771E-2</v>
          </cell>
          <cell r="F37" t="str">
            <v>NM</v>
          </cell>
          <cell r="G37" t="str">
            <v>NM</v>
          </cell>
          <cell r="H37" t="str">
            <v>NM</v>
          </cell>
          <cell r="J37">
            <v>-3.937007874015748E-2</v>
          </cell>
          <cell r="L37">
            <v>0.45695364238410441</v>
          </cell>
          <cell r="R37">
            <v>0.10093367675466827</v>
          </cell>
          <cell r="T37" t="str">
            <v xml:space="preserve"> 3Q</v>
          </cell>
          <cell r="U37">
            <v>-0.34782608695652167</v>
          </cell>
          <cell r="V37">
            <v>-7.7154308617234504E-2</v>
          </cell>
          <cell r="W37">
            <v>-0.11928934010152281</v>
          </cell>
          <cell r="Y37" t="str">
            <v>NM</v>
          </cell>
          <cell r="Z37">
            <v>0.11849096705632309</v>
          </cell>
          <cell r="AA37">
            <v>7.2941993747829403E-3</v>
          </cell>
          <cell r="AB37">
            <v>-7.0845697329376858E-2</v>
          </cell>
          <cell r="AD37">
            <v>-5.1623707587010167E-2</v>
          </cell>
          <cell r="AF37">
            <v>-0.14748201438848926</v>
          </cell>
          <cell r="AG37" t="str">
            <v>NM</v>
          </cell>
          <cell r="AM37" t="str">
            <v>NM</v>
          </cell>
          <cell r="AN37" t="str">
            <v>NM</v>
          </cell>
          <cell r="AO37" t="str">
            <v>NM</v>
          </cell>
          <cell r="AU37" t="str">
            <v xml:space="preserve"> 3Q</v>
          </cell>
          <cell r="AV37">
            <v>1.3636363636363722E-2</v>
          </cell>
          <cell r="AX37">
            <v>0.1166407465007776</v>
          </cell>
          <cell r="AY37">
            <v>0.22172619047619033</v>
          </cell>
          <cell r="AZ37">
            <v>0.15270684371807955</v>
          </cell>
          <cell r="BD37">
            <v>-4.7619047619047547E-2</v>
          </cell>
          <cell r="BF37" t="str">
            <v>NM</v>
          </cell>
          <cell r="BG37" t="str">
            <v>NM</v>
          </cell>
          <cell r="BH37" t="str">
            <v>NM</v>
          </cell>
          <cell r="BI37">
            <v>0.1389383683648025</v>
          </cell>
          <cell r="BK37">
            <v>-2.8627838104639602E-2</v>
          </cell>
          <cell r="BL37">
            <v>-7.792207792207799E-2</v>
          </cell>
          <cell r="BM37">
            <v>-4.0121120363360963E-2</v>
          </cell>
          <cell r="BO37" t="str">
            <v>NM</v>
          </cell>
          <cell r="BP37" t="str">
            <v>NM</v>
          </cell>
          <cell r="BQ37" t="str">
            <v>NM</v>
          </cell>
          <cell r="BS37">
            <v>-5.5555555555555552E-2</v>
          </cell>
          <cell r="BT37">
            <v>1.7766990291262135</v>
          </cell>
          <cell r="BV37" t="str">
            <v>NM</v>
          </cell>
          <cell r="BX37">
            <v>0.11501597444089449</v>
          </cell>
          <cell r="BY37">
            <v>9.5784953527135341E-2</v>
          </cell>
          <cell r="BZ37">
            <v>2.2979397781299458E-2</v>
          </cell>
          <cell r="CA37">
            <v>8.9826727536833517E-2</v>
          </cell>
        </row>
        <row r="38">
          <cell r="A38" t="str">
            <v xml:space="preserve"> 4Q</v>
          </cell>
          <cell r="B38">
            <v>0.29610085019055993</v>
          </cell>
          <cell r="C38">
            <v>-7.4755606670500283E-2</v>
          </cell>
          <cell r="D38">
            <v>0.17087378640776699</v>
          </cell>
          <cell r="F38" t="str">
            <v>NM</v>
          </cell>
          <cell r="G38" t="str">
            <v>NM</v>
          </cell>
          <cell r="H38" t="str">
            <v>NM</v>
          </cell>
          <cell r="J38">
            <v>2.4475524475524448E-2</v>
          </cell>
          <cell r="L38">
            <v>0.41414141414141858</v>
          </cell>
          <cell r="R38">
            <v>0.3262335818246363</v>
          </cell>
          <cell r="T38" t="str">
            <v xml:space="preserve"> 4Q</v>
          </cell>
          <cell r="U38">
            <v>-0.33497536945812811</v>
          </cell>
          <cell r="V38">
            <v>-8.9824561403508849E-2</v>
          </cell>
          <cell r="W38">
            <v>-0.14418350628072096</v>
          </cell>
          <cell r="Y38" t="str">
            <v>NM</v>
          </cell>
          <cell r="Z38">
            <v>-6.1833688699360456E-2</v>
          </cell>
          <cell r="AA38">
            <v>-0.11428571428571431</v>
          </cell>
          <cell r="AB38">
            <v>-0.2035928143712574</v>
          </cell>
          <cell r="AD38">
            <v>-0.15082315454062684</v>
          </cell>
          <cell r="AF38">
            <v>-0.15107913669064746</v>
          </cell>
          <cell r="AG38" t="str">
            <v>NM</v>
          </cell>
          <cell r="AM38" t="str">
            <v>NM</v>
          </cell>
          <cell r="AN38" t="str">
            <v>NM</v>
          </cell>
          <cell r="AO38" t="str">
            <v>NM</v>
          </cell>
          <cell r="AU38" t="str">
            <v xml:space="preserve"> 4Q</v>
          </cell>
          <cell r="AV38">
            <v>-1.3227513227513229E-2</v>
          </cell>
          <cell r="AX38">
            <v>7.5931232091690504E-2</v>
          </cell>
          <cell r="AY38">
            <v>0.21095890410958912</v>
          </cell>
          <cell r="AZ38">
            <v>0.12229539040451552</v>
          </cell>
          <cell r="BD38">
            <v>1.8957345971563913E-2</v>
          </cell>
          <cell r="BF38" t="str">
            <v>NM</v>
          </cell>
          <cell r="BG38" t="str">
            <v>NM</v>
          </cell>
          <cell r="BH38" t="str">
            <v>NM</v>
          </cell>
          <cell r="BI38">
            <v>0.11251212415130926</v>
          </cell>
          <cell r="BK38">
            <v>-6.7736185383244288E-2</v>
          </cell>
          <cell r="BL38">
            <v>-0.12668463611859845</v>
          </cell>
          <cell r="BM38">
            <v>-8.238446081714676E-2</v>
          </cell>
          <cell r="BO38" t="str">
            <v>NM</v>
          </cell>
          <cell r="BP38" t="str">
            <v>NM</v>
          </cell>
          <cell r="BQ38" t="str">
            <v>NM</v>
          </cell>
          <cell r="BS38">
            <v>-3.296703296703285E-2</v>
          </cell>
          <cell r="BT38">
            <v>1.9661016949152541</v>
          </cell>
          <cell r="BV38" t="str">
            <v>NM</v>
          </cell>
          <cell r="BX38">
            <v>5.491329479768782E-2</v>
          </cell>
          <cell r="BY38">
            <v>0.13871158781338422</v>
          </cell>
          <cell r="BZ38">
            <v>0.14332675871137418</v>
          </cell>
          <cell r="CA38">
            <v>0.13913147505682508</v>
          </cell>
        </row>
        <row r="40">
          <cell r="A40" t="str">
            <v>1996/95</v>
          </cell>
          <cell r="B40">
            <v>0.20286429365962161</v>
          </cell>
          <cell r="C40">
            <v>-2.7095951546062032E-3</v>
          </cell>
          <cell r="D40">
            <v>0.14042985768225358</v>
          </cell>
          <cell r="F40" t="str">
            <v>NM</v>
          </cell>
          <cell r="G40" t="str">
            <v>NM</v>
          </cell>
          <cell r="H40" t="str">
            <v>NM</v>
          </cell>
          <cell r="J40">
            <v>-5.272895467160027E-2</v>
          </cell>
          <cell r="L40">
            <v>0.45605306799336942</v>
          </cell>
          <cell r="R40">
            <v>0.17849789633873431</v>
          </cell>
          <cell r="T40" t="str">
            <v>1996/95</v>
          </cell>
          <cell r="U40">
            <v>-0.68659340659340651</v>
          </cell>
          <cell r="V40">
            <v>-4.8514251061249361E-2</v>
          </cell>
          <cell r="W40">
            <v>-0.24951536970368327</v>
          </cell>
          <cell r="Y40" t="str">
            <v>NM</v>
          </cell>
          <cell r="Z40">
            <v>1.3885563801771568E-2</v>
          </cell>
          <cell r="AA40">
            <v>-0.10425791627773397</v>
          </cell>
          <cell r="AB40">
            <v>-0.1283132294960378</v>
          </cell>
          <cell r="AD40">
            <v>-0.16273576761307532</v>
          </cell>
          <cell r="AF40">
            <v>-0.10488888888888899</v>
          </cell>
          <cell r="AG40" t="str">
            <v>NM</v>
          </cell>
          <cell r="AM40" t="str">
            <v>NM</v>
          </cell>
          <cell r="AN40" t="str">
            <v>NM</v>
          </cell>
          <cell r="AO40" t="str">
            <v>NM</v>
          </cell>
          <cell r="AU40" t="str">
            <v>1996/95</v>
          </cell>
          <cell r="AV40">
            <v>-4.4576523031203148E-3</v>
          </cell>
          <cell r="AX40">
            <v>7.0872126163784605E-2</v>
          </cell>
          <cell r="AY40">
            <v>0.19641523525018656</v>
          </cell>
          <cell r="AZ40">
            <v>0.11320992318347797</v>
          </cell>
          <cell r="BD40">
            <v>-5.3398058252427251E-2</v>
          </cell>
          <cell r="BF40" t="str">
            <v>NM</v>
          </cell>
          <cell r="BG40" t="str">
            <v>NM</v>
          </cell>
          <cell r="BH40" t="str">
            <v>NM</v>
          </cell>
          <cell r="BI40">
            <v>9.1036047831020289E-2</v>
          </cell>
          <cell r="BK40">
            <v>4.6648661919961552E-3</v>
          </cell>
          <cell r="BL40">
            <v>-0.13404255319148939</v>
          </cell>
          <cell r="BM40">
            <v>-3.1004924311508301E-2</v>
          </cell>
          <cell r="BO40" t="str">
            <v>NM</v>
          </cell>
          <cell r="BP40" t="str">
            <v>NM</v>
          </cell>
          <cell r="BQ40" t="str">
            <v>NM</v>
          </cell>
          <cell r="BS40">
            <v>-7.4168797953964152E-2</v>
          </cell>
          <cell r="BT40">
            <v>1.2551724137931033</v>
          </cell>
          <cell r="BV40" t="str">
            <v>NM</v>
          </cell>
          <cell r="BX40">
            <v>7.6302133384585913E-2</v>
          </cell>
          <cell r="BY40">
            <v>7.5599991745599518E-2</v>
          </cell>
          <cell r="BZ40">
            <v>7.183908045977011E-2</v>
          </cell>
          <cell r="CA40">
            <v>7.5290196746766638E-2</v>
          </cell>
        </row>
        <row r="42">
          <cell r="A42" t="str">
            <v>1996</v>
          </cell>
          <cell r="T42" t="str">
            <v>1996</v>
          </cell>
          <cell r="AU42" t="str">
            <v>1996</v>
          </cell>
        </row>
        <row r="43">
          <cell r="A43" t="str">
            <v xml:space="preserve"> 1Q</v>
          </cell>
          <cell r="B43">
            <v>425.1</v>
          </cell>
          <cell r="C43">
            <v>153.69999999999999</v>
          </cell>
          <cell r="D43">
            <v>578.79999999999995</v>
          </cell>
          <cell r="F43">
            <v>0</v>
          </cell>
          <cell r="G43">
            <v>0</v>
          </cell>
          <cell r="H43">
            <v>0</v>
          </cell>
          <cell r="J43">
            <v>23.2</v>
          </cell>
          <cell r="L43">
            <v>16.700000000000092</v>
          </cell>
          <cell r="R43">
            <v>618.70000000000005</v>
          </cell>
          <cell r="T43" t="str">
            <v xml:space="preserve"> 1Q</v>
          </cell>
          <cell r="U43">
            <v>21.2</v>
          </cell>
          <cell r="V43">
            <v>136.1</v>
          </cell>
          <cell r="W43">
            <v>157.29999999999998</v>
          </cell>
          <cell r="Y43">
            <v>9.9</v>
          </cell>
          <cell r="Z43">
            <v>41.5</v>
          </cell>
          <cell r="AA43">
            <v>64.5</v>
          </cell>
          <cell r="AB43">
            <v>62.7</v>
          </cell>
          <cell r="AD43">
            <v>335.89999999999992</v>
          </cell>
          <cell r="AF43">
            <v>26.2</v>
          </cell>
          <cell r="AG43">
            <v>22.8</v>
          </cell>
          <cell r="AM43">
            <v>0</v>
          </cell>
          <cell r="AN43">
            <v>0</v>
          </cell>
          <cell r="AO43">
            <v>0</v>
          </cell>
          <cell r="AU43" t="str">
            <v xml:space="preserve"> 1Q</v>
          </cell>
          <cell r="AV43">
            <v>59.5</v>
          </cell>
          <cell r="AX43">
            <v>128.80000000000001</v>
          </cell>
          <cell r="AY43">
            <v>78.599999999999994</v>
          </cell>
          <cell r="AZ43">
            <v>207.4</v>
          </cell>
          <cell r="BD43">
            <v>19.100000000000001</v>
          </cell>
          <cell r="BF43">
            <v>0</v>
          </cell>
          <cell r="BG43">
            <v>0</v>
          </cell>
          <cell r="BH43">
            <v>0</v>
          </cell>
          <cell r="BI43">
            <v>286</v>
          </cell>
          <cell r="BK43">
            <v>115.6</v>
          </cell>
          <cell r="BL43">
            <v>34.1</v>
          </cell>
          <cell r="BM43">
            <v>149.69999999999999</v>
          </cell>
          <cell r="BO43">
            <v>0</v>
          </cell>
          <cell r="BP43">
            <v>4</v>
          </cell>
          <cell r="BQ43">
            <v>4</v>
          </cell>
          <cell r="BS43">
            <v>9.5</v>
          </cell>
          <cell r="BT43">
            <v>13.5</v>
          </cell>
          <cell r="BV43">
            <v>0</v>
          </cell>
          <cell r="BX43">
            <v>67.900000000000006</v>
          </cell>
          <cell r="BY43">
            <v>1520.7</v>
          </cell>
          <cell r="BZ43">
            <v>135.30000000000001</v>
          </cell>
          <cell r="CA43">
            <v>1656</v>
          </cell>
        </row>
        <row r="44">
          <cell r="A44" t="str">
            <v xml:space="preserve"> 2Q</v>
          </cell>
          <cell r="B44">
            <v>369.1</v>
          </cell>
          <cell r="C44">
            <v>167.5</v>
          </cell>
          <cell r="D44">
            <v>536.6</v>
          </cell>
          <cell r="F44">
            <v>0</v>
          </cell>
          <cell r="G44">
            <v>0</v>
          </cell>
          <cell r="H44">
            <v>0</v>
          </cell>
          <cell r="J44">
            <v>25.5</v>
          </cell>
          <cell r="L44">
            <v>21.100000000000023</v>
          </cell>
          <cell r="R44">
            <v>583.20000000000005</v>
          </cell>
          <cell r="T44" t="str">
            <v xml:space="preserve"> 2Q</v>
          </cell>
          <cell r="U44">
            <v>11.1</v>
          </cell>
          <cell r="V44">
            <v>112.8</v>
          </cell>
          <cell r="W44">
            <v>123.89999999999999</v>
          </cell>
          <cell r="Y44">
            <v>5</v>
          </cell>
          <cell r="Z44">
            <v>41.8</v>
          </cell>
          <cell r="AA44">
            <v>68.099999999999994</v>
          </cell>
          <cell r="AB44">
            <v>57.3</v>
          </cell>
          <cell r="AD44">
            <v>296.09999999999997</v>
          </cell>
          <cell r="AF44">
            <v>27.2</v>
          </cell>
          <cell r="AG44">
            <v>37.200000000000003</v>
          </cell>
          <cell r="AM44">
            <v>0</v>
          </cell>
          <cell r="AN44">
            <v>0</v>
          </cell>
          <cell r="AO44">
            <v>0</v>
          </cell>
          <cell r="AU44" t="str">
            <v xml:space="preserve"> 2Q</v>
          </cell>
          <cell r="AV44">
            <v>67</v>
          </cell>
          <cell r="AX44">
            <v>141</v>
          </cell>
          <cell r="AY44">
            <v>71.3</v>
          </cell>
          <cell r="AZ44">
            <v>212.3</v>
          </cell>
          <cell r="BD44">
            <v>19.399999999999999</v>
          </cell>
          <cell r="BF44">
            <v>0</v>
          </cell>
          <cell r="BG44">
            <v>1.5</v>
          </cell>
          <cell r="BH44">
            <v>1.5</v>
          </cell>
          <cell r="BI44">
            <v>300.2</v>
          </cell>
          <cell r="BK44">
            <v>90.6</v>
          </cell>
          <cell r="BL44">
            <v>27.2</v>
          </cell>
          <cell r="BM44">
            <v>117.8</v>
          </cell>
          <cell r="BO44">
            <v>5.7</v>
          </cell>
          <cell r="BP44">
            <v>5.9</v>
          </cell>
          <cell r="BQ44">
            <v>11.600000000000001</v>
          </cell>
          <cell r="BS44">
            <v>9.4</v>
          </cell>
          <cell r="BT44">
            <v>21</v>
          </cell>
          <cell r="BV44">
            <v>0</v>
          </cell>
          <cell r="BX44">
            <v>69.3</v>
          </cell>
          <cell r="BY44">
            <v>1452</v>
          </cell>
          <cell r="BZ44">
            <v>121.2</v>
          </cell>
          <cell r="CA44">
            <v>1573.2</v>
          </cell>
        </row>
        <row r="45">
          <cell r="A45" t="str">
            <v xml:space="preserve"> 3Q</v>
          </cell>
          <cell r="B45">
            <v>493.9</v>
          </cell>
          <cell r="C45">
            <v>143.6</v>
          </cell>
          <cell r="D45">
            <v>637.5</v>
          </cell>
          <cell r="F45">
            <v>0</v>
          </cell>
          <cell r="G45">
            <v>0</v>
          </cell>
          <cell r="H45">
            <v>0</v>
          </cell>
          <cell r="J45">
            <v>24.4</v>
          </cell>
          <cell r="L45">
            <v>21.999999999999979</v>
          </cell>
          <cell r="R45">
            <v>683.9</v>
          </cell>
          <cell r="T45" t="str">
            <v xml:space="preserve"> 3Q</v>
          </cell>
          <cell r="U45">
            <v>12</v>
          </cell>
          <cell r="V45">
            <v>92.1</v>
          </cell>
          <cell r="W45">
            <v>104.1</v>
          </cell>
          <cell r="Y45">
            <v>6.2</v>
          </cell>
          <cell r="Z45">
            <v>42.1</v>
          </cell>
          <cell r="AA45">
            <v>58</v>
          </cell>
          <cell r="AB45">
            <v>50.1</v>
          </cell>
          <cell r="AD45">
            <v>260.5</v>
          </cell>
          <cell r="AF45">
            <v>23.7</v>
          </cell>
          <cell r="AG45">
            <v>38.5</v>
          </cell>
          <cell r="AM45">
            <v>0</v>
          </cell>
          <cell r="AN45">
            <v>0</v>
          </cell>
          <cell r="AO45">
            <v>0</v>
          </cell>
          <cell r="AU45" t="str">
            <v xml:space="preserve"> 3Q</v>
          </cell>
          <cell r="AV45">
            <v>66.900000000000006</v>
          </cell>
          <cell r="AX45">
            <v>143.6</v>
          </cell>
          <cell r="AY45">
            <v>82.1</v>
          </cell>
          <cell r="AZ45">
            <v>225.7</v>
          </cell>
          <cell r="BD45">
            <v>18</v>
          </cell>
          <cell r="BF45">
            <v>6.7</v>
          </cell>
          <cell r="BG45">
            <v>2.4</v>
          </cell>
          <cell r="BH45">
            <v>9.1</v>
          </cell>
          <cell r="BI45">
            <v>319.70000000000005</v>
          </cell>
          <cell r="BK45">
            <v>98.4</v>
          </cell>
          <cell r="BL45">
            <v>28.4</v>
          </cell>
          <cell r="BM45">
            <v>126.80000000000001</v>
          </cell>
          <cell r="BO45">
            <v>11.1</v>
          </cell>
          <cell r="BP45">
            <v>9</v>
          </cell>
          <cell r="BQ45">
            <v>20.100000000000001</v>
          </cell>
          <cell r="BS45">
            <v>8.5</v>
          </cell>
          <cell r="BT45">
            <v>28.6</v>
          </cell>
          <cell r="BV45">
            <v>0</v>
          </cell>
          <cell r="BX45">
            <v>69.8</v>
          </cell>
          <cell r="BY45">
            <v>1551.5</v>
          </cell>
          <cell r="BZ45">
            <v>129.1</v>
          </cell>
          <cell r="CA45">
            <v>1680.6</v>
          </cell>
        </row>
        <row r="46">
          <cell r="A46" t="str">
            <v xml:space="preserve"> 4Q</v>
          </cell>
          <cell r="B46">
            <v>442.1</v>
          </cell>
          <cell r="C46">
            <v>160.9</v>
          </cell>
          <cell r="D46">
            <v>603</v>
          </cell>
          <cell r="F46">
            <v>78.3</v>
          </cell>
          <cell r="G46">
            <v>8.6</v>
          </cell>
          <cell r="H46">
            <v>86.899999999999991</v>
          </cell>
          <cell r="J46">
            <v>29.3</v>
          </cell>
          <cell r="L46">
            <v>28.000000000000053</v>
          </cell>
          <cell r="R46">
            <v>747.2</v>
          </cell>
          <cell r="T46" t="str">
            <v xml:space="preserve"> 4Q</v>
          </cell>
          <cell r="U46">
            <v>27</v>
          </cell>
          <cell r="V46">
            <v>129.69999999999999</v>
          </cell>
          <cell r="W46">
            <v>156.69999999999999</v>
          </cell>
          <cell r="Y46">
            <v>7</v>
          </cell>
          <cell r="Z46">
            <v>44</v>
          </cell>
          <cell r="AA46">
            <v>58.9</v>
          </cell>
          <cell r="AB46">
            <v>53.2</v>
          </cell>
          <cell r="AD46">
            <v>319.79999999999995</v>
          </cell>
          <cell r="AF46">
            <v>23.6</v>
          </cell>
          <cell r="AG46">
            <v>50.8</v>
          </cell>
          <cell r="AM46">
            <v>0</v>
          </cell>
          <cell r="AN46">
            <v>0</v>
          </cell>
          <cell r="AO46">
            <v>0</v>
          </cell>
          <cell r="AU46" t="str">
            <v xml:space="preserve"> 4Q</v>
          </cell>
          <cell r="AV46">
            <v>74.599999999999994</v>
          </cell>
          <cell r="AX46">
            <v>150.19999999999999</v>
          </cell>
          <cell r="AY46">
            <v>88.4</v>
          </cell>
          <cell r="AZ46">
            <v>238.6</v>
          </cell>
          <cell r="BD46">
            <v>21.5</v>
          </cell>
          <cell r="BF46">
            <v>3.9</v>
          </cell>
          <cell r="BG46">
            <v>5.5</v>
          </cell>
          <cell r="BH46">
            <v>9.4</v>
          </cell>
          <cell r="BI46">
            <v>344.09999999999997</v>
          </cell>
          <cell r="BK46">
            <v>104.6</v>
          </cell>
          <cell r="BL46">
            <v>32.4</v>
          </cell>
          <cell r="BM46">
            <v>137</v>
          </cell>
          <cell r="BO46">
            <v>14.8</v>
          </cell>
          <cell r="BP46">
            <v>11.4</v>
          </cell>
          <cell r="BQ46">
            <v>26.200000000000003</v>
          </cell>
          <cell r="BS46">
            <v>8.8000000000000007</v>
          </cell>
          <cell r="BT46">
            <v>35</v>
          </cell>
          <cell r="BV46">
            <v>0</v>
          </cell>
          <cell r="BX46">
            <v>73</v>
          </cell>
          <cell r="BY46">
            <v>1730.4999999999998</v>
          </cell>
          <cell r="BZ46">
            <v>173.9</v>
          </cell>
          <cell r="CA46">
            <v>1904.3999999999999</v>
          </cell>
        </row>
        <row r="48">
          <cell r="A48" t="str">
            <v>1996</v>
          </cell>
          <cell r="B48">
            <v>1730.1999999999998</v>
          </cell>
          <cell r="C48">
            <v>625.70000000000005</v>
          </cell>
          <cell r="D48">
            <v>2355.8999999999996</v>
          </cell>
          <cell r="F48">
            <v>78.3</v>
          </cell>
          <cell r="G48">
            <v>8.6</v>
          </cell>
          <cell r="H48">
            <v>86.899999999999991</v>
          </cell>
          <cell r="J48">
            <v>102.4</v>
          </cell>
          <cell r="L48">
            <v>87.800000000000139</v>
          </cell>
          <cell r="R48">
            <v>2633</v>
          </cell>
          <cell r="T48" t="str">
            <v>1996</v>
          </cell>
          <cell r="U48">
            <v>71.3</v>
          </cell>
          <cell r="V48">
            <v>470.69999999999993</v>
          </cell>
          <cell r="W48">
            <v>541.99999999999989</v>
          </cell>
          <cell r="Y48">
            <v>28.1</v>
          </cell>
          <cell r="Z48">
            <v>169.39999999999998</v>
          </cell>
          <cell r="AA48">
            <v>249.5</v>
          </cell>
          <cell r="AB48">
            <v>223.3</v>
          </cell>
          <cell r="AD48">
            <v>1212.2999999999997</v>
          </cell>
          <cell r="AF48">
            <v>100.69999999999999</v>
          </cell>
          <cell r="AG48">
            <v>149.30000000000001</v>
          </cell>
          <cell r="AM48">
            <v>0</v>
          </cell>
          <cell r="AN48">
            <v>0</v>
          </cell>
          <cell r="AO48">
            <v>0</v>
          </cell>
          <cell r="AU48" t="str">
            <v>1996</v>
          </cell>
          <cell r="AV48">
            <v>268</v>
          </cell>
          <cell r="AX48">
            <v>563.59999999999991</v>
          </cell>
          <cell r="AY48">
            <v>320.39999999999998</v>
          </cell>
          <cell r="AZ48">
            <v>883.99999999999989</v>
          </cell>
          <cell r="BD48">
            <v>78</v>
          </cell>
          <cell r="BF48">
            <v>10.6</v>
          </cell>
          <cell r="BG48">
            <v>9.4</v>
          </cell>
          <cell r="BH48">
            <v>20</v>
          </cell>
          <cell r="BI48">
            <v>1250</v>
          </cell>
          <cell r="BK48">
            <v>409.20000000000005</v>
          </cell>
          <cell r="BL48">
            <v>122.1</v>
          </cell>
          <cell r="BM48">
            <v>531.29999999999995</v>
          </cell>
          <cell r="BO48">
            <v>31.6</v>
          </cell>
          <cell r="BP48">
            <v>30.299999999999997</v>
          </cell>
          <cell r="BQ48">
            <v>61.900000000000006</v>
          </cell>
          <cell r="BS48">
            <v>36.200000000000003</v>
          </cell>
          <cell r="BT48">
            <v>98.1</v>
          </cell>
          <cell r="BV48">
            <v>0</v>
          </cell>
          <cell r="BX48">
            <v>280</v>
          </cell>
          <cell r="BY48">
            <v>6254.7</v>
          </cell>
          <cell r="BZ48">
            <v>559.5</v>
          </cell>
          <cell r="CA48">
            <v>6814.2</v>
          </cell>
        </row>
        <row r="50">
          <cell r="A50" t="str">
            <v>1997/96</v>
          </cell>
          <cell r="T50" t="str">
            <v>1997/96</v>
          </cell>
          <cell r="AU50" t="str">
            <v>1997/96</v>
          </cell>
        </row>
        <row r="51">
          <cell r="A51" t="str">
            <v xml:space="preserve"> 1Q</v>
          </cell>
          <cell r="B51">
            <v>2.4935309338978983E-2</v>
          </cell>
          <cell r="C51">
            <v>-0.16916070266753408</v>
          </cell>
          <cell r="D51">
            <v>-2.6606772633033828E-2</v>
          </cell>
          <cell r="F51" t="str">
            <v>NM</v>
          </cell>
          <cell r="G51" t="str">
            <v>NM</v>
          </cell>
          <cell r="H51" t="str">
            <v>NM</v>
          </cell>
          <cell r="J51">
            <v>-0.28448275862068956</v>
          </cell>
          <cell r="L51">
            <v>0.22155688622753728</v>
          </cell>
          <cell r="R51">
            <v>0.14077905285275563</v>
          </cell>
          <cell r="T51" t="str">
            <v xml:space="preserve"> 1Q</v>
          </cell>
          <cell r="U51">
            <v>0.3726415094339624</v>
          </cell>
          <cell r="V51">
            <v>-0.18295371050698012</v>
          </cell>
          <cell r="W51">
            <v>-0.10807374443738063</v>
          </cell>
          <cell r="Y51">
            <v>-0.32323232323232326</v>
          </cell>
          <cell r="Z51">
            <v>2.1686746987951772E-2</v>
          </cell>
          <cell r="AA51">
            <v>-0.13333333333333336</v>
          </cell>
          <cell r="AB51">
            <v>-0.14673046251993624</v>
          </cell>
          <cell r="AD51">
            <v>-0.11044953855314057</v>
          </cell>
          <cell r="AF51">
            <v>-0.10687022900763361</v>
          </cell>
          <cell r="AG51">
            <v>1.2675438596491229</v>
          </cell>
          <cell r="AM51" t="str">
            <v>NM</v>
          </cell>
          <cell r="AN51" t="str">
            <v>NM</v>
          </cell>
          <cell r="AO51" t="str">
            <v>NM</v>
          </cell>
          <cell r="AU51" t="str">
            <v xml:space="preserve"> 1Q</v>
          </cell>
          <cell r="AV51">
            <v>-2.6890756302521031E-2</v>
          </cell>
          <cell r="AX51">
            <v>-3.0279503105590102E-2</v>
          </cell>
          <cell r="AY51">
            <v>8.0152671755725338E-2</v>
          </cell>
          <cell r="AZ51">
            <v>1.1571841851494723E-2</v>
          </cell>
          <cell r="BD51">
            <v>-7.8534031413612565E-2</v>
          </cell>
          <cell r="BF51" t="str">
            <v>NM</v>
          </cell>
          <cell r="BG51" t="str">
            <v>NM</v>
          </cell>
          <cell r="BH51" t="str">
            <v>NM</v>
          </cell>
          <cell r="BI51">
            <v>3.8461538461538464E-2</v>
          </cell>
          <cell r="BK51">
            <v>0.19377162629757791</v>
          </cell>
          <cell r="BL51">
            <v>-0.24633431085043994</v>
          </cell>
          <cell r="BM51">
            <v>9.3520374081496327E-2</v>
          </cell>
          <cell r="BO51" t="str">
            <v>NM</v>
          </cell>
          <cell r="BP51" t="str">
            <v>NM</v>
          </cell>
          <cell r="BQ51" t="str">
            <v>NM</v>
          </cell>
          <cell r="BS51">
            <v>-0.20000000000000004</v>
          </cell>
          <cell r="BT51">
            <v>2.0074074074074075</v>
          </cell>
          <cell r="BV51" t="str">
            <v>NM</v>
          </cell>
          <cell r="BX51">
            <v>3.6818851251840937E-2</v>
          </cell>
          <cell r="BY51">
            <v>8.5947261129742908E-2</v>
          </cell>
          <cell r="BZ51">
            <v>2.1433850702143216E-2</v>
          </cell>
          <cell r="CA51">
            <v>8.0676328502415545E-2</v>
          </cell>
        </row>
        <row r="52">
          <cell r="A52" t="str">
            <v xml:space="preserve"> 2Q</v>
          </cell>
          <cell r="B52">
            <v>0.24356542942292053</v>
          </cell>
          <cell r="C52">
            <v>-0.17253731343283585</v>
          </cell>
          <cell r="D52">
            <v>0.11367871785314945</v>
          </cell>
          <cell r="F52" t="str">
            <v>NM</v>
          </cell>
          <cell r="G52" t="str">
            <v>NM</v>
          </cell>
          <cell r="H52" t="str">
            <v>NM</v>
          </cell>
          <cell r="J52">
            <v>-0.12549019607843134</v>
          </cell>
          <cell r="L52">
            <v>0.21327014218009238</v>
          </cell>
          <cell r="R52">
            <v>0.37431412894375848</v>
          </cell>
          <cell r="T52" t="str">
            <v xml:space="preserve"> 2Q</v>
          </cell>
          <cell r="U52">
            <v>-0.29729729729729731</v>
          </cell>
          <cell r="V52">
            <v>-0.17819148936170209</v>
          </cell>
          <cell r="W52">
            <v>-0.18886198547215491</v>
          </cell>
          <cell r="Y52">
            <v>0</v>
          </cell>
          <cell r="Z52">
            <v>-5.502392344497601E-2</v>
          </cell>
          <cell r="AA52">
            <v>-0.14243759177679877</v>
          </cell>
          <cell r="AB52">
            <v>-0.18848167539267011</v>
          </cell>
          <cell r="AD52">
            <v>-0.15602836879432613</v>
          </cell>
          <cell r="AF52">
            <v>-0.11029411764705882</v>
          </cell>
          <cell r="AG52">
            <v>0.6075268817204299</v>
          </cell>
          <cell r="AM52" t="str">
            <v>NM</v>
          </cell>
          <cell r="AN52" t="str">
            <v>NM</v>
          </cell>
          <cell r="AO52" t="str">
            <v>NM</v>
          </cell>
          <cell r="AU52" t="str">
            <v xml:space="preserve"> 2Q</v>
          </cell>
          <cell r="AV52">
            <v>-2.9850746268656716E-2</v>
          </cell>
          <cell r="AX52">
            <v>-6.0283687943262408E-2</v>
          </cell>
          <cell r="AY52">
            <v>0.21458625525946701</v>
          </cell>
          <cell r="AZ52">
            <v>3.2030146019783247E-2</v>
          </cell>
          <cell r="BD52">
            <v>-0.12886597938144331</v>
          </cell>
          <cell r="BF52" t="str">
            <v>NM</v>
          </cell>
          <cell r="BG52" t="str">
            <v>NM</v>
          </cell>
          <cell r="BH52" t="str">
            <v>NM</v>
          </cell>
          <cell r="BI52">
            <v>5.2964690206529094E-2</v>
          </cell>
          <cell r="BK52">
            <v>-4.9668874172185434E-2</v>
          </cell>
          <cell r="BL52">
            <v>0.22426470588235287</v>
          </cell>
          <cell r="BM52">
            <v>1.3582342954159544E-2</v>
          </cell>
          <cell r="BO52" t="str">
            <v>NM</v>
          </cell>
          <cell r="BP52" t="str">
            <v>NM</v>
          </cell>
          <cell r="BQ52" t="str">
            <v>NM</v>
          </cell>
          <cell r="BS52">
            <v>-0.13829787234042559</v>
          </cell>
          <cell r="BT52">
            <v>1.3380952380952382</v>
          </cell>
          <cell r="BV52" t="str">
            <v>NM</v>
          </cell>
          <cell r="BX52">
            <v>9.090909090909087E-2</v>
          </cell>
          <cell r="BY52">
            <v>0.16776859504132224</v>
          </cell>
          <cell r="BZ52">
            <v>6.848184818481845E-2</v>
          </cell>
          <cell r="CA52">
            <v>0.16011950165268235</v>
          </cell>
        </row>
        <row r="53">
          <cell r="A53" t="str">
            <v xml:space="preserve"> 3Q</v>
          </cell>
          <cell r="B53">
            <v>0.16744280218667756</v>
          </cell>
          <cell r="C53">
            <v>-0.11350974930362115</v>
          </cell>
          <cell r="D53">
            <v>0.104156862745098</v>
          </cell>
          <cell r="F53" t="str">
            <v>NM</v>
          </cell>
          <cell r="G53" t="str">
            <v>NM</v>
          </cell>
          <cell r="H53" t="str">
            <v>NM</v>
          </cell>
          <cell r="J53">
            <v>-2.8688524590163907E-2</v>
          </cell>
          <cell r="L53">
            <v>0.18181818181818296</v>
          </cell>
          <cell r="R53">
            <v>0.39669542330750118</v>
          </cell>
          <cell r="T53" t="str">
            <v xml:space="preserve"> 3Q</v>
          </cell>
          <cell r="U53">
            <v>-0.48333333333333334</v>
          </cell>
          <cell r="V53">
            <v>-0.12920738327904444</v>
          </cell>
          <cell r="W53">
            <v>-0.17002881844380394</v>
          </cell>
          <cell r="Y53">
            <v>-0.24193548387096772</v>
          </cell>
          <cell r="Z53">
            <v>-4.9881235154394334E-2</v>
          </cell>
          <cell r="AA53">
            <v>-6.8965517241379309E-2</v>
          </cell>
          <cell r="AB53">
            <v>-0.15169660678642716</v>
          </cell>
          <cell r="AD53">
            <v>-0.12629558541266797</v>
          </cell>
          <cell r="AF53">
            <v>-0.12658227848101267</v>
          </cell>
          <cell r="AG53">
            <v>0.64415584415584404</v>
          </cell>
          <cell r="AM53" t="str">
            <v>NM</v>
          </cell>
          <cell r="AN53" t="str">
            <v>NM</v>
          </cell>
          <cell r="AO53" t="str">
            <v>NM</v>
          </cell>
          <cell r="AU53" t="str">
            <v xml:space="preserve"> 3Q</v>
          </cell>
          <cell r="AV53">
            <v>-5.979073243647319E-3</v>
          </cell>
          <cell r="AX53">
            <v>1.3927576601671311E-2</v>
          </cell>
          <cell r="AY53">
            <v>-1.7052375152253246E-2</v>
          </cell>
          <cell r="AZ53">
            <v>2.6583961010191526E-3</v>
          </cell>
          <cell r="BD53">
            <v>-2.2222222222222143E-2</v>
          </cell>
          <cell r="BF53" t="str">
            <v>NM</v>
          </cell>
          <cell r="BG53" t="str">
            <v>NM</v>
          </cell>
          <cell r="BH53" t="str">
            <v>NM</v>
          </cell>
          <cell r="BI53">
            <v>2.5649045980606779E-2</v>
          </cell>
          <cell r="BK53">
            <v>0</v>
          </cell>
          <cell r="BL53">
            <v>0.1901408450704225</v>
          </cell>
          <cell r="BM53">
            <v>4.2586750788643352E-2</v>
          </cell>
          <cell r="BO53" t="str">
            <v>NM</v>
          </cell>
          <cell r="BP53" t="str">
            <v>NM</v>
          </cell>
          <cell r="BQ53" t="str">
            <v>NM</v>
          </cell>
          <cell r="BS53">
            <v>-0.29411764705882354</v>
          </cell>
          <cell r="BT53">
            <v>0.86363636363636342</v>
          </cell>
          <cell r="BV53" t="str">
            <v>NM</v>
          </cell>
          <cell r="BX53">
            <v>5.0143266475644703E-2</v>
          </cell>
          <cell r="BY53">
            <v>0.19465033838221077</v>
          </cell>
          <cell r="BZ53">
            <v>0.10689388071262597</v>
          </cell>
          <cell r="CA53">
            <v>0.18790908009044402</v>
          </cell>
        </row>
        <row r="54">
          <cell r="A54" t="str">
            <v xml:space="preserve"> 4Q</v>
          </cell>
          <cell r="B54">
            <v>0.23705044107667936</v>
          </cell>
          <cell r="C54">
            <v>-0.10192666252330643</v>
          </cell>
          <cell r="D54">
            <v>0.14660033167495851</v>
          </cell>
          <cell r="F54" t="str">
            <v>NM</v>
          </cell>
          <cell r="G54" t="str">
            <v>NM</v>
          </cell>
          <cell r="H54" t="str">
            <v>NM</v>
          </cell>
          <cell r="J54">
            <v>8.1911262798634768E-2</v>
          </cell>
          <cell r="L54">
            <v>0.19285714285714053</v>
          </cell>
          <cell r="R54">
            <v>0.36978051391862948</v>
          </cell>
          <cell r="T54" t="str">
            <v xml:space="preserve"> 4Q</v>
          </cell>
          <cell r="U54">
            <v>-0.50740740740740742</v>
          </cell>
          <cell r="V54">
            <v>-0.21511179645335385</v>
          </cell>
          <cell r="W54">
            <v>-0.26547543075941288</v>
          </cell>
          <cell r="Y54">
            <v>-0.23571428571428577</v>
          </cell>
          <cell r="Z54">
            <v>-9.0909090909090912E-2</v>
          </cell>
          <cell r="AA54">
            <v>-0.14940577249575548</v>
          </cell>
          <cell r="AB54">
            <v>-0.14285714285714288</v>
          </cell>
          <cell r="AD54">
            <v>-0.19903064415259533</v>
          </cell>
          <cell r="AF54">
            <v>-6.7796610169491581E-2</v>
          </cell>
          <cell r="AG54">
            <v>0.56692913385826771</v>
          </cell>
          <cell r="AM54" t="str">
            <v>NM</v>
          </cell>
          <cell r="AN54" t="str">
            <v>NM</v>
          </cell>
          <cell r="AO54" t="str">
            <v>NM</v>
          </cell>
          <cell r="AU54" t="str">
            <v xml:space="preserve"> 4Q</v>
          </cell>
          <cell r="AV54">
            <v>-5.7640750670241256E-2</v>
          </cell>
          <cell r="AX54">
            <v>0.22037283621837567</v>
          </cell>
          <cell r="AY54">
            <v>9.841628959276004E-2</v>
          </cell>
          <cell r="AZ54">
            <v>0.17518860016764454</v>
          </cell>
          <cell r="BD54">
            <v>-0.1953488372093023</v>
          </cell>
          <cell r="BF54">
            <v>2.2051282051282053</v>
          </cell>
          <cell r="BG54">
            <v>1</v>
          </cell>
          <cell r="BH54">
            <v>1.5</v>
          </cell>
          <cell r="BI54">
            <v>0.13775065387968624</v>
          </cell>
          <cell r="BK54">
            <v>-0.2523900573613766</v>
          </cell>
          <cell r="BL54">
            <v>1.8518518518518563E-2</v>
          </cell>
          <cell r="BM54">
            <v>-0.18832116788321165</v>
          </cell>
          <cell r="BO54">
            <v>0.87162162162162149</v>
          </cell>
          <cell r="BP54">
            <v>1.263157894736842</v>
          </cell>
          <cell r="BQ54">
            <v>1.0419847328244272</v>
          </cell>
          <cell r="BS54">
            <v>-7.9545454545454655E-2</v>
          </cell>
          <cell r="BT54">
            <v>0.76</v>
          </cell>
          <cell r="BV54" t="str">
            <v>NM</v>
          </cell>
          <cell r="BX54">
            <v>2.4657534246575304E-2</v>
          </cell>
          <cell r="BY54">
            <v>0.16749494365790243</v>
          </cell>
          <cell r="BZ54">
            <v>8.1656124209315631E-2</v>
          </cell>
          <cell r="CA54">
            <v>0.1596565847511027</v>
          </cell>
        </row>
        <row r="56">
          <cell r="A56" t="str">
            <v>Year</v>
          </cell>
          <cell r="B56">
            <v>0.16645474511617181</v>
          </cell>
          <cell r="C56">
            <v>-0.14000319642000961</v>
          </cell>
          <cell r="D56">
            <v>8.506303323570634E-2</v>
          </cell>
          <cell r="F56" t="str">
            <v>NM</v>
          </cell>
          <cell r="G56" t="str">
            <v>NM</v>
          </cell>
          <cell r="H56" t="str">
            <v>NM</v>
          </cell>
          <cell r="J56">
            <v>-7.9101562499999944E-2</v>
          </cell>
          <cell r="L56">
            <v>0.20045558086560117</v>
          </cell>
          <cell r="R56">
            <v>0.32396505886821114</v>
          </cell>
          <cell r="T56" t="str">
            <v>Year</v>
          </cell>
          <cell r="U56">
            <v>-0.20897615708274883</v>
          </cell>
          <cell r="V56">
            <v>-0.18015721266199258</v>
          </cell>
          <cell r="W56">
            <v>-0.18394833948339454</v>
          </cell>
          <cell r="Y56">
            <v>-0.22597864768683279</v>
          </cell>
          <cell r="Z56">
            <v>-4.4273907910271387E-2</v>
          </cell>
          <cell r="AA56">
            <v>-0.12464929859719437</v>
          </cell>
          <cell r="AB56">
            <v>-0.15763546798029562</v>
          </cell>
          <cell r="AD56">
            <v>-0.1483543677307595</v>
          </cell>
          <cell r="AF56">
            <v>-0.10327706057596815</v>
          </cell>
          <cell r="AG56">
            <v>0.70395177494976546</v>
          </cell>
          <cell r="AM56" t="str">
            <v>NM</v>
          </cell>
          <cell r="AN56" t="str">
            <v>NM</v>
          </cell>
          <cell r="AO56" t="str">
            <v>NM</v>
          </cell>
          <cell r="AU56" t="str">
            <v>Year</v>
          </cell>
          <cell r="AV56">
            <v>-3.0970149253731385E-2</v>
          </cell>
          <cell r="AX56">
            <v>4.0276792051100158E-2</v>
          </cell>
          <cell r="AY56">
            <v>9.0199750312109792E-2</v>
          </cell>
          <cell r="AZ56">
            <v>5.8371040723982061E-2</v>
          </cell>
          <cell r="BD56">
            <v>-0.11025641025641018</v>
          </cell>
          <cell r="BF56">
            <v>2.5660377358490565</v>
          </cell>
          <cell r="BG56">
            <v>2.1914893617021276</v>
          </cell>
          <cell r="BH56">
            <v>2.3899999999999997</v>
          </cell>
          <cell r="BI56">
            <v>6.6000000000000003E-2</v>
          </cell>
          <cell r="BK56">
            <v>-2.0772238514174136E-2</v>
          </cell>
          <cell r="BL56">
            <v>3.0303030303030328E-2</v>
          </cell>
          <cell r="BM56">
            <v>-9.0344438170524271E-3</v>
          </cell>
          <cell r="BO56">
            <v>2.0063291139240507</v>
          </cell>
          <cell r="BP56">
            <v>1.6336633663366338</v>
          </cell>
          <cell r="BQ56">
            <v>1.8239095315024232</v>
          </cell>
          <cell r="BS56">
            <v>-0.17679558011049737</v>
          </cell>
          <cell r="BT56">
            <v>1.0856269113149848</v>
          </cell>
          <cell r="BV56" t="str">
            <v>NM</v>
          </cell>
          <cell r="BX56">
            <v>5.0357142857142941E-2</v>
          </cell>
          <cell r="BY56">
            <v>0.15446784018418158</v>
          </cell>
          <cell r="BZ56">
            <v>7.006255585344065E-2</v>
          </cell>
          <cell r="CA56">
            <v>0.14753749523054815</v>
          </cell>
        </row>
        <row r="58">
          <cell r="A58" t="str">
            <v>1997</v>
          </cell>
          <cell r="T58" t="str">
            <v>1997</v>
          </cell>
          <cell r="AU58" t="str">
            <v>1997</v>
          </cell>
        </row>
        <row r="59">
          <cell r="A59" t="str">
            <v xml:space="preserve"> 1Q</v>
          </cell>
          <cell r="B59">
            <v>435.7</v>
          </cell>
          <cell r="C59">
            <v>127.7</v>
          </cell>
          <cell r="D59">
            <v>563.4</v>
          </cell>
          <cell r="F59">
            <v>91.3</v>
          </cell>
          <cell r="G59">
            <v>14.1</v>
          </cell>
          <cell r="H59">
            <v>105.39999999999999</v>
          </cell>
          <cell r="J59">
            <v>16.600000000000001</v>
          </cell>
          <cell r="L59">
            <v>20.399999999999984</v>
          </cell>
          <cell r="R59">
            <v>705.8</v>
          </cell>
          <cell r="T59" t="str">
            <v xml:space="preserve"> 1Q</v>
          </cell>
          <cell r="U59">
            <v>29.1</v>
          </cell>
          <cell r="V59">
            <v>111.2</v>
          </cell>
          <cell r="W59">
            <v>140.30000000000001</v>
          </cell>
          <cell r="Y59">
            <v>6.7</v>
          </cell>
          <cell r="Z59">
            <v>42.4</v>
          </cell>
          <cell r="AA59">
            <v>55.9</v>
          </cell>
          <cell r="AB59">
            <v>53.5</v>
          </cell>
          <cell r="AD59">
            <v>298.8</v>
          </cell>
          <cell r="AF59">
            <v>23.4</v>
          </cell>
          <cell r="AG59">
            <v>51.7</v>
          </cell>
          <cell r="AM59">
            <v>0</v>
          </cell>
          <cell r="AN59">
            <v>0</v>
          </cell>
          <cell r="AO59">
            <v>0</v>
          </cell>
          <cell r="AU59" t="str">
            <v xml:space="preserve"> 1Q</v>
          </cell>
          <cell r="AV59">
            <v>57.9</v>
          </cell>
          <cell r="AX59">
            <v>124.9</v>
          </cell>
          <cell r="AY59">
            <v>84.9</v>
          </cell>
          <cell r="AZ59">
            <v>209.8</v>
          </cell>
          <cell r="BD59">
            <v>17.600000000000001</v>
          </cell>
          <cell r="BF59">
            <v>6.7</v>
          </cell>
          <cell r="BG59">
            <v>5</v>
          </cell>
          <cell r="BH59">
            <v>11.7</v>
          </cell>
          <cell r="BI59">
            <v>297</v>
          </cell>
          <cell r="BK59">
            <v>138</v>
          </cell>
          <cell r="BL59">
            <v>25.7</v>
          </cell>
          <cell r="BM59">
            <v>163.69999999999999</v>
          </cell>
          <cell r="BO59">
            <v>19</v>
          </cell>
          <cell r="BP59">
            <v>14</v>
          </cell>
          <cell r="BQ59">
            <v>33</v>
          </cell>
          <cell r="BS59">
            <v>7.6</v>
          </cell>
          <cell r="BT59">
            <v>40.6</v>
          </cell>
          <cell r="BV59">
            <v>0</v>
          </cell>
          <cell r="BX59">
            <v>70.400000000000006</v>
          </cell>
          <cell r="BY59">
            <v>1651.4</v>
          </cell>
          <cell r="BZ59">
            <v>138.19999999999999</v>
          </cell>
          <cell r="CA59">
            <v>1789.6000000000001</v>
          </cell>
        </row>
        <row r="60">
          <cell r="A60" t="str">
            <v xml:space="preserve"> 2Q</v>
          </cell>
          <cell r="B60">
            <v>459</v>
          </cell>
          <cell r="C60">
            <v>138.6</v>
          </cell>
          <cell r="D60">
            <v>597.6</v>
          </cell>
          <cell r="F60">
            <v>125.8</v>
          </cell>
          <cell r="G60">
            <v>30.2</v>
          </cell>
          <cell r="H60">
            <v>156</v>
          </cell>
          <cell r="J60">
            <v>22.3</v>
          </cell>
          <cell r="L60">
            <v>25.599999999999977</v>
          </cell>
          <cell r="R60">
            <v>801.5</v>
          </cell>
          <cell r="T60" t="str">
            <v xml:space="preserve"> 2Q</v>
          </cell>
          <cell r="U60">
            <v>7.8</v>
          </cell>
          <cell r="V60">
            <v>92.7</v>
          </cell>
          <cell r="W60">
            <v>100.5</v>
          </cell>
          <cell r="Y60">
            <v>5</v>
          </cell>
          <cell r="Z60">
            <v>39.5</v>
          </cell>
          <cell r="AA60">
            <v>58.4</v>
          </cell>
          <cell r="AB60">
            <v>46.5</v>
          </cell>
          <cell r="AD60">
            <v>249.9</v>
          </cell>
          <cell r="AF60">
            <v>24.2</v>
          </cell>
          <cell r="AG60">
            <v>59.8</v>
          </cell>
          <cell r="AM60">
            <v>0</v>
          </cell>
          <cell r="AN60">
            <v>0</v>
          </cell>
          <cell r="AO60">
            <v>0</v>
          </cell>
          <cell r="AU60" t="str">
            <v xml:space="preserve"> 2Q</v>
          </cell>
          <cell r="AV60">
            <v>65</v>
          </cell>
          <cell r="AX60">
            <v>132.5</v>
          </cell>
          <cell r="AY60">
            <v>86.6</v>
          </cell>
          <cell r="AZ60">
            <v>219.1</v>
          </cell>
          <cell r="BD60">
            <v>16.899999999999999</v>
          </cell>
          <cell r="BF60">
            <v>8.5</v>
          </cell>
          <cell r="BG60">
            <v>6.6</v>
          </cell>
          <cell r="BH60">
            <v>15.1</v>
          </cell>
          <cell r="BI60">
            <v>316.10000000000002</v>
          </cell>
          <cell r="BK60">
            <v>86.1</v>
          </cell>
          <cell r="BL60">
            <v>33.299999999999997</v>
          </cell>
          <cell r="BM60">
            <v>119.39999999999999</v>
          </cell>
          <cell r="BO60">
            <v>22.1</v>
          </cell>
          <cell r="BP60">
            <v>18.899999999999999</v>
          </cell>
          <cell r="BQ60">
            <v>41</v>
          </cell>
          <cell r="BS60">
            <v>8.1</v>
          </cell>
          <cell r="BT60">
            <v>49.1</v>
          </cell>
          <cell r="BV60">
            <v>0</v>
          </cell>
          <cell r="BX60">
            <v>75.599999999999994</v>
          </cell>
          <cell r="BY60">
            <v>1695.6</v>
          </cell>
          <cell r="BZ60">
            <v>129.5</v>
          </cell>
          <cell r="CA60">
            <v>1825.1</v>
          </cell>
        </row>
        <row r="61">
          <cell r="A61" t="str">
            <v xml:space="preserve"> 3Q</v>
          </cell>
          <cell r="B61">
            <v>576.6</v>
          </cell>
          <cell r="C61">
            <v>127.3</v>
          </cell>
          <cell r="D61">
            <v>703.9</v>
          </cell>
          <cell r="F61">
            <v>162.69999999999999</v>
          </cell>
          <cell r="G61">
            <v>39.1</v>
          </cell>
          <cell r="H61">
            <v>201.79999999999998</v>
          </cell>
          <cell r="J61">
            <v>23.7</v>
          </cell>
          <cell r="L61">
            <v>26</v>
          </cell>
          <cell r="R61">
            <v>955.2</v>
          </cell>
          <cell r="T61" t="str">
            <v xml:space="preserve"> 3Q</v>
          </cell>
          <cell r="U61">
            <v>6.2</v>
          </cell>
          <cell r="V61">
            <v>80.2</v>
          </cell>
          <cell r="W61">
            <v>86.4</v>
          </cell>
          <cell r="Y61">
            <v>4.7</v>
          </cell>
          <cell r="Z61">
            <v>40</v>
          </cell>
          <cell r="AA61">
            <v>54</v>
          </cell>
          <cell r="AB61">
            <v>42.5</v>
          </cell>
          <cell r="AD61">
            <v>227.6</v>
          </cell>
          <cell r="AF61">
            <v>20.7</v>
          </cell>
          <cell r="AG61">
            <v>63.3</v>
          </cell>
          <cell r="AM61">
            <v>0</v>
          </cell>
          <cell r="AN61">
            <v>0</v>
          </cell>
          <cell r="AO61">
            <v>0</v>
          </cell>
          <cell r="AU61" t="str">
            <v xml:space="preserve"> 3Q</v>
          </cell>
          <cell r="AV61">
            <v>66.5</v>
          </cell>
          <cell r="AX61">
            <v>145.6</v>
          </cell>
          <cell r="AY61">
            <v>80.7</v>
          </cell>
          <cell r="AZ61">
            <v>226.3</v>
          </cell>
          <cell r="BD61">
            <v>17.600000000000001</v>
          </cell>
          <cell r="BF61">
            <v>10.1</v>
          </cell>
          <cell r="BG61">
            <v>7.4</v>
          </cell>
          <cell r="BH61">
            <v>17.5</v>
          </cell>
          <cell r="BI61">
            <v>327.90000000000003</v>
          </cell>
          <cell r="BK61">
            <v>98.4</v>
          </cell>
          <cell r="BL61">
            <v>33.799999999999997</v>
          </cell>
          <cell r="BM61">
            <v>132.19999999999999</v>
          </cell>
          <cell r="BO61">
            <v>26.2</v>
          </cell>
          <cell r="BP61">
            <v>21.1</v>
          </cell>
          <cell r="BQ61">
            <v>47.3</v>
          </cell>
          <cell r="BS61">
            <v>6</v>
          </cell>
          <cell r="BT61">
            <v>53.3</v>
          </cell>
          <cell r="BV61">
            <v>0</v>
          </cell>
          <cell r="BX61">
            <v>73.3</v>
          </cell>
          <cell r="BY61">
            <v>1853.5</v>
          </cell>
          <cell r="BZ61">
            <v>142.9</v>
          </cell>
          <cell r="CA61">
            <v>1996.4</v>
          </cell>
        </row>
        <row r="62">
          <cell r="A62" t="str">
            <v xml:space="preserve"> 4Q</v>
          </cell>
          <cell r="B62">
            <v>546.9</v>
          </cell>
          <cell r="C62">
            <v>144.5</v>
          </cell>
          <cell r="D62">
            <v>691.4</v>
          </cell>
          <cell r="F62">
            <v>210.2</v>
          </cell>
          <cell r="G62">
            <v>56.8</v>
          </cell>
          <cell r="H62">
            <v>267</v>
          </cell>
          <cell r="J62">
            <v>31.7</v>
          </cell>
          <cell r="L62">
            <v>33.4</v>
          </cell>
          <cell r="R62">
            <v>1023.5</v>
          </cell>
          <cell r="T62" t="str">
            <v xml:space="preserve"> 4Q</v>
          </cell>
          <cell r="U62">
            <v>13.3</v>
          </cell>
          <cell r="V62">
            <v>101.8</v>
          </cell>
          <cell r="W62">
            <v>115.1</v>
          </cell>
          <cell r="Y62">
            <v>5.35</v>
          </cell>
          <cell r="Z62">
            <v>40</v>
          </cell>
          <cell r="AA62">
            <v>50.1</v>
          </cell>
          <cell r="AB62">
            <v>45.6</v>
          </cell>
          <cell r="AD62">
            <v>256.14999999999998</v>
          </cell>
          <cell r="AF62">
            <v>22</v>
          </cell>
          <cell r="AG62">
            <v>79.599999999999994</v>
          </cell>
          <cell r="AM62">
            <v>0</v>
          </cell>
          <cell r="AN62">
            <v>0</v>
          </cell>
          <cell r="AO62">
            <v>0</v>
          </cell>
          <cell r="AU62" t="str">
            <v xml:space="preserve"> 4Q</v>
          </cell>
          <cell r="AV62">
            <v>70.3</v>
          </cell>
          <cell r="AX62">
            <v>183.3</v>
          </cell>
          <cell r="AY62">
            <v>97.1</v>
          </cell>
          <cell r="AZ62">
            <v>280.39999999999998</v>
          </cell>
          <cell r="BD62">
            <v>17.3</v>
          </cell>
          <cell r="BF62">
            <v>12.5</v>
          </cell>
          <cell r="BG62">
            <v>11</v>
          </cell>
          <cell r="BH62">
            <v>23.5</v>
          </cell>
          <cell r="BI62">
            <v>391.5</v>
          </cell>
          <cell r="BK62">
            <v>78.2</v>
          </cell>
          <cell r="BL62">
            <v>33</v>
          </cell>
          <cell r="BM62">
            <v>111.2</v>
          </cell>
          <cell r="BO62">
            <v>27.7</v>
          </cell>
          <cell r="BP62">
            <v>25.8</v>
          </cell>
          <cell r="BQ62">
            <v>53.5</v>
          </cell>
          <cell r="BS62">
            <v>8.1</v>
          </cell>
          <cell r="BT62">
            <v>61.6</v>
          </cell>
          <cell r="BV62">
            <v>0</v>
          </cell>
          <cell r="BX62">
            <v>74.8</v>
          </cell>
          <cell r="BY62">
            <v>2020.35</v>
          </cell>
          <cell r="BZ62">
            <v>188.1</v>
          </cell>
          <cell r="CA62">
            <v>2208.4499999999998</v>
          </cell>
        </row>
        <row r="64">
          <cell r="A64" t="str">
            <v>Year</v>
          </cell>
          <cell r="B64">
            <v>2018.2000000000003</v>
          </cell>
          <cell r="C64">
            <v>538.1</v>
          </cell>
          <cell r="D64">
            <v>2556.3000000000002</v>
          </cell>
          <cell r="F64">
            <v>590</v>
          </cell>
          <cell r="G64">
            <v>140.19999999999999</v>
          </cell>
          <cell r="H64">
            <v>730.19999999999993</v>
          </cell>
          <cell r="J64">
            <v>94.300000000000011</v>
          </cell>
          <cell r="L64">
            <v>105.39999999999995</v>
          </cell>
          <cell r="R64">
            <v>3486</v>
          </cell>
          <cell r="T64" t="str">
            <v>Year</v>
          </cell>
          <cell r="U64">
            <v>56.400000000000006</v>
          </cell>
          <cell r="V64">
            <v>385.90000000000003</v>
          </cell>
          <cell r="W64">
            <v>442.30000000000007</v>
          </cell>
          <cell r="Y64">
            <v>21.75</v>
          </cell>
          <cell r="Z64">
            <v>161.9</v>
          </cell>
          <cell r="AA64">
            <v>218.4</v>
          </cell>
          <cell r="AB64">
            <v>188.1</v>
          </cell>
          <cell r="AD64">
            <v>1032.45</v>
          </cell>
          <cell r="AF64">
            <v>90.3</v>
          </cell>
          <cell r="AG64">
            <v>254.4</v>
          </cell>
          <cell r="AM64">
            <v>0</v>
          </cell>
          <cell r="AN64">
            <v>0</v>
          </cell>
          <cell r="AO64">
            <v>0</v>
          </cell>
          <cell r="AU64" t="str">
            <v>Year</v>
          </cell>
          <cell r="AV64">
            <v>259.7</v>
          </cell>
          <cell r="AX64">
            <v>586.29999999999995</v>
          </cell>
          <cell r="AY64">
            <v>349.29999999999995</v>
          </cell>
          <cell r="AZ64">
            <v>935.6</v>
          </cell>
          <cell r="BD64">
            <v>69.400000000000006</v>
          </cell>
          <cell r="BF64">
            <v>37.799999999999997</v>
          </cell>
          <cell r="BG64">
            <v>30</v>
          </cell>
          <cell r="BH64">
            <v>67.8</v>
          </cell>
          <cell r="BI64">
            <v>1332.5</v>
          </cell>
          <cell r="BK64">
            <v>400.7</v>
          </cell>
          <cell r="BL64">
            <v>125.8</v>
          </cell>
          <cell r="BM64">
            <v>526.5</v>
          </cell>
          <cell r="BO64">
            <v>95</v>
          </cell>
          <cell r="BP64">
            <v>79.8</v>
          </cell>
          <cell r="BQ64">
            <v>174.8</v>
          </cell>
          <cell r="BS64">
            <v>29.799999999999997</v>
          </cell>
          <cell r="BT64">
            <v>204.6</v>
          </cell>
          <cell r="BV64">
            <v>0</v>
          </cell>
          <cell r="BX64">
            <v>294.10000000000002</v>
          </cell>
          <cell r="BY64">
            <v>7220.85</v>
          </cell>
          <cell r="BZ64">
            <v>598.70000000000005</v>
          </cell>
          <cell r="CA64">
            <v>7819.5500000000011</v>
          </cell>
        </row>
        <row r="66">
          <cell r="A66" t="str">
            <v>1998/97</v>
          </cell>
          <cell r="T66" t="str">
            <v>1998/97</v>
          </cell>
          <cell r="AU66" t="str">
            <v>1998/97</v>
          </cell>
        </row>
        <row r="67">
          <cell r="A67" t="str">
            <v xml:space="preserve"> 1Q</v>
          </cell>
          <cell r="B67">
            <v>0.10626577920587563</v>
          </cell>
          <cell r="C67">
            <v>3.9154267815191747E-2</v>
          </cell>
          <cell r="D67">
            <v>9.1054313099041662E-2</v>
          </cell>
          <cell r="F67">
            <v>1.5235487404162107</v>
          </cell>
          <cell r="G67">
            <v>3.0283687943262407</v>
          </cell>
          <cell r="H67">
            <v>1.7248576850094879</v>
          </cell>
          <cell r="J67">
            <v>-3.012048192771084E-2</v>
          </cell>
          <cell r="L67">
            <v>0.22549019607843232</v>
          </cell>
          <cell r="R67">
            <v>0.33550580901105143</v>
          </cell>
          <cell r="T67" t="str">
            <v xml:space="preserve"> 1Q</v>
          </cell>
          <cell r="U67">
            <v>-0.57388316151202756</v>
          </cell>
          <cell r="V67">
            <v>-6.1151079136690621E-2</v>
          </cell>
          <cell r="W67">
            <v>-0.16749821810406271</v>
          </cell>
          <cell r="Y67">
            <v>-0.17910447761194032</v>
          </cell>
          <cell r="Z67">
            <v>-0.11320754716981125</v>
          </cell>
          <cell r="AA67">
            <v>-1.7889087656529516E-2</v>
          </cell>
          <cell r="AB67">
            <v>-0.18317757009345789</v>
          </cell>
          <cell r="AD67">
            <v>-0.13487282463186082</v>
          </cell>
          <cell r="AF67">
            <v>-3.8461538461538401E-2</v>
          </cell>
          <cell r="AG67">
            <v>0.3539651837524177</v>
          </cell>
          <cell r="AM67" t="str">
            <v>NM</v>
          </cell>
          <cell r="AN67" t="str">
            <v>NM</v>
          </cell>
          <cell r="AO67" t="str">
            <v>NM</v>
          </cell>
          <cell r="AU67" t="str">
            <v xml:space="preserve"> 1Q</v>
          </cell>
          <cell r="AV67">
            <v>5.1813471502590677E-2</v>
          </cell>
          <cell r="AX67">
            <v>-0.16092874299439558</v>
          </cell>
          <cell r="AY67">
            <v>5.8892815076560655E-2</v>
          </cell>
          <cell r="AZ67">
            <v>-7.1973307912297529E-2</v>
          </cell>
          <cell r="BD67">
            <v>-3.4090909090909172E-2</v>
          </cell>
          <cell r="BF67">
            <v>0.8955223880597013</v>
          </cell>
          <cell r="BG67">
            <v>1.4</v>
          </cell>
          <cell r="BH67">
            <v>1.1111111111111112</v>
          </cell>
          <cell r="BI67">
            <v>1.0101010101010485E-3</v>
          </cell>
          <cell r="BK67">
            <v>-0.15000000000000002</v>
          </cell>
          <cell r="BL67">
            <v>6.6147859922178961E-2</v>
          </cell>
          <cell r="BM67">
            <v>-0.11606597434331094</v>
          </cell>
          <cell r="BO67">
            <v>0.61578947368421044</v>
          </cell>
          <cell r="BP67">
            <v>0.87857142857142867</v>
          </cell>
          <cell r="BQ67">
            <v>0.72727272727272729</v>
          </cell>
          <cell r="BS67">
            <v>-6.5789473684210523E-2</v>
          </cell>
          <cell r="BT67">
            <v>0.57881773399014758</v>
          </cell>
          <cell r="BV67" t="str">
            <v>NM</v>
          </cell>
          <cell r="BX67">
            <v>0</v>
          </cell>
          <cell r="BY67">
            <v>0.15265835049049284</v>
          </cell>
          <cell r="BZ67">
            <v>5.7887120115774453E-2</v>
          </cell>
          <cell r="CA67">
            <v>0.14533974072418399</v>
          </cell>
        </row>
        <row r="68">
          <cell r="A68" t="str">
            <v xml:space="preserve"> 2Q</v>
          </cell>
          <cell r="B68">
            <v>0.14880174291938988</v>
          </cell>
          <cell r="C68">
            <v>-1.94805194805194E-2</v>
          </cell>
          <cell r="D68">
            <v>0.10977242302543491</v>
          </cell>
          <cell r="F68">
            <v>1.032591414944356</v>
          </cell>
          <cell r="G68">
            <v>1.380794701986755</v>
          </cell>
          <cell r="H68">
            <v>1.1000000000000001</v>
          </cell>
          <cell r="J68">
            <v>-0.15246636771300456</v>
          </cell>
          <cell r="L68">
            <v>9.3750000000000999E-2</v>
          </cell>
          <cell r="R68">
            <v>0.29407361197754217</v>
          </cell>
          <cell r="T68" t="str">
            <v xml:space="preserve"> 2Q</v>
          </cell>
          <cell r="U68">
            <v>-0.35897435897435898</v>
          </cell>
          <cell r="V68">
            <v>-9.1693635382955774E-2</v>
          </cell>
          <cell r="W68">
            <v>-0.11243781094527361</v>
          </cell>
          <cell r="Y68">
            <v>-0.27999999999999997</v>
          </cell>
          <cell r="Z68">
            <v>-2.5316455696202892E-3</v>
          </cell>
          <cell r="AA68">
            <v>-0.14212328767123283</v>
          </cell>
          <cell r="AB68">
            <v>-9.4623655913978463E-2</v>
          </cell>
          <cell r="AD68">
            <v>-0.10204081632653073</v>
          </cell>
          <cell r="AF68">
            <v>-0.33884297520661155</v>
          </cell>
          <cell r="AG68">
            <v>0.68896321070234123</v>
          </cell>
          <cell r="AM68" t="str">
            <v>NM</v>
          </cell>
          <cell r="AN68" t="str">
            <v>NM</v>
          </cell>
          <cell r="AO68" t="str">
            <v>NM</v>
          </cell>
          <cell r="AU68" t="str">
            <v xml:space="preserve"> 2Q</v>
          </cell>
          <cell r="AV68">
            <v>9.2307692307691432E-3</v>
          </cell>
          <cell r="AX68">
            <v>0.11622641509433966</v>
          </cell>
          <cell r="AY68">
            <v>0.10969976905311779</v>
          </cell>
          <cell r="AZ68">
            <v>0.11364673664993157</v>
          </cell>
          <cell r="BD68">
            <v>-1.1834319526627177E-2</v>
          </cell>
          <cell r="BF68">
            <v>0.88235294117647056</v>
          </cell>
          <cell r="BG68">
            <v>1.0606060606060606</v>
          </cell>
          <cell r="BH68">
            <v>0.96026490066225179</v>
          </cell>
          <cell r="BI68">
            <v>0.12590952230306868</v>
          </cell>
          <cell r="BK68">
            <v>-0.49128919860627179</v>
          </cell>
          <cell r="BL68">
            <v>-3.3033033033032864E-2</v>
          </cell>
          <cell r="BM68">
            <v>-0.3634840871021775</v>
          </cell>
          <cell r="BO68">
            <v>1.3891402714932124</v>
          </cell>
          <cell r="BP68">
            <v>0.72486772486772511</v>
          </cell>
          <cell r="BQ68">
            <v>1.0829268292682928</v>
          </cell>
          <cell r="BS68">
            <v>-0.14814814814814806</v>
          </cell>
          <cell r="BT68">
            <v>0.87983706720977617</v>
          </cell>
          <cell r="BV68" t="str">
            <v>NM</v>
          </cell>
          <cell r="BX68">
            <v>-6.6137566137566143E-3</v>
          </cell>
          <cell r="BY68">
            <v>0.17515923566878983</v>
          </cell>
          <cell r="BZ68">
            <v>5.5598455598455727E-2</v>
          </cell>
          <cell r="CA68">
            <v>0.16667579858637874</v>
          </cell>
        </row>
        <row r="69">
          <cell r="A69" t="str">
            <v xml:space="preserve"> 3Q</v>
          </cell>
          <cell r="B69">
            <v>0.14793617759278521</v>
          </cell>
          <cell r="C69">
            <v>-7.8554595443829003E-4</v>
          </cell>
          <cell r="D69">
            <v>0.12103992044324485</v>
          </cell>
          <cell r="F69">
            <v>0.91518131530424118</v>
          </cell>
          <cell r="G69">
            <v>1.1611253196930946</v>
          </cell>
          <cell r="H69">
            <v>0.96283448959365736</v>
          </cell>
          <cell r="J69">
            <v>-9.2827004219409259E-2</v>
          </cell>
          <cell r="L69">
            <v>0.15384615384615385</v>
          </cell>
          <cell r="R69">
            <v>0.29501675041876041</v>
          </cell>
          <cell r="T69" t="str">
            <v xml:space="preserve"> 3Q</v>
          </cell>
          <cell r="U69">
            <v>0.38709677419354827</v>
          </cell>
          <cell r="V69">
            <v>-0.10224438902743145</v>
          </cell>
          <cell r="W69">
            <v>-6.7129629629629761E-2</v>
          </cell>
          <cell r="Y69">
            <v>-0.23404255319148937</v>
          </cell>
          <cell r="Z69">
            <v>-5.500000000000007E-2</v>
          </cell>
          <cell r="AA69">
            <v>-0.1518518518518519</v>
          </cell>
          <cell r="AB69">
            <v>-4.000000000000007E-2</v>
          </cell>
          <cell r="AD69">
            <v>-8.3479789103690819E-2</v>
          </cell>
          <cell r="AF69">
            <v>-1.4492753623188441E-2</v>
          </cell>
          <cell r="AG69">
            <v>0.36966824644549773</v>
          </cell>
          <cell r="AM69" t="str">
            <v>NM</v>
          </cell>
          <cell r="AN69" t="str">
            <v>NM</v>
          </cell>
          <cell r="AO69" t="str">
            <v>NM</v>
          </cell>
          <cell r="AU69" t="str">
            <v xml:space="preserve"> 3Q</v>
          </cell>
          <cell r="AV69">
            <v>-2.4060150375939764E-2</v>
          </cell>
          <cell r="AX69">
            <v>3.1593406593406557E-2</v>
          </cell>
          <cell r="AY69">
            <v>0.11771995043370508</v>
          </cell>
          <cell r="AZ69">
            <v>6.2306672558550442E-2</v>
          </cell>
          <cell r="BD69">
            <v>-9.6590909090909144E-2</v>
          </cell>
          <cell r="BF69">
            <v>0.68316831683168322</v>
          </cell>
          <cell r="BG69">
            <v>1.027027027027027</v>
          </cell>
          <cell r="BH69">
            <v>0.82857142857142863</v>
          </cell>
          <cell r="BI69">
            <v>7.7157670021347657E-2</v>
          </cell>
          <cell r="BK69">
            <v>-0.31707317073170732</v>
          </cell>
          <cell r="BL69">
            <v>-0.14201183431952655</v>
          </cell>
          <cell r="BM69">
            <v>-0.27231467473524956</v>
          </cell>
          <cell r="BO69">
            <v>0.24427480916030544</v>
          </cell>
          <cell r="BP69">
            <v>0.73933649289099523</v>
          </cell>
          <cell r="BQ69">
            <v>0.46511627906976777</v>
          </cell>
          <cell r="BS69">
            <v>0.1333333333333333</v>
          </cell>
          <cell r="BT69">
            <v>0.42776735459662313</v>
          </cell>
          <cell r="BV69" t="str">
            <v>NM</v>
          </cell>
          <cell r="BX69">
            <v>2.0463847203274411E-2</v>
          </cell>
          <cell r="BY69">
            <v>0.17944429457782593</v>
          </cell>
          <cell r="BZ69">
            <v>5.4583624912526121E-2</v>
          </cell>
          <cell r="CA69">
            <v>0.17050691244239635</v>
          </cell>
        </row>
        <row r="70">
          <cell r="A70" t="str">
            <v xml:space="preserve"> 4Q</v>
          </cell>
          <cell r="B70">
            <v>9.7641250685682898E-2</v>
          </cell>
          <cell r="C70">
            <v>-2.0761245674741271E-3</v>
          </cell>
          <cell r="D70">
            <v>7.6800694243563825E-2</v>
          </cell>
          <cell r="F70">
            <v>0.55851569933396783</v>
          </cell>
          <cell r="G70">
            <v>0.84330985915492973</v>
          </cell>
          <cell r="H70">
            <v>0.61910112359550562</v>
          </cell>
          <cell r="J70">
            <v>-3.1545741324921134E-2</v>
          </cell>
          <cell r="L70">
            <v>0.13772455089820365</v>
          </cell>
          <cell r="R70">
            <v>0.21641426477772349</v>
          </cell>
          <cell r="T70" t="str">
            <v xml:space="preserve"> 4Q</v>
          </cell>
          <cell r="U70">
            <v>-0.22556390977443608</v>
          </cell>
          <cell r="V70">
            <v>0</v>
          </cell>
          <cell r="W70">
            <v>-2.6064291920069507E-2</v>
          </cell>
          <cell r="Y70">
            <v>-0.19626168224299062</v>
          </cell>
          <cell r="Z70">
            <v>4.0000000000000036E-2</v>
          </cell>
          <cell r="AA70">
            <v>0.11576846307385223</v>
          </cell>
          <cell r="AB70">
            <v>-9.2105263157894801E-2</v>
          </cell>
          <cell r="AD70">
            <v>-3.3183681436656878E-3</v>
          </cell>
          <cell r="AF70">
            <v>0.19999999999999993</v>
          </cell>
          <cell r="AG70">
            <v>0.35301507537688454</v>
          </cell>
          <cell r="AM70" t="str">
            <v>NM</v>
          </cell>
          <cell r="AN70" t="str">
            <v>NM</v>
          </cell>
          <cell r="AO70" t="str">
            <v>NM</v>
          </cell>
          <cell r="AU70" t="str">
            <v xml:space="preserve"> 4Q</v>
          </cell>
          <cell r="AV70">
            <v>9.10384068278806E-2</v>
          </cell>
          <cell r="AX70">
            <v>-1.0911074740861974E-2</v>
          </cell>
          <cell r="AY70">
            <v>2.7806385169927939E-2</v>
          </cell>
          <cell r="AZ70">
            <v>2.496433666191318E-3</v>
          </cell>
          <cell r="BD70">
            <v>-3.4682080924855571E-2</v>
          </cell>
          <cell r="BF70">
            <v>0.89599999999999991</v>
          </cell>
          <cell r="BG70">
            <v>0.80909090909090897</v>
          </cell>
          <cell r="BH70">
            <v>0.85531914893617</v>
          </cell>
          <cell r="BI70">
            <v>6.7943805874840418E-2</v>
          </cell>
          <cell r="BK70">
            <v>-6.1381074168797914E-2</v>
          </cell>
          <cell r="BL70">
            <v>-0.14848484848484844</v>
          </cell>
          <cell r="BM70">
            <v>-8.7230215827338156E-2</v>
          </cell>
          <cell r="BO70">
            <v>0.88808664259927794</v>
          </cell>
          <cell r="BP70">
            <v>0.65891472868217038</v>
          </cell>
          <cell r="BQ70">
            <v>0.77757009345794381</v>
          </cell>
          <cell r="BS70">
            <v>-0.14814814814814806</v>
          </cell>
          <cell r="BT70">
            <v>0.65584415584415579</v>
          </cell>
          <cell r="BV70" t="str">
            <v>NM</v>
          </cell>
          <cell r="BX70">
            <v>0.17513368983957231</v>
          </cell>
          <cell r="BY70">
            <v>0.19122924245799014</v>
          </cell>
          <cell r="BZ70">
            <v>-4.2530568846358922E-3</v>
          </cell>
          <cell r="CA70">
            <v>0.17457945617967383</v>
          </cell>
        </row>
        <row r="72">
          <cell r="A72" t="str">
            <v>Year</v>
          </cell>
          <cell r="B72">
            <v>0.12550787830740248</v>
          </cell>
          <cell r="C72">
            <v>3.530942204051249E-3</v>
          </cell>
          <cell r="D72">
            <v>9.9831788131283419E-2</v>
          </cell>
          <cell r="F72">
            <v>0.90728813559322063</v>
          </cell>
          <cell r="G72">
            <v>1.2674750356633382</v>
          </cell>
          <cell r="H72">
            <v>0.9764448096411944</v>
          </cell>
          <cell r="J72">
            <v>-7.5291622481442291E-2</v>
          </cell>
          <cell r="L72">
            <v>0.14800759013282788</v>
          </cell>
          <cell r="R72">
            <v>0.27991967871485951</v>
          </cell>
          <cell r="T72" t="str">
            <v>Year</v>
          </cell>
          <cell r="U72">
            <v>-0.35638297872340435</v>
          </cell>
          <cell r="V72">
            <v>-6.0896605338170505E-2</v>
          </cell>
          <cell r="W72">
            <v>-9.8575627402215732E-2</v>
          </cell>
          <cell r="Y72">
            <v>-0.21839080459770116</v>
          </cell>
          <cell r="Z72">
            <v>-3.3971587399629397E-2</v>
          </cell>
          <cell r="AA72">
            <v>-5.357142857142852E-2</v>
          </cell>
          <cell r="AB72">
            <v>-0.10685805422647525</v>
          </cell>
          <cell r="AD72">
            <v>-8.2958012494551883E-2</v>
          </cell>
          <cell r="AF72">
            <v>-5.5370985603543747E-2</v>
          </cell>
          <cell r="AG72">
            <v>0.43632075471698101</v>
          </cell>
          <cell r="AM72" t="str">
            <v>NM</v>
          </cell>
          <cell r="AN72" t="str">
            <v>NM</v>
          </cell>
          <cell r="AO72" t="str">
            <v>NM</v>
          </cell>
          <cell r="AU72" t="str">
            <v>Year</v>
          </cell>
          <cell r="AV72">
            <v>3.2345013477089082E-2</v>
          </cell>
          <cell r="AX72">
            <v>-3.5817840695887928E-3</v>
          </cell>
          <cell r="AY72">
            <v>7.6438591468651729E-2</v>
          </cell>
          <cell r="AZ72">
            <v>2.6293287729798963E-2</v>
          </cell>
          <cell r="BD72">
            <v>-4.466858789625372E-2</v>
          </cell>
          <cell r="BF72">
            <v>0.83597883597883627</v>
          </cell>
          <cell r="BG72">
            <v>1.0166666666666666</v>
          </cell>
          <cell r="BH72">
            <v>0.91592920353982277</v>
          </cell>
          <cell r="BI72">
            <v>6.9043151969981245E-2</v>
          </cell>
          <cell r="BK72">
            <v>-0.24706763164462178</v>
          </cell>
          <cell r="BL72">
            <v>-7.2337042925278289E-2</v>
          </cell>
          <cell r="BM72">
            <v>-0.20531813865147203</v>
          </cell>
          <cell r="BO72">
            <v>0.77263157894736822</v>
          </cell>
          <cell r="BP72">
            <v>0.73433583959899762</v>
          </cell>
          <cell r="BQ72">
            <v>0.7551487414187642</v>
          </cell>
          <cell r="BS72">
            <v>-7.0469798657717936E-2</v>
          </cell>
          <cell r="BT72">
            <v>0.63489736070381231</v>
          </cell>
          <cell r="BV72" t="str">
            <v>NM</v>
          </cell>
          <cell r="BX72">
            <v>4.7942876572594433E-2</v>
          </cell>
          <cell r="BY72">
            <v>0.17560951965488841</v>
          </cell>
          <cell r="BZ72">
            <v>3.7080340738266125E-2</v>
          </cell>
          <cell r="CA72">
            <v>0.16500310120147554</v>
          </cell>
        </row>
        <row r="74">
          <cell r="A74" t="str">
            <v>1998</v>
          </cell>
          <cell r="T74" t="str">
            <v>1998</v>
          </cell>
          <cell r="AU74" t="str">
            <v>1998</v>
          </cell>
        </row>
        <row r="75">
          <cell r="A75" t="str">
            <v xml:space="preserve"> 1Q</v>
          </cell>
          <cell r="B75">
            <v>482</v>
          </cell>
          <cell r="C75">
            <v>132.69999999999999</v>
          </cell>
          <cell r="D75">
            <v>614.70000000000005</v>
          </cell>
          <cell r="F75">
            <v>230.4</v>
          </cell>
          <cell r="G75">
            <v>56.8</v>
          </cell>
          <cell r="H75">
            <v>287.2</v>
          </cell>
          <cell r="J75">
            <v>16.100000000000001</v>
          </cell>
          <cell r="L75">
            <v>25</v>
          </cell>
          <cell r="R75">
            <v>942.6</v>
          </cell>
          <cell r="T75" t="str">
            <v xml:space="preserve"> 1Q</v>
          </cell>
          <cell r="U75">
            <v>12.4</v>
          </cell>
          <cell r="V75">
            <v>104.4</v>
          </cell>
          <cell r="W75">
            <v>116.80000000000001</v>
          </cell>
          <cell r="Y75">
            <v>5.5</v>
          </cell>
          <cell r="Z75">
            <v>37.6</v>
          </cell>
          <cell r="AA75">
            <v>54.9</v>
          </cell>
          <cell r="AB75">
            <v>43.7</v>
          </cell>
          <cell r="AD75">
            <v>258.5</v>
          </cell>
          <cell r="AF75">
            <v>22.5</v>
          </cell>
          <cell r="AG75">
            <v>70</v>
          </cell>
          <cell r="AM75">
            <v>32.700000000000003</v>
          </cell>
          <cell r="AN75">
            <v>0.7</v>
          </cell>
          <cell r="AO75">
            <v>33.400000000000006</v>
          </cell>
          <cell r="AU75" t="str">
            <v xml:space="preserve"> 1Q</v>
          </cell>
          <cell r="AV75">
            <v>60.9</v>
          </cell>
          <cell r="AX75">
            <v>104.8</v>
          </cell>
          <cell r="AY75">
            <v>89.9</v>
          </cell>
          <cell r="AZ75">
            <v>194.7</v>
          </cell>
          <cell r="BD75">
            <v>17</v>
          </cell>
          <cell r="BF75">
            <v>12.7</v>
          </cell>
          <cell r="BG75">
            <v>12</v>
          </cell>
          <cell r="BH75">
            <v>24.7</v>
          </cell>
          <cell r="BI75">
            <v>297.3</v>
          </cell>
          <cell r="BK75">
            <v>117.3</v>
          </cell>
          <cell r="BL75">
            <v>27.4</v>
          </cell>
          <cell r="BM75">
            <v>144.69999999999999</v>
          </cell>
          <cell r="BO75">
            <v>30.7</v>
          </cell>
          <cell r="BP75">
            <v>26.3</v>
          </cell>
          <cell r="BQ75">
            <v>57</v>
          </cell>
          <cell r="BS75">
            <v>7.1</v>
          </cell>
          <cell r="BT75">
            <v>64.099999999999994</v>
          </cell>
          <cell r="BV75">
            <v>0</v>
          </cell>
          <cell r="BX75">
            <v>70.400000000000006</v>
          </cell>
          <cell r="BY75">
            <v>1903.5</v>
          </cell>
          <cell r="BZ75">
            <v>146.20000000000002</v>
          </cell>
          <cell r="CA75">
            <v>2049.6999999999998</v>
          </cell>
        </row>
        <row r="76">
          <cell r="A76" t="str">
            <v xml:space="preserve"> 2Q</v>
          </cell>
          <cell r="B76">
            <v>527.29999999999995</v>
          </cell>
          <cell r="C76">
            <v>135.9</v>
          </cell>
          <cell r="D76">
            <v>663.19999999999993</v>
          </cell>
          <cell r="F76">
            <v>255.7</v>
          </cell>
          <cell r="G76">
            <v>71.900000000000006</v>
          </cell>
          <cell r="H76">
            <v>327.60000000000002</v>
          </cell>
          <cell r="J76">
            <v>18.899999999999999</v>
          </cell>
          <cell r="L76">
            <v>28</v>
          </cell>
          <cell r="R76">
            <v>1037.2</v>
          </cell>
          <cell r="T76" t="str">
            <v xml:space="preserve"> 2Q</v>
          </cell>
          <cell r="U76">
            <v>5</v>
          </cell>
          <cell r="V76">
            <v>84.2</v>
          </cell>
          <cell r="W76">
            <v>89.2</v>
          </cell>
          <cell r="Y76">
            <v>3.6</v>
          </cell>
          <cell r="Z76">
            <v>39.4</v>
          </cell>
          <cell r="AA76">
            <v>50.1</v>
          </cell>
          <cell r="AB76">
            <v>42.1</v>
          </cell>
          <cell r="AD76">
            <v>224.39999999999998</v>
          </cell>
          <cell r="AF76">
            <v>16</v>
          </cell>
          <cell r="AG76">
            <v>101</v>
          </cell>
          <cell r="AM76">
            <v>14</v>
          </cell>
          <cell r="AN76">
            <v>0.7</v>
          </cell>
          <cell r="AO76">
            <v>14.7</v>
          </cell>
          <cell r="AU76" t="str">
            <v xml:space="preserve"> 2Q</v>
          </cell>
          <cell r="AV76">
            <v>65.599999999999994</v>
          </cell>
          <cell r="AX76">
            <v>147.9</v>
          </cell>
          <cell r="AY76">
            <v>96.1</v>
          </cell>
          <cell r="AZ76">
            <v>244</v>
          </cell>
          <cell r="BD76">
            <v>16.7</v>
          </cell>
          <cell r="BF76">
            <v>16</v>
          </cell>
          <cell r="BG76">
            <v>13.6</v>
          </cell>
          <cell r="BH76">
            <v>29.6</v>
          </cell>
          <cell r="BI76">
            <v>355.90000000000003</v>
          </cell>
          <cell r="BK76">
            <v>43.8</v>
          </cell>
          <cell r="BL76">
            <v>32.200000000000003</v>
          </cell>
          <cell r="BM76">
            <v>76</v>
          </cell>
          <cell r="BO76">
            <v>52.8</v>
          </cell>
          <cell r="BP76">
            <v>32.6</v>
          </cell>
          <cell r="BQ76">
            <v>85.4</v>
          </cell>
          <cell r="BS76">
            <v>6.9</v>
          </cell>
          <cell r="BT76">
            <v>92.300000000000011</v>
          </cell>
          <cell r="BV76">
            <v>0</v>
          </cell>
          <cell r="BX76">
            <v>75.099999999999994</v>
          </cell>
          <cell r="BY76">
            <v>1992.6</v>
          </cell>
          <cell r="BZ76">
            <v>136.70000000000002</v>
          </cell>
          <cell r="CA76">
            <v>2129.2999999999997</v>
          </cell>
        </row>
        <row r="77">
          <cell r="A77" t="str">
            <v xml:space="preserve"> 3Q</v>
          </cell>
          <cell r="B77">
            <v>661.9</v>
          </cell>
          <cell r="C77">
            <v>127.2</v>
          </cell>
          <cell r="D77">
            <v>789.1</v>
          </cell>
          <cell r="F77">
            <v>311.60000000000002</v>
          </cell>
          <cell r="G77">
            <v>84.5</v>
          </cell>
          <cell r="H77">
            <v>396.1</v>
          </cell>
          <cell r="J77">
            <v>21.5</v>
          </cell>
          <cell r="L77">
            <v>30</v>
          </cell>
          <cell r="R77">
            <v>1237</v>
          </cell>
          <cell r="T77" t="str">
            <v xml:space="preserve"> 3Q</v>
          </cell>
          <cell r="U77">
            <v>8.6</v>
          </cell>
          <cell r="V77">
            <v>72</v>
          </cell>
          <cell r="W77">
            <v>80.599999999999994</v>
          </cell>
          <cell r="Y77">
            <v>3.6</v>
          </cell>
          <cell r="Z77">
            <v>37.799999999999997</v>
          </cell>
          <cell r="AA77">
            <v>45.8</v>
          </cell>
          <cell r="AB77">
            <v>40.799999999999997</v>
          </cell>
          <cell r="AD77">
            <v>208.59999999999997</v>
          </cell>
          <cell r="AF77">
            <v>20.399999999999999</v>
          </cell>
          <cell r="AG77">
            <v>86.7</v>
          </cell>
          <cell r="AM77">
            <v>31</v>
          </cell>
          <cell r="AN77">
            <v>2.1</v>
          </cell>
          <cell r="AO77">
            <v>33.1</v>
          </cell>
          <cell r="AU77" t="str">
            <v xml:space="preserve"> 3Q</v>
          </cell>
          <cell r="AV77">
            <v>64.900000000000006</v>
          </cell>
          <cell r="AX77">
            <v>150.19999999999999</v>
          </cell>
          <cell r="AY77">
            <v>90.2</v>
          </cell>
          <cell r="AZ77">
            <v>240.39999999999998</v>
          </cell>
          <cell r="BD77">
            <v>15.9</v>
          </cell>
          <cell r="BF77">
            <v>17</v>
          </cell>
          <cell r="BG77">
            <v>15</v>
          </cell>
          <cell r="BH77">
            <v>32</v>
          </cell>
          <cell r="BI77">
            <v>353.19999999999993</v>
          </cell>
          <cell r="BK77">
            <v>67.2</v>
          </cell>
          <cell r="BL77">
            <v>29</v>
          </cell>
          <cell r="BM77">
            <v>96.2</v>
          </cell>
          <cell r="BO77">
            <v>32.6</v>
          </cell>
          <cell r="BP77">
            <v>36.700000000000003</v>
          </cell>
          <cell r="BQ77">
            <v>69.300000000000011</v>
          </cell>
          <cell r="BS77">
            <v>6.8</v>
          </cell>
          <cell r="BT77">
            <v>76.100000000000009</v>
          </cell>
          <cell r="BV77">
            <v>0</v>
          </cell>
          <cell r="BX77">
            <v>74.800000000000011</v>
          </cell>
          <cell r="BY77">
            <v>2186.1000000000004</v>
          </cell>
          <cell r="BZ77">
            <v>150.69999999999999</v>
          </cell>
          <cell r="CA77">
            <v>2336.8000000000002</v>
          </cell>
        </row>
        <row r="78">
          <cell r="A78" t="str">
            <v xml:space="preserve"> 4Q</v>
          </cell>
          <cell r="B78">
            <v>600.29999999999995</v>
          </cell>
          <cell r="C78">
            <v>144.19999999999999</v>
          </cell>
          <cell r="D78">
            <v>744.5</v>
          </cell>
          <cell r="F78">
            <v>327.60000000000002</v>
          </cell>
          <cell r="G78">
            <v>104.7</v>
          </cell>
          <cell r="H78">
            <v>432.3</v>
          </cell>
          <cell r="J78">
            <v>30.7</v>
          </cell>
          <cell r="L78">
            <v>38</v>
          </cell>
          <cell r="R78">
            <v>1245</v>
          </cell>
          <cell r="T78" t="str">
            <v xml:space="preserve"> 4Q</v>
          </cell>
          <cell r="U78">
            <v>10.3</v>
          </cell>
          <cell r="V78">
            <v>101.8</v>
          </cell>
          <cell r="W78">
            <v>112.1</v>
          </cell>
          <cell r="Y78">
            <v>4.3</v>
          </cell>
          <cell r="Z78">
            <v>41.6</v>
          </cell>
          <cell r="AA78">
            <v>55.9</v>
          </cell>
          <cell r="AB78">
            <v>41.4</v>
          </cell>
          <cell r="AD78">
            <v>255.3</v>
          </cell>
          <cell r="AF78">
            <v>26.4</v>
          </cell>
          <cell r="AG78">
            <v>107.7</v>
          </cell>
          <cell r="AM78">
            <v>60</v>
          </cell>
          <cell r="AN78">
            <v>2.8</v>
          </cell>
          <cell r="AO78">
            <v>62.8</v>
          </cell>
          <cell r="AU78" t="str">
            <v xml:space="preserve"> 4Q</v>
          </cell>
          <cell r="AV78">
            <v>76.7</v>
          </cell>
          <cell r="AX78">
            <v>181.3</v>
          </cell>
          <cell r="AY78">
            <v>99.8</v>
          </cell>
          <cell r="AZ78">
            <v>281.10000000000002</v>
          </cell>
          <cell r="BD78">
            <v>16.7</v>
          </cell>
          <cell r="BF78">
            <v>23.7</v>
          </cell>
          <cell r="BG78">
            <v>19.899999999999999</v>
          </cell>
          <cell r="BH78">
            <v>43.599999999999994</v>
          </cell>
          <cell r="BI78">
            <v>418.1</v>
          </cell>
          <cell r="BK78">
            <v>73.400000000000006</v>
          </cell>
          <cell r="BL78">
            <v>28.1</v>
          </cell>
          <cell r="BM78">
            <v>101.5</v>
          </cell>
          <cell r="BO78">
            <v>52.3</v>
          </cell>
          <cell r="BP78">
            <v>42.8</v>
          </cell>
          <cell r="BQ78">
            <v>95.1</v>
          </cell>
          <cell r="BS78">
            <v>6.9</v>
          </cell>
          <cell r="BT78">
            <v>102</v>
          </cell>
          <cell r="BV78">
            <v>0</v>
          </cell>
          <cell r="BX78">
            <v>87.9</v>
          </cell>
          <cell r="BY78">
            <v>2406.7000000000003</v>
          </cell>
          <cell r="BZ78">
            <v>187.29999999999998</v>
          </cell>
          <cell r="CA78">
            <v>2594.0000000000005</v>
          </cell>
        </row>
        <row r="80">
          <cell r="A80" t="str">
            <v>Year</v>
          </cell>
          <cell r="B80">
            <v>2271.5</v>
          </cell>
          <cell r="C80">
            <v>540</v>
          </cell>
          <cell r="D80">
            <v>2811.5</v>
          </cell>
          <cell r="F80">
            <v>1125.3000000000002</v>
          </cell>
          <cell r="G80">
            <v>317.89999999999998</v>
          </cell>
          <cell r="H80">
            <v>1443.2</v>
          </cell>
          <cell r="J80">
            <v>87.2</v>
          </cell>
          <cell r="L80">
            <v>121</v>
          </cell>
          <cell r="R80">
            <v>4461.8</v>
          </cell>
          <cell r="T80" t="str">
            <v>Year</v>
          </cell>
          <cell r="U80">
            <v>36.299999999999997</v>
          </cell>
          <cell r="V80">
            <v>362.40000000000003</v>
          </cell>
          <cell r="W80">
            <v>398.70000000000005</v>
          </cell>
          <cell r="Y80">
            <v>17</v>
          </cell>
          <cell r="Z80">
            <v>156.4</v>
          </cell>
          <cell r="AA80">
            <v>206.70000000000002</v>
          </cell>
          <cell r="AB80">
            <v>168</v>
          </cell>
          <cell r="AD80">
            <v>946.8</v>
          </cell>
          <cell r="AF80">
            <v>85.3</v>
          </cell>
          <cell r="AG80">
            <v>365.4</v>
          </cell>
          <cell r="AM80">
            <v>137.69999999999999</v>
          </cell>
          <cell r="AN80">
            <v>6.3</v>
          </cell>
          <cell r="AO80">
            <v>144</v>
          </cell>
          <cell r="AU80" t="str">
            <v>Year</v>
          </cell>
          <cell r="AV80">
            <v>268.10000000000002</v>
          </cell>
          <cell r="AX80">
            <v>584.20000000000005</v>
          </cell>
          <cell r="AY80">
            <v>376</v>
          </cell>
          <cell r="AZ80">
            <v>960.19999999999993</v>
          </cell>
          <cell r="BD80">
            <v>66.3</v>
          </cell>
          <cell r="BF80">
            <v>69.400000000000006</v>
          </cell>
          <cell r="BG80">
            <v>60.5</v>
          </cell>
          <cell r="BH80">
            <v>129.89999999999998</v>
          </cell>
          <cell r="BI80">
            <v>1424.5</v>
          </cell>
          <cell r="BK80">
            <v>301.70000000000005</v>
          </cell>
          <cell r="BL80">
            <v>116.69999999999999</v>
          </cell>
          <cell r="BM80">
            <v>418.4</v>
          </cell>
          <cell r="BO80">
            <v>168.39999999999998</v>
          </cell>
          <cell r="BP80">
            <v>138.4</v>
          </cell>
          <cell r="BQ80">
            <v>306.8</v>
          </cell>
          <cell r="BS80">
            <v>27.700000000000003</v>
          </cell>
          <cell r="BT80">
            <v>334.5</v>
          </cell>
          <cell r="BV80">
            <v>0</v>
          </cell>
          <cell r="BX80">
            <v>308.20000000000005</v>
          </cell>
          <cell r="BY80">
            <v>8488.9000000000015</v>
          </cell>
          <cell r="BZ80">
            <v>620.9</v>
          </cell>
          <cell r="CA80">
            <v>9109.7999999999993</v>
          </cell>
        </row>
        <row r="82">
          <cell r="A82" t="str">
            <v>1999/98</v>
          </cell>
          <cell r="T82" t="str">
            <v>1999/98</v>
          </cell>
          <cell r="AU82" t="str">
            <v>1999/98</v>
          </cell>
        </row>
        <row r="83">
          <cell r="A83" t="str">
            <v xml:space="preserve"> 1QA</v>
          </cell>
          <cell r="B83">
            <v>-5.7261410788381789E-2</v>
          </cell>
          <cell r="C83">
            <v>2.0346646571213392E-2</v>
          </cell>
          <cell r="D83">
            <v>-4.0344883683097521E-2</v>
          </cell>
          <cell r="F83">
            <v>0.29210069444444436</v>
          </cell>
          <cell r="G83">
            <v>0.82218309859154937</v>
          </cell>
          <cell r="H83">
            <v>0.39693593314763231</v>
          </cell>
          <cell r="J83">
            <v>6.8322981366459493E-2</v>
          </cell>
          <cell r="L83">
            <v>0.24800000000000011</v>
          </cell>
          <cell r="R83">
            <v>0.10280076384468484</v>
          </cell>
          <cell r="T83" t="str">
            <v xml:space="preserve"> 1QA</v>
          </cell>
          <cell r="U83">
            <v>-0.33064516129032256</v>
          </cell>
          <cell r="V83">
            <v>-0.10344827586206908</v>
          </cell>
          <cell r="W83">
            <v>-0.12756849315068508</v>
          </cell>
          <cell r="Y83">
            <v>-0.23636363636363633</v>
          </cell>
          <cell r="Z83">
            <v>-0.12234042553191493</v>
          </cell>
          <cell r="AA83">
            <v>-0.10200364298724958</v>
          </cell>
          <cell r="AB83">
            <v>0.17162471395881007</v>
          </cell>
          <cell r="AD83">
            <v>-7.3114119922630727E-2</v>
          </cell>
          <cell r="AF83">
            <v>0.19111111111111098</v>
          </cell>
          <cell r="AG83">
            <v>0.44285714285714284</v>
          </cell>
          <cell r="AM83">
            <v>0.48623853211009171</v>
          </cell>
          <cell r="AN83" t="str">
            <v>NM</v>
          </cell>
          <cell r="AO83">
            <v>0.63473053892215536</v>
          </cell>
          <cell r="AU83" t="str">
            <v xml:space="preserve"> 1QA</v>
          </cell>
          <cell r="AV83">
            <v>0.11330049261083765</v>
          </cell>
          <cell r="AX83">
            <v>2.8625954198473014E-3</v>
          </cell>
          <cell r="AY83">
            <v>8.7875417130144504E-2</v>
          </cell>
          <cell r="AZ83">
            <v>4.2116076014381054E-2</v>
          </cell>
          <cell r="BD83">
            <v>0.49411764705882344</v>
          </cell>
          <cell r="BF83">
            <v>0.73228346456692917</v>
          </cell>
          <cell r="BG83">
            <v>0.70833333333333326</v>
          </cell>
          <cell r="BH83">
            <v>0.72064777327935237</v>
          </cell>
          <cell r="BI83">
            <v>0.13891691893710045</v>
          </cell>
          <cell r="BK83">
            <v>-0.30008525149190113</v>
          </cell>
          <cell r="BL83">
            <v>7.2992700729927015E-2</v>
          </cell>
          <cell r="BM83">
            <v>-0.22944022114720108</v>
          </cell>
          <cell r="BO83">
            <v>1.315960912052117</v>
          </cell>
          <cell r="BP83">
            <v>0.64638783269961952</v>
          </cell>
          <cell r="BQ83">
            <v>1.0070175438596491</v>
          </cell>
          <cell r="BS83">
            <v>-5.6338028169014009E-2</v>
          </cell>
          <cell r="BT83">
            <v>0.88923556942277693</v>
          </cell>
          <cell r="BV83" t="str">
            <v>NM</v>
          </cell>
          <cell r="BX83">
            <v>-0.38636363636363635</v>
          </cell>
          <cell r="BY83">
            <v>0.10664565274494353</v>
          </cell>
          <cell r="BZ83">
            <v>1.9835841313269532E-2</v>
          </cell>
          <cell r="CA83">
            <v>0.10045372493535654</v>
          </cell>
        </row>
        <row r="84">
          <cell r="A84" t="str">
            <v xml:space="preserve"> 2QA</v>
          </cell>
          <cell r="B84">
            <v>6.5427650293950312E-2</v>
          </cell>
          <cell r="C84">
            <v>-7.0640176600441557E-2</v>
          </cell>
          <cell r="D84">
            <v>3.7545235223160445E-2</v>
          </cell>
          <cell r="F84">
            <v>8.1736409855299313E-2</v>
          </cell>
          <cell r="G84">
            <v>0.61752433936022233</v>
          </cell>
          <cell r="H84">
            <v>0.19963369963369981</v>
          </cell>
          <cell r="J84">
            <v>-0.21164021164021157</v>
          </cell>
          <cell r="L84">
            <v>0.17142857142857132</v>
          </cell>
          <cell r="R84">
            <v>8.8314693405321831E-2</v>
          </cell>
          <cell r="T84" t="str">
            <v xml:space="preserve"> 2QA</v>
          </cell>
          <cell r="U84">
            <v>0.98</v>
          </cell>
          <cell r="V84">
            <v>-0.29216152019002378</v>
          </cell>
          <cell r="W84">
            <v>-0.22085201793721976</v>
          </cell>
          <cell r="Y84">
            <v>-0.5</v>
          </cell>
          <cell r="Z84">
            <v>-0.21319796954314718</v>
          </cell>
          <cell r="AA84">
            <v>3.5928143712574932E-2</v>
          </cell>
          <cell r="AB84">
            <v>0.43705463182897858</v>
          </cell>
          <cell r="AD84">
            <v>-4.3226381461675456E-2</v>
          </cell>
          <cell r="AF84">
            <v>0.27500000000000013</v>
          </cell>
          <cell r="AG84">
            <v>0.13069306930693081</v>
          </cell>
          <cell r="AM84">
            <v>3.1428571428571432</v>
          </cell>
          <cell r="AN84" t="str">
            <v>NM</v>
          </cell>
          <cell r="AO84">
            <v>3.5306122448979593</v>
          </cell>
          <cell r="AU84" t="str">
            <v xml:space="preserve"> 2QA</v>
          </cell>
          <cell r="AV84">
            <v>0.11737804878048785</v>
          </cell>
          <cell r="AX84">
            <v>0.17647058823529407</v>
          </cell>
          <cell r="AY84">
            <v>8.6368366285119791E-2</v>
          </cell>
          <cell r="AZ84">
            <v>0.14057377049180309</v>
          </cell>
          <cell r="BD84">
            <v>0.52694610778443118</v>
          </cell>
          <cell r="BF84">
            <v>0.64375000000000004</v>
          </cell>
          <cell r="BG84">
            <v>0.77205882352941191</v>
          </cell>
          <cell r="BH84">
            <v>0.70270270270270285</v>
          </cell>
          <cell r="BI84">
            <v>0.20118010677156484</v>
          </cell>
          <cell r="BK84">
            <v>0.27625570776255715</v>
          </cell>
          <cell r="BL84">
            <v>-0.21118012422360261</v>
          </cell>
          <cell r="BM84">
            <v>6.9736842105263097E-2</v>
          </cell>
          <cell r="BO84">
            <v>-0.19128787878787867</v>
          </cell>
          <cell r="BP84">
            <v>0.34355828220858875</v>
          </cell>
          <cell r="BQ84">
            <v>1.2880562060889833E-2</v>
          </cell>
          <cell r="BS84">
            <v>2.8985507246376708E-2</v>
          </cell>
          <cell r="BT84">
            <v>1.408450704225328E-2</v>
          </cell>
          <cell r="BV84" t="str">
            <v>NM</v>
          </cell>
          <cell r="BX84">
            <v>-0.4434087882822903</v>
          </cell>
          <cell r="BY84">
            <v>9.8564689350597368E-2</v>
          </cell>
          <cell r="BZ84">
            <v>2.9261155815654506E-2</v>
          </cell>
          <cell r="CA84">
            <v>9.4115436998074564E-2</v>
          </cell>
        </row>
        <row r="85">
          <cell r="A85" t="str">
            <v xml:space="preserve"> 3Q</v>
          </cell>
          <cell r="B85">
            <v>-0.14609457621997271</v>
          </cell>
          <cell r="C85">
            <v>-1.729559748427675E-2</v>
          </cell>
          <cell r="D85">
            <v>-0.12533265745786337</v>
          </cell>
          <cell r="F85">
            <v>0.18902439024390236</v>
          </cell>
          <cell r="G85">
            <v>0.56686390532544384</v>
          </cell>
          <cell r="H85">
            <v>0.26962888159555654</v>
          </cell>
          <cell r="J85">
            <v>-0.11162790697674412</v>
          </cell>
          <cell r="L85">
            <v>0.1733333333333332</v>
          </cell>
          <cell r="R85">
            <v>8.4074373484235299E-3</v>
          </cell>
          <cell r="T85" t="str">
            <v xml:space="preserve"> 3Q</v>
          </cell>
          <cell r="U85">
            <v>-3.4883720930232398E-2</v>
          </cell>
          <cell r="V85">
            <v>-7.9166666666666705E-2</v>
          </cell>
          <cell r="W85">
            <v>-7.4441687344913188E-2</v>
          </cell>
          <cell r="Y85">
            <v>-0.16666666666666669</v>
          </cell>
          <cell r="Z85">
            <v>-0.12698412698412692</v>
          </cell>
          <cell r="AA85">
            <v>0.30131004366812236</v>
          </cell>
          <cell r="AB85">
            <v>0.31372549019607854</v>
          </cell>
          <cell r="AD85">
            <v>7.286673058485138E-2</v>
          </cell>
          <cell r="AF85">
            <v>-1.4705882352941037E-2</v>
          </cell>
          <cell r="AG85">
            <v>0.23760092272202993</v>
          </cell>
          <cell r="AM85">
            <v>1.6483870967741932</v>
          </cell>
          <cell r="AN85" t="str">
            <v>NM</v>
          </cell>
          <cell r="AO85">
            <v>1.8036253776435043</v>
          </cell>
          <cell r="AU85" t="str">
            <v xml:space="preserve"> 3Q</v>
          </cell>
          <cell r="AV85">
            <v>0.11248073959938361</v>
          </cell>
          <cell r="AX85">
            <v>0.21637816245006661</v>
          </cell>
          <cell r="AY85">
            <v>0.21507760532150766</v>
          </cell>
          <cell r="AZ85">
            <v>0.21589018302828622</v>
          </cell>
          <cell r="BD85">
            <v>1.6666666666666665</v>
          </cell>
          <cell r="BF85">
            <v>0.87058823529411766</v>
          </cell>
          <cell r="BG85">
            <v>0.79333333333333322</v>
          </cell>
          <cell r="BH85">
            <v>0.83437500000000009</v>
          </cell>
          <cell r="BI85">
            <v>0.31823329558323898</v>
          </cell>
          <cell r="BK85">
            <v>-0.19494047619047616</v>
          </cell>
          <cell r="BL85">
            <v>-4.1379310344827565E-2</v>
          </cell>
          <cell r="BM85">
            <v>-0.14760914760914767</v>
          </cell>
          <cell r="BO85">
            <v>1.1871165644171779</v>
          </cell>
          <cell r="BP85">
            <v>0.3051771117166211</v>
          </cell>
          <cell r="BQ85">
            <v>0.72005772005771962</v>
          </cell>
          <cell r="BS85">
            <v>4.4117647058823505E-2</v>
          </cell>
          <cell r="BT85">
            <v>0.65965834428383663</v>
          </cell>
          <cell r="BV85" t="str">
            <v>NM</v>
          </cell>
          <cell r="BX85">
            <v>-0.37834224598930488</v>
          </cell>
          <cell r="BY85">
            <v>0.10333470564018077</v>
          </cell>
          <cell r="BZ85">
            <v>3.3178500331785005E-3</v>
          </cell>
          <cell r="CA85">
            <v>9.6884628551865415E-2</v>
          </cell>
        </row>
        <row r="86">
          <cell r="A86" t="str">
            <v xml:space="preserve"> 4Q</v>
          </cell>
          <cell r="B86">
            <v>-0.15558887223055137</v>
          </cell>
          <cell r="C86">
            <v>-0.12135922330097078</v>
          </cell>
          <cell r="D86">
            <v>-0.14895903290799195</v>
          </cell>
          <cell r="F86">
            <v>0.30067155067155066</v>
          </cell>
          <cell r="G86">
            <v>0.38395415472779371</v>
          </cell>
          <cell r="H86">
            <v>0.32084200786490857</v>
          </cell>
          <cell r="J86">
            <v>-0.05</v>
          </cell>
          <cell r="L86">
            <v>1.3157894736842105E-2</v>
          </cell>
          <cell r="R86">
            <v>1.5903614457831283E-2</v>
          </cell>
          <cell r="T86" t="str">
            <v xml:space="preserve"> 4Q</v>
          </cell>
          <cell r="U86">
            <v>-0.39805825242718451</v>
          </cell>
          <cell r="V86">
            <v>-0.16895874263261301</v>
          </cell>
          <cell r="W86">
            <v>-0.19000892060660124</v>
          </cell>
          <cell r="Y86">
            <v>0</v>
          </cell>
          <cell r="Z86">
            <v>-0.16346153846153855</v>
          </cell>
          <cell r="AA86">
            <v>1.0733452593917735E-2</v>
          </cell>
          <cell r="AB86">
            <v>0.43478260869565216</v>
          </cell>
          <cell r="AD86">
            <v>-3.7211124167645937E-2</v>
          </cell>
          <cell r="AF86">
            <v>-6.818181818181808E-2</v>
          </cell>
          <cell r="AG86">
            <v>0.15134633240482809</v>
          </cell>
          <cell r="AM86">
            <v>0.60999999999999988</v>
          </cell>
          <cell r="AN86" t="str">
            <v>NM</v>
          </cell>
          <cell r="AO86">
            <v>0.77388535031847128</v>
          </cell>
          <cell r="AU86" t="str">
            <v xml:space="preserve"> 4Q</v>
          </cell>
          <cell r="AV86">
            <v>9.6479791395045519E-2</v>
          </cell>
          <cell r="AX86">
            <v>5.5157198014337732E-4</v>
          </cell>
          <cell r="AY86">
            <v>9.9198396793587232E-2</v>
          </cell>
          <cell r="AZ86">
            <v>3.5218783351120608E-2</v>
          </cell>
          <cell r="BD86">
            <v>1.6287425149700598</v>
          </cell>
          <cell r="BF86">
            <v>0.66666666666666674</v>
          </cell>
          <cell r="BG86">
            <v>0.67839195979899491</v>
          </cell>
          <cell r="BH86">
            <v>0.67201834862385357</v>
          </cell>
          <cell r="BI86">
            <v>0.17651279598182246</v>
          </cell>
          <cell r="BK86">
            <v>-0.31471389645776571</v>
          </cell>
          <cell r="BL86">
            <v>-0.12099644128113886</v>
          </cell>
          <cell r="BM86">
            <v>-0.26108374384236455</v>
          </cell>
          <cell r="BO86">
            <v>0.51242829827915859</v>
          </cell>
          <cell r="BP86">
            <v>0.25934579439252348</v>
          </cell>
          <cell r="BQ86">
            <v>0.3985278654048372</v>
          </cell>
          <cell r="BS86">
            <v>0.33333333333333315</v>
          </cell>
          <cell r="BT86">
            <v>0.39411764705882346</v>
          </cell>
          <cell r="BV86" t="str">
            <v>NM</v>
          </cell>
          <cell r="BX86">
            <v>-0.52559726962457343</v>
          </cell>
          <cell r="BY86">
            <v>4.7658619686707704E-2</v>
          </cell>
          <cell r="BZ86">
            <v>3.8441003737319901E-2</v>
          </cell>
          <cell r="CA86">
            <v>4.6954510408635075E-2</v>
          </cell>
        </row>
        <row r="88">
          <cell r="A88" t="str">
            <v>Year</v>
          </cell>
          <cell r="B88">
            <v>-8.0651551837992441E-2</v>
          </cell>
          <cell r="C88">
            <v>-4.9259259259259301E-2</v>
          </cell>
          <cell r="D88">
            <v>-7.4586519651431593E-2</v>
          </cell>
          <cell r="F88">
            <v>0.21825291033502164</v>
          </cell>
          <cell r="G88">
            <v>0.56369927650204488</v>
          </cell>
          <cell r="H88">
            <v>0.29441518847006631</v>
          </cell>
          <cell r="J88">
            <v>-0.16399082568807336</v>
          </cell>
          <cell r="L88">
            <v>0.13801652892561975</v>
          </cell>
          <cell r="R88">
            <v>4.9016092160114599E-2</v>
          </cell>
          <cell r="T88" t="str">
            <v>Year</v>
          </cell>
          <cell r="U88">
            <v>-9.9173553719008115E-2</v>
          </cell>
          <cell r="V88">
            <v>-0.16087196467991172</v>
          </cell>
          <cell r="W88">
            <v>-0.15525457737647375</v>
          </cell>
          <cell r="Y88">
            <v>-0.21764705882352936</v>
          </cell>
          <cell r="Z88">
            <v>-0.15728900255754472</v>
          </cell>
          <cell r="AA88">
            <v>5.1282051282051253E-2</v>
          </cell>
          <cell r="AB88">
            <v>0.33750000000000008</v>
          </cell>
          <cell r="AD88">
            <v>-2.4186734262779952E-2</v>
          </cell>
          <cell r="AF88">
            <v>7.7373974208675367E-2</v>
          </cell>
          <cell r="AG88">
            <v>0.2219485495347564</v>
          </cell>
          <cell r="AM88">
            <v>1.0718954248366011</v>
          </cell>
          <cell r="AN88" t="str">
            <v>NM</v>
          </cell>
          <cell r="AO88">
            <v>1.259722222222222</v>
          </cell>
          <cell r="AU88" t="str">
            <v>Year</v>
          </cell>
          <cell r="AV88">
            <v>0.10928757926146943</v>
          </cell>
          <cell r="AX88">
            <v>0.10099281068127353</v>
          </cell>
          <cell r="AY88">
            <v>0.12101063829787219</v>
          </cell>
          <cell r="AZ88">
            <v>0.10862320349927113</v>
          </cell>
          <cell r="BD88">
            <v>1.0693815987933635</v>
          </cell>
          <cell r="BF88">
            <v>0.72334293948126782</v>
          </cell>
          <cell r="BG88">
            <v>0.7338842975206612</v>
          </cell>
          <cell r="BH88">
            <v>0.72825250192455782</v>
          </cell>
          <cell r="BI88">
            <v>0.20996840996841004</v>
          </cell>
          <cell r="BK88">
            <v>-0.19655286708650999</v>
          </cell>
          <cell r="BL88">
            <v>-8.0548414738646032E-2</v>
          </cell>
          <cell r="BM88">
            <v>-0.16395793499043965</v>
          </cell>
          <cell r="BO88">
            <v>0.56888361045130653</v>
          </cell>
          <cell r="BP88">
            <v>0.36488439306358378</v>
          </cell>
          <cell r="BQ88">
            <v>0.47685788787483685</v>
          </cell>
          <cell r="BS88">
            <v>8.6642599277978155E-2</v>
          </cell>
          <cell r="BT88">
            <v>0.44454409566517183</v>
          </cell>
          <cell r="BV88" t="str">
            <v>NM</v>
          </cell>
          <cell r="BX88">
            <v>-0.43802725502920192</v>
          </cell>
          <cell r="BY88">
            <v>8.7172660768768395E-2</v>
          </cell>
          <cell r="BZ88">
            <v>2.3514253502979584E-2</v>
          </cell>
          <cell r="CA88">
            <v>8.2822894026213456E-2</v>
          </cell>
        </row>
        <row r="90">
          <cell r="A90">
            <v>1999</v>
          </cell>
          <cell r="T90">
            <v>1999</v>
          </cell>
          <cell r="AU90">
            <v>1999</v>
          </cell>
        </row>
        <row r="91">
          <cell r="A91" t="str">
            <v xml:space="preserve"> 1Q</v>
          </cell>
          <cell r="B91">
            <v>454.4</v>
          </cell>
          <cell r="C91">
            <v>135.4</v>
          </cell>
          <cell r="D91">
            <v>589.9</v>
          </cell>
          <cell r="F91">
            <v>297.7</v>
          </cell>
          <cell r="G91">
            <v>103.5</v>
          </cell>
          <cell r="H91">
            <v>401.2</v>
          </cell>
          <cell r="J91">
            <v>17.2</v>
          </cell>
          <cell r="L91">
            <v>31.200000000000003</v>
          </cell>
          <cell r="R91">
            <v>1039.5</v>
          </cell>
          <cell r="T91" t="str">
            <v xml:space="preserve"> 1Q</v>
          </cell>
          <cell r="U91">
            <v>8.3000000000000007</v>
          </cell>
          <cell r="V91">
            <v>93.6</v>
          </cell>
          <cell r="W91">
            <v>101.89999999999999</v>
          </cell>
          <cell r="Y91">
            <v>4.2</v>
          </cell>
          <cell r="Z91">
            <v>33</v>
          </cell>
          <cell r="AA91">
            <v>49.3</v>
          </cell>
          <cell r="AB91">
            <v>51.2</v>
          </cell>
          <cell r="AD91">
            <v>239.59999999999997</v>
          </cell>
          <cell r="AF91">
            <v>26.799999999999997</v>
          </cell>
          <cell r="AG91">
            <v>101</v>
          </cell>
          <cell r="AM91">
            <v>48.6</v>
          </cell>
          <cell r="AN91">
            <v>6</v>
          </cell>
          <cell r="AO91">
            <v>54.6</v>
          </cell>
          <cell r="AU91" t="str">
            <v xml:space="preserve"> 1Q</v>
          </cell>
          <cell r="AV91">
            <v>67.800000000000011</v>
          </cell>
          <cell r="AX91">
            <v>105.1</v>
          </cell>
          <cell r="AY91">
            <v>97.8</v>
          </cell>
          <cell r="AZ91">
            <v>202.89999999999998</v>
          </cell>
          <cell r="BD91">
            <v>25.4</v>
          </cell>
          <cell r="BF91">
            <v>22</v>
          </cell>
          <cell r="BG91">
            <v>20.5</v>
          </cell>
          <cell r="BH91">
            <v>42.5</v>
          </cell>
          <cell r="BI91">
            <v>338.59999999999997</v>
          </cell>
          <cell r="BK91">
            <v>82.1</v>
          </cell>
          <cell r="BL91">
            <v>29.4</v>
          </cell>
          <cell r="BM91">
            <v>111.5</v>
          </cell>
          <cell r="BO91">
            <v>71.099999999999994</v>
          </cell>
          <cell r="BP91">
            <v>43.3</v>
          </cell>
          <cell r="BQ91">
            <v>114.39999999999999</v>
          </cell>
          <cell r="BS91">
            <v>6.7</v>
          </cell>
          <cell r="BT91">
            <v>121.1</v>
          </cell>
          <cell r="BV91">
            <v>0</v>
          </cell>
          <cell r="BX91">
            <v>43.2</v>
          </cell>
          <cell r="BY91">
            <v>2106.5</v>
          </cell>
          <cell r="BZ91">
            <v>149.10000000000002</v>
          </cell>
          <cell r="CA91">
            <v>2255.6</v>
          </cell>
        </row>
        <row r="92">
          <cell r="A92" t="str">
            <v xml:space="preserve"> 2Q</v>
          </cell>
          <cell r="B92">
            <v>561.79999999999995</v>
          </cell>
          <cell r="C92">
            <v>126.3</v>
          </cell>
          <cell r="D92">
            <v>688.09999999999991</v>
          </cell>
          <cell r="F92">
            <v>276.60000000000002</v>
          </cell>
          <cell r="G92">
            <v>116.3</v>
          </cell>
          <cell r="H92">
            <v>393.00000000000006</v>
          </cell>
          <cell r="J92">
            <v>14.9</v>
          </cell>
          <cell r="L92">
            <v>32.799999999999997</v>
          </cell>
          <cell r="R92">
            <v>1128.8</v>
          </cell>
          <cell r="T92" t="str">
            <v xml:space="preserve"> 2Q</v>
          </cell>
          <cell r="U92">
            <v>9.9</v>
          </cell>
          <cell r="V92">
            <v>59.6</v>
          </cell>
          <cell r="W92">
            <v>69.5</v>
          </cell>
          <cell r="Y92">
            <v>1.8</v>
          </cell>
          <cell r="Z92">
            <v>31</v>
          </cell>
          <cell r="AA92">
            <v>51.900000000000006</v>
          </cell>
          <cell r="AB92">
            <v>60.5</v>
          </cell>
          <cell r="AD92">
            <v>214.70000000000002</v>
          </cell>
          <cell r="AF92">
            <v>20.400000000000002</v>
          </cell>
          <cell r="AG92">
            <v>114.2</v>
          </cell>
          <cell r="AM92">
            <v>58</v>
          </cell>
          <cell r="AN92">
            <v>8.6</v>
          </cell>
          <cell r="AO92">
            <v>66.599999999999994</v>
          </cell>
          <cell r="AU92" t="str">
            <v xml:space="preserve"> 2Q</v>
          </cell>
          <cell r="AV92">
            <v>73.3</v>
          </cell>
          <cell r="AX92">
            <v>174</v>
          </cell>
          <cell r="AY92">
            <v>104.4</v>
          </cell>
          <cell r="AZ92">
            <v>278.29999999999995</v>
          </cell>
          <cell r="BD92">
            <v>25.5</v>
          </cell>
          <cell r="BF92">
            <v>26.3</v>
          </cell>
          <cell r="BG92">
            <v>24.1</v>
          </cell>
          <cell r="BH92">
            <v>50.400000000000006</v>
          </cell>
          <cell r="BI92">
            <v>427.5</v>
          </cell>
          <cell r="BK92">
            <v>55.9</v>
          </cell>
          <cell r="BL92">
            <v>25.4</v>
          </cell>
          <cell r="BM92">
            <v>81.3</v>
          </cell>
          <cell r="BO92">
            <v>42.7</v>
          </cell>
          <cell r="BP92">
            <v>43.8</v>
          </cell>
          <cell r="BQ92">
            <v>86.5</v>
          </cell>
          <cell r="BS92">
            <v>7.1</v>
          </cell>
          <cell r="BT92">
            <v>93.6</v>
          </cell>
          <cell r="BV92">
            <v>0</v>
          </cell>
          <cell r="BX92">
            <v>41.8</v>
          </cell>
          <cell r="BY92">
            <v>2189</v>
          </cell>
          <cell r="BZ92">
            <v>140.69999999999999</v>
          </cell>
          <cell r="CA92">
            <v>2329.6999999999998</v>
          </cell>
        </row>
        <row r="93">
          <cell r="A93" t="str">
            <v xml:space="preserve"> 3Q</v>
          </cell>
          <cell r="B93">
            <v>565.20000000000005</v>
          </cell>
          <cell r="C93">
            <v>125</v>
          </cell>
          <cell r="D93">
            <v>690.2</v>
          </cell>
          <cell r="F93">
            <v>370.5</v>
          </cell>
          <cell r="G93">
            <v>132.4</v>
          </cell>
          <cell r="H93">
            <v>502.9</v>
          </cell>
          <cell r="J93">
            <v>19.100000000000001</v>
          </cell>
          <cell r="L93">
            <v>35.199999999999996</v>
          </cell>
          <cell r="R93">
            <v>1247.3999999999999</v>
          </cell>
          <cell r="T93" t="str">
            <v xml:space="preserve"> 3Q</v>
          </cell>
          <cell r="U93">
            <v>8.3000000000000007</v>
          </cell>
          <cell r="V93">
            <v>66.3</v>
          </cell>
          <cell r="W93">
            <v>74.599999999999994</v>
          </cell>
          <cell r="Y93">
            <v>3</v>
          </cell>
          <cell r="Z93">
            <v>33</v>
          </cell>
          <cell r="AA93">
            <v>59.6</v>
          </cell>
          <cell r="AB93">
            <v>53.6</v>
          </cell>
          <cell r="AD93">
            <v>223.79999999999998</v>
          </cell>
          <cell r="AF93">
            <v>20.100000000000001</v>
          </cell>
          <cell r="AG93">
            <v>107.3</v>
          </cell>
          <cell r="AM93">
            <v>82.1</v>
          </cell>
          <cell r="AN93">
            <v>10.7</v>
          </cell>
          <cell r="AO93">
            <v>92.8</v>
          </cell>
          <cell r="AU93" t="str">
            <v xml:space="preserve"> 3Q</v>
          </cell>
          <cell r="AV93">
            <v>72.2</v>
          </cell>
          <cell r="AX93">
            <v>182.7</v>
          </cell>
          <cell r="AY93">
            <v>109.6</v>
          </cell>
          <cell r="AZ93">
            <v>292.29999999999995</v>
          </cell>
          <cell r="BD93">
            <v>42.4</v>
          </cell>
          <cell r="BF93">
            <v>31.8</v>
          </cell>
          <cell r="BG93">
            <v>26.9</v>
          </cell>
          <cell r="BH93">
            <v>58.7</v>
          </cell>
          <cell r="BI93">
            <v>465.59999999999991</v>
          </cell>
          <cell r="BK93">
            <v>54.1</v>
          </cell>
          <cell r="BL93">
            <v>27.8</v>
          </cell>
          <cell r="BM93">
            <v>82</v>
          </cell>
          <cell r="BO93">
            <v>71.3</v>
          </cell>
          <cell r="BP93">
            <v>47.9</v>
          </cell>
          <cell r="BQ93">
            <v>119.19999999999999</v>
          </cell>
          <cell r="BS93">
            <v>7.1</v>
          </cell>
          <cell r="BT93">
            <v>126.29999999999998</v>
          </cell>
          <cell r="BV93">
            <v>0</v>
          </cell>
          <cell r="BX93">
            <v>46.5</v>
          </cell>
          <cell r="BY93">
            <v>2411.9999999999995</v>
          </cell>
          <cell r="BZ93">
            <v>151.19999999999999</v>
          </cell>
          <cell r="CA93">
            <v>2563.1999999999994</v>
          </cell>
        </row>
        <row r="94">
          <cell r="A94" t="str">
            <v xml:space="preserve"> 4Q</v>
          </cell>
          <cell r="B94">
            <v>506.9</v>
          </cell>
          <cell r="C94">
            <v>126.7</v>
          </cell>
          <cell r="D94">
            <v>633.6</v>
          </cell>
          <cell r="F94">
            <v>426.1</v>
          </cell>
          <cell r="G94">
            <v>144.9</v>
          </cell>
          <cell r="H94">
            <v>571</v>
          </cell>
          <cell r="J94">
            <v>21.7</v>
          </cell>
          <cell r="L94">
            <v>38.5</v>
          </cell>
          <cell r="R94">
            <v>1264.8</v>
          </cell>
          <cell r="T94" t="str">
            <v xml:space="preserve"> 4Q</v>
          </cell>
          <cell r="U94">
            <v>6.2</v>
          </cell>
          <cell r="V94">
            <v>84.6</v>
          </cell>
          <cell r="W94">
            <v>90.8</v>
          </cell>
          <cell r="Y94">
            <v>4.3</v>
          </cell>
          <cell r="Z94">
            <v>34.799999999999997</v>
          </cell>
          <cell r="AA94">
            <v>56.5</v>
          </cell>
          <cell r="AB94">
            <v>59.4</v>
          </cell>
          <cell r="AD94">
            <v>245.8</v>
          </cell>
          <cell r="AF94">
            <v>24.6</v>
          </cell>
          <cell r="AG94">
            <v>124</v>
          </cell>
          <cell r="AM94">
            <v>96.6</v>
          </cell>
          <cell r="AN94">
            <v>14.8</v>
          </cell>
          <cell r="AO94">
            <v>111.39999999999999</v>
          </cell>
          <cell r="AU94" t="str">
            <v xml:space="preserve"> 4Q</v>
          </cell>
          <cell r="AV94">
            <v>84.1</v>
          </cell>
          <cell r="AX94">
            <v>181.4</v>
          </cell>
          <cell r="AY94">
            <v>109.7</v>
          </cell>
          <cell r="AZ94">
            <v>291</v>
          </cell>
          <cell r="BD94">
            <v>43.9</v>
          </cell>
          <cell r="BF94">
            <v>39.5</v>
          </cell>
          <cell r="BG94">
            <v>33.4</v>
          </cell>
          <cell r="BH94">
            <v>72.900000000000006</v>
          </cell>
          <cell r="BI94">
            <v>491.9</v>
          </cell>
          <cell r="BK94">
            <v>50.3</v>
          </cell>
          <cell r="BL94">
            <v>24.7</v>
          </cell>
          <cell r="BM94">
            <v>75</v>
          </cell>
          <cell r="BO94">
            <v>79.099999999999994</v>
          </cell>
          <cell r="BP94">
            <v>53.9</v>
          </cell>
          <cell r="BQ94">
            <v>133</v>
          </cell>
          <cell r="BS94">
            <v>9.1999999999999993</v>
          </cell>
          <cell r="BT94">
            <v>142.19999999999999</v>
          </cell>
          <cell r="BV94">
            <v>0</v>
          </cell>
          <cell r="BX94">
            <v>41.7</v>
          </cell>
          <cell r="BY94">
            <v>2521.3999999999996</v>
          </cell>
          <cell r="BZ94">
            <v>194.5</v>
          </cell>
          <cell r="CA94">
            <v>2715.7999999999997</v>
          </cell>
        </row>
        <row r="96">
          <cell r="A96" t="str">
            <v>Year</v>
          </cell>
          <cell r="B96">
            <v>2088.3000000000002</v>
          </cell>
          <cell r="C96">
            <v>513.4</v>
          </cell>
          <cell r="D96">
            <v>2601.8000000000002</v>
          </cell>
          <cell r="F96">
            <v>1370.9</v>
          </cell>
          <cell r="G96">
            <v>497.1</v>
          </cell>
          <cell r="H96">
            <v>1868.1</v>
          </cell>
          <cell r="J96">
            <v>72.900000000000006</v>
          </cell>
          <cell r="L96">
            <v>137.69999999999999</v>
          </cell>
          <cell r="R96">
            <v>4680.5</v>
          </cell>
          <cell r="T96" t="str">
            <v>Year</v>
          </cell>
          <cell r="U96">
            <v>32.700000000000003</v>
          </cell>
          <cell r="V96">
            <v>304.10000000000002</v>
          </cell>
          <cell r="W96">
            <v>336.79999999999995</v>
          </cell>
          <cell r="Y96">
            <v>13.3</v>
          </cell>
          <cell r="Z96">
            <v>131.80000000000001</v>
          </cell>
          <cell r="AA96">
            <v>217.3</v>
          </cell>
          <cell r="AB96">
            <v>224.70000000000002</v>
          </cell>
          <cell r="AD96">
            <v>923.89999999999986</v>
          </cell>
          <cell r="AF96">
            <v>91.9</v>
          </cell>
          <cell r="AG96">
            <v>446.5</v>
          </cell>
          <cell r="AM96">
            <v>285.29999999999995</v>
          </cell>
          <cell r="AN96">
            <v>40.099999999999994</v>
          </cell>
          <cell r="AO96">
            <v>325.39999999999998</v>
          </cell>
          <cell r="AU96" t="str">
            <v>Year</v>
          </cell>
          <cell r="AV96">
            <v>297.39999999999998</v>
          </cell>
          <cell r="AX96">
            <v>643.20000000000005</v>
          </cell>
          <cell r="AY96">
            <v>421.49999999999994</v>
          </cell>
          <cell r="AZ96">
            <v>1064.5</v>
          </cell>
          <cell r="BD96">
            <v>137.19999999999999</v>
          </cell>
          <cell r="BF96">
            <v>119.6</v>
          </cell>
          <cell r="BG96">
            <v>104.9</v>
          </cell>
          <cell r="BH96">
            <v>224.50000000000003</v>
          </cell>
          <cell r="BI96">
            <v>1723.6000000000001</v>
          </cell>
          <cell r="BK96">
            <v>242.39999999999998</v>
          </cell>
          <cell r="BL96">
            <v>107.3</v>
          </cell>
          <cell r="BM96">
            <v>349.8</v>
          </cell>
          <cell r="BO96">
            <v>264.2</v>
          </cell>
          <cell r="BP96">
            <v>188.9</v>
          </cell>
          <cell r="BQ96">
            <v>453.09999999999997</v>
          </cell>
          <cell r="BS96">
            <v>30.099999999999998</v>
          </cell>
          <cell r="BT96">
            <v>483.2</v>
          </cell>
          <cell r="BV96">
            <v>0</v>
          </cell>
          <cell r="BX96">
            <v>173.2</v>
          </cell>
          <cell r="BY96">
            <v>9228.9</v>
          </cell>
          <cell r="BZ96">
            <v>635.5</v>
          </cell>
          <cell r="CA96">
            <v>9864.2999999999993</v>
          </cell>
        </row>
        <row r="98">
          <cell r="A98" t="str">
            <v>2000/99</v>
          </cell>
          <cell r="T98" t="str">
            <v>2000/99</v>
          </cell>
          <cell r="AU98" t="str">
            <v>2000/99</v>
          </cell>
        </row>
        <row r="99">
          <cell r="A99" t="str">
            <v xml:space="preserve"> 1QA</v>
          </cell>
          <cell r="B99">
            <v>0.11795774647887325</v>
          </cell>
          <cell r="C99">
            <v>-0.26292466765140332</v>
          </cell>
          <cell r="D99">
            <v>3.0513646380742498E-2</v>
          </cell>
          <cell r="F99">
            <v>7.0540812898891581E-3</v>
          </cell>
          <cell r="G99">
            <v>0.6908212560386473</v>
          </cell>
          <cell r="H99">
            <v>0.18344965104685951</v>
          </cell>
          <cell r="J99">
            <v>0.18604651162790686</v>
          </cell>
          <cell r="L99">
            <v>-7.37179487179489E-2</v>
          </cell>
          <cell r="R99">
            <v>8.8985088985089167E-2</v>
          </cell>
          <cell r="T99" t="str">
            <v xml:space="preserve"> 1QA</v>
          </cell>
          <cell r="U99">
            <v>8.674698795180702E-2</v>
          </cell>
          <cell r="V99">
            <v>-0.19615384615384612</v>
          </cell>
          <cell r="W99">
            <v>-0.17311089303238469</v>
          </cell>
          <cell r="Y99">
            <v>0.23809523809523814</v>
          </cell>
          <cell r="Z99">
            <v>-3.6363636363636376E-2</v>
          </cell>
          <cell r="AA99">
            <v>0.20081135902636937</v>
          </cell>
          <cell r="AB99">
            <v>8.7890625E-2</v>
          </cell>
          <cell r="AD99">
            <v>-1.519198664440724E-2</v>
          </cell>
          <cell r="AF99">
            <v>0.13432835820895539</v>
          </cell>
          <cell r="AG99">
            <v>9.9999999999999867E-2</v>
          </cell>
          <cell r="AM99">
            <v>0.71399176954732502</v>
          </cell>
          <cell r="AN99">
            <v>2</v>
          </cell>
          <cell r="AO99">
            <v>0.85531135531135516</v>
          </cell>
          <cell r="AU99" t="str">
            <v xml:space="preserve"> 1QA</v>
          </cell>
          <cell r="AV99">
            <v>5.6047197640117785E-2</v>
          </cell>
          <cell r="AX99">
            <v>0.53282588011417698</v>
          </cell>
          <cell r="AY99">
            <v>0.38548057259713708</v>
          </cell>
          <cell r="AZ99">
            <v>0.46229669788072991</v>
          </cell>
          <cell r="BD99">
            <v>-0.36023622047244086</v>
          </cell>
          <cell r="BF99">
            <v>0.75454545454545463</v>
          </cell>
          <cell r="BG99">
            <v>0.62926829268292672</v>
          </cell>
          <cell r="BH99">
            <v>0.69647058823529395</v>
          </cell>
          <cell r="BI99">
            <v>0.47740696987596043</v>
          </cell>
          <cell r="BK99">
            <v>-0.4056029232643118</v>
          </cell>
          <cell r="BL99">
            <v>-0.18707482993197277</v>
          </cell>
          <cell r="BM99">
            <v>-0.34798206278026911</v>
          </cell>
          <cell r="BO99">
            <v>0.10829817158931099</v>
          </cell>
          <cell r="BP99">
            <v>0.38337182448036966</v>
          </cell>
          <cell r="BQ99">
            <v>0.21241258741258751</v>
          </cell>
          <cell r="BS99">
            <v>-0.20895522388059706</v>
          </cell>
          <cell r="BT99">
            <v>0.18909991742361698</v>
          </cell>
          <cell r="BV99">
            <v>0</v>
          </cell>
          <cell r="BX99">
            <v>0.25</v>
          </cell>
          <cell r="BY99">
            <v>0.13064799430334673</v>
          </cell>
          <cell r="BZ99">
            <v>7.3775989268946907E-2</v>
          </cell>
          <cell r="CA99">
            <v>0.1268886327363008</v>
          </cell>
        </row>
        <row r="100">
          <cell r="A100" t="str">
            <v xml:space="preserve"> 2QA</v>
          </cell>
          <cell r="B100">
            <v>-3.9159843360626612E-2</v>
          </cell>
          <cell r="C100">
            <v>-0.30641330166270786</v>
          </cell>
          <cell r="D100">
            <v>-8.8213922395000588E-2</v>
          </cell>
          <cell r="F100">
            <v>0.43383947939262479</v>
          </cell>
          <cell r="G100">
            <v>0.32502149613069653</v>
          </cell>
          <cell r="H100">
            <v>0.40127226463104315</v>
          </cell>
          <cell r="J100">
            <v>0.34899328859060419</v>
          </cell>
          <cell r="L100">
            <v>2.1341463414634276E-2</v>
          </cell>
          <cell r="R100">
            <v>9.1158752657689357E-2</v>
          </cell>
          <cell r="T100" t="str">
            <v xml:space="preserve"> 2QA</v>
          </cell>
          <cell r="U100">
            <v>-0.54545454545454541</v>
          </cell>
          <cell r="V100">
            <v>9.5302013422818854E-2</v>
          </cell>
          <cell r="W100">
            <v>4.0287769784173033E-3</v>
          </cell>
          <cell r="Y100">
            <v>0.55555555555555536</v>
          </cell>
          <cell r="Z100">
            <v>-5.4838709677419328E-2</v>
          </cell>
          <cell r="AA100">
            <v>5.3949903660886367E-2</v>
          </cell>
          <cell r="AB100">
            <v>-6.6115702479338845E-2</v>
          </cell>
          <cell r="AD100">
            <v>-7.5454122030740312E-3</v>
          </cell>
          <cell r="AF100">
            <v>5.3921568627450789E-2</v>
          </cell>
          <cell r="AG100">
            <v>-8.4938704028021061E-2</v>
          </cell>
          <cell r="AM100">
            <v>0.93103448275862077</v>
          </cell>
          <cell r="AN100">
            <v>1.5348837209302326</v>
          </cell>
          <cell r="AO100">
            <v>1.0075075075075079</v>
          </cell>
          <cell r="AU100" t="str">
            <v xml:space="preserve"> 2QA</v>
          </cell>
          <cell r="AV100">
            <v>2.3192360163710735E-2</v>
          </cell>
          <cell r="AX100">
            <v>-0.22068965517241379</v>
          </cell>
          <cell r="AY100">
            <v>0.23946360153256707</v>
          </cell>
          <cell r="AZ100">
            <v>-4.7790154509521954E-2</v>
          </cell>
          <cell r="BD100">
            <v>-9.2156862745098378E-2</v>
          </cell>
          <cell r="BF100">
            <v>0.51330798479087436</v>
          </cell>
          <cell r="BG100">
            <v>0.52987551867219906</v>
          </cell>
          <cell r="BH100">
            <v>0.52123015873015821</v>
          </cell>
          <cell r="BI100">
            <v>0.20472514619883042</v>
          </cell>
          <cell r="BK100">
            <v>-0.10554561717352418</v>
          </cell>
          <cell r="BL100">
            <v>0.40157480314960647</v>
          </cell>
          <cell r="BM100">
            <v>5.2890528905289003E-2</v>
          </cell>
          <cell r="BO100">
            <v>0.14988290398126458</v>
          </cell>
          <cell r="BP100">
            <v>0.3447488584474887</v>
          </cell>
          <cell r="BQ100">
            <v>0.24739884393063583</v>
          </cell>
          <cell r="BS100">
            <v>-0.12676056338028163</v>
          </cell>
          <cell r="BT100">
            <v>0.21901709401709413</v>
          </cell>
          <cell r="BV100">
            <v>0</v>
          </cell>
          <cell r="BX100">
            <v>0.13875598086124419</v>
          </cell>
          <cell r="BY100">
            <v>0.1269072635906805</v>
          </cell>
          <cell r="BZ100">
            <v>9.8791755508173651E-2</v>
          </cell>
          <cell r="CA100">
            <v>0.12520925441043906</v>
          </cell>
        </row>
        <row r="101">
          <cell r="A101" t="str">
            <v xml:space="preserve"> 3QA</v>
          </cell>
          <cell r="B101">
            <v>5.927105449398451E-2</v>
          </cell>
          <cell r="C101">
            <v>-0.3488</v>
          </cell>
          <cell r="D101">
            <v>-1.4633439582729668E-2</v>
          </cell>
          <cell r="F101">
            <v>0.28097165991902839</v>
          </cell>
          <cell r="G101">
            <v>0.28625377643504524</v>
          </cell>
          <cell r="H101">
            <v>0.28236229866772744</v>
          </cell>
          <cell r="J101">
            <v>0.10994764397905743</v>
          </cell>
          <cell r="L101">
            <v>3.9772727272727515E-2</v>
          </cell>
          <cell r="R101">
            <v>0.10854577521244191</v>
          </cell>
          <cell r="T101" t="str">
            <v xml:space="preserve"> 3QA</v>
          </cell>
          <cell r="U101">
            <v>-0.51807228915662651</v>
          </cell>
          <cell r="V101">
            <v>-0.20965309200603321</v>
          </cell>
          <cell r="W101">
            <v>-0.2439678284182305</v>
          </cell>
          <cell r="Y101">
            <v>-0.56666666666666665</v>
          </cell>
          <cell r="Z101">
            <v>-0.14848484848484844</v>
          </cell>
          <cell r="AA101">
            <v>-0.1023489932885906</v>
          </cell>
          <cell r="AB101">
            <v>-0.15111940298507465</v>
          </cell>
          <cell r="AD101">
            <v>-0.1742627345844503</v>
          </cell>
          <cell r="AF101">
            <v>-6.9651741293532465E-2</v>
          </cell>
          <cell r="AG101">
            <v>-8.9468779123951458E-2</v>
          </cell>
          <cell r="AM101">
            <v>0.45310596833130345</v>
          </cell>
          <cell r="AN101">
            <v>1.0747663551401869</v>
          </cell>
          <cell r="AO101">
            <v>0.52478448275862077</v>
          </cell>
          <cell r="AU101" t="str">
            <v xml:space="preserve"> 3QA</v>
          </cell>
          <cell r="AV101">
            <v>8.1717451523545481E-2</v>
          </cell>
          <cell r="AX101">
            <v>-8.9764641488779273E-2</v>
          </cell>
          <cell r="AY101">
            <v>6.1131386861313919E-2</v>
          </cell>
          <cell r="AZ101">
            <v>-3.3185083817995009E-2</v>
          </cell>
          <cell r="BD101">
            <v>-0.62853773584905659</v>
          </cell>
          <cell r="BF101">
            <v>0.60062893081761004</v>
          </cell>
          <cell r="BG101">
            <v>0.47472118959107812</v>
          </cell>
          <cell r="BH101">
            <v>0.54293015332197592</v>
          </cell>
          <cell r="BI101">
            <v>0.1340635738831617</v>
          </cell>
          <cell r="BK101">
            <v>-2.7726432532347522E-2</v>
          </cell>
          <cell r="BL101">
            <v>-3.345323741007189E-2</v>
          </cell>
          <cell r="BM101">
            <v>-3.0853658536585393E-2</v>
          </cell>
          <cell r="BO101">
            <v>0.30154277699859744</v>
          </cell>
          <cell r="BP101">
            <v>0.30062630480167019</v>
          </cell>
          <cell r="BQ101">
            <v>0.3011744966442953</v>
          </cell>
          <cell r="BS101">
            <v>-0.23943661971830976</v>
          </cell>
          <cell r="BT101">
            <v>0.27078384798099786</v>
          </cell>
          <cell r="BV101">
            <v>0</v>
          </cell>
          <cell r="BX101">
            <v>9.0322580645161299E-2</v>
          </cell>
          <cell r="BY101">
            <v>9.6264510779436208E-2</v>
          </cell>
          <cell r="BZ101">
            <v>0.1084656084656086</v>
          </cell>
          <cell r="CA101">
            <v>9.6984238451935267E-2</v>
          </cell>
        </row>
        <row r="102">
          <cell r="A102" t="str">
            <v xml:space="preserve"> 4QA</v>
          </cell>
          <cell r="B102">
            <v>0.15644111264549232</v>
          </cell>
          <cell r="C102">
            <v>-0.33977900552486184</v>
          </cell>
          <cell r="D102">
            <v>5.7212752525252597E-2</v>
          </cell>
          <cell r="F102">
            <v>0.21825862473597746</v>
          </cell>
          <cell r="G102">
            <v>0.21946169772256718</v>
          </cell>
          <cell r="H102">
            <v>0.2185639229422065</v>
          </cell>
          <cell r="J102">
            <v>-6.9124423963133674E-2</v>
          </cell>
          <cell r="L102">
            <v>7.2727272727272751E-2</v>
          </cell>
          <cell r="R102">
            <v>0.12836021505376349</v>
          </cell>
          <cell r="T102" t="str">
            <v xml:space="preserve"> 4QA</v>
          </cell>
          <cell r="U102">
            <v>0.38709677419354827</v>
          </cell>
          <cell r="V102">
            <v>-0.13593380614657213</v>
          </cell>
          <cell r="W102">
            <v>-0.10022026431718067</v>
          </cell>
          <cell r="Y102">
            <v>-0.37209302325581384</v>
          </cell>
          <cell r="Z102">
            <v>-5.1724137931034364E-2</v>
          </cell>
          <cell r="AA102">
            <v>-0.14336283185840715</v>
          </cell>
          <cell r="AB102">
            <v>6.9023569023568987E-2</v>
          </cell>
          <cell r="AD102">
            <v>-6.7127746135069222E-2</v>
          </cell>
          <cell r="AF102">
            <v>-0.31300813008130091</v>
          </cell>
          <cell r="AG102">
            <v>-0.14838709677419359</v>
          </cell>
          <cell r="AM102">
            <v>0.23395445134575588</v>
          </cell>
          <cell r="AN102">
            <v>0.79054054054054035</v>
          </cell>
          <cell r="AO102">
            <v>0.30789946140035895</v>
          </cell>
          <cell r="AU102" t="str">
            <v xml:space="preserve"> 4QA</v>
          </cell>
          <cell r="AV102">
            <v>-6.5398335315101086E-2</v>
          </cell>
          <cell r="AX102">
            <v>-7.7728776185226001E-2</v>
          </cell>
          <cell r="AY102">
            <v>0.14676390154968089</v>
          </cell>
          <cell r="AZ102">
            <v>7.2164948453607991E-3</v>
          </cell>
          <cell r="BD102">
            <v>-0.60250569476082005</v>
          </cell>
          <cell r="BF102">
            <v>0.68101265822784818</v>
          </cell>
          <cell r="BG102">
            <v>0.33233532934131738</v>
          </cell>
          <cell r="BH102">
            <v>0.52126200274348422</v>
          </cell>
          <cell r="BI102">
            <v>0.10642406993291331</v>
          </cell>
          <cell r="BK102">
            <v>0.28429423459244529</v>
          </cell>
          <cell r="BL102">
            <v>-3.238866396761142E-2</v>
          </cell>
          <cell r="BM102">
            <v>0.17999999999999994</v>
          </cell>
          <cell r="BO102">
            <v>0.20353982300884965</v>
          </cell>
          <cell r="BP102">
            <v>0.20593692022263443</v>
          </cell>
          <cell r="BQ102">
            <v>0.20451127819548853</v>
          </cell>
          <cell r="BS102">
            <v>-0.51086956521739124</v>
          </cell>
          <cell r="BT102">
            <v>0.15822784810126578</v>
          </cell>
          <cell r="BV102">
            <v>0</v>
          </cell>
          <cell r="BX102">
            <v>0.35251798561151082</v>
          </cell>
          <cell r="BY102">
            <v>0.10196716110097581</v>
          </cell>
          <cell r="BZ102">
            <v>2.6735218508997516E-2</v>
          </cell>
          <cell r="CA102">
            <v>9.66197805434863E-2</v>
          </cell>
        </row>
        <row r="104">
          <cell r="A104" t="str">
            <v>Year</v>
          </cell>
          <cell r="B104">
            <v>6.9147153186802479E-2</v>
          </cell>
          <cell r="C104">
            <v>-0.31349824698091167</v>
          </cell>
          <cell r="D104">
            <v>-6.360980859405097E-3</v>
          </cell>
          <cell r="F104">
            <v>0.2328397403165802</v>
          </cell>
          <cell r="G104">
            <v>0.36008851337759001</v>
          </cell>
          <cell r="H104">
            <v>0.2666345484717092</v>
          </cell>
          <cell r="J104">
            <v>0.12345679012345678</v>
          </cell>
          <cell r="L104">
            <v>1.8881626724764147E-2</v>
          </cell>
          <cell r="R104">
            <v>0.10536267492789224</v>
          </cell>
          <cell r="T104" t="str">
            <v>Year</v>
          </cell>
          <cell r="U104">
            <v>-0.20122324159021421</v>
          </cell>
          <cell r="V104">
            <v>-0.12522196645840197</v>
          </cell>
          <cell r="W104">
            <v>-0.13260095011876477</v>
          </cell>
          <cell r="Y104">
            <v>-9.7744360902255689E-2</v>
          </cell>
          <cell r="Z104">
            <v>-7.2837632776934808E-2</v>
          </cell>
          <cell r="AA104">
            <v>-6.9028992176714214E-3</v>
          </cell>
          <cell r="AB104">
            <v>-1.5576323987539066E-2</v>
          </cell>
          <cell r="AD104">
            <v>-6.5764693148609152E-2</v>
          </cell>
          <cell r="AF104">
            <v>-4.7878128400435316E-2</v>
          </cell>
          <cell r="AG104">
            <v>-6.181410974244126E-2</v>
          </cell>
          <cell r="AM104">
            <v>0.52050473186119905</v>
          </cell>
          <cell r="AN104">
            <v>1.2069825436408981</v>
          </cell>
          <cell r="AO104">
            <v>0.6047940995697606</v>
          </cell>
          <cell r="AU104" t="str">
            <v>Year</v>
          </cell>
          <cell r="AV104">
            <v>1.9838601210490848E-2</v>
          </cell>
          <cell r="AX104">
            <v>-2.0055970149253873E-2</v>
          </cell>
          <cell r="AY104">
            <v>0.20284697508896812</v>
          </cell>
          <cell r="AZ104">
            <v>6.8482855800845552E-2</v>
          </cell>
          <cell r="BD104">
            <v>-0.4708454810495627</v>
          </cell>
          <cell r="BF104">
            <v>0.63628762541806039</v>
          </cell>
          <cell r="BG104">
            <v>0.47225929456625348</v>
          </cell>
          <cell r="BH104">
            <v>0.56008908685968806</v>
          </cell>
          <cell r="BI104">
            <v>0.21115107913669054</v>
          </cell>
          <cell r="BK104">
            <v>-0.10891089108910883</v>
          </cell>
          <cell r="BL104">
            <v>2.7679403541472629E-2</v>
          </cell>
          <cell r="BM104">
            <v>-6.7267009719839996E-2</v>
          </cell>
          <cell r="BO104">
            <v>0.19568508705526114</v>
          </cell>
          <cell r="BP104">
            <v>0.30280571731074635</v>
          </cell>
          <cell r="BQ104">
            <v>0.23990289119399691</v>
          </cell>
          <cell r="BS104">
            <v>-0.28903654485049834</v>
          </cell>
          <cell r="BT104">
            <v>0.20716059602649001</v>
          </cell>
          <cell r="BV104" t="str">
            <v>NM</v>
          </cell>
          <cell r="BX104">
            <v>0.20496535796766763</v>
          </cell>
          <cell r="BY104">
            <v>0.11293870342077597</v>
          </cell>
          <cell r="BZ104">
            <v>7.3170731707317249E-2</v>
          </cell>
          <cell r="CA104">
            <v>0.11038796468071731</v>
          </cell>
        </row>
        <row r="106">
          <cell r="A106" t="str">
            <v>2000</v>
          </cell>
          <cell r="T106" t="str">
            <v>2000</v>
          </cell>
          <cell r="AU106" t="str">
            <v>2000</v>
          </cell>
        </row>
        <row r="107">
          <cell r="A107" t="str">
            <v xml:space="preserve"> 1QA</v>
          </cell>
          <cell r="B107">
            <v>508</v>
          </cell>
          <cell r="C107">
            <v>99.8</v>
          </cell>
          <cell r="D107">
            <v>607.9</v>
          </cell>
          <cell r="F107">
            <v>299.8</v>
          </cell>
          <cell r="G107">
            <v>175</v>
          </cell>
          <cell r="H107">
            <v>474.8</v>
          </cell>
          <cell r="J107">
            <v>20.399999999999999</v>
          </cell>
          <cell r="L107">
            <v>28.9</v>
          </cell>
          <cell r="R107">
            <v>1132.0000000000002</v>
          </cell>
          <cell r="T107" t="str">
            <v xml:space="preserve"> 1QA</v>
          </cell>
          <cell r="U107">
            <v>9.02</v>
          </cell>
          <cell r="V107">
            <v>75.239999999999995</v>
          </cell>
          <cell r="W107">
            <v>84.259999999999991</v>
          </cell>
          <cell r="Y107">
            <v>5.2</v>
          </cell>
          <cell r="Z107">
            <v>31.8</v>
          </cell>
          <cell r="AA107">
            <v>59.2</v>
          </cell>
          <cell r="AB107">
            <v>55.7</v>
          </cell>
          <cell r="AD107">
            <v>235.95999999999998</v>
          </cell>
          <cell r="AF107">
            <v>30.4</v>
          </cell>
          <cell r="AG107">
            <v>111.1</v>
          </cell>
          <cell r="AM107">
            <v>83.3</v>
          </cell>
          <cell r="AN107">
            <v>18</v>
          </cell>
          <cell r="AO107">
            <v>101.3</v>
          </cell>
          <cell r="AU107" t="str">
            <v xml:space="preserve"> 1QA</v>
          </cell>
          <cell r="AV107">
            <v>71.599999999999994</v>
          </cell>
          <cell r="AX107">
            <v>161.1</v>
          </cell>
          <cell r="AY107">
            <v>135.5</v>
          </cell>
          <cell r="AZ107">
            <v>296.70000000000005</v>
          </cell>
          <cell r="BB107">
            <v>43.6</v>
          </cell>
          <cell r="BD107">
            <v>16.25</v>
          </cell>
          <cell r="BF107">
            <v>38.6</v>
          </cell>
          <cell r="BG107">
            <v>33.4</v>
          </cell>
          <cell r="BH107">
            <v>72.099999999999994</v>
          </cell>
          <cell r="BI107">
            <v>500.25000000000011</v>
          </cell>
          <cell r="BK107">
            <v>48.8</v>
          </cell>
          <cell r="BL107">
            <v>23.9</v>
          </cell>
          <cell r="BM107">
            <v>72.699999999999989</v>
          </cell>
          <cell r="BO107">
            <v>78.8</v>
          </cell>
          <cell r="BP107">
            <v>59.9</v>
          </cell>
          <cell r="BQ107">
            <v>138.69999999999999</v>
          </cell>
          <cell r="BS107">
            <v>5.3</v>
          </cell>
          <cell r="BT107">
            <v>144</v>
          </cell>
          <cell r="BV107">
            <v>0</v>
          </cell>
          <cell r="BX107">
            <v>54.000000000000007</v>
          </cell>
          <cell r="BY107">
            <v>2381.71</v>
          </cell>
          <cell r="BZ107">
            <v>160.1</v>
          </cell>
          <cell r="CA107">
            <v>2541.81</v>
          </cell>
        </row>
        <row r="108">
          <cell r="A108" t="str">
            <v xml:space="preserve"> 2QA</v>
          </cell>
          <cell r="B108">
            <v>539.79999999999995</v>
          </cell>
          <cell r="C108">
            <v>87.6</v>
          </cell>
          <cell r="D108">
            <v>627.4</v>
          </cell>
          <cell r="F108">
            <v>396.6</v>
          </cell>
          <cell r="G108">
            <v>154.1</v>
          </cell>
          <cell r="H108">
            <v>550.70000000000005</v>
          </cell>
          <cell r="J108">
            <v>20.100000000000001</v>
          </cell>
          <cell r="L108">
            <v>33.5</v>
          </cell>
          <cell r="R108">
            <v>1231.6999999999998</v>
          </cell>
          <cell r="T108" t="str">
            <v xml:space="preserve"> 2QA</v>
          </cell>
          <cell r="U108">
            <v>4.5</v>
          </cell>
          <cell r="V108">
            <v>65.28</v>
          </cell>
          <cell r="W108">
            <v>69.78</v>
          </cell>
          <cell r="Y108">
            <v>2.8</v>
          </cell>
          <cell r="Z108">
            <v>29.3</v>
          </cell>
          <cell r="AA108">
            <v>54.7</v>
          </cell>
          <cell r="AB108">
            <v>56.5</v>
          </cell>
          <cell r="AD108">
            <v>213.08</v>
          </cell>
          <cell r="AF108">
            <v>21.5</v>
          </cell>
          <cell r="AG108">
            <v>104.5</v>
          </cell>
          <cell r="AM108">
            <v>112</v>
          </cell>
          <cell r="AN108">
            <v>21.8</v>
          </cell>
          <cell r="AO108">
            <v>133.70000000000002</v>
          </cell>
          <cell r="AU108" t="str">
            <v xml:space="preserve"> 2QA</v>
          </cell>
          <cell r="AV108">
            <v>75</v>
          </cell>
          <cell r="AX108">
            <v>135.6</v>
          </cell>
          <cell r="AY108">
            <v>129.4</v>
          </cell>
          <cell r="AZ108">
            <v>265</v>
          </cell>
          <cell r="BB108">
            <v>75.2</v>
          </cell>
          <cell r="BD108">
            <v>23.149999999999991</v>
          </cell>
          <cell r="BF108">
            <v>39.799999999999997</v>
          </cell>
          <cell r="BG108">
            <v>36.869999999999997</v>
          </cell>
          <cell r="BH108">
            <v>76.669999999999987</v>
          </cell>
          <cell r="BI108">
            <v>515.02</v>
          </cell>
          <cell r="BK108">
            <v>50</v>
          </cell>
          <cell r="BL108">
            <v>35.6</v>
          </cell>
          <cell r="BM108">
            <v>85.6</v>
          </cell>
          <cell r="BO108">
            <v>49.1</v>
          </cell>
          <cell r="BP108">
            <v>58.9</v>
          </cell>
          <cell r="BQ108">
            <v>107.9</v>
          </cell>
          <cell r="BS108">
            <v>6.2</v>
          </cell>
          <cell r="BT108">
            <v>114.10000000000001</v>
          </cell>
          <cell r="BV108">
            <v>0</v>
          </cell>
          <cell r="BX108">
            <v>47.6</v>
          </cell>
          <cell r="BY108">
            <v>2466.7999999999997</v>
          </cell>
          <cell r="BZ108">
            <v>154.60000000000002</v>
          </cell>
          <cell r="CA108">
            <v>2621.3999999999996</v>
          </cell>
        </row>
        <row r="109">
          <cell r="A109" t="str">
            <v xml:space="preserve"> 3QA</v>
          </cell>
          <cell r="B109">
            <v>598.70000000000005</v>
          </cell>
          <cell r="C109">
            <v>81.400000000000006</v>
          </cell>
          <cell r="D109">
            <v>680.1</v>
          </cell>
          <cell r="F109">
            <v>474.6</v>
          </cell>
          <cell r="G109">
            <v>170.3</v>
          </cell>
          <cell r="H109">
            <v>644.90000000000009</v>
          </cell>
          <cell r="J109">
            <v>21.2</v>
          </cell>
          <cell r="L109">
            <v>36.6</v>
          </cell>
          <cell r="R109">
            <v>1382.8</v>
          </cell>
          <cell r="T109" t="str">
            <v xml:space="preserve"> 3QA</v>
          </cell>
          <cell r="U109">
            <v>4</v>
          </cell>
          <cell r="V109">
            <v>52.4</v>
          </cell>
          <cell r="W109">
            <v>56.4</v>
          </cell>
          <cell r="Y109">
            <v>1.3</v>
          </cell>
          <cell r="Z109">
            <v>28.1</v>
          </cell>
          <cell r="AA109">
            <v>53.5</v>
          </cell>
          <cell r="AB109">
            <v>45.5</v>
          </cell>
          <cell r="AD109">
            <v>184.8</v>
          </cell>
          <cell r="AF109">
            <v>18.7</v>
          </cell>
          <cell r="AG109">
            <v>97.7</v>
          </cell>
          <cell r="AM109">
            <v>119.3</v>
          </cell>
          <cell r="AN109">
            <v>22.2</v>
          </cell>
          <cell r="AO109">
            <v>141.5</v>
          </cell>
          <cell r="AU109" t="str">
            <v xml:space="preserve"> 3QA</v>
          </cell>
          <cell r="AV109">
            <v>78.099999999999994</v>
          </cell>
          <cell r="AX109">
            <v>166.3</v>
          </cell>
          <cell r="AY109">
            <v>116.3</v>
          </cell>
          <cell r="AZ109">
            <v>282.60000000000002</v>
          </cell>
          <cell r="BB109">
            <v>61</v>
          </cell>
          <cell r="BD109">
            <v>15.75</v>
          </cell>
          <cell r="BF109">
            <v>50.9</v>
          </cell>
          <cell r="BG109">
            <v>39.67</v>
          </cell>
          <cell r="BH109">
            <v>90.57</v>
          </cell>
          <cell r="BI109">
            <v>528.02</v>
          </cell>
          <cell r="BK109">
            <v>52.6</v>
          </cell>
          <cell r="BL109">
            <v>26.87</v>
          </cell>
          <cell r="BM109">
            <v>79.47</v>
          </cell>
          <cell r="BO109">
            <v>92.8</v>
          </cell>
          <cell r="BP109">
            <v>62.3</v>
          </cell>
          <cell r="BQ109">
            <v>155.1</v>
          </cell>
          <cell r="BS109">
            <v>5.4</v>
          </cell>
          <cell r="BT109">
            <v>160.5</v>
          </cell>
          <cell r="BV109">
            <v>0</v>
          </cell>
          <cell r="BX109">
            <v>50.699999999999996</v>
          </cell>
          <cell r="BY109">
            <v>2644.1899999999996</v>
          </cell>
          <cell r="BZ109">
            <v>167.6</v>
          </cell>
          <cell r="CA109">
            <v>2811.7899999999995</v>
          </cell>
        </row>
        <row r="110">
          <cell r="A110" t="str">
            <v xml:space="preserve"> 4QA</v>
          </cell>
          <cell r="B110">
            <v>586.20000000000005</v>
          </cell>
          <cell r="C110">
            <v>83.65</v>
          </cell>
          <cell r="D110">
            <v>669.85</v>
          </cell>
          <cell r="F110">
            <v>519.1</v>
          </cell>
          <cell r="G110">
            <v>176.7</v>
          </cell>
          <cell r="H110">
            <v>695.8</v>
          </cell>
          <cell r="J110">
            <v>20.2</v>
          </cell>
          <cell r="L110">
            <v>41.3</v>
          </cell>
          <cell r="R110">
            <v>1427.15</v>
          </cell>
          <cell r="T110" t="str">
            <v xml:space="preserve"> 4QA</v>
          </cell>
          <cell r="U110">
            <v>8.6</v>
          </cell>
          <cell r="V110">
            <v>73.099999999999994</v>
          </cell>
          <cell r="W110">
            <v>81.699999999999989</v>
          </cell>
          <cell r="Y110">
            <v>2.7</v>
          </cell>
          <cell r="Z110">
            <v>33</v>
          </cell>
          <cell r="AA110">
            <v>48.4</v>
          </cell>
          <cell r="AB110">
            <v>63.5</v>
          </cell>
          <cell r="AD110">
            <v>229.29999999999998</v>
          </cell>
          <cell r="AF110">
            <v>16.899999999999999</v>
          </cell>
          <cell r="AG110">
            <v>105.6</v>
          </cell>
          <cell r="AM110">
            <v>119.2</v>
          </cell>
          <cell r="AN110">
            <v>26.5</v>
          </cell>
          <cell r="AO110">
            <v>145.69999999999999</v>
          </cell>
          <cell r="AU110" t="str">
            <v xml:space="preserve"> 4QA</v>
          </cell>
          <cell r="AV110">
            <v>78.599999999999994</v>
          </cell>
          <cell r="AX110">
            <v>167.3</v>
          </cell>
          <cell r="AY110">
            <v>125.8</v>
          </cell>
          <cell r="AZ110">
            <v>293.10000000000002</v>
          </cell>
          <cell r="BB110">
            <v>44.2</v>
          </cell>
          <cell r="BD110">
            <v>17.449999999999996</v>
          </cell>
          <cell r="BF110">
            <v>66.400000000000006</v>
          </cell>
          <cell r="BG110">
            <v>44.5</v>
          </cell>
          <cell r="BH110">
            <v>110.9</v>
          </cell>
          <cell r="BI110">
            <v>544.25</v>
          </cell>
          <cell r="BK110">
            <v>64.599999999999994</v>
          </cell>
          <cell r="BL110">
            <v>23.9</v>
          </cell>
          <cell r="BM110">
            <v>88.5</v>
          </cell>
          <cell r="BO110">
            <v>95.2</v>
          </cell>
          <cell r="BP110">
            <v>65</v>
          </cell>
          <cell r="BQ110">
            <v>160.19999999999999</v>
          </cell>
          <cell r="BS110">
            <v>4.5</v>
          </cell>
          <cell r="BT110">
            <v>164.7</v>
          </cell>
          <cell r="BV110">
            <v>0</v>
          </cell>
          <cell r="BX110">
            <v>56.400000000000006</v>
          </cell>
          <cell r="BY110">
            <v>2778.5</v>
          </cell>
          <cell r="BZ110">
            <v>199.70000000000002</v>
          </cell>
          <cell r="CA110">
            <v>2978.2</v>
          </cell>
        </row>
        <row r="112">
          <cell r="A112" t="str">
            <v>YearA</v>
          </cell>
          <cell r="B112">
            <v>2232.6999999999998</v>
          </cell>
          <cell r="C112">
            <v>352.44999999999993</v>
          </cell>
          <cell r="D112">
            <v>2585.25</v>
          </cell>
          <cell r="F112">
            <v>1690.1</v>
          </cell>
          <cell r="G112">
            <v>676.1</v>
          </cell>
          <cell r="H112">
            <v>2366.1999999999998</v>
          </cell>
          <cell r="J112">
            <v>81.900000000000006</v>
          </cell>
          <cell r="L112">
            <v>140.30000000000001</v>
          </cell>
          <cell r="R112">
            <v>5173.6499999999996</v>
          </cell>
          <cell r="T112" t="str">
            <v>YearA</v>
          </cell>
          <cell r="U112">
            <v>26.119999999999997</v>
          </cell>
          <cell r="V112">
            <v>266.02</v>
          </cell>
          <cell r="W112">
            <v>292.14</v>
          </cell>
          <cell r="Y112">
            <v>12</v>
          </cell>
          <cell r="Z112">
            <v>122.2</v>
          </cell>
          <cell r="AA112">
            <v>215.8</v>
          </cell>
          <cell r="AB112">
            <v>221.2</v>
          </cell>
          <cell r="AD112">
            <v>863.13999999999987</v>
          </cell>
          <cell r="AF112">
            <v>87.5</v>
          </cell>
          <cell r="AG112">
            <v>418.9</v>
          </cell>
          <cell r="AM112">
            <v>433.8</v>
          </cell>
          <cell r="AN112">
            <v>88.5</v>
          </cell>
          <cell r="AO112">
            <v>522.20000000000005</v>
          </cell>
          <cell r="AU112" t="str">
            <v>YearA</v>
          </cell>
          <cell r="AV112">
            <v>303.29999999999995</v>
          </cell>
          <cell r="AX112">
            <v>630.29999999999995</v>
          </cell>
          <cell r="AY112">
            <v>507</v>
          </cell>
          <cell r="AZ112">
            <v>1137.4000000000001</v>
          </cell>
          <cell r="BB112">
            <v>224</v>
          </cell>
          <cell r="BD112">
            <v>72.599999999999994</v>
          </cell>
          <cell r="BF112">
            <v>195.70000000000002</v>
          </cell>
          <cell r="BG112">
            <v>154.44</v>
          </cell>
          <cell r="BH112">
            <v>350.24</v>
          </cell>
          <cell r="BI112">
            <v>2087.54</v>
          </cell>
          <cell r="BK112">
            <v>216</v>
          </cell>
          <cell r="BL112">
            <v>110.27000000000001</v>
          </cell>
          <cell r="BM112">
            <v>326.27</v>
          </cell>
          <cell r="BO112">
            <v>315.89999999999998</v>
          </cell>
          <cell r="BP112">
            <v>246.1</v>
          </cell>
          <cell r="BQ112">
            <v>561.79999999999995</v>
          </cell>
          <cell r="BS112">
            <v>21.4</v>
          </cell>
          <cell r="BT112">
            <v>583.29999999999995</v>
          </cell>
          <cell r="BV112">
            <v>0</v>
          </cell>
          <cell r="BX112">
            <v>208.70000000000002</v>
          </cell>
          <cell r="BY112">
            <v>10271.199999999999</v>
          </cell>
          <cell r="BZ112">
            <v>682.00000000000011</v>
          </cell>
          <cell r="CA112">
            <v>10953.199999999999</v>
          </cell>
        </row>
        <row r="114">
          <cell r="A114" t="str">
            <v>2001/00</v>
          </cell>
          <cell r="T114" t="str">
            <v>2001/00</v>
          </cell>
          <cell r="AU114" t="str">
            <v>2001/00</v>
          </cell>
        </row>
        <row r="115">
          <cell r="A115" t="str">
            <v xml:space="preserve"> 1QA</v>
          </cell>
          <cell r="B115">
            <v>6.5944881889763884E-2</v>
          </cell>
          <cell r="C115">
            <v>-0.18436873747494986</v>
          </cell>
          <cell r="D115">
            <v>2.4675111037999686E-2</v>
          </cell>
          <cell r="F115">
            <v>0.50333555703802535</v>
          </cell>
          <cell r="G115">
            <v>6.5142857142857169E-2</v>
          </cell>
          <cell r="H115">
            <v>0.34182813816343716</v>
          </cell>
          <cell r="I115" t="e">
            <v>#DIV/0!</v>
          </cell>
          <cell r="J115">
            <v>9.3137254901960898E-2</v>
          </cell>
          <cell r="K115" t="e">
            <v>#DIV/0!</v>
          </cell>
          <cell r="L115">
            <v>0.21107266435986172</v>
          </cell>
          <cell r="M115" t="e">
            <v>#DIV/0!</v>
          </cell>
          <cell r="R115">
            <v>0.16369257950530014</v>
          </cell>
          <cell r="T115" t="str">
            <v xml:space="preserve"> 1QA</v>
          </cell>
          <cell r="U115">
            <v>-0.85587583148558755</v>
          </cell>
          <cell r="V115">
            <v>-9.4896331738437034E-2</v>
          </cell>
          <cell r="W115">
            <v>-0.17635888915262288</v>
          </cell>
          <cell r="Y115">
            <v>-0.13461538461538469</v>
          </cell>
          <cell r="Z115">
            <v>-0.53144654088050314</v>
          </cell>
          <cell r="AA115">
            <v>-1.8581081081081141E-2</v>
          </cell>
          <cell r="AB115">
            <v>-0.2459605026929983</v>
          </cell>
          <cell r="AD115">
            <v>-0.19944058314968627</v>
          </cell>
          <cell r="AF115">
            <v>-0.51973684210526316</v>
          </cell>
          <cell r="AG115">
            <v>-3.6003600360035026E-3</v>
          </cell>
          <cell r="AM115">
            <v>0.44417767106842732</v>
          </cell>
          <cell r="AN115">
            <v>0.60000000000000009</v>
          </cell>
          <cell r="AO115">
            <v>0.4718657453109576</v>
          </cell>
          <cell r="AU115" t="str">
            <v xml:space="preserve"> 1QA</v>
          </cell>
          <cell r="AV115">
            <v>3.6312849162011274E-2</v>
          </cell>
          <cell r="AX115">
            <v>-4.2830540037243958E-2</v>
          </cell>
          <cell r="AY115">
            <v>-0.12029520295202945</v>
          </cell>
          <cell r="AZ115">
            <v>-7.8530502190765294E-2</v>
          </cell>
          <cell r="BB115">
            <v>0.46788990825688059</v>
          </cell>
          <cell r="BD115">
            <v>0.24923076923076914</v>
          </cell>
          <cell r="BF115">
            <v>0.99222797927461137</v>
          </cell>
          <cell r="BG115">
            <v>0.44610778443113763</v>
          </cell>
          <cell r="BH115">
            <v>0.73647711511789193</v>
          </cell>
          <cell r="BI115">
            <v>0.1136431784107943</v>
          </cell>
          <cell r="BK115">
            <v>-0.11270491803278693</v>
          </cell>
          <cell r="BL115">
            <v>0.35983263598326376</v>
          </cell>
          <cell r="BM115">
            <v>4.2640990371389353E-2</v>
          </cell>
          <cell r="BO115">
            <v>0.28807106598984777</v>
          </cell>
          <cell r="BP115">
            <v>0.21035058430717868</v>
          </cell>
          <cell r="BQ115">
            <v>0.25450612833453512</v>
          </cell>
          <cell r="BS115">
            <v>-0.28301886792452835</v>
          </cell>
          <cell r="BT115">
            <v>0.23472222222222228</v>
          </cell>
          <cell r="BV115" t="str">
            <v>NM</v>
          </cell>
          <cell r="BX115">
            <v>-0.1425925925925926</v>
          </cell>
          <cell r="BY115">
            <v>0.10743961271523417</v>
          </cell>
          <cell r="BZ115">
            <v>4.9968769519050493E-2</v>
          </cell>
          <cell r="CA115">
            <v>0.10381971901912435</v>
          </cell>
        </row>
        <row r="116">
          <cell r="A116" t="str">
            <v xml:space="preserve"> 2QA</v>
          </cell>
          <cell r="B116">
            <v>0.12189699888847727</v>
          </cell>
          <cell r="C116">
            <v>-1.0273972602739656E-2</v>
          </cell>
          <cell r="D116">
            <v>0.10344277972585281</v>
          </cell>
          <cell r="F116">
            <v>0.31921331316187596</v>
          </cell>
          <cell r="G116">
            <v>0.38481505515898773</v>
          </cell>
          <cell r="H116">
            <v>0.33757036499001258</v>
          </cell>
          <cell r="J116">
            <v>0.19900497512437809</v>
          </cell>
          <cell r="L116">
            <v>8.6567164179104372E-2</v>
          </cell>
          <cell r="R116">
            <v>0.20922302508727797</v>
          </cell>
          <cell r="T116" t="str">
            <v xml:space="preserve"> 2QA</v>
          </cell>
          <cell r="U116">
            <v>-0.57777777777777772</v>
          </cell>
          <cell r="V116">
            <v>-0.22947303921568629</v>
          </cell>
          <cell r="W116">
            <v>-0.25193465176268282</v>
          </cell>
          <cell r="Y116">
            <v>-0.75</v>
          </cell>
          <cell r="Z116">
            <v>-0.29351535836177478</v>
          </cell>
          <cell r="AA116">
            <v>2.5594149908592323E-2</v>
          </cell>
          <cell r="AB116">
            <v>-7.2566371681415998E-2</v>
          </cell>
          <cell r="AD116">
            <v>-0.14539140229021974</v>
          </cell>
          <cell r="AF116">
            <v>-0.32093023255813957</v>
          </cell>
          <cell r="AG116">
            <v>5.3588516746411408E-2</v>
          </cell>
          <cell r="AM116">
            <v>0.1875</v>
          </cell>
          <cell r="AN116">
            <v>0.55963302752293576</v>
          </cell>
          <cell r="AO116">
            <v>0.24906507105459963</v>
          </cell>
          <cell r="AU116" t="str">
            <v xml:space="preserve"> 2QA</v>
          </cell>
          <cell r="AV116">
            <v>5.0666666666666638E-2</v>
          </cell>
          <cell r="AX116">
            <v>3.2448377581121068E-2</v>
          </cell>
          <cell r="AY116">
            <v>-3.6321483771251994E-2</v>
          </cell>
          <cell r="AZ116">
            <v>-1.1320754716981352E-3</v>
          </cell>
          <cell r="BB116">
            <v>0.79521276595744683</v>
          </cell>
          <cell r="BD116">
            <v>-0.28293736501079914</v>
          </cell>
          <cell r="BF116">
            <v>1.2437185929648242</v>
          </cell>
          <cell r="BG116">
            <v>0.52698671006238129</v>
          </cell>
          <cell r="BH116">
            <v>0.89904786748402277</v>
          </cell>
          <cell r="BI116">
            <v>0.24402935808318138</v>
          </cell>
          <cell r="BK116">
            <v>1.6000000000000014E-2</v>
          </cell>
          <cell r="BL116">
            <v>-0.45505617977528101</v>
          </cell>
          <cell r="BM116">
            <v>-0.17990654205607481</v>
          </cell>
          <cell r="BO116">
            <v>0.80855397148676156</v>
          </cell>
          <cell r="BP116">
            <v>0.22241086587436332</v>
          </cell>
          <cell r="BQ116">
            <v>0.49026876737720104</v>
          </cell>
          <cell r="BS116">
            <v>-0.38709677419354849</v>
          </cell>
          <cell r="BT116">
            <v>0.44259421560035062</v>
          </cell>
          <cell r="BV116" t="str">
            <v>NM</v>
          </cell>
          <cell r="BX116">
            <v>-0.23109243697478987</v>
          </cell>
          <cell r="BY116">
            <v>0.16559915680233495</v>
          </cell>
          <cell r="BZ116">
            <v>2.3285899094437124E-2</v>
          </cell>
          <cell r="CA116">
            <v>0.15720607309071477</v>
          </cell>
        </row>
        <row r="117">
          <cell r="A117" t="str">
            <v xml:space="preserve"> 3QA</v>
          </cell>
          <cell r="B117">
            <v>-0.37948889260063479</v>
          </cell>
          <cell r="C117">
            <v>-4.2997542997542992E-2</v>
          </cell>
          <cell r="D117">
            <v>-0.33921482134980152</v>
          </cell>
          <cell r="F117">
            <v>0.21744627054361554</v>
          </cell>
          <cell r="G117">
            <v>0.37756899588960646</v>
          </cell>
          <cell r="H117">
            <v>0.25973019072724424</v>
          </cell>
          <cell r="J117">
            <v>2.8301886792452935E-2</v>
          </cell>
          <cell r="L117">
            <v>-2.4590163934426146E-2</v>
          </cell>
          <cell r="R117">
            <v>-4.5921319062771193E-2</v>
          </cell>
          <cell r="T117" t="str">
            <v xml:space="preserve"> 3QA</v>
          </cell>
          <cell r="U117">
            <v>-0.77500000000000002</v>
          </cell>
          <cell r="V117">
            <v>-8.0152671755725158E-2</v>
          </cell>
          <cell r="W117">
            <v>-0.12943262411347511</v>
          </cell>
          <cell r="Y117">
            <v>-0.15384615384615385</v>
          </cell>
          <cell r="Z117">
            <v>-0.33096085409252674</v>
          </cell>
          <cell r="AA117">
            <v>-0.108411214953271</v>
          </cell>
          <cell r="AB117">
            <v>-0.13846153846153841</v>
          </cell>
          <cell r="AD117">
            <v>-0.1563852813852814</v>
          </cell>
          <cell r="AF117">
            <v>-0.39572192513368976</v>
          </cell>
          <cell r="AG117">
            <v>7.5742067553735914E-2</v>
          </cell>
          <cell r="AM117">
            <v>0.24979044425817265</v>
          </cell>
          <cell r="AN117">
            <v>0.53153153153153165</v>
          </cell>
          <cell r="AO117">
            <v>0.29399293286219086</v>
          </cell>
          <cell r="AU117" t="str">
            <v xml:space="preserve"> 3QA</v>
          </cell>
          <cell r="AV117">
            <v>-1.7925736235595235E-2</v>
          </cell>
          <cell r="AX117">
            <v>-0.14251352976548415</v>
          </cell>
          <cell r="AY117">
            <v>-3.6113499570077368E-2</v>
          </cell>
          <cell r="AZ117">
            <v>-9.8726114649681618E-2</v>
          </cell>
          <cell r="BB117">
            <v>0.55737704918032782</v>
          </cell>
          <cell r="BD117">
            <v>0.2000000000000004</v>
          </cell>
          <cell r="BF117">
            <v>1.0825147347740667</v>
          </cell>
          <cell r="BG117">
            <v>0.47214519788253084</v>
          </cell>
          <cell r="BH117">
            <v>0.81517058628685013</v>
          </cell>
          <cell r="BI117">
            <v>0.15469111018522019</v>
          </cell>
          <cell r="BK117">
            <v>-5.1330798479087503E-2</v>
          </cell>
          <cell r="BL117">
            <v>-0.15891328619278</v>
          </cell>
          <cell r="BM117">
            <v>-8.7706052598464868E-2</v>
          </cell>
          <cell r="BO117">
            <v>0.18211206896551735</v>
          </cell>
          <cell r="BP117">
            <v>0.24237560192616381</v>
          </cell>
          <cell r="BQ117">
            <v>0.20631850419084485</v>
          </cell>
          <cell r="BS117">
            <v>-0.22222222222222221</v>
          </cell>
          <cell r="BT117">
            <v>0.19190031152647991</v>
          </cell>
          <cell r="BV117" t="str">
            <v>NM</v>
          </cell>
          <cell r="BX117">
            <v>-0.12623274161735698</v>
          </cell>
          <cell r="BY117">
            <v>1.8270245330328061E-2</v>
          </cell>
          <cell r="BZ117">
            <v>8.5322195704057302E-2</v>
          </cell>
          <cell r="CA117">
            <v>2.2266954502292435E-2</v>
          </cell>
        </row>
        <row r="118">
          <cell r="A118" t="str">
            <v xml:space="preserve"> 4QA</v>
          </cell>
          <cell r="B118">
            <v>-0.76049129989764597</v>
          </cell>
          <cell r="C118">
            <v>1.4943215780035863E-2</v>
          </cell>
          <cell r="D118">
            <v>-0.66365604239755172</v>
          </cell>
          <cell r="F118">
            <v>0.2028510884222692</v>
          </cell>
          <cell r="G118">
            <v>0.56253537068477666</v>
          </cell>
          <cell r="H118">
            <v>0.29419373383156078</v>
          </cell>
          <cell r="J118">
            <v>-9.9009900990099015E-2</v>
          </cell>
          <cell r="L118">
            <v>3.14769975786926E-2</v>
          </cell>
          <cell r="R118">
            <v>-0.16855270994639682</v>
          </cell>
          <cell r="T118" t="str">
            <v xml:space="preserve"> 4QA</v>
          </cell>
          <cell r="U118">
            <v>-0.9883720930232559</v>
          </cell>
          <cell r="V118">
            <v>-0.16826265389876879</v>
          </cell>
          <cell r="W118">
            <v>-0.25458996328029365</v>
          </cell>
          <cell r="Y118">
            <v>0.85185185185185164</v>
          </cell>
          <cell r="Z118">
            <v>-0.22121212121212119</v>
          </cell>
          <cell r="AA118">
            <v>6.1983471074380514E-3</v>
          </cell>
          <cell r="AB118">
            <v>1.4173228346456845E-2</v>
          </cell>
          <cell r="AD118">
            <v>-0.10728303532490169</v>
          </cell>
          <cell r="AF118">
            <v>-0.18343195266272183</v>
          </cell>
          <cell r="AG118">
            <v>-9.4696969696961286E-4</v>
          </cell>
          <cell r="AM118">
            <v>3.8590604026845554E-2</v>
          </cell>
          <cell r="AN118">
            <v>0.58113207547169798</v>
          </cell>
          <cell r="AO118">
            <v>0.13726835964310236</v>
          </cell>
          <cell r="AU118" t="str">
            <v xml:space="preserve"> 4QA</v>
          </cell>
          <cell r="AV118">
            <v>5.5979643765903385E-2</v>
          </cell>
          <cell r="AX118">
            <v>-0.15361625821876876</v>
          </cell>
          <cell r="AY118">
            <v>2.3847376788553032E-3</v>
          </cell>
          <cell r="AZ118">
            <v>-8.665984305697727E-2</v>
          </cell>
          <cell r="BB118">
            <v>0.51583710407239813</v>
          </cell>
          <cell r="BD118">
            <v>0.14613180515759341</v>
          </cell>
          <cell r="BF118">
            <v>0.84337349397590355</v>
          </cell>
          <cell r="BG118">
            <v>0.57977528089887631</v>
          </cell>
          <cell r="BH118">
            <v>0.73760144274120809</v>
          </cell>
          <cell r="BI118">
            <v>0.15829122645842908</v>
          </cell>
          <cell r="BK118">
            <v>-0.34365325077399378</v>
          </cell>
          <cell r="BL118">
            <v>0</v>
          </cell>
          <cell r="BM118">
            <v>-0.25084745762711869</v>
          </cell>
          <cell r="BO118">
            <v>0.23214285714285698</v>
          </cell>
          <cell r="BP118">
            <v>0.28615384615384598</v>
          </cell>
          <cell r="BQ118">
            <v>0.25405742821473143</v>
          </cell>
          <cell r="BS118">
            <v>-2.2222222222222143E-2</v>
          </cell>
          <cell r="BT118">
            <v>0.24650880388585295</v>
          </cell>
          <cell r="BV118" t="str">
            <v>NM</v>
          </cell>
          <cell r="BX118">
            <v>-0.27304964539007104</v>
          </cell>
          <cell r="BY118">
            <v>-4.9667086557494855E-2</v>
          </cell>
          <cell r="BZ118">
            <v>-5.7085628442664071E-2</v>
          </cell>
          <cell r="CA118">
            <v>-5.0164528910079609E-2</v>
          </cell>
        </row>
        <row r="120">
          <cell r="A120" t="str">
            <v>Year</v>
          </cell>
          <cell r="B120">
            <v>-0.25695346441528188</v>
          </cell>
          <cell r="C120">
            <v>-6.1143424599233658E-2</v>
          </cell>
          <cell r="D120">
            <v>-0.2302872062663186</v>
          </cell>
          <cell r="F120">
            <v>0.28755694929294129</v>
          </cell>
          <cell r="G120">
            <v>0.34669427599467528</v>
          </cell>
          <cell r="H120">
            <v>0.30445439945904834</v>
          </cell>
          <cell r="J120">
            <v>5.4945054945054944E-2</v>
          </cell>
          <cell r="L120">
            <v>6.7712045616535987E-2</v>
          </cell>
          <cell r="R120">
            <v>2.6876576498216963E-2</v>
          </cell>
          <cell r="T120" t="str">
            <v>Year</v>
          </cell>
          <cell r="U120">
            <v>-0.83920367534456353</v>
          </cell>
          <cell r="V120">
            <v>-0.1451770543568153</v>
          </cell>
          <cell r="W120">
            <v>-0.20722941055658245</v>
          </cell>
          <cell r="Y120">
            <v>-5.8333333333333272E-2</v>
          </cell>
          <cell r="Z120">
            <v>-0.34451718494271683</v>
          </cell>
          <cell r="AA120">
            <v>-2.409638554216862E-2</v>
          </cell>
          <cell r="AB120">
            <v>-0.10488245931283889</v>
          </cell>
          <cell r="AD120">
            <v>-0.15228120582987678</v>
          </cell>
          <cell r="AF120">
            <v>-0.37828571428571428</v>
          </cell>
          <cell r="AG120">
            <v>2.9840057292910005E-2</v>
          </cell>
          <cell r="AM120">
            <v>0.21300138312586425</v>
          </cell>
          <cell r="AN120">
            <v>0.567231638418079</v>
          </cell>
          <cell r="AO120">
            <v>0.27307545001914979</v>
          </cell>
          <cell r="AU120" t="str">
            <v>Year</v>
          </cell>
          <cell r="AV120">
            <v>3.0992416749093425E-2</v>
          </cell>
          <cell r="AX120">
            <v>-8.2341742027605871E-2</v>
          </cell>
          <cell r="AY120">
            <v>-4.9112426035502914E-2</v>
          </cell>
          <cell r="AZ120">
            <v>-6.7610339370494182E-2</v>
          </cell>
          <cell r="BB120">
            <v>0.6116071428571429</v>
          </cell>
          <cell r="BD120">
            <v>4.5454545454545421E-2</v>
          </cell>
          <cell r="BF120">
            <v>1.0163515585079201</v>
          </cell>
          <cell r="BG120">
            <v>0.51061901061901072</v>
          </cell>
          <cell r="BH120">
            <v>0.792485153037917</v>
          </cell>
          <cell r="BI120">
            <v>0.16783390976939369</v>
          </cell>
          <cell r="BK120">
            <v>-0.13703703703703701</v>
          </cell>
          <cell r="BL120">
            <v>-0.10764487167860709</v>
          </cell>
          <cell r="BM120">
            <v>-0.12740981395776502</v>
          </cell>
          <cell r="BO120">
            <v>0.3209876543209878</v>
          </cell>
          <cell r="BP120">
            <v>0.24136529865908171</v>
          </cell>
          <cell r="BQ120">
            <v>0.28640085439658258</v>
          </cell>
          <cell r="BS120">
            <v>-0.25233644859813065</v>
          </cell>
          <cell r="BT120">
            <v>0.2669295388307904</v>
          </cell>
          <cell r="BV120" t="str">
            <v>NM</v>
          </cell>
          <cell r="BX120">
            <v>-0.19405845711547687</v>
          </cell>
          <cell r="BY120">
            <v>5.5942830438507889E-2</v>
          </cell>
          <cell r="BZ120">
            <v>2.1407624633430947E-2</v>
          </cell>
          <cell r="CA120">
            <v>5.3792498995727515E-2</v>
          </cell>
        </row>
        <row r="122">
          <cell r="A122" t="str">
            <v>2001A</v>
          </cell>
          <cell r="T122" t="str">
            <v>2001A</v>
          </cell>
          <cell r="AU122" t="str">
            <v>2001A</v>
          </cell>
        </row>
        <row r="123">
          <cell r="A123" t="str">
            <v xml:space="preserve"> 1QA</v>
          </cell>
          <cell r="B123">
            <v>541.5</v>
          </cell>
          <cell r="C123">
            <v>81.400000000000006</v>
          </cell>
          <cell r="D123">
            <v>622.9</v>
          </cell>
          <cell r="F123">
            <v>450.7</v>
          </cell>
          <cell r="G123">
            <v>186.4</v>
          </cell>
          <cell r="H123">
            <v>637.1</v>
          </cell>
          <cell r="J123">
            <v>22.3</v>
          </cell>
          <cell r="L123">
            <v>35</v>
          </cell>
          <cell r="R123">
            <v>1317.3</v>
          </cell>
          <cell r="T123" t="str">
            <v xml:space="preserve"> 1QA</v>
          </cell>
          <cell r="U123">
            <v>1.3</v>
          </cell>
          <cell r="V123">
            <v>68.099999999999994</v>
          </cell>
          <cell r="W123">
            <v>69.399999999999991</v>
          </cell>
          <cell r="Y123">
            <v>4.5</v>
          </cell>
          <cell r="Z123">
            <v>14.9</v>
          </cell>
          <cell r="AA123">
            <v>58.1</v>
          </cell>
          <cell r="AB123">
            <v>42</v>
          </cell>
          <cell r="AD123">
            <v>188.9</v>
          </cell>
          <cell r="AF123">
            <v>14.6</v>
          </cell>
          <cell r="AG123">
            <v>110.7</v>
          </cell>
          <cell r="AI123">
            <v>0</v>
          </cell>
          <cell r="AJ123">
            <v>0</v>
          </cell>
          <cell r="AK123">
            <v>0</v>
          </cell>
          <cell r="AM123">
            <v>120.3</v>
          </cell>
          <cell r="AN123">
            <v>28.8</v>
          </cell>
          <cell r="AO123">
            <v>149.1</v>
          </cell>
          <cell r="AU123" t="str">
            <v xml:space="preserve"> 1QA</v>
          </cell>
          <cell r="AV123">
            <v>74.2</v>
          </cell>
          <cell r="AX123">
            <v>154.19999999999999</v>
          </cell>
          <cell r="AY123">
            <v>119.2</v>
          </cell>
          <cell r="AZ123">
            <v>273.39999999999998</v>
          </cell>
          <cell r="BB123">
            <v>64</v>
          </cell>
          <cell r="BD123">
            <v>20.299999999999997</v>
          </cell>
          <cell r="BF123">
            <v>76.900000000000006</v>
          </cell>
          <cell r="BG123">
            <v>48.3</v>
          </cell>
          <cell r="BH123">
            <v>125.2</v>
          </cell>
          <cell r="BI123">
            <v>557.1</v>
          </cell>
          <cell r="BK123">
            <v>43.3</v>
          </cell>
          <cell r="BL123">
            <v>32.5</v>
          </cell>
          <cell r="BM123">
            <v>75.8</v>
          </cell>
          <cell r="BO123">
            <v>101.5</v>
          </cell>
          <cell r="BP123">
            <v>72.5</v>
          </cell>
          <cell r="BQ123">
            <v>174</v>
          </cell>
          <cell r="BS123">
            <v>3.8</v>
          </cell>
          <cell r="BT123">
            <v>177.8</v>
          </cell>
          <cell r="BV123">
            <v>0</v>
          </cell>
          <cell r="BX123">
            <v>46.300000000000004</v>
          </cell>
          <cell r="BY123">
            <v>2637.6000000000004</v>
          </cell>
          <cell r="BZ123">
            <v>168.1</v>
          </cell>
          <cell r="CA123">
            <v>2805.7000000000003</v>
          </cell>
        </row>
        <row r="124">
          <cell r="A124" t="str">
            <v xml:space="preserve"> 2QA</v>
          </cell>
          <cell r="B124">
            <v>605.6</v>
          </cell>
          <cell r="C124">
            <v>86.7</v>
          </cell>
          <cell r="D124">
            <v>692.30000000000007</v>
          </cell>
          <cell r="F124">
            <v>523.20000000000005</v>
          </cell>
          <cell r="G124">
            <v>213.4</v>
          </cell>
          <cell r="H124">
            <v>736.6</v>
          </cell>
          <cell r="J124">
            <v>24.1</v>
          </cell>
          <cell r="L124">
            <v>36.4</v>
          </cell>
          <cell r="R124">
            <v>1489.4</v>
          </cell>
          <cell r="T124" t="str">
            <v xml:space="preserve"> 2QA</v>
          </cell>
          <cell r="U124">
            <v>1.9</v>
          </cell>
          <cell r="V124">
            <v>50.3</v>
          </cell>
          <cell r="W124">
            <v>52.199999999999996</v>
          </cell>
          <cell r="Y124">
            <v>0.7</v>
          </cell>
          <cell r="Z124">
            <v>20.7</v>
          </cell>
          <cell r="AA124">
            <v>56.1</v>
          </cell>
          <cell r="AB124">
            <v>52.4</v>
          </cell>
          <cell r="AD124">
            <v>182.1</v>
          </cell>
          <cell r="AF124">
            <v>14.6</v>
          </cell>
          <cell r="AG124">
            <v>110.1</v>
          </cell>
          <cell r="AI124">
            <v>0</v>
          </cell>
          <cell r="AJ124">
            <v>0</v>
          </cell>
          <cell r="AK124">
            <v>0</v>
          </cell>
          <cell r="AM124">
            <v>133</v>
          </cell>
          <cell r="AN124">
            <v>34</v>
          </cell>
          <cell r="AO124">
            <v>167</v>
          </cell>
          <cell r="AU124" t="str">
            <v xml:space="preserve"> 2QA</v>
          </cell>
          <cell r="AV124">
            <v>78.8</v>
          </cell>
          <cell r="AX124">
            <v>140</v>
          </cell>
          <cell r="AY124">
            <v>124.7</v>
          </cell>
          <cell r="AZ124">
            <v>264.7</v>
          </cell>
          <cell r="BB124">
            <v>135</v>
          </cell>
          <cell r="BD124">
            <v>16.599999999999994</v>
          </cell>
          <cell r="BF124">
            <v>89.3</v>
          </cell>
          <cell r="BG124">
            <v>56.3</v>
          </cell>
          <cell r="BH124">
            <v>145.6</v>
          </cell>
          <cell r="BI124">
            <v>640.70000000000005</v>
          </cell>
          <cell r="BK124">
            <v>50.8</v>
          </cell>
          <cell r="BL124">
            <v>19.399999999999999</v>
          </cell>
          <cell r="BM124">
            <v>70.199999999999989</v>
          </cell>
          <cell r="BO124">
            <v>88.8</v>
          </cell>
          <cell r="BP124">
            <v>72</v>
          </cell>
          <cell r="BQ124">
            <v>160.80000000000001</v>
          </cell>
          <cell r="BS124">
            <v>3.8</v>
          </cell>
          <cell r="BT124">
            <v>164.60000000000002</v>
          </cell>
          <cell r="BV124">
            <v>0</v>
          </cell>
          <cell r="BX124">
            <v>36.6</v>
          </cell>
          <cell r="BY124">
            <v>2875.2999999999993</v>
          </cell>
          <cell r="BZ124">
            <v>158.19999999999999</v>
          </cell>
          <cell r="CA124">
            <v>3033.4999999999991</v>
          </cell>
        </row>
        <row r="125">
          <cell r="A125" t="str">
            <v xml:space="preserve"> 3QA</v>
          </cell>
          <cell r="B125">
            <v>371.5</v>
          </cell>
          <cell r="C125">
            <v>77.900000000000006</v>
          </cell>
          <cell r="D125">
            <v>449.4</v>
          </cell>
          <cell r="F125">
            <v>577.79999999999995</v>
          </cell>
          <cell r="G125">
            <v>234.6</v>
          </cell>
          <cell r="H125">
            <v>812.4</v>
          </cell>
          <cell r="J125">
            <v>21.8</v>
          </cell>
          <cell r="L125">
            <v>35.700000000000003</v>
          </cell>
          <cell r="R125">
            <v>1319.3</v>
          </cell>
          <cell r="T125" t="str">
            <v xml:space="preserve"> 3QA</v>
          </cell>
          <cell r="U125">
            <v>0.9</v>
          </cell>
          <cell r="V125">
            <v>48.2</v>
          </cell>
          <cell r="W125">
            <v>49.1</v>
          </cell>
          <cell r="Y125">
            <v>1.1000000000000001</v>
          </cell>
          <cell r="Z125">
            <v>18.8</v>
          </cell>
          <cell r="AA125">
            <v>47.7</v>
          </cell>
          <cell r="AB125">
            <v>39.200000000000003</v>
          </cell>
          <cell r="AD125">
            <v>155.9</v>
          </cell>
          <cell r="AF125">
            <v>11.3</v>
          </cell>
          <cell r="AG125">
            <v>105.1</v>
          </cell>
          <cell r="AI125">
            <v>0</v>
          </cell>
          <cell r="AJ125">
            <v>0</v>
          </cell>
          <cell r="AK125">
            <v>0</v>
          </cell>
          <cell r="AM125">
            <v>149.1</v>
          </cell>
          <cell r="AN125">
            <v>34</v>
          </cell>
          <cell r="AO125">
            <v>183.1</v>
          </cell>
          <cell r="AU125" t="str">
            <v xml:space="preserve"> 3QA</v>
          </cell>
          <cell r="AV125">
            <v>76.7</v>
          </cell>
          <cell r="AX125">
            <v>142.6</v>
          </cell>
          <cell r="AY125">
            <v>112.1</v>
          </cell>
          <cell r="AZ125">
            <v>254.7</v>
          </cell>
          <cell r="BB125">
            <v>95</v>
          </cell>
          <cell r="BD125">
            <v>18.900000000000006</v>
          </cell>
          <cell r="BF125">
            <v>106</v>
          </cell>
          <cell r="BG125">
            <v>58.4</v>
          </cell>
          <cell r="BH125">
            <v>164.4</v>
          </cell>
          <cell r="BI125">
            <v>609.69999999999993</v>
          </cell>
          <cell r="BK125">
            <v>49.9</v>
          </cell>
          <cell r="BL125">
            <v>22.6</v>
          </cell>
          <cell r="BM125">
            <v>72.5</v>
          </cell>
          <cell r="BO125">
            <v>109.7</v>
          </cell>
          <cell r="BP125">
            <v>77.400000000000006</v>
          </cell>
          <cell r="BQ125">
            <v>187.10000000000002</v>
          </cell>
          <cell r="BS125">
            <v>4.2</v>
          </cell>
          <cell r="BT125">
            <v>191.3</v>
          </cell>
          <cell r="BV125">
            <v>0</v>
          </cell>
          <cell r="BX125">
            <v>44.3</v>
          </cell>
          <cell r="BY125">
            <v>2692.5</v>
          </cell>
          <cell r="BZ125">
            <v>181.9</v>
          </cell>
          <cell r="CA125">
            <v>2874.4</v>
          </cell>
        </row>
        <row r="126">
          <cell r="A126" t="str">
            <v xml:space="preserve"> 4QA</v>
          </cell>
          <cell r="B126">
            <v>140.4</v>
          </cell>
          <cell r="C126">
            <v>84.9</v>
          </cell>
          <cell r="D126">
            <v>225.3</v>
          </cell>
          <cell r="F126">
            <v>624.4</v>
          </cell>
          <cell r="G126">
            <v>276.10000000000002</v>
          </cell>
          <cell r="H126">
            <v>900.5</v>
          </cell>
          <cell r="J126">
            <v>18.2</v>
          </cell>
          <cell r="L126">
            <v>42.6</v>
          </cell>
          <cell r="R126">
            <v>1186.5999999999999</v>
          </cell>
          <cell r="T126" t="str">
            <v xml:space="preserve"> 4QA</v>
          </cell>
          <cell r="U126">
            <v>0.1</v>
          </cell>
          <cell r="V126">
            <v>60.8</v>
          </cell>
          <cell r="W126">
            <v>60.9</v>
          </cell>
          <cell r="Y126">
            <v>5</v>
          </cell>
          <cell r="Z126">
            <v>25.7</v>
          </cell>
          <cell r="AA126">
            <v>48.7</v>
          </cell>
          <cell r="AB126">
            <v>64.400000000000006</v>
          </cell>
          <cell r="AD126">
            <v>204.70000000000002</v>
          </cell>
          <cell r="AF126">
            <v>13.8</v>
          </cell>
          <cell r="AG126">
            <v>105.5</v>
          </cell>
          <cell r="AI126">
            <v>21.1</v>
          </cell>
          <cell r="AJ126">
            <v>0.1</v>
          </cell>
          <cell r="AK126">
            <v>21.200000000000003</v>
          </cell>
          <cell r="AM126">
            <v>123.8</v>
          </cell>
          <cell r="AN126">
            <v>41.9</v>
          </cell>
          <cell r="AO126">
            <v>165.7</v>
          </cell>
          <cell r="AU126" t="str">
            <v xml:space="preserve"> 4QA</v>
          </cell>
          <cell r="AV126">
            <v>83</v>
          </cell>
          <cell r="AX126">
            <v>141.6</v>
          </cell>
          <cell r="AY126">
            <v>126.1</v>
          </cell>
          <cell r="AZ126">
            <v>267.7</v>
          </cell>
          <cell r="BB126">
            <v>67</v>
          </cell>
          <cell r="BD126">
            <v>20</v>
          </cell>
          <cell r="BF126">
            <v>122.4</v>
          </cell>
          <cell r="BG126">
            <v>70.3</v>
          </cell>
          <cell r="BH126">
            <v>192.7</v>
          </cell>
          <cell r="BI126">
            <v>630.4</v>
          </cell>
          <cell r="BK126">
            <v>42.4</v>
          </cell>
          <cell r="BL126">
            <v>23.9</v>
          </cell>
          <cell r="BM126">
            <v>66.3</v>
          </cell>
          <cell r="BO126">
            <v>117.3</v>
          </cell>
          <cell r="BP126">
            <v>83.6</v>
          </cell>
          <cell r="BQ126">
            <v>200.89999999999998</v>
          </cell>
          <cell r="BS126">
            <v>4.4000000000000004</v>
          </cell>
          <cell r="BT126">
            <v>205.29999999999998</v>
          </cell>
          <cell r="BV126">
            <v>0</v>
          </cell>
          <cell r="BX126">
            <v>41</v>
          </cell>
          <cell r="BY126">
            <v>2640.5000000000005</v>
          </cell>
          <cell r="BZ126">
            <v>188.3</v>
          </cell>
          <cell r="CA126">
            <v>2828.8000000000006</v>
          </cell>
        </row>
        <row r="128">
          <cell r="A128" t="str">
            <v>YearA</v>
          </cell>
          <cell r="B128">
            <v>1659</v>
          </cell>
          <cell r="C128">
            <v>330.90000000000003</v>
          </cell>
          <cell r="D128">
            <v>1989.8999999999999</v>
          </cell>
          <cell r="F128">
            <v>2176.1</v>
          </cell>
          <cell r="G128">
            <v>910.5</v>
          </cell>
          <cell r="H128">
            <v>3086.6</v>
          </cell>
          <cell r="J128">
            <v>86.4</v>
          </cell>
          <cell r="L128">
            <v>149.80000000000001</v>
          </cell>
          <cell r="R128">
            <v>5312.7</v>
          </cell>
          <cell r="T128" t="str">
            <v>YearA</v>
          </cell>
          <cell r="U128">
            <v>4.2</v>
          </cell>
          <cell r="V128">
            <v>227.39999999999998</v>
          </cell>
          <cell r="W128">
            <v>231.6</v>
          </cell>
          <cell r="Y128">
            <v>11.3</v>
          </cell>
          <cell r="Z128">
            <v>80.100000000000009</v>
          </cell>
          <cell r="AA128">
            <v>210.60000000000002</v>
          </cell>
          <cell r="AB128">
            <v>198.00000000000003</v>
          </cell>
          <cell r="AD128">
            <v>731.7</v>
          </cell>
          <cell r="AF128">
            <v>54.4</v>
          </cell>
          <cell r="AG128">
            <v>431.4</v>
          </cell>
          <cell r="AI128">
            <v>21.1</v>
          </cell>
          <cell r="AJ128">
            <v>0.1</v>
          </cell>
          <cell r="AK128">
            <v>21.1</v>
          </cell>
          <cell r="AM128">
            <v>526.19999999999993</v>
          </cell>
          <cell r="AN128">
            <v>138.69999999999999</v>
          </cell>
          <cell r="AO128">
            <v>664.80000000000007</v>
          </cell>
          <cell r="AU128" t="str">
            <v>YearA</v>
          </cell>
          <cell r="AV128">
            <v>312.7</v>
          </cell>
          <cell r="AX128">
            <v>578.4</v>
          </cell>
          <cell r="AY128">
            <v>482.1</v>
          </cell>
          <cell r="AZ128">
            <v>1060.5</v>
          </cell>
          <cell r="BB128">
            <v>361</v>
          </cell>
          <cell r="BD128">
            <v>75.899999999999991</v>
          </cell>
          <cell r="BF128">
            <v>394.6</v>
          </cell>
          <cell r="BG128">
            <v>233.3</v>
          </cell>
          <cell r="BH128">
            <v>627.80000000000007</v>
          </cell>
          <cell r="BI128">
            <v>2437.9</v>
          </cell>
          <cell r="BK128">
            <v>186.4</v>
          </cell>
          <cell r="BL128">
            <v>98.4</v>
          </cell>
          <cell r="BM128">
            <v>284.7</v>
          </cell>
          <cell r="BO128">
            <v>417.3</v>
          </cell>
          <cell r="BP128">
            <v>305.5</v>
          </cell>
          <cell r="BQ128">
            <v>722.7</v>
          </cell>
          <cell r="BS128">
            <v>16.000000000000004</v>
          </cell>
          <cell r="BT128">
            <v>739</v>
          </cell>
          <cell r="BV128">
            <v>0</v>
          </cell>
          <cell r="BX128">
            <v>168.2</v>
          </cell>
          <cell r="BY128">
            <v>10845.800000000001</v>
          </cell>
          <cell r="BZ128">
            <v>696.6</v>
          </cell>
          <cell r="CA128">
            <v>11542.400000000001</v>
          </cell>
        </row>
        <row r="130">
          <cell r="A130" t="str">
            <v>2002A/01</v>
          </cell>
          <cell r="T130" t="str">
            <v>2002A/01</v>
          </cell>
          <cell r="AU130" t="str">
            <v>2002A/01</v>
          </cell>
        </row>
        <row r="131">
          <cell r="A131" t="str">
            <v xml:space="preserve"> 1QA</v>
          </cell>
          <cell r="B131">
            <v>-0.79686057248384112</v>
          </cell>
          <cell r="C131">
            <v>-6.3882063882063966E-2</v>
          </cell>
          <cell r="D131">
            <v>-0.70107561406325258</v>
          </cell>
          <cell r="F131">
            <v>0.23163967162192156</v>
          </cell>
          <cell r="G131">
            <v>0.4179184549356223</v>
          </cell>
          <cell r="H131">
            <v>0.28614032334013517</v>
          </cell>
          <cell r="J131">
            <v>-0.33632286995515692</v>
          </cell>
          <cell r="L131">
            <v>-0.12571428571428567</v>
          </cell>
          <cell r="R131">
            <v>-0.2021559249981022</v>
          </cell>
          <cell r="T131" t="str">
            <v xml:space="preserve"> 1QA</v>
          </cell>
          <cell r="U131" t="str">
            <v>NM</v>
          </cell>
          <cell r="V131">
            <v>-0.12481644640234935</v>
          </cell>
          <cell r="W131">
            <v>-0.13400576368876072</v>
          </cell>
          <cell r="Y131">
            <v>-0.1333333333333333</v>
          </cell>
          <cell r="Z131">
            <v>0.28187919463087252</v>
          </cell>
          <cell r="AA131">
            <v>-0.25301204819277112</v>
          </cell>
          <cell r="AB131">
            <v>6.6666666666666652E-2</v>
          </cell>
          <cell r="AD131">
            <v>-9.317098994176809E-2</v>
          </cell>
          <cell r="AF131">
            <v>-0.22602739726027388</v>
          </cell>
          <cell r="AG131">
            <v>-0.17163504968383014</v>
          </cell>
          <cell r="AI131" t="str">
            <v>NM</v>
          </cell>
          <cell r="AJ131" t="str">
            <v>NM</v>
          </cell>
          <cell r="AK131" t="str">
            <v>NM</v>
          </cell>
          <cell r="AM131">
            <v>0.15960099750623447</v>
          </cell>
          <cell r="AN131">
            <v>0.33333333333333326</v>
          </cell>
          <cell r="AO131">
            <v>0.19315895372233416</v>
          </cell>
          <cell r="AU131" t="str">
            <v xml:space="preserve"> 1QA</v>
          </cell>
          <cell r="AV131">
            <v>4.582210242587581E-2</v>
          </cell>
          <cell r="AX131">
            <v>-0.17574578469520097</v>
          </cell>
          <cell r="AY131">
            <v>-9.8993288590603967E-2</v>
          </cell>
          <cell r="AZ131">
            <v>-0.142282370153621</v>
          </cell>
          <cell r="BB131">
            <v>0.15312499999999996</v>
          </cell>
          <cell r="BD131">
            <v>-0.15270935960591125</v>
          </cell>
          <cell r="BF131">
            <v>0.47204161248374499</v>
          </cell>
          <cell r="BG131">
            <v>0.329192546583851</v>
          </cell>
          <cell r="BH131">
            <v>0.41693290734824284</v>
          </cell>
          <cell r="BI131">
            <v>4.2003231017770482E-2</v>
          </cell>
          <cell r="BK131">
            <v>-0.32563510392609696</v>
          </cell>
          <cell r="BL131">
            <v>-0.6</v>
          </cell>
          <cell r="BM131">
            <v>-0.44327176781002631</v>
          </cell>
          <cell r="BO131">
            <v>7.4876847290640258E-2</v>
          </cell>
          <cell r="BP131">
            <v>0.21931034482758638</v>
          </cell>
          <cell r="BQ131">
            <v>0.13505747126436773</v>
          </cell>
          <cell r="BS131">
            <v>5.2631578947368363E-2</v>
          </cell>
          <cell r="BT131">
            <v>0.13329583802024736</v>
          </cell>
          <cell r="BV131" t="str">
            <v>NM</v>
          </cell>
          <cell r="BX131">
            <v>-5.1835853131749543E-2</v>
          </cell>
          <cell r="BY131">
            <v>-9.2622080679405694E-2</v>
          </cell>
          <cell r="BZ131">
            <v>-1.7846519928612636E-3</v>
          </cell>
          <cell r="CA131">
            <v>-8.7179669957586414E-2</v>
          </cell>
        </row>
        <row r="132">
          <cell r="A132" t="str">
            <v xml:space="preserve"> 2QA</v>
          </cell>
          <cell r="B132">
            <v>-0.79425363276089833</v>
          </cell>
          <cell r="C132">
            <v>-0.18915801614763561</v>
          </cell>
          <cell r="D132">
            <v>-0.7184746497183303</v>
          </cell>
          <cell r="F132">
            <v>0.20967125382262974</v>
          </cell>
          <cell r="G132">
            <v>0.28350515463917514</v>
          </cell>
          <cell r="H132">
            <v>0.23106163453706219</v>
          </cell>
          <cell r="J132">
            <v>-0.10373443983402486</v>
          </cell>
          <cell r="L132">
            <v>6.3186813186813406E-2</v>
          </cell>
          <cell r="R132">
            <v>-0.21982006176984037</v>
          </cell>
          <cell r="T132" t="str">
            <v xml:space="preserve"> 2QA</v>
          </cell>
          <cell r="U132" t="str">
            <v>NM</v>
          </cell>
          <cell r="V132">
            <v>-0.12326043737574544</v>
          </cell>
          <cell r="W132">
            <v>-0.15517241379310331</v>
          </cell>
          <cell r="Y132">
            <v>2.1428571428571432</v>
          </cell>
          <cell r="Z132">
            <v>-0.2125603864734299</v>
          </cell>
          <cell r="AA132">
            <v>-0.22103386809269154</v>
          </cell>
          <cell r="AB132">
            <v>-0.30534351145038163</v>
          </cell>
          <cell r="AD132">
            <v>-0.21636463481603507</v>
          </cell>
          <cell r="AF132">
            <v>-0.21232876712328763</v>
          </cell>
          <cell r="AG132">
            <v>-8.2652134423251589E-2</v>
          </cell>
          <cell r="AI132" t="str">
            <v>NM</v>
          </cell>
          <cell r="AJ132" t="str">
            <v>NM</v>
          </cell>
          <cell r="AK132" t="str">
            <v>NM</v>
          </cell>
          <cell r="AM132">
            <v>4.8120300751879785E-2</v>
          </cell>
          <cell r="AN132">
            <v>0.43529411764705883</v>
          </cell>
          <cell r="AO132">
            <v>0.12694610778443116</v>
          </cell>
          <cell r="AU132" t="str">
            <v xml:space="preserve"> 2QA</v>
          </cell>
          <cell r="AV132">
            <v>4.8223350253806974E-2</v>
          </cell>
          <cell r="AX132">
            <v>-4.500000000000004E-2</v>
          </cell>
          <cell r="AY132">
            <v>-6.4153969526864474E-3</v>
          </cell>
          <cell r="AZ132">
            <v>-2.6822818284850669E-2</v>
          </cell>
          <cell r="BB132">
            <v>4.0000000000000036E-2</v>
          </cell>
          <cell r="BD132">
            <v>-0.27710843373493954</v>
          </cell>
          <cell r="BF132">
            <v>0.44680851063829774</v>
          </cell>
          <cell r="BG132">
            <v>0.34103019538188284</v>
          </cell>
          <cell r="BH132">
            <v>0.4059065934065933</v>
          </cell>
          <cell r="BI132">
            <v>8.8340877165600018E-2</v>
          </cell>
          <cell r="BK132">
            <v>-0.96259842519685035</v>
          </cell>
          <cell r="BL132">
            <v>0.40206185567010322</v>
          </cell>
          <cell r="BM132">
            <v>-0.58547008547008539</v>
          </cell>
          <cell r="BO132">
            <v>0.45720720720720731</v>
          </cell>
          <cell r="BP132">
            <v>0.24583333333333335</v>
          </cell>
          <cell r="BQ132">
            <v>0.36256218905472637</v>
          </cell>
          <cell r="BS132">
            <v>-2.631578947368407E-2</v>
          </cell>
          <cell r="BT132">
            <v>0.35358444714459281</v>
          </cell>
          <cell r="BV132" t="str">
            <v>NM</v>
          </cell>
          <cell r="BX132">
            <v>-2.7868852459016269E-2</v>
          </cell>
          <cell r="BY132">
            <v>-9.1301777205856638E-2</v>
          </cell>
          <cell r="BZ132">
            <v>2.6548672566371723E-2</v>
          </cell>
          <cell r="CA132">
            <v>-8.515576067249031E-2</v>
          </cell>
        </row>
        <row r="133">
          <cell r="A133" t="str">
            <v xml:space="preserve"> 3QA</v>
          </cell>
          <cell r="B133">
            <v>-0.67886944818304173</v>
          </cell>
          <cell r="C133">
            <v>-9.3709884467265914E-2</v>
          </cell>
          <cell r="D133">
            <v>-0.57743658210947935</v>
          </cell>
          <cell r="F133">
            <v>0.18241606092073392</v>
          </cell>
          <cell r="G133">
            <v>0.2395566922421144</v>
          </cell>
          <cell r="H133">
            <v>0.19891678975873961</v>
          </cell>
          <cell r="J133">
            <v>-1</v>
          </cell>
          <cell r="L133">
            <v>0.13725490196078427</v>
          </cell>
          <cell r="R133">
            <v>-8.701584173425303E-2</v>
          </cell>
          <cell r="T133" t="str">
            <v xml:space="preserve"> 3QA</v>
          </cell>
          <cell r="U133" t="str">
            <v>NM</v>
          </cell>
          <cell r="V133">
            <v>-0.11825726141078841</v>
          </cell>
          <cell r="W133">
            <v>-0.13238289205702647</v>
          </cell>
          <cell r="Y133">
            <v>-0.54545454545454541</v>
          </cell>
          <cell r="Z133">
            <v>-0.11170212765957455</v>
          </cell>
          <cell r="AA133">
            <v>-0.34171907756813424</v>
          </cell>
          <cell r="AB133">
            <v>-0.1479591836734695</v>
          </cell>
          <cell r="AD133">
            <v>-0.2007697241821681</v>
          </cell>
          <cell r="AF133">
            <v>-9.7345132743362983E-2</v>
          </cell>
          <cell r="AG133">
            <v>-0.1208372978116079</v>
          </cell>
          <cell r="AI133" t="str">
            <v>NM</v>
          </cell>
          <cell r="AJ133" t="str">
            <v>NM</v>
          </cell>
          <cell r="AK133" t="str">
            <v>NM</v>
          </cell>
          <cell r="AM133">
            <v>0.11401743796109987</v>
          </cell>
          <cell r="AN133">
            <v>0.50882352941176467</v>
          </cell>
          <cell r="AO133">
            <v>0.18732932823593651</v>
          </cell>
          <cell r="AU133" t="str">
            <v xml:space="preserve"> 3QA</v>
          </cell>
          <cell r="AV133">
            <v>8.4745762711864403E-2</v>
          </cell>
          <cell r="AX133">
            <v>-8.9761570827489368E-2</v>
          </cell>
          <cell r="AY133">
            <v>0.1382694023193578</v>
          </cell>
          <cell r="AZ133">
            <v>1.0600706713780772E-2</v>
          </cell>
          <cell r="BB133">
            <v>-0.14000000000000001</v>
          </cell>
          <cell r="BD133">
            <v>-4.2328042328042548E-2</v>
          </cell>
          <cell r="BF133">
            <v>0.26132075471698113</v>
          </cell>
          <cell r="BG133">
            <v>0.37671232876712346</v>
          </cell>
          <cell r="BH133">
            <v>0.30231143552311424</v>
          </cell>
          <cell r="BI133">
            <v>7.3478760045924352E-2</v>
          </cell>
          <cell r="BK133">
            <v>-0.72945891783567141</v>
          </cell>
          <cell r="BL133">
            <v>-0.4823008849557523</v>
          </cell>
          <cell r="BM133">
            <v>-0.65241379310344827</v>
          </cell>
          <cell r="BO133">
            <v>-0.15041020966271645</v>
          </cell>
          <cell r="BP133">
            <v>0.34366925064599463</v>
          </cell>
          <cell r="BQ133">
            <v>5.3981827899518775E-2</v>
          </cell>
          <cell r="BS133">
            <v>0.57142857142857117</v>
          </cell>
          <cell r="BT133">
            <v>6.5342394145321281E-2</v>
          </cell>
          <cell r="BV133" t="str">
            <v>NM</v>
          </cell>
          <cell r="BX133">
            <v>0.45146726862302522</v>
          </cell>
          <cell r="BY133">
            <v>-2.766945218198702E-2</v>
          </cell>
          <cell r="BZ133">
            <v>-7.8614623419461349E-2</v>
          </cell>
          <cell r="CA133">
            <v>-3.0893403840801636E-2</v>
          </cell>
        </row>
        <row r="134">
          <cell r="A134" t="str">
            <v xml:space="preserve"> 4QA</v>
          </cell>
          <cell r="B134">
            <v>-0.30341880341880334</v>
          </cell>
          <cell r="C134">
            <v>-0.23439340400471143</v>
          </cell>
          <cell r="D134">
            <v>-0.27740790057700837</v>
          </cell>
          <cell r="F134">
            <v>5.9577194106342102E-2</v>
          </cell>
          <cell r="G134">
            <v>0.18507787033683432</v>
          </cell>
          <cell r="H134">
            <v>9.8056635202665055E-2</v>
          </cell>
          <cell r="J134" t="str">
            <v>NM</v>
          </cell>
          <cell r="L134">
            <v>-1.4084507042253502E-2</v>
          </cell>
          <cell r="R134">
            <v>8.0903421540534648E-3</v>
          </cell>
          <cell r="T134" t="str">
            <v xml:space="preserve"> 4QA</v>
          </cell>
          <cell r="U134" t="str">
            <v>NM</v>
          </cell>
          <cell r="V134">
            <v>-0.16940789473684204</v>
          </cell>
          <cell r="W134">
            <v>-0.16912972085385869</v>
          </cell>
          <cell r="Y134">
            <v>-0.54</v>
          </cell>
          <cell r="Z134">
            <v>-0.1245136186770428</v>
          </cell>
          <cell r="AA134">
            <v>-0.45995893223819306</v>
          </cell>
          <cell r="AB134">
            <v>-0.42701863354037273</v>
          </cell>
          <cell r="AD134">
            <v>-0.32291157791890579</v>
          </cell>
          <cell r="AF134">
            <v>-7.2463768115942018E-2</v>
          </cell>
          <cell r="AG134">
            <v>-6.2559241706161117E-2</v>
          </cell>
          <cell r="AI134">
            <v>0.27488151658767768</v>
          </cell>
          <cell r="AJ134" t="str">
            <v>NM</v>
          </cell>
          <cell r="AK134">
            <v>0.62735849056603743</v>
          </cell>
          <cell r="AM134">
            <v>0.4628432956381261</v>
          </cell>
          <cell r="AN134">
            <v>0.36754176610978528</v>
          </cell>
          <cell r="AO134">
            <v>0.4387447193723597</v>
          </cell>
          <cell r="AU134" t="str">
            <v xml:space="preserve"> 4QA</v>
          </cell>
          <cell r="AV134">
            <v>3.4939759036144658E-2</v>
          </cell>
          <cell r="AX134">
            <v>-0.11864406779661019</v>
          </cell>
          <cell r="AY134">
            <v>2.8548770816811952E-2</v>
          </cell>
          <cell r="AZ134">
            <v>-4.930892790437047E-2</v>
          </cell>
          <cell r="BB134">
            <v>0.43582089552238812</v>
          </cell>
          <cell r="BD134">
            <v>-0.47499999999999998</v>
          </cell>
          <cell r="BF134">
            <v>0.2434640522875815</v>
          </cell>
          <cell r="BG134">
            <v>0.2204836415362732</v>
          </cell>
          <cell r="BH134">
            <v>0.23508043591074212</v>
          </cell>
          <cell r="BI134">
            <v>8.6770304568527745E-2</v>
          </cell>
          <cell r="BK134">
            <v>-1.0070754716981132</v>
          </cell>
          <cell r="BL134">
            <v>-0.30962343096234302</v>
          </cell>
          <cell r="BM134">
            <v>-0.75565610859728505</v>
          </cell>
          <cell r="BO134">
            <v>0.28303495311167959</v>
          </cell>
          <cell r="BP134">
            <v>0.32057416267942607</v>
          </cell>
          <cell r="BQ134">
            <v>0.29865604778496757</v>
          </cell>
          <cell r="BS134">
            <v>-4.5454545454545525E-2</v>
          </cell>
          <cell r="BT134">
            <v>0.29128105211885047</v>
          </cell>
          <cell r="BV134" t="str">
            <v>NM</v>
          </cell>
          <cell r="BX134">
            <v>0.66829268292682942</v>
          </cell>
          <cell r="BY134">
            <v>4.5142965347471753E-2</v>
          </cell>
          <cell r="BZ134">
            <v>4.036112586298457E-2</v>
          </cell>
          <cell r="CA134">
            <v>4.4824660633483671E-2</v>
          </cell>
        </row>
        <row r="136">
          <cell r="A136" t="str">
            <v>2002/01A</v>
          </cell>
          <cell r="B136">
            <v>-0.72772754671488848</v>
          </cell>
          <cell r="C136">
            <v>-0.14747657902689637</v>
          </cell>
          <cell r="D136">
            <v>-0.63123775064073573</v>
          </cell>
          <cell r="F136">
            <v>0.16391709939800569</v>
          </cell>
          <cell r="G136">
            <v>0.26985172981878103</v>
          </cell>
          <cell r="H136">
            <v>0.19516620229378609</v>
          </cell>
          <cell r="J136">
            <v>-0.57870370370370372</v>
          </cell>
          <cell r="K136" t="e">
            <v>#DIV/0!</v>
          </cell>
          <cell r="L136">
            <v>-0.01</v>
          </cell>
          <cell r="R136">
            <v>-0.13157151730758371</v>
          </cell>
          <cell r="T136" t="str">
            <v>2002/01A</v>
          </cell>
          <cell r="U136">
            <v>-0.83333333333333337</v>
          </cell>
          <cell r="V136">
            <v>-0.13500439753737903</v>
          </cell>
          <cell r="W136">
            <v>-0.1476683937823835</v>
          </cell>
          <cell r="Y136">
            <v>-0.21238938053097367</v>
          </cell>
          <cell r="Z136">
            <v>-6.8664169787765239E-2</v>
          </cell>
          <cell r="AA136">
            <v>-0.31244064577397912</v>
          </cell>
          <cell r="AB136">
            <v>-0.23484848484848497</v>
          </cell>
          <cell r="AD136">
            <v>-0.21115211152111521</v>
          </cell>
          <cell r="AF136">
            <v>-0.15808823529411764</v>
          </cell>
          <cell r="AG136">
            <v>-0.10987482614742694</v>
          </cell>
          <cell r="AI136" t="str">
            <v>NM</v>
          </cell>
          <cell r="AJ136" t="str">
            <v>NM</v>
          </cell>
          <cell r="AK136" t="str">
            <v>NM</v>
          </cell>
          <cell r="AM136">
            <v>0.18985176738882581</v>
          </cell>
          <cell r="AN136">
            <v>0.41167988464311489</v>
          </cell>
          <cell r="AO136">
            <v>0.23631167268351386</v>
          </cell>
          <cell r="AU136" t="str">
            <v>2002/01A</v>
          </cell>
          <cell r="AV136">
            <v>5.3086024944035692E-2</v>
          </cell>
          <cell r="AX136">
            <v>-0.1089211618257262</v>
          </cell>
          <cell r="AY136">
            <v>1.3482679941920539E-2</v>
          </cell>
          <cell r="AZ136">
            <v>-5.3276756247053275E-2</v>
          </cell>
          <cell r="BB136">
            <v>8.6149584487534625E-2</v>
          </cell>
          <cell r="BD136">
            <v>-0.23847167325428187</v>
          </cell>
          <cell r="BF136">
            <v>0.33882412569690801</v>
          </cell>
          <cell r="BG136">
            <v>0.3111873124732103</v>
          </cell>
          <cell r="BH136">
            <v>0.32876712328767099</v>
          </cell>
          <cell r="BI136">
            <v>7.3628942942696396E-2</v>
          </cell>
          <cell r="BK136">
            <v>-0.76233905579399142</v>
          </cell>
          <cell r="BL136">
            <v>-0.30487804878048774</v>
          </cell>
          <cell r="BM136">
            <v>-0.60414471373375489</v>
          </cell>
          <cell r="BO136">
            <v>0.15552360412173494</v>
          </cell>
          <cell r="BP136">
            <v>0.28477905073649756</v>
          </cell>
          <cell r="BQ136">
            <v>0.210322402103224</v>
          </cell>
          <cell r="BS136">
            <v>0.15624999999999978</v>
          </cell>
          <cell r="BT136">
            <v>0.20866035182679302</v>
          </cell>
          <cell r="BV136" t="str">
            <v>NM</v>
          </cell>
          <cell r="BX136">
            <v>0.26147443519619529</v>
          </cell>
          <cell r="BY136">
            <v>-4.2598978406387933E-2</v>
          </cell>
          <cell r="BZ136">
            <v>-4.1630778064886131E-3</v>
          </cell>
          <cell r="CA136">
            <v>-4.0279317992791955E-2</v>
          </cell>
        </row>
        <row r="138">
          <cell r="A138" t="str">
            <v>2002A</v>
          </cell>
          <cell r="T138" t="str">
            <v>2002A</v>
          </cell>
          <cell r="AU138" t="str">
            <v>2002A</v>
          </cell>
        </row>
        <row r="139">
          <cell r="A139" t="str">
            <v xml:space="preserve"> 1QA</v>
          </cell>
          <cell r="B139">
            <v>110</v>
          </cell>
          <cell r="C139">
            <v>76.2</v>
          </cell>
          <cell r="D139">
            <v>186.2</v>
          </cell>
          <cell r="F139">
            <v>555.1</v>
          </cell>
          <cell r="G139">
            <v>264.3</v>
          </cell>
          <cell r="H139">
            <v>819.40000000000009</v>
          </cell>
          <cell r="J139">
            <v>14.8</v>
          </cell>
          <cell r="L139">
            <v>30.6</v>
          </cell>
          <cell r="R139">
            <v>1051</v>
          </cell>
          <cell r="T139" t="str">
            <v xml:space="preserve"> 1QA</v>
          </cell>
          <cell r="U139">
            <v>0.5</v>
          </cell>
          <cell r="V139">
            <v>59.6</v>
          </cell>
          <cell r="W139">
            <v>60.1</v>
          </cell>
          <cell r="Y139">
            <v>3.9</v>
          </cell>
          <cell r="Z139">
            <v>19.100000000000001</v>
          </cell>
          <cell r="AA139">
            <v>43.4</v>
          </cell>
          <cell r="AB139">
            <v>44.8</v>
          </cell>
          <cell r="AD139">
            <v>171.3</v>
          </cell>
          <cell r="AF139">
            <v>11.3</v>
          </cell>
          <cell r="AG139">
            <v>91.7</v>
          </cell>
          <cell r="AI139">
            <v>21.9</v>
          </cell>
          <cell r="AJ139">
            <v>0.1</v>
          </cell>
          <cell r="AK139">
            <v>22</v>
          </cell>
          <cell r="AM139">
            <v>139.5</v>
          </cell>
          <cell r="AN139">
            <v>38.4</v>
          </cell>
          <cell r="AO139">
            <v>177.9</v>
          </cell>
          <cell r="AU139" t="str">
            <v xml:space="preserve"> 1QA</v>
          </cell>
          <cell r="AV139">
            <v>77.599999999999994</v>
          </cell>
          <cell r="AX139">
            <v>127.1</v>
          </cell>
          <cell r="AY139">
            <v>107.4</v>
          </cell>
          <cell r="AZ139">
            <v>234.5</v>
          </cell>
          <cell r="BB139">
            <v>73.8</v>
          </cell>
          <cell r="BD139">
            <v>17.2</v>
          </cell>
          <cell r="BF139">
            <v>113.2</v>
          </cell>
          <cell r="BG139">
            <v>64.2</v>
          </cell>
          <cell r="BH139">
            <v>177.4</v>
          </cell>
          <cell r="BI139">
            <v>580.5</v>
          </cell>
          <cell r="BK139">
            <v>29.2</v>
          </cell>
          <cell r="BL139">
            <v>13</v>
          </cell>
          <cell r="BM139">
            <v>42.2</v>
          </cell>
          <cell r="BO139">
            <v>109.1</v>
          </cell>
          <cell r="BP139">
            <v>88.4</v>
          </cell>
          <cell r="BQ139">
            <v>197.5</v>
          </cell>
          <cell r="BS139">
            <v>4</v>
          </cell>
          <cell r="BT139">
            <v>201.5</v>
          </cell>
          <cell r="BV139">
            <v>0</v>
          </cell>
          <cell r="BX139">
            <v>43.9</v>
          </cell>
          <cell r="BY139">
            <v>2393.2999999999997</v>
          </cell>
          <cell r="BZ139">
            <v>167.8</v>
          </cell>
          <cell r="CA139">
            <v>2561.1</v>
          </cell>
        </row>
        <row r="140">
          <cell r="A140" t="str">
            <v xml:space="preserve"> 2QA</v>
          </cell>
          <cell r="B140">
            <v>124.6</v>
          </cell>
          <cell r="C140">
            <v>70.3</v>
          </cell>
          <cell r="D140">
            <v>194.89999999999998</v>
          </cell>
          <cell r="F140">
            <v>632.9</v>
          </cell>
          <cell r="G140">
            <v>273.89999999999998</v>
          </cell>
          <cell r="H140">
            <v>906.8</v>
          </cell>
          <cell r="J140">
            <v>21.6</v>
          </cell>
          <cell r="L140">
            <v>38.700000000000003</v>
          </cell>
          <cell r="R140">
            <v>1161.9999999999998</v>
          </cell>
          <cell r="T140" t="str">
            <v xml:space="preserve"> 2QA</v>
          </cell>
          <cell r="U140">
            <v>0</v>
          </cell>
          <cell r="V140">
            <v>44.1</v>
          </cell>
          <cell r="W140">
            <v>44.1</v>
          </cell>
          <cell r="Y140">
            <v>2.2000000000000002</v>
          </cell>
          <cell r="Z140">
            <v>16.3</v>
          </cell>
          <cell r="AA140">
            <v>43.7</v>
          </cell>
          <cell r="AB140">
            <v>36.4</v>
          </cell>
          <cell r="AD140">
            <v>142.70000000000002</v>
          </cell>
          <cell r="AF140">
            <v>11.5</v>
          </cell>
          <cell r="AG140">
            <v>101</v>
          </cell>
          <cell r="AI140">
            <v>20.9</v>
          </cell>
          <cell r="AJ140">
            <v>1.7</v>
          </cell>
          <cell r="AK140">
            <v>22.6</v>
          </cell>
          <cell r="AM140">
            <v>139.4</v>
          </cell>
          <cell r="AN140">
            <v>48.8</v>
          </cell>
          <cell r="AO140">
            <v>188.2</v>
          </cell>
          <cell r="AU140" t="str">
            <v xml:space="preserve"> 2QA</v>
          </cell>
          <cell r="AV140">
            <v>82.6</v>
          </cell>
          <cell r="AX140">
            <v>133.69999999999999</v>
          </cell>
          <cell r="AY140">
            <v>123.9</v>
          </cell>
          <cell r="AZ140">
            <v>257.60000000000002</v>
          </cell>
          <cell r="BB140">
            <v>140.4</v>
          </cell>
          <cell r="BD140">
            <v>12</v>
          </cell>
          <cell r="BF140">
            <v>129.19999999999999</v>
          </cell>
          <cell r="BG140">
            <v>75.5</v>
          </cell>
          <cell r="BH140">
            <v>204.7</v>
          </cell>
          <cell r="BI140">
            <v>697.3</v>
          </cell>
          <cell r="BK140">
            <v>1.9</v>
          </cell>
          <cell r="BL140">
            <v>27.2</v>
          </cell>
          <cell r="BM140">
            <v>29.099999999999998</v>
          </cell>
          <cell r="BO140">
            <v>129.4</v>
          </cell>
          <cell r="BP140">
            <v>89.7</v>
          </cell>
          <cell r="BQ140">
            <v>219.10000000000002</v>
          </cell>
          <cell r="BS140">
            <v>3.7</v>
          </cell>
          <cell r="BT140">
            <v>222.8</v>
          </cell>
          <cell r="BV140">
            <v>0</v>
          </cell>
          <cell r="BX140">
            <v>35.580000000000005</v>
          </cell>
          <cell r="BY140">
            <v>2612.7799999999997</v>
          </cell>
          <cell r="BZ140">
            <v>162.4</v>
          </cell>
          <cell r="CA140">
            <v>2775.18</v>
          </cell>
        </row>
        <row r="141">
          <cell r="A141" t="str">
            <v xml:space="preserve"> 3QA</v>
          </cell>
          <cell r="B141">
            <v>119.3</v>
          </cell>
          <cell r="C141">
            <v>70.599999999999994</v>
          </cell>
          <cell r="D141">
            <v>189.89999999999998</v>
          </cell>
          <cell r="F141">
            <v>683.2</v>
          </cell>
          <cell r="G141">
            <v>290.8</v>
          </cell>
          <cell r="H141">
            <v>974</v>
          </cell>
          <cell r="J141">
            <v>0</v>
          </cell>
          <cell r="L141">
            <v>40.6</v>
          </cell>
          <cell r="R141">
            <v>1204.5</v>
          </cell>
          <cell r="T141" t="str">
            <v xml:space="preserve"> 3QA</v>
          </cell>
          <cell r="U141">
            <v>0.1</v>
          </cell>
          <cell r="V141">
            <v>42.5</v>
          </cell>
          <cell r="W141">
            <v>42.6</v>
          </cell>
          <cell r="Y141">
            <v>0.5</v>
          </cell>
          <cell r="Z141">
            <v>16.7</v>
          </cell>
          <cell r="AA141">
            <v>31.4</v>
          </cell>
          <cell r="AB141">
            <v>33.4</v>
          </cell>
          <cell r="AD141">
            <v>124.6</v>
          </cell>
          <cell r="AF141">
            <v>10.199999999999999</v>
          </cell>
          <cell r="AG141">
            <v>92.4</v>
          </cell>
          <cell r="AI141">
            <v>19.600000000000001</v>
          </cell>
          <cell r="AJ141">
            <v>1.5</v>
          </cell>
          <cell r="AK141">
            <v>21.1</v>
          </cell>
          <cell r="AM141">
            <v>166.1</v>
          </cell>
          <cell r="AN141">
            <v>51.3</v>
          </cell>
          <cell r="AO141">
            <v>217.39999999999998</v>
          </cell>
          <cell r="AU141" t="str">
            <v xml:space="preserve"> 3QA</v>
          </cell>
          <cell r="AV141">
            <v>83.2</v>
          </cell>
          <cell r="AX141">
            <v>129.80000000000001</v>
          </cell>
          <cell r="AY141">
            <v>127.6</v>
          </cell>
          <cell r="AZ141">
            <v>257.39999999999998</v>
          </cell>
          <cell r="BB141">
            <v>81.7</v>
          </cell>
          <cell r="BD141">
            <v>18.100000000000001</v>
          </cell>
          <cell r="BF141">
            <v>133.69999999999999</v>
          </cell>
          <cell r="BG141">
            <v>80.400000000000006</v>
          </cell>
          <cell r="BH141">
            <v>214.1</v>
          </cell>
          <cell r="BI141">
            <v>654.5</v>
          </cell>
          <cell r="BK141">
            <v>13.5</v>
          </cell>
          <cell r="BL141">
            <v>11.7</v>
          </cell>
          <cell r="BM141">
            <v>25.2</v>
          </cell>
          <cell r="BO141">
            <v>93.2</v>
          </cell>
          <cell r="BP141">
            <v>104</v>
          </cell>
          <cell r="BQ141">
            <v>197.2</v>
          </cell>
          <cell r="BS141">
            <v>6.6</v>
          </cell>
          <cell r="BT141">
            <v>203.79999999999998</v>
          </cell>
          <cell r="BV141">
            <v>0</v>
          </cell>
          <cell r="BX141">
            <v>64.300000000000011</v>
          </cell>
          <cell r="BY141">
            <v>2618</v>
          </cell>
          <cell r="BZ141">
            <v>167.6</v>
          </cell>
          <cell r="CA141">
            <v>2785.6</v>
          </cell>
        </row>
        <row r="142">
          <cell r="A142" t="str">
            <v xml:space="preserve"> 4QA</v>
          </cell>
          <cell r="B142">
            <v>97.800000000000011</v>
          </cell>
          <cell r="C142">
            <v>65</v>
          </cell>
          <cell r="D142">
            <v>162.80000000000001</v>
          </cell>
          <cell r="F142">
            <v>661.6</v>
          </cell>
          <cell r="G142">
            <v>327.2</v>
          </cell>
          <cell r="H142">
            <v>988.8</v>
          </cell>
          <cell r="J142">
            <v>0</v>
          </cell>
          <cell r="L142">
            <v>42</v>
          </cell>
          <cell r="N142">
            <v>2.6</v>
          </cell>
          <cell r="O142">
            <v>0</v>
          </cell>
          <cell r="P142">
            <v>2.6</v>
          </cell>
          <cell r="R142">
            <v>1196.1999999999998</v>
          </cell>
          <cell r="T142" t="str">
            <v xml:space="preserve"> 4QA</v>
          </cell>
          <cell r="U142">
            <v>0.1</v>
          </cell>
          <cell r="V142">
            <v>50.5</v>
          </cell>
          <cell r="W142">
            <v>50.6</v>
          </cell>
          <cell r="Y142">
            <v>2.2999999999999998</v>
          </cell>
          <cell r="Z142">
            <v>22.5</v>
          </cell>
          <cell r="AA142">
            <v>26.3</v>
          </cell>
          <cell r="AB142">
            <v>36.9</v>
          </cell>
          <cell r="AD142">
            <v>138.6</v>
          </cell>
          <cell r="AF142">
            <v>12.8</v>
          </cell>
          <cell r="AG142">
            <v>98.9</v>
          </cell>
          <cell r="AI142">
            <v>26.9</v>
          </cell>
          <cell r="AJ142">
            <v>7.6</v>
          </cell>
          <cell r="AK142">
            <v>34.5</v>
          </cell>
          <cell r="AM142">
            <v>181.1</v>
          </cell>
          <cell r="AN142">
            <v>57.3</v>
          </cell>
          <cell r="AO142">
            <v>238.39999999999998</v>
          </cell>
          <cell r="AU142" t="str">
            <v xml:space="preserve"> 4QA</v>
          </cell>
          <cell r="AV142">
            <v>85.9</v>
          </cell>
          <cell r="AX142">
            <v>124.8</v>
          </cell>
          <cell r="AY142">
            <v>129.69999999999999</v>
          </cell>
          <cell r="AZ142">
            <v>254.5</v>
          </cell>
          <cell r="BB142">
            <v>96.2</v>
          </cell>
          <cell r="BD142">
            <v>10.5</v>
          </cell>
          <cell r="BF142">
            <v>152.19999999999999</v>
          </cell>
          <cell r="BG142">
            <v>85.8</v>
          </cell>
          <cell r="BH142">
            <v>238</v>
          </cell>
          <cell r="BI142">
            <v>685.09999999999991</v>
          </cell>
          <cell r="BK142">
            <v>-0.3</v>
          </cell>
          <cell r="BL142">
            <v>16.5</v>
          </cell>
          <cell r="BM142">
            <v>16.2</v>
          </cell>
          <cell r="BO142">
            <v>150.5</v>
          </cell>
          <cell r="BP142">
            <v>110.4</v>
          </cell>
          <cell r="BQ142">
            <v>260.89999999999998</v>
          </cell>
          <cell r="BS142">
            <v>4.2</v>
          </cell>
          <cell r="BT142">
            <v>265.09999999999997</v>
          </cell>
          <cell r="BV142">
            <v>0</v>
          </cell>
          <cell r="BX142">
            <v>68.400000000000006</v>
          </cell>
          <cell r="BY142">
            <v>2759.6999999999994</v>
          </cell>
          <cell r="BZ142">
            <v>195.9</v>
          </cell>
          <cell r="CA142">
            <v>2955.5999999999995</v>
          </cell>
        </row>
        <row r="144">
          <cell r="A144" t="str">
            <v>Year A</v>
          </cell>
          <cell r="B144">
            <v>451.7</v>
          </cell>
          <cell r="C144">
            <v>282.10000000000002</v>
          </cell>
          <cell r="D144">
            <v>733.8</v>
          </cell>
          <cell r="F144">
            <v>2532.8000000000002</v>
          </cell>
          <cell r="G144">
            <v>1156.2</v>
          </cell>
          <cell r="H144">
            <v>3689</v>
          </cell>
          <cell r="J144">
            <v>36.400000000000006</v>
          </cell>
          <cell r="L144">
            <v>151.9</v>
          </cell>
          <cell r="N144">
            <v>2.6</v>
          </cell>
          <cell r="O144">
            <v>0</v>
          </cell>
          <cell r="P144">
            <v>2.6</v>
          </cell>
          <cell r="R144">
            <v>4613.7</v>
          </cell>
          <cell r="T144" t="str">
            <v>Year A</v>
          </cell>
          <cell r="U144">
            <v>0.7</v>
          </cell>
          <cell r="V144">
            <v>196.7</v>
          </cell>
          <cell r="W144">
            <v>197.39999999999998</v>
          </cell>
          <cell r="Y144">
            <v>8.8999999999999986</v>
          </cell>
          <cell r="Z144">
            <v>74.600000000000009</v>
          </cell>
          <cell r="AA144">
            <v>144.80000000000001</v>
          </cell>
          <cell r="AB144">
            <v>151.5</v>
          </cell>
          <cell r="AD144">
            <v>577.20000000000005</v>
          </cell>
          <cell r="AF144">
            <v>45.8</v>
          </cell>
          <cell r="AG144">
            <v>384</v>
          </cell>
          <cell r="AI144">
            <v>89.3</v>
          </cell>
          <cell r="AJ144">
            <v>10.899999999999999</v>
          </cell>
          <cell r="AK144">
            <v>100.19999999999999</v>
          </cell>
          <cell r="AM144">
            <v>626.1</v>
          </cell>
          <cell r="AN144">
            <v>195.8</v>
          </cell>
          <cell r="AO144">
            <v>821.90000000000009</v>
          </cell>
          <cell r="AU144" t="str">
            <v>Year A</v>
          </cell>
          <cell r="AV144">
            <v>329.29999999999995</v>
          </cell>
          <cell r="AX144">
            <v>515.4</v>
          </cell>
          <cell r="AY144">
            <v>488.59999999999997</v>
          </cell>
          <cell r="AZ144">
            <v>1004</v>
          </cell>
          <cell r="BB144">
            <v>392.09999999999997</v>
          </cell>
          <cell r="BD144">
            <v>57.8</v>
          </cell>
          <cell r="BF144">
            <v>528.29999999999995</v>
          </cell>
          <cell r="BG144">
            <v>305.89999999999998</v>
          </cell>
          <cell r="BH144">
            <v>834.19999999999993</v>
          </cell>
          <cell r="BI144">
            <v>2617.3999999999996</v>
          </cell>
          <cell r="BK144">
            <v>44.3</v>
          </cell>
          <cell r="BL144">
            <v>68.400000000000006</v>
          </cell>
          <cell r="BM144">
            <v>112.7</v>
          </cell>
          <cell r="BO144">
            <v>482.2</v>
          </cell>
          <cell r="BP144">
            <v>392.5</v>
          </cell>
          <cell r="BQ144">
            <v>874.7</v>
          </cell>
          <cell r="BS144">
            <v>18.5</v>
          </cell>
          <cell r="BT144">
            <v>893.2</v>
          </cell>
          <cell r="BV144">
            <v>0</v>
          </cell>
          <cell r="BX144">
            <v>212.18000000000004</v>
          </cell>
          <cell r="BY144">
            <v>10383.779999999999</v>
          </cell>
          <cell r="BZ144">
            <v>693.7</v>
          </cell>
          <cell r="CA144">
            <v>11077.48</v>
          </cell>
        </row>
        <row r="146">
          <cell r="A146" t="str">
            <v>2003E/02</v>
          </cell>
          <cell r="T146" t="str">
            <v>2003E/02</v>
          </cell>
          <cell r="AU146" t="str">
            <v>2003E/02</v>
          </cell>
        </row>
        <row r="147">
          <cell r="A147" t="str">
            <v xml:space="preserve"> 1QE</v>
          </cell>
          <cell r="B147">
            <v>-0.3</v>
          </cell>
          <cell r="C147">
            <v>-0.18</v>
          </cell>
          <cell r="D147">
            <v>-0.25089151450053693</v>
          </cell>
          <cell r="F147">
            <v>0.2</v>
          </cell>
          <cell r="G147">
            <v>0.2</v>
          </cell>
          <cell r="H147">
            <v>0.19999999999999973</v>
          </cell>
          <cell r="J147" t="str">
            <v>NM</v>
          </cell>
          <cell r="L147">
            <v>-0.03</v>
          </cell>
          <cell r="N147" t="str">
            <v>NM</v>
          </cell>
          <cell r="O147" t="str">
            <v>NM</v>
          </cell>
          <cell r="P147" t="str">
            <v>NM</v>
          </cell>
          <cell r="T147" t="str">
            <v xml:space="preserve"> 1QE</v>
          </cell>
          <cell r="U147">
            <v>-1</v>
          </cell>
          <cell r="V147">
            <v>-0.12</v>
          </cell>
          <cell r="W147">
            <v>-0.12732113144758739</v>
          </cell>
          <cell r="Y147">
            <v>-0.25</v>
          </cell>
          <cell r="Z147">
            <v>-0.2</v>
          </cell>
          <cell r="AA147">
            <v>-0.1</v>
          </cell>
          <cell r="AB147">
            <v>-0.2</v>
          </cell>
          <cell r="AD147">
            <v>-0.15030356100408648</v>
          </cell>
          <cell r="AF147">
            <v>-0.08</v>
          </cell>
          <cell r="AG147">
            <v>-0.05</v>
          </cell>
          <cell r="AI147">
            <v>0.3</v>
          </cell>
          <cell r="AJ147" t="str">
            <v>NM</v>
          </cell>
          <cell r="AK147">
            <v>0.74863636363636354</v>
          </cell>
          <cell r="AM147">
            <v>7.0000000000000007E-2</v>
          </cell>
          <cell r="AN147">
            <v>0.45</v>
          </cell>
          <cell r="AO147">
            <v>0.15202360876897147</v>
          </cell>
          <cell r="AU147" t="str">
            <v xml:space="preserve"> 1QE</v>
          </cell>
          <cell r="AV147">
            <v>7.0000000000000007E-2</v>
          </cell>
          <cell r="AX147">
            <v>-0.1</v>
          </cell>
          <cell r="AY147">
            <v>0.05</v>
          </cell>
          <cell r="AZ147">
            <v>-3.130063965884855E-2</v>
          </cell>
          <cell r="BB147">
            <v>0.2</v>
          </cell>
          <cell r="BD147">
            <v>-0.2</v>
          </cell>
          <cell r="BF147">
            <v>0.25</v>
          </cell>
          <cell r="BG147">
            <v>0.28000000000000003</v>
          </cell>
          <cell r="BH147">
            <v>0.26085682074408112</v>
          </cell>
          <cell r="BI147">
            <v>9.5931093884582319E-2</v>
          </cell>
          <cell r="BK147">
            <v>-0.9</v>
          </cell>
          <cell r="BL147">
            <v>0.2</v>
          </cell>
          <cell r="BM147">
            <v>-0.56113744075829386</v>
          </cell>
          <cell r="BO147">
            <v>-0.05</v>
          </cell>
          <cell r="BP147">
            <v>0.12</v>
          </cell>
          <cell r="BQ147">
            <v>2.6091139240506322E-2</v>
          </cell>
          <cell r="BS147">
            <v>0</v>
          </cell>
          <cell r="BT147">
            <v>2.5573200992556E-2</v>
          </cell>
          <cell r="BV147" t="str">
            <v>NM</v>
          </cell>
          <cell r="BX147">
            <v>0.45</v>
          </cell>
          <cell r="BY147">
            <v>9.4280282455187603E-2</v>
          </cell>
          <cell r="BZ147">
            <v>-0.05</v>
          </cell>
          <cell r="CA147">
            <v>8.4827222677755776E-2</v>
          </cell>
        </row>
        <row r="148">
          <cell r="A148" t="str">
            <v xml:space="preserve"> 2QE</v>
          </cell>
          <cell r="B148">
            <v>-0.5</v>
          </cell>
          <cell r="C148">
            <v>-0.12</v>
          </cell>
          <cell r="D148">
            <v>-0.3629348383786557</v>
          </cell>
          <cell r="F148">
            <v>0.12</v>
          </cell>
          <cell r="G148">
            <v>0.19</v>
          </cell>
          <cell r="H148">
            <v>0.14114358182620212</v>
          </cell>
          <cell r="J148" t="str">
            <v>NM</v>
          </cell>
          <cell r="L148">
            <v>-0.03</v>
          </cell>
          <cell r="N148" t="str">
            <v>NM</v>
          </cell>
          <cell r="O148" t="str">
            <v>NM</v>
          </cell>
          <cell r="P148" t="str">
            <v>NM</v>
          </cell>
          <cell r="T148" t="str">
            <v xml:space="preserve"> 2QE</v>
          </cell>
          <cell r="U148">
            <v>-1</v>
          </cell>
          <cell r="V148">
            <v>0</v>
          </cell>
          <cell r="W148">
            <v>0</v>
          </cell>
          <cell r="Y148">
            <v>-0.1</v>
          </cell>
          <cell r="Z148">
            <v>-0.05</v>
          </cell>
          <cell r="AA148">
            <v>-0.15</v>
          </cell>
          <cell r="AB148">
            <v>-0.12</v>
          </cell>
          <cell r="AD148">
            <v>-8.3798177995795364E-2</v>
          </cell>
          <cell r="AF148">
            <v>-0.08</v>
          </cell>
          <cell r="AG148">
            <v>-0.18</v>
          </cell>
          <cell r="AI148">
            <v>0.5</v>
          </cell>
          <cell r="AJ148" t="str">
            <v>NM</v>
          </cell>
          <cell r="AK148">
            <v>0.82964601769911472</v>
          </cell>
          <cell r="AM148">
            <v>0.2</v>
          </cell>
          <cell r="AN148">
            <v>0.2</v>
          </cell>
          <cell r="AO148">
            <v>0.20000000000000018</v>
          </cell>
          <cell r="AU148" t="str">
            <v xml:space="preserve"> 2QE</v>
          </cell>
          <cell r="AV148">
            <v>0.05</v>
          </cell>
          <cell r="AX148">
            <v>-0.1</v>
          </cell>
          <cell r="AY148">
            <v>-0.05</v>
          </cell>
          <cell r="AZ148">
            <v>-7.5951086956521863E-2</v>
          </cell>
          <cell r="BB148">
            <v>7.0000000000000007E-2</v>
          </cell>
          <cell r="BD148">
            <v>0</v>
          </cell>
          <cell r="BF148">
            <v>0.22</v>
          </cell>
          <cell r="BG148">
            <v>0.14000000000000001</v>
          </cell>
          <cell r="BH148">
            <v>0.1904934049829019</v>
          </cell>
          <cell r="BI148">
            <v>4.788039581241943E-2</v>
          </cell>
          <cell r="BK148">
            <v>-0.9</v>
          </cell>
          <cell r="BL148">
            <v>-0.3</v>
          </cell>
          <cell r="BM148">
            <v>-0.33917525773195867</v>
          </cell>
          <cell r="BO148">
            <v>0.08</v>
          </cell>
          <cell r="BP148">
            <v>0.2</v>
          </cell>
          <cell r="BQ148">
            <v>0.12912825193975341</v>
          </cell>
          <cell r="BS148">
            <v>0</v>
          </cell>
          <cell r="BT148">
            <v>0.12698384201077184</v>
          </cell>
          <cell r="BV148" t="str">
            <v>NM</v>
          </cell>
          <cell r="BX148">
            <v>0.4</v>
          </cell>
          <cell r="BY148">
            <v>6.7309532375477321E-2</v>
          </cell>
          <cell r="BZ148">
            <v>0.05</v>
          </cell>
          <cell r="CA148">
            <v>6.6296600580863174E-2</v>
          </cell>
        </row>
        <row r="149">
          <cell r="A149" t="str">
            <v xml:space="preserve"> 3QE</v>
          </cell>
          <cell r="B149">
            <v>-0.5</v>
          </cell>
          <cell r="C149">
            <v>-0.12</v>
          </cell>
          <cell r="D149">
            <v>-0.35872564507635596</v>
          </cell>
          <cell r="F149">
            <v>0.08</v>
          </cell>
          <cell r="G149">
            <v>0.15</v>
          </cell>
          <cell r="H149">
            <v>0.10089938398357301</v>
          </cell>
          <cell r="J149" t="str">
            <v>NM</v>
          </cell>
          <cell r="L149">
            <v>-0.03</v>
          </cell>
          <cell r="N149" t="str">
            <v>NM</v>
          </cell>
          <cell r="O149" t="str">
            <v>NM</v>
          </cell>
          <cell r="P149" t="str">
            <v>NM</v>
          </cell>
          <cell r="T149" t="str">
            <v xml:space="preserve"> 3QE</v>
          </cell>
          <cell r="U149">
            <v>-1</v>
          </cell>
          <cell r="V149">
            <v>0</v>
          </cell>
          <cell r="W149">
            <v>-2.3474178403756207E-3</v>
          </cell>
          <cell r="Y149">
            <v>2</v>
          </cell>
          <cell r="Z149">
            <v>0</v>
          </cell>
          <cell r="AA149">
            <v>-0.15</v>
          </cell>
          <cell r="AB149">
            <v>-0.05</v>
          </cell>
          <cell r="AD149">
            <v>-4.398073836276073E-2</v>
          </cell>
          <cell r="AF149">
            <v>-0.08</v>
          </cell>
          <cell r="AG149">
            <v>-0.15</v>
          </cell>
          <cell r="AI149">
            <v>0.65</v>
          </cell>
          <cell r="AJ149" t="str">
            <v>NM</v>
          </cell>
          <cell r="AK149">
            <v>1.1014218009478673</v>
          </cell>
          <cell r="AM149">
            <v>0.08</v>
          </cell>
          <cell r="AN149">
            <v>0.25</v>
          </cell>
          <cell r="AO149">
            <v>0.12011499540018411</v>
          </cell>
          <cell r="AU149" t="str">
            <v xml:space="preserve"> 3QE</v>
          </cell>
          <cell r="AV149">
            <v>0.05</v>
          </cell>
          <cell r="AX149">
            <v>-0.1</v>
          </cell>
          <cell r="AY149">
            <v>-0.05</v>
          </cell>
          <cell r="AZ149">
            <v>-7.5213675213675169E-2</v>
          </cell>
          <cell r="BB149">
            <v>0.18</v>
          </cell>
          <cell r="BD149">
            <v>-0.15</v>
          </cell>
          <cell r="BF149">
            <v>0.22</v>
          </cell>
          <cell r="BG149">
            <v>0.15</v>
          </cell>
          <cell r="BH149">
            <v>0.19371321812237263</v>
          </cell>
          <cell r="BI149">
            <v>5.8464476699770618E-2</v>
          </cell>
          <cell r="BK149">
            <v>-0.9</v>
          </cell>
          <cell r="BL149">
            <v>0.2</v>
          </cell>
          <cell r="BM149">
            <v>-0.38928571428571435</v>
          </cell>
          <cell r="BO149">
            <v>0.34</v>
          </cell>
          <cell r="BP149">
            <v>0.13</v>
          </cell>
          <cell r="BQ149">
            <v>0.22924949290060859</v>
          </cell>
          <cell r="BS149">
            <v>-0.05</v>
          </cell>
          <cell r="BT149">
            <v>0.22020608439646727</v>
          </cell>
          <cell r="BV149" t="str">
            <v>NM</v>
          </cell>
          <cell r="BX149">
            <v>0.08</v>
          </cell>
          <cell r="BY149">
            <v>7.8919022154316121E-2</v>
          </cell>
          <cell r="BZ149">
            <v>0.05</v>
          </cell>
          <cell r="CA149">
            <v>7.7179063756461774E-2</v>
          </cell>
        </row>
        <row r="150">
          <cell r="A150" t="str">
            <v xml:space="preserve"> 4QE</v>
          </cell>
          <cell r="B150">
            <v>-0.49401840490797566</v>
          </cell>
          <cell r="C150">
            <v>-4.9661538461538202E-2</v>
          </cell>
          <cell r="D150">
            <v>-0.31660319410319415</v>
          </cell>
          <cell r="F150">
            <v>0.15160822249093098</v>
          </cell>
          <cell r="G150">
            <v>7.6127750611247436E-2</v>
          </cell>
          <cell r="H150">
            <v>0.12663127022653731</v>
          </cell>
          <cell r="J150" t="str">
            <v>NM</v>
          </cell>
          <cell r="L150">
            <v>-2.9999999999999805E-2</v>
          </cell>
          <cell r="N150" t="str">
            <v>NM</v>
          </cell>
          <cell r="O150" t="str">
            <v>NM</v>
          </cell>
          <cell r="P150" t="str">
            <v>NM</v>
          </cell>
          <cell r="T150" t="str">
            <v xml:space="preserve"> 4QE</v>
          </cell>
          <cell r="U150">
            <v>-1</v>
          </cell>
          <cell r="V150">
            <v>2.477227722772235E-2</v>
          </cell>
          <cell r="W150">
            <v>2.2747035573122076E-2</v>
          </cell>
          <cell r="Y150">
            <v>-0.30217391304347918</v>
          </cell>
          <cell r="Z150">
            <v>-0.12555555555555509</v>
          </cell>
          <cell r="AA150">
            <v>-0.23250950570342199</v>
          </cell>
          <cell r="AB150">
            <v>-8.6233062330622778E-2</v>
          </cell>
          <cell r="AD150">
            <v>-8.4170274170274006E-2</v>
          </cell>
          <cell r="AF150">
            <v>-8.0000000000000293E-2</v>
          </cell>
          <cell r="AG150">
            <v>-0.21208291203235641</v>
          </cell>
          <cell r="AI150">
            <v>0.22156133828996283</v>
          </cell>
          <cell r="AJ150" t="str">
            <v>NM</v>
          </cell>
          <cell r="AK150">
            <v>0.2886956521739128</v>
          </cell>
          <cell r="AM150">
            <v>2.9906129210381494E-2</v>
          </cell>
          <cell r="AN150">
            <v>0.15855148342059322</v>
          </cell>
          <cell r="AO150">
            <v>6.0826342281879553E-2</v>
          </cell>
          <cell r="AU150" t="str">
            <v xml:space="preserve"> 4QE</v>
          </cell>
          <cell r="AV150">
            <v>3.1932479627472699E-2</v>
          </cell>
          <cell r="AX150">
            <v>-0.10000000000000053</v>
          </cell>
          <cell r="AY150">
            <v>-1.9791827293754838E-2</v>
          </cell>
          <cell r="AZ150">
            <v>-5.9123772102161465E-2</v>
          </cell>
          <cell r="BB150">
            <v>0.12140332640332607</v>
          </cell>
          <cell r="BD150">
            <v>3.5714285714285809E-2</v>
          </cell>
          <cell r="BF150">
            <v>0.19768725361366601</v>
          </cell>
          <cell r="BG150">
            <v>0.23979020979020937</v>
          </cell>
          <cell r="BH150">
            <v>0.21286554621848697</v>
          </cell>
          <cell r="BI150">
            <v>7.3583418479053808E-2</v>
          </cell>
          <cell r="BK150">
            <v>-0.90000000000000213</v>
          </cell>
          <cell r="BL150">
            <v>-1.2121212121211866E-2</v>
          </cell>
          <cell r="BM150">
            <v>4.3209876543213177E-3</v>
          </cell>
          <cell r="BO150">
            <v>4.5269102990033172E-2</v>
          </cell>
          <cell r="BP150">
            <v>8.1132246376811379E-2</v>
          </cell>
          <cell r="BQ150">
            <v>6.0444614794940454E-2</v>
          </cell>
          <cell r="BS150">
            <v>7.8571428571428736E-2</v>
          </cell>
          <cell r="BT150">
            <v>6.0731799321010804E-2</v>
          </cell>
          <cell r="BV150" t="str">
            <v>NM</v>
          </cell>
          <cell r="BX150">
            <v>-1.3722222222221969E-2</v>
          </cell>
          <cell r="BY150">
            <v>9.810827263833044E-2</v>
          </cell>
          <cell r="BZ150">
            <v>-4.1398672792240521E-2</v>
          </cell>
          <cell r="CA150">
            <v>8.8861618622276595E-2</v>
          </cell>
        </row>
        <row r="151">
          <cell r="AU151">
            <v>0</v>
          </cell>
        </row>
        <row r="152">
          <cell r="A152" t="str">
            <v xml:space="preserve">2003/02E </v>
          </cell>
          <cell r="B152">
            <v>-0.45</v>
          </cell>
          <cell r="C152">
            <v>-0.12</v>
          </cell>
          <cell r="D152">
            <v>-0.32313573180703187</v>
          </cell>
          <cell r="F152">
            <v>0.13500000000000001</v>
          </cell>
          <cell r="G152">
            <v>0.15</v>
          </cell>
          <cell r="H152">
            <v>0.13970127405801036</v>
          </cell>
          <cell r="J152" t="str">
            <v>NM</v>
          </cell>
          <cell r="L152">
            <v>-0.03</v>
          </cell>
          <cell r="N152" t="str">
            <v>NM</v>
          </cell>
          <cell r="O152" t="str">
            <v>NM</v>
          </cell>
          <cell r="P152" t="str">
            <v>NM</v>
          </cell>
          <cell r="R152">
            <v>8.8797277673017358E-2</v>
          </cell>
          <cell r="T152" t="str">
            <v xml:space="preserve">2003/02E </v>
          </cell>
          <cell r="U152">
            <v>-1</v>
          </cell>
          <cell r="V152">
            <v>-0.03</v>
          </cell>
          <cell r="W152">
            <v>-3.3439716312056736E-2</v>
          </cell>
          <cell r="Y152">
            <v>-0.1</v>
          </cell>
          <cell r="Z152">
            <v>-0.1</v>
          </cell>
          <cell r="AA152">
            <v>-0.15</v>
          </cell>
          <cell r="AB152">
            <v>-0.12</v>
          </cell>
          <cell r="AD152">
            <v>-9.5029452529452718E-2</v>
          </cell>
          <cell r="AF152">
            <v>-0.08</v>
          </cell>
          <cell r="AG152">
            <v>-0.15</v>
          </cell>
          <cell r="AI152">
            <v>0.4</v>
          </cell>
          <cell r="AJ152">
            <v>3</v>
          </cell>
          <cell r="AK152">
            <v>0.68283433133732563</v>
          </cell>
          <cell r="AM152">
            <v>0.09</v>
          </cell>
          <cell r="AN152">
            <v>0.25</v>
          </cell>
          <cell r="AO152">
            <v>0.12811655919211579</v>
          </cell>
          <cell r="AU152" t="str">
            <v xml:space="preserve">2003/02E </v>
          </cell>
          <cell r="AV152">
            <v>0.05</v>
          </cell>
          <cell r="AX152">
            <v>-0.1</v>
          </cell>
          <cell r="AY152">
            <v>-0.02</v>
          </cell>
          <cell r="AZ152">
            <v>-6.1067729083665465E-2</v>
          </cell>
          <cell r="BB152">
            <v>0.13</v>
          </cell>
          <cell r="BD152">
            <v>-0.1</v>
          </cell>
          <cell r="BF152">
            <v>0.22</v>
          </cell>
          <cell r="BG152">
            <v>0.2</v>
          </cell>
          <cell r="BH152">
            <v>0.21266602733157525</v>
          </cell>
          <cell r="BI152">
            <v>6.7911668067548114E-2</v>
          </cell>
          <cell r="BK152">
            <v>-0.9</v>
          </cell>
          <cell r="BL152">
            <v>-0.05</v>
          </cell>
          <cell r="BM152">
            <v>-0.384117125110914</v>
          </cell>
          <cell r="BO152">
            <v>0.09</v>
          </cell>
          <cell r="BP152">
            <v>0.13</v>
          </cell>
          <cell r="BQ152">
            <v>0.10794901108951627</v>
          </cell>
          <cell r="BS152">
            <v>0</v>
          </cell>
          <cell r="BT152">
            <v>0.1057131661442005</v>
          </cell>
          <cell r="BV152" t="str">
            <v>NM</v>
          </cell>
          <cell r="BX152">
            <v>0.18</v>
          </cell>
          <cell r="BY152">
            <v>8.4638291643313004E-2</v>
          </cell>
          <cell r="BZ152">
            <v>0</v>
          </cell>
          <cell r="CA152">
            <v>7.9338026338120274E-2</v>
          </cell>
        </row>
        <row r="153">
          <cell r="AU153">
            <v>0</v>
          </cell>
        </row>
        <row r="154">
          <cell r="A154" t="str">
            <v>2003E</v>
          </cell>
          <cell r="T154" t="str">
            <v>2003E</v>
          </cell>
          <cell r="AU154" t="str">
            <v>2003E</v>
          </cell>
        </row>
        <row r="155">
          <cell r="A155" t="str">
            <v xml:space="preserve"> 1QE</v>
          </cell>
          <cell r="B155">
            <v>77</v>
          </cell>
          <cell r="C155">
            <v>62.484000000000009</v>
          </cell>
          <cell r="D155">
            <v>139.48400000000001</v>
          </cell>
          <cell r="F155">
            <v>666.12</v>
          </cell>
          <cell r="G155">
            <v>317.16000000000003</v>
          </cell>
          <cell r="H155">
            <v>983.28</v>
          </cell>
          <cell r="J155">
            <v>0</v>
          </cell>
          <cell r="L155">
            <v>29.682000000000002</v>
          </cell>
          <cell r="N155">
            <v>40</v>
          </cell>
          <cell r="O155">
            <v>0</v>
          </cell>
          <cell r="P155">
            <v>40</v>
          </cell>
          <cell r="R155">
            <v>1192.4459999999999</v>
          </cell>
          <cell r="T155" t="str">
            <v xml:space="preserve"> 1QE</v>
          </cell>
          <cell r="U155">
            <v>0</v>
          </cell>
          <cell r="V155">
            <v>52.448</v>
          </cell>
          <cell r="W155">
            <v>52.448</v>
          </cell>
          <cell r="Y155">
            <v>2.9249999999999998</v>
          </cell>
          <cell r="Z155">
            <v>15.280000000000001</v>
          </cell>
          <cell r="AA155">
            <v>39.06</v>
          </cell>
          <cell r="AB155">
            <v>35.839999999999996</v>
          </cell>
          <cell r="AD155">
            <v>145.553</v>
          </cell>
          <cell r="AF155">
            <v>10.396000000000001</v>
          </cell>
          <cell r="AG155">
            <v>87.114999999999995</v>
          </cell>
          <cell r="AI155">
            <v>28.47</v>
          </cell>
          <cell r="AJ155">
            <v>10</v>
          </cell>
          <cell r="AK155">
            <v>38.47</v>
          </cell>
          <cell r="AM155">
            <v>149.26500000000001</v>
          </cell>
          <cell r="AN155">
            <v>55.68</v>
          </cell>
          <cell r="AO155">
            <v>204.94500000000002</v>
          </cell>
          <cell r="AU155" t="str">
            <v xml:space="preserve"> 1QE</v>
          </cell>
          <cell r="AV155">
            <v>83.031999999999996</v>
          </cell>
          <cell r="AX155">
            <v>114.39</v>
          </cell>
          <cell r="AY155">
            <v>112.77000000000001</v>
          </cell>
          <cell r="AZ155">
            <v>227.16000000000003</v>
          </cell>
          <cell r="BB155">
            <v>88.559999999999988</v>
          </cell>
          <cell r="BD155">
            <v>13.76</v>
          </cell>
          <cell r="BF155">
            <v>141.5</v>
          </cell>
          <cell r="BG155">
            <v>82.176000000000002</v>
          </cell>
          <cell r="BH155">
            <v>223.67599999999999</v>
          </cell>
          <cell r="BI155">
            <v>636.18799999999999</v>
          </cell>
          <cell r="BK155">
            <v>2.9199999999999995</v>
          </cell>
          <cell r="BL155">
            <v>15.6</v>
          </cell>
          <cell r="BM155">
            <v>18.52</v>
          </cell>
          <cell r="BO155">
            <v>103.645</v>
          </cell>
          <cell r="BP155">
            <v>99.00800000000001</v>
          </cell>
          <cell r="BQ155">
            <v>202.65300000000002</v>
          </cell>
          <cell r="BS155">
            <v>4</v>
          </cell>
          <cell r="BT155">
            <v>206.65300000000002</v>
          </cell>
          <cell r="BV155">
            <v>0</v>
          </cell>
          <cell r="BX155">
            <v>63.654999999999994</v>
          </cell>
          <cell r="BY155">
            <v>2618.9410000000003</v>
          </cell>
          <cell r="BZ155">
            <v>159.41</v>
          </cell>
          <cell r="CA155">
            <v>2778.3510000000001</v>
          </cell>
        </row>
        <row r="156">
          <cell r="A156" t="str">
            <v xml:space="preserve"> 2QE</v>
          </cell>
          <cell r="B156">
            <v>62.3</v>
          </cell>
          <cell r="C156">
            <v>61.863999999999997</v>
          </cell>
          <cell r="D156">
            <v>124.16399999999999</v>
          </cell>
          <cell r="F156">
            <v>708.84800000000007</v>
          </cell>
          <cell r="G156">
            <v>325.94099999999997</v>
          </cell>
          <cell r="H156">
            <v>1034.789</v>
          </cell>
          <cell r="J156">
            <v>0</v>
          </cell>
          <cell r="L156">
            <v>37.539000000000001</v>
          </cell>
          <cell r="N156">
            <v>35</v>
          </cell>
          <cell r="O156">
            <v>0</v>
          </cell>
          <cell r="P156">
            <v>35</v>
          </cell>
          <cell r="R156">
            <v>1231.492</v>
          </cell>
          <cell r="T156" t="str">
            <v xml:space="preserve"> 2QE</v>
          </cell>
          <cell r="U156">
            <v>0</v>
          </cell>
          <cell r="V156">
            <v>44.1</v>
          </cell>
          <cell r="W156">
            <v>44.1</v>
          </cell>
          <cell r="Y156">
            <v>1.9800000000000002</v>
          </cell>
          <cell r="Z156">
            <v>15.484999999999999</v>
          </cell>
          <cell r="AA156">
            <v>37.145000000000003</v>
          </cell>
          <cell r="AB156">
            <v>32.031999999999996</v>
          </cell>
          <cell r="AD156">
            <v>130.74200000000002</v>
          </cell>
          <cell r="AF156">
            <v>10.58</v>
          </cell>
          <cell r="AG156">
            <v>82.820000000000007</v>
          </cell>
          <cell r="AI156">
            <v>31.349999999999998</v>
          </cell>
          <cell r="AJ156">
            <v>10</v>
          </cell>
          <cell r="AK156">
            <v>41.349999999999994</v>
          </cell>
          <cell r="AM156">
            <v>167.28</v>
          </cell>
          <cell r="AN156">
            <v>58.559999999999995</v>
          </cell>
          <cell r="AO156">
            <v>225.84</v>
          </cell>
          <cell r="AU156" t="str">
            <v xml:space="preserve"> 2QE</v>
          </cell>
          <cell r="AV156">
            <v>86.73</v>
          </cell>
          <cell r="AX156">
            <v>120.33</v>
          </cell>
          <cell r="AY156">
            <v>117.705</v>
          </cell>
          <cell r="AZ156">
            <v>238.035</v>
          </cell>
          <cell r="BB156">
            <v>150.22800000000001</v>
          </cell>
          <cell r="BD156">
            <v>12</v>
          </cell>
          <cell r="BF156">
            <v>157.624</v>
          </cell>
          <cell r="BG156">
            <v>86.070000000000007</v>
          </cell>
          <cell r="BH156">
            <v>243.69400000000002</v>
          </cell>
          <cell r="BI156">
            <v>730.68700000000001</v>
          </cell>
          <cell r="BK156">
            <v>0.18999999999999995</v>
          </cell>
          <cell r="BL156">
            <v>19.04</v>
          </cell>
          <cell r="BM156">
            <v>19.23</v>
          </cell>
          <cell r="BO156">
            <v>139.75200000000001</v>
          </cell>
          <cell r="BP156">
            <v>107.64</v>
          </cell>
          <cell r="BQ156">
            <v>247.392</v>
          </cell>
          <cell r="BS156">
            <v>3.7</v>
          </cell>
          <cell r="BT156">
            <v>251.09199999999998</v>
          </cell>
          <cell r="BV156">
            <v>0</v>
          </cell>
          <cell r="BX156">
            <v>49.812000000000005</v>
          </cell>
          <cell r="BY156">
            <v>2788.6449999999995</v>
          </cell>
          <cell r="BZ156">
            <v>170.52</v>
          </cell>
          <cell r="CA156">
            <v>2959.1649999999995</v>
          </cell>
        </row>
        <row r="157">
          <cell r="A157" t="str">
            <v xml:space="preserve"> 3QE</v>
          </cell>
          <cell r="B157">
            <v>59.65</v>
          </cell>
          <cell r="C157">
            <v>62.127999999999993</v>
          </cell>
          <cell r="D157">
            <v>121.77799999999999</v>
          </cell>
          <cell r="F157">
            <v>737.85600000000011</v>
          </cell>
          <cell r="G157">
            <v>334.41999999999996</v>
          </cell>
          <cell r="H157">
            <v>1072.2760000000001</v>
          </cell>
          <cell r="J157">
            <v>0</v>
          </cell>
          <cell r="L157">
            <v>39.381999999999998</v>
          </cell>
          <cell r="N157">
            <v>45</v>
          </cell>
          <cell r="O157">
            <v>5</v>
          </cell>
          <cell r="P157">
            <v>50</v>
          </cell>
          <cell r="R157">
            <v>1283.4360000000001</v>
          </cell>
          <cell r="T157" t="str">
            <v xml:space="preserve"> 3QE</v>
          </cell>
          <cell r="U157">
            <v>0</v>
          </cell>
          <cell r="V157">
            <v>42.5</v>
          </cell>
          <cell r="W157">
            <v>42.5</v>
          </cell>
          <cell r="Y157">
            <v>1.5</v>
          </cell>
          <cell r="Z157">
            <v>16.7</v>
          </cell>
          <cell r="AA157">
            <v>26.689999999999998</v>
          </cell>
          <cell r="AB157">
            <v>31.729999999999997</v>
          </cell>
          <cell r="AD157">
            <v>119.12</v>
          </cell>
          <cell r="AF157">
            <v>9.3840000000000003</v>
          </cell>
          <cell r="AG157">
            <v>78.540000000000006</v>
          </cell>
          <cell r="AI157">
            <v>32.340000000000003</v>
          </cell>
          <cell r="AJ157">
            <v>12</v>
          </cell>
          <cell r="AK157">
            <v>44.34</v>
          </cell>
          <cell r="AM157">
            <v>179.38800000000001</v>
          </cell>
          <cell r="AN157">
            <v>64.125</v>
          </cell>
          <cell r="AO157">
            <v>243.51300000000001</v>
          </cell>
          <cell r="AU157" t="str">
            <v xml:space="preserve"> 3QE</v>
          </cell>
          <cell r="AV157">
            <v>87.360000000000014</v>
          </cell>
          <cell r="AX157">
            <v>116.82000000000001</v>
          </cell>
          <cell r="AY157">
            <v>121.21999999999998</v>
          </cell>
          <cell r="AZ157">
            <v>238.04</v>
          </cell>
          <cell r="BB157">
            <v>96.405999999999992</v>
          </cell>
          <cell r="BD157">
            <v>15.385000000000002</v>
          </cell>
          <cell r="BF157">
            <v>163.11399999999998</v>
          </cell>
          <cell r="BG157">
            <v>92.46</v>
          </cell>
          <cell r="BH157">
            <v>255.57399999999996</v>
          </cell>
          <cell r="BI157">
            <v>692.76499999999987</v>
          </cell>
          <cell r="BK157">
            <v>1.3499999999999996</v>
          </cell>
          <cell r="BL157">
            <v>14.04</v>
          </cell>
          <cell r="BM157">
            <v>15.389999999999999</v>
          </cell>
          <cell r="BO157">
            <v>124.88800000000001</v>
          </cell>
          <cell r="BP157">
            <v>117.51999999999998</v>
          </cell>
          <cell r="BQ157">
            <v>242.40799999999999</v>
          </cell>
          <cell r="BS157">
            <v>6.27</v>
          </cell>
          <cell r="BT157">
            <v>248.678</v>
          </cell>
          <cell r="BV157">
            <v>0</v>
          </cell>
          <cell r="BX157">
            <v>69.444000000000017</v>
          </cell>
          <cell r="BY157">
            <v>2824.6099999999997</v>
          </cell>
          <cell r="BZ157">
            <v>175.98</v>
          </cell>
          <cell r="CA157">
            <v>3000.5899999999997</v>
          </cell>
        </row>
        <row r="158">
          <cell r="A158" t="str">
            <v xml:space="preserve"> 4QE</v>
          </cell>
          <cell r="B158">
            <v>49.484999999999985</v>
          </cell>
          <cell r="C158">
            <v>61.77200000000002</v>
          </cell>
          <cell r="D158">
            <v>111.25700000000001</v>
          </cell>
          <cell r="F158">
            <v>761.904</v>
          </cell>
          <cell r="G158">
            <v>352.10900000000015</v>
          </cell>
          <cell r="H158">
            <v>1114.0130000000001</v>
          </cell>
          <cell r="J158">
            <v>0</v>
          </cell>
          <cell r="L158">
            <v>40.740000000000009</v>
          </cell>
          <cell r="N158">
            <v>45</v>
          </cell>
          <cell r="O158">
            <v>5</v>
          </cell>
          <cell r="P158">
            <v>50</v>
          </cell>
          <cell r="R158">
            <v>1316.0100000000002</v>
          </cell>
          <cell r="T158" t="str">
            <v xml:space="preserve"> 4QE</v>
          </cell>
          <cell r="U158">
            <v>0</v>
          </cell>
          <cell r="V158">
            <v>51.750999999999976</v>
          </cell>
          <cell r="W158">
            <v>51.750999999999976</v>
          </cell>
          <cell r="Y158">
            <v>1.6049999999999978</v>
          </cell>
          <cell r="Z158">
            <v>19.675000000000011</v>
          </cell>
          <cell r="AA158">
            <v>20.185000000000002</v>
          </cell>
          <cell r="AB158">
            <v>33.718000000000018</v>
          </cell>
          <cell r="AD158">
            <v>126.93400000000001</v>
          </cell>
          <cell r="AF158">
            <v>11.775999999999996</v>
          </cell>
          <cell r="AG158">
            <v>77.924999999999955</v>
          </cell>
          <cell r="AI158">
            <v>32.86</v>
          </cell>
          <cell r="AJ158">
            <v>11.599999999999994</v>
          </cell>
          <cell r="AK158">
            <v>44.459999999999994</v>
          </cell>
          <cell r="AM158">
            <v>186.51600000000008</v>
          </cell>
          <cell r="AN158">
            <v>66.384999999999991</v>
          </cell>
          <cell r="AO158">
            <v>252.90100000000007</v>
          </cell>
          <cell r="AU158" t="str">
            <v xml:space="preserve"> 4QE</v>
          </cell>
          <cell r="AV158">
            <v>88.642999999999915</v>
          </cell>
          <cell r="AX158">
            <v>112.31999999999994</v>
          </cell>
          <cell r="AY158">
            <v>127.13299999999998</v>
          </cell>
          <cell r="AZ158">
            <v>239.45299999999992</v>
          </cell>
          <cell r="BB158">
            <v>107.87899999999996</v>
          </cell>
          <cell r="BD158">
            <v>10.875</v>
          </cell>
          <cell r="BF158">
            <v>182.28799999999995</v>
          </cell>
          <cell r="BG158">
            <v>106.37399999999997</v>
          </cell>
          <cell r="BH158">
            <v>288.66199999999992</v>
          </cell>
          <cell r="BI158">
            <v>735.51199999999972</v>
          </cell>
          <cell r="BK158">
            <v>-2.9999999999999361E-2</v>
          </cell>
          <cell r="BL158">
            <v>16.300000000000004</v>
          </cell>
          <cell r="BM158">
            <v>16.270000000000003</v>
          </cell>
          <cell r="BO158">
            <v>157.31299999999999</v>
          </cell>
          <cell r="BP158">
            <v>119.35699999999997</v>
          </cell>
          <cell r="BQ158">
            <v>276.66999999999996</v>
          </cell>
          <cell r="BS158">
            <v>4.5300000000000011</v>
          </cell>
          <cell r="BT158">
            <v>281.19999999999993</v>
          </cell>
          <cell r="BV158">
            <v>75</v>
          </cell>
          <cell r="BX158">
            <v>67.461400000000026</v>
          </cell>
          <cell r="BY158">
            <v>3030.4494</v>
          </cell>
          <cell r="BZ158">
            <v>187.79000000000008</v>
          </cell>
          <cell r="CA158">
            <v>3218.2393999999999</v>
          </cell>
        </row>
        <row r="160">
          <cell r="A160" t="str">
            <v>2003E</v>
          </cell>
          <cell r="B160">
            <v>248.435</v>
          </cell>
          <cell r="C160">
            <v>248.24800000000002</v>
          </cell>
          <cell r="D160">
            <v>496.68299999999999</v>
          </cell>
          <cell r="F160">
            <v>2874.7280000000001</v>
          </cell>
          <cell r="G160">
            <v>1329.63</v>
          </cell>
          <cell r="H160">
            <v>4204.3580000000002</v>
          </cell>
          <cell r="J160">
            <v>0</v>
          </cell>
          <cell r="L160">
            <v>147.34300000000002</v>
          </cell>
          <cell r="N160">
            <v>165</v>
          </cell>
          <cell r="O160">
            <v>10</v>
          </cell>
          <cell r="P160">
            <v>175</v>
          </cell>
          <cell r="R160">
            <v>5023.384</v>
          </cell>
          <cell r="T160" t="str">
            <v>2003E</v>
          </cell>
          <cell r="U160">
            <v>0</v>
          </cell>
          <cell r="V160">
            <v>190.79899999999998</v>
          </cell>
          <cell r="W160">
            <v>190.79899999999998</v>
          </cell>
          <cell r="Y160">
            <v>8.009999999999998</v>
          </cell>
          <cell r="Z160">
            <v>67.140000000000015</v>
          </cell>
          <cell r="AA160">
            <v>123.08000000000001</v>
          </cell>
          <cell r="AB160">
            <v>133.32</v>
          </cell>
          <cell r="AD160">
            <v>522.34899999999993</v>
          </cell>
          <cell r="AF160">
            <v>42.135999999999996</v>
          </cell>
          <cell r="AG160">
            <v>326.39999999999998</v>
          </cell>
          <cell r="AI160">
            <v>125.02</v>
          </cell>
          <cell r="AJ160">
            <v>43.599999999999994</v>
          </cell>
          <cell r="AK160">
            <v>168.62</v>
          </cell>
          <cell r="AM160">
            <v>682.44900000000007</v>
          </cell>
          <cell r="AN160">
            <v>244.75</v>
          </cell>
          <cell r="AO160">
            <v>927.19900000000007</v>
          </cell>
          <cell r="AU160" t="str">
            <v>2003E</v>
          </cell>
          <cell r="AV160">
            <v>345.76499999999993</v>
          </cell>
          <cell r="AX160">
            <v>463.85999999999996</v>
          </cell>
          <cell r="AY160">
            <v>478.82799999999997</v>
          </cell>
          <cell r="AZ160">
            <v>942.68799999999987</v>
          </cell>
          <cell r="BB160">
            <v>443.07299999999998</v>
          </cell>
          <cell r="BD160">
            <v>52.019999999999996</v>
          </cell>
          <cell r="BF160">
            <v>644.52599999999995</v>
          </cell>
          <cell r="BG160">
            <v>367.08</v>
          </cell>
          <cell r="BH160">
            <v>1011.606</v>
          </cell>
          <cell r="BI160">
            <v>2795.152</v>
          </cell>
          <cell r="BK160">
            <v>4.43</v>
          </cell>
          <cell r="BL160">
            <v>64.98</v>
          </cell>
          <cell r="BM160">
            <v>69.41</v>
          </cell>
          <cell r="BO160">
            <v>525.59799999999996</v>
          </cell>
          <cell r="BP160">
            <v>443.52499999999998</v>
          </cell>
          <cell r="BQ160">
            <v>969.12299999999993</v>
          </cell>
          <cell r="BS160">
            <v>18.5</v>
          </cell>
          <cell r="BT160">
            <v>987.62299999999993</v>
          </cell>
          <cell r="BV160">
            <v>75</v>
          </cell>
          <cell r="BX160">
            <v>250.37240000000003</v>
          </cell>
          <cell r="BY160">
            <v>11262.645399999999</v>
          </cell>
          <cell r="BZ160">
            <v>693.7</v>
          </cell>
          <cell r="CA160">
            <v>11956.3454</v>
          </cell>
        </row>
        <row r="162">
          <cell r="A162" t="str">
            <v xml:space="preserve">2004/03E </v>
          </cell>
          <cell r="B162">
            <v>-0.15</v>
          </cell>
          <cell r="C162">
            <v>-0.1</v>
          </cell>
          <cell r="D162">
            <v>-0.1250094124421412</v>
          </cell>
          <cell r="F162">
            <v>0.11</v>
          </cell>
          <cell r="G162">
            <v>0.1</v>
          </cell>
          <cell r="H162">
            <v>0.10683749576035147</v>
          </cell>
          <cell r="J162" t="str">
            <v>NM</v>
          </cell>
          <cell r="L162">
            <v>-0.03</v>
          </cell>
          <cell r="R162">
            <v>0.10106190169813814</v>
          </cell>
          <cell r="T162" t="str">
            <v xml:space="preserve">2004/03E </v>
          </cell>
          <cell r="U162">
            <v>0</v>
          </cell>
          <cell r="V162">
            <v>-0.03</v>
          </cell>
          <cell r="W162">
            <v>-3.0000000000000047E-2</v>
          </cell>
          <cell r="Y162">
            <v>0</v>
          </cell>
          <cell r="Z162">
            <v>-0.1</v>
          </cell>
          <cell r="AA162">
            <v>-0.05</v>
          </cell>
          <cell r="AB162">
            <v>-0.12</v>
          </cell>
          <cell r="AD162">
            <v>-6.6220802566866133E-2</v>
          </cell>
          <cell r="AF162">
            <v>-0.05</v>
          </cell>
          <cell r="AG162">
            <v>-0.1</v>
          </cell>
          <cell r="AI162">
            <v>0.3</v>
          </cell>
          <cell r="AJ162">
            <v>0.8</v>
          </cell>
          <cell r="AK162">
            <v>0.42928478235084805</v>
          </cell>
          <cell r="AM162">
            <v>0.09</v>
          </cell>
          <cell r="AN162">
            <v>0.18</v>
          </cell>
          <cell r="AO162">
            <v>0.11375703597609575</v>
          </cell>
          <cell r="AU162" t="str">
            <v xml:space="preserve">2004/03E </v>
          </cell>
          <cell r="AV162">
            <v>0.04</v>
          </cell>
          <cell r="AX162">
            <v>-7.0000000000000007E-2</v>
          </cell>
          <cell r="AY162">
            <v>-0.02</v>
          </cell>
          <cell r="AZ162">
            <v>-4.4603050001697224E-2</v>
          </cell>
          <cell r="BB162">
            <v>0.1</v>
          </cell>
          <cell r="BD162">
            <v>0</v>
          </cell>
          <cell r="BF162">
            <v>0.17</v>
          </cell>
          <cell r="BG162">
            <v>0.15</v>
          </cell>
          <cell r="BH162">
            <v>0.16274262904727724</v>
          </cell>
          <cell r="BI162">
            <v>6.4655718186345398E-2</v>
          </cell>
          <cell r="BK162">
            <v>-0.1</v>
          </cell>
          <cell r="BL162">
            <v>-0.05</v>
          </cell>
          <cell r="BM162">
            <v>-5.3191182826681935E-2</v>
          </cell>
          <cell r="BO162">
            <v>0.09</v>
          </cell>
          <cell r="BP162">
            <v>0.1</v>
          </cell>
          <cell r="BQ162">
            <v>9.4576560457238085E-2</v>
          </cell>
          <cell r="BS162">
            <v>0</v>
          </cell>
          <cell r="BT162">
            <v>9.2804967077518383E-2</v>
          </cell>
          <cell r="BV162">
            <v>6</v>
          </cell>
          <cell r="BX162">
            <v>0</v>
          </cell>
          <cell r="BY162">
            <v>0.11852311891129963</v>
          </cell>
          <cell r="BZ162">
            <v>0</v>
          </cell>
          <cell r="CA162">
            <v>0.11164647853013696</v>
          </cell>
        </row>
        <row r="163">
          <cell r="A163" t="str">
            <v xml:space="preserve">2005/04E </v>
          </cell>
          <cell r="B163">
            <v>-0.1</v>
          </cell>
          <cell r="C163">
            <v>-0.1</v>
          </cell>
          <cell r="D163">
            <v>-0.1</v>
          </cell>
          <cell r="F163">
            <v>0.09</v>
          </cell>
          <cell r="G163">
            <v>0.1</v>
          </cell>
          <cell r="H163">
            <v>9.3142967849334971E-2</v>
          </cell>
          <cell r="J163" t="str">
            <v>NM</v>
          </cell>
          <cell r="L163">
            <v>-0.03</v>
          </cell>
          <cell r="R163">
            <v>8.7812812945397417E-2</v>
          </cell>
          <cell r="T163" t="str">
            <v xml:space="preserve">2005/04E </v>
          </cell>
          <cell r="U163">
            <v>0</v>
          </cell>
          <cell r="V163">
            <v>-0.03</v>
          </cell>
          <cell r="W163">
            <v>-2.999999999999995E-2</v>
          </cell>
          <cell r="Y163">
            <v>0</v>
          </cell>
          <cell r="Z163">
            <v>-0.03</v>
          </cell>
          <cell r="AA163">
            <v>-0.05</v>
          </cell>
          <cell r="AB163">
            <v>-0.1</v>
          </cell>
          <cell r="AD163">
            <v>-5.1139004757332483E-2</v>
          </cell>
          <cell r="AF163">
            <v>-0.05</v>
          </cell>
          <cell r="AG163">
            <v>-0.05</v>
          </cell>
          <cell r="AI163">
            <v>0.35</v>
          </cell>
          <cell r="AJ163">
            <v>0.4</v>
          </cell>
          <cell r="AK163">
            <v>0.36628175232151905</v>
          </cell>
          <cell r="AM163">
            <v>0.08</v>
          </cell>
          <cell r="AN163">
            <v>0.15</v>
          </cell>
          <cell r="AO163">
            <v>9.9576693103104991E-2</v>
          </cell>
          <cell r="AU163" t="str">
            <v xml:space="preserve">2005/04E </v>
          </cell>
          <cell r="AV163">
            <v>0.04</v>
          </cell>
          <cell r="AX163">
            <v>0</v>
          </cell>
          <cell r="AY163">
            <v>0</v>
          </cell>
          <cell r="AZ163">
            <v>0</v>
          </cell>
          <cell r="BB163">
            <v>0.09</v>
          </cell>
          <cell r="BD163">
            <v>0</v>
          </cell>
          <cell r="BF163">
            <v>0.15</v>
          </cell>
          <cell r="BG163">
            <v>0.15</v>
          </cell>
          <cell r="BH163">
            <v>0.15000000000000011</v>
          </cell>
          <cell r="BI163">
            <v>7.88620821436775E-2</v>
          </cell>
          <cell r="BK163">
            <v>-0.05</v>
          </cell>
          <cell r="BL163">
            <v>-0.05</v>
          </cell>
          <cell r="BM163">
            <v>-5.0000000000000079E-2</v>
          </cell>
          <cell r="BO163">
            <v>0.09</v>
          </cell>
          <cell r="BP163">
            <v>0.08</v>
          </cell>
          <cell r="BQ163">
            <v>8.5400763468880564E-2</v>
          </cell>
          <cell r="BS163">
            <v>0</v>
          </cell>
          <cell r="BT163">
            <v>8.3936903192029996E-2</v>
          </cell>
          <cell r="BV163">
            <v>2.3333333333333335</v>
          </cell>
          <cell r="BX163">
            <v>0</v>
          </cell>
          <cell r="BY163">
            <v>0.13154644822789641</v>
          </cell>
          <cell r="BZ163">
            <v>0</v>
          </cell>
          <cell r="CA163">
            <v>0.12468073480511163</v>
          </cell>
        </row>
        <row r="164">
          <cell r="A164" t="str">
            <v>2006/05E</v>
          </cell>
          <cell r="B164">
            <v>-0.1</v>
          </cell>
          <cell r="C164">
            <v>-0.1</v>
          </cell>
          <cell r="D164">
            <v>-9.9999999999999978E-2</v>
          </cell>
          <cell r="F164">
            <v>0.06</v>
          </cell>
          <cell r="G164">
            <v>0.06</v>
          </cell>
          <cell r="H164">
            <v>6.0000000000000164E-2</v>
          </cell>
          <cell r="J164" t="str">
            <v>NM</v>
          </cell>
          <cell r="L164">
            <v>-0.03</v>
          </cell>
          <cell r="R164">
            <v>6.0156473499803263E-2</v>
          </cell>
          <cell r="T164" t="str">
            <v>2006/05E</v>
          </cell>
          <cell r="U164">
            <v>0</v>
          </cell>
          <cell r="V164">
            <v>-0.03</v>
          </cell>
          <cell r="W164">
            <v>-3.0000000000000037E-2</v>
          </cell>
          <cell r="Y164">
            <v>0</v>
          </cell>
          <cell r="Z164">
            <v>-0.03</v>
          </cell>
          <cell r="AA164">
            <v>-0.05</v>
          </cell>
          <cell r="AB164">
            <v>-0.1</v>
          </cell>
          <cell r="AD164">
            <v>-5.0251184561996072E-2</v>
          </cell>
          <cell r="AF164">
            <v>-0.05</v>
          </cell>
          <cell r="AG164">
            <v>-0.05</v>
          </cell>
          <cell r="AI164">
            <v>0.3</v>
          </cell>
          <cell r="AJ164">
            <v>0.3</v>
          </cell>
          <cell r="AK164">
            <v>0.3</v>
          </cell>
          <cell r="AM164">
            <v>0.08</v>
          </cell>
          <cell r="AN164">
            <v>0.12</v>
          </cell>
          <cell r="AO164">
            <v>9.1699669627298058E-2</v>
          </cell>
          <cell r="AU164" t="str">
            <v>2006/05E</v>
          </cell>
          <cell r="AV164">
            <v>0.04</v>
          </cell>
          <cell r="AX164">
            <v>0</v>
          </cell>
          <cell r="AY164">
            <v>0</v>
          </cell>
          <cell r="AZ164">
            <v>0</v>
          </cell>
          <cell r="BB164">
            <v>-0.4</v>
          </cell>
          <cell r="BD164">
            <v>0</v>
          </cell>
          <cell r="BF164">
            <v>0.14000000000000001</v>
          </cell>
          <cell r="BG164">
            <v>0.14000000000000001</v>
          </cell>
          <cell r="BH164">
            <v>0.13999999999999996</v>
          </cell>
          <cell r="BI164">
            <v>-2.5429874340756947E-3</v>
          </cell>
          <cell r="BK164">
            <v>-0.03</v>
          </cell>
          <cell r="BL164">
            <v>-0.03</v>
          </cell>
          <cell r="BM164">
            <v>-2.9999999999999978E-2</v>
          </cell>
          <cell r="BO164">
            <v>0.08</v>
          </cell>
          <cell r="BP164">
            <v>7.0000000000000007E-2</v>
          </cell>
          <cell r="BQ164">
            <v>7.5423648461666895E-2</v>
          </cell>
          <cell r="BS164">
            <v>0</v>
          </cell>
          <cell r="BT164">
            <v>7.4230920482529522E-2</v>
          </cell>
          <cell r="BV164">
            <v>1.6666666666666667</v>
          </cell>
          <cell r="BX164">
            <v>0</v>
          </cell>
          <cell r="BY164">
            <v>9.7339754297769435E-2</v>
          </cell>
          <cell r="BZ164">
            <v>0</v>
          </cell>
          <cell r="CA164">
            <v>9.2822572858335825E-2</v>
          </cell>
        </row>
        <row r="165">
          <cell r="A165" t="str">
            <v>2007/06E</v>
          </cell>
          <cell r="B165">
            <v>-0.1</v>
          </cell>
          <cell r="C165">
            <v>-0.1</v>
          </cell>
          <cell r="D165">
            <v>-0.1</v>
          </cell>
          <cell r="F165">
            <v>0.06</v>
          </cell>
          <cell r="G165">
            <v>4.3999999999999997E-2</v>
          </cell>
          <cell r="H165">
            <v>5.4939707268379712E-2</v>
          </cell>
          <cell r="J165" t="str">
            <v>NM</v>
          </cell>
          <cell r="L165">
            <v>-0.03</v>
          </cell>
          <cell r="R165">
            <v>5.596905093027451E-2</v>
          </cell>
          <cell r="T165" t="str">
            <v>2007/06E</v>
          </cell>
          <cell r="U165">
            <v>0</v>
          </cell>
          <cell r="V165">
            <v>-0.03</v>
          </cell>
          <cell r="W165">
            <v>-3.0000000000000044E-2</v>
          </cell>
          <cell r="Y165">
            <v>0</v>
          </cell>
          <cell r="Z165">
            <v>-0.03</v>
          </cell>
          <cell r="AA165">
            <v>-0.05</v>
          </cell>
          <cell r="AB165">
            <v>-0.1</v>
          </cell>
          <cell r="AD165">
            <v>-4.9388445886639938E-2</v>
          </cell>
          <cell r="AF165">
            <v>-0.05</v>
          </cell>
          <cell r="AG165">
            <v>-0.05</v>
          </cell>
          <cell r="AI165">
            <v>0.23</v>
          </cell>
          <cell r="AJ165">
            <v>0.2</v>
          </cell>
          <cell r="AK165">
            <v>0.21998985975854757</v>
          </cell>
          <cell r="AM165">
            <v>7.0000000000000007E-2</v>
          </cell>
          <cell r="AN165">
            <v>0.12</v>
          </cell>
          <cell r="AO165">
            <v>8.5003702880856596E-2</v>
          </cell>
          <cell r="AU165" t="str">
            <v>2007/06E</v>
          </cell>
          <cell r="AV165">
            <v>0.04</v>
          </cell>
          <cell r="AX165">
            <v>0</v>
          </cell>
          <cell r="AY165">
            <v>0</v>
          </cell>
          <cell r="AZ165">
            <v>0</v>
          </cell>
          <cell r="BB165">
            <v>-0.6</v>
          </cell>
          <cell r="BD165">
            <v>0</v>
          </cell>
          <cell r="BF165">
            <v>0.14000000000000001</v>
          </cell>
          <cell r="BG165">
            <v>0.14000000000000001</v>
          </cell>
          <cell r="BH165">
            <v>0.14000000000000024</v>
          </cell>
          <cell r="BI165">
            <v>1.2551901080898839E-2</v>
          </cell>
          <cell r="BK165">
            <v>-0.03</v>
          </cell>
          <cell r="BL165">
            <v>-0.03</v>
          </cell>
          <cell r="BM165">
            <v>-2.9999999999999954E-2</v>
          </cell>
          <cell r="BO165">
            <v>7.0000000000000007E-2</v>
          </cell>
          <cell r="BP165">
            <v>0.06</v>
          </cell>
          <cell r="BQ165">
            <v>6.5446728223782988E-2</v>
          </cell>
          <cell r="BS165">
            <v>0</v>
          </cell>
          <cell r="BT165">
            <v>6.4483289358207005E-2</v>
          </cell>
          <cell r="BV165">
            <v>1.4857142857142858</v>
          </cell>
          <cell r="BX165">
            <v>0</v>
          </cell>
          <cell r="BY165">
            <v>9.9359074636535413E-2</v>
          </cell>
          <cell r="BZ165">
            <v>0</v>
          </cell>
          <cell r="CA165">
            <v>9.5139825497598154E-2</v>
          </cell>
        </row>
        <row r="166">
          <cell r="A166" t="str">
            <v>2001E</v>
          </cell>
          <cell r="B166">
            <v>1659</v>
          </cell>
          <cell r="C166">
            <v>330.90000000000003</v>
          </cell>
          <cell r="D166">
            <v>1989.8999999999999</v>
          </cell>
          <cell r="F166">
            <v>2176.1</v>
          </cell>
          <cell r="G166">
            <v>910.5</v>
          </cell>
          <cell r="H166">
            <v>3086.6</v>
          </cell>
          <cell r="I166">
            <v>0</v>
          </cell>
          <cell r="J166">
            <v>86.4</v>
          </cell>
          <cell r="K166">
            <v>0</v>
          </cell>
          <cell r="L166">
            <v>149.80000000000001</v>
          </cell>
          <cell r="M166">
            <v>0</v>
          </cell>
          <cell r="R166">
            <v>5312.7</v>
          </cell>
          <cell r="T166" t="str">
            <v>2001E</v>
          </cell>
          <cell r="U166">
            <v>4.2</v>
          </cell>
          <cell r="V166">
            <v>227.39999999999998</v>
          </cell>
          <cell r="W166">
            <v>231.6</v>
          </cell>
          <cell r="Y166">
            <v>11.3</v>
          </cell>
          <cell r="Z166">
            <v>80.100000000000009</v>
          </cell>
          <cell r="AA166">
            <v>210.60000000000002</v>
          </cell>
          <cell r="AB166">
            <v>198.00000000000003</v>
          </cell>
          <cell r="AD166">
            <v>731.7</v>
          </cell>
          <cell r="AF166">
            <v>54.4</v>
          </cell>
          <cell r="AG166">
            <v>431.4</v>
          </cell>
          <cell r="AI166">
            <v>21.1</v>
          </cell>
          <cell r="AJ166">
            <v>0.1</v>
          </cell>
          <cell r="AL166">
            <v>0</v>
          </cell>
          <cell r="AM166">
            <v>526.19999999999993</v>
          </cell>
          <cell r="AN166">
            <v>138.69999999999999</v>
          </cell>
          <cell r="AO166">
            <v>664.80000000000007</v>
          </cell>
          <cell r="AU166" t="str">
            <v>YearA</v>
          </cell>
          <cell r="AV166">
            <v>312.7</v>
          </cell>
          <cell r="AX166">
            <v>578.4</v>
          </cell>
          <cell r="AY166">
            <v>482.1</v>
          </cell>
          <cell r="AZ166">
            <v>1060.5</v>
          </cell>
          <cell r="BB166">
            <v>361</v>
          </cell>
          <cell r="BD166">
            <v>75.899999999999991</v>
          </cell>
          <cell r="BF166">
            <v>394.6</v>
          </cell>
          <cell r="BG166">
            <v>233.3</v>
          </cell>
          <cell r="BH166">
            <v>627.80000000000007</v>
          </cell>
          <cell r="BI166">
            <v>2437.9</v>
          </cell>
          <cell r="BK166">
            <v>186.4</v>
          </cell>
          <cell r="BL166">
            <v>98.4</v>
          </cell>
          <cell r="BM166">
            <v>284.7</v>
          </cell>
          <cell r="BO166">
            <v>417.3</v>
          </cell>
          <cell r="BP166">
            <v>305.5</v>
          </cell>
          <cell r="BQ166">
            <v>722.7</v>
          </cell>
          <cell r="BS166">
            <v>16.000000000000004</v>
          </cell>
          <cell r="BT166">
            <v>739</v>
          </cell>
          <cell r="BU166">
            <v>0</v>
          </cell>
          <cell r="BV166">
            <v>0</v>
          </cell>
          <cell r="BW166">
            <v>0</v>
          </cell>
          <cell r="BX166">
            <v>168.2</v>
          </cell>
          <cell r="BY166">
            <v>10824.800000000001</v>
          </cell>
          <cell r="BZ166">
            <v>696.6</v>
          </cell>
          <cell r="CA166">
            <v>11542.400000000001</v>
          </cell>
        </row>
        <row r="168">
          <cell r="A168" t="str">
            <v>2004E</v>
          </cell>
          <cell r="B168">
            <v>211.16974999999999</v>
          </cell>
          <cell r="C168">
            <v>223.42320000000001</v>
          </cell>
          <cell r="D168">
            <v>434.59294999999997</v>
          </cell>
          <cell r="F168">
            <v>3190.9480800000001</v>
          </cell>
          <cell r="G168">
            <v>1462.5930000000001</v>
          </cell>
          <cell r="H168">
            <v>4653.54108</v>
          </cell>
          <cell r="J168">
            <v>0</v>
          </cell>
          <cell r="L168">
            <v>142.92271000000002</v>
          </cell>
          <cell r="N168">
            <v>250</v>
          </cell>
          <cell r="O168">
            <v>50</v>
          </cell>
          <cell r="P168">
            <v>300</v>
          </cell>
          <cell r="R168">
            <v>5531.05674</v>
          </cell>
          <cell r="T168" t="str">
            <v>2004E</v>
          </cell>
          <cell r="U168">
            <v>0</v>
          </cell>
          <cell r="V168">
            <v>185.07502999999997</v>
          </cell>
          <cell r="W168">
            <v>185.07502999999997</v>
          </cell>
          <cell r="Y168">
            <v>8.009999999999998</v>
          </cell>
          <cell r="Z168">
            <v>60.426000000000016</v>
          </cell>
          <cell r="AA168">
            <v>116.92600000000002</v>
          </cell>
          <cell r="AB168">
            <v>117.32159999999999</v>
          </cell>
          <cell r="AD168">
            <v>487.75862999999998</v>
          </cell>
          <cell r="AF168">
            <v>40.029199999999996</v>
          </cell>
          <cell r="AG168">
            <v>293.76</v>
          </cell>
          <cell r="AI168">
            <v>162.52600000000001</v>
          </cell>
          <cell r="AJ168">
            <v>78.47999999999999</v>
          </cell>
          <cell r="AK168">
            <v>241.006</v>
          </cell>
          <cell r="AM168">
            <v>743.86941000000002</v>
          </cell>
          <cell r="AN168">
            <v>288.80500000000001</v>
          </cell>
          <cell r="AO168">
            <v>1032.6744100000001</v>
          </cell>
          <cell r="AU168" t="str">
            <v>2004E</v>
          </cell>
          <cell r="AV168">
            <v>359.59559999999993</v>
          </cell>
          <cell r="AX168">
            <v>431.38979999999998</v>
          </cell>
          <cell r="AY168">
            <v>469.25144</v>
          </cell>
          <cell r="AZ168">
            <v>900.64123999999993</v>
          </cell>
          <cell r="BB168">
            <v>487.38029999999998</v>
          </cell>
          <cell r="BD168">
            <v>52.019999999999996</v>
          </cell>
          <cell r="BF168">
            <v>754.09541999999999</v>
          </cell>
          <cell r="BG168">
            <v>422.142</v>
          </cell>
          <cell r="BH168">
            <v>1176.2374199999999</v>
          </cell>
          <cell r="BI168">
            <v>2975.8745599999997</v>
          </cell>
          <cell r="BK168">
            <v>3.9869999999999997</v>
          </cell>
          <cell r="BL168">
            <v>61.731000000000002</v>
          </cell>
          <cell r="BM168">
            <v>65.718000000000004</v>
          </cell>
          <cell r="BO168">
            <v>572.90181999999993</v>
          </cell>
          <cell r="BP168">
            <v>487.8775</v>
          </cell>
          <cell r="BQ168">
            <v>1060.7793199999999</v>
          </cell>
          <cell r="BS168">
            <v>18.5</v>
          </cell>
          <cell r="BT168">
            <v>1079.2793199999999</v>
          </cell>
          <cell r="BV168">
            <v>450</v>
          </cell>
          <cell r="BX168">
            <v>250.37240000000003</v>
          </cell>
          <cell r="BY168">
            <v>12597.529260000001</v>
          </cell>
          <cell r="BZ168">
            <v>693.7</v>
          </cell>
          <cell r="CA168">
            <v>13291.229260000002</v>
          </cell>
        </row>
        <row r="169">
          <cell r="A169" t="str">
            <v>2005E</v>
          </cell>
          <cell r="B169">
            <v>190.052775</v>
          </cell>
          <cell r="C169">
            <v>201.08088000000001</v>
          </cell>
          <cell r="D169">
            <v>391.13365499999998</v>
          </cell>
          <cell r="F169">
            <v>3478.1334072</v>
          </cell>
          <cell r="G169">
            <v>1608.8523</v>
          </cell>
          <cell r="H169">
            <v>5086.9857071999995</v>
          </cell>
          <cell r="J169">
            <v>0</v>
          </cell>
          <cell r="L169">
            <v>138.63502870000002</v>
          </cell>
          <cell r="N169">
            <v>325</v>
          </cell>
          <cell r="O169">
            <v>75</v>
          </cell>
          <cell r="P169">
            <v>400</v>
          </cell>
          <cell r="R169">
            <v>6016.7543908999996</v>
          </cell>
          <cell r="T169" t="str">
            <v>2005E</v>
          </cell>
          <cell r="U169">
            <v>0</v>
          </cell>
          <cell r="V169">
            <v>179.52277909999998</v>
          </cell>
          <cell r="W169">
            <v>179.52277909999998</v>
          </cell>
          <cell r="Y169">
            <v>8.009999999999998</v>
          </cell>
          <cell r="Z169">
            <v>58.613220000000013</v>
          </cell>
          <cell r="AA169">
            <v>111.07970000000002</v>
          </cell>
          <cell r="AB169">
            <v>105.58944</v>
          </cell>
          <cell r="AD169">
            <v>462.81513910000001</v>
          </cell>
          <cell r="AF169">
            <v>38.027739999999994</v>
          </cell>
          <cell r="AG169">
            <v>279.072</v>
          </cell>
          <cell r="AI169">
            <v>219.4101</v>
          </cell>
          <cell r="AJ169">
            <v>109.87199999999999</v>
          </cell>
          <cell r="AK169">
            <v>329.28210000000001</v>
          </cell>
          <cell r="AM169">
            <v>803.37896280000007</v>
          </cell>
          <cell r="AN169">
            <v>332.12574999999998</v>
          </cell>
          <cell r="AO169">
            <v>1135.5047128000001</v>
          </cell>
          <cell r="AU169" t="str">
            <v>2005E</v>
          </cell>
          <cell r="AV169">
            <v>373.97942399999994</v>
          </cell>
          <cell r="AX169">
            <v>431.38979999999998</v>
          </cell>
          <cell r="AY169">
            <v>469.25144</v>
          </cell>
          <cell r="AZ169">
            <v>900.64123999999993</v>
          </cell>
          <cell r="BB169">
            <v>531.24452699999995</v>
          </cell>
          <cell r="BD169">
            <v>52.019999999999996</v>
          </cell>
          <cell r="BF169">
            <v>867.20973300000003</v>
          </cell>
          <cell r="BG169">
            <v>485.4633</v>
          </cell>
          <cell r="BH169">
            <v>1352.673033</v>
          </cell>
          <cell r="BI169">
            <v>3210.5582239999999</v>
          </cell>
          <cell r="BK169">
            <v>3.7876499999999997</v>
          </cell>
          <cell r="BL169">
            <v>58.644449999999999</v>
          </cell>
          <cell r="BM169">
            <v>62.432099999999998</v>
          </cell>
          <cell r="BO169">
            <v>624.46298379999996</v>
          </cell>
          <cell r="BP169">
            <v>526.90769999999998</v>
          </cell>
          <cell r="BQ169">
            <v>1151.3706837999998</v>
          </cell>
          <cell r="BS169">
            <v>18.5</v>
          </cell>
          <cell r="BT169">
            <v>1169.8706837999998</v>
          </cell>
          <cell r="BV169">
            <v>1050</v>
          </cell>
          <cell r="BX169">
            <v>250.37240000000003</v>
          </cell>
          <cell r="BY169">
            <v>14254.689490600002</v>
          </cell>
          <cell r="BZ169">
            <v>693.7</v>
          </cell>
          <cell r="CA169">
            <v>14948.389490600002</v>
          </cell>
        </row>
        <row r="170">
          <cell r="A170" t="str">
            <v>2006E</v>
          </cell>
          <cell r="B170">
            <v>171.04749749999999</v>
          </cell>
          <cell r="C170">
            <v>180.972792</v>
          </cell>
          <cell r="D170">
            <v>352.02028949999999</v>
          </cell>
          <cell r="F170">
            <v>3686.821411632</v>
          </cell>
          <cell r="G170">
            <v>1705.3834380000001</v>
          </cell>
          <cell r="H170">
            <v>5392.2048496320003</v>
          </cell>
          <cell r="J170">
            <v>0</v>
          </cell>
          <cell r="L170">
            <v>134.47597783900002</v>
          </cell>
          <cell r="N170">
            <v>400</v>
          </cell>
          <cell r="O170">
            <v>100</v>
          </cell>
          <cell r="P170">
            <v>500</v>
          </cell>
          <cell r="R170">
            <v>6378.7011169710004</v>
          </cell>
          <cell r="T170" t="str">
            <v>2006E</v>
          </cell>
          <cell r="U170">
            <v>0</v>
          </cell>
          <cell r="V170">
            <v>174.13709572699997</v>
          </cell>
          <cell r="W170">
            <v>174.13709572699997</v>
          </cell>
          <cell r="Y170">
            <v>8.009999999999998</v>
          </cell>
          <cell r="Z170">
            <v>56.854823400000015</v>
          </cell>
          <cell r="AA170">
            <v>105.52571500000002</v>
          </cell>
          <cell r="AB170">
            <v>95.030495999999999</v>
          </cell>
          <cell r="AD170">
            <v>439.55813012700003</v>
          </cell>
          <cell r="AF170">
            <v>36.126352999999995</v>
          </cell>
          <cell r="AG170">
            <v>265.11840000000001</v>
          </cell>
          <cell r="AI170">
            <v>285.23313000000002</v>
          </cell>
          <cell r="AJ170">
            <v>142.83359999999999</v>
          </cell>
          <cell r="AK170">
            <v>428.06673000000001</v>
          </cell>
          <cell r="AM170">
            <v>867.64927982400013</v>
          </cell>
          <cell r="AN170">
            <v>371.98084</v>
          </cell>
          <cell r="AO170">
            <v>1239.6301198240001</v>
          </cell>
          <cell r="AU170" t="str">
            <v>2006E</v>
          </cell>
          <cell r="AV170">
            <v>388.93860095999992</v>
          </cell>
          <cell r="AX170">
            <v>431.38979999999998</v>
          </cell>
          <cell r="AY170">
            <v>469.25144</v>
          </cell>
          <cell r="AZ170">
            <v>900.64123999999993</v>
          </cell>
          <cell r="BB170">
            <v>318.74671619999992</v>
          </cell>
          <cell r="BD170">
            <v>52.019999999999996</v>
          </cell>
          <cell r="BF170">
            <v>988.61909562000005</v>
          </cell>
          <cell r="BG170">
            <v>553.42816200000004</v>
          </cell>
          <cell r="BH170">
            <v>1542.04725762</v>
          </cell>
          <cell r="BI170">
            <v>3202.3938147799995</v>
          </cell>
          <cell r="BK170">
            <v>3.6740204999999997</v>
          </cell>
          <cell r="BL170">
            <v>56.885116500000002</v>
          </cell>
          <cell r="BM170">
            <v>60.559137</v>
          </cell>
          <cell r="BO170">
            <v>674.42002250399992</v>
          </cell>
          <cell r="BP170">
            <v>563.79123900000002</v>
          </cell>
          <cell r="BQ170">
            <v>1238.211261504</v>
          </cell>
          <cell r="BS170">
            <v>18.5</v>
          </cell>
          <cell r="BT170">
            <v>1256.711261504</v>
          </cell>
          <cell r="BV170">
            <v>1750</v>
          </cell>
          <cell r="BX170">
            <v>250.37240000000003</v>
          </cell>
          <cell r="BY170">
            <v>15642.237463206002</v>
          </cell>
          <cell r="BZ170">
            <v>693.7</v>
          </cell>
          <cell r="CA170">
            <v>16335.937463206003</v>
          </cell>
        </row>
        <row r="171">
          <cell r="A171" t="str">
            <v>2007E</v>
          </cell>
          <cell r="B171">
            <v>153.94274775</v>
          </cell>
          <cell r="C171">
            <v>162.8755128</v>
          </cell>
          <cell r="D171">
            <v>316.81826054999999</v>
          </cell>
          <cell r="F171">
            <v>3908.0306963299199</v>
          </cell>
          <cell r="G171">
            <v>1780.4203092720002</v>
          </cell>
          <cell r="H171">
            <v>5688.4510056019199</v>
          </cell>
          <cell r="J171">
            <v>0</v>
          </cell>
          <cell r="L171">
            <v>130.44169850383003</v>
          </cell>
          <cell r="N171">
            <v>475</v>
          </cell>
          <cell r="O171">
            <v>125</v>
          </cell>
          <cell r="P171">
            <v>600</v>
          </cell>
          <cell r="R171">
            <v>6735.7109646557492</v>
          </cell>
          <cell r="T171" t="str">
            <v>2007E</v>
          </cell>
          <cell r="U171">
            <v>0</v>
          </cell>
          <cell r="V171">
            <v>168.91298285518997</v>
          </cell>
          <cell r="W171">
            <v>168.91298285518997</v>
          </cell>
          <cell r="Y171">
            <v>8.009999999999998</v>
          </cell>
          <cell r="Z171">
            <v>55.149178698000014</v>
          </cell>
          <cell r="AA171">
            <v>100.24942925000002</v>
          </cell>
          <cell r="AB171">
            <v>85.527446400000002</v>
          </cell>
          <cell r="AD171">
            <v>417.84903720319005</v>
          </cell>
          <cell r="AF171">
            <v>34.320035349999998</v>
          </cell>
          <cell r="AG171">
            <v>251.86248000000001</v>
          </cell>
          <cell r="AI171">
            <v>350.83674990000003</v>
          </cell>
          <cell r="AJ171">
            <v>171.40031999999999</v>
          </cell>
          <cell r="AK171">
            <v>522.23706990000005</v>
          </cell>
          <cell r="AM171">
            <v>928.38472941168015</v>
          </cell>
          <cell r="AN171">
            <v>416.61854080000001</v>
          </cell>
          <cell r="AO171">
            <v>1345.00327021168</v>
          </cell>
          <cell r="AU171" t="str">
            <v>2007E</v>
          </cell>
          <cell r="AV171">
            <v>404.49614499839993</v>
          </cell>
          <cell r="AX171">
            <v>431.38979999999998</v>
          </cell>
          <cell r="AY171">
            <v>469.25144</v>
          </cell>
          <cell r="AZ171">
            <v>900.64123999999993</v>
          </cell>
          <cell r="BB171">
            <v>127.49868647999998</v>
          </cell>
          <cell r="BD171">
            <v>52.019999999999996</v>
          </cell>
          <cell r="BF171">
            <v>1127.0257690068001</v>
          </cell>
          <cell r="BG171">
            <v>630.90810468000006</v>
          </cell>
          <cell r="BH171">
            <v>1757.9338736868003</v>
          </cell>
          <cell r="BI171">
            <v>3242.5899451652003</v>
          </cell>
          <cell r="BK171">
            <v>3.5637998849999999</v>
          </cell>
          <cell r="BL171">
            <v>55.178563005000001</v>
          </cell>
          <cell r="BM171">
            <v>58.742362890000003</v>
          </cell>
          <cell r="BO171">
            <v>721.62942407927994</v>
          </cell>
          <cell r="BP171">
            <v>597.61871334</v>
          </cell>
          <cell r="BQ171">
            <v>1319.2481374192798</v>
          </cell>
          <cell r="BS171">
            <v>18.5</v>
          </cell>
          <cell r="BT171">
            <v>1337.7481374192798</v>
          </cell>
          <cell r="BV171">
            <v>2600</v>
          </cell>
          <cell r="BX171">
            <v>250.37240000000003</v>
          </cell>
          <cell r="BY171">
            <v>17196.435702795097</v>
          </cell>
          <cell r="BZ171">
            <v>693.7</v>
          </cell>
          <cell r="CA171">
            <v>17890.135702795098</v>
          </cell>
        </row>
        <row r="173">
          <cell r="A173" t="str">
            <v>Notes:</v>
          </cell>
          <cell r="T173" t="str">
            <v>Notes:</v>
          </cell>
          <cell r="AU173" t="str">
            <v>Notes:</v>
          </cell>
        </row>
        <row r="174">
          <cell r="A174" t="str">
            <v>(a) Dynabac has been licensed out to Bock Pharmaceuticals in the U.S.  LLY records sales to Bock in U.S. and international sales.</v>
          </cell>
          <cell r="T174" t="str">
            <v>(a) Dynabac has been licensed out to Bock Pharmaceuticals in the U.S.  LLY records sales to Bock in U.S. and international sales.</v>
          </cell>
          <cell r="AU174" t="str">
            <v>(a) Dynabac has been licensed out to Bock Pharmaceuticals in the U.S.  LLY records sales to Bock in U.S. and international sales.</v>
          </cell>
        </row>
        <row r="175">
          <cell r="A175" t="str">
            <v xml:space="preserve">(b) Other injectables include Nebcin, Mandol, Kefzol, and Tazidime.  </v>
          </cell>
          <cell r="T175" t="str">
            <v xml:space="preserve">(b) Other injectables include Nebcin, Mandol, Kefzol, and Tazidime.  </v>
          </cell>
          <cell r="AU175" t="str">
            <v xml:space="preserve">(b) Other injectables include Nebcin, Mandol, Kefzol, and Tazidime.  </v>
          </cell>
        </row>
        <row r="176">
          <cell r="A176" t="str">
            <v>(c) LLY records 100% of ReoPro sales and pays a third-party manufacturing fee to Centocor (CNTO) of 50% of sales.</v>
          </cell>
          <cell r="T176" t="str">
            <v>(c) LLY records 100% of ReoPro sales and pays a third-party manufacturing fee to Centocor (CNTO) of 50% of sales.</v>
          </cell>
          <cell r="AU176" t="str">
            <v>(c) LLY records 100% of ReoPro sales and pays a third-party manufacturing fee to Centocor (CNTO) of 50% of sales.</v>
          </cell>
        </row>
        <row r="177">
          <cell r="A177" t="str">
            <v>(d) Other pharma includes Lorabid (sold to KG) , Cynt, Darvon, and other cardio and neuroscience</v>
          </cell>
          <cell r="T177" t="str">
            <v>(d) Other pharma includes Lorabid (sold to KG) , Cynt, Darvon, and other cardio and neuroscience</v>
          </cell>
        </row>
        <row r="179">
          <cell r="A179" t="str">
            <v>E = Morgan Stanley Research Estimates       A = Actual       NM = Not Meaningful</v>
          </cell>
          <cell r="T179" t="str">
            <v>E = Morgan Stanley Research Estimates       A = Actual       NM = Not Meaningful</v>
          </cell>
          <cell r="AU179" t="str">
            <v>E = Morgan Stanley Research Estimates       A = Actual       NM = Not Meaningful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PS Chg"/>
      <sheetName val="Qtr Rpt"/>
      <sheetName val="RAPID2"/>
      <sheetName val="Model"/>
      <sheetName val="Encl Acq"/>
      <sheetName val="FCall Hdr"/>
      <sheetName val="Convt Dilution"/>
      <sheetName val="Old Model"/>
      <sheetName val="ALRN Model"/>
      <sheetName val="Acq Dilution"/>
      <sheetName val="Valuation"/>
      <sheetName val="Margin Chart"/>
      <sheetName val="OLD SANM Model"/>
      <sheetName val="ELEX Model"/>
      <sheetName val="Buyback"/>
      <sheetName val="00 Dilution"/>
      <sheetName val="Schu Acq Analysis"/>
      <sheetName val="Schu Acq Analysis (stock)"/>
    </sheetNames>
    <sheetDataSet>
      <sheetData sheetId="0"/>
      <sheetData sheetId="1"/>
      <sheetData sheetId="2"/>
      <sheetData sheetId="3" refreshError="1">
        <row r="3">
          <cell r="FZ3" t="str">
            <v>Date:</v>
          </cell>
          <cell r="GA3">
            <v>35731.399022569443</v>
          </cell>
          <cell r="GJ3" t="str">
            <v>Date:</v>
          </cell>
          <cell r="GK3" t="str">
            <v>Sanmina Corporation</v>
          </cell>
        </row>
        <row r="4">
          <cell r="FZ4" t="str">
            <v>FY End:</v>
          </cell>
          <cell r="GA4" t="str">
            <v>Sep</v>
          </cell>
          <cell r="GJ4" t="str">
            <v>FY End:</v>
          </cell>
          <cell r="GK4" t="str">
            <v>SANM (NASDAQ)</v>
          </cell>
        </row>
        <row r="5">
          <cell r="FZ5" t="str">
            <v>Price:</v>
          </cell>
          <cell r="GA5">
            <v>64.625</v>
          </cell>
          <cell r="GB5" t="str">
            <v>Sep</v>
          </cell>
          <cell r="GJ5" t="str">
            <v>Price:</v>
          </cell>
          <cell r="GK5" t="str">
            <v>($ In Millions Except Per Share Data)</v>
          </cell>
          <cell r="GL5" t="str">
            <v>Sep</v>
          </cell>
        </row>
        <row r="7">
          <cell r="FZ7" t="str">
            <v>Tax</v>
          </cell>
          <cell r="GA7" t="str">
            <v>1992A</v>
          </cell>
          <cell r="GB7">
            <v>1990</v>
          </cell>
          <cell r="GC7" t="str">
            <v>Net</v>
          </cell>
          <cell r="GD7" t="str">
            <v>1992A</v>
          </cell>
          <cell r="GE7" t="str">
            <v>F.D.</v>
          </cell>
          <cell r="GF7" t="str">
            <v>1994A</v>
          </cell>
          <cell r="GG7" t="str">
            <v>1995A</v>
          </cell>
          <cell r="GH7" t="str">
            <v>Avg FD</v>
          </cell>
          <cell r="GI7" t="str">
            <v>1997E</v>
          </cell>
          <cell r="GJ7" t="str">
            <v>Balance Sheet</v>
          </cell>
          <cell r="GL7">
            <v>1990</v>
          </cell>
          <cell r="GM7">
            <v>1991</v>
          </cell>
          <cell r="GN7" t="str">
            <v>1992A</v>
          </cell>
          <cell r="GO7" t="str">
            <v>1991A</v>
          </cell>
          <cell r="GP7" t="str">
            <v>1992A</v>
          </cell>
          <cell r="GQ7" t="str">
            <v>1993A</v>
          </cell>
          <cell r="GR7" t="str">
            <v>1994A</v>
          </cell>
          <cell r="GS7" t="str">
            <v>1995A</v>
          </cell>
        </row>
        <row r="8">
          <cell r="FZ8" t="str">
            <v>Rate</v>
          </cell>
          <cell r="GB8" t="str">
            <v>Inc.</v>
          </cell>
          <cell r="GC8" t="str">
            <v>%</v>
          </cell>
          <cell r="GD8" t="str">
            <v>Chg.</v>
          </cell>
          <cell r="GE8" t="str">
            <v>EPS</v>
          </cell>
          <cell r="GF8" t="str">
            <v>Chg.</v>
          </cell>
          <cell r="GG8" t="str">
            <v>Div.</v>
          </cell>
          <cell r="GH8" t="str">
            <v>Shares</v>
          </cell>
          <cell r="GJ8" t="str">
            <v>ASSETS</v>
          </cell>
          <cell r="GL8" t="str">
            <v>Net Income</v>
          </cell>
          <cell r="GO8">
            <v>-13.233000000000009</v>
          </cell>
          <cell r="GP8">
            <v>-14.124000000000009</v>
          </cell>
          <cell r="GQ8">
            <v>-11.233999999999984</v>
          </cell>
          <cell r="GR8">
            <v>-0.55499999999999972</v>
          </cell>
          <cell r="GS8">
            <v>22.086000000000002</v>
          </cell>
        </row>
        <row r="9">
          <cell r="FZ9">
            <v>0.17659137577002038</v>
          </cell>
          <cell r="GA9">
            <v>-14.124000000000006</v>
          </cell>
          <cell r="GB9">
            <v>-13.233000000000009</v>
          </cell>
          <cell r="GC9">
            <v>-8.0318774430066339E-2</v>
          </cell>
          <cell r="GD9">
            <v>7.5280000000000058</v>
          </cell>
          <cell r="GE9">
            <v>-1.2265541982091823</v>
          </cell>
          <cell r="GF9">
            <v>27.412000000000042</v>
          </cell>
          <cell r="GG9">
            <v>0</v>
          </cell>
          <cell r="GH9">
            <v>9.7117600000000017</v>
          </cell>
          <cell r="GI9">
            <v>123.65399999999987</v>
          </cell>
          <cell r="GJ9" t="str">
            <v xml:space="preserve">  Cash &amp; Equivalents</v>
          </cell>
          <cell r="GL9" t="e">
            <v>#REF!</v>
          </cell>
          <cell r="GM9">
            <v>0</v>
          </cell>
          <cell r="GN9">
            <v>7.5280000000000058</v>
          </cell>
          <cell r="GO9">
            <v>4.2969999999999997</v>
          </cell>
          <cell r="GP9">
            <v>4.274</v>
          </cell>
          <cell r="GQ9">
            <v>11.794</v>
          </cell>
          <cell r="GR9">
            <v>10.704000000000001</v>
          </cell>
          <cell r="GS9">
            <v>10.012</v>
          </cell>
        </row>
        <row r="10">
          <cell r="FZ10">
            <v>-1.2545702200874587E-2</v>
          </cell>
          <cell r="GA10">
            <v>4.274</v>
          </cell>
          <cell r="GB10">
            <v>-14.124000000000009</v>
          </cell>
          <cell r="GC10">
            <v>-8.4832904884318827E-2</v>
          </cell>
          <cell r="GD10">
            <v>6.7331670822942599E-2</v>
          </cell>
          <cell r="GE10">
            <v>-1.4549882330762594</v>
          </cell>
          <cell r="GF10">
            <v>0.18624047367870067</v>
          </cell>
          <cell r="GG10">
            <v>0</v>
          </cell>
          <cell r="GH10">
            <v>9.707295000000002</v>
          </cell>
          <cell r="GI10">
            <v>75.329000000000008</v>
          </cell>
          <cell r="GJ10" t="str">
            <v xml:space="preserve">  Receivables</v>
          </cell>
          <cell r="GL10">
            <v>0</v>
          </cell>
          <cell r="GM10">
            <v>0</v>
          </cell>
          <cell r="GN10">
            <v>9.7919999999999998</v>
          </cell>
          <cell r="GO10">
            <v>0</v>
          </cell>
          <cell r="GP10">
            <v>0</v>
          </cell>
          <cell r="GQ10">
            <v>0</v>
          </cell>
          <cell r="GR10">
            <v>0</v>
          </cell>
          <cell r="GS10">
            <v>0</v>
          </cell>
        </row>
        <row r="11">
          <cell r="FZ11" t="str">
            <v xml:space="preserve">  Inventory (LIFO)</v>
          </cell>
          <cell r="GA11">
            <v>0</v>
          </cell>
          <cell r="GB11">
            <v>0</v>
          </cell>
          <cell r="GC11">
            <v>0</v>
          </cell>
          <cell r="GD11">
            <v>5.8440000000000003</v>
          </cell>
          <cell r="GE11">
            <v>9.7249999999999996</v>
          </cell>
          <cell r="GF11">
            <v>17.565000000000001</v>
          </cell>
          <cell r="GG11">
            <v>27.337</v>
          </cell>
          <cell r="GH11">
            <v>42.798999999999999</v>
          </cell>
          <cell r="GI11">
            <v>67.00800000000001</v>
          </cell>
          <cell r="GJ11" t="str">
            <v xml:space="preserve">  Inventory (LIFO)</v>
          </cell>
          <cell r="GL11">
            <v>0</v>
          </cell>
          <cell r="GM11">
            <v>0</v>
          </cell>
          <cell r="GN11">
            <v>5.8440000000000003</v>
          </cell>
          <cell r="GO11">
            <v>2.4980000000000002</v>
          </cell>
          <cell r="GP11">
            <v>2.0099999999999998</v>
          </cell>
          <cell r="GQ11">
            <v>4.3499999999999996</v>
          </cell>
          <cell r="GR11">
            <v>7.0309999999999988</v>
          </cell>
          <cell r="GS11">
            <v>-1.472</v>
          </cell>
        </row>
        <row r="12">
          <cell r="FZ12">
            <v>0.39860139860139887</v>
          </cell>
          <cell r="GA12">
            <v>2.0099999999999998</v>
          </cell>
          <cell r="GB12">
            <v>0.86</v>
          </cell>
          <cell r="GC12">
            <v>4.2200304234751455E-2</v>
          </cell>
          <cell r="GD12">
            <v>2.016</v>
          </cell>
          <cell r="GE12">
            <v>9.2353951890034355E-2</v>
          </cell>
          <cell r="GF12">
            <v>3.1280000000000001</v>
          </cell>
          <cell r="GG12">
            <v>0</v>
          </cell>
          <cell r="GH12">
            <v>9.3120000000000012</v>
          </cell>
          <cell r="GI12">
            <v>12.597999999999999</v>
          </cell>
          <cell r="GJ12" t="str">
            <v xml:space="preserve">  Other</v>
          </cell>
          <cell r="GL12">
            <v>0</v>
          </cell>
          <cell r="GM12">
            <v>0</v>
          </cell>
          <cell r="GN12">
            <v>2.016</v>
          </cell>
          <cell r="GO12">
            <v>-2.5000000000000022E-2</v>
          </cell>
          <cell r="GP12">
            <v>2.9359999999999995</v>
          </cell>
          <cell r="GQ12">
            <v>-2.5059999999999989</v>
          </cell>
          <cell r="GR12">
            <v>-11.043000000000001</v>
          </cell>
          <cell r="GS12">
            <v>-3</v>
          </cell>
        </row>
        <row r="13">
          <cell r="FZ13">
            <v>0.40035693039857251</v>
          </cell>
          <cell r="GA13">
            <v>2.9359999999999995</v>
          </cell>
          <cell r="GB13">
            <v>0.18400000000000005</v>
          </cell>
          <cell r="GC13">
            <v>8.6299892125134853E-3</v>
          </cell>
          <cell r="GD13">
            <v>25.180000000000007</v>
          </cell>
          <cell r="GE13">
            <v>0.10824742268041236</v>
          </cell>
          <cell r="GF13">
            <v>74.06700000000005</v>
          </cell>
          <cell r="GG13">
            <v>0</v>
          </cell>
          <cell r="GH13">
            <v>9.3120000000000012</v>
          </cell>
          <cell r="GI13">
            <v>278.58899999999988</v>
          </cell>
          <cell r="GJ13" t="str">
            <v>Total Current</v>
          </cell>
          <cell r="GL13" t="e">
            <v>#REF!</v>
          </cell>
          <cell r="GM13">
            <v>0</v>
          </cell>
          <cell r="GN13">
            <v>25.180000000000007</v>
          </cell>
          <cell r="GO13">
            <v>-6.4630000000000107</v>
          </cell>
          <cell r="GP13">
            <v>-4.9040000000000088</v>
          </cell>
          <cell r="GQ13">
            <v>2.4040000000000172</v>
          </cell>
          <cell r="GR13">
            <v>6.1369999999999987</v>
          </cell>
          <cell r="GS13">
            <v>27.625999999999998</v>
          </cell>
        </row>
        <row r="14">
          <cell r="FZ14">
            <v>0.40271793172025194</v>
          </cell>
          <cell r="GA14">
            <v>-4.9040000000000052</v>
          </cell>
          <cell r="GB14">
            <v>1.802</v>
          </cell>
          <cell r="GC14">
            <v>8.1686310063463288E-2</v>
          </cell>
          <cell r="GD14">
            <v>27.626000000000005</v>
          </cell>
          <cell r="GE14">
            <v>0.12805571347356451</v>
          </cell>
          <cell r="GF14">
            <v>60.00000000000005</v>
          </cell>
          <cell r="GG14">
            <v>0</v>
          </cell>
          <cell r="GH14">
            <v>14.072000000000001</v>
          </cell>
          <cell r="GI14">
            <v>85.82023680000006</v>
          </cell>
          <cell r="GJ14">
            <v>194.70144000000005</v>
          </cell>
        </row>
        <row r="15">
          <cell r="FZ15">
            <v>-0.11817026683608639</v>
          </cell>
          <cell r="GB15">
            <v>-14.079999999999984</v>
          </cell>
          <cell r="GC15">
            <v>-0.11356120852354284</v>
          </cell>
          <cell r="GD15">
            <v>9.0169999999999995</v>
          </cell>
          <cell r="GE15">
            <v>-0.86996602930945122</v>
          </cell>
          <cell r="GF15">
            <v>26.360999999999997</v>
          </cell>
          <cell r="GG15">
            <v>0</v>
          </cell>
          <cell r="GH15">
            <v>16.184539999999998</v>
          </cell>
          <cell r="GI15">
            <v>80.028000000000006</v>
          </cell>
          <cell r="GJ15" t="str">
            <v>Fixed Assets</v>
          </cell>
          <cell r="GL15">
            <v>0</v>
          </cell>
          <cell r="GM15">
            <v>0</v>
          </cell>
          <cell r="GN15">
            <v>9.0169999999999995</v>
          </cell>
          <cell r="GO15">
            <v>3.2690000000000001</v>
          </cell>
          <cell r="GP15">
            <v>2.0550000000000002</v>
          </cell>
          <cell r="GQ15">
            <v>7.798</v>
          </cell>
          <cell r="GR15">
            <v>6.7519999999999998</v>
          </cell>
          <cell r="GS15">
            <v>14.608000000000001</v>
          </cell>
        </row>
        <row r="16">
          <cell r="FZ16">
            <v>-0.61045792079208061</v>
          </cell>
          <cell r="GA16">
            <v>2.0550000000000002</v>
          </cell>
          <cell r="GB16">
            <v>-11.233999999999984</v>
          </cell>
          <cell r="GC16">
            <v>-5.9836161622617706E-2</v>
          </cell>
          <cell r="GD16">
            <v>-0.20461625601812683</v>
          </cell>
          <cell r="GE16">
            <v>-0.85187274935996893</v>
          </cell>
          <cell r="GF16">
            <v>-0.41451571222753647</v>
          </cell>
          <cell r="GG16">
            <v>0</v>
          </cell>
          <cell r="GH16">
            <v>12.220135000000001</v>
          </cell>
          <cell r="GI16">
            <v>19.212</v>
          </cell>
          <cell r="GJ16" t="str">
            <v>Other Assets</v>
          </cell>
          <cell r="GL16" t="e">
            <v>#REF!</v>
          </cell>
          <cell r="GM16">
            <v>0</v>
          </cell>
          <cell r="GN16">
            <v>15.263999999999999</v>
          </cell>
          <cell r="GO16">
            <v>0</v>
          </cell>
          <cell r="GP16">
            <v>0</v>
          </cell>
          <cell r="GQ16">
            <v>0</v>
          </cell>
          <cell r="GR16">
            <v>0</v>
          </cell>
          <cell r="GS16">
            <v>0</v>
          </cell>
        </row>
        <row r="17">
          <cell r="FZ17" t="str">
            <v>Total Assets</v>
          </cell>
          <cell r="GA17">
            <v>0</v>
          </cell>
          <cell r="GB17" t="e">
            <v>#REF!</v>
          </cell>
          <cell r="GC17">
            <v>0</v>
          </cell>
          <cell r="GD17">
            <v>49.460999999999999</v>
          </cell>
          <cell r="GE17">
            <v>47.968000000000032</v>
          </cell>
          <cell r="GF17">
            <v>101.45000000000006</v>
          </cell>
          <cell r="GG17">
            <v>233.24500000000003</v>
          </cell>
          <cell r="GH17">
            <v>292.64599999999996</v>
          </cell>
          <cell r="GI17">
            <v>377.82899999999989</v>
          </cell>
          <cell r="GJ17" t="str">
            <v>Total Assets</v>
          </cell>
          <cell r="GL17" t="e">
            <v>#REF!</v>
          </cell>
          <cell r="GM17">
            <v>0</v>
          </cell>
          <cell r="GN17">
            <v>49.460999999999999</v>
          </cell>
          <cell r="GO17">
            <v>47.968000000000032</v>
          </cell>
          <cell r="GP17">
            <v>104.87600000000005</v>
          </cell>
          <cell r="GQ17">
            <v>236.67100000000005</v>
          </cell>
          <cell r="GR17">
            <v>292.64600000000002</v>
          </cell>
          <cell r="GS17">
            <v>381.92700000000002</v>
          </cell>
        </row>
        <row r="18">
          <cell r="FZ18">
            <v>1.6159420289854973</v>
          </cell>
          <cell r="GB18">
            <v>-0.67999999999999328</v>
          </cell>
          <cell r="GC18">
            <v>-1.2988749450843185E-2</v>
          </cell>
          <cell r="GD18" t="str">
            <v xml:space="preserve"> N.M.</v>
          </cell>
          <cell r="GE18">
            <v>-3.9534883720929843E-2</v>
          </cell>
          <cell r="GF18" t="str">
            <v xml:space="preserve"> N.M.</v>
          </cell>
          <cell r="GG18">
            <v>0</v>
          </cell>
          <cell r="GH18">
            <v>17.2</v>
          </cell>
          <cell r="GL18" t="str">
            <v>Excess Cash Flow</v>
          </cell>
          <cell r="GO18">
            <v>-9.73200000000001</v>
          </cell>
          <cell r="GP18">
            <v>-6.9590000000000085</v>
          </cell>
          <cell r="GQ18">
            <v>-5.3939999999999824</v>
          </cell>
          <cell r="GR18">
            <v>-0.6150000000000011</v>
          </cell>
          <cell r="GS18">
            <v>13.017999999999997</v>
          </cell>
        </row>
        <row r="19">
          <cell r="FZ19">
            <v>0.46162018592297538</v>
          </cell>
          <cell r="GA19">
            <v>-6.959000000000005</v>
          </cell>
          <cell r="GB19">
            <v>2.0269999999999948</v>
          </cell>
          <cell r="GC19">
            <v>3.7510640660276005E-2</v>
          </cell>
          <cell r="GD19" t="str">
            <v>N.M.</v>
          </cell>
          <cell r="GE19">
            <v>0.1119889502762428</v>
          </cell>
          <cell r="GF19">
            <v>3.456458826624307E-2</v>
          </cell>
          <cell r="GG19">
            <v>0</v>
          </cell>
          <cell r="GH19">
            <v>18.100000000000001</v>
          </cell>
          <cell r="GI19">
            <v>-4.1797631999999396</v>
          </cell>
          <cell r="GJ19" t="str">
            <v>LIABILITIES &amp; EQUITY</v>
          </cell>
        </row>
        <row r="20">
          <cell r="FZ20">
            <v>0.50952249516974835</v>
          </cell>
          <cell r="GB20">
            <v>11.944000000000003</v>
          </cell>
          <cell r="GC20">
            <v>0.22603660036713918</v>
          </cell>
          <cell r="GD20">
            <v>5.6281908990011118</v>
          </cell>
          <cell r="GE20">
            <v>9.1128205128205311E-2</v>
          </cell>
          <cell r="GF20">
            <v>-0.28837064230626785</v>
          </cell>
          <cell r="GG20">
            <v>0</v>
          </cell>
          <cell r="GH20">
            <v>19.5</v>
          </cell>
          <cell r="GI20">
            <v>6.585</v>
          </cell>
          <cell r="GJ20" t="str">
            <v xml:space="preserve">  Current Debt</v>
          </cell>
          <cell r="GL20">
            <v>0</v>
          </cell>
          <cell r="GM20">
            <v>0</v>
          </cell>
          <cell r="GN20">
            <v>3.9820000000000002</v>
          </cell>
          <cell r="GO20">
            <v>0</v>
          </cell>
          <cell r="GP20">
            <v>3.5059999999999998</v>
          </cell>
          <cell r="GQ20">
            <v>3.6860000000000004</v>
          </cell>
          <cell r="GR20">
            <v>6.5849999999999991</v>
          </cell>
          <cell r="GS20">
            <v>8.7880000000000003</v>
          </cell>
        </row>
        <row r="21">
          <cell r="FZ21">
            <v>0.16706634692246194</v>
          </cell>
          <cell r="GB21">
            <v>-10.420000000000009</v>
          </cell>
          <cell r="GC21">
            <v>-0.20204370503945879</v>
          </cell>
          <cell r="GD21">
            <v>-0.25994318181818038</v>
          </cell>
          <cell r="GE21">
            <v>-0.55132275132275188</v>
          </cell>
          <cell r="GF21">
            <v>-0.36627094306156677</v>
          </cell>
          <cell r="GG21">
            <v>0</v>
          </cell>
          <cell r="GH21">
            <v>18.899999999999999</v>
          </cell>
          <cell r="GI21">
            <v>93.138999999999996</v>
          </cell>
          <cell r="GJ21" t="str">
            <v xml:space="preserve">  Payables &amp; Accruals</v>
          </cell>
          <cell r="GL21">
            <v>0</v>
          </cell>
          <cell r="GM21">
            <v>0</v>
          </cell>
          <cell r="GN21">
            <v>10.514999999999999</v>
          </cell>
          <cell r="GO21">
            <v>12.666</v>
          </cell>
          <cell r="GP21">
            <v>-8.4832904884318827E-2</v>
          </cell>
          <cell r="GQ21">
            <v>-5.9836161622617706E-2</v>
          </cell>
          <cell r="GR21">
            <v>-2.6327648774934166E-3</v>
          </cell>
          <cell r="GS21">
            <v>8.127113561012228E-2</v>
          </cell>
        </row>
        <row r="22">
          <cell r="FZ22">
            <v>-0.81582877053260194</v>
          </cell>
          <cell r="GA22">
            <v>-8.4832904884318813E-2</v>
          </cell>
          <cell r="GB22">
            <v>2.8709999999999951</v>
          </cell>
          <cell r="GC22">
            <v>1.3619221555465928E-2</v>
          </cell>
          <cell r="GD22">
            <v>-1.2555634680434395</v>
          </cell>
          <cell r="GE22">
            <v>-0.39146991622239175</v>
          </cell>
          <cell r="GF22">
            <v>-0.54045963259593421</v>
          </cell>
          <cell r="GG22">
            <v>0</v>
          </cell>
          <cell r="GH22">
            <v>18.382000000000001</v>
          </cell>
          <cell r="GI22">
            <v>6.7249999999999996</v>
          </cell>
          <cell r="GJ22" t="str">
            <v xml:space="preserve">  Other </v>
          </cell>
          <cell r="GL22" t="e">
            <v>#REF!</v>
          </cell>
          <cell r="GM22">
            <v>0</v>
          </cell>
          <cell r="GN22">
            <v>2.1999999999999999E-2</v>
          </cell>
          <cell r="GO22">
            <v>2.3260000000000001</v>
          </cell>
          <cell r="GP22">
            <v>6.7322536948302698</v>
          </cell>
          <cell r="GQ22">
            <v>3.8540065073027527</v>
          </cell>
          <cell r="GR22">
            <v>2.8216814573879971</v>
          </cell>
          <cell r="GS22">
            <v>1.6239083344537559</v>
          </cell>
        </row>
        <row r="23">
          <cell r="FZ23" t="str">
            <v>Total Current</v>
          </cell>
          <cell r="GB23" t="e">
            <v>#REF!</v>
          </cell>
          <cell r="GC23">
            <v>0</v>
          </cell>
          <cell r="GD23">
            <v>14.519</v>
          </cell>
          <cell r="GE23">
            <v>14.992000000000001</v>
          </cell>
          <cell r="GF23">
            <v>32.221000000000004</v>
          </cell>
          <cell r="GG23">
            <v>51.569999999999993</v>
          </cell>
          <cell r="GH23">
            <v>63.119</v>
          </cell>
          <cell r="GI23">
            <v>106.44899999999998</v>
          </cell>
          <cell r="GJ23" t="str">
            <v>Total Current</v>
          </cell>
          <cell r="GL23" t="e">
            <v>#REF!</v>
          </cell>
          <cell r="GM23">
            <v>0</v>
          </cell>
          <cell r="GN23">
            <v>14.519</v>
          </cell>
          <cell r="GO23">
            <v>14.992000000000001</v>
          </cell>
          <cell r="GP23">
            <v>575.12790697674427</v>
          </cell>
          <cell r="GQ23">
            <v>3.7173871570834458</v>
          </cell>
          <cell r="GR23">
            <v>1.8926608061206407</v>
          </cell>
          <cell r="GS23">
            <v>2.4993652547941942</v>
          </cell>
        </row>
        <row r="24">
          <cell r="FZ24">
            <v>0.38265218141058804</v>
          </cell>
          <cell r="GB24">
            <v>3.5799999999999996</v>
          </cell>
          <cell r="GC24">
            <v>6.2260869565217383E-2</v>
          </cell>
          <cell r="GD24" t="str">
            <v xml:space="preserve"> N.M.</v>
          </cell>
          <cell r="GE24">
            <v>0.18358974358974356</v>
          </cell>
          <cell r="GF24" t="str">
            <v xml:space="preserve"> N.M.</v>
          </cell>
          <cell r="GG24">
            <v>0</v>
          </cell>
          <cell r="GH24">
            <v>19.5</v>
          </cell>
          <cell r="GI24">
            <v>1.8720559827604735</v>
          </cell>
          <cell r="GJ24">
            <v>1.7748136607591043</v>
          </cell>
          <cell r="GL24" t="str">
            <v>Return on Equity</v>
          </cell>
          <cell r="GQ24">
            <v>-0.8572627723301145</v>
          </cell>
          <cell r="GR24">
            <v>-1.4060243710890982E-2</v>
          </cell>
          <cell r="GS24">
            <v>0.32985841448115188</v>
          </cell>
        </row>
        <row r="25">
          <cell r="FZ25">
            <v>0.4623502056877129</v>
          </cell>
          <cell r="GB25">
            <v>4.8389999999999942</v>
          </cell>
          <cell r="GC25">
            <v>7.7113080061193176E-2</v>
          </cell>
          <cell r="GD25">
            <v>1.3872718302910738</v>
          </cell>
          <cell r="GE25">
            <v>0.15029999999999971</v>
          </cell>
          <cell r="GF25">
            <v>0.34209669462259595</v>
          </cell>
          <cell r="GG25">
            <v>0</v>
          </cell>
          <cell r="GH25">
            <v>20</v>
          </cell>
          <cell r="GI25">
            <v>100.69800000000001</v>
          </cell>
          <cell r="GJ25" t="str">
            <v>Long Term Debt &amp; Lease</v>
          </cell>
          <cell r="GL25">
            <v>0</v>
          </cell>
          <cell r="GM25">
            <v>0</v>
          </cell>
          <cell r="GN25">
            <v>31.163</v>
          </cell>
          <cell r="GO25">
            <v>4.4379999999999997</v>
          </cell>
          <cell r="GP25">
            <v>16.405999999999999</v>
          </cell>
          <cell r="GQ25">
            <v>99.53</v>
          </cell>
          <cell r="GR25">
            <v>100.69799999999999</v>
          </cell>
          <cell r="GS25">
            <v>108.38200000000001</v>
          </cell>
        </row>
        <row r="26">
          <cell r="FZ26">
            <v>0.34968373314237999</v>
          </cell>
          <cell r="GB26">
            <v>5.4489999999999945</v>
          </cell>
          <cell r="GC26">
            <v>7.5799518689053574E-2</v>
          </cell>
          <cell r="GD26">
            <v>-0.54378767582049625</v>
          </cell>
          <cell r="GE26">
            <v>0.27109452736318379</v>
          </cell>
          <cell r="GF26">
            <v>1.9748696024659953</v>
          </cell>
          <cell r="GG26">
            <v>0</v>
          </cell>
          <cell r="GH26">
            <v>20.100000000000001</v>
          </cell>
          <cell r="GI26">
            <v>0</v>
          </cell>
          <cell r="GJ26" t="str">
            <v>Deferred Taxes</v>
          </cell>
          <cell r="GL26">
            <v>0</v>
          </cell>
          <cell r="GM26">
            <v>0</v>
          </cell>
          <cell r="GN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S26">
            <v>0</v>
          </cell>
        </row>
        <row r="27">
          <cell r="FZ27">
            <v>0.30005962013457038</v>
          </cell>
          <cell r="GB27">
            <v>8.2180000000000302</v>
          </cell>
          <cell r="GC27">
            <v>0.10321786530684054</v>
          </cell>
          <cell r="GD27">
            <v>-1.7886756238003862</v>
          </cell>
          <cell r="GE27">
            <v>0.3735454545454559</v>
          </cell>
          <cell r="GF27">
            <v>-1.6775440586285135</v>
          </cell>
          <cell r="GG27">
            <v>0</v>
          </cell>
          <cell r="GH27">
            <v>22</v>
          </cell>
          <cell r="GI27">
            <v>0.59199999999999997</v>
          </cell>
          <cell r="GJ27" t="str">
            <v>Other Liabilities</v>
          </cell>
          <cell r="GL27" t="e">
            <v>#REF!</v>
          </cell>
          <cell r="GM27">
            <v>0</v>
          </cell>
          <cell r="GN27">
            <v>0</v>
          </cell>
          <cell r="GO27">
            <v>0</v>
          </cell>
          <cell r="GP27">
            <v>9.707295000000002</v>
          </cell>
          <cell r="GQ27">
            <v>12.220135000000001</v>
          </cell>
          <cell r="GR27">
            <v>18.730720000000002</v>
          </cell>
          <cell r="GS27">
            <v>20.86056</v>
          </cell>
        </row>
        <row r="28">
          <cell r="FZ28">
            <v>0.35725166613773385</v>
          </cell>
          <cell r="GA28">
            <v>21.786359999999998</v>
          </cell>
          <cell r="GB28">
            <v>22.08600000000002</v>
          </cell>
          <cell r="GC28">
            <v>8.127113561012235E-2</v>
          </cell>
          <cell r="GD28" t="str">
            <v>N.M.</v>
          </cell>
          <cell r="GE28">
            <v>1.0079446814771233</v>
          </cell>
          <cell r="GF28">
            <v>-3.5747691960689925</v>
          </cell>
          <cell r="GG28">
            <v>0</v>
          </cell>
          <cell r="GH28">
            <v>20.390999999999998</v>
          </cell>
          <cell r="GI28">
            <v>64.380499999999998</v>
          </cell>
          <cell r="GJ28">
            <v>69.75</v>
          </cell>
          <cell r="GL28" t="str">
            <v>Per Share</v>
          </cell>
        </row>
        <row r="29">
          <cell r="FZ29" t="str">
            <v>Preferred Stock</v>
          </cell>
          <cell r="GB29">
            <v>0</v>
          </cell>
          <cell r="GC29">
            <v>0</v>
          </cell>
          <cell r="GD29">
            <v>0</v>
          </cell>
          <cell r="GE29">
            <v>0</v>
          </cell>
          <cell r="GF29">
            <v>0</v>
          </cell>
          <cell r="GG29">
            <v>0</v>
          </cell>
          <cell r="GH29">
            <v>0</v>
          </cell>
          <cell r="GI29">
            <v>0</v>
          </cell>
          <cell r="GJ29" t="str">
            <v>Preferred Stock</v>
          </cell>
          <cell r="GL29">
            <v>0</v>
          </cell>
          <cell r="GM29">
            <v>0</v>
          </cell>
          <cell r="GN29">
            <v>0</v>
          </cell>
          <cell r="GO29">
            <v>0</v>
          </cell>
          <cell r="GP29">
            <v>8.8593166273405691E-3</v>
          </cell>
          <cell r="GQ29">
            <v>2.1377014247387609</v>
          </cell>
          <cell r="GR29">
            <v>2.8201265087513985</v>
          </cell>
          <cell r="GS29">
            <v>3.8871919066410481</v>
          </cell>
        </row>
        <row r="30">
          <cell r="FZ30">
            <v>0.31289055525798948</v>
          </cell>
          <cell r="GA30">
            <v>3.9474239845481299E-3</v>
          </cell>
          <cell r="GB30">
            <v>7.6970000000000054</v>
          </cell>
          <cell r="GC30">
            <v>9.4929761596428325E-2</v>
          </cell>
          <cell r="GD30">
            <v>1.1500000000000017</v>
          </cell>
          <cell r="GE30">
            <v>0.3637570101459825</v>
          </cell>
          <cell r="GF30">
            <v>0.98135801615828488</v>
          </cell>
          <cell r="GG30">
            <v>0</v>
          </cell>
          <cell r="GH30">
            <v>23.359000000000002</v>
          </cell>
          <cell r="GI30">
            <v>170.08999999999995</v>
          </cell>
          <cell r="GJ30" t="str">
            <v>Common Equity</v>
          </cell>
          <cell r="GL30" t="e">
            <v>#REF!</v>
          </cell>
          <cell r="GM30">
            <v>0</v>
          </cell>
          <cell r="GN30">
            <v>8.5999999999999993E-2</v>
          </cell>
          <cell r="GO30">
            <v>26.123000000000001</v>
          </cell>
          <cell r="GP30">
            <v>0.77549925082116122</v>
          </cell>
          <cell r="GQ30">
            <v>0.24746044131263956</v>
          </cell>
          <cell r="GR30">
            <v>1.4634781791623621</v>
          </cell>
          <cell r="GS30">
            <v>5.513274811414461</v>
          </cell>
        </row>
        <row r="31">
          <cell r="FZ31">
            <v>0.31343747571306457</v>
          </cell>
          <cell r="GA31">
            <v>0.17602756954351284</v>
          </cell>
          <cell r="GB31">
            <v>8.8339999999999961</v>
          </cell>
          <cell r="GC31">
            <v>9.4370259587650857E-2</v>
          </cell>
          <cell r="GD31">
            <v>0.82558379830543638</v>
          </cell>
          <cell r="GE31">
            <v>0.40085771947527732</v>
          </cell>
          <cell r="GF31">
            <v>1.6670506951116306</v>
          </cell>
          <cell r="GG31">
            <v>0</v>
          </cell>
          <cell r="GH31">
            <v>23.783999999999999</v>
          </cell>
          <cell r="GI31">
            <v>170.08999999999995</v>
          </cell>
          <cell r="GJ31" t="str">
            <v>Total Equity</v>
          </cell>
          <cell r="GL31" t="e">
            <v>#REF!</v>
          </cell>
          <cell r="GM31">
            <v>0</v>
          </cell>
          <cell r="GN31">
            <v>8.5999999999999993E-2</v>
          </cell>
          <cell r="GO31">
            <v>26.123000000000001</v>
          </cell>
          <cell r="GP31">
            <v>1.0982462158613706</v>
          </cell>
          <cell r="GQ31">
            <v>0.88452377981094554</v>
          </cell>
          <cell r="GR31">
            <v>2.234083900672267</v>
          </cell>
          <cell r="GS31">
            <v>6.523218935637396</v>
          </cell>
        </row>
        <row r="32">
          <cell r="FZ32">
            <v>0.32877102936983182</v>
          </cell>
          <cell r="GA32">
            <v>0.31983314330617918</v>
          </cell>
          <cell r="GB32">
            <v>9.4159999999999986</v>
          </cell>
          <cell r="GC32">
            <v>9.2292914342844257E-2</v>
          </cell>
          <cell r="GD32">
            <v>0.72802349054872606</v>
          </cell>
          <cell r="GE32">
            <v>0.42630612585544986</v>
          </cell>
          <cell r="GF32">
            <v>0.5725368195438707</v>
          </cell>
          <cell r="GG32">
            <v>0</v>
          </cell>
          <cell r="GH32">
            <v>23.963999999999999</v>
          </cell>
          <cell r="GI32">
            <v>377.82899999999995</v>
          </cell>
          <cell r="GJ32" t="str">
            <v>Total Liab. &amp; Equity</v>
          </cell>
          <cell r="GL32" t="e">
            <v>#REF!</v>
          </cell>
          <cell r="GM32">
            <v>0</v>
          </cell>
          <cell r="GN32">
            <v>45.768000000000001</v>
          </cell>
          <cell r="GO32">
            <v>45.552999999999997</v>
          </cell>
          <cell r="GP32">
            <v>101.45</v>
          </cell>
          <cell r="GQ32">
            <v>233.245</v>
          </cell>
          <cell r="GR32">
            <v>292.64600000000002</v>
          </cell>
          <cell r="GS32">
            <v>381.92700000000002</v>
          </cell>
        </row>
        <row r="33">
          <cell r="FZ33">
            <v>0.33165481211052894</v>
          </cell>
          <cell r="GB33">
            <v>10.618000000000084</v>
          </cell>
          <cell r="GC33">
            <v>9.2115764999827182E-2</v>
          </cell>
          <cell r="GD33">
            <v>0.29204185933317656</v>
          </cell>
          <cell r="GE33">
            <v>0.47247421399279588</v>
          </cell>
          <cell r="GF33">
            <v>0.26483727279647989</v>
          </cell>
          <cell r="GG33">
            <v>0</v>
          </cell>
          <cell r="GH33">
            <v>24.140999999999998</v>
          </cell>
          <cell r="GL33" t="str">
            <v xml:space="preserve">     From Operations</v>
          </cell>
          <cell r="GP33">
            <v>-0.50518707837765386</v>
          </cell>
          <cell r="GQ33">
            <v>0.19672450427102622</v>
          </cell>
          <cell r="GR33">
            <v>0.32764357162992125</v>
          </cell>
          <cell r="GS33">
            <v>1.32431727623803</v>
          </cell>
        </row>
        <row r="34">
          <cell r="FZ34">
            <v>0.3226696799051566</v>
          </cell>
          <cell r="GA34">
            <v>-0.22509496767702386</v>
          </cell>
          <cell r="GB34">
            <v>36.565000000000083</v>
          </cell>
          <cell r="GC34">
            <v>9.3282344597456213E-2</v>
          </cell>
          <cell r="GD34">
            <v>0.65557366657611382</v>
          </cell>
          <cell r="GE34">
            <v>1.6551911200133569</v>
          </cell>
          <cell r="GF34">
            <v>0.64214480261724916</v>
          </cell>
          <cell r="GG34">
            <v>0</v>
          </cell>
          <cell r="GH34">
            <v>23.963999999999999</v>
          </cell>
          <cell r="GI34">
            <v>1.3330160032929235</v>
          </cell>
          <cell r="GJ34" t="str">
            <v>Balance Sheet Analysis</v>
          </cell>
          <cell r="GL34" t="str">
            <v xml:space="preserve">     Excess</v>
          </cell>
          <cell r="GP34">
            <v>-0.71688353964724538</v>
          </cell>
          <cell r="GQ34">
            <v>-0.44140265226202346</v>
          </cell>
          <cell r="GR34">
            <v>-3.2833761862864914E-2</v>
          </cell>
          <cell r="GS34">
            <v>0.62404844357006706</v>
          </cell>
        </row>
        <row r="35">
          <cell r="FZ35" t="str">
            <v>Inventory T/O (COGS)</v>
          </cell>
          <cell r="GA35">
            <v>-0.31942004079616815</v>
          </cell>
          <cell r="GB35">
            <v>-0.20129810031915116</v>
          </cell>
          <cell r="GC35">
            <v>7.6460668044826277E-2</v>
          </cell>
          <cell r="GD35">
            <v>53.316563997262143</v>
          </cell>
          <cell r="GE35">
            <v>21.272785663819128</v>
          </cell>
          <cell r="GF35">
            <v>12.860095272993771</v>
          </cell>
          <cell r="GG35">
            <v>9.6572090330052127</v>
          </cell>
          <cell r="GH35">
            <v>8.7038610699212953</v>
          </cell>
          <cell r="GI35">
            <v>8.1435609751655171</v>
          </cell>
          <cell r="GJ35" t="str">
            <v>Inventory T/O (COGS)</v>
          </cell>
          <cell r="GN35">
            <v>53.316563997262143</v>
          </cell>
          <cell r="GO35">
            <v>21.272785663819128</v>
          </cell>
          <cell r="GP35">
            <v>12.860095272993771</v>
          </cell>
          <cell r="GQ35">
            <v>9.6572090330052109</v>
          </cell>
          <cell r="GR35">
            <v>8.7038610699212953</v>
          </cell>
          <cell r="GS35">
            <v>8.6975181366933949</v>
          </cell>
        </row>
        <row r="36">
          <cell r="FZ36">
            <v>0.33791054814482657</v>
          </cell>
          <cell r="GB36">
            <v>11.813000000000013</v>
          </cell>
          <cell r="GC36">
            <v>9.4372633294454222E-2</v>
          </cell>
          <cell r="GD36">
            <v>10.586454604425438</v>
          </cell>
          <cell r="GE36">
            <v>20.129749768303984</v>
          </cell>
          <cell r="GF36">
            <v>31.734920898460665</v>
          </cell>
          <cell r="GG36">
            <v>43.359177500487569</v>
          </cell>
          <cell r="GH36">
            <v>41.504762973810031</v>
          </cell>
          <cell r="GI36">
            <v>39.807850008761179</v>
          </cell>
          <cell r="GJ36">
            <v>42.325469387755106</v>
          </cell>
          <cell r="GL36" t="str">
            <v>Valuation Measures-a</v>
          </cell>
          <cell r="GN36">
            <v>10.586454604425438</v>
          </cell>
          <cell r="GO36">
            <v>20.129749768303984</v>
          </cell>
          <cell r="GP36">
            <v>31.734920898460665</v>
          </cell>
          <cell r="GQ36">
            <v>43.359177500487569</v>
          </cell>
          <cell r="GR36">
            <v>41.504762973810024</v>
          </cell>
          <cell r="GS36">
            <v>40.505030827309149</v>
          </cell>
        </row>
        <row r="37">
          <cell r="FZ37">
            <v>0.3750146284376828</v>
          </cell>
          <cell r="GB37">
            <v>10.681000000000004</v>
          </cell>
          <cell r="GC37">
            <v>7.9814381683268223E-2</v>
          </cell>
          <cell r="GD37">
            <v>11.368113783244839</v>
          </cell>
          <cell r="GE37">
            <v>22.224601323064135</v>
          </cell>
          <cell r="GF37">
            <v>31.570977917981075</v>
          </cell>
          <cell r="GG37">
            <v>44.04471641944825</v>
          </cell>
          <cell r="GH37">
            <v>42.245919455485208</v>
          </cell>
          <cell r="GI37">
            <v>45.08610478359909</v>
          </cell>
          <cell r="GJ37">
            <v>49.537469387755102</v>
          </cell>
          <cell r="GL37" t="str">
            <v>Historical P/E:  High-b</v>
          </cell>
          <cell r="GN37">
            <v>11.368113783244839</v>
          </cell>
          <cell r="GO37">
            <v>22.224601323064135</v>
          </cell>
          <cell r="GP37">
            <v>0</v>
          </cell>
          <cell r="GQ37">
            <v>-16.434379442843444</v>
          </cell>
          <cell r="GR37">
            <v>-26.31692501398993</v>
          </cell>
          <cell r="GS37">
            <v>25.218008936947609</v>
          </cell>
        </row>
        <row r="38">
          <cell r="FZ38">
            <v>0.34439124487004102</v>
          </cell>
          <cell r="GB38">
            <v>13.419000000000004</v>
          </cell>
          <cell r="GC38">
            <v>8.9342068469620117E-2</v>
          </cell>
          <cell r="GD38">
            <v>1.1246759896316683</v>
          </cell>
          <cell r="GE38">
            <v>0.14521776119891364</v>
          </cell>
          <cell r="GF38">
            <v>0.28762512819772063</v>
          </cell>
          <cell r="GG38">
            <v>0.57145704493990124</v>
          </cell>
          <cell r="GH38">
            <v>0.46861772992334061</v>
          </cell>
          <cell r="GI38">
            <v>0.39618816195695533</v>
          </cell>
          <cell r="GJ38">
            <v>0.28780169775212644</v>
          </cell>
          <cell r="GL38" t="str">
            <v>Historical P/E:  Low-b</v>
          </cell>
          <cell r="GN38">
            <v>1.1246759896316683</v>
          </cell>
          <cell r="GO38">
            <v>0.14521776119891364</v>
          </cell>
          <cell r="GP38">
            <v>0</v>
          </cell>
          <cell r="GQ38">
            <v>-6.0161567603266182</v>
          </cell>
          <cell r="GR38">
            <v>-12.740733538518935</v>
          </cell>
          <cell r="GS38">
            <v>10.11217190045919</v>
          </cell>
        </row>
        <row r="39">
          <cell r="FZ39">
            <v>4.6980096087850596</v>
          </cell>
          <cell r="GB39">
            <v>-5.3879999999999661</v>
          </cell>
          <cell r="GC39">
            <v>-3.3550861811297975E-2</v>
          </cell>
          <cell r="GD39">
            <v>-1.9927054280197392</v>
          </cell>
          <cell r="GE39">
            <v>-0.62534573799345583</v>
          </cell>
          <cell r="GF39">
            <v>-1.4529914529914481</v>
          </cell>
          <cell r="GG39">
            <v>38.467300832342438</v>
          </cell>
          <cell r="GH39">
            <v>41.136802973977659</v>
          </cell>
          <cell r="GI39">
            <v>25.686367558239827</v>
          </cell>
          <cell r="GJ39">
            <v>96.794791666666626</v>
          </cell>
          <cell r="GL39" t="str">
            <v>Historical P/Gross CF:  High</v>
          </cell>
          <cell r="GN39">
            <v>-1.9927054280197392</v>
          </cell>
          <cell r="GO39">
            <v>-0.62534573799345583</v>
          </cell>
          <cell r="GP39">
            <v>0</v>
          </cell>
          <cell r="GQ39">
            <v>305.50337499998523</v>
          </cell>
          <cell r="GR39">
            <v>27.802746083357942</v>
          </cell>
          <cell r="GS39">
            <v>15.911905258894642</v>
          </cell>
        </row>
        <row r="40">
          <cell r="FZ40">
            <v>0.46312679177585836</v>
          </cell>
          <cell r="GB40">
            <v>30.525000000000059</v>
          </cell>
          <cell r="GC40">
            <v>5.3572650832679668E-2</v>
          </cell>
          <cell r="GD40">
            <v>-0.16518528647613862</v>
          </cell>
          <cell r="GE40">
            <v>1.3226630007855478</v>
          </cell>
          <cell r="GF40">
            <v>-0.20090013485882263</v>
          </cell>
          <cell r="GG40">
            <v>0</v>
          </cell>
          <cell r="GH40">
            <v>25.46</v>
          </cell>
          <cell r="GL40" t="str">
            <v>Historical P/Gross CF:  Low</v>
          </cell>
          <cell r="GP40">
            <v>0</v>
          </cell>
          <cell r="GQ40">
            <v>111.83605691963744</v>
          </cell>
          <cell r="GR40">
            <v>13.4600596117844</v>
          </cell>
          <cell r="GS40">
            <v>6.3805164652003263</v>
          </cell>
        </row>
        <row r="41">
          <cell r="FZ41" t="str">
            <v>Invested Capital</v>
          </cell>
          <cell r="GF41">
            <v>45.322999999999958</v>
          </cell>
          <cell r="GG41">
            <v>70.350999999999971</v>
          </cell>
          <cell r="GH41">
            <v>120.09500000000013</v>
          </cell>
          <cell r="GI41">
            <v>154.31100000000004</v>
          </cell>
          <cell r="GJ41" t="str">
            <v>Invested Capital</v>
          </cell>
          <cell r="GL41" t="str">
            <v>EV/EBITDA</v>
          </cell>
          <cell r="GP41">
            <v>41.896999999999963</v>
          </cell>
          <cell r="GQ41">
            <v>66.924999999999955</v>
          </cell>
          <cell r="GR41">
            <v>120.09500000000003</v>
          </cell>
          <cell r="GS41">
            <v>166.35000000000002</v>
          </cell>
        </row>
        <row r="42">
          <cell r="FZ42">
            <v>0.36504391085841931</v>
          </cell>
          <cell r="GB42">
            <v>12.507999999999996</v>
          </cell>
          <cell r="GC42">
            <v>7.8613763065107103E-2</v>
          </cell>
          <cell r="GD42">
            <v>5.8833488529584477E-2</v>
          </cell>
          <cell r="GE42">
            <v>0.53446422171783525</v>
          </cell>
          <cell r="GF42">
            <v>3.8856613168393173E-2</v>
          </cell>
          <cell r="GG42">
            <v>0</v>
          </cell>
          <cell r="GH42">
            <v>25.113</v>
          </cell>
          <cell r="GL42" t="str">
            <v>YE Market Cap. (Avg. Shares)</v>
          </cell>
          <cell r="GP42">
            <v>0</v>
          </cell>
          <cell r="GQ42">
            <v>155.80672125000001</v>
          </cell>
          <cell r="GR42">
            <v>227.10998000000001</v>
          </cell>
          <cell r="GS42">
            <v>498.04586999999998</v>
          </cell>
        </row>
        <row r="43">
          <cell r="FZ43">
            <v>0.36499999999999999</v>
          </cell>
          <cell r="GB43">
            <v>16.221074999999988</v>
          </cell>
          <cell r="GC43">
            <v>9.6842238805970079E-2</v>
          </cell>
          <cell r="GD43">
            <v>0.51868504821645744</v>
          </cell>
          <cell r="GE43">
            <v>0.666734435797665</v>
          </cell>
          <cell r="GF43">
            <v>0.42590132018878019</v>
          </cell>
          <cell r="GG43">
            <v>0</v>
          </cell>
          <cell r="GH43">
            <v>25.7</v>
          </cell>
          <cell r="GL43" t="str">
            <v>Total Debt</v>
          </cell>
          <cell r="GP43">
            <v>35.145000000000003</v>
          </cell>
          <cell r="GQ43">
            <v>4.4379999999999997</v>
          </cell>
          <cell r="GR43">
            <v>19.911999999999999</v>
          </cell>
          <cell r="GS43">
            <v>103.21600000000001</v>
          </cell>
        </row>
        <row r="44">
          <cell r="FZ44">
            <v>0.36499999999999999</v>
          </cell>
          <cell r="GB44">
            <v>19.185254999999994</v>
          </cell>
          <cell r="GC44">
            <v>0.10044636125654448</v>
          </cell>
          <cell r="GD44">
            <v>0.42970824949698105</v>
          </cell>
          <cell r="GE44">
            <v>0.77304826923076908</v>
          </cell>
          <cell r="GF44">
            <v>0.3520590831172058</v>
          </cell>
          <cell r="GG44">
            <v>0</v>
          </cell>
          <cell r="GH44">
            <v>26</v>
          </cell>
          <cell r="GL44" t="str">
            <v>Cash &amp; Equivalents</v>
          </cell>
          <cell r="GP44">
            <v>7.5280000000000058</v>
          </cell>
          <cell r="GQ44">
            <v>3.0240000000000329</v>
          </cell>
          <cell r="GR44">
            <v>27.412000000000042</v>
          </cell>
          <cell r="GS44">
            <v>115.01000000000005</v>
          </cell>
        </row>
        <row r="45">
          <cell r="FZ45">
            <v>0.36499999999999999</v>
          </cell>
          <cell r="GB45">
            <v>21.6321005</v>
          </cell>
          <cell r="GC45">
            <v>0.10355241981809478</v>
          </cell>
          <cell r="GD45">
            <v>-5.0148664625093051</v>
          </cell>
          <cell r="GE45">
            <v>0.84566922053231941</v>
          </cell>
          <cell r="GF45">
            <v>-4.2112828975670684</v>
          </cell>
          <cell r="GG45">
            <v>0</v>
          </cell>
          <cell r="GH45">
            <v>26.3</v>
          </cell>
          <cell r="GL45" t="str">
            <v>Total Enterprise Value</v>
          </cell>
          <cell r="GP45">
            <v>27.616999999999997</v>
          </cell>
          <cell r="GQ45">
            <v>157.22072124999997</v>
          </cell>
          <cell r="GR45">
            <v>219.60997999999998</v>
          </cell>
          <cell r="GS45">
            <v>486.25187</v>
          </cell>
        </row>
        <row r="46">
          <cell r="FZ46">
            <v>0.36500789786282911</v>
          </cell>
          <cell r="GB46">
            <v>69.546430499999985</v>
          </cell>
          <cell r="GC46">
            <v>9.5727130640172756E-2</v>
          </cell>
          <cell r="GD46">
            <v>1.2783433415233367</v>
          </cell>
          <cell r="GE46">
            <v>2.8181288683289201</v>
          </cell>
          <cell r="GF46">
            <v>1.1306476907989369</v>
          </cell>
          <cell r="GG46">
            <v>0</v>
          </cell>
          <cell r="GH46">
            <v>25.77825</v>
          </cell>
          <cell r="GL46" t="str">
            <v>EBITDA</v>
          </cell>
          <cell r="GP46">
            <v>-7.5950000000000033</v>
          </cell>
          <cell r="GQ46">
            <v>3.3400000000000265</v>
          </cell>
          <cell r="GR46">
            <v>-2.7199999999999918</v>
          </cell>
          <cell r="GS46">
            <v>41.676999999999985</v>
          </cell>
        </row>
        <row r="47">
          <cell r="FZ47" t="str">
            <v>Source: Company Reports and BARS Estimates.</v>
          </cell>
          <cell r="GJ47" t="str">
            <v>Source: Company Reports and BARS Estimates.</v>
          </cell>
          <cell r="GL47" t="str">
            <v>a. Fiscal year ending unless otherwise noted</v>
          </cell>
        </row>
        <row r="48">
          <cell r="FZ48">
            <v>0.36499999999999999</v>
          </cell>
          <cell r="GB48">
            <v>22.320250000000001</v>
          </cell>
          <cell r="GC48">
            <v>0.10381511627906978</v>
          </cell>
          <cell r="GD48">
            <v>0.7844779341221626</v>
          </cell>
          <cell r="GE48">
            <v>0.84546401515151526</v>
          </cell>
          <cell r="GF48">
            <v>0.58189076236775494</v>
          </cell>
          <cell r="GG48">
            <v>0</v>
          </cell>
          <cell r="GH48">
            <v>26.4</v>
          </cell>
          <cell r="GJ48" t="str">
            <v>Source: Company Reports and BARS Estimates.</v>
          </cell>
          <cell r="GL48" t="str">
            <v>b. From continuing operations</v>
          </cell>
        </row>
        <row r="49">
          <cell r="FZ49">
            <v>0.36499999999999999</v>
          </cell>
          <cell r="GB49">
            <v>23.965693749999993</v>
          </cell>
          <cell r="GC49">
            <v>0.10307825268817201</v>
          </cell>
          <cell r="GD49">
            <v>0.47744176942650285</v>
          </cell>
          <cell r="GE49">
            <v>0.90436580188679216</v>
          </cell>
          <cell r="GF49">
            <v>0.35641081865650259</v>
          </cell>
          <cell r="GG49">
            <v>0</v>
          </cell>
          <cell r="GH49">
            <v>26.5</v>
          </cell>
          <cell r="GJ49">
            <v>0</v>
          </cell>
        </row>
        <row r="50">
          <cell r="FZ50">
            <v>0.36499999999999999</v>
          </cell>
          <cell r="GB50">
            <v>25.551606249999999</v>
          </cell>
          <cell r="GC50">
            <v>0.10323881313131313</v>
          </cell>
          <cell r="GD50">
            <v>0.33183563366762686</v>
          </cell>
          <cell r="GE50">
            <v>0.95698899812734084</v>
          </cell>
          <cell r="GF50">
            <v>0.23794210040674973</v>
          </cell>
          <cell r="GG50">
            <v>0</v>
          </cell>
          <cell r="GH50">
            <v>26.7</v>
          </cell>
          <cell r="GJ50">
            <v>0</v>
          </cell>
        </row>
        <row r="51">
          <cell r="FZ51">
            <v>0.36499999999999999</v>
          </cell>
          <cell r="GB51">
            <v>26.723339999999993</v>
          </cell>
          <cell r="GC51">
            <v>0.10377996116504852</v>
          </cell>
          <cell r="GD51">
            <v>0.2353557621461676</v>
          </cell>
          <cell r="GE51">
            <v>0.99343271375464659</v>
          </cell>
          <cell r="GF51">
            <v>0.17472965745320043</v>
          </cell>
          <cell r="GG51">
            <v>0</v>
          </cell>
          <cell r="GH51">
            <v>26.9</v>
          </cell>
          <cell r="GJ51">
            <v>0</v>
          </cell>
        </row>
        <row r="52">
          <cell r="FZ52">
            <v>0.36499999999999999</v>
          </cell>
          <cell r="GB52">
            <v>98.560889999999986</v>
          </cell>
          <cell r="GC52">
            <v>0.10347599999999998</v>
          </cell>
          <cell r="GD52">
            <v>0.41719552378752223</v>
          </cell>
          <cell r="GE52">
            <v>3.7018174647887312</v>
          </cell>
          <cell r="GF52">
            <v>0.31357281293662642</v>
          </cell>
          <cell r="GG52">
            <v>0</v>
          </cell>
          <cell r="GH52">
            <v>26.625</v>
          </cell>
          <cell r="GJ52">
            <v>0</v>
          </cell>
        </row>
        <row r="53">
          <cell r="FZ53">
            <v>0</v>
          </cell>
          <cell r="GJ53">
            <v>0</v>
          </cell>
        </row>
        <row r="54">
          <cell r="FZ54">
            <v>0</v>
          </cell>
          <cell r="GJ54">
            <v>0</v>
          </cell>
        </row>
        <row r="55">
          <cell r="FZ55">
            <v>0</v>
          </cell>
          <cell r="GJ55">
            <v>0</v>
          </cell>
        </row>
        <row r="59">
          <cell r="GL59" t="str">
            <v>Valuation Measures-fiscal year</v>
          </cell>
          <cell r="GO59" t="str">
            <v>91A</v>
          </cell>
          <cell r="GP59" t="str">
            <v>92A</v>
          </cell>
          <cell r="GQ59" t="str">
            <v>93A</v>
          </cell>
          <cell r="GR59" t="str">
            <v>94A</v>
          </cell>
          <cell r="GS59" t="str">
            <v>95A</v>
          </cell>
        </row>
        <row r="60">
          <cell r="GL60" t="str">
            <v>Historical Price:  High</v>
          </cell>
          <cell r="GO60">
            <v>0</v>
          </cell>
          <cell r="GP60">
            <v>0</v>
          </cell>
          <cell r="GQ60">
            <v>14</v>
          </cell>
          <cell r="GR60">
            <v>15.75</v>
          </cell>
          <cell r="GS60">
            <v>25.25</v>
          </cell>
        </row>
        <row r="61">
          <cell r="GL61" t="str">
            <v>Historical Price:  Low</v>
          </cell>
          <cell r="GO61">
            <v>0</v>
          </cell>
          <cell r="GP61">
            <v>0</v>
          </cell>
          <cell r="GQ61">
            <v>5.125</v>
          </cell>
          <cell r="GR61">
            <v>7.625</v>
          </cell>
          <cell r="GS61">
            <v>10.125</v>
          </cell>
        </row>
        <row r="62">
          <cell r="GL62" t="str">
            <v xml:space="preserve">Closing </v>
          </cell>
          <cell r="GO62">
            <v>0</v>
          </cell>
          <cell r="GP62">
            <v>0</v>
          </cell>
          <cell r="GQ62">
            <v>12.75</v>
          </cell>
          <cell r="GR62">
            <v>12.125</v>
          </cell>
          <cell r="GS62">
            <v>23.875</v>
          </cell>
        </row>
      </sheetData>
      <sheetData sheetId="4"/>
      <sheetData sheetId="5"/>
      <sheetData sheetId="6"/>
      <sheetData sheetId="7">
        <row r="3">
          <cell r="BR3" t="str">
            <v>Sanmina Corporation</v>
          </cell>
        </row>
      </sheetData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antDisclosures"/>
      <sheetName val="COVER SHEET"/>
      <sheetName val="IS-ANNUAL"/>
      <sheetName val="IS-QTRLY"/>
      <sheetName val="CFBS"/>
      <sheetName val="REV-ANNUAL"/>
      <sheetName val="REV-QTRLY"/>
      <sheetName val="PIPELINE"/>
      <sheetName val="FOOTNOTES"/>
      <sheetName val="ELIQUIS_ALLIANCE"/>
      <sheetName val="MGMT PROJECTIONS"/>
      <sheetName val="DCF"/>
      <sheetName val="AGREEMENTS"/>
      <sheetName val="IndexInformation"/>
      <sheetName val="ModPubIndex"/>
      <sheetName val="MW-Cache"/>
      <sheetName val="APIXABAN"/>
      <sheetName val="PREVNAR 13 ADULT"/>
      <sheetName val="ModPubIndexInternal"/>
      <sheetName val="__FDSCACHE__"/>
      <sheetName val="AF_MKT_MODEL"/>
      <sheetName val="DEBT"/>
      <sheetName val="MWA RR"/>
      <sheetName val="REV-SEGMENT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>
        <row r="36">
          <cell r="B36" t="str">
            <v>NorthAmerica</v>
          </cell>
        </row>
        <row r="37">
          <cell r="B37" t="str">
            <v>excel</v>
          </cell>
        </row>
        <row r="38">
          <cell r="B38" t="str">
            <v>en-US</v>
          </cell>
        </row>
        <row r="39">
          <cell r="B39" t="str">
            <v>chthoma</v>
          </cell>
        </row>
        <row r="40">
          <cell r="B40">
            <v>1900000782</v>
          </cell>
        </row>
      </sheetData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 Upload"/>
      <sheetName val="Valuat."/>
      <sheetName val="p&amp;l"/>
      <sheetName val="sales"/>
      <sheetName val="opincome"/>
      <sheetName val="cashflow"/>
      <sheetName val="comps"/>
      <sheetName val="mktdata"/>
      <sheetName val="p&amp;leuro"/>
      <sheetName val="slseuro"/>
      <sheetName val="opinceuro"/>
      <sheetName val="cfeuro"/>
      <sheetName val="valuation"/>
      <sheetName val="resultsanalysis"/>
      <sheetName val="ohmedaacquis"/>
      <sheetName val="GE3"/>
      <sheetName val="GE 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15">
          <cell r="J15">
            <v>68.972186762601083</v>
          </cell>
        </row>
        <row r="23">
          <cell r="J23">
            <v>84.521496939820679</v>
          </cell>
        </row>
        <row r="31">
          <cell r="J31">
            <v>88.963861460241219</v>
          </cell>
        </row>
        <row r="39">
          <cell r="J39">
            <v>100.47837355547594</v>
          </cell>
        </row>
      </sheetData>
      <sheetData sheetId="9"/>
      <sheetData sheetId="10"/>
      <sheetData sheetId="11"/>
      <sheetData sheetId="12"/>
      <sheetData sheetId="13"/>
      <sheetData sheetId="14"/>
      <sheetData sheetId="15" refreshError="1"/>
      <sheetData sheetId="16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OVER SHEET"/>
      <sheetName val="__FDSCACHE__"/>
      <sheetName val="IS-ANNUAL"/>
      <sheetName val="IS-QTRLY"/>
      <sheetName val="REV-ANNUAL"/>
      <sheetName val="REV-QTRLY"/>
      <sheetName val="CFBS"/>
      <sheetName val="DCF"/>
      <sheetName val="LINZESS"/>
      <sheetName val="MGMT PROJECTIONS"/>
      <sheetName val="PIPELINE"/>
      <sheetName val="MW-Cache"/>
      <sheetName val="PIPELINE_UNADJ"/>
      <sheetName val="FOOTNOTES"/>
      <sheetName val="AGREEMENTS"/>
      <sheetName val="PIV Challenges"/>
      <sheetName val="Var-YOY"/>
      <sheetName val="Var-Seq"/>
      <sheetName val="AMORT"/>
      <sheetName val="calendar"/>
      <sheetName val="patents"/>
      <sheetName val="patent expirations"/>
      <sheetName val="change"/>
      <sheetName val="launches"/>
      <sheetName val="consensus"/>
      <sheetName val="pipeline handout"/>
      <sheetName val="SAVELLA"/>
      <sheetName val="DEBT"/>
      <sheetName val="MWA RR"/>
      <sheetName val="mwareDates"/>
      <sheetName val="revenue snapshot"/>
      <sheetName val="rev contribution analysis"/>
      <sheetName val="rev change analysis"/>
      <sheetName val="Gaap Adj"/>
      <sheetName val="mwareSettings"/>
      <sheetName val="ImportantDisclosures"/>
      <sheetName val="LINACLOTIDE"/>
      <sheetName val="MW Valuation"/>
      <sheetName val="TR Convert"/>
    </sheetNames>
    <sheetDataSet>
      <sheetData sheetId="0">
        <row r="10">
          <cell r="J10">
            <v>40633</v>
          </cell>
        </row>
        <row r="11">
          <cell r="J11">
            <v>40543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S"/>
      <sheetName val="BS"/>
      <sheetName val="CF"/>
      <sheetName val="DLBCL"/>
      <sheetName val="Other NHL"/>
      <sheetName val="BCMA"/>
      <sheetName val="IS (old)"/>
    </sheetNames>
    <sheetDataSet>
      <sheetData sheetId="0"/>
      <sheetData sheetId="1">
        <row r="4">
          <cell r="B4" t="str">
            <v>Unum Therapeutics (NSDQ:UNUM)</v>
          </cell>
          <cell r="C4" t="str">
            <v>1Q15</v>
          </cell>
          <cell r="D4" t="str">
            <v>2Q15</v>
          </cell>
          <cell r="E4" t="str">
            <v>3Q15</v>
          </cell>
          <cell r="F4" t="str">
            <v>4Q15</v>
          </cell>
          <cell r="G4">
            <v>2015</v>
          </cell>
          <cell r="H4" t="str">
            <v>1Q16</v>
          </cell>
          <cell r="I4" t="str">
            <v>2Q16</v>
          </cell>
          <cell r="J4" t="str">
            <v>3Q16</v>
          </cell>
          <cell r="K4" t="str">
            <v>4Q16</v>
          </cell>
          <cell r="L4">
            <v>2016</v>
          </cell>
          <cell r="M4" t="str">
            <v>1Q17</v>
          </cell>
          <cell r="N4" t="str">
            <v>2Q17</v>
          </cell>
          <cell r="O4" t="str">
            <v>3Q17</v>
          </cell>
          <cell r="P4" t="str">
            <v>4Q17</v>
          </cell>
          <cell r="Q4">
            <v>2017</v>
          </cell>
          <cell r="R4" t="str">
            <v>1Q18E</v>
          </cell>
          <cell r="S4" t="str">
            <v>2Q18E</v>
          </cell>
          <cell r="T4" t="str">
            <v>3Q18E</v>
          </cell>
          <cell r="U4" t="str">
            <v>4Q18E</v>
          </cell>
          <cell r="V4" t="str">
            <v>2018E</v>
          </cell>
          <cell r="W4" t="str">
            <v>1Q19E</v>
          </cell>
          <cell r="X4" t="str">
            <v>2Q19E</v>
          </cell>
          <cell r="Y4" t="str">
            <v>3Q19E</v>
          </cell>
          <cell r="Z4" t="str">
            <v>4Q19E</v>
          </cell>
          <cell r="AA4" t="str">
            <v>2019E</v>
          </cell>
          <cell r="AB4" t="str">
            <v>1Q20E</v>
          </cell>
          <cell r="AC4" t="str">
            <v>2Q20E</v>
          </cell>
          <cell r="AD4" t="str">
            <v>3Q20E</v>
          </cell>
          <cell r="AE4" t="str">
            <v>4Q20E</v>
          </cell>
          <cell r="AF4" t="str">
            <v>2020E</v>
          </cell>
          <cell r="AG4" t="str">
            <v>1Q21E</v>
          </cell>
          <cell r="AH4" t="str">
            <v>2Q21E</v>
          </cell>
          <cell r="AI4" t="str">
            <v>3Q21E</v>
          </cell>
          <cell r="AJ4" t="str">
            <v>4Q21E</v>
          </cell>
          <cell r="AK4" t="str">
            <v>2021E</v>
          </cell>
          <cell r="AL4" t="str">
            <v>1Q22E</v>
          </cell>
          <cell r="AM4" t="str">
            <v>2Q22E</v>
          </cell>
          <cell r="AN4" t="str">
            <v>3Q22E</v>
          </cell>
          <cell r="AO4" t="str">
            <v>4Q22E</v>
          </cell>
          <cell r="AP4" t="str">
            <v>2022E</v>
          </cell>
          <cell r="AQ4" t="str">
            <v>1Q23E</v>
          </cell>
          <cell r="AR4" t="str">
            <v>2Q23E</v>
          </cell>
          <cell r="AS4" t="str">
            <v>3Q23E</v>
          </cell>
          <cell r="AT4" t="str">
            <v>4Q23E</v>
          </cell>
          <cell r="AU4" t="str">
            <v>2023E</v>
          </cell>
        </row>
        <row r="6">
          <cell r="B6" t="str">
            <v>Revenues:</v>
          </cell>
        </row>
        <row r="8">
          <cell r="B8" t="str">
            <v>Product Revenue</v>
          </cell>
          <cell r="G8">
            <v>0</v>
          </cell>
          <cell r="L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AA8">
            <v>0</v>
          </cell>
          <cell r="AF8">
            <v>0</v>
          </cell>
          <cell r="AK8">
            <v>0</v>
          </cell>
          <cell r="AP8">
            <v>33.355000863428536</v>
          </cell>
          <cell r="AU8">
            <v>79.461469867865034</v>
          </cell>
        </row>
        <row r="10">
          <cell r="B10" t="str">
            <v>NHL (ACTR087 + rituximab)</v>
          </cell>
          <cell r="G10">
            <v>0</v>
          </cell>
          <cell r="L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AA10">
            <v>0</v>
          </cell>
          <cell r="AF10">
            <v>0</v>
          </cell>
          <cell r="AK10">
            <v>0</v>
          </cell>
          <cell r="AP10">
            <v>33.355000863428536</v>
          </cell>
          <cell r="AU10">
            <v>86.961469867865034</v>
          </cell>
        </row>
        <row r="11">
          <cell r="B11" t="str">
            <v>DLBCL</v>
          </cell>
          <cell r="AP11">
            <v>33.355000863428536</v>
          </cell>
          <cell r="AU11">
            <v>86.961469867865034</v>
          </cell>
        </row>
        <row r="12">
          <cell r="B12" t="str">
            <v>ALL</v>
          </cell>
          <cell r="AP12">
            <v>0</v>
          </cell>
          <cell r="AU12">
            <v>0</v>
          </cell>
        </row>
        <row r="13">
          <cell r="B13" t="str">
            <v>CLL</v>
          </cell>
          <cell r="AP13">
            <v>0</v>
          </cell>
          <cell r="AU13">
            <v>0</v>
          </cell>
        </row>
        <row r="14">
          <cell r="B14" t="str">
            <v>FL</v>
          </cell>
          <cell r="AP14">
            <v>0</v>
          </cell>
          <cell r="AU14">
            <v>0</v>
          </cell>
        </row>
        <row r="16">
          <cell r="B16" t="str">
            <v>Multiple Myeloma (ACTR087 + SEA-BCMA)</v>
          </cell>
          <cell r="AU16">
            <v>-7.5</v>
          </cell>
        </row>
        <row r="18">
          <cell r="B18" t="str">
            <v>Collaboration Revenue</v>
          </cell>
          <cell r="G18">
            <v>2.9860000000000002</v>
          </cell>
          <cell r="L18">
            <v>6.3550000000000004</v>
          </cell>
          <cell r="Q18">
            <v>8.36</v>
          </cell>
          <cell r="R18">
            <v>2.4</v>
          </cell>
          <cell r="S18">
            <v>2.4</v>
          </cell>
          <cell r="T18">
            <v>2.4</v>
          </cell>
          <cell r="U18">
            <v>2.4</v>
          </cell>
          <cell r="V18">
            <v>9.6</v>
          </cell>
          <cell r="AA18">
            <v>17.600000000000001</v>
          </cell>
          <cell r="AF18">
            <v>15</v>
          </cell>
          <cell r="AK18">
            <v>15</v>
          </cell>
          <cell r="AP18">
            <v>15</v>
          </cell>
          <cell r="AU18">
            <v>5</v>
          </cell>
        </row>
        <row r="19">
          <cell r="B19" t="str">
            <v>Total Revenues</v>
          </cell>
          <cell r="G19">
            <v>2.9860000000000002</v>
          </cell>
          <cell r="L19">
            <v>6.3550000000000004</v>
          </cell>
          <cell r="Q19">
            <v>8.36</v>
          </cell>
          <cell r="R19">
            <v>2.4</v>
          </cell>
          <cell r="S19">
            <v>2.4</v>
          </cell>
          <cell r="T19">
            <v>2.4</v>
          </cell>
          <cell r="U19">
            <v>2.4</v>
          </cell>
          <cell r="V19">
            <v>9.6</v>
          </cell>
          <cell r="AA19">
            <v>17.600000000000001</v>
          </cell>
          <cell r="AF19">
            <v>15</v>
          </cell>
          <cell r="AK19">
            <v>15</v>
          </cell>
          <cell r="AP19">
            <v>48.355000863428536</v>
          </cell>
          <cell r="AU19">
            <v>84.461469867865034</v>
          </cell>
        </row>
        <row r="21">
          <cell r="B21" t="str">
            <v>Costs and expenses</v>
          </cell>
        </row>
        <row r="22">
          <cell r="B22" t="str">
            <v>Cost of product revenues/royalties</v>
          </cell>
          <cell r="G22">
            <v>0</v>
          </cell>
          <cell r="L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AA22">
            <v>0</v>
          </cell>
          <cell r="AF22">
            <v>0</v>
          </cell>
          <cell r="AK22">
            <v>0</v>
          </cell>
          <cell r="AP22">
            <v>0</v>
          </cell>
          <cell r="AU22">
            <v>23.914404213662888</v>
          </cell>
        </row>
        <row r="23">
          <cell r="B23" t="str">
            <v>% of revenue</v>
          </cell>
          <cell r="AU23">
            <v>0.27500000000000002</v>
          </cell>
        </row>
        <row r="25">
          <cell r="B25" t="str">
            <v>Bull</v>
          </cell>
          <cell r="L25">
            <v>0</v>
          </cell>
          <cell r="Q25">
            <v>0</v>
          </cell>
          <cell r="R25">
            <v>9.2777519999999996</v>
          </cell>
          <cell r="S25">
            <v>9.2777519999999996</v>
          </cell>
          <cell r="T25">
            <v>9.2777519999999996</v>
          </cell>
          <cell r="U25">
            <v>9.2777519999999996</v>
          </cell>
          <cell r="V25">
            <v>37.111007999999998</v>
          </cell>
          <cell r="AA25">
            <v>54.812958815999991</v>
          </cell>
          <cell r="AF25">
            <v>71.256846460799991</v>
          </cell>
          <cell r="AK25">
            <v>95.056633178707187</v>
          </cell>
          <cell r="AP25">
            <v>113.02233684948285</v>
          </cell>
          <cell r="AU25">
            <v>126.92408428196924</v>
          </cell>
        </row>
        <row r="26">
          <cell r="B26" t="str">
            <v>Base</v>
          </cell>
          <cell r="L26">
            <v>0</v>
          </cell>
          <cell r="Q26">
            <v>0</v>
          </cell>
          <cell r="R26">
            <v>9.2777519999999996</v>
          </cell>
          <cell r="S26">
            <v>9.2777519999999996</v>
          </cell>
          <cell r="T26">
            <v>9.2777519999999996</v>
          </cell>
          <cell r="U26">
            <v>9.2777519999999996</v>
          </cell>
          <cell r="V26">
            <v>37.111007999999998</v>
          </cell>
          <cell r="AA26">
            <v>54.812958815999991</v>
          </cell>
          <cell r="AF26">
            <v>71.256846460799991</v>
          </cell>
          <cell r="AK26">
            <v>95.056633178707187</v>
          </cell>
          <cell r="AP26">
            <v>113.02233684948285</v>
          </cell>
          <cell r="AU26">
            <v>126.92408428196924</v>
          </cell>
        </row>
        <row r="27">
          <cell r="B27" t="str">
            <v>Bear</v>
          </cell>
          <cell r="L27">
            <v>0</v>
          </cell>
          <cell r="Q27">
            <v>0</v>
          </cell>
          <cell r="R27">
            <v>9.2777519999999996</v>
          </cell>
          <cell r="S27">
            <v>9.2777519999999996</v>
          </cell>
          <cell r="T27">
            <v>9.2777519999999996</v>
          </cell>
          <cell r="U27">
            <v>9.2777519999999996</v>
          </cell>
          <cell r="V27">
            <v>37.111007999999998</v>
          </cell>
          <cell r="AA27">
            <v>54.812958815999991</v>
          </cell>
          <cell r="AF27">
            <v>71.256846460799991</v>
          </cell>
          <cell r="AK27">
            <v>95.056633178707187</v>
          </cell>
          <cell r="AP27">
            <v>113.02233684948285</v>
          </cell>
          <cell r="AU27">
            <v>126.92408428196924</v>
          </cell>
        </row>
        <row r="28">
          <cell r="B28" t="str">
            <v>R&amp;D</v>
          </cell>
          <cell r="G28">
            <v>6.8520000000000003</v>
          </cell>
          <cell r="L28">
            <v>21.992000000000001</v>
          </cell>
          <cell r="Q28">
            <v>29.832000000000001</v>
          </cell>
          <cell r="R28">
            <v>9.2777519999999996</v>
          </cell>
          <cell r="S28">
            <v>9.2777519999999996</v>
          </cell>
          <cell r="T28">
            <v>9.2777519999999996</v>
          </cell>
          <cell r="U28">
            <v>9.2777519999999996</v>
          </cell>
          <cell r="V28">
            <v>37.111007999999998</v>
          </cell>
          <cell r="AA28">
            <v>54.812958815999991</v>
          </cell>
          <cell r="AF28">
            <v>71.256846460799991</v>
          </cell>
          <cell r="AK28">
            <v>95.056633178707187</v>
          </cell>
          <cell r="AP28">
            <v>113.02233684948285</v>
          </cell>
          <cell r="AU28">
            <v>126.92408428196924</v>
          </cell>
        </row>
        <row r="29">
          <cell r="B29" t="str">
            <v>Bull</v>
          </cell>
          <cell r="L29">
            <v>0</v>
          </cell>
          <cell r="Q29">
            <v>0</v>
          </cell>
          <cell r="R29">
            <v>3.7673999999999999</v>
          </cell>
          <cell r="S29">
            <v>3.7673999999999999</v>
          </cell>
          <cell r="T29">
            <v>3.7673999999999999</v>
          </cell>
          <cell r="U29">
            <v>3.767399999999999</v>
          </cell>
          <cell r="V29">
            <v>15.069599999999999</v>
          </cell>
          <cell r="AA29">
            <v>16.275168000000001</v>
          </cell>
          <cell r="AF29">
            <v>21.1577184</v>
          </cell>
          <cell r="AK29">
            <v>26.235570815999999</v>
          </cell>
          <cell r="AP29">
            <v>45.912248927999997</v>
          </cell>
          <cell r="AU29">
            <v>65.654515967039998</v>
          </cell>
        </row>
        <row r="30">
          <cell r="B30" t="str">
            <v>Base</v>
          </cell>
          <cell r="L30">
            <v>0</v>
          </cell>
          <cell r="Q30">
            <v>0</v>
          </cell>
          <cell r="R30">
            <v>3.7673999999999999</v>
          </cell>
          <cell r="S30">
            <v>3.7673999999999999</v>
          </cell>
          <cell r="T30">
            <v>3.7673999999999999</v>
          </cell>
          <cell r="U30">
            <v>3.767399999999999</v>
          </cell>
          <cell r="V30">
            <v>15.069599999999999</v>
          </cell>
          <cell r="AA30">
            <v>16.275168000000001</v>
          </cell>
          <cell r="AF30">
            <v>21.1577184</v>
          </cell>
          <cell r="AK30">
            <v>26.235570815999999</v>
          </cell>
          <cell r="AP30">
            <v>45.912248927999997</v>
          </cell>
          <cell r="AU30">
            <v>65.654515967039998</v>
          </cell>
        </row>
        <row r="31">
          <cell r="B31" t="str">
            <v>Bear</v>
          </cell>
          <cell r="L31">
            <v>0</v>
          </cell>
          <cell r="Q31">
            <v>0</v>
          </cell>
          <cell r="R31">
            <v>3.7673999999999999</v>
          </cell>
          <cell r="S31">
            <v>3.7673999999999999</v>
          </cell>
          <cell r="T31">
            <v>3.7673999999999999</v>
          </cell>
          <cell r="U31">
            <v>3.767399999999999</v>
          </cell>
          <cell r="V31">
            <v>15.069599999999999</v>
          </cell>
          <cell r="AA31">
            <v>16.275168000000001</v>
          </cell>
          <cell r="AF31">
            <v>21.1577184</v>
          </cell>
          <cell r="AK31">
            <v>26.235570815999999</v>
          </cell>
          <cell r="AP31">
            <v>45.912248927999997</v>
          </cell>
          <cell r="AU31">
            <v>65.654515967039998</v>
          </cell>
        </row>
        <row r="32">
          <cell r="B32" t="str">
            <v>SG&amp;A</v>
          </cell>
          <cell r="G32">
            <v>2.726</v>
          </cell>
          <cell r="L32">
            <v>3.4329999999999998</v>
          </cell>
          <cell r="Q32">
            <v>4.68</v>
          </cell>
          <cell r="R32">
            <v>3.7673999999999999</v>
          </cell>
          <cell r="S32">
            <v>3.7673999999999999</v>
          </cell>
          <cell r="T32">
            <v>3.7673999999999999</v>
          </cell>
          <cell r="U32">
            <v>3.767399999999999</v>
          </cell>
          <cell r="V32">
            <v>15.069599999999999</v>
          </cell>
          <cell r="AA32">
            <v>16.275168000000001</v>
          </cell>
          <cell r="AF32">
            <v>21.1577184</v>
          </cell>
          <cell r="AK32">
            <v>26.235570815999999</v>
          </cell>
          <cell r="AP32">
            <v>45.912248927999997</v>
          </cell>
          <cell r="AU32">
            <v>65.654515967039998</v>
          </cell>
        </row>
        <row r="33">
          <cell r="B33" t="str">
            <v>Other</v>
          </cell>
          <cell r="L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AA33">
            <v>0</v>
          </cell>
          <cell r="AF33">
            <v>0</v>
          </cell>
          <cell r="AK33">
            <v>0</v>
          </cell>
          <cell r="AP33">
            <v>0</v>
          </cell>
          <cell r="AU33">
            <v>0</v>
          </cell>
        </row>
        <row r="35">
          <cell r="B35" t="str">
            <v>Operating income (loss)</v>
          </cell>
          <cell r="G35">
            <v>-6.5920000000000005</v>
          </cell>
          <cell r="L35">
            <v>-19.07</v>
          </cell>
          <cell r="Q35">
            <v>-26.152000000000001</v>
          </cell>
          <cell r="R35">
            <v>-10.645152</v>
          </cell>
          <cell r="S35">
            <v>-10.645152</v>
          </cell>
          <cell r="T35">
            <v>-10.645152</v>
          </cell>
          <cell r="U35">
            <v>-10.645151999999998</v>
          </cell>
          <cell r="V35">
            <v>-42.580607999999998</v>
          </cell>
          <cell r="AA35">
            <v>-53.488126815999991</v>
          </cell>
          <cell r="AF35">
            <v>-77.414564860799999</v>
          </cell>
          <cell r="AK35">
            <v>-106.29220399470719</v>
          </cell>
          <cell r="AP35">
            <v>-110.57958491405432</v>
          </cell>
          <cell r="AU35">
            <v>-132.03153459480711</v>
          </cell>
        </row>
        <row r="37">
          <cell r="B37" t="str">
            <v>Operating Income (Loss)</v>
          </cell>
        </row>
        <row r="38">
          <cell r="B38" t="str">
            <v>Interest income</v>
          </cell>
          <cell r="L38">
            <v>0.94600000000000006</v>
          </cell>
          <cell r="Q38">
            <v>0.66</v>
          </cell>
          <cell r="R38">
            <v>1.2313474729911686</v>
          </cell>
          <cell r="S38">
            <v>1.2313474729911686</v>
          </cell>
          <cell r="T38">
            <v>1.2313474729911686</v>
          </cell>
          <cell r="U38">
            <v>1.2313474729911686</v>
          </cell>
          <cell r="V38">
            <v>4.9253898919646746</v>
          </cell>
          <cell r="AA38">
            <v>8.3055684926191429</v>
          </cell>
          <cell r="AF38">
            <v>6.1358679811065659</v>
          </cell>
          <cell r="AK38">
            <v>6.1137885037793298</v>
          </cell>
          <cell r="AP38">
            <v>12.414338839066543</v>
          </cell>
          <cell r="AU38">
            <v>23.786813982852607</v>
          </cell>
        </row>
        <row r="39">
          <cell r="B39" t="str">
            <v>Other (Expense) Income</v>
          </cell>
          <cell r="G39">
            <v>-4.2999999999999997E-2</v>
          </cell>
          <cell r="L39">
            <v>-6.4000000000000001E-2</v>
          </cell>
          <cell r="Q39">
            <v>-6.5000000000000002E-2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AA39">
            <v>0</v>
          </cell>
          <cell r="AF39">
            <v>0</v>
          </cell>
          <cell r="AK39">
            <v>0</v>
          </cell>
          <cell r="AP39">
            <v>0</v>
          </cell>
          <cell r="AU39">
            <v>0</v>
          </cell>
        </row>
        <row r="40">
          <cell r="B40" t="str">
            <v>Net loss</v>
          </cell>
          <cell r="G40">
            <v>-6.6350000000000007</v>
          </cell>
          <cell r="L40">
            <v>-18.187999999999999</v>
          </cell>
          <cell r="Q40">
            <v>-25.557000000000002</v>
          </cell>
          <cell r="R40">
            <v>-9.4138045270088302</v>
          </cell>
          <cell r="S40">
            <v>-9.4138045270088302</v>
          </cell>
          <cell r="T40">
            <v>-9.4138045270088302</v>
          </cell>
          <cell r="U40">
            <v>-9.4138045270088284</v>
          </cell>
          <cell r="V40">
            <v>-37.655218108035314</v>
          </cell>
          <cell r="AA40">
            <v>-45.182558323380846</v>
          </cell>
          <cell r="AF40">
            <v>-71.278696879693427</v>
          </cell>
          <cell r="AK40">
            <v>-100.17841549092786</v>
          </cell>
          <cell r="AP40">
            <v>-98.165246074987778</v>
          </cell>
          <cell r="AU40">
            <v>-108.24472061195451</v>
          </cell>
        </row>
        <row r="41">
          <cell r="B41" t="str">
            <v>Taxes</v>
          </cell>
          <cell r="G41">
            <v>0</v>
          </cell>
          <cell r="L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AA41">
            <v>0</v>
          </cell>
          <cell r="AF41">
            <v>0</v>
          </cell>
          <cell r="AK41">
            <v>0</v>
          </cell>
          <cell r="AP41">
            <v>0</v>
          </cell>
          <cell r="AU41">
            <v>0</v>
          </cell>
        </row>
        <row r="42">
          <cell r="B42" t="str">
            <v>% Tax rate</v>
          </cell>
          <cell r="G42" t="str">
            <v>NM</v>
          </cell>
          <cell r="L42" t="str">
            <v>NM</v>
          </cell>
          <cell r="Q42" t="str">
            <v>NM</v>
          </cell>
          <cell r="R42" t="str">
            <v>NM</v>
          </cell>
          <cell r="S42" t="str">
            <v>NM</v>
          </cell>
          <cell r="T42" t="str">
            <v>NM</v>
          </cell>
          <cell r="U42" t="str">
            <v>NM</v>
          </cell>
          <cell r="V42" t="str">
            <v>NM</v>
          </cell>
          <cell r="AA42" t="str">
            <v>NM</v>
          </cell>
          <cell r="AF42" t="str">
            <v>NM</v>
          </cell>
          <cell r="AK42" t="str">
            <v>NM</v>
          </cell>
          <cell r="AP42" t="str">
            <v>NM</v>
          </cell>
          <cell r="AU42" t="str">
            <v>NM</v>
          </cell>
        </row>
        <row r="43">
          <cell r="B43" t="str">
            <v>Net Income</v>
          </cell>
          <cell r="G43">
            <v>-6.6350000000000007</v>
          </cell>
          <cell r="L43">
            <v>-18.187999999999999</v>
          </cell>
          <cell r="Q43">
            <v>-25.557000000000002</v>
          </cell>
          <cell r="R43">
            <v>-9.4138045270088302</v>
          </cell>
          <cell r="S43">
            <v>-9.4138045270088302</v>
          </cell>
          <cell r="T43">
            <v>-9.4138045270088302</v>
          </cell>
          <cell r="U43">
            <v>-9.4138045270088284</v>
          </cell>
          <cell r="V43">
            <v>-37.655218108035314</v>
          </cell>
          <cell r="AA43">
            <v>-45.182558323380846</v>
          </cell>
          <cell r="AF43">
            <v>-71.278696879693427</v>
          </cell>
          <cell r="AK43">
            <v>-100.17841549092786</v>
          </cell>
          <cell r="AP43">
            <v>-98.165246074987778</v>
          </cell>
          <cell r="AU43">
            <v>-108.24472061195451</v>
          </cell>
        </row>
        <row r="45">
          <cell r="B45" t="str">
            <v>Loss from discontinued operations, net of tax</v>
          </cell>
          <cell r="G45">
            <v>0</v>
          </cell>
          <cell r="L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AA45">
            <v>0</v>
          </cell>
          <cell r="AF45">
            <v>0</v>
          </cell>
          <cell r="AK45">
            <v>0</v>
          </cell>
          <cell r="AP45">
            <v>0</v>
          </cell>
          <cell r="AU45">
            <v>0</v>
          </cell>
        </row>
        <row r="46">
          <cell r="B46" t="str">
            <v>Loss from sale of discontinued operations, net of tax</v>
          </cell>
          <cell r="G46">
            <v>0</v>
          </cell>
          <cell r="L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AA46">
            <v>0</v>
          </cell>
          <cell r="AF46">
            <v>0</v>
          </cell>
          <cell r="AK46">
            <v>0</v>
          </cell>
          <cell r="AP46">
            <v>0</v>
          </cell>
          <cell r="AU46">
            <v>0</v>
          </cell>
        </row>
        <row r="47">
          <cell r="B47" t="str">
            <v>Net loss and comprehensive loss</v>
          </cell>
          <cell r="G47">
            <v>-6.6350000000000007</v>
          </cell>
          <cell r="L47">
            <v>-18.187999999999999</v>
          </cell>
          <cell r="Q47">
            <v>-25.557000000000002</v>
          </cell>
          <cell r="R47">
            <v>-9.4138045270088302</v>
          </cell>
          <cell r="S47">
            <v>-9.4138045270088302</v>
          </cell>
          <cell r="T47">
            <v>-9.4138045270088302</v>
          </cell>
          <cell r="U47">
            <v>-9.4138045270088284</v>
          </cell>
          <cell r="V47">
            <v>-37.655218108035314</v>
          </cell>
          <cell r="AA47">
            <v>-45.182558323380846</v>
          </cell>
          <cell r="AF47">
            <v>-71.278696879693427</v>
          </cell>
          <cell r="AK47">
            <v>-100.17841549092786</v>
          </cell>
          <cell r="AP47">
            <v>-98.165246074987778</v>
          </cell>
          <cell r="AU47">
            <v>-108.24472061195451</v>
          </cell>
        </row>
        <row r="49">
          <cell r="B49" t="str">
            <v>EPS (basic)</v>
          </cell>
          <cell r="Q49">
            <v>-0.86050505050505055</v>
          </cell>
          <cell r="R49" t="e">
            <v>#DIV/0!</v>
          </cell>
          <cell r="S49">
            <v>-0.31696311538750271</v>
          </cell>
          <cell r="T49">
            <v>-0.31538618446517686</v>
          </cell>
          <cell r="U49">
            <v>-0.31381709897032517</v>
          </cell>
          <cell r="V49">
            <v>-1.2615342773774785</v>
          </cell>
          <cell r="AA49">
            <v>-1.4876035742144198</v>
          </cell>
          <cell r="AF49">
            <v>-2.3178275183346959</v>
          </cell>
          <cell r="AK49">
            <v>-3.2173661607973689</v>
          </cell>
          <cell r="AP49">
            <v>-3.1137881333242405</v>
          </cell>
          <cell r="AU49">
            <v>-3.3911186985997079</v>
          </cell>
        </row>
        <row r="50">
          <cell r="B50" t="str">
            <v>EPS (diluted)</v>
          </cell>
          <cell r="Q50">
            <v>-0.86050505050505055</v>
          </cell>
          <cell r="R50" t="e">
            <v>#DIV/0!</v>
          </cell>
          <cell r="S50">
            <v>-0.31696311538750271</v>
          </cell>
          <cell r="T50">
            <v>-0.31538618446517686</v>
          </cell>
          <cell r="U50">
            <v>-0.31381709897032517</v>
          </cell>
          <cell r="V50">
            <v>-1.2615342773774785</v>
          </cell>
          <cell r="AA50">
            <v>-1.4876035742144198</v>
          </cell>
          <cell r="AF50">
            <v>-2.3178275183346959</v>
          </cell>
          <cell r="AK50">
            <v>-3.1859004770731891</v>
          </cell>
          <cell r="AP50">
            <v>-3.0531805678380008</v>
          </cell>
          <cell r="AU50">
            <v>-3.2925936568149545</v>
          </cell>
        </row>
        <row r="52">
          <cell r="B52" t="str">
            <v>One-time expense</v>
          </cell>
          <cell r="G52">
            <v>0</v>
          </cell>
          <cell r="L52">
            <v>0</v>
          </cell>
          <cell r="Q52">
            <v>0</v>
          </cell>
          <cell r="V52">
            <v>0</v>
          </cell>
          <cell r="AA52">
            <v>0</v>
          </cell>
          <cell r="AF52">
            <v>0</v>
          </cell>
          <cell r="AK52">
            <v>0</v>
          </cell>
          <cell r="AP52">
            <v>0</v>
          </cell>
          <cell r="AU52">
            <v>0</v>
          </cell>
        </row>
        <row r="53">
          <cell r="B53" t="str">
            <v>Unrealized gain (loss) on investments</v>
          </cell>
          <cell r="G53">
            <v>0</v>
          </cell>
          <cell r="L53">
            <v>0</v>
          </cell>
          <cell r="Q53">
            <v>0</v>
          </cell>
        </row>
        <row r="54">
          <cell r="B54" t="str">
            <v>GAAP Net Income</v>
          </cell>
          <cell r="G54">
            <v>-6.6350000000000007</v>
          </cell>
          <cell r="L54">
            <v>-18.187999999999999</v>
          </cell>
          <cell r="Q54">
            <v>-25.557000000000002</v>
          </cell>
          <cell r="R54">
            <v>-9.4138045270088302</v>
          </cell>
          <cell r="S54">
            <v>-9.4138045270088302</v>
          </cell>
          <cell r="T54">
            <v>-9.4138045270088302</v>
          </cell>
          <cell r="U54">
            <v>-9.4138045270088284</v>
          </cell>
          <cell r="V54">
            <v>-37.655218108035314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-45.182558323380846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-71.278696879693427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-100.17841549092786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-98.165246074987778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-108.24472061195451</v>
          </cell>
        </row>
        <row r="56">
          <cell r="B56" t="str">
            <v>GAAP EPS (basic)</v>
          </cell>
          <cell r="Q56">
            <v>-0.86050505050505055</v>
          </cell>
          <cell r="V56">
            <v>-1.2615342773774785</v>
          </cell>
          <cell r="AA56">
            <v>-1.4876035742144198</v>
          </cell>
          <cell r="AF56">
            <v>-2.3178275183346959</v>
          </cell>
          <cell r="AK56">
            <v>-3.2173661607973689</v>
          </cell>
          <cell r="AP56">
            <v>-3.1137881333242405</v>
          </cell>
          <cell r="AU56">
            <v>-3.3911186985997079</v>
          </cell>
        </row>
        <row r="57">
          <cell r="B57" t="str">
            <v>GAAP EPS (diluted)</v>
          </cell>
          <cell r="Q57">
            <v>-0.86050505050505055</v>
          </cell>
          <cell r="V57">
            <v>-1.2615342773774785</v>
          </cell>
          <cell r="AA57">
            <v>-1.4876035742144198</v>
          </cell>
          <cell r="AF57">
            <v>-2.3178275183346959</v>
          </cell>
          <cell r="AK57">
            <v>-3.1859004770731891</v>
          </cell>
          <cell r="AP57">
            <v>-3.0531805678380008</v>
          </cell>
          <cell r="AU57">
            <v>-3.2925936568149545</v>
          </cell>
        </row>
        <row r="58">
          <cell r="B58" t="str">
            <v>Shares Outstanding - Basic</v>
          </cell>
          <cell r="Q58">
            <v>29.7</v>
          </cell>
          <cell r="S58">
            <v>29.7</v>
          </cell>
          <cell r="T58">
            <v>29.848499999999998</v>
          </cell>
          <cell r="U58">
            <v>29.997742499999994</v>
          </cell>
          <cell r="V58">
            <v>29.848747499999998</v>
          </cell>
          <cell r="AA58">
            <v>30.372714281249994</v>
          </cell>
          <cell r="AF58">
            <v>30.752373209765619</v>
          </cell>
          <cell r="AK58">
            <v>31.136777874887688</v>
          </cell>
          <cell r="AP58">
            <v>31.525987598323784</v>
          </cell>
          <cell r="AU58">
            <v>31.920062443302829</v>
          </cell>
        </row>
        <row r="59">
          <cell r="B59" t="str">
            <v>Shares Outstanding - Diluted</v>
          </cell>
          <cell r="Q59">
            <v>29.7</v>
          </cell>
          <cell r="S59">
            <v>29.7</v>
          </cell>
          <cell r="T59">
            <v>29.848499999999998</v>
          </cell>
          <cell r="U59">
            <v>29.997742499999994</v>
          </cell>
          <cell r="V59">
            <v>29.848747499999998</v>
          </cell>
          <cell r="AA59">
            <v>30.372714281249994</v>
          </cell>
          <cell r="AF59">
            <v>30.752373209765619</v>
          </cell>
          <cell r="AK59">
            <v>31.444301606985345</v>
          </cell>
          <cell r="AP59">
            <v>32.151798393142514</v>
          </cell>
          <cell r="AU59">
            <v>32.875213856988218</v>
          </cell>
        </row>
        <row r="61">
          <cell r="B61" t="str">
            <v>Options Expense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AA61">
            <v>9.2414564860800006</v>
          </cell>
          <cell r="AF61">
            <v>11.5518206076</v>
          </cell>
          <cell r="AK61">
            <v>14.555064479364862</v>
          </cell>
          <cell r="AP61">
            <v>18.277477364410526</v>
          </cell>
          <cell r="AU61">
            <v>23.81423049089393</v>
          </cell>
        </row>
        <row r="62">
          <cell r="B62" t="str">
            <v xml:space="preserve">  % of operating expense</v>
          </cell>
          <cell r="G62">
            <v>0</v>
          </cell>
          <cell r="L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AA62">
            <v>0.13</v>
          </cell>
          <cell r="AF62">
            <v>0.125</v>
          </cell>
          <cell r="AK62">
            <v>0.12</v>
          </cell>
          <cell r="AP62">
            <v>0.11499999999999999</v>
          </cell>
          <cell r="AU62">
            <v>0.10999999999999997</v>
          </cell>
        </row>
        <row r="63">
          <cell r="B63" t="str">
            <v>Tax impact</v>
          </cell>
          <cell r="G63">
            <v>0</v>
          </cell>
          <cell r="L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AA63">
            <v>3.2345097701280001</v>
          </cell>
          <cell r="AF63">
            <v>4.0431372126599996</v>
          </cell>
          <cell r="AK63">
            <v>5.0942725677777014</v>
          </cell>
          <cell r="AP63">
            <v>6.3971170775436841</v>
          </cell>
          <cell r="AU63">
            <v>8.3349806718128754</v>
          </cell>
        </row>
        <row r="64">
          <cell r="B64" t="str">
            <v>Net Income (non-GAAP, incl option exp)</v>
          </cell>
          <cell r="G64">
            <v>-6.6350000000000007</v>
          </cell>
          <cell r="L64">
            <v>-18.187999999999999</v>
          </cell>
          <cell r="Q64">
            <v>-25.557000000000002</v>
          </cell>
          <cell r="R64">
            <v>-9.4138045270088302</v>
          </cell>
          <cell r="S64">
            <v>-9.4138045270088302</v>
          </cell>
          <cell r="T64">
            <v>-9.4138045270088302</v>
          </cell>
          <cell r="U64">
            <v>-9.4138045270088284</v>
          </cell>
          <cell r="V64">
            <v>-37.655218108035314</v>
          </cell>
          <cell r="AA64">
            <v>-57.658524579588843</v>
          </cell>
          <cell r="AF64">
            <v>-86.873654699953434</v>
          </cell>
          <cell r="AK64">
            <v>-119.82775253807043</v>
          </cell>
          <cell r="AP64">
            <v>-122.83984051694199</v>
          </cell>
          <cell r="AU64">
            <v>-140.3939317746613</v>
          </cell>
        </row>
        <row r="65">
          <cell r="B65" t="str">
            <v>EPS, diluted (non-GAAP, incl option exp)</v>
          </cell>
          <cell r="G65" t="e">
            <v>#DIV/0!</v>
          </cell>
          <cell r="L65" t="e">
            <v>#DIV/0!</v>
          </cell>
          <cell r="Q65">
            <v>-0.86050505050505055</v>
          </cell>
          <cell r="R65" t="e">
            <v>#DIV/0!</v>
          </cell>
          <cell r="S65">
            <v>-0.31696311538750271</v>
          </cell>
          <cell r="T65">
            <v>-0.31538618446517686</v>
          </cell>
          <cell r="U65">
            <v>-0.31381709897032517</v>
          </cell>
          <cell r="V65">
            <v>-1.2615342773774785</v>
          </cell>
          <cell r="AA65">
            <v>-1.8983658834595238</v>
          </cell>
          <cell r="AF65">
            <v>-2.8249414803656889</v>
          </cell>
          <cell r="AK65">
            <v>-3.810793893143765</v>
          </cell>
          <cell r="AP65">
            <v>-3.8206211364880245</v>
          </cell>
          <cell r="AU65">
            <v>-4.2705100683266899</v>
          </cell>
        </row>
      </sheetData>
      <sheetData sheetId="2" refreshError="1"/>
      <sheetData sheetId="3" refreshError="1"/>
      <sheetData sheetId="4">
        <row r="42">
          <cell r="M42">
            <v>1</v>
          </cell>
        </row>
      </sheetData>
      <sheetData sheetId="5"/>
      <sheetData sheetId="6" refreshError="1"/>
      <sheetData sheetId="7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S"/>
      <sheetName val="BS"/>
      <sheetName val="CF"/>
      <sheetName val="SMA Mkt Model"/>
      <sheetName val="SMA Sales Summary"/>
      <sheetName val="Scenario Analysis"/>
      <sheetName val="Scenario Analysis Pricing"/>
      <sheetName val="Milestones"/>
      <sheetName val="mwareDates"/>
      <sheetName val="MWA RR"/>
      <sheetName val="mwareSettings"/>
      <sheetName val="MW-Cache"/>
    </sheetNames>
    <sheetDataSet>
      <sheetData sheetId="0">
        <row r="4">
          <cell r="B4" t="str">
            <v>($ in millions)</v>
          </cell>
          <cell r="Q4" t="str">
            <v>Terminal</v>
          </cell>
        </row>
        <row r="5">
          <cell r="C5">
            <v>2017</v>
          </cell>
          <cell r="D5">
            <v>2018</v>
          </cell>
          <cell r="E5">
            <v>2019</v>
          </cell>
          <cell r="F5">
            <v>2020</v>
          </cell>
          <cell r="G5">
            <v>2021</v>
          </cell>
          <cell r="H5">
            <v>2022</v>
          </cell>
          <cell r="I5">
            <v>2023</v>
          </cell>
          <cell r="J5">
            <v>2024</v>
          </cell>
          <cell r="K5">
            <v>2025</v>
          </cell>
          <cell r="L5">
            <v>2026</v>
          </cell>
          <cell r="M5">
            <v>2027</v>
          </cell>
          <cell r="N5">
            <v>2028</v>
          </cell>
          <cell r="O5">
            <v>2029</v>
          </cell>
          <cell r="P5">
            <v>2030</v>
          </cell>
          <cell r="Q5">
            <v>2031</v>
          </cell>
        </row>
        <row r="6">
          <cell r="B6" t="str">
            <v>EBIT</v>
          </cell>
          <cell r="C6">
            <v>-220.36780700000003</v>
          </cell>
          <cell r="D6">
            <v>-214.71825745000001</v>
          </cell>
          <cell r="E6">
            <v>-159.53260431576342</v>
          </cell>
          <cell r="F6">
            <v>-0.81615563528480095</v>
          </cell>
          <cell r="G6">
            <v>464.05359879797868</v>
          </cell>
          <cell r="H6">
            <v>1084.6884853863382</v>
          </cell>
          <cell r="I6">
            <v>1268.353053810252</v>
          </cell>
          <cell r="J6">
            <v>1076.5455082710016</v>
          </cell>
          <cell r="K6">
            <v>1009.4465034529196</v>
          </cell>
          <cell r="L6">
            <v>898.54027806422778</v>
          </cell>
          <cell r="M6">
            <v>844.25205478533803</v>
          </cell>
          <cell r="N6">
            <v>891.55121168651044</v>
          </cell>
          <cell r="O6">
            <v>940.61174026720857</v>
          </cell>
          <cell r="P6">
            <v>991.45421683995642</v>
          </cell>
        </row>
        <row r="7">
          <cell r="B7" t="str">
            <v>Growth</v>
          </cell>
          <cell r="D7" t="str">
            <v>NM</v>
          </cell>
          <cell r="E7" t="str">
            <v>NM</v>
          </cell>
          <cell r="F7" t="str">
            <v>NM</v>
          </cell>
          <cell r="G7" t="str">
            <v>NM</v>
          </cell>
          <cell r="H7">
            <v>1.3374206949282752</v>
          </cell>
          <cell r="I7">
            <v>0.16932471478988487</v>
          </cell>
          <cell r="J7">
            <v>-0.15122567408423271</v>
          </cell>
          <cell r="K7">
            <v>-6.2328070947829328E-2</v>
          </cell>
          <cell r="L7">
            <v>-0.10986835360697689</v>
          </cell>
          <cell r="M7">
            <v>-6.0418241234378112E-2</v>
          </cell>
          <cell r="N7">
            <v>5.6024923638709812E-2</v>
          </cell>
          <cell r="O7">
            <v>5.502827873218008E-2</v>
          </cell>
          <cell r="P7">
            <v>5.4052564300658856E-2</v>
          </cell>
        </row>
        <row r="9">
          <cell r="B9" t="str">
            <v>Taxes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344.68722315512997</v>
          </cell>
          <cell r="I9">
            <v>447.46814105499027</v>
          </cell>
          <cell r="J9">
            <v>382.26929824231001</v>
          </cell>
          <cell r="K9">
            <v>360.48741204125963</v>
          </cell>
          <cell r="L9">
            <v>323.25451842289817</v>
          </cell>
          <cell r="M9">
            <v>305.68189677264138</v>
          </cell>
          <cell r="N9">
            <v>323.57838472256634</v>
          </cell>
          <cell r="O9">
            <v>342.14968535610518</v>
          </cell>
          <cell r="P9">
            <v>361.41455520768403</v>
          </cell>
        </row>
        <row r="10">
          <cell r="B10" t="str">
            <v>Tax rate</v>
          </cell>
          <cell r="D10">
            <v>0</v>
          </cell>
          <cell r="E10">
            <v>0</v>
          </cell>
          <cell r="F10">
            <v>0</v>
          </cell>
          <cell r="G10">
            <v>0.35</v>
          </cell>
          <cell r="H10">
            <v>0.35</v>
          </cell>
          <cell r="I10">
            <v>0.35</v>
          </cell>
          <cell r="J10">
            <v>0.35</v>
          </cell>
          <cell r="K10">
            <v>0.35</v>
          </cell>
          <cell r="L10">
            <v>0.35</v>
          </cell>
          <cell r="M10">
            <v>0.35</v>
          </cell>
          <cell r="N10">
            <v>0.35</v>
          </cell>
          <cell r="O10">
            <v>0.35</v>
          </cell>
          <cell r="P10">
            <v>0.35</v>
          </cell>
        </row>
        <row r="11">
          <cell r="B11" t="str">
            <v>Non-GAAP EBIT, after tax</v>
          </cell>
          <cell r="C11">
            <v>-220.36780700000003</v>
          </cell>
          <cell r="D11">
            <v>-214.71825745000001</v>
          </cell>
          <cell r="E11">
            <v>-159.53260431576342</v>
          </cell>
          <cell r="F11">
            <v>-0.81615563528480095</v>
          </cell>
          <cell r="G11">
            <v>464.05359879797868</v>
          </cell>
          <cell r="H11">
            <v>740.00126223120833</v>
          </cell>
          <cell r="I11">
            <v>820.88491275526178</v>
          </cell>
          <cell r="J11">
            <v>694.27621002869159</v>
          </cell>
          <cell r="K11">
            <v>648.95909141165998</v>
          </cell>
          <cell r="L11">
            <v>575.28575964132961</v>
          </cell>
          <cell r="M11">
            <v>538.57015801269665</v>
          </cell>
          <cell r="N11">
            <v>567.97282696394404</v>
          </cell>
          <cell r="O11">
            <v>598.46205491110345</v>
          </cell>
          <cell r="P11">
            <v>630.03966163227233</v>
          </cell>
        </row>
        <row r="12">
          <cell r="B12" t="str">
            <v>Plus: D&amp;A</v>
          </cell>
          <cell r="C12">
            <v>2.27</v>
          </cell>
          <cell r="D12">
            <v>4.9657294818000004</v>
          </cell>
          <cell r="E12">
            <v>7.1795615571981042</v>
          </cell>
          <cell r="F12">
            <v>9.6181575758624707</v>
          </cell>
          <cell r="G12">
            <v>11.87694332676802</v>
          </cell>
          <cell r="H12">
            <v>13.86944947716797</v>
          </cell>
          <cell r="I12">
            <v>15.921969570976776</v>
          </cell>
          <cell r="J12">
            <v>18.018143250720339</v>
          </cell>
          <cell r="K12">
            <v>20.075407627536293</v>
          </cell>
          <cell r="L12">
            <v>22.251083114928097</v>
          </cell>
          <cell r="M12">
            <v>24.552843992132772</v>
          </cell>
          <cell r="N12">
            <v>26.935615034958587</v>
          </cell>
          <cell r="O12">
            <v>29.5744737004527</v>
          </cell>
          <cell r="P12">
            <v>32.668449649009339</v>
          </cell>
        </row>
        <row r="13">
          <cell r="B13" t="str">
            <v>Plus/Less: Change in non-Cash WC</v>
          </cell>
          <cell r="C13">
            <v>50.719935</v>
          </cell>
          <cell r="D13">
            <v>39.976553102411501</v>
          </cell>
          <cell r="E13">
            <v>34.715462961150727</v>
          </cell>
          <cell r="F13">
            <v>3.0352079655722157</v>
          </cell>
          <cell r="G13">
            <v>-68.275973054626036</v>
          </cell>
          <cell r="H13">
            <v>-19.24792084598802</v>
          </cell>
          <cell r="I13">
            <v>-12.671963916305955</v>
          </cell>
          <cell r="J13">
            <v>19.160874595129666</v>
          </cell>
          <cell r="K13">
            <v>6.9482996850617358</v>
          </cell>
          <cell r="L13">
            <v>10.053214916120911</v>
          </cell>
          <cell r="M13">
            <v>4.2479767860674844</v>
          </cell>
          <cell r="N13">
            <v>-5.0775993390579686</v>
          </cell>
          <cell r="O13">
            <v>-5.3852516779055097</v>
          </cell>
          <cell r="P13">
            <v>-5.6774809318430659</v>
          </cell>
        </row>
        <row r="14">
          <cell r="B14" t="str">
            <v>Less: Capital expenditures</v>
          </cell>
          <cell r="C14">
            <v>-32.046999999999997</v>
          </cell>
          <cell r="D14">
            <v>-20.14118925</v>
          </cell>
          <cell r="E14">
            <v>-24.137634446562082</v>
          </cell>
          <cell r="F14">
            <v>-24.636249896465259</v>
          </cell>
          <cell r="G14">
            <v>-20.54123269441169</v>
          </cell>
          <cell r="H14">
            <v>-19.310481129076734</v>
          </cell>
          <cell r="I14">
            <v>-21.741352481039879</v>
          </cell>
          <cell r="J14">
            <v>-20.183409674377788</v>
          </cell>
          <cell r="K14">
            <v>-20.963037566433091</v>
          </cell>
          <cell r="L14">
            <v>-22.55151591544551</v>
          </cell>
          <cell r="M14">
            <v>-23.484640989286344</v>
          </cell>
          <cell r="N14">
            <v>-24.171625291804489</v>
          </cell>
          <cell r="O14">
            <v>-28.606308900194886</v>
          </cell>
          <cell r="P14">
            <v>-33.273894864843179</v>
          </cell>
        </row>
        <row r="15">
          <cell r="B15" t="str">
            <v>Free Cash Flow to Firm (FCFF)</v>
          </cell>
          <cell r="C15">
            <v>-199.42487200000002</v>
          </cell>
          <cell r="D15">
            <v>-189.91716411578849</v>
          </cell>
          <cell r="E15">
            <v>-141.77521424397668</v>
          </cell>
          <cell r="F15">
            <v>-12.799039990315373</v>
          </cell>
          <cell r="G15">
            <v>387.11333637570897</v>
          </cell>
          <cell r="H15">
            <v>715.31230973331162</v>
          </cell>
          <cell r="I15">
            <v>802.39356592889283</v>
          </cell>
          <cell r="J15">
            <v>711.27181820016381</v>
          </cell>
          <cell r="K15">
            <v>655.01976115782497</v>
          </cell>
          <cell r="L15">
            <v>585.03854175693311</v>
          </cell>
          <cell r="M15">
            <v>543.88633780161058</v>
          </cell>
          <cell r="N15">
            <v>565.65921736804012</v>
          </cell>
          <cell r="O15">
            <v>594.04496803345569</v>
          </cell>
          <cell r="P15">
            <v>623.75673548459531</v>
          </cell>
          <cell r="Q15">
            <v>6059.351144707498</v>
          </cell>
        </row>
        <row r="16">
          <cell r="B16" t="str">
            <v>YoY Growth</v>
          </cell>
          <cell r="D16">
            <v>-4.7675637390964587E-2</v>
          </cell>
          <cell r="E16">
            <v>-0.2534891993356676</v>
          </cell>
          <cell r="F16">
            <v>-0.90972300723672406</v>
          </cell>
          <cell r="G16">
            <v>-31.245497839574323</v>
          </cell>
          <cell r="H16">
            <v>0.84781107370341902</v>
          </cell>
          <cell r="I16">
            <v>0.12173879158887613</v>
          </cell>
          <cell r="J16">
            <v>-0.11356241076440055</v>
          </cell>
          <cell r="K16">
            <v>-7.9086582095550639E-2</v>
          </cell>
          <cell r="L16">
            <v>-0.10683833305607726</v>
          </cell>
          <cell r="M16">
            <v>-7.0341013485603954E-2</v>
          </cell>
          <cell r="N16">
            <v>4.0032039882515802E-2</v>
          </cell>
          <cell r="O16">
            <v>5.0181716825002498E-2</v>
          </cell>
          <cell r="P16">
            <v>5.0016024122716329E-2</v>
          </cell>
          <cell r="Q16">
            <v>9.2001556629063899</v>
          </cell>
        </row>
        <row r="17">
          <cell r="B17" t="str">
            <v>Present Value of FCFF</v>
          </cell>
          <cell r="C17">
            <v>-237.96227136677501</v>
          </cell>
          <cell r="D17">
            <v>-201.43757191498872</v>
          </cell>
          <cell r="E17">
            <v>-133.66695386145537</v>
          </cell>
          <cell r="F17">
            <v>-10.726267223501988</v>
          </cell>
          <cell r="G17">
            <v>288.37448189789006</v>
          </cell>
          <cell r="H17">
            <v>473.65472091058433</v>
          </cell>
          <cell r="I17">
            <v>472.28166601298244</v>
          </cell>
          <cell r="J17">
            <v>372.13175240952955</v>
          </cell>
          <cell r="K17">
            <v>304.62322135309518</v>
          </cell>
          <cell r="L17">
            <v>241.84691926538497</v>
          </cell>
          <cell r="M17">
            <v>199.85347720523268</v>
          </cell>
          <cell r="N17">
            <v>184.75912851144176</v>
          </cell>
          <cell r="O17">
            <v>172.47169669265531</v>
          </cell>
          <cell r="P17">
            <v>160.97604020881866</v>
          </cell>
          <cell r="Q17">
            <v>1390.0153313269418</v>
          </cell>
        </row>
        <row r="19">
          <cell r="B19" t="str">
            <v>Sum of Discounted CF</v>
          </cell>
          <cell r="D19">
            <v>4015.8764287521053</v>
          </cell>
        </row>
        <row r="20">
          <cell r="B20" t="str">
            <v>Net Cash</v>
          </cell>
          <cell r="D20">
            <v>756.5204592</v>
          </cell>
        </row>
        <row r="21">
          <cell r="B21" t="str">
            <v>Equity Value</v>
          </cell>
          <cell r="D21">
            <v>4772.3968879521053</v>
          </cell>
        </row>
        <row r="22">
          <cell r="B22" t="str">
            <v>Equity Value Per Share</v>
          </cell>
          <cell r="D22">
            <v>129.40435394048092</v>
          </cell>
        </row>
        <row r="24">
          <cell r="B24" t="str">
            <v>Discount Rate</v>
          </cell>
          <cell r="D24">
            <v>0.125</v>
          </cell>
        </row>
        <row r="25">
          <cell r="B25" t="str">
            <v>Terminal Growth Rate</v>
          </cell>
          <cell r="D25">
            <v>0.02</v>
          </cell>
        </row>
        <row r="26">
          <cell r="B26" t="str">
            <v>Time of Valuation</v>
          </cell>
          <cell r="D26">
            <v>2018.5</v>
          </cell>
        </row>
        <row r="27">
          <cell r="B27" t="str">
            <v>Shares Outstanding</v>
          </cell>
          <cell r="D27">
            <v>36.879724233599994</v>
          </cell>
        </row>
      </sheetData>
      <sheetData sheetId="1">
        <row r="4">
          <cell r="B4" t="str">
            <v>AVEXIS INC. (NSDQ:AVXS)</v>
          </cell>
        </row>
      </sheetData>
      <sheetData sheetId="2">
        <row r="4">
          <cell r="E4">
            <v>3.119713</v>
          </cell>
        </row>
      </sheetData>
      <sheetData sheetId="3">
        <row r="7">
          <cell r="F7">
            <v>6.4630000000000007E-2</v>
          </cell>
        </row>
      </sheetData>
      <sheetData sheetId="4"/>
      <sheetData sheetId="5">
        <row r="4">
          <cell r="E4">
            <v>2019</v>
          </cell>
          <cell r="F4">
            <v>2020</v>
          </cell>
          <cell r="G4">
            <v>2021</v>
          </cell>
          <cell r="H4">
            <v>2022</v>
          </cell>
          <cell r="I4">
            <v>2023</v>
          </cell>
          <cell r="J4">
            <v>2024</v>
          </cell>
          <cell r="K4">
            <v>2025</v>
          </cell>
          <cell r="L4">
            <v>2026</v>
          </cell>
          <cell r="M4">
            <v>2027</v>
          </cell>
          <cell r="N4">
            <v>2028</v>
          </cell>
          <cell r="O4">
            <v>2029</v>
          </cell>
          <cell r="P4">
            <v>2030</v>
          </cell>
        </row>
        <row r="5">
          <cell r="D5" t="str">
            <v>SMA1</v>
          </cell>
        </row>
        <row r="6">
          <cell r="D6" t="str">
            <v>U.S.</v>
          </cell>
          <cell r="E6">
            <v>49.011221393569997</v>
          </cell>
          <cell r="F6">
            <v>175.16046897015889</v>
          </cell>
          <cell r="G6">
            <v>306.61389680591822</v>
          </cell>
          <cell r="H6">
            <v>391.3581452093639</v>
          </cell>
          <cell r="I6">
            <v>452.9023444086979</v>
          </cell>
          <cell r="J6">
            <v>489.66682542264601</v>
          </cell>
          <cell r="K6">
            <v>513.89268355474348</v>
          </cell>
          <cell r="L6">
            <v>538.92314616146462</v>
          </cell>
          <cell r="M6">
            <v>550.29981377693298</v>
          </cell>
          <cell r="N6">
            <v>561.91664284576404</v>
          </cell>
          <cell r="O6">
            <v>573.77870317623797</v>
          </cell>
          <cell r="P6">
            <v>585.89117160028832</v>
          </cell>
        </row>
        <row r="7">
          <cell r="D7" t="str">
            <v>ROW</v>
          </cell>
          <cell r="E7">
            <v>31.367181691884806</v>
          </cell>
          <cell r="F7">
            <v>119.10911889970805</v>
          </cell>
          <cell r="G7">
            <v>208.4974498280244</v>
          </cell>
          <cell r="H7">
            <v>266.12353874236749</v>
          </cell>
          <cell r="I7">
            <v>307.97359419791457</v>
          </cell>
          <cell r="J7">
            <v>332.97344128739923</v>
          </cell>
          <cell r="K7">
            <v>349.44702481722561</v>
          </cell>
          <cell r="L7">
            <v>366.46773938979601</v>
          </cell>
          <cell r="M7">
            <v>374.20387336831459</v>
          </cell>
          <cell r="N7">
            <v>382.1033171351196</v>
          </cell>
          <cell r="O7">
            <v>390.16951815984197</v>
          </cell>
          <cell r="P7">
            <v>398.40599668819613</v>
          </cell>
        </row>
        <row r="8">
          <cell r="D8" t="str">
            <v>Total SMA1</v>
          </cell>
          <cell r="E8">
            <v>80.378403085454806</v>
          </cell>
          <cell r="F8">
            <v>294.26958786986694</v>
          </cell>
          <cell r="G8">
            <v>515.11134663394262</v>
          </cell>
          <cell r="H8">
            <v>657.48168395173138</v>
          </cell>
          <cell r="I8">
            <v>760.87593860661241</v>
          </cell>
          <cell r="J8">
            <v>822.64026671004524</v>
          </cell>
          <cell r="K8">
            <v>863.3397083719691</v>
          </cell>
          <cell r="L8">
            <v>905.39088555126068</v>
          </cell>
          <cell r="M8">
            <v>924.50368714524757</v>
          </cell>
          <cell r="N8">
            <v>944.01995998088364</v>
          </cell>
          <cell r="O8">
            <v>963.94822133608</v>
          </cell>
          <cell r="P8">
            <v>984.2971682884845</v>
          </cell>
        </row>
        <row r="10">
          <cell r="D10" t="str">
            <v>SMA2</v>
          </cell>
        </row>
        <row r="11">
          <cell r="D11" t="str">
            <v>U.S.</v>
          </cell>
          <cell r="E11">
            <v>0</v>
          </cell>
          <cell r="F11">
            <v>0</v>
          </cell>
          <cell r="G11">
            <v>288.5416522268934</v>
          </cell>
          <cell r="H11">
            <v>773.91594545563737</v>
          </cell>
          <cell r="I11">
            <v>855.99088693024976</v>
          </cell>
          <cell r="J11">
            <v>610.33550871688794</v>
          </cell>
          <cell r="K11">
            <v>500.30800557930542</v>
          </cell>
          <cell r="L11">
            <v>350.72956685871361</v>
          </cell>
          <cell r="M11">
            <v>272.21815652974715</v>
          </cell>
          <cell r="N11">
            <v>285.78223198556088</v>
          </cell>
          <cell r="O11">
            <v>299.71193048649752</v>
          </cell>
          <cell r="P11">
            <v>314.01651946529313</v>
          </cell>
        </row>
        <row r="12">
          <cell r="D12" t="str">
            <v>ROW</v>
          </cell>
          <cell r="E12">
            <v>0</v>
          </cell>
          <cell r="F12">
            <v>0</v>
          </cell>
          <cell r="G12">
            <v>196.20832351428754</v>
          </cell>
          <cell r="H12">
            <v>526.26284290983347</v>
          </cell>
          <cell r="I12">
            <v>582.07380311256998</v>
          </cell>
          <cell r="J12">
            <v>415.02814592748371</v>
          </cell>
          <cell r="K12">
            <v>340.2094437939279</v>
          </cell>
          <cell r="L12">
            <v>238.49610546392532</v>
          </cell>
          <cell r="M12">
            <v>185.1083464402281</v>
          </cell>
          <cell r="N12">
            <v>194.33191775018136</v>
          </cell>
          <cell r="O12">
            <v>203.80411273081819</v>
          </cell>
          <cell r="P12">
            <v>213.53123323639957</v>
          </cell>
        </row>
        <row r="13">
          <cell r="D13" t="str">
            <v>Total SMA2</v>
          </cell>
          <cell r="E13">
            <v>0</v>
          </cell>
          <cell r="F13">
            <v>0</v>
          </cell>
          <cell r="G13">
            <v>484.74997574118095</v>
          </cell>
          <cell r="H13">
            <v>1300.1787883654708</v>
          </cell>
          <cell r="I13">
            <v>1438.0646900428196</v>
          </cell>
          <cell r="J13">
            <v>1025.3636546443718</v>
          </cell>
          <cell r="K13">
            <v>840.51744937323338</v>
          </cell>
          <cell r="L13">
            <v>589.22567232263896</v>
          </cell>
          <cell r="M13">
            <v>457.32650296997525</v>
          </cell>
          <cell r="N13">
            <v>480.11414973574222</v>
          </cell>
          <cell r="O13">
            <v>503.51604321731571</v>
          </cell>
          <cell r="P13">
            <v>527.54775270169273</v>
          </cell>
        </row>
        <row r="14">
          <cell r="D14" t="str">
            <v>Risk Adjusted SMA2</v>
          </cell>
          <cell r="E14">
            <v>0</v>
          </cell>
          <cell r="F14">
            <v>0</v>
          </cell>
          <cell r="G14">
            <v>387.79998059294479</v>
          </cell>
          <cell r="H14">
            <v>1040.1430306923767</v>
          </cell>
          <cell r="I14">
            <v>1150.4517520342558</v>
          </cell>
          <cell r="J14">
            <v>820.29092371549734</v>
          </cell>
          <cell r="K14">
            <v>672.41395949858679</v>
          </cell>
          <cell r="L14">
            <v>471.38053785811115</v>
          </cell>
          <cell r="M14">
            <v>365.86120237598021</v>
          </cell>
          <cell r="N14">
            <v>384.09131978859381</v>
          </cell>
          <cell r="O14">
            <v>402.81283457385257</v>
          </cell>
          <cell r="P14">
            <v>422.03820216135421</v>
          </cell>
        </row>
        <row r="16">
          <cell r="D16" t="str">
            <v>Total AVXS-101 Sales</v>
          </cell>
          <cell r="E16">
            <v>80.378403085454806</v>
          </cell>
          <cell r="F16">
            <v>294.26958786986694</v>
          </cell>
          <cell r="G16">
            <v>999.86132237512356</v>
          </cell>
          <cell r="H16">
            <v>1957.6604723172022</v>
          </cell>
          <cell r="I16">
            <v>2198.9406286494323</v>
          </cell>
          <cell r="J16">
            <v>1848.0039213544169</v>
          </cell>
          <cell r="K16">
            <v>1703.8571577452026</v>
          </cell>
          <cell r="L16">
            <v>1494.6165578738996</v>
          </cell>
          <cell r="M16">
            <v>1381.8301901152229</v>
          </cell>
          <cell r="N16">
            <v>1424.134109716626</v>
          </cell>
          <cell r="O16">
            <v>1467.4642645533957</v>
          </cell>
          <cell r="P16">
            <v>1511.8449209901773</v>
          </cell>
        </row>
        <row r="17">
          <cell r="D17" t="str">
            <v>Risk Adjusted AVXS-101 Sales</v>
          </cell>
          <cell r="E17">
            <v>80.378403085454806</v>
          </cell>
          <cell r="F17">
            <v>294.26958786986694</v>
          </cell>
          <cell r="G17">
            <v>902.91132722688735</v>
          </cell>
          <cell r="H17">
            <v>1697.6247146441081</v>
          </cell>
          <cell r="I17">
            <v>1911.3276906408682</v>
          </cell>
          <cell r="J17">
            <v>1642.9311904255426</v>
          </cell>
          <cell r="K17">
            <v>1535.753667870556</v>
          </cell>
          <cell r="L17">
            <v>1376.7714234093719</v>
          </cell>
          <cell r="M17">
            <v>1290.3648895212277</v>
          </cell>
          <cell r="N17">
            <v>1328.1112797694775</v>
          </cell>
          <cell r="O17">
            <v>1366.7610559099326</v>
          </cell>
          <cell r="P17">
            <v>1406.3353704498386</v>
          </cell>
        </row>
        <row r="19">
          <cell r="D19" t="str">
            <v>% Royalty to Regenxbio</v>
          </cell>
          <cell r="E19">
            <v>0.09</v>
          </cell>
          <cell r="F19">
            <v>0.09</v>
          </cell>
          <cell r="G19">
            <v>0.09</v>
          </cell>
          <cell r="H19">
            <v>0.09</v>
          </cell>
          <cell r="I19">
            <v>0.09</v>
          </cell>
          <cell r="J19">
            <v>0.09</v>
          </cell>
          <cell r="K19">
            <v>0.09</v>
          </cell>
          <cell r="L19">
            <v>0.09</v>
          </cell>
          <cell r="M19">
            <v>0.09</v>
          </cell>
          <cell r="N19">
            <v>0.09</v>
          </cell>
          <cell r="O19">
            <v>0.09</v>
          </cell>
          <cell r="P19">
            <v>0.09</v>
          </cell>
        </row>
        <row r="21">
          <cell r="D21" t="str">
            <v>Risk Adjusted AVXS-101 Revenue</v>
          </cell>
          <cell r="E21">
            <v>73.144346807763881</v>
          </cell>
          <cell r="F21">
            <v>267.78532496157891</v>
          </cell>
          <cell r="G21">
            <v>821.64930777646748</v>
          </cell>
          <cell r="H21">
            <v>1544.8384903261383</v>
          </cell>
          <cell r="I21">
            <v>1739.3081984831902</v>
          </cell>
          <cell r="J21">
            <v>1495.0673832872437</v>
          </cell>
          <cell r="K21">
            <v>1397.535837762206</v>
          </cell>
          <cell r="L21">
            <v>1252.8619953025284</v>
          </cell>
          <cell r="M21">
            <v>1174.2320494643172</v>
          </cell>
          <cell r="N21">
            <v>1208.5812645902245</v>
          </cell>
          <cell r="O21">
            <v>1243.7525608780386</v>
          </cell>
          <cell r="P21">
            <v>1279.7651871093531</v>
          </cell>
        </row>
      </sheetData>
      <sheetData sheetId="6" refreshError="1"/>
      <sheetData sheetId="7" refreshError="1"/>
      <sheetData sheetId="8">
        <row r="2">
          <cell r="B2" t="str">
            <v>Drug</v>
          </cell>
          <cell r="C2" t="str">
            <v>Type</v>
          </cell>
          <cell r="D2" t="str">
            <v>Milestone</v>
          </cell>
          <cell r="E2" t="str">
            <v>Timing</v>
          </cell>
        </row>
        <row r="3">
          <cell r="B3" t="str">
            <v>AVXS-101</v>
          </cell>
          <cell r="C3" t="str">
            <v>Trial start</v>
          </cell>
          <cell r="D3" t="str">
            <v>Initiate pivotal EU trial for AVXS-101 for SMA Type 1</v>
          </cell>
          <cell r="E3" t="str">
            <v>1H18</v>
          </cell>
        </row>
        <row r="4">
          <cell r="B4" t="str">
            <v>AVXS-101</v>
          </cell>
          <cell r="C4" t="str">
            <v>Regulatory</v>
          </cell>
          <cell r="D4" t="str">
            <v>Hold pre-BLA meeting with FDA to discuss potential submission for AVXS-101 for the treatment of SMA Type 1</v>
          </cell>
          <cell r="E4" t="str">
            <v>2Q18</v>
          </cell>
        </row>
        <row r="5">
          <cell r="B5" t="str">
            <v>AVXS-101</v>
          </cell>
          <cell r="C5" t="str">
            <v>Clinical data</v>
          </cell>
          <cell r="D5" t="str">
            <v>Announce 24-month data from PhI AVXS-101 in SMA Type 1 patients</v>
          </cell>
          <cell r="E5" t="str">
            <v>Mid 2018</v>
          </cell>
        </row>
        <row r="6">
          <cell r="B6" t="str">
            <v>AVXS-101</v>
          </cell>
          <cell r="C6" t="str">
            <v>Regulatory</v>
          </cell>
          <cell r="D6" t="str">
            <v>Potentially submit BLA for SMA Type 1</v>
          </cell>
          <cell r="E6" t="str">
            <v>3Q18</v>
          </cell>
        </row>
        <row r="7">
          <cell r="B7" t="str">
            <v>AVXS-101</v>
          </cell>
          <cell r="C7" t="str">
            <v>Regulatory</v>
          </cell>
          <cell r="D7" t="str">
            <v>AVXS-101 to be approved for SMA Type 1</v>
          </cell>
          <cell r="E7" t="str">
            <v>Late 2018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ultipleSecurities"/>
      <sheetName val="Model_Template"/>
      <sheetName val="Q&amp;A"/>
      <sheetName val="mwareDates"/>
      <sheetName val="mwareSettings"/>
      <sheetName val="Quarterly"/>
      <sheetName val="INPUT"/>
      <sheetName val="Val"/>
      <sheetName val="PRINT SHEET"/>
      <sheetName val="Key Metrics"/>
      <sheetName val="Profile"/>
      <sheetName val="STA GRAPHS"/>
      <sheetName val="RESIDUAL INCOME"/>
      <sheetName val="Employee"/>
      <sheetName val="Individual"/>
      <sheetName val="Assumptions"/>
      <sheetName val="BS"/>
      <sheetName val="UPS-GAS"/>
      <sheetName val="Combo Box"/>
      <sheetName val="MMD"/>
      <sheetName val="Model"/>
      <sheetName val="MATQTRS"/>
      <sheetName val="UNIV-EBS DATA"/>
      <sheetName val="Ratios"/>
      <sheetName val="MATINC"/>
      <sheetName val="MATBAL"/>
      <sheetName val="Macro1"/>
      <sheetName val="Macro2"/>
      <sheetName val="Valuation"/>
      <sheetName val="Analysis"/>
      <sheetName val="MACRS"/>
      <sheetName val="RELPE"/>
      <sheetName val="SALESCAT"/>
      <sheetName val="MATCASH"/>
      <sheetName val="FinSum"/>
      <sheetName val="LXK"/>
      <sheetName val=" Capital"/>
      <sheetName val="New Business"/>
      <sheetName val="FutureAcq"/>
      <sheetName val="Credit Output"/>
      <sheetName val="CalcsMO"/>
      <sheetName val="yearly"/>
      <sheetName val="OnAir"/>
      <sheetName val="Aladdin Macro1"/>
      <sheetName val="DATA"/>
      <sheetName val="Scenario"/>
      <sheetName val="WY"/>
      <sheetName val="Gas"/>
      <sheetName val="Off Peak"/>
      <sheetName val="Peak"/>
      <sheetName val="Annual"/>
      <sheetName val="changes in EST"/>
      <sheetName val="US peers EBIT Margins"/>
      <sheetName val="Sheet7"/>
      <sheetName val="Model (Euro)"/>
      <sheetName val="Monthly Spot"/>
      <sheetName val="NKEBALST"/>
      <sheetName val="NKEQTRIN"/>
      <sheetName val="main"/>
      <sheetName val="Sheet1"/>
      <sheetName val="DMK"/>
      <sheetName val="Cashflow Model"/>
      <sheetName val="premium detail - P&amp;C"/>
      <sheetName val="Sainsbury"/>
      <sheetName val="macros"/>
      <sheetName val="Monthly figures"/>
      <sheetName val="Accounts&amp;Forecasts"/>
      <sheetName val="Operations"/>
      <sheetName val="Balance Sheet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Summary Page_VDF"/>
      <sheetName val="Charts_VDF"/>
      <sheetName val="Forecasts_VDF"/>
      <sheetName val="Balance Sheet_VDF"/>
      <sheetName val="Income Statement_VDF"/>
      <sheetName val="WACC_VDF"/>
      <sheetName val="Invested capital_VDF"/>
      <sheetName val="NOPAT_VDF"/>
      <sheetName val="DCF_VDF"/>
      <sheetName val="Annual ESO grants"/>
      <sheetName val="Table for FOF6"/>
      <sheetName val="Outstanding ESO Liability"/>
      <sheetName val="Churn"/>
      <sheetName val="Put Warrant Liability"/>
      <sheetName val="PV of Op Leases_VDF"/>
    </sheetNames>
    <sheetDataSet>
      <sheetData sheetId="0" refreshError="1"/>
      <sheetData sheetId="1"/>
      <sheetData sheetId="2"/>
      <sheetData sheetId="3"/>
      <sheetData sheetId="4" refreshError="1"/>
      <sheetData sheetId="5"/>
      <sheetData sheetId="6"/>
      <sheetData sheetId="7"/>
      <sheetData sheetId="8" refreshError="1"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462.74300000000011</v>
          </cell>
          <cell r="K94">
            <v>708.06</v>
          </cell>
          <cell r="L94">
            <v>953</v>
          </cell>
          <cell r="M94">
            <v>1146</v>
          </cell>
          <cell r="N94">
            <v>1453</v>
          </cell>
          <cell r="O94">
            <v>2195</v>
          </cell>
          <cell r="P94">
            <v>3439</v>
          </cell>
          <cell r="Q94">
            <v>4462</v>
          </cell>
        </row>
      </sheetData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 2"/>
      <sheetName val="GE Upload"/>
      <sheetName val="Valuation"/>
      <sheetName val="QuarterlySales"/>
      <sheetName val="Product Charts"/>
      <sheetName val="Annual Sales"/>
      <sheetName val="top ten products"/>
      <sheetName val=" P&amp;L"/>
      <sheetName val=" P&amp;L (ex agro)"/>
      <sheetName val="Ex-Agro (original draft)"/>
      <sheetName val="Cash Flow"/>
      <sheetName val="Balance Sheet(ex agro)"/>
      <sheetName val="Cash Flow (ex agro)"/>
      <sheetName val="Balance Sheet"/>
      <sheetName val="New Divisions"/>
      <sheetName val="Pipeline Chart"/>
      <sheetName val="Sheet1"/>
      <sheetName val="Incremental Growth"/>
      <sheetName val="Pipeline"/>
      <sheetName val="Graph 2"/>
      <sheetName val="Graphs"/>
      <sheetName val="Agribusiness"/>
      <sheetName val="Launch schedule "/>
      <sheetName val="Market Data"/>
      <sheetName val="CML Model"/>
      <sheetName val="Gleevec Price"/>
      <sheetName val="Fax Sheet"/>
      <sheetName val="Financial ratios"/>
      <sheetName val="Old R&amp;D"/>
      <sheetName val="novregions"/>
      <sheetName val="horiz sales"/>
      <sheetName val="horiz p&amp;l"/>
      <sheetName val="GE3"/>
      <sheetName val="Top 10"/>
      <sheetName val="Ex-Agro"/>
      <sheetName val="Group p&amp;l"/>
      <sheetName val="Annual P&amp;L"/>
      <sheetName val="Divisional P&amp;L"/>
      <sheetName val="R&amp;D Table"/>
      <sheetName val="Data Sheet"/>
      <sheetName val="Sales"/>
      <sheetName val="Margins"/>
      <sheetName val="horizontal"/>
      <sheetName val="Sandoz Pharma"/>
      <sheetName val="Sandoz Division Sales"/>
      <sheetName val="Sandoz Div P&amp;L"/>
      <sheetName val="Sandoz P&amp;L"/>
      <sheetName val="Sandoz Cash Flow"/>
      <sheetName val="Sandoz BS"/>
      <sheetName val="Ciba Pharma"/>
      <sheetName val="Ciba Divisions Sales"/>
      <sheetName val="Ciba Divisions P&amp;L"/>
      <sheetName val="Ciba P&amp;L"/>
      <sheetName val="Sales Euro"/>
      <sheetName val="Div Euro"/>
      <sheetName val="P&amp;L Euro"/>
      <sheetName val="Data Sheet Euro"/>
      <sheetName val="Euro rate"/>
      <sheetName val="Margins Euro"/>
      <sheetName val="Bal Sheet Euro"/>
      <sheetName val="Cash Flow Euro"/>
      <sheetName val="Sheet4"/>
      <sheetName val="Diary"/>
      <sheetName val="Table for note"/>
      <sheetName val="IncrementalGrowth"/>
      <sheetName val="Changes post R &amp; D Day"/>
      <sheetName val="Pipeline New"/>
      <sheetName val="Contents"/>
      <sheetName val="mwarePreview"/>
      <sheetName val="Summary"/>
      <sheetName val="Qrtly Sales"/>
      <sheetName val="Yrly Sales"/>
      <sheetName val="Product concentration"/>
      <sheetName val="Div P&amp;L"/>
      <sheetName val="div p&amp;L new"/>
      <sheetName val="Restructuring and synergies"/>
      <sheetName val="Sandoz"/>
      <sheetName val=" Qrtly P&amp;L"/>
      <sheetName val=" Yrly P&amp;L"/>
      <sheetName val="IFRS adjustments"/>
      <sheetName val="BalanceSheet"/>
      <sheetName val="CashFlowSt"/>
      <sheetName val="FutureProducts"/>
      <sheetName val="GVAT Adjusted CHF"/>
      <sheetName val="GVAT Adjusted $"/>
      <sheetName val="GVAT RI Valuation"/>
      <sheetName val="GVAT Reported $"/>
      <sheetName val="GVAT pensions CHF"/>
      <sheetName val="GVAT Reported CHF"/>
      <sheetName val="GVAT options CHF"/>
      <sheetName val="__FDSCACHE__"/>
      <sheetName val="Zelnorm"/>
      <sheetName val="Gleevec"/>
      <sheetName val="Elidel"/>
      <sheetName val="DCF"/>
      <sheetName val="Novartisfeed"/>
      <sheetName val="Disclaimer"/>
      <sheetName val="mwareTaxoPres"/>
      <sheetName val="mwareDates_38456_582518"/>
      <sheetName val="RI Valuation"/>
      <sheetName val="Convergence Valuation"/>
      <sheetName val="Report"/>
      <sheetName val="mwareValPrintout"/>
      <sheetName val="Model_Template"/>
      <sheetName val="mwareDates"/>
      <sheetName val="mwareSettings"/>
      <sheetName val="Fx Impact"/>
      <sheetName val="Guidance"/>
      <sheetName val="RI Model"/>
      <sheetName val=" P&amp;L QTR"/>
      <sheetName val="Annual P &amp; L"/>
      <sheetName val="Elidelprotopic model"/>
      <sheetName val="Yrly P&amp;L"/>
      <sheetName val="Generics"/>
      <sheetName val="DivP&amp;L"/>
      <sheetName val="GroupP&amp;L"/>
      <sheetName val="ProdConcentration"/>
      <sheetName val="At a Glance"/>
      <sheetName val="Charts"/>
      <sheetName val="DivisionsOLD"/>
      <sheetName val=""/>
      <sheetName val="Sum of parts"/>
      <sheetName val="new sop"/>
      <sheetName val="vildagliptin"/>
      <sheetName val="Telbivudine"/>
      <sheetName val="Key metrics"/>
      <sheetName val="QPreview"/>
      <sheetName val="RI GW"/>
      <sheetName val="Chiron acquis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>
        <row r="42">
          <cell r="D42">
            <v>56225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/>
      <sheetData sheetId="122"/>
      <sheetData sheetId="123"/>
      <sheetData sheetId="124"/>
      <sheetData sheetId="125"/>
      <sheetData sheetId="126"/>
      <sheetData sheetId="127"/>
      <sheetData sheetId="128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PS Chg"/>
      <sheetName val="RAPID2"/>
      <sheetName val="Qtr Rpt"/>
      <sheetName val="Model"/>
      <sheetName val="00 Dilution"/>
      <sheetName val="FCall Hdr"/>
      <sheetName val="Encl Acq"/>
      <sheetName val="Convt Dilution"/>
      <sheetName val="Old Model"/>
      <sheetName val="ALRN Model"/>
      <sheetName val="Acq Dilution"/>
      <sheetName val="Schu Acq Analysis"/>
      <sheetName val="Schu Acq Analysis (stock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3">
          <cell r="BR3" t="str">
            <v>Sanmina Corporation</v>
          </cell>
          <cell r="CB3" t="str">
            <v>Sanmina Corporation</v>
          </cell>
          <cell r="CL3" t="str">
            <v>Sanmina Corporation</v>
          </cell>
        </row>
        <row r="4">
          <cell r="BR4" t="str">
            <v>Quarterly Income Statements</v>
          </cell>
          <cell r="CB4" t="str">
            <v>Quarterly Income Statements</v>
          </cell>
          <cell r="CL4" t="str">
            <v>Quarterly Income Statements</v>
          </cell>
        </row>
        <row r="5">
          <cell r="BR5" t="str">
            <v>($ In Millions Except Per Share Data)</v>
          </cell>
          <cell r="CB5" t="str">
            <v>($ In Millions Except Per Share Data)</v>
          </cell>
          <cell r="CL5" t="str">
            <v>($ In Millions Except Per Share Data)</v>
          </cell>
        </row>
        <row r="6">
          <cell r="BO6" t="str">
            <v>Restated for Elexsys</v>
          </cell>
        </row>
        <row r="7">
          <cell r="BO7" t="str">
            <v>1997R</v>
          </cell>
          <cell r="BQ7" t="str">
            <v>Mar</v>
          </cell>
          <cell r="BS7" t="str">
            <v>Jun</v>
          </cell>
          <cell r="BU7" t="str">
            <v>Sept</v>
          </cell>
          <cell r="BW7" t="str">
            <v>1997R</v>
          </cell>
          <cell r="BY7" t="str">
            <v>1998A</v>
          </cell>
          <cell r="CA7" t="str">
            <v>Mar</v>
          </cell>
          <cell r="CC7" t="str">
            <v>Jun</v>
          </cell>
          <cell r="CE7" t="str">
            <v>Sep</v>
          </cell>
          <cell r="CG7" t="str">
            <v>1998A</v>
          </cell>
          <cell r="CI7" t="str">
            <v>1999E</v>
          </cell>
          <cell r="CK7" t="str">
            <v>Mar</v>
          </cell>
          <cell r="CM7" t="str">
            <v>Jun</v>
          </cell>
          <cell r="CO7" t="str">
            <v>Sept</v>
          </cell>
          <cell r="CQ7" t="str">
            <v>1999E</v>
          </cell>
        </row>
        <row r="8">
          <cell r="BO8" t="str">
            <v>1QR</v>
          </cell>
          <cell r="BP8" t="str">
            <v>% Chg.</v>
          </cell>
          <cell r="BQ8" t="str">
            <v>2QR</v>
          </cell>
          <cell r="BR8" t="str">
            <v>% Chg.</v>
          </cell>
          <cell r="BS8" t="str">
            <v>3QR</v>
          </cell>
          <cell r="BT8" t="str">
            <v>% Chg.</v>
          </cell>
          <cell r="BU8" t="str">
            <v>4QR</v>
          </cell>
          <cell r="BV8" t="str">
            <v>% Chg.</v>
          </cell>
          <cell r="BW8" t="str">
            <v xml:space="preserve">    YEAR </v>
          </cell>
          <cell r="BX8" t="str">
            <v>% Chg.</v>
          </cell>
          <cell r="BY8" t="str">
            <v>1QA</v>
          </cell>
          <cell r="BZ8" t="str">
            <v>% Chg.</v>
          </cell>
          <cell r="CA8" t="str">
            <v xml:space="preserve">  2QA</v>
          </cell>
          <cell r="CB8" t="str">
            <v>% Chg.</v>
          </cell>
          <cell r="CC8" t="str">
            <v xml:space="preserve">  3QA</v>
          </cell>
          <cell r="CD8" t="str">
            <v>% Chg.</v>
          </cell>
          <cell r="CE8" t="str">
            <v xml:space="preserve">  4QA</v>
          </cell>
          <cell r="CF8" t="str">
            <v>% Chg.</v>
          </cell>
          <cell r="CG8" t="str">
            <v xml:space="preserve">    YEAR </v>
          </cell>
          <cell r="CH8" t="str">
            <v>% Chg.</v>
          </cell>
          <cell r="CI8" t="str">
            <v xml:space="preserve">   1QE</v>
          </cell>
          <cell r="CJ8" t="str">
            <v>% Chg.</v>
          </cell>
          <cell r="CK8" t="str">
            <v xml:space="preserve">  2QE</v>
          </cell>
          <cell r="CL8" t="str">
            <v>% Chg.</v>
          </cell>
          <cell r="CM8" t="str">
            <v xml:space="preserve">  3QE</v>
          </cell>
          <cell r="CN8" t="str">
            <v>% Chg.</v>
          </cell>
          <cell r="CO8" t="str">
            <v xml:space="preserve">  4QE</v>
          </cell>
          <cell r="CP8" t="str">
            <v>% Chg.</v>
          </cell>
          <cell r="CQ8" t="str">
            <v xml:space="preserve">    YEAR </v>
          </cell>
          <cell r="CR8" t="str">
            <v>% Chg.</v>
          </cell>
        </row>
        <row r="9">
          <cell r="BO9">
            <v>125.17400000000001</v>
          </cell>
          <cell r="BP9">
            <v>0.54381421048087719</v>
          </cell>
          <cell r="BQ9">
            <v>133.82300000000001</v>
          </cell>
          <cell r="BR9">
            <v>0.4295801730584341</v>
          </cell>
          <cell r="BS9">
            <v>150.19800000000001</v>
          </cell>
          <cell r="BT9">
            <v>0.47219744567401478</v>
          </cell>
          <cell r="BU9">
            <v>160.59200000000007</v>
          </cell>
          <cell r="BV9">
            <v>0.39320539959051959</v>
          </cell>
          <cell r="BW9">
            <v>569.78700000000015</v>
          </cell>
          <cell r="BX9">
            <v>0.4536050124750628</v>
          </cell>
          <cell r="BY9">
            <v>159.107</v>
          </cell>
          <cell r="BZ9">
            <v>0.27108664738683741</v>
          </cell>
          <cell r="CA9">
            <v>172.14599999999999</v>
          </cell>
          <cell r="CB9">
            <v>0.28637080322515551</v>
          </cell>
          <cell r="CC9">
            <v>197.13900000000001</v>
          </cell>
          <cell r="CD9">
            <v>0.31252746374785279</v>
          </cell>
          <cell r="CE9">
            <v>194.18900000000005</v>
          </cell>
          <cell r="CF9">
            <v>0.20920718342134093</v>
          </cell>
          <cell r="CG9">
            <v>722.58100000000013</v>
          </cell>
          <cell r="CH9">
            <v>0.26815985622697602</v>
          </cell>
          <cell r="CI9">
            <v>212</v>
          </cell>
          <cell r="CJ9">
            <v>0.33243666212045975</v>
          </cell>
          <cell r="CK9">
            <v>225.5</v>
          </cell>
          <cell r="CL9">
            <v>0.30993459040581839</v>
          </cell>
          <cell r="CM9">
            <v>243.5</v>
          </cell>
          <cell r="CN9">
            <v>0.23516909388806884</v>
          </cell>
          <cell r="CO9">
            <v>261.5</v>
          </cell>
          <cell r="CP9">
            <v>0.34662622496639828</v>
          </cell>
          <cell r="CQ9">
            <v>942.5</v>
          </cell>
          <cell r="CR9">
            <v>0.30435203804140976</v>
          </cell>
        </row>
        <row r="10">
          <cell r="BO10">
            <v>8.5938855536662029E-2</v>
          </cell>
          <cell r="BQ10">
            <v>6.9095818620480198E-2</v>
          </cell>
          <cell r="BS10">
            <v>0.12236312143652439</v>
          </cell>
          <cell r="BU10">
            <v>6.9201986710875296E-2</v>
          </cell>
          <cell r="BY10">
            <v>-9.2470359669227786E-3</v>
          </cell>
          <cell r="CA10">
            <v>8.1951139799003148E-2</v>
          </cell>
          <cell r="CC10">
            <v>0.14518490118852623</v>
          </cell>
          <cell r="CE10">
            <v>-1.4964060891046183E-2</v>
          </cell>
          <cell r="CI10">
            <v>9.1719922343695748E-2</v>
          </cell>
          <cell r="CK10">
            <v>6.3679245283018826E-2</v>
          </cell>
          <cell r="CM10">
            <v>7.9822616407982272E-2</v>
          </cell>
          <cell r="CO10">
            <v>7.3921971252566721E-2</v>
          </cell>
        </row>
        <row r="11">
          <cell r="BO11">
            <v>97.322999999999993</v>
          </cell>
          <cell r="BP11">
            <v>0.5429237281417949</v>
          </cell>
          <cell r="BQ11">
            <v>105.78700000000001</v>
          </cell>
          <cell r="BR11">
            <v>0.45463670865188943</v>
          </cell>
          <cell r="BS11">
            <v>117.304</v>
          </cell>
          <cell r="BT11">
            <v>0.47607902353089226</v>
          </cell>
          <cell r="BU11">
            <v>135.16200000000003</v>
          </cell>
          <cell r="BV11">
            <v>0.5025345724576471</v>
          </cell>
          <cell r="BW11">
            <v>455.57600000000002</v>
          </cell>
          <cell r="BX11">
            <v>0.49258093156896354</v>
          </cell>
          <cell r="BY11">
            <v>124.43</v>
          </cell>
          <cell r="BZ11">
            <v>0.27852614489894489</v>
          </cell>
          <cell r="CA11">
            <v>134.52000000000001</v>
          </cell>
          <cell r="CB11">
            <v>0.27161182375906301</v>
          </cell>
          <cell r="CC11">
            <v>153.708</v>
          </cell>
          <cell r="CD11">
            <v>0.31033894837345688</v>
          </cell>
          <cell r="CE11">
            <v>151.25500000000005</v>
          </cell>
          <cell r="CF11">
            <v>0.11906452997144168</v>
          </cell>
          <cell r="CG11">
            <v>563.91300000000001</v>
          </cell>
          <cell r="CH11">
            <v>0.23780225472808048</v>
          </cell>
          <cell r="CI11">
            <v>165.042</v>
          </cell>
          <cell r="CJ11">
            <v>0.32638431246483957</v>
          </cell>
          <cell r="CK11">
            <v>176.1155</v>
          </cell>
          <cell r="CL11">
            <v>0.30921424323520652</v>
          </cell>
          <cell r="CM11">
            <v>191.39100000000002</v>
          </cell>
          <cell r="CN11">
            <v>0.24515965336872525</v>
          </cell>
          <cell r="CO11">
            <v>206.06200000000001</v>
          </cell>
          <cell r="CP11">
            <v>0.36234835212059058</v>
          </cell>
          <cell r="CQ11">
            <v>738.61050000000012</v>
          </cell>
          <cell r="CR11">
            <v>0.30979512797186826</v>
          </cell>
        </row>
        <row r="12">
          <cell r="BO12">
            <v>0.77750171760908804</v>
          </cell>
          <cell r="BQ12">
            <v>0.79049939098660171</v>
          </cell>
          <cell r="BS12">
            <v>0.78099575227366536</v>
          </cell>
          <cell r="BU12">
            <v>0.84164840091660842</v>
          </cell>
          <cell r="BW12">
            <v>0.79955492140045303</v>
          </cell>
          <cell r="BY12">
            <v>0.7820523295643812</v>
          </cell>
          <cell r="CA12">
            <v>0.78142971663587901</v>
          </cell>
          <cell r="CC12">
            <v>0.77969351574269929</v>
          </cell>
          <cell r="CE12">
            <v>0.77890611723630077</v>
          </cell>
          <cell r="CG12">
            <v>0.78041492926052569</v>
          </cell>
          <cell r="CI12">
            <v>0.77849999999999997</v>
          </cell>
          <cell r="CK12">
            <v>0.78100000000000003</v>
          </cell>
          <cell r="CM12">
            <v>0.78600000000000003</v>
          </cell>
          <cell r="CO12">
            <v>0.78800000000000003</v>
          </cell>
          <cell r="CQ12">
            <v>0.78367161803713536</v>
          </cell>
        </row>
        <row r="13">
          <cell r="BO13">
            <v>27.851000000000013</v>
          </cell>
          <cell r="BP13">
            <v>0.54693401466340852</v>
          </cell>
          <cell r="BQ13">
            <v>28.036000000000001</v>
          </cell>
          <cell r="BR13">
            <v>0.34233457818634516</v>
          </cell>
          <cell r="BS13">
            <v>32.894000000000005</v>
          </cell>
          <cell r="BT13">
            <v>0.45851993082960174</v>
          </cell>
          <cell r="BU13">
            <v>25.430000000000035</v>
          </cell>
          <cell r="BV13">
            <v>4.6618204804027563E-3</v>
          </cell>
          <cell r="BW13">
            <v>114.21100000000006</v>
          </cell>
          <cell r="BX13">
            <v>0.31647743645899307</v>
          </cell>
          <cell r="BY13">
            <v>34.676999999999992</v>
          </cell>
          <cell r="BZ13">
            <v>0.24508994291048714</v>
          </cell>
          <cell r="CA13">
            <v>37.625999999999976</v>
          </cell>
          <cell r="CB13">
            <v>0.34206020830360884</v>
          </cell>
          <cell r="CC13">
            <v>43.431000000000012</v>
          </cell>
          <cell r="CD13">
            <v>0.32033197543624992</v>
          </cell>
          <cell r="CE13">
            <v>42.933999999999997</v>
          </cell>
          <cell r="CF13">
            <v>0.68832088084938814</v>
          </cell>
          <cell r="CG13">
            <v>158.66799999999998</v>
          </cell>
          <cell r="CH13">
            <v>0.38925322429538234</v>
          </cell>
          <cell r="CI13">
            <v>46.957999999999998</v>
          </cell>
          <cell r="CJ13">
            <v>0.35415405023502644</v>
          </cell>
          <cell r="CK13">
            <v>49.384500000000003</v>
          </cell>
          <cell r="CL13">
            <v>0.31250996651251883</v>
          </cell>
          <cell r="CM13">
            <v>52.10899999999998</v>
          </cell>
          <cell r="CN13">
            <v>0.1998111947687129</v>
          </cell>
          <cell r="CO13">
            <v>55.437999999999988</v>
          </cell>
          <cell r="CP13">
            <v>0.29123771370009766</v>
          </cell>
          <cell r="CQ13">
            <v>203.88949999999997</v>
          </cell>
          <cell r="CR13">
            <v>0.28500705876421195</v>
          </cell>
        </row>
        <row r="14">
          <cell r="BO14">
            <v>0.22249828239091193</v>
          </cell>
          <cell r="BQ14">
            <v>0.20950060901339829</v>
          </cell>
          <cell r="BS14">
            <v>0.21900424772633459</v>
          </cell>
          <cell r="BU14">
            <v>0.15835159908339161</v>
          </cell>
          <cell r="BW14">
            <v>0.20044507859954688</v>
          </cell>
          <cell r="BY14">
            <v>0.21794767043561875</v>
          </cell>
          <cell r="CA14">
            <v>0.21857028336412104</v>
          </cell>
          <cell r="CC14">
            <v>0.22030648425730073</v>
          </cell>
          <cell r="CE14">
            <v>0.22109388276369921</v>
          </cell>
          <cell r="CG14">
            <v>0.21958507073947411</v>
          </cell>
          <cell r="CI14">
            <v>0.2215</v>
          </cell>
          <cell r="CK14">
            <v>0.219</v>
          </cell>
          <cell r="CM14">
            <v>0.21399999999999991</v>
          </cell>
          <cell r="CO14">
            <v>0.21199999999999997</v>
          </cell>
          <cell r="CQ14">
            <v>0.21632838196286469</v>
          </cell>
        </row>
        <row r="15">
          <cell r="BO15">
            <v>0.22332343002290631</v>
          </cell>
          <cell r="BQ15">
            <v>0.17780319797080557</v>
          </cell>
          <cell r="BS15">
            <v>0.21465490399584858</v>
          </cell>
          <cell r="BU15">
            <v>2.603477186478517E-3</v>
          </cell>
          <cell r="BW15">
            <v>0.15441635499564105</v>
          </cell>
          <cell r="BY15">
            <v>0.20116111160227451</v>
          </cell>
          <cell r="CA15">
            <v>0.25024136941262376</v>
          </cell>
          <cell r="CC15">
            <v>0.22447327496218669</v>
          </cell>
          <cell r="CE15">
            <v>0.52099889871119365</v>
          </cell>
          <cell r="CG15">
            <v>0.29096037802531466</v>
          </cell>
          <cell r="CI15">
            <v>0.23218573346189489</v>
          </cell>
          <cell r="CK15">
            <v>0.22038647524084462</v>
          </cell>
          <cell r="CM15">
            <v>0.18718319276978432</v>
          </cell>
          <cell r="CO15">
            <v>0.1857645852832375</v>
          </cell>
          <cell r="CQ15">
            <v>0.20562798121126424</v>
          </cell>
        </row>
        <row r="17">
          <cell r="BO17">
            <v>8.9209999999999994</v>
          </cell>
          <cell r="BP17">
            <v>0.40069084628670115</v>
          </cell>
          <cell r="BQ17">
            <v>9.7560000000000002</v>
          </cell>
          <cell r="BR17">
            <v>0.3510594100540092</v>
          </cell>
          <cell r="BS17">
            <v>11.244</v>
          </cell>
          <cell r="BT17">
            <v>0.47481636935991611</v>
          </cell>
          <cell r="BU17">
            <v>14.088999999999999</v>
          </cell>
          <cell r="BV17">
            <v>0.65967722935563633</v>
          </cell>
          <cell r="BW17">
            <v>44.01</v>
          </cell>
          <cell r="BX17">
            <v>0.48166851833148172</v>
          </cell>
          <cell r="BY17">
            <v>9.9949999999999992</v>
          </cell>
          <cell r="BZ17">
            <v>0.12039009079699592</v>
          </cell>
          <cell r="CA17">
            <v>10.558999999999999</v>
          </cell>
          <cell r="CB17">
            <v>8.2308323083230661E-2</v>
          </cell>
          <cell r="CC17">
            <v>11.786</v>
          </cell>
          <cell r="CD17">
            <v>4.8203486303806553E-2</v>
          </cell>
          <cell r="CE17">
            <v>11.505000000000001</v>
          </cell>
          <cell r="CF17">
            <v>-0.18340549364752634</v>
          </cell>
          <cell r="CG17">
            <v>43.844999999999999</v>
          </cell>
          <cell r="CH17">
            <v>-3.7491479209270651E-3</v>
          </cell>
          <cell r="CI17">
            <v>11.872</v>
          </cell>
          <cell r="CJ17">
            <v>0.18779389694847426</v>
          </cell>
          <cell r="CK17">
            <v>12.74075</v>
          </cell>
          <cell r="CL17">
            <v>0.20662468036745918</v>
          </cell>
          <cell r="CM17">
            <v>13.8308</v>
          </cell>
          <cell r="CN17">
            <v>0.17349397590361448</v>
          </cell>
          <cell r="CO17">
            <v>14.591700000000001</v>
          </cell>
          <cell r="CP17">
            <v>0.26829204693611475</v>
          </cell>
          <cell r="CQ17">
            <v>53.035250000000005</v>
          </cell>
          <cell r="CR17">
            <v>0.20960770897479764</v>
          </cell>
        </row>
        <row r="18">
          <cell r="BO18">
            <v>7.1268793838976136E-2</v>
          </cell>
          <cell r="BQ18">
            <v>7.2902266426548498E-2</v>
          </cell>
          <cell r="BS18">
            <v>7.486118323812567E-2</v>
          </cell>
          <cell r="BU18">
            <v>8.7731642921191538E-2</v>
          </cell>
          <cell r="BW18">
            <v>7.7239389456059876E-2</v>
          </cell>
          <cell r="BY18">
            <v>6.2819360556103751E-2</v>
          </cell>
          <cell r="CA18">
            <v>6.1337469357405923E-2</v>
          </cell>
          <cell r="CC18">
            <v>5.9785227681990877E-2</v>
          </cell>
          <cell r="CE18">
            <v>5.9246404276246327E-2</v>
          </cell>
          <cell r="CG18">
            <v>6.0678318416897192E-2</v>
          </cell>
          <cell r="CI18">
            <v>5.6000000000000001E-2</v>
          </cell>
          <cell r="CK18">
            <v>5.6500000000000002E-2</v>
          </cell>
          <cell r="CM18">
            <v>5.6800000000000003E-2</v>
          </cell>
          <cell r="CO18">
            <v>5.5800000000000002E-2</v>
          </cell>
          <cell r="CQ18">
            <v>5.6270822281167115E-2</v>
          </cell>
        </row>
        <row r="20">
          <cell r="BO20">
            <v>0.501</v>
          </cell>
          <cell r="BP20">
            <v>1.2876712328767121</v>
          </cell>
          <cell r="BQ20">
            <v>0.502</v>
          </cell>
          <cell r="BR20">
            <v>1.9960079840319889E-3</v>
          </cell>
          <cell r="BS20">
            <v>0.501</v>
          </cell>
          <cell r="BT20">
            <v>0</v>
          </cell>
          <cell r="BU20">
            <v>0.50199999999999989</v>
          </cell>
          <cell r="BV20">
            <v>-2.2204460492503131E-16</v>
          </cell>
          <cell r="BW20">
            <v>2.0059999999999998</v>
          </cell>
          <cell r="BX20">
            <v>0.16424840394660456</v>
          </cell>
          <cell r="BY20">
            <v>0.56699999999999995</v>
          </cell>
          <cell r="BZ20">
            <v>0.13173652694610771</v>
          </cell>
          <cell r="CA20">
            <v>0.63400000000000001</v>
          </cell>
          <cell r="CB20">
            <v>0.26294820717131473</v>
          </cell>
          <cell r="CC20">
            <v>0.82499999999999996</v>
          </cell>
          <cell r="CD20">
            <v>0.6467065868263473</v>
          </cell>
          <cell r="CE20">
            <v>0.82499999999999996</v>
          </cell>
          <cell r="CF20">
            <v>0.64342629482071745</v>
          </cell>
          <cell r="CG20">
            <v>2.851</v>
          </cell>
          <cell r="CH20">
            <v>0.42123629112662031</v>
          </cell>
          <cell r="CI20">
            <v>0.82</v>
          </cell>
          <cell r="CJ20">
            <v>0.44620811287477968</v>
          </cell>
          <cell r="CK20">
            <v>0.82</v>
          </cell>
          <cell r="CL20">
            <v>0.29337539432176651</v>
          </cell>
          <cell r="CM20">
            <v>0.82</v>
          </cell>
          <cell r="CN20">
            <v>-6.0606060606060996E-3</v>
          </cell>
          <cell r="CO20">
            <v>0.82399999999999995</v>
          </cell>
          <cell r="CP20">
            <v>-1.2121212121212199E-3</v>
          </cell>
          <cell r="CQ20">
            <v>3.2839999999999998</v>
          </cell>
          <cell r="CR20">
            <v>0.15187653454928096</v>
          </cell>
        </row>
        <row r="21">
          <cell r="BO21">
            <v>4.002428619361848E-3</v>
          </cell>
          <cell r="BQ21">
            <v>3.7512236312143652E-3</v>
          </cell>
          <cell r="BS21">
            <v>3.3355970119442334E-3</v>
          </cell>
          <cell r="BU21">
            <v>3.1259340440370608E-3</v>
          </cell>
          <cell r="BW21">
            <v>3.5206138434186796E-3</v>
          </cell>
          <cell r="BY21">
            <v>3.5636395633127389E-3</v>
          </cell>
          <cell r="CA21">
            <v>3.6829203118283319E-3</v>
          </cell>
          <cell r="CC21">
            <v>4.1848644864790827E-3</v>
          </cell>
          <cell r="CE21">
            <v>4.2484383770450421E-3</v>
          </cell>
          <cell r="CG21">
            <v>3.9455784195820253E-3</v>
          </cell>
          <cell r="CI21">
            <v>3.8679245283018866E-3</v>
          </cell>
          <cell r="CK21">
            <v>3.6363636363636364E-3</v>
          </cell>
          <cell r="CM21">
            <v>3.3675564681724846E-3</v>
          </cell>
          <cell r="CO21">
            <v>3.1510516252390057E-3</v>
          </cell>
          <cell r="CQ21">
            <v>3.4843501326259946E-3</v>
          </cell>
        </row>
        <row r="22">
          <cell r="BO22">
            <v>18.429000000000013</v>
          </cell>
          <cell r="BP22">
            <v>0.61431324456902625</v>
          </cell>
          <cell r="BQ22">
            <v>17.778000000000002</v>
          </cell>
          <cell r="BR22">
            <v>0.35050136736554305</v>
          </cell>
          <cell r="BS22">
            <v>21.149000000000004</v>
          </cell>
          <cell r="BT22">
            <v>0.46583032991405648</v>
          </cell>
          <cell r="BU22">
            <v>10.839000000000036</v>
          </cell>
          <cell r="BV22">
            <v>-0.33588628147785182</v>
          </cell>
          <cell r="BW22">
            <v>68.19500000000005</v>
          </cell>
          <cell r="BX22">
            <v>0.23253628296191775</v>
          </cell>
          <cell r="BY22">
            <v>24.114999999999995</v>
          </cell>
          <cell r="BZ22">
            <v>0.30853546041564806</v>
          </cell>
          <cell r="CA22">
            <v>26.432999999999979</v>
          </cell>
          <cell r="CB22">
            <v>0.48683766452919208</v>
          </cell>
          <cell r="CC22">
            <v>30.820000000000011</v>
          </cell>
          <cell r="CD22">
            <v>0.45727930398600436</v>
          </cell>
          <cell r="CE22">
            <v>30.603999999999996</v>
          </cell>
          <cell r="CF22">
            <v>1.8235077036626897</v>
          </cell>
          <cell r="CG22">
            <v>111.97199999999998</v>
          </cell>
          <cell r="CH22">
            <v>0.64193855854534632</v>
          </cell>
          <cell r="CI22">
            <v>34.265999999999998</v>
          </cell>
          <cell r="CJ22">
            <v>0.42094132282811558</v>
          </cell>
          <cell r="CK22">
            <v>35.823750000000004</v>
          </cell>
          <cell r="CL22">
            <v>0.35526614459198846</v>
          </cell>
          <cell r="CM22">
            <v>37.458199999999984</v>
          </cell>
          <cell r="CN22">
            <v>0.21538611291369136</v>
          </cell>
          <cell r="CO22">
            <v>40.022299999999987</v>
          </cell>
          <cell r="CP22">
            <v>0.30774735328715175</v>
          </cell>
          <cell r="CQ22">
            <v>147.57024999999999</v>
          </cell>
          <cell r="CR22">
            <v>0.31792099810666974</v>
          </cell>
        </row>
        <row r="23">
          <cell r="BO23">
            <v>0.14722705993257396</v>
          </cell>
          <cell r="BQ23">
            <v>0.13284711895563545</v>
          </cell>
          <cell r="BS23">
            <v>0.14080746747626469</v>
          </cell>
          <cell r="BU23">
            <v>6.7494022118162994E-2</v>
          </cell>
          <cell r="BW23">
            <v>0.11968507530006833</v>
          </cell>
          <cell r="BY23">
            <v>0.15156467031620227</v>
          </cell>
          <cell r="CA23">
            <v>0.15354989369488678</v>
          </cell>
          <cell r="CC23">
            <v>0.15633639208883077</v>
          </cell>
          <cell r="CE23">
            <v>0.15759904011040785</v>
          </cell>
          <cell r="CG23">
            <v>0.15496117390299491</v>
          </cell>
          <cell r="CI23">
            <v>0.16163207547169811</v>
          </cell>
          <cell r="CK23">
            <v>0.15886363636363637</v>
          </cell>
          <cell r="CM23">
            <v>0.15383244353182746</v>
          </cell>
          <cell r="CO23">
            <v>0.15304894837476093</v>
          </cell>
          <cell r="CQ23">
            <v>0.15657320954907161</v>
          </cell>
        </row>
        <row r="24">
          <cell r="BO24">
            <v>0.1590501893724629</v>
          </cell>
          <cell r="BQ24">
            <v>0.11473901474647515</v>
          </cell>
          <cell r="BS24">
            <v>0.13951219512195129</v>
          </cell>
          <cell r="BU24">
            <v>-0.12095137234136537</v>
          </cell>
          <cell r="BW24">
            <v>7.2360169848991657E-2</v>
          </cell>
          <cell r="BY24">
            <v>0.16756549671411261</v>
          </cell>
          <cell r="CA24">
            <v>0.22584348824465675</v>
          </cell>
          <cell r="CC24">
            <v>0.20602458405232113</v>
          </cell>
          <cell r="CE24">
            <v>0.58829657409887692</v>
          </cell>
          <cell r="CG24">
            <v>0.28650994148984865</v>
          </cell>
          <cell r="CI24">
            <v>0.19191575444765854</v>
          </cell>
          <cell r="CK24">
            <v>0.17600835926078687</v>
          </cell>
          <cell r="CM24">
            <v>0.14318500463751804</v>
          </cell>
          <cell r="CO24">
            <v>0.13992215239708217</v>
          </cell>
          <cell r="CQ24">
            <v>0.16186982479913073</v>
          </cell>
        </row>
        <row r="26">
          <cell r="BO26">
            <v>0.58699999999999997</v>
          </cell>
          <cell r="BP26">
            <v>1.7429906542056073</v>
          </cell>
          <cell r="BQ26">
            <v>0.68799999999999994</v>
          </cell>
          <cell r="BR26">
            <v>1.3164983164983166</v>
          </cell>
          <cell r="BS26">
            <v>0.68100000000000005</v>
          </cell>
          <cell r="BT26">
            <v>0.70250000000000012</v>
          </cell>
          <cell r="BU26">
            <v>0.50600000000000023</v>
          </cell>
          <cell r="BV26">
            <v>0.16589861751152135</v>
          </cell>
          <cell r="BW26">
            <v>2.4620000000000002</v>
          </cell>
          <cell r="BX26">
            <v>0.83048327137546485</v>
          </cell>
          <cell r="BY26">
            <v>0.47099999999999997</v>
          </cell>
          <cell r="BZ26">
            <v>-0.19761499148211248</v>
          </cell>
          <cell r="CA26">
            <v>-0.154</v>
          </cell>
          <cell r="CB26" t="str">
            <v xml:space="preserve">     N.M.</v>
          </cell>
          <cell r="CC26">
            <v>0.29799999999999999</v>
          </cell>
          <cell r="CD26">
            <v>-0.56240822320117478</v>
          </cell>
          <cell r="CE26">
            <v>7.2999999999999954E-2</v>
          </cell>
          <cell r="CF26">
            <v>-0.85573122529644285</v>
          </cell>
          <cell r="CG26">
            <v>0.68799999999999994</v>
          </cell>
          <cell r="CH26">
            <v>-0.72055239642567015</v>
          </cell>
          <cell r="CI26">
            <v>-1.6</v>
          </cell>
          <cell r="CJ26" t="str">
            <v xml:space="preserve">     N.M.</v>
          </cell>
          <cell r="CK26">
            <v>-1.6</v>
          </cell>
          <cell r="CL26">
            <v>9.3896103896103895</v>
          </cell>
          <cell r="CM26">
            <v>-1.6</v>
          </cell>
          <cell r="CN26" t="str">
            <v xml:space="preserve">     N.M.</v>
          </cell>
          <cell r="CO26">
            <v>-1.6</v>
          </cell>
          <cell r="CP26" t="str">
            <v xml:space="preserve">     N.M.</v>
          </cell>
          <cell r="CQ26">
            <v>-6.4</v>
          </cell>
          <cell r="CR26" t="str">
            <v xml:space="preserve">     N.M.</v>
          </cell>
        </row>
        <row r="27">
          <cell r="BO27">
            <v>0</v>
          </cell>
          <cell r="BP27" t="str">
            <v xml:space="preserve">      N.M.</v>
          </cell>
          <cell r="BQ27">
            <v>0</v>
          </cell>
          <cell r="BR27" t="str">
            <v xml:space="preserve">      N.M.</v>
          </cell>
          <cell r="BS27">
            <v>0</v>
          </cell>
          <cell r="BT27" t="str">
            <v xml:space="preserve">      N.M.</v>
          </cell>
          <cell r="BU27">
            <v>8.8759999999999994</v>
          </cell>
          <cell r="BV27" t="str">
            <v xml:space="preserve">      N.M.</v>
          </cell>
          <cell r="BW27">
            <v>8.8759999999999994</v>
          </cell>
          <cell r="BX27" t="str">
            <v xml:space="preserve">     N.M.</v>
          </cell>
          <cell r="BY27">
            <v>3.9449999999999998</v>
          </cell>
          <cell r="BZ27" t="str">
            <v xml:space="preserve">      N.M.</v>
          </cell>
          <cell r="CA27">
            <v>0</v>
          </cell>
          <cell r="CB27" t="str">
            <v xml:space="preserve">      N.M.</v>
          </cell>
          <cell r="CC27">
            <v>0</v>
          </cell>
          <cell r="CD27" t="str">
            <v xml:space="preserve">      N.M.</v>
          </cell>
          <cell r="CE27">
            <v>0</v>
          </cell>
          <cell r="CF27">
            <v>-1</v>
          </cell>
          <cell r="CG27">
            <v>3.9449999999999998</v>
          </cell>
          <cell r="CH27">
            <v>-0.55554303740423605</v>
          </cell>
          <cell r="CI27">
            <v>0</v>
          </cell>
          <cell r="CJ27">
            <v>-1</v>
          </cell>
          <cell r="CK27">
            <v>0</v>
          </cell>
          <cell r="CL27" t="str">
            <v xml:space="preserve">      N.M.</v>
          </cell>
          <cell r="CM27">
            <v>0</v>
          </cell>
          <cell r="CN27" t="str">
            <v xml:space="preserve">      N.M.</v>
          </cell>
          <cell r="CO27">
            <v>0</v>
          </cell>
          <cell r="CP27" t="str">
            <v xml:space="preserve">      N.M.</v>
          </cell>
          <cell r="CQ27">
            <v>0</v>
          </cell>
          <cell r="CR27">
            <v>-1</v>
          </cell>
        </row>
        <row r="28">
          <cell r="BO28">
            <v>17.842000000000013</v>
          </cell>
          <cell r="BP28">
            <v>0.59275129441171259</v>
          </cell>
          <cell r="BQ28">
            <v>17.090000000000003</v>
          </cell>
          <cell r="BR28">
            <v>0.32820393254060853</v>
          </cell>
          <cell r="BS28">
            <v>20.468000000000004</v>
          </cell>
          <cell r="BT28">
            <v>0.45908183632734567</v>
          </cell>
          <cell r="BU28">
            <v>1.4570000000000363</v>
          </cell>
          <cell r="BV28">
            <v>-0.90828979668911514</v>
          </cell>
          <cell r="BW28">
            <v>56.857000000000049</v>
          </cell>
          <cell r="BX28">
            <v>5.3219472436276671E-2</v>
          </cell>
          <cell r="BY28">
            <v>19.698999999999995</v>
          </cell>
          <cell r="BZ28">
            <v>0.10408026006053017</v>
          </cell>
          <cell r="CA28">
            <v>26.586999999999978</v>
          </cell>
          <cell r="CB28">
            <v>0.55570509069631213</v>
          </cell>
          <cell r="CC28">
            <v>30.522000000000013</v>
          </cell>
          <cell r="CD28">
            <v>0.49120578463943754</v>
          </cell>
          <cell r="CE28">
            <v>30.530999999999995</v>
          </cell>
          <cell r="CF28">
            <v>19.954701441317251</v>
          </cell>
          <cell r="CG28">
            <v>107.33899999999998</v>
          </cell>
          <cell r="CH28">
            <v>0.88787660270502999</v>
          </cell>
          <cell r="CI28">
            <v>35.866</v>
          </cell>
          <cell r="CJ28">
            <v>0.82070155845474435</v>
          </cell>
          <cell r="CK28">
            <v>37.423750000000005</v>
          </cell>
          <cell r="CL28">
            <v>0.4075958175047969</v>
          </cell>
          <cell r="CM28">
            <v>39.058199999999985</v>
          </cell>
          <cell r="CN28">
            <v>0.27967367800275111</v>
          </cell>
          <cell r="CO28">
            <v>41.622299999999989</v>
          </cell>
          <cell r="CP28">
            <v>0.36327994497396077</v>
          </cell>
          <cell r="CQ28">
            <v>153.97024999999999</v>
          </cell>
          <cell r="CR28">
            <v>0.43442970402183745</v>
          </cell>
        </row>
        <row r="29">
          <cell r="BO29">
            <v>0.14253758767795238</v>
          </cell>
          <cell r="BQ29">
            <v>0.12770599971604285</v>
          </cell>
          <cell r="BS29">
            <v>0.13627345237619676</v>
          </cell>
          <cell r="BU29">
            <v>9.0726810800042072E-3</v>
          </cell>
          <cell r="BW29">
            <v>9.9786411413387871E-2</v>
          </cell>
          <cell r="BY29">
            <v>0.12380976324108929</v>
          </cell>
          <cell r="CA29">
            <v>0.1544444831712615</v>
          </cell>
          <cell r="CC29">
            <v>0.1548247683106844</v>
          </cell>
          <cell r="CE29">
            <v>0.15722311768431779</v>
          </cell>
          <cell r="CG29">
            <v>0.14854943598018763</v>
          </cell>
          <cell r="CI29">
            <v>0.16917924528301886</v>
          </cell>
          <cell r="CK29">
            <v>0.16595898004434592</v>
          </cell>
          <cell r="CM29">
            <v>0.16040328542094451</v>
          </cell>
          <cell r="CO29">
            <v>0.15916749521988524</v>
          </cell>
          <cell r="CQ29">
            <v>0.16336366047745357</v>
          </cell>
        </row>
        <row r="31">
          <cell r="BO31">
            <v>6.0289999999999999</v>
          </cell>
          <cell r="BP31">
            <v>0.72011412268188302</v>
          </cell>
          <cell r="BQ31">
            <v>6.4089999999999998</v>
          </cell>
          <cell r="BR31">
            <v>0.58913959831391005</v>
          </cell>
          <cell r="BS31">
            <v>7.0490000000000004</v>
          </cell>
          <cell r="BT31">
            <v>0.5284041630529055</v>
          </cell>
          <cell r="BU31">
            <v>6.8450000000000024</v>
          </cell>
          <cell r="BV31">
            <v>0.29910799013095479</v>
          </cell>
          <cell r="BW31">
            <v>26.332000000000001</v>
          </cell>
          <cell r="BX31">
            <v>0.51168264538722075</v>
          </cell>
          <cell r="BY31">
            <v>7.1909999999999998</v>
          </cell>
          <cell r="BZ31">
            <v>0.19273511361751527</v>
          </cell>
          <cell r="CA31">
            <v>9.7140000000000004</v>
          </cell>
          <cell r="CB31">
            <v>0.51568107349040426</v>
          </cell>
          <cell r="CC31">
            <v>11.141</v>
          </cell>
          <cell r="CD31">
            <v>0.58050787345722799</v>
          </cell>
          <cell r="CE31">
            <v>11.142000000000007</v>
          </cell>
          <cell r="CF31">
            <v>0.62775748721694713</v>
          </cell>
          <cell r="CG31">
            <v>39.188000000000002</v>
          </cell>
          <cell r="CH31">
            <v>0.48822725201276018</v>
          </cell>
          <cell r="CI31">
            <v>13.091089999999999</v>
          </cell>
          <cell r="CJ31">
            <v>0.82048254762898054</v>
          </cell>
          <cell r="CK31">
            <v>13.659668750000002</v>
          </cell>
          <cell r="CL31">
            <v>0.40618372966851979</v>
          </cell>
          <cell r="CM31">
            <v>14.256242999999994</v>
          </cell>
          <cell r="CN31">
            <v>0.27961969302576017</v>
          </cell>
          <cell r="CO31">
            <v>15.192139499999996</v>
          </cell>
          <cell r="CP31">
            <v>0.36350201938610538</v>
          </cell>
          <cell r="CQ31">
            <v>56.199141249999997</v>
          </cell>
          <cell r="CR31">
            <v>0.43409056981729077</v>
          </cell>
        </row>
        <row r="32">
          <cell r="BO32">
            <v>0.33791054814482657</v>
          </cell>
          <cell r="BQ32">
            <v>0.3750146284376828</v>
          </cell>
          <cell r="BS32">
            <v>0.34439124487004102</v>
          </cell>
          <cell r="BU32">
            <v>4.6980096087850596</v>
          </cell>
          <cell r="BW32">
            <v>0.46312679177585836</v>
          </cell>
          <cell r="BY32">
            <v>0.36504391085841931</v>
          </cell>
          <cell r="CA32">
            <v>0.36536653251589152</v>
          </cell>
          <cell r="CC32">
            <v>0.36501539872878563</v>
          </cell>
          <cell r="CE32">
            <v>0.36494055222560701</v>
          </cell>
          <cell r="CG32">
            <v>0.36508631531875652</v>
          </cell>
          <cell r="CI32">
            <v>0.36499999999999999</v>
          </cell>
          <cell r="CK32">
            <v>0.36499999999999999</v>
          </cell>
          <cell r="CM32">
            <v>0.36499999999999999</v>
          </cell>
          <cell r="CO32">
            <v>0.36499999999999999</v>
          </cell>
          <cell r="CQ32">
            <v>0.36499999999999999</v>
          </cell>
        </row>
        <row r="33">
          <cell r="BO33">
            <v>0</v>
          </cell>
          <cell r="BP33" t="str">
            <v xml:space="preserve">      N.M.</v>
          </cell>
          <cell r="BQ33">
            <v>0</v>
          </cell>
          <cell r="BR33" t="str">
            <v xml:space="preserve">      N.M.</v>
          </cell>
          <cell r="BS33">
            <v>0</v>
          </cell>
          <cell r="BT33" t="str">
            <v xml:space="preserve">      N.M.</v>
          </cell>
          <cell r="BU33">
            <v>0</v>
          </cell>
          <cell r="BV33" t="str">
            <v xml:space="preserve">      N.M.</v>
          </cell>
          <cell r="BW33">
            <v>0</v>
          </cell>
          <cell r="BX33" t="e">
            <v>#DIV/0!</v>
          </cell>
          <cell r="BY33">
            <v>0</v>
          </cell>
          <cell r="BZ33" t="str">
            <v xml:space="preserve">      N.M.</v>
          </cell>
          <cell r="CA33">
            <v>0</v>
          </cell>
          <cell r="CB33" t="str">
            <v xml:space="preserve">      N.M.</v>
          </cell>
          <cell r="CC33">
            <v>0</v>
          </cell>
          <cell r="CD33" t="str">
            <v xml:space="preserve">      N.M.</v>
          </cell>
          <cell r="CE33">
            <v>0</v>
          </cell>
          <cell r="CF33" t="str">
            <v xml:space="preserve">      N.M.</v>
          </cell>
          <cell r="CG33">
            <v>0</v>
          </cell>
          <cell r="CH33" t="e">
            <v>#DIV/0!</v>
          </cell>
          <cell r="CI33">
            <v>0</v>
          </cell>
          <cell r="CJ33" t="str">
            <v xml:space="preserve">      N.M.</v>
          </cell>
          <cell r="CK33">
            <v>0</v>
          </cell>
          <cell r="CL33" t="str">
            <v xml:space="preserve">      N.M.</v>
          </cell>
          <cell r="CM33">
            <v>0</v>
          </cell>
          <cell r="CN33" t="str">
            <v xml:space="preserve">      N.M.</v>
          </cell>
          <cell r="CO33">
            <v>0</v>
          </cell>
          <cell r="CP33" t="str">
            <v xml:space="preserve">      N.M.</v>
          </cell>
          <cell r="CQ33">
            <v>0</v>
          </cell>
          <cell r="CR33" t="e">
            <v>#DIV/0!</v>
          </cell>
        </row>
        <row r="34">
          <cell r="BO34">
            <v>11.813000000000013</v>
          </cell>
          <cell r="BP34">
            <v>0.53475380018188967</v>
          </cell>
          <cell r="BQ34">
            <v>10.681000000000004</v>
          </cell>
          <cell r="BR34">
            <v>0.20907856010867198</v>
          </cell>
          <cell r="BS34">
            <v>13.419000000000004</v>
          </cell>
          <cell r="BT34">
            <v>0.42512744265080782</v>
          </cell>
          <cell r="BU34">
            <v>-5.3879999999999661</v>
          </cell>
          <cell r="BV34" t="str">
            <v xml:space="preserve">     N.M.</v>
          </cell>
          <cell r="BW34">
            <v>30.525000000000048</v>
          </cell>
          <cell r="BX34">
            <v>-0.16518528647613895</v>
          </cell>
          <cell r="BY34">
            <v>12.507999999999996</v>
          </cell>
          <cell r="BZ34">
            <v>5.8833488529584477E-2</v>
          </cell>
          <cell r="CA34">
            <v>16.872999999999976</v>
          </cell>
          <cell r="CB34">
            <v>0.57972099990637282</v>
          </cell>
          <cell r="CC34">
            <v>19.381000000000014</v>
          </cell>
          <cell r="CD34">
            <v>0.44429540204188145</v>
          </cell>
          <cell r="CE34">
            <v>19.388999999999989</v>
          </cell>
          <cell r="CF34" t="str">
            <v xml:space="preserve">     N.M.</v>
          </cell>
          <cell r="CG34">
            <v>68.150999999999982</v>
          </cell>
          <cell r="CH34">
            <v>1.2326289926289884</v>
          </cell>
          <cell r="CI34">
            <v>22.774909999999998</v>
          </cell>
          <cell r="CJ34">
            <v>0.82082747041893245</v>
          </cell>
          <cell r="CK34">
            <v>23.764081250000004</v>
          </cell>
          <cell r="CL34">
            <v>0.40840877437326117</v>
          </cell>
          <cell r="CM34">
            <v>24.801956999999991</v>
          </cell>
          <cell r="CN34">
            <v>0.27970471079923498</v>
          </cell>
          <cell r="CO34">
            <v>26.430160499999992</v>
          </cell>
          <cell r="CP34">
            <v>0.36315232863995095</v>
          </cell>
          <cell r="CQ34">
            <v>97.771108749999996</v>
          </cell>
          <cell r="CR34">
            <v>0.43462471203650743</v>
          </cell>
        </row>
        <row r="35">
          <cell r="BO35">
            <v>0</v>
          </cell>
          <cell r="BP35" t="str">
            <v xml:space="preserve">      N.M.</v>
          </cell>
          <cell r="BQ35">
            <v>0</v>
          </cell>
          <cell r="BR35" t="str">
            <v xml:space="preserve">      N.M.</v>
          </cell>
          <cell r="BS35">
            <v>0</v>
          </cell>
          <cell r="BT35" t="str">
            <v xml:space="preserve">      N.M.</v>
          </cell>
          <cell r="BU35">
            <v>0</v>
          </cell>
          <cell r="BV35" t="str">
            <v xml:space="preserve">      N.M.</v>
          </cell>
          <cell r="BW35">
            <v>0</v>
          </cell>
          <cell r="BX35" t="e">
            <v>#DIV/0!</v>
          </cell>
          <cell r="BY35">
            <v>0</v>
          </cell>
          <cell r="BZ35" t="str">
            <v xml:space="preserve">      N.M.</v>
          </cell>
          <cell r="CA35">
            <v>0</v>
          </cell>
          <cell r="CB35" t="str">
            <v xml:space="preserve">      N.M.</v>
          </cell>
          <cell r="CC35">
            <v>0</v>
          </cell>
          <cell r="CD35" t="str">
            <v xml:space="preserve">      N.M.</v>
          </cell>
          <cell r="CE35">
            <v>0</v>
          </cell>
          <cell r="CF35" t="str">
            <v xml:space="preserve">      N.M.</v>
          </cell>
          <cell r="CG35">
            <v>0</v>
          </cell>
          <cell r="CH35" t="e">
            <v>#DIV/0!</v>
          </cell>
          <cell r="CI35">
            <v>0</v>
          </cell>
          <cell r="CJ35" t="str">
            <v xml:space="preserve">      N.M.</v>
          </cell>
          <cell r="CK35">
            <v>0</v>
          </cell>
          <cell r="CL35" t="str">
            <v xml:space="preserve">      N.M.</v>
          </cell>
          <cell r="CM35">
            <v>0</v>
          </cell>
          <cell r="CN35" t="str">
            <v xml:space="preserve">      N.M.</v>
          </cell>
          <cell r="CO35">
            <v>0</v>
          </cell>
          <cell r="CP35" t="str">
            <v xml:space="preserve">      N.M.</v>
          </cell>
          <cell r="CQ35">
            <v>0</v>
          </cell>
          <cell r="CR35" t="e">
            <v>#DIV/0!</v>
          </cell>
        </row>
        <row r="36">
          <cell r="BO36">
            <v>0</v>
          </cell>
          <cell r="BP36" t="str">
            <v>N.M.</v>
          </cell>
          <cell r="BQ36">
            <v>0</v>
          </cell>
          <cell r="BR36" t="str">
            <v>N.M.</v>
          </cell>
          <cell r="BS36">
            <v>0</v>
          </cell>
          <cell r="BT36" t="str">
            <v>N.M.</v>
          </cell>
          <cell r="BU36">
            <v>0</v>
          </cell>
          <cell r="BV36" t="str">
            <v>N.M.</v>
          </cell>
          <cell r="BW36">
            <v>0</v>
          </cell>
          <cell r="BX36" t="e">
            <v>#DIV/0!</v>
          </cell>
          <cell r="BY36">
            <v>0</v>
          </cell>
          <cell r="BZ36" t="str">
            <v>N.M.</v>
          </cell>
          <cell r="CA36">
            <v>0</v>
          </cell>
          <cell r="CB36" t="str">
            <v>N.M.</v>
          </cell>
          <cell r="CC36">
            <v>0</v>
          </cell>
          <cell r="CD36" t="str">
            <v>N.M.</v>
          </cell>
          <cell r="CE36">
            <v>0</v>
          </cell>
          <cell r="CF36" t="str">
            <v>N.M.</v>
          </cell>
          <cell r="CG36">
            <v>0</v>
          </cell>
          <cell r="CH36" t="e">
            <v>#DIV/0!</v>
          </cell>
          <cell r="CI36">
            <v>0</v>
          </cell>
          <cell r="CJ36" t="str">
            <v>N.M.</v>
          </cell>
          <cell r="CK36">
            <v>0</v>
          </cell>
          <cell r="CL36" t="str">
            <v>N.M.</v>
          </cell>
          <cell r="CM36">
            <v>0</v>
          </cell>
          <cell r="CN36" t="str">
            <v>N.M.</v>
          </cell>
          <cell r="CO36">
            <v>0</v>
          </cell>
          <cell r="CP36" t="str">
            <v>N.M.</v>
          </cell>
          <cell r="CQ36">
            <v>0</v>
          </cell>
          <cell r="CR36" t="e">
            <v>#DIV/0!</v>
          </cell>
        </row>
        <row r="37">
          <cell r="BO37">
            <v>11.813000000000013</v>
          </cell>
          <cell r="BP37">
            <v>0.53475380018188967</v>
          </cell>
          <cell r="BQ37">
            <v>10.681000000000004</v>
          </cell>
          <cell r="BR37">
            <v>0.20907856010867198</v>
          </cell>
          <cell r="BS37">
            <v>13.419000000000004</v>
          </cell>
          <cell r="BT37">
            <v>0.42512744265080782</v>
          </cell>
          <cell r="BU37">
            <v>-5.3879999999999661</v>
          </cell>
          <cell r="BV37" t="str">
            <v xml:space="preserve">     N.M.</v>
          </cell>
          <cell r="BW37">
            <v>30.525000000000059</v>
          </cell>
          <cell r="BX37">
            <v>-0.16518528647613862</v>
          </cell>
          <cell r="BY37">
            <v>12.507999999999996</v>
          </cell>
          <cell r="BZ37">
            <v>5.8833488529584477E-2</v>
          </cell>
          <cell r="CA37">
            <v>16.872999999999976</v>
          </cell>
          <cell r="CB37">
            <v>0.57972099990637282</v>
          </cell>
          <cell r="CC37">
            <v>19.381000000000014</v>
          </cell>
          <cell r="CD37">
            <v>0.44429540204188145</v>
          </cell>
          <cell r="CE37">
            <v>19.388999999999989</v>
          </cell>
          <cell r="CF37" t="str">
            <v xml:space="preserve">     N.M.</v>
          </cell>
          <cell r="CG37">
            <v>68.150999999999982</v>
          </cell>
          <cell r="CH37">
            <v>1.2326289926289875</v>
          </cell>
          <cell r="CI37">
            <v>22.774909999999998</v>
          </cell>
          <cell r="CJ37">
            <v>0.82082747041893245</v>
          </cell>
          <cell r="CK37">
            <v>23.764081250000004</v>
          </cell>
          <cell r="CL37">
            <v>0.40840877437326117</v>
          </cell>
          <cell r="CM37">
            <v>24.801956999999991</v>
          </cell>
          <cell r="CN37">
            <v>0.27970471079923498</v>
          </cell>
          <cell r="CO37">
            <v>26.430160499999992</v>
          </cell>
          <cell r="CP37">
            <v>0.36315232863995095</v>
          </cell>
          <cell r="CQ37">
            <v>97.771108749999996</v>
          </cell>
          <cell r="CR37">
            <v>0.43462471203650743</v>
          </cell>
        </row>
        <row r="38">
          <cell r="BO38">
            <v>0</v>
          </cell>
          <cell r="BP38" t="str">
            <v>N.M.</v>
          </cell>
          <cell r="BQ38">
            <v>0</v>
          </cell>
          <cell r="BR38" t="str">
            <v>N.M.</v>
          </cell>
          <cell r="BS38">
            <v>0</v>
          </cell>
          <cell r="BT38" t="str">
            <v>N.M.</v>
          </cell>
          <cell r="BU38">
            <v>0</v>
          </cell>
          <cell r="BV38" t="str">
            <v>N.M.</v>
          </cell>
          <cell r="BW38">
            <v>0</v>
          </cell>
          <cell r="BX38" t="e">
            <v>#DIV/0!</v>
          </cell>
          <cell r="BY38">
            <v>0</v>
          </cell>
          <cell r="BZ38" t="str">
            <v>N.M.</v>
          </cell>
          <cell r="CA38">
            <v>0</v>
          </cell>
          <cell r="CB38" t="str">
            <v>N.M.</v>
          </cell>
          <cell r="CC38">
            <v>0</v>
          </cell>
          <cell r="CD38" t="str">
            <v>N.M.</v>
          </cell>
          <cell r="CE38">
            <v>0</v>
          </cell>
          <cell r="CF38" t="str">
            <v>N.M.</v>
          </cell>
          <cell r="CG38">
            <v>0</v>
          </cell>
          <cell r="CH38" t="e">
            <v>#DIV/0!</v>
          </cell>
          <cell r="CI38">
            <v>0</v>
          </cell>
          <cell r="CJ38" t="str">
            <v>N.M.</v>
          </cell>
          <cell r="CK38">
            <v>0</v>
          </cell>
          <cell r="CL38" t="str">
            <v>N.M.</v>
          </cell>
          <cell r="CM38">
            <v>0</v>
          </cell>
          <cell r="CN38" t="str">
            <v>N.M.</v>
          </cell>
          <cell r="CO38">
            <v>0</v>
          </cell>
          <cell r="CP38" t="str">
            <v>N.M.</v>
          </cell>
          <cell r="CQ38">
            <v>0</v>
          </cell>
          <cell r="CR38" t="e">
            <v>#DIV/0!</v>
          </cell>
        </row>
        <row r="39">
          <cell r="BO39">
            <v>11.813000000000013</v>
          </cell>
          <cell r="BP39">
            <v>0.53475380018188967</v>
          </cell>
          <cell r="BQ39">
            <v>10.681000000000004</v>
          </cell>
          <cell r="BR39">
            <v>0.20907856010867198</v>
          </cell>
          <cell r="BS39">
            <v>13.419000000000004</v>
          </cell>
          <cell r="BT39">
            <v>0.42512744265080782</v>
          </cell>
          <cell r="BU39">
            <v>-5.3879999999999661</v>
          </cell>
          <cell r="BV39" t="str">
            <v xml:space="preserve">     N.M.</v>
          </cell>
          <cell r="BW39">
            <v>30.525000000000059</v>
          </cell>
          <cell r="BX39">
            <v>-0.16518528647613862</v>
          </cell>
          <cell r="BY39">
            <v>12.507999999999996</v>
          </cell>
          <cell r="BZ39">
            <v>5.8833488529584477E-2</v>
          </cell>
          <cell r="CA39">
            <v>16.872999999999976</v>
          </cell>
          <cell r="CB39">
            <v>0.57972099990637282</v>
          </cell>
          <cell r="CC39">
            <v>19.381000000000014</v>
          </cell>
          <cell r="CD39">
            <v>0.44429540204188145</v>
          </cell>
          <cell r="CE39">
            <v>19.388999999999989</v>
          </cell>
          <cell r="CF39" t="str">
            <v xml:space="preserve">     N.M.</v>
          </cell>
          <cell r="CG39">
            <v>68.150999999999982</v>
          </cell>
          <cell r="CH39">
            <v>1.2326289926289875</v>
          </cell>
          <cell r="CI39">
            <v>22.774909999999998</v>
          </cell>
          <cell r="CJ39">
            <v>0.82082747041893245</v>
          </cell>
          <cell r="CK39">
            <v>23.764081250000004</v>
          </cell>
          <cell r="CL39">
            <v>0.40840877437326117</v>
          </cell>
          <cell r="CM39">
            <v>24.801956999999991</v>
          </cell>
          <cell r="CN39">
            <v>0.27970471079923498</v>
          </cell>
          <cell r="CO39">
            <v>26.430160499999992</v>
          </cell>
          <cell r="CP39">
            <v>0.36315232863995095</v>
          </cell>
          <cell r="CQ39">
            <v>97.771108749999996</v>
          </cell>
          <cell r="CR39">
            <v>0.43462471203650743</v>
          </cell>
        </row>
        <row r="40">
          <cell r="BO40">
            <v>9.4372633294454222E-2</v>
          </cell>
          <cell r="BQ40">
            <v>7.9814381683268223E-2</v>
          </cell>
          <cell r="BS40">
            <v>8.9342068469620117E-2</v>
          </cell>
          <cell r="BU40">
            <v>-3.3550861811297975E-2</v>
          </cell>
          <cell r="BW40">
            <v>5.3572650832679668E-2</v>
          </cell>
          <cell r="BY40">
            <v>7.8613763065107103E-2</v>
          </cell>
          <cell r="CA40">
            <v>9.80156378887687E-2</v>
          </cell>
          <cell r="CC40">
            <v>9.8311343772668078E-2</v>
          </cell>
          <cell r="CE40">
            <v>9.9846026293971255E-2</v>
          </cell>
          <cell r="CG40">
            <v>9.4316069755501414E-2</v>
          </cell>
          <cell r="CI40">
            <v>0.10742882075471698</v>
          </cell>
          <cell r="CK40">
            <v>0.10538395232815967</v>
          </cell>
          <cell r="CM40">
            <v>0.10185608624229976</v>
          </cell>
          <cell r="CO40">
            <v>0.10107135946462713</v>
          </cell>
          <cell r="CQ40">
            <v>0.10373592440318302</v>
          </cell>
        </row>
        <row r="42">
          <cell r="BO42">
            <v>42.603999999999999</v>
          </cell>
          <cell r="BP42">
            <v>5.1379497556882647E-2</v>
          </cell>
          <cell r="BQ42">
            <v>40.200000000000003</v>
          </cell>
          <cell r="BR42">
            <v>-2.4603290144125656E-2</v>
          </cell>
          <cell r="BS42">
            <v>40.555999999999997</v>
          </cell>
          <cell r="BT42">
            <v>-2.9946421737466533E-2</v>
          </cell>
          <cell r="BU42">
            <v>40.718000000000004</v>
          </cell>
          <cell r="BV42">
            <v>-2.4952107279693325E-2</v>
          </cell>
          <cell r="BW42">
            <v>40.432000000000002</v>
          </cell>
          <cell r="BX42">
            <v>-2.2626184490427415E-2</v>
          </cell>
          <cell r="BY42">
            <v>41.213999999999999</v>
          </cell>
          <cell r="BZ42">
            <v>-3.2626044502863549E-2</v>
          </cell>
          <cell r="CA42">
            <v>41.451999999999998</v>
          </cell>
          <cell r="CB42">
            <v>3.1144278606965115E-2</v>
          </cell>
          <cell r="CC42">
            <v>41.859000000000002</v>
          </cell>
          <cell r="CD42">
            <v>3.2128415031068336E-2</v>
          </cell>
          <cell r="CE42">
            <v>44.795000000000002</v>
          </cell>
          <cell r="CF42">
            <v>0.10012770764772339</v>
          </cell>
          <cell r="CG42">
            <v>42.356000000000002</v>
          </cell>
          <cell r="CH42">
            <v>4.7586070439256112E-2</v>
          </cell>
          <cell r="CI42">
            <v>51.2</v>
          </cell>
          <cell r="CJ42">
            <v>0.24229630708011851</v>
          </cell>
          <cell r="CK42">
            <v>51.8</v>
          </cell>
          <cell r="CL42">
            <v>0.24963813567499749</v>
          </cell>
          <cell r="CM42">
            <v>52.3</v>
          </cell>
          <cell r="CN42">
            <v>0.24943261903055491</v>
          </cell>
          <cell r="CO42">
            <v>52.8</v>
          </cell>
          <cell r="CP42">
            <v>0.17870298024333064</v>
          </cell>
          <cell r="CQ42">
            <v>52.025000000000006</v>
          </cell>
          <cell r="CR42">
            <v>0.22827934649164239</v>
          </cell>
        </row>
        <row r="43">
          <cell r="BO43">
            <v>48.985999999999997</v>
          </cell>
          <cell r="BP43">
            <v>4.8546598741384228E-2</v>
          </cell>
          <cell r="BQ43">
            <v>49.188000000000002</v>
          </cell>
          <cell r="BR43">
            <v>3.4056508577194888E-2</v>
          </cell>
          <cell r="BS43">
            <v>49.347999999999999</v>
          </cell>
          <cell r="BT43">
            <v>2.9627774995827139E-2</v>
          </cell>
          <cell r="BU43">
            <v>40.92</v>
          </cell>
          <cell r="BV43">
            <v>-0.1524791847893624</v>
          </cell>
          <cell r="BW43">
            <v>49.426000000000002</v>
          </cell>
          <cell r="BX43">
            <v>3.1255216157569876E-2</v>
          </cell>
          <cell r="BY43">
            <v>50.225999999999999</v>
          </cell>
          <cell r="BZ43">
            <v>2.5313354836075552E-2</v>
          </cell>
          <cell r="CA43">
            <v>50.125999999999998</v>
          </cell>
          <cell r="CB43">
            <v>1.9069691794746602E-2</v>
          </cell>
          <cell r="CC43">
            <v>50.726999999999997</v>
          </cell>
          <cell r="CD43">
            <v>2.7944394909621417E-2</v>
          </cell>
          <cell r="CE43">
            <v>50.616</v>
          </cell>
          <cell r="CF43">
            <v>0.23695014662756586</v>
          </cell>
          <cell r="CG43">
            <v>50.4</v>
          </cell>
          <cell r="CH43">
            <v>1.9706227491603556E-2</v>
          </cell>
          <cell r="CI43">
            <v>51.2</v>
          </cell>
          <cell r="CJ43">
            <v>1.9392346593397836E-2</v>
          </cell>
          <cell r="CK43">
            <v>51.8</v>
          </cell>
          <cell r="CL43">
            <v>3.3395842476958038E-2</v>
          </cell>
          <cell r="CM43">
            <v>52.3</v>
          </cell>
          <cell r="CN43">
            <v>3.1009127289214788E-2</v>
          </cell>
          <cell r="CO43">
            <v>52.8</v>
          </cell>
          <cell r="CP43">
            <v>4.3148411569464251E-2</v>
          </cell>
          <cell r="CQ43">
            <v>52.025000000000006</v>
          </cell>
          <cell r="CR43">
            <v>3.2242063492063711E-2</v>
          </cell>
        </row>
        <row r="45">
          <cell r="BO45">
            <v>0.27727443432541576</v>
          </cell>
          <cell r="BP45">
            <v>0.4597524526093919</v>
          </cell>
          <cell r="BQ45">
            <v>0.26569651741293543</v>
          </cell>
          <cell r="BR45">
            <v>0.239576213341264</v>
          </cell>
          <cell r="BS45">
            <v>0.33087582601834514</v>
          </cell>
          <cell r="BT45">
            <v>0.46912240167533725</v>
          </cell>
          <cell r="BU45">
            <v>-0.13232477037182488</v>
          </cell>
          <cell r="BV45" t="str">
            <v xml:space="preserve">     N.M.</v>
          </cell>
          <cell r="BW45">
            <v>0.75497130985358252</v>
          </cell>
          <cell r="BX45">
            <v>-0.14585934237596243</v>
          </cell>
          <cell r="BY45">
            <v>0.30348910564371323</v>
          </cell>
          <cell r="BZ45">
            <v>9.4544134161071991E-2</v>
          </cell>
          <cell r="CA45">
            <v>0.40704911705104646</v>
          </cell>
          <cell r="CB45">
            <v>0.53200772450632527</v>
          </cell>
          <cell r="CC45">
            <v>0.46300676079218361</v>
          </cell>
          <cell r="CD45">
            <v>0.39933692456127812</v>
          </cell>
          <cell r="CE45">
            <v>0.43283848643821826</v>
          </cell>
          <cell r="CF45" t="str">
            <v xml:space="preserve">     N.M.</v>
          </cell>
          <cell r="CG45">
            <v>1.609004627443573</v>
          </cell>
          <cell r="CH45">
            <v>1.1312129433840603</v>
          </cell>
          <cell r="CI45">
            <v>0.44482246093749994</v>
          </cell>
          <cell r="CJ45">
            <v>0.46569498761417716</v>
          </cell>
          <cell r="CK45">
            <v>0.45876604729729742</v>
          </cell>
          <cell r="CL45">
            <v>0.12705329180155256</v>
          </cell>
          <cell r="CM45">
            <v>0.47422479923518152</v>
          </cell>
          <cell r="CN45">
            <v>2.4228670924381968E-2</v>
          </cell>
          <cell r="CO45">
            <v>0.50057122159090894</v>
          </cell>
          <cell r="CP45">
            <v>0.15648501063307974</v>
          </cell>
          <cell r="CQ45">
            <v>1.8793101153291685</v>
          </cell>
          <cell r="CR45">
            <v>0.16799546954384059</v>
          </cell>
        </row>
        <row r="46">
          <cell r="BO46">
            <v>0.27727443432541576</v>
          </cell>
          <cell r="BP46">
            <v>0.4597524526093919</v>
          </cell>
          <cell r="BQ46">
            <v>0.26569651741293543</v>
          </cell>
          <cell r="BR46">
            <v>0.239576213341264</v>
          </cell>
          <cell r="BS46">
            <v>0.33087582601834514</v>
          </cell>
          <cell r="BT46">
            <v>0.46912240167533725</v>
          </cell>
          <cell r="BU46">
            <v>-0.13232477037182488</v>
          </cell>
          <cell r="BV46" t="str">
            <v xml:space="preserve">     N.M.</v>
          </cell>
          <cell r="BW46">
            <v>0.75497130985358274</v>
          </cell>
          <cell r="BX46">
            <v>-0.14585934237596221</v>
          </cell>
          <cell r="BY46">
            <v>0.30348910564371323</v>
          </cell>
          <cell r="BZ46">
            <v>9.4544134161071991E-2</v>
          </cell>
          <cell r="CA46">
            <v>0.40704911705104646</v>
          </cell>
          <cell r="CB46">
            <v>0.53200772450632527</v>
          </cell>
          <cell r="CC46">
            <v>0.46300676079218361</v>
          </cell>
          <cell r="CD46">
            <v>0.39933692456127812</v>
          </cell>
          <cell r="CE46">
            <v>0.43283848643821826</v>
          </cell>
          <cell r="CF46" t="str">
            <v xml:space="preserve">     N.M.</v>
          </cell>
          <cell r="CG46">
            <v>1.609004627443573</v>
          </cell>
          <cell r="CH46">
            <v>1.1312129433840594</v>
          </cell>
          <cell r="CI46">
            <v>0.44482246093749994</v>
          </cell>
          <cell r="CJ46">
            <v>0.46569498761417716</v>
          </cell>
          <cell r="CK46">
            <v>0.45876604729729742</v>
          </cell>
          <cell r="CL46">
            <v>0.12705329180155256</v>
          </cell>
          <cell r="CM46">
            <v>0.47422479923518152</v>
          </cell>
          <cell r="CN46">
            <v>2.4228670924381968E-2</v>
          </cell>
          <cell r="CO46">
            <v>0.50057122159090894</v>
          </cell>
          <cell r="CP46">
            <v>0.15648501063307974</v>
          </cell>
          <cell r="CQ46">
            <v>1.8793101153291685</v>
          </cell>
          <cell r="CR46">
            <v>0.16799546954384059</v>
          </cell>
        </row>
        <row r="47">
          <cell r="BO47">
            <v>0.25723676152370095</v>
          </cell>
          <cell r="BP47">
            <v>0.41433294396425246</v>
          </cell>
          <cell r="BQ47">
            <v>0.23316662600634311</v>
          </cell>
          <cell r="BR47">
            <v>0.16333858463076711</v>
          </cell>
          <cell r="BS47">
            <v>0.28789413958012494</v>
          </cell>
          <cell r="BT47">
            <v>0.35064509806149458</v>
          </cell>
          <cell r="BU47">
            <v>-0.13167155425219859</v>
          </cell>
          <cell r="BV47" t="str">
            <v xml:space="preserve">     N.M.</v>
          </cell>
          <cell r="BW47">
            <v>0.68132157164245633</v>
          </cell>
          <cell r="BX47">
            <v>-0.17674573841725505</v>
          </cell>
          <cell r="BY47">
            <v>0.26723211085891763</v>
          </cell>
          <cell r="BZ47">
            <v>3.8856613168393173E-2</v>
          </cell>
          <cell r="CA47">
            <v>0.35271116785699985</v>
          </cell>
          <cell r="CB47">
            <v>0.5127000544554976</v>
          </cell>
          <cell r="CC47">
            <v>0.39797346580716414</v>
          </cell>
          <cell r="CD47">
            <v>0.38236042730005826</v>
          </cell>
          <cell r="CE47">
            <v>0.40874427058637564</v>
          </cell>
          <cell r="CF47" t="str">
            <v xml:space="preserve">     N.M.</v>
          </cell>
          <cell r="CG47">
            <v>1.43156746031746</v>
          </cell>
          <cell r="CH47">
            <v>1.1011626813259294</v>
          </cell>
          <cell r="CI47">
            <v>0.44482246093749994</v>
          </cell>
          <cell r="CJ47">
            <v>0.66455468060250911</v>
          </cell>
          <cell r="CK47">
            <v>0.45876604729729742</v>
          </cell>
          <cell r="CL47">
            <v>0.30068477866653631</v>
          </cell>
          <cell r="CM47">
            <v>0.47422479923518152</v>
          </cell>
          <cell r="CN47">
            <v>0.19159903857752303</v>
          </cell>
          <cell r="CO47">
            <v>0.50057122159090894</v>
          </cell>
          <cell r="CP47">
            <v>0.22465624012980134</v>
          </cell>
          <cell r="CQ47">
            <v>1.8793101153291685</v>
          </cell>
          <cell r="CR47">
            <v>0.31276392305844847</v>
          </cell>
        </row>
        <row r="48">
          <cell r="BO48">
            <v>0</v>
          </cell>
          <cell r="BP48" t="str">
            <v xml:space="preserve">      N.M.</v>
          </cell>
          <cell r="BQ48">
            <v>0</v>
          </cell>
          <cell r="BR48" t="str">
            <v xml:space="preserve">      N.M.</v>
          </cell>
          <cell r="BS48">
            <v>0</v>
          </cell>
          <cell r="BT48" t="str">
            <v xml:space="preserve">      N.M.</v>
          </cell>
          <cell r="BU48">
            <v>0</v>
          </cell>
          <cell r="BV48" t="str">
            <v xml:space="preserve">      N.M.</v>
          </cell>
          <cell r="BW48">
            <v>0</v>
          </cell>
          <cell r="BX48" t="e">
            <v>#DIV/0!</v>
          </cell>
          <cell r="BY48">
            <v>0</v>
          </cell>
          <cell r="BZ48" t="str">
            <v xml:space="preserve">      N.M.</v>
          </cell>
          <cell r="CA48">
            <v>0</v>
          </cell>
          <cell r="CB48" t="str">
            <v xml:space="preserve">      N.M.</v>
          </cell>
          <cell r="CC48">
            <v>0</v>
          </cell>
          <cell r="CD48" t="str">
            <v xml:space="preserve">      N.M.</v>
          </cell>
          <cell r="CE48">
            <v>0</v>
          </cell>
          <cell r="CF48" t="str">
            <v xml:space="preserve">      N.M.</v>
          </cell>
          <cell r="CG48">
            <v>0</v>
          </cell>
          <cell r="CH48" t="e">
            <v>#DIV/0!</v>
          </cell>
          <cell r="CI48">
            <v>0</v>
          </cell>
          <cell r="CJ48" t="str">
            <v xml:space="preserve">      N.M.</v>
          </cell>
          <cell r="CK48">
            <v>0</v>
          </cell>
          <cell r="CL48" t="str">
            <v xml:space="preserve">      N.M.</v>
          </cell>
          <cell r="CM48">
            <v>0</v>
          </cell>
          <cell r="CN48" t="str">
            <v xml:space="preserve">      N.M.</v>
          </cell>
          <cell r="CO48">
            <v>0</v>
          </cell>
          <cell r="CP48" t="str">
            <v xml:space="preserve">      N.M.</v>
          </cell>
          <cell r="CQ48">
            <v>0</v>
          </cell>
          <cell r="CR48" t="e">
            <v>#DIV/0!</v>
          </cell>
        </row>
        <row r="49">
          <cell r="BU49">
            <v>0.30821114369501545</v>
          </cell>
          <cell r="BV49" t="str">
            <v>ex chg</v>
          </cell>
          <cell r="BW49">
            <v>1.0735847529640274</v>
          </cell>
          <cell r="BX49" t="str">
            <v>ex chg</v>
          </cell>
          <cell r="BY49">
            <v>0.31653583298793775</v>
          </cell>
          <cell r="BZ49" t="str">
            <v>ex chg</v>
          </cell>
          <cell r="CF49" t="str">
            <v>ex charge</v>
          </cell>
          <cell r="CG49">
            <v>1.4806976859177943</v>
          </cell>
          <cell r="CH49">
            <v>0.37920893700267366</v>
          </cell>
          <cell r="CI49" t="str">
            <v>0.44-45</v>
          </cell>
          <cell r="CJ49" t="str">
            <v>Per Randy</v>
          </cell>
          <cell r="CK49" t="str">
            <v>45-47</v>
          </cell>
          <cell r="CM49" t="str">
            <v>46-49</v>
          </cell>
          <cell r="CO49" t="str">
            <v>47-51</v>
          </cell>
          <cell r="CQ49" t="str">
            <v>1.82-1.92</v>
          </cell>
        </row>
        <row r="50">
          <cell r="BO50">
            <v>25.033268</v>
          </cell>
          <cell r="BP50">
            <v>-0.28824931620578076</v>
          </cell>
          <cell r="BQ50">
            <v>26.87265</v>
          </cell>
          <cell r="BR50">
            <v>-0.26797865443391755</v>
          </cell>
          <cell r="BS50">
            <v>32.426000000000002</v>
          </cell>
          <cell r="BT50">
            <v>-0.1072631600219085</v>
          </cell>
          <cell r="BU50">
            <v>34.386000000000003</v>
          </cell>
          <cell r="BV50">
            <v>0.26597844015080119</v>
          </cell>
          <cell r="BW50">
            <v>118.717918</v>
          </cell>
          <cell r="BX50">
            <v>-0.12298060563772306</v>
          </cell>
          <cell r="BY50">
            <v>28.63926</v>
          </cell>
          <cell r="BZ50">
            <v>0.14404799245547961</v>
          </cell>
          <cell r="CA50">
            <v>29.26482</v>
          </cell>
          <cell r="CB50">
            <v>8.9018760710238842E-2</v>
          </cell>
          <cell r="CC50">
            <v>25.628070000000001</v>
          </cell>
          <cell r="CD50">
            <v>-0.20964442114352677</v>
          </cell>
          <cell r="CE50">
            <v>27.186460000000011</v>
          </cell>
          <cell r="CF50">
            <v>-0.20937416390391417</v>
          </cell>
          <cell r="CG50">
            <v>110.71861000000001</v>
          </cell>
          <cell r="CH50">
            <v>-6.738079756418891E-2</v>
          </cell>
          <cell r="CI50">
            <v>28</v>
          </cell>
          <cell r="CJ50">
            <v>-2.232110745878213E-2</v>
          </cell>
          <cell r="CK50">
            <v>28.5</v>
          </cell>
          <cell r="CL50">
            <v>-2.6134450852593694E-2</v>
          </cell>
          <cell r="CM50">
            <v>29</v>
          </cell>
          <cell r="CN50">
            <v>0.13157174925774751</v>
          </cell>
          <cell r="CO50">
            <v>30</v>
          </cell>
          <cell r="CP50">
            <v>0.10349048754416668</v>
          </cell>
          <cell r="CQ50">
            <v>115.5</v>
          </cell>
          <cell r="CR50">
            <v>4.3185061662172064E-2</v>
          </cell>
        </row>
        <row r="51">
          <cell r="BO51">
            <v>100.33573199999999</v>
          </cell>
          <cell r="BP51">
            <v>1.1855065607193267</v>
          </cell>
          <cell r="BQ51">
            <v>107.30235</v>
          </cell>
          <cell r="BR51">
            <v>0.88581242816319228</v>
          </cell>
          <cell r="BS51">
            <v>117.806</v>
          </cell>
          <cell r="BT51">
            <v>0.79306289254167361</v>
          </cell>
          <cell r="BU51">
            <v>126.538</v>
          </cell>
          <cell r="BV51">
            <v>0.43619532746769818</v>
          </cell>
          <cell r="BW51">
            <v>451.98208199999999</v>
          </cell>
          <cell r="BX51">
            <v>0.76131144437293363</v>
          </cell>
          <cell r="BY51">
            <v>130.46773999999999</v>
          </cell>
          <cell r="BZ51">
            <v>0.30031183706319098</v>
          </cell>
          <cell r="CA51">
            <v>142.88117999999997</v>
          </cell>
          <cell r="CB51">
            <v>0.33157549671558884</v>
          </cell>
          <cell r="CC51">
            <v>171.51093</v>
          </cell>
          <cell r="CD51">
            <v>0.45587601650170617</v>
          </cell>
          <cell r="CE51">
            <v>167.00254000000004</v>
          </cell>
          <cell r="CF51">
            <v>0.31978172564763185</v>
          </cell>
          <cell r="CG51">
            <v>611.86239</v>
          </cell>
          <cell r="CH51">
            <v>0.35373151805606318</v>
          </cell>
          <cell r="CI51">
            <v>184</v>
          </cell>
          <cell r="CJ51">
            <v>0.41031031885736668</v>
          </cell>
          <cell r="CK51">
            <v>197</v>
          </cell>
          <cell r="CL51">
            <v>0.37876800849489101</v>
          </cell>
          <cell r="CM51">
            <v>214.5</v>
          </cell>
          <cell r="CN51">
            <v>0.25064915687880651</v>
          </cell>
          <cell r="CO51">
            <v>231.5</v>
          </cell>
          <cell r="CP51">
            <v>0.38620646129094771</v>
          </cell>
          <cell r="CQ51">
            <v>827</v>
          </cell>
          <cell r="CR51">
            <v>0.35161110327438161</v>
          </cell>
        </row>
        <row r="52">
          <cell r="BO52">
            <v>0.19998776103663699</v>
          </cell>
          <cell r="BQ52">
            <v>0.20080740978755518</v>
          </cell>
          <cell r="BS52">
            <v>0.21588836069721301</v>
          </cell>
          <cell r="BU52">
            <v>0.21412025505629165</v>
          </cell>
          <cell r="BW52">
            <v>0.20835490806213544</v>
          </cell>
          <cell r="BY52">
            <v>0.18</v>
          </cell>
          <cell r="CA52">
            <v>0.17</v>
          </cell>
          <cell r="CC52">
            <v>0.13</v>
          </cell>
          <cell r="CE52">
            <v>0.14000000000000001</v>
          </cell>
          <cell r="CG52">
            <v>0.15322657252266528</v>
          </cell>
          <cell r="CI52">
            <v>0.13207547169811321</v>
          </cell>
          <cell r="CK52">
            <v>0.12638580931263857</v>
          </cell>
          <cell r="CM52">
            <v>0.11909650924024641</v>
          </cell>
          <cell r="CO52">
            <v>0.1147227533460803</v>
          </cell>
          <cell r="CQ52">
            <v>0.12254641909814323</v>
          </cell>
        </row>
        <row r="53">
          <cell r="BO53">
            <v>0.80157007046191686</v>
          </cell>
          <cell r="BQ53">
            <v>0.80182293028851537</v>
          </cell>
          <cell r="BS53">
            <v>0.78433800716387692</v>
          </cell>
          <cell r="BU53">
            <v>0.7879470957457404</v>
          </cell>
          <cell r="BW53">
            <v>0.79324744509790479</v>
          </cell>
          <cell r="BY53">
            <v>0.82</v>
          </cell>
          <cell r="CA53">
            <v>0.82999999999999985</v>
          </cell>
          <cell r="CC53">
            <v>0.87</v>
          </cell>
          <cell r="CE53">
            <v>0.86</v>
          </cell>
          <cell r="CG53">
            <v>0.84677342747733453</v>
          </cell>
          <cell r="CI53">
            <v>0.86792452830188682</v>
          </cell>
          <cell r="CK53">
            <v>0.87361419068736146</v>
          </cell>
          <cell r="CM53">
            <v>0.8809034907597536</v>
          </cell>
          <cell r="CO53">
            <v>0.88527724665391971</v>
          </cell>
          <cell r="CQ53">
            <v>0.87745358090185677</v>
          </cell>
        </row>
        <row r="56">
          <cell r="BO56">
            <v>58.387</v>
          </cell>
          <cell r="BP56">
            <v>0.96595844977945378</v>
          </cell>
          <cell r="BQ56">
            <v>63.381</v>
          </cell>
          <cell r="BR56">
            <v>0.55964860475417111</v>
          </cell>
          <cell r="BS56">
            <v>67.203000000000003</v>
          </cell>
          <cell r="BT56">
            <v>0.46565035331065174</v>
          </cell>
          <cell r="BU56">
            <v>61.960999999999999</v>
          </cell>
          <cell r="BV56">
            <v>0.44772074113881155</v>
          </cell>
          <cell r="BW56">
            <v>61.960999999999999</v>
          </cell>
          <cell r="BX56">
            <v>0.44772074113881155</v>
          </cell>
          <cell r="BY56">
            <v>63.399000000000001</v>
          </cell>
          <cell r="BZ56">
            <v>8.5841026255844666E-2</v>
          </cell>
          <cell r="CA56">
            <v>75.620999999999995</v>
          </cell>
          <cell r="CB56">
            <v>0.19311781133147154</v>
          </cell>
          <cell r="CC56">
            <v>70.873999999999995</v>
          </cell>
          <cell r="CD56">
            <v>5.4625537550406777E-2</v>
          </cell>
          <cell r="CE56">
            <v>68.953000000000003</v>
          </cell>
          <cell r="CF56">
            <v>0.11284517680476447</v>
          </cell>
          <cell r="CG56">
            <v>68.953000000000003</v>
          </cell>
          <cell r="CH56">
            <v>0.11284517680476447</v>
          </cell>
          <cell r="CI56">
            <v>80</v>
          </cell>
          <cell r="CJ56">
            <v>0.26184955598668758</v>
          </cell>
          <cell r="CK56">
            <v>83.5</v>
          </cell>
          <cell r="CL56">
            <v>0.10419063487655555</v>
          </cell>
          <cell r="CM56">
            <v>88.5</v>
          </cell>
          <cell r="CN56">
            <v>0.2486948669469764</v>
          </cell>
          <cell r="CO56">
            <v>97.5</v>
          </cell>
          <cell r="CP56">
            <v>0.41400664220556016</v>
          </cell>
          <cell r="CQ56">
            <v>97.5</v>
          </cell>
          <cell r="CR56">
            <v>0.41400664220556016</v>
          </cell>
        </row>
        <row r="57">
          <cell r="BO57">
            <v>70.248999999999995</v>
          </cell>
          <cell r="BP57">
            <v>0.83269416399259066</v>
          </cell>
          <cell r="BQ57">
            <v>69.150000000000006</v>
          </cell>
          <cell r="BR57">
            <v>0.44665271966527209</v>
          </cell>
          <cell r="BS57">
            <v>76.296999999999997</v>
          </cell>
          <cell r="BT57">
            <v>0.51512202871497514</v>
          </cell>
          <cell r="BU57">
            <v>77.334000000000003</v>
          </cell>
          <cell r="BV57">
            <v>0.51980976338338181</v>
          </cell>
          <cell r="BW57">
            <v>77.334000000000003</v>
          </cell>
          <cell r="BX57">
            <v>0.51980976338338181</v>
          </cell>
          <cell r="BY57">
            <v>77.876999999999995</v>
          </cell>
          <cell r="BZ57">
            <v>0.10858517558968805</v>
          </cell>
          <cell r="CA57">
            <v>87.203000000000003</v>
          </cell>
          <cell r="CB57">
            <v>0.26107013738250173</v>
          </cell>
          <cell r="CC57">
            <v>95.058000000000007</v>
          </cell>
          <cell r="CD57">
            <v>0.24589433398429827</v>
          </cell>
          <cell r="CE57">
            <v>96.93</v>
          </cell>
          <cell r="CF57">
            <v>0.25339436728993725</v>
          </cell>
          <cell r="CG57">
            <v>96.93</v>
          </cell>
          <cell r="CH57">
            <v>0.25339436728993725</v>
          </cell>
          <cell r="CI57">
            <v>107.5</v>
          </cell>
          <cell r="CJ57">
            <v>0.38038188425337394</v>
          </cell>
          <cell r="CK57">
            <v>115</v>
          </cell>
          <cell r="CL57">
            <v>0.31876196919830746</v>
          </cell>
          <cell r="CM57">
            <v>120</v>
          </cell>
          <cell r="CN57">
            <v>0.26238717414631063</v>
          </cell>
          <cell r="CO57">
            <v>125</v>
          </cell>
          <cell r="CP57">
            <v>0.28959042608067675</v>
          </cell>
          <cell r="CQ57">
            <v>125</v>
          </cell>
          <cell r="CR57">
            <v>0.28959042608067675</v>
          </cell>
        </row>
        <row r="58">
          <cell r="BO58">
            <v>4.4249999999999998</v>
          </cell>
          <cell r="BP58">
            <v>0.62863452337136527</v>
          </cell>
          <cell r="BQ58">
            <v>4.7380000000000004</v>
          </cell>
          <cell r="BR58">
            <v>0.43012375490492016</v>
          </cell>
          <cell r="BS58">
            <v>5.05</v>
          </cell>
          <cell r="BT58">
            <v>0.37527233115468395</v>
          </cell>
          <cell r="BU58">
            <v>5.2</v>
          </cell>
          <cell r="BV58">
            <v>0.34994807892004198</v>
          </cell>
          <cell r="BW58">
            <v>19.413</v>
          </cell>
          <cell r="BX58">
            <v>0.43227091633466164</v>
          </cell>
          <cell r="BY58">
            <v>5.6870000000000003</v>
          </cell>
          <cell r="BZ58">
            <v>0.28519774011299437</v>
          </cell>
          <cell r="CA58">
            <v>6.0179999999999998</v>
          </cell>
          <cell r="CB58">
            <v>0.27015618404390018</v>
          </cell>
          <cell r="CC58">
            <v>7.5329999999999986</v>
          </cell>
          <cell r="CD58">
            <v>0.49168316831683145</v>
          </cell>
          <cell r="CE58">
            <v>8</v>
          </cell>
          <cell r="CF58">
            <v>0.53846153846153832</v>
          </cell>
          <cell r="CG58">
            <v>27.238</v>
          </cell>
          <cell r="CH58">
            <v>0.40308041003451289</v>
          </cell>
          <cell r="CI58">
            <v>8.1999999999999993</v>
          </cell>
          <cell r="CJ58">
            <v>0.44188500087919791</v>
          </cell>
          <cell r="CK58">
            <v>8.4</v>
          </cell>
          <cell r="CL58">
            <v>0.39581256231306083</v>
          </cell>
          <cell r="CM58">
            <v>8.6</v>
          </cell>
          <cell r="CN58">
            <v>0.14164343555024583</v>
          </cell>
          <cell r="CO58">
            <v>8.8000000000000007</v>
          </cell>
          <cell r="CP58">
            <v>0.10000000000000009</v>
          </cell>
          <cell r="CQ58">
            <v>34</v>
          </cell>
          <cell r="CR58">
            <v>0.24825611278361115</v>
          </cell>
        </row>
        <row r="59">
          <cell r="BO59">
            <v>7.6945822544620786</v>
          </cell>
          <cell r="BP59">
            <v>-0.13029275039733346</v>
          </cell>
          <cell r="BQ59">
            <v>6.9500689836410228</v>
          </cell>
          <cell r="BR59">
            <v>-0.15975640417475911</v>
          </cell>
          <cell r="BS59">
            <v>7.1864240642038837</v>
          </cell>
          <cell r="BT59">
            <v>-2.2345197381096749E-2</v>
          </cell>
          <cell r="BU59">
            <v>8.3714967018673967</v>
          </cell>
          <cell r="BV59">
            <v>3.1256328256657362E-2</v>
          </cell>
          <cell r="BW59">
            <v>8.6975181366933949</v>
          </cell>
          <cell r="BX59">
            <v>-7.2874936501687859E-4</v>
          </cell>
          <cell r="BY59">
            <v>7.9406509253350359</v>
          </cell>
          <cell r="BZ59">
            <v>3.1979471105174406E-2</v>
          </cell>
          <cell r="CA59">
            <v>7.741044454035392</v>
          </cell>
          <cell r="CB59">
            <v>0.1138082905732527</v>
          </cell>
          <cell r="CC59">
            <v>8.3938974026417288</v>
          </cell>
          <cell r="CD59">
            <v>0.16802144260486385</v>
          </cell>
          <cell r="CE59">
            <v>8.653836526564973</v>
          </cell>
          <cell r="CF59">
            <v>3.3726325739887875E-2</v>
          </cell>
          <cell r="CG59">
            <v>8.6150144369586155</v>
          </cell>
          <cell r="CH59">
            <v>-9.4858899329809399E-3</v>
          </cell>
          <cell r="CI59">
            <v>8.8641114982578397</v>
          </cell>
          <cell r="CJ59">
            <v>0.11629532409949639</v>
          </cell>
          <cell r="CK59">
            <v>8.6172721712538216</v>
          </cell>
          <cell r="CL59">
            <v>0.11319244094531111</v>
          </cell>
          <cell r="CM59">
            <v>8.9019069767441863</v>
          </cell>
          <cell r="CN59">
            <v>6.0521298954949954E-2</v>
          </cell>
          <cell r="CO59">
            <v>8.8628817204301082</v>
          </cell>
          <cell r="CP59">
            <v>2.4156360386913045E-2</v>
          </cell>
          <cell r="CQ59">
            <v>8.8747033697199829</v>
          </cell>
          <cell r="CR59">
            <v>3.0143760600945146E-2</v>
          </cell>
        </row>
        <row r="60">
          <cell r="BO60">
            <v>43.547262211002277</v>
          </cell>
          <cell r="BP60">
            <v>8.1260301394547874E-3</v>
          </cell>
          <cell r="BQ60">
            <v>46.875014011044435</v>
          </cell>
          <cell r="BR60">
            <v>0.13211788801654034</v>
          </cell>
          <cell r="BS60">
            <v>43.576578915831099</v>
          </cell>
          <cell r="BT60">
            <v>6.5084644961836968E-3</v>
          </cell>
          <cell r="BU60">
            <v>43.049435837401596</v>
          </cell>
          <cell r="BV60">
            <v>8.9199121152192307E-2</v>
          </cell>
          <cell r="BW60">
            <v>40.505030827309149</v>
          </cell>
          <cell r="BX60">
            <v>-2.4087166745939803E-2</v>
          </cell>
          <cell r="BY60">
            <v>43.898100020740763</v>
          </cell>
          <cell r="BZ60">
            <v>8.056483735729536E-3</v>
          </cell>
          <cell r="CA60">
            <v>43.152905092189187</v>
          </cell>
          <cell r="CB60">
            <v>-7.9404966534586285E-2</v>
          </cell>
          <cell r="CC60">
            <v>41.603868336554413</v>
          </cell>
          <cell r="CD60">
            <v>-4.5269973649996964E-2</v>
          </cell>
          <cell r="CE60">
            <v>44.489955661752198</v>
          </cell>
          <cell r="CF60">
            <v>3.3461990763165028E-2</v>
          </cell>
          <cell r="CG60">
            <v>43.410385825256952</v>
          </cell>
          <cell r="CH60">
            <v>7.1728250506328806E-2</v>
          </cell>
          <cell r="CI60">
            <v>43.393160377358491</v>
          </cell>
          <cell r="CJ60">
            <v>-1.1502539817069501E-2</v>
          </cell>
          <cell r="CK60">
            <v>44.40133037694013</v>
          </cell>
          <cell r="CL60">
            <v>2.8930272065898821E-2</v>
          </cell>
          <cell r="CM60">
            <v>43.429158110882959</v>
          </cell>
          <cell r="CN60">
            <v>4.3873078329228044E-2</v>
          </cell>
          <cell r="CO60">
            <v>42.160611854684511</v>
          </cell>
          <cell r="CP60">
            <v>-5.2356622352631721E-2</v>
          </cell>
          <cell r="CQ60">
            <v>42.384509283819632</v>
          </cell>
          <cell r="CR60">
            <v>-2.3632053065984149E-2</v>
          </cell>
        </row>
        <row r="61">
          <cell r="BO61">
            <v>22.854000000000013</v>
          </cell>
          <cell r="BP61">
            <v>0.61706644024623247</v>
          </cell>
          <cell r="BQ61">
            <v>22.516000000000002</v>
          </cell>
          <cell r="BR61">
            <v>0.36651089397341785</v>
          </cell>
          <cell r="BS61">
            <v>26.199000000000005</v>
          </cell>
          <cell r="BT61">
            <v>0.44745856353591207</v>
          </cell>
          <cell r="BU61">
            <v>16.039000000000037</v>
          </cell>
          <cell r="BV61">
            <v>-0.20492737817875528</v>
          </cell>
          <cell r="BW61">
            <v>87.608000000000047</v>
          </cell>
          <cell r="BX61">
            <v>0.27183775387250764</v>
          </cell>
          <cell r="BY61">
            <v>29.801999999999996</v>
          </cell>
          <cell r="BZ61">
            <v>0.30401680231031669</v>
          </cell>
          <cell r="CA61">
            <v>32.450999999999979</v>
          </cell>
          <cell r="CB61">
            <v>0.44124178362053557</v>
          </cell>
          <cell r="CC61">
            <v>38.353000000000009</v>
          </cell>
          <cell r="CD61">
            <v>0.46391083629146146</v>
          </cell>
          <cell r="CE61">
            <v>38.603999999999999</v>
          </cell>
          <cell r="CF61">
            <v>1.4068832221460137</v>
          </cell>
          <cell r="CG61">
            <v>139.20999999999998</v>
          </cell>
          <cell r="CH61">
            <v>0.58901013606063257</v>
          </cell>
          <cell r="CI61">
            <v>42.465999999999994</v>
          </cell>
          <cell r="CJ61">
            <v>0.42493792362928651</v>
          </cell>
          <cell r="CK61">
            <v>44.223750000000003</v>
          </cell>
          <cell r="CL61">
            <v>0.36278543034113064</v>
          </cell>
          <cell r="CM61">
            <v>46.058199999999985</v>
          </cell>
          <cell r="CN61">
            <v>0.20090214585560395</v>
          </cell>
          <cell r="CO61">
            <v>48.822299999999984</v>
          </cell>
          <cell r="CP61">
            <v>0.26469536835561036</v>
          </cell>
          <cell r="CQ61">
            <v>181.57024999999999</v>
          </cell>
          <cell r="CR61">
            <v>0.30429028087062715</v>
          </cell>
        </row>
        <row r="64">
          <cell r="BR64" t="str">
            <v>Sanmina Corporation</v>
          </cell>
          <cell r="CB64" t="str">
            <v>Sanmina Corporation</v>
          </cell>
          <cell r="CL64" t="str">
            <v>Sanmina Corporation</v>
          </cell>
        </row>
        <row r="65">
          <cell r="BR65" t="str">
            <v>Quarterly Income Statements</v>
          </cell>
          <cell r="CB65" t="str">
            <v>Quarterly Income Statements</v>
          </cell>
          <cell r="CL65" t="str">
            <v>Quarterly Income Statements</v>
          </cell>
        </row>
        <row r="66">
          <cell r="BR66" t="str">
            <v>($ In Millions Except Per Share Data)</v>
          </cell>
          <cell r="CB66" t="str">
            <v>($ In Millions Except Per Share Data)</v>
          </cell>
          <cell r="CL66" t="str">
            <v>($ In Millions Except Per Share Data)</v>
          </cell>
        </row>
        <row r="67">
          <cell r="BO67" t="str">
            <v>1997R</v>
          </cell>
          <cell r="BW67" t="str">
            <v>1997R</v>
          </cell>
          <cell r="BY67" t="str">
            <v>1998A</v>
          </cell>
          <cell r="CG67" t="str">
            <v>1998A</v>
          </cell>
          <cell r="CI67" t="str">
            <v>1999E</v>
          </cell>
          <cell r="CQ67" t="str">
            <v>1999E</v>
          </cell>
        </row>
        <row r="68">
          <cell r="BO68" t="str">
            <v>1QR</v>
          </cell>
          <cell r="BP68" t="str">
            <v>% Chg.</v>
          </cell>
          <cell r="BQ68" t="str">
            <v>2QR</v>
          </cell>
          <cell r="BR68" t="str">
            <v>% Chg.</v>
          </cell>
          <cell r="BS68" t="str">
            <v>3QR</v>
          </cell>
          <cell r="BT68" t="str">
            <v>% Chg.</v>
          </cell>
          <cell r="BU68" t="str">
            <v>4QR</v>
          </cell>
          <cell r="BV68" t="str">
            <v>% Chg.</v>
          </cell>
          <cell r="BW68" t="str">
            <v xml:space="preserve">    YEAR </v>
          </cell>
          <cell r="BX68" t="str">
            <v>% Chg.</v>
          </cell>
          <cell r="BY68" t="str">
            <v>1QA</v>
          </cell>
          <cell r="BZ68" t="str">
            <v>% Chg.</v>
          </cell>
          <cell r="CA68" t="str">
            <v xml:space="preserve">  2QA</v>
          </cell>
          <cell r="CB68" t="str">
            <v>% Chg.</v>
          </cell>
          <cell r="CC68" t="str">
            <v xml:space="preserve">  3QA</v>
          </cell>
          <cell r="CD68" t="str">
            <v>% Chg.</v>
          </cell>
          <cell r="CE68" t="str">
            <v xml:space="preserve">  4QA</v>
          </cell>
          <cell r="CF68" t="str">
            <v>% Chg.</v>
          </cell>
          <cell r="CG68" t="str">
            <v xml:space="preserve">    YEAR </v>
          </cell>
          <cell r="CH68" t="str">
            <v>% Chg.</v>
          </cell>
          <cell r="CI68" t="str">
            <v xml:space="preserve">   1QE</v>
          </cell>
          <cell r="CJ68" t="str">
            <v>% Chg.</v>
          </cell>
          <cell r="CK68" t="str">
            <v xml:space="preserve">  2QE</v>
          </cell>
          <cell r="CL68" t="str">
            <v>% Chg.</v>
          </cell>
          <cell r="CM68" t="str">
            <v xml:space="preserve">  3QE</v>
          </cell>
          <cell r="CN68" t="str">
            <v>% Chg.</v>
          </cell>
          <cell r="CO68" t="str">
            <v xml:space="preserve">  4QE</v>
          </cell>
          <cell r="CP68" t="str">
            <v>% Chg.</v>
          </cell>
          <cell r="CQ68" t="str">
            <v xml:space="preserve">    YEAR </v>
          </cell>
          <cell r="CR68" t="str">
            <v>% Chg.</v>
          </cell>
        </row>
        <row r="69">
          <cell r="BO69">
            <v>125.17400000000001</v>
          </cell>
          <cell r="BP69">
            <v>0.54381421048087719</v>
          </cell>
          <cell r="BQ69">
            <v>133.82300000000001</v>
          </cell>
          <cell r="BR69">
            <v>0.4295801730584341</v>
          </cell>
          <cell r="BS69">
            <v>150.19800000000004</v>
          </cell>
          <cell r="BT69">
            <v>0.472197445674015</v>
          </cell>
          <cell r="BU69">
            <v>160.5920000000001</v>
          </cell>
          <cell r="BV69">
            <v>0.39320539959052003</v>
          </cell>
          <cell r="BW69">
            <v>569.78700000000015</v>
          </cell>
          <cell r="BX69">
            <v>0.4536050124750628</v>
          </cell>
          <cell r="BY69">
            <v>159.107</v>
          </cell>
          <cell r="BZ69">
            <v>0.27108664738683741</v>
          </cell>
          <cell r="CA69">
            <v>172.14599999999999</v>
          </cell>
          <cell r="CB69">
            <v>0.28637080322515551</v>
          </cell>
          <cell r="CC69">
            <v>197.13900000000004</v>
          </cell>
          <cell r="CD69">
            <v>0.31252746374785279</v>
          </cell>
          <cell r="CE69">
            <v>194.18900000000005</v>
          </cell>
          <cell r="CF69">
            <v>0.2092071834213407</v>
          </cell>
          <cell r="CG69">
            <v>722.58100000000013</v>
          </cell>
          <cell r="CH69">
            <v>0.26815985622697602</v>
          </cell>
          <cell r="CI69">
            <v>212</v>
          </cell>
          <cell r="CJ69">
            <v>0.33243666212045975</v>
          </cell>
          <cell r="CK69">
            <v>225.5</v>
          </cell>
          <cell r="CL69">
            <v>0.30993459040581839</v>
          </cell>
          <cell r="CM69">
            <v>243.5</v>
          </cell>
          <cell r="CN69">
            <v>0.23516909388806861</v>
          </cell>
          <cell r="CO69">
            <v>261.5</v>
          </cell>
          <cell r="CP69">
            <v>0.34662622496639828</v>
          </cell>
          <cell r="CQ69">
            <v>942.5</v>
          </cell>
          <cell r="CR69">
            <v>0.30435203804140976</v>
          </cell>
        </row>
        <row r="70">
          <cell r="BO70" t="str">
            <v>Estimates of SANM / ELEX combined</v>
          </cell>
        </row>
        <row r="71">
          <cell r="BO71">
            <v>67.504260000000002</v>
          </cell>
          <cell r="BP71">
            <v>-0.16744662744662742</v>
          </cell>
          <cell r="BQ71">
            <v>75.100500000000011</v>
          </cell>
          <cell r="BR71">
            <v>-0.19772994338211713</v>
          </cell>
          <cell r="BS71">
            <v>76.875040000000013</v>
          </cell>
          <cell r="BT71">
            <v>-0.24649304568577657</v>
          </cell>
          <cell r="BU71">
            <v>86.775620000000075</v>
          </cell>
          <cell r="BV71" t="str">
            <v xml:space="preserve">     N.M.</v>
          </cell>
          <cell r="BW71">
            <v>306.25542000000019</v>
          </cell>
          <cell r="BX71">
            <v>0.41672234768827465</v>
          </cell>
          <cell r="BY71">
            <v>82.735640000000004</v>
          </cell>
          <cell r="BZ71">
            <v>0.22563583394588727</v>
          </cell>
          <cell r="CA71">
            <v>90.204504</v>
          </cell>
          <cell r="CB71">
            <v>0.2011172229212852</v>
          </cell>
          <cell r="CC71">
            <v>106.45506</v>
          </cell>
          <cell r="CD71">
            <v>0.38478054775646275</v>
          </cell>
          <cell r="CE71">
            <v>106.80395000000003</v>
          </cell>
          <cell r="CF71">
            <v>0.23080595678832294</v>
          </cell>
          <cell r="CG71">
            <v>386.19915400000014</v>
          </cell>
          <cell r="CH71">
            <v>0.26103614427460542</v>
          </cell>
          <cell r="CI71">
            <v>120.84</v>
          </cell>
          <cell r="CJ71">
            <v>0.46055557193973473</v>
          </cell>
          <cell r="CK71">
            <v>127.4075</v>
          </cell>
          <cell r="CL71">
            <v>0.41242947247955608</v>
          </cell>
          <cell r="CM71">
            <v>138.79500000000002</v>
          </cell>
          <cell r="CN71">
            <v>0.30378959910407266</v>
          </cell>
          <cell r="CO71">
            <v>150.36249999999998</v>
          </cell>
          <cell r="CP71">
            <v>0.40783650791941639</v>
          </cell>
          <cell r="CQ71">
            <v>537.40499999999997</v>
          </cell>
          <cell r="CR71">
            <v>0.39152298609126368</v>
          </cell>
        </row>
        <row r="72">
          <cell r="BO72">
            <v>23.248750000000001</v>
          </cell>
          <cell r="BP72" t="str">
            <v xml:space="preserve">      N.M.</v>
          </cell>
          <cell r="BQ72">
            <v>28.829249999999998</v>
          </cell>
          <cell r="BR72" t="str">
            <v xml:space="preserve">      N.M.</v>
          </cell>
          <cell r="BS72">
            <v>37.291640000000001</v>
          </cell>
          <cell r="BT72" t="str">
            <v xml:space="preserve">      N.M.</v>
          </cell>
          <cell r="BU72">
            <v>40.85698</v>
          </cell>
          <cell r="BV72">
            <v>-0.48338856401245822</v>
          </cell>
          <cell r="BW72">
            <v>130.22662</v>
          </cell>
          <cell r="BX72">
            <v>0.64663568286260831</v>
          </cell>
          <cell r="BY72">
            <v>46.141029999999994</v>
          </cell>
          <cell r="BZ72">
            <v>0.98466713264153949</v>
          </cell>
          <cell r="CA72">
            <v>50.438777999999992</v>
          </cell>
          <cell r="CB72">
            <v>0.74956955175732953</v>
          </cell>
          <cell r="CC72">
            <v>55.198920000000008</v>
          </cell>
          <cell r="CD72">
            <v>0.48019556125716134</v>
          </cell>
          <cell r="CE72">
            <v>56.314810000000008</v>
          </cell>
          <cell r="CF72">
            <v>0.37834000457204642</v>
          </cell>
          <cell r="CG72">
            <v>208.09353800000002</v>
          </cell>
          <cell r="CH72">
            <v>0.59793395543860406</v>
          </cell>
          <cell r="CI72">
            <v>61.48</v>
          </cell>
          <cell r="CJ72">
            <v>0.33243666212045997</v>
          </cell>
          <cell r="CK72">
            <v>65.394999999999996</v>
          </cell>
          <cell r="CL72">
            <v>0.29652229084534931</v>
          </cell>
          <cell r="CM72">
            <v>69.397499999999994</v>
          </cell>
          <cell r="CN72">
            <v>0.25722568485035557</v>
          </cell>
          <cell r="CO72">
            <v>73.220000000000013</v>
          </cell>
          <cell r="CP72">
            <v>0.3001908378985918</v>
          </cell>
          <cell r="CQ72">
            <v>269.49250000000001</v>
          </cell>
          <cell r="CR72">
            <v>0.29505463067286586</v>
          </cell>
        </row>
        <row r="73">
          <cell r="BO73">
            <v>21.265039999999999</v>
          </cell>
          <cell r="BP73" t="str">
            <v xml:space="preserve">      N.M.</v>
          </cell>
          <cell r="BQ73">
            <v>15.037000000000001</v>
          </cell>
          <cell r="BR73" t="str">
            <v xml:space="preserve">      N.M.</v>
          </cell>
          <cell r="BS73">
            <v>21.638280000000002</v>
          </cell>
          <cell r="BT73" t="str">
            <v xml:space="preserve">      N.M.</v>
          </cell>
          <cell r="BU73">
            <v>17.910299999999999</v>
          </cell>
          <cell r="BV73">
            <v>-0.7236255888481784</v>
          </cell>
          <cell r="BW73">
            <v>75.850619999999992</v>
          </cell>
          <cell r="BX73">
            <v>0.17045333902841286</v>
          </cell>
          <cell r="BY73">
            <v>19.092839999999999</v>
          </cell>
          <cell r="BZ73">
            <v>-0.10214887909921633</v>
          </cell>
          <cell r="CA73">
            <v>21.173957999999999</v>
          </cell>
          <cell r="CB73">
            <v>0.40812382789120161</v>
          </cell>
          <cell r="CC73">
            <v>25.628070000000001</v>
          </cell>
          <cell r="CD73">
            <v>0.18438572751623505</v>
          </cell>
          <cell r="CE73">
            <v>17.477010000000003</v>
          </cell>
          <cell r="CF73">
            <v>-2.4192224585852573E-2</v>
          </cell>
          <cell r="CG73">
            <v>83.371878000000009</v>
          </cell>
          <cell r="CH73">
            <v>9.915882032342016E-2</v>
          </cell>
          <cell r="CI73">
            <v>16.96</v>
          </cell>
          <cell r="CJ73">
            <v>-0.11170889191969335</v>
          </cell>
          <cell r="CK73">
            <v>19.1675</v>
          </cell>
          <cell r="CL73">
            <v>-9.4760648906548228E-2</v>
          </cell>
          <cell r="CM73">
            <v>21.914999999999999</v>
          </cell>
          <cell r="CN73">
            <v>-0.14488293500056781</v>
          </cell>
          <cell r="CO73">
            <v>23.535</v>
          </cell>
          <cell r="CP73">
            <v>0.3466262249663985</v>
          </cell>
          <cell r="CQ73">
            <v>81.577500000000001</v>
          </cell>
          <cell r="CR73">
            <v>-2.1522581031460097E-2</v>
          </cell>
        </row>
        <row r="74">
          <cell r="BO74">
            <v>13.155950000000001</v>
          </cell>
          <cell r="BP74" t="str">
            <v xml:space="preserve">      N.M.</v>
          </cell>
          <cell r="BQ74">
            <v>14.856249999999999</v>
          </cell>
          <cell r="BR74" t="str">
            <v xml:space="preserve">      N.M.</v>
          </cell>
          <cell r="BS74">
            <v>14.393039999999999</v>
          </cell>
          <cell r="BT74" t="str">
            <v xml:space="preserve">      N.M.</v>
          </cell>
          <cell r="BU74">
            <v>15.049099999999999</v>
          </cell>
          <cell r="BV74">
            <v>-0.51084207802811732</v>
          </cell>
          <cell r="BW74">
            <v>57.454340000000002</v>
          </cell>
          <cell r="BX74">
            <v>0.86750340968337092</v>
          </cell>
          <cell r="BY74">
            <v>11.137490000000001</v>
          </cell>
          <cell r="BZ74">
            <v>-0.15342563630904638</v>
          </cell>
          <cell r="CA74">
            <v>10.328759999999999</v>
          </cell>
          <cell r="CB74">
            <v>-0.30475321834244851</v>
          </cell>
          <cell r="CC74">
            <v>9.8569500000000012</v>
          </cell>
          <cell r="CD74">
            <v>-0.3151585766453785</v>
          </cell>
          <cell r="CE74">
            <v>13.593230000000005</v>
          </cell>
          <cell r="CF74">
            <v>-9.6741333368772442E-2</v>
          </cell>
          <cell r="CG74">
            <v>44.916430000000005</v>
          </cell>
          <cell r="CH74">
            <v>-0.21822389744621551</v>
          </cell>
          <cell r="CI74">
            <v>12.719999999999999</v>
          </cell>
          <cell r="CJ74">
            <v>0.14208856753182242</v>
          </cell>
          <cell r="CK74">
            <v>13.53</v>
          </cell>
          <cell r="CL74">
            <v>0.30993459040581839</v>
          </cell>
          <cell r="CM74">
            <v>13.3925</v>
          </cell>
          <cell r="CN74">
            <v>0.3586860032768755</v>
          </cell>
          <cell r="CO74">
            <v>14.3825</v>
          </cell>
          <cell r="CP74">
            <v>5.8063462473598504E-2</v>
          </cell>
          <cell r="CQ74">
            <v>54.024999999999999</v>
          </cell>
          <cell r="CR74">
            <v>0.20278926887110105</v>
          </cell>
        </row>
        <row r="75">
          <cell r="BO75">
            <v>0</v>
          </cell>
          <cell r="BP75" t="str">
            <v xml:space="preserve">      N.M.</v>
          </cell>
          <cell r="BQ75">
            <v>0</v>
          </cell>
          <cell r="BR75" t="str">
            <v xml:space="preserve">      N.M.</v>
          </cell>
          <cell r="BS75">
            <v>0</v>
          </cell>
          <cell r="BT75" t="str">
            <v xml:space="preserve">      N.M.</v>
          </cell>
          <cell r="BU75">
            <v>0</v>
          </cell>
          <cell r="BV75" t="str">
            <v xml:space="preserve">      N.M.</v>
          </cell>
          <cell r="BW75">
            <v>0</v>
          </cell>
          <cell r="BX75" t="e">
            <v>#DIV/0!</v>
          </cell>
          <cell r="BY75">
            <v>0</v>
          </cell>
          <cell r="BZ75" t="str">
            <v xml:space="preserve">      N.M.</v>
          </cell>
          <cell r="CA75">
            <v>0</v>
          </cell>
          <cell r="CB75" t="str">
            <v xml:space="preserve">      N.M.</v>
          </cell>
          <cell r="CC75">
            <v>0</v>
          </cell>
          <cell r="CD75" t="str">
            <v xml:space="preserve">      N.M.</v>
          </cell>
          <cell r="CE75">
            <v>0</v>
          </cell>
          <cell r="CF75" t="str">
            <v xml:space="preserve">      N.M.</v>
          </cell>
          <cell r="CG75">
            <v>0</v>
          </cell>
          <cell r="CH75" t="e">
            <v>#DIV/0!</v>
          </cell>
          <cell r="CI75">
            <v>0</v>
          </cell>
          <cell r="CJ75" t="str">
            <v xml:space="preserve">      N.M.</v>
          </cell>
          <cell r="CK75">
            <v>0</v>
          </cell>
          <cell r="CL75" t="str">
            <v xml:space="preserve">      N.M.</v>
          </cell>
          <cell r="CM75">
            <v>0</v>
          </cell>
          <cell r="CN75" t="str">
            <v xml:space="preserve">      N.M.</v>
          </cell>
          <cell r="CO75">
            <v>0</v>
          </cell>
          <cell r="CP75" t="str">
            <v xml:space="preserve">      N.M.</v>
          </cell>
          <cell r="CQ75">
            <v>0</v>
          </cell>
          <cell r="CR75" t="e">
            <v>#DIV/0!</v>
          </cell>
        </row>
        <row r="76">
          <cell r="BO76">
            <v>0</v>
          </cell>
          <cell r="BP76" t="str">
            <v xml:space="preserve">      N.M.</v>
          </cell>
          <cell r="BQ76">
            <v>7.1054273576010003E-15</v>
          </cell>
          <cell r="BR76" t="str">
            <v xml:space="preserve">      N.M.</v>
          </cell>
          <cell r="BS76">
            <v>0</v>
          </cell>
          <cell r="BT76" t="str">
            <v xml:space="preserve">      N.M.</v>
          </cell>
          <cell r="BU76">
            <v>0</v>
          </cell>
          <cell r="BV76">
            <v>-1</v>
          </cell>
          <cell r="BW76">
            <v>7.1054273576010003E-15</v>
          </cell>
          <cell r="BX76">
            <v>-0.99999999999999389</v>
          </cell>
          <cell r="BY76">
            <v>0</v>
          </cell>
          <cell r="BZ76" t="str">
            <v xml:space="preserve">      N.M.</v>
          </cell>
          <cell r="CA76">
            <v>0</v>
          </cell>
          <cell r="CB76">
            <v>-1</v>
          </cell>
          <cell r="CC76">
            <v>0</v>
          </cell>
          <cell r="CD76" t="str">
            <v xml:space="preserve">      N.M.</v>
          </cell>
          <cell r="CE76">
            <v>0</v>
          </cell>
          <cell r="CF76" t="str">
            <v xml:space="preserve">      N.M.</v>
          </cell>
          <cell r="CG76">
            <v>0</v>
          </cell>
          <cell r="CH76">
            <v>-1</v>
          </cell>
          <cell r="CI76">
            <v>0</v>
          </cell>
          <cell r="CJ76" t="str">
            <v xml:space="preserve">      N.M.</v>
          </cell>
          <cell r="CK76">
            <v>0</v>
          </cell>
          <cell r="CL76" t="str">
            <v xml:space="preserve">      N.M.</v>
          </cell>
          <cell r="CM76">
            <v>0</v>
          </cell>
          <cell r="CN76" t="str">
            <v xml:space="preserve">      N.M.</v>
          </cell>
          <cell r="CO76">
            <v>0</v>
          </cell>
          <cell r="CP76" t="str">
            <v xml:space="preserve">      N.M.</v>
          </cell>
          <cell r="CQ76">
            <v>0</v>
          </cell>
          <cell r="CR76" t="e">
            <v>#DIV/0!</v>
          </cell>
        </row>
        <row r="77">
          <cell r="BO77">
            <v>125.17400000000001</v>
          </cell>
          <cell r="BP77">
            <v>0.54381421048087719</v>
          </cell>
          <cell r="BQ77">
            <v>133.82300000000001</v>
          </cell>
          <cell r="BR77">
            <v>0.4295801730584341</v>
          </cell>
          <cell r="BS77">
            <v>150.19800000000004</v>
          </cell>
          <cell r="BT77">
            <v>0.472197445674015</v>
          </cell>
          <cell r="BU77">
            <v>160.5920000000001</v>
          </cell>
          <cell r="BV77">
            <v>0.39320539959052003</v>
          </cell>
          <cell r="BW77">
            <v>569.78700000000015</v>
          </cell>
          <cell r="BX77">
            <v>0.4536050124750628</v>
          </cell>
          <cell r="BY77">
            <v>159.107</v>
          </cell>
          <cell r="BZ77">
            <v>0.27108664738683741</v>
          </cell>
          <cell r="CA77">
            <v>172.14599999999999</v>
          </cell>
          <cell r="CB77">
            <v>0.28637080322515551</v>
          </cell>
          <cell r="CC77">
            <v>197.13900000000004</v>
          </cell>
          <cell r="CD77">
            <v>0.31252746374785279</v>
          </cell>
          <cell r="CE77">
            <v>194.18900000000005</v>
          </cell>
          <cell r="CF77">
            <v>0.2092071834213407</v>
          </cell>
          <cell r="CG77">
            <v>722.58100000000013</v>
          </cell>
          <cell r="CH77">
            <v>0.26815985622697602</v>
          </cell>
          <cell r="CI77">
            <v>212</v>
          </cell>
          <cell r="CJ77">
            <v>0.33243666212045975</v>
          </cell>
          <cell r="CK77">
            <v>225.5</v>
          </cell>
          <cell r="CL77">
            <v>0.30993459040581839</v>
          </cell>
          <cell r="CM77">
            <v>243.5</v>
          </cell>
          <cell r="CN77">
            <v>0.23516909388806861</v>
          </cell>
          <cell r="CO77">
            <v>261.5</v>
          </cell>
          <cell r="CP77">
            <v>0.34662622496639828</v>
          </cell>
          <cell r="CQ77">
            <v>942.5</v>
          </cell>
          <cell r="CR77">
            <v>0.30435203804140976</v>
          </cell>
        </row>
        <row r="78">
          <cell r="BY78">
            <v>0.56000000000000005</v>
          </cell>
          <cell r="BZ78" t="e">
            <v>#DIV/0!</v>
          </cell>
          <cell r="CA78">
            <v>0.56000000000000005</v>
          </cell>
          <cell r="CB78" t="e">
            <v>#DIV/0!</v>
          </cell>
          <cell r="CC78">
            <v>0.6</v>
          </cell>
          <cell r="CD78" t="e">
            <v>#DIV/0!</v>
          </cell>
          <cell r="CE78">
            <v>0.67</v>
          </cell>
          <cell r="CF78" t="e">
            <v>#DIV/0!</v>
          </cell>
          <cell r="CG78">
            <v>0.60047483949896274</v>
          </cell>
          <cell r="CH78" t="e">
            <v>#DIV/0!</v>
          </cell>
          <cell r="CI78">
            <v>0.67</v>
          </cell>
          <cell r="CJ78">
            <v>0.59416529217983594</v>
          </cell>
          <cell r="CK78">
            <v>0.65</v>
          </cell>
          <cell r="CL78">
            <v>0.52045979243532514</v>
          </cell>
          <cell r="CM78">
            <v>0.67</v>
          </cell>
          <cell r="CN78">
            <v>0.37927215484167687</v>
          </cell>
          <cell r="CO78">
            <v>0.67</v>
          </cell>
          <cell r="CP78">
            <v>0.34662622496639828</v>
          </cell>
          <cell r="CQ78">
            <v>0.66521485411140591</v>
          </cell>
          <cell r="CR78">
            <v>0.44498036157455023</v>
          </cell>
        </row>
        <row r="79">
          <cell r="BY79">
            <v>0.1</v>
          </cell>
          <cell r="BZ79" t="e">
            <v>#DIV/0!</v>
          </cell>
          <cell r="CA79">
            <v>0.1</v>
          </cell>
          <cell r="CB79" t="e">
            <v>#DIV/0!</v>
          </cell>
          <cell r="CC79">
            <v>0.13</v>
          </cell>
          <cell r="CD79" t="e">
            <v>#DIV/0!</v>
          </cell>
          <cell r="CE79">
            <v>0.12</v>
          </cell>
          <cell r="CF79" t="e">
            <v>#DIV/0!</v>
          </cell>
          <cell r="CG79">
            <v>0.11355965628766879</v>
          </cell>
          <cell r="CH79" t="e">
            <v>#DIV/0!</v>
          </cell>
          <cell r="CI79">
            <v>0.12</v>
          </cell>
          <cell r="CJ79">
            <v>0.5989239945445517</v>
          </cell>
          <cell r="CK79">
            <v>0.12</v>
          </cell>
          <cell r="CL79">
            <v>0.57192150848698176</v>
          </cell>
          <cell r="CM79">
            <v>0.12</v>
          </cell>
          <cell r="CN79">
            <v>0.14015608666590951</v>
          </cell>
          <cell r="CO79">
            <v>0.12</v>
          </cell>
          <cell r="CP79">
            <v>0.34662622496639828</v>
          </cell>
          <cell r="CQ79">
            <v>0.12</v>
          </cell>
          <cell r="CR79">
            <v>0.37832615632850941</v>
          </cell>
        </row>
        <row r="80">
          <cell r="BY80">
            <v>0.66</v>
          </cell>
          <cell r="CA80">
            <v>0.66</v>
          </cell>
          <cell r="CC80">
            <v>0.73</v>
          </cell>
          <cell r="CE80">
            <v>0.79</v>
          </cell>
          <cell r="CG80">
            <v>0.71403449578663158</v>
          </cell>
          <cell r="CI80">
            <v>0.79</v>
          </cell>
          <cell r="CK80">
            <v>0.77</v>
          </cell>
          <cell r="CM80">
            <v>0.79</v>
          </cell>
          <cell r="CO80">
            <v>0.79</v>
          </cell>
          <cell r="CQ80">
            <v>0.7852148541114059</v>
          </cell>
        </row>
        <row r="83">
          <cell r="BO83">
            <v>0.53928339751066512</v>
          </cell>
          <cell r="BQ83">
            <v>0.5611927695538137</v>
          </cell>
          <cell r="BS83">
            <v>0.51182465811795097</v>
          </cell>
          <cell r="BU83">
            <v>0.54034833615622213</v>
          </cell>
          <cell r="BW83">
            <v>0.53749106244965239</v>
          </cell>
          <cell r="BY83">
            <v>0.52</v>
          </cell>
          <cell r="CA83">
            <v>0.52400000000000002</v>
          </cell>
          <cell r="CC83">
            <v>0.53999999999999992</v>
          </cell>
          <cell r="CE83">
            <v>0.55000000000000004</v>
          </cell>
          <cell r="CG83">
            <v>0.53447178101832193</v>
          </cell>
          <cell r="CI83">
            <v>0.57000000000000006</v>
          </cell>
          <cell r="CK83">
            <v>0.56499999999999995</v>
          </cell>
          <cell r="CM83">
            <v>0.57000000000000006</v>
          </cell>
          <cell r="CO83">
            <v>0.57499999999999996</v>
          </cell>
          <cell r="CQ83">
            <v>0.57019098143236069</v>
          </cell>
        </row>
        <row r="84">
          <cell r="BO84">
            <v>0.1857314618051672</v>
          </cell>
          <cell r="BQ84">
            <v>0.21542821488085007</v>
          </cell>
          <cell r="BS84">
            <v>0.2482831995099801</v>
          </cell>
          <cell r="BU84">
            <v>0.25441479027597874</v>
          </cell>
          <cell r="BW84">
            <v>0.22855316109353138</v>
          </cell>
          <cell r="BY84">
            <v>0.28999999999999998</v>
          </cell>
          <cell r="CA84">
            <v>0.29299999999999998</v>
          </cell>
          <cell r="CC84">
            <v>0.27999999999999997</v>
          </cell>
          <cell r="CE84">
            <v>0.28999999999999998</v>
          </cell>
          <cell r="CG84">
            <v>0.28798645134593903</v>
          </cell>
          <cell r="CI84">
            <v>0.28999999999999998</v>
          </cell>
          <cell r="CK84">
            <v>0.28999999999999998</v>
          </cell>
          <cell r="CM84">
            <v>0.28499999999999998</v>
          </cell>
          <cell r="CO84">
            <v>0.28000000000000003</v>
          </cell>
          <cell r="CQ84">
            <v>0.28593368700265254</v>
          </cell>
        </row>
        <row r="85">
          <cell r="BO85">
            <v>0.1698838416923642</v>
          </cell>
          <cell r="BQ85">
            <v>0.11236484012464225</v>
          </cell>
          <cell r="BS85">
            <v>0.14406503415491548</v>
          </cell>
          <cell r="BU85">
            <v>0.11152672611338042</v>
          </cell>
          <cell r="BW85">
            <v>0.13312100837681445</v>
          </cell>
          <cell r="BY85">
            <v>0.12</v>
          </cell>
          <cell r="CA85">
            <v>0.123</v>
          </cell>
          <cell r="CC85">
            <v>0.12999999999999998</v>
          </cell>
          <cell r="CE85">
            <v>0.09</v>
          </cell>
          <cell r="CG85">
            <v>0.11538066735770798</v>
          </cell>
          <cell r="CI85">
            <v>0.08</v>
          </cell>
          <cell r="CK85">
            <v>8.5000000000000006E-2</v>
          </cell>
          <cell r="CM85">
            <v>0.09</v>
          </cell>
          <cell r="CO85">
            <v>0.09</v>
          </cell>
          <cell r="CQ85">
            <v>8.6554376657824936E-2</v>
          </cell>
        </row>
        <row r="86">
          <cell r="BO86">
            <v>0.10510129899180341</v>
          </cell>
          <cell r="BQ86">
            <v>0.11101417544069404</v>
          </cell>
          <cell r="BS86">
            <v>9.5827108217153331E-2</v>
          </cell>
          <cell r="BU86">
            <v>9.3710147454418594E-2</v>
          </cell>
          <cell r="BW86">
            <v>0.1008347680800018</v>
          </cell>
          <cell r="BY86">
            <v>7.0000000000000007E-2</v>
          </cell>
          <cell r="CA86">
            <v>0.06</v>
          </cell>
          <cell r="CC86">
            <v>4.9999999999999996E-2</v>
          </cell>
          <cell r="CE86">
            <v>7.0000000000000007E-2</v>
          </cell>
          <cell r="CG86">
            <v>6.2161100278031109E-2</v>
          </cell>
          <cell r="CI86">
            <v>0.06</v>
          </cell>
          <cell r="CK86">
            <v>0.06</v>
          </cell>
          <cell r="CM86">
            <v>5.5E-2</v>
          </cell>
          <cell r="CO86">
            <v>5.5E-2</v>
          </cell>
          <cell r="CQ86">
            <v>5.7320954907161804E-2</v>
          </cell>
        </row>
        <row r="87">
          <cell r="BO87">
            <v>0</v>
          </cell>
          <cell r="BQ87">
            <v>0</v>
          </cell>
          <cell r="BS87">
            <v>0</v>
          </cell>
          <cell r="BU87">
            <v>0</v>
          </cell>
          <cell r="BW87">
            <v>0</v>
          </cell>
          <cell r="BY87">
            <v>0</v>
          </cell>
          <cell r="CA87">
            <v>0</v>
          </cell>
          <cell r="CC87">
            <v>0</v>
          </cell>
          <cell r="CE87">
            <v>0</v>
          </cell>
          <cell r="CG87">
            <v>0</v>
          </cell>
          <cell r="CI87">
            <v>0</v>
          </cell>
          <cell r="CK87">
            <v>0</v>
          </cell>
          <cell r="CM87">
            <v>0</v>
          </cell>
          <cell r="CO87">
            <v>0</v>
          </cell>
          <cell r="CQ87">
            <v>0</v>
          </cell>
        </row>
        <row r="88">
          <cell r="BO88">
            <v>0</v>
          </cell>
          <cell r="BQ88">
            <v>5.3095711182689073E-17</v>
          </cell>
          <cell r="BS88">
            <v>0</v>
          </cell>
          <cell r="BU88">
            <v>0</v>
          </cell>
          <cell r="BW88">
            <v>1.2470321993308023E-17</v>
          </cell>
          <cell r="BY88">
            <v>0</v>
          </cell>
          <cell r="CA88">
            <v>0</v>
          </cell>
          <cell r="CC88">
            <v>0</v>
          </cell>
          <cell r="CE88">
            <v>0</v>
          </cell>
          <cell r="CG88">
            <v>0</v>
          </cell>
          <cell r="CI88">
            <v>0</v>
          </cell>
          <cell r="CK88">
            <v>0</v>
          </cell>
          <cell r="CM88">
            <v>0</v>
          </cell>
          <cell r="CO88">
            <v>0</v>
          </cell>
          <cell r="CQ88">
            <v>0</v>
          </cell>
        </row>
        <row r="89">
          <cell r="BO89">
            <v>1</v>
          </cell>
          <cell r="BQ89">
            <v>1</v>
          </cell>
          <cell r="BS89">
            <v>1</v>
          </cell>
          <cell r="BU89">
            <v>1</v>
          </cell>
          <cell r="BW89">
            <v>1</v>
          </cell>
          <cell r="BY89">
            <v>1</v>
          </cell>
          <cell r="CA89">
            <v>1</v>
          </cell>
          <cell r="CC89">
            <v>1</v>
          </cell>
          <cell r="CE89">
            <v>1</v>
          </cell>
          <cell r="CG89">
            <v>1</v>
          </cell>
          <cell r="CI89">
            <v>1</v>
          </cell>
          <cell r="CK89">
            <v>1</v>
          </cell>
          <cell r="CM89">
            <v>1</v>
          </cell>
          <cell r="CO89">
            <v>1</v>
          </cell>
          <cell r="CQ89">
            <v>1</v>
          </cell>
        </row>
        <row r="91">
          <cell r="BO91">
            <v>0</v>
          </cell>
          <cell r="BP91" t="str">
            <v xml:space="preserve">      N.M.</v>
          </cell>
          <cell r="BQ91">
            <v>0</v>
          </cell>
          <cell r="BR91" t="str">
            <v xml:space="preserve">      N.M.</v>
          </cell>
          <cell r="BS91">
            <v>0</v>
          </cell>
          <cell r="BT91" t="str">
            <v xml:space="preserve">      N.M.</v>
          </cell>
          <cell r="BU91">
            <v>0</v>
          </cell>
          <cell r="BV91" t="str">
            <v xml:space="preserve">      N.M.</v>
          </cell>
          <cell r="BW91">
            <v>0</v>
          </cell>
          <cell r="BX91" t="e">
            <v>#DIV/0!</v>
          </cell>
          <cell r="BY91">
            <v>0</v>
          </cell>
          <cell r="BZ91" t="str">
            <v xml:space="preserve">      N.M.</v>
          </cell>
          <cell r="CA91">
            <v>0</v>
          </cell>
          <cell r="CB91" t="str">
            <v xml:space="preserve">      N.M.</v>
          </cell>
          <cell r="CC91">
            <v>0</v>
          </cell>
          <cell r="CD91" t="str">
            <v xml:space="preserve">      N.M.</v>
          </cell>
          <cell r="CE91">
            <v>0</v>
          </cell>
          <cell r="CF91" t="str">
            <v xml:space="preserve">      N.M.</v>
          </cell>
          <cell r="CG91">
            <v>0</v>
          </cell>
          <cell r="CH91" t="e">
            <v>#DIV/0!</v>
          </cell>
          <cell r="CI91">
            <v>0</v>
          </cell>
          <cell r="CJ91" t="str">
            <v xml:space="preserve">      N.M.</v>
          </cell>
          <cell r="CK91">
            <v>0</v>
          </cell>
          <cell r="CL91" t="str">
            <v xml:space="preserve">      N.M.</v>
          </cell>
          <cell r="CM91">
            <v>0</v>
          </cell>
          <cell r="CN91" t="str">
            <v xml:space="preserve">      N.M.</v>
          </cell>
          <cell r="CO91">
            <v>0</v>
          </cell>
          <cell r="CP91" t="str">
            <v xml:space="preserve">      N.M.</v>
          </cell>
          <cell r="CQ91">
            <v>0</v>
          </cell>
          <cell r="CR91" t="e">
            <v>#DIV/0!</v>
          </cell>
        </row>
        <row r="93">
          <cell r="BO93" t="str">
            <v>1997R</v>
          </cell>
          <cell r="BW93" t="str">
            <v>1997R</v>
          </cell>
          <cell r="BY93" t="str">
            <v>1998A</v>
          </cell>
          <cell r="CG93" t="str">
            <v>1998A</v>
          </cell>
          <cell r="CI93" t="str">
            <v>1999E</v>
          </cell>
          <cell r="CQ93" t="str">
            <v>1999E</v>
          </cell>
        </row>
        <row r="94">
          <cell r="BO94" t="str">
            <v>1QR</v>
          </cell>
          <cell r="BQ94" t="str">
            <v>2QR</v>
          </cell>
          <cell r="BS94" t="str">
            <v>3QR</v>
          </cell>
          <cell r="BU94" t="str">
            <v>4QR</v>
          </cell>
          <cell r="BW94" t="str">
            <v xml:space="preserve">    Year</v>
          </cell>
          <cell r="BY94" t="str">
            <v>1QA</v>
          </cell>
          <cell r="CA94" t="str">
            <v xml:space="preserve">  2QA</v>
          </cell>
          <cell r="CC94" t="str">
            <v xml:space="preserve">  3QA</v>
          </cell>
          <cell r="CE94" t="str">
            <v xml:space="preserve">  4QA</v>
          </cell>
          <cell r="CG94" t="str">
            <v xml:space="preserve">    Year</v>
          </cell>
          <cell r="CI94" t="str">
            <v xml:space="preserve">   1QE</v>
          </cell>
          <cell r="CK94" t="str">
            <v xml:space="preserve">  2QE</v>
          </cell>
          <cell r="CM94" t="str">
            <v xml:space="preserve">  3QE</v>
          </cell>
          <cell r="CO94" t="str">
            <v xml:space="preserve">  4QE</v>
          </cell>
          <cell r="CQ94" t="str">
            <v xml:space="preserve">    Year</v>
          </cell>
        </row>
        <row r="95">
          <cell r="BO95">
            <v>125.17400000000001</v>
          </cell>
          <cell r="BQ95">
            <v>133.82300000000001</v>
          </cell>
          <cell r="BS95">
            <v>150.19800000000001</v>
          </cell>
          <cell r="BU95">
            <v>160.59200000000007</v>
          </cell>
          <cell r="BW95">
            <v>569.78700000000015</v>
          </cell>
          <cell r="BY95">
            <v>159.107</v>
          </cell>
          <cell r="CA95">
            <v>172.14599999999999</v>
          </cell>
          <cell r="CC95">
            <v>197.13900000000001</v>
          </cell>
          <cell r="CE95">
            <v>194.18900000000005</v>
          </cell>
          <cell r="CG95">
            <v>722.58100000000013</v>
          </cell>
          <cell r="CI95">
            <v>212</v>
          </cell>
          <cell r="CK95">
            <v>225.5</v>
          </cell>
          <cell r="CM95">
            <v>243.5</v>
          </cell>
          <cell r="CO95">
            <v>261.5</v>
          </cell>
          <cell r="CQ95">
            <v>942.5</v>
          </cell>
        </row>
        <row r="96">
          <cell r="BO96">
            <v>0.54381421048087719</v>
          </cell>
          <cell r="BQ96">
            <v>0.4295801730584341</v>
          </cell>
          <cell r="BS96">
            <v>0.47219744567401478</v>
          </cell>
          <cell r="BU96">
            <v>0.39320539959051959</v>
          </cell>
          <cell r="BW96">
            <v>0.4536050124750628</v>
          </cell>
          <cell r="BY96">
            <v>0.27108664738683741</v>
          </cell>
          <cell r="CA96">
            <v>0.28637080322515551</v>
          </cell>
          <cell r="CC96">
            <v>0.31252746374785279</v>
          </cell>
          <cell r="CE96">
            <v>0.20920718342134093</v>
          </cell>
          <cell r="CG96">
            <v>0.26815985622697602</v>
          </cell>
          <cell r="CI96">
            <v>0.33243666212045975</v>
          </cell>
          <cell r="CK96">
            <v>0.30993459040581839</v>
          </cell>
          <cell r="CM96">
            <v>0.23516909388806884</v>
          </cell>
          <cell r="CO96">
            <v>0.34662622496639828</v>
          </cell>
          <cell r="CQ96">
            <v>0.30435203804140976</v>
          </cell>
        </row>
        <row r="97">
          <cell r="BO97">
            <v>0</v>
          </cell>
          <cell r="BQ97">
            <v>0</v>
          </cell>
          <cell r="BS97">
            <v>0</v>
          </cell>
          <cell r="BU97">
            <v>0</v>
          </cell>
          <cell r="BW97">
            <v>0</v>
          </cell>
          <cell r="BY97">
            <v>0</v>
          </cell>
          <cell r="CA97">
            <v>2.2417671102874692E-2</v>
          </cell>
          <cell r="CC97">
            <v>4.9934087005153192E-2</v>
          </cell>
          <cell r="CE97">
            <v>4.358872172960046E-2</v>
          </cell>
          <cell r="CG97">
            <v>3.0713231435606631E-2</v>
          </cell>
          <cell r="CI97">
            <v>4.3995550164354809E-2</v>
          </cell>
          <cell r="CK97">
            <v>2.323609029544689E-2</v>
          </cell>
          <cell r="CM97">
            <v>0</v>
          </cell>
          <cell r="CO97">
            <v>0</v>
          </cell>
          <cell r="CQ97">
            <v>1.5223206810032367E-2</v>
          </cell>
        </row>
        <row r="98">
          <cell r="BO98">
            <v>0</v>
          </cell>
          <cell r="BQ98">
            <v>0</v>
          </cell>
          <cell r="BS98">
            <v>0</v>
          </cell>
          <cell r="BU98">
            <v>0</v>
          </cell>
          <cell r="BW98">
            <v>0</v>
          </cell>
          <cell r="BY98">
            <v>0</v>
          </cell>
          <cell r="CA98">
            <v>0</v>
          </cell>
          <cell r="CC98">
            <v>0</v>
          </cell>
          <cell r="CE98">
            <v>0</v>
          </cell>
          <cell r="CG98">
            <v>0</v>
          </cell>
          <cell r="CI98">
            <v>0</v>
          </cell>
          <cell r="CK98">
            <v>0</v>
          </cell>
          <cell r="CM98">
            <v>0</v>
          </cell>
          <cell r="CO98">
            <v>0</v>
          </cell>
          <cell r="CQ98">
            <v>0</v>
          </cell>
        </row>
        <row r="99">
          <cell r="BO99">
            <v>0.54381421048087719</v>
          </cell>
          <cell r="BQ99">
            <v>0.4295801730584341</v>
          </cell>
          <cell r="BS99">
            <v>0.47219744567401478</v>
          </cell>
          <cell r="BU99">
            <v>0.39320539959051959</v>
          </cell>
          <cell r="BW99">
            <v>0.4536050124750628</v>
          </cell>
          <cell r="BY99">
            <v>0.27108664738683741</v>
          </cell>
          <cell r="CA99">
            <v>0.26395313212228078</v>
          </cell>
          <cell r="CC99">
            <v>0.26259337674269956</v>
          </cell>
          <cell r="CE99">
            <v>0.16561846169174044</v>
          </cell>
          <cell r="CG99">
            <v>0.23744662479136935</v>
          </cell>
          <cell r="CI99">
            <v>0.288441111956105</v>
          </cell>
          <cell r="CK99">
            <v>0.28669850011037146</v>
          </cell>
          <cell r="CM99">
            <v>0.23516909388806884</v>
          </cell>
          <cell r="CO99">
            <v>0.34662622496639828</v>
          </cell>
          <cell r="CQ99">
            <v>0.28912883123137734</v>
          </cell>
        </row>
        <row r="100">
          <cell r="BO100">
            <v>125.17400000000001</v>
          </cell>
          <cell r="BQ100">
            <v>133.82300000000001</v>
          </cell>
          <cell r="BS100">
            <v>150.19800000000001</v>
          </cell>
          <cell r="BU100">
            <v>160.59200000000007</v>
          </cell>
          <cell r="BW100">
            <v>569.78700000000015</v>
          </cell>
          <cell r="BY100">
            <v>159.107</v>
          </cell>
          <cell r="CA100">
            <v>172.14599999999999</v>
          </cell>
          <cell r="CC100">
            <v>197.13900000000001</v>
          </cell>
          <cell r="CE100">
            <v>194.18900000000005</v>
          </cell>
          <cell r="CG100">
            <v>722.58100000000013</v>
          </cell>
          <cell r="CI100">
            <v>212</v>
          </cell>
          <cell r="CK100">
            <v>225.5</v>
          </cell>
          <cell r="CM100">
            <v>243.5</v>
          </cell>
          <cell r="CO100">
            <v>261.5</v>
          </cell>
          <cell r="CQ100">
            <v>942.5</v>
          </cell>
        </row>
        <row r="101">
          <cell r="BO101">
            <v>0.47695927915348213</v>
          </cell>
          <cell r="BQ101">
            <v>0.46066272803865094</v>
          </cell>
          <cell r="BS101">
            <v>0.44570546675454459</v>
          </cell>
          <cell r="BU101">
            <v>0.42048423412166869</v>
          </cell>
          <cell r="BW101">
            <v>0.44800196016144145</v>
          </cell>
          <cell r="BY101">
            <v>0.4074504289338573</v>
          </cell>
          <cell r="CA101">
            <v>0.34676665259035744</v>
          </cell>
          <cell r="CC101">
            <v>0.36739541120835717</v>
          </cell>
          <cell r="CE101">
            <v>0.27941193064113001</v>
          </cell>
          <cell r="CG101">
            <v>0.34552581863321608</v>
          </cell>
          <cell r="CI101">
            <v>0.27976387967147121</v>
          </cell>
          <cell r="CK101">
            <v>0.27532581611632612</v>
          </cell>
          <cell r="CM101">
            <v>0.2488812353153842</v>
          </cell>
          <cell r="CO101">
            <v>0.25612234332906936</v>
          </cell>
          <cell r="CQ101">
            <v>0.26328772801137335</v>
          </cell>
        </row>
        <row r="102">
          <cell r="BO102">
            <v>0</v>
          </cell>
          <cell r="BQ102">
            <v>0</v>
          </cell>
          <cell r="BS102">
            <v>0</v>
          </cell>
          <cell r="BU102">
            <v>0</v>
          </cell>
          <cell r="BW102">
            <v>0</v>
          </cell>
          <cell r="BY102">
            <v>0</v>
          </cell>
          <cell r="CA102">
            <v>3</v>
          </cell>
          <cell r="CC102">
            <v>7.5</v>
          </cell>
          <cell r="CE102">
            <v>7</v>
          </cell>
          <cell r="CG102">
            <v>17.5</v>
          </cell>
          <cell r="CI102">
            <v>7</v>
          </cell>
          <cell r="CK102">
            <v>4</v>
          </cell>
          <cell r="CM102">
            <v>0</v>
          </cell>
          <cell r="CO102">
            <v>0</v>
          </cell>
          <cell r="CQ102">
            <v>11</v>
          </cell>
        </row>
        <row r="103">
          <cell r="BO103">
            <v>0</v>
          </cell>
          <cell r="BQ103">
            <v>0</v>
          </cell>
          <cell r="BS103">
            <v>0</v>
          </cell>
          <cell r="BU103">
            <v>0</v>
          </cell>
          <cell r="BW103">
            <v>0</v>
          </cell>
          <cell r="BY103">
            <v>0</v>
          </cell>
          <cell r="CA103">
            <v>0</v>
          </cell>
          <cell r="CC103">
            <v>0</v>
          </cell>
          <cell r="CE103">
            <v>0</v>
          </cell>
          <cell r="CG103">
            <v>0</v>
          </cell>
          <cell r="CI103">
            <v>0</v>
          </cell>
          <cell r="CK103">
            <v>0</v>
          </cell>
          <cell r="CM103">
            <v>0</v>
          </cell>
          <cell r="CO103">
            <v>0</v>
          </cell>
          <cell r="CQ103">
            <v>0</v>
          </cell>
        </row>
        <row r="104">
          <cell r="BO104">
            <v>81.081000000000003</v>
          </cell>
          <cell r="BQ104">
            <v>93.61</v>
          </cell>
          <cell r="BS104">
            <v>102.023</v>
          </cell>
          <cell r="BU104">
            <v>115.26800000000004</v>
          </cell>
          <cell r="BW104">
            <v>391.98200000000003</v>
          </cell>
          <cell r="BY104">
            <v>125.17400000000001</v>
          </cell>
          <cell r="CA104">
            <v>133.82300000000001</v>
          </cell>
          <cell r="CC104">
            <v>150.19800000000001</v>
          </cell>
          <cell r="CE104">
            <v>160.59200000000007</v>
          </cell>
          <cell r="CG104">
            <v>569.78700000000015</v>
          </cell>
          <cell r="CI104">
            <v>159.107</v>
          </cell>
          <cell r="CK104">
            <v>172.14599999999999</v>
          </cell>
          <cell r="CM104">
            <v>197.13900000000001</v>
          </cell>
          <cell r="CO104">
            <v>194.18900000000005</v>
          </cell>
          <cell r="CQ104">
            <v>722.58100000000013</v>
          </cell>
        </row>
        <row r="107">
          <cell r="BO107">
            <v>0</v>
          </cell>
          <cell r="BQ107">
            <v>0</v>
          </cell>
          <cell r="BS107">
            <v>0</v>
          </cell>
          <cell r="BU107">
            <v>0</v>
          </cell>
          <cell r="BW107">
            <v>0</v>
          </cell>
          <cell r="BY107">
            <v>0</v>
          </cell>
          <cell r="CA107">
            <v>0</v>
          </cell>
          <cell r="CC107">
            <v>0</v>
          </cell>
          <cell r="CE107">
            <v>0</v>
          </cell>
          <cell r="CG107">
            <v>0</v>
          </cell>
          <cell r="CI107">
            <v>0</v>
          </cell>
          <cell r="CK107">
            <v>0</v>
          </cell>
          <cell r="CM107">
            <v>0</v>
          </cell>
          <cell r="CO107">
            <v>0</v>
          </cell>
          <cell r="CQ107">
            <v>0</v>
          </cell>
        </row>
        <row r="108">
          <cell r="BO108">
            <v>0</v>
          </cell>
          <cell r="BQ108">
            <v>0</v>
          </cell>
          <cell r="BS108">
            <v>0</v>
          </cell>
          <cell r="BU108">
            <v>0</v>
          </cell>
          <cell r="BW108">
            <v>0</v>
          </cell>
          <cell r="BY108">
            <v>0</v>
          </cell>
          <cell r="CA108">
            <v>0</v>
          </cell>
          <cell r="CC108">
            <v>0</v>
          </cell>
          <cell r="CE108">
            <v>0</v>
          </cell>
          <cell r="CG108">
            <v>0</v>
          </cell>
          <cell r="CI108">
            <v>0</v>
          </cell>
          <cell r="CK108">
            <v>0</v>
          </cell>
          <cell r="CM108">
            <v>0</v>
          </cell>
          <cell r="CO108">
            <v>0</v>
          </cell>
          <cell r="CQ108">
            <v>0</v>
          </cell>
        </row>
        <row r="109">
          <cell r="BO109">
            <v>0</v>
          </cell>
          <cell r="BQ109">
            <v>0</v>
          </cell>
          <cell r="BS109">
            <v>0</v>
          </cell>
          <cell r="BU109">
            <v>0</v>
          </cell>
          <cell r="BW109">
            <v>0</v>
          </cell>
          <cell r="BY109">
            <v>0</v>
          </cell>
          <cell r="CA109">
            <v>0</v>
          </cell>
          <cell r="CC109">
            <v>0</v>
          </cell>
          <cell r="CE109">
            <v>0</v>
          </cell>
          <cell r="CG109">
            <v>0</v>
          </cell>
          <cell r="CI109">
            <v>0</v>
          </cell>
          <cell r="CK109">
            <v>0</v>
          </cell>
          <cell r="CM109">
            <v>0</v>
          </cell>
          <cell r="CO109">
            <v>0</v>
          </cell>
          <cell r="CQ109">
            <v>0</v>
          </cell>
        </row>
        <row r="110">
          <cell r="BO110">
            <v>0</v>
          </cell>
          <cell r="BQ110">
            <v>0</v>
          </cell>
          <cell r="BS110">
            <v>0</v>
          </cell>
          <cell r="BU110">
            <v>0</v>
          </cell>
          <cell r="BW110">
            <v>0</v>
          </cell>
          <cell r="BY110">
            <v>0</v>
          </cell>
          <cell r="CA110">
            <v>0</v>
          </cell>
          <cell r="CC110">
            <v>0</v>
          </cell>
          <cell r="CE110">
            <v>0</v>
          </cell>
          <cell r="CG110">
            <v>0</v>
          </cell>
          <cell r="CI110">
            <v>0</v>
          </cell>
          <cell r="CK110">
            <v>0</v>
          </cell>
          <cell r="CM110">
            <v>0</v>
          </cell>
          <cell r="CO110">
            <v>0</v>
          </cell>
          <cell r="CQ110">
            <v>0</v>
          </cell>
        </row>
        <row r="111">
          <cell r="BO111">
            <v>0</v>
          </cell>
          <cell r="BQ111">
            <v>0</v>
          </cell>
          <cell r="BS111">
            <v>0</v>
          </cell>
          <cell r="BU111">
            <v>0</v>
          </cell>
          <cell r="BW111">
            <v>0</v>
          </cell>
          <cell r="BY111">
            <v>0</v>
          </cell>
          <cell r="CA111">
            <v>0</v>
          </cell>
          <cell r="CC111">
            <v>0</v>
          </cell>
          <cell r="CE111">
            <v>0</v>
          </cell>
          <cell r="CG111">
            <v>0</v>
          </cell>
          <cell r="CI111">
            <v>0</v>
          </cell>
          <cell r="CK111">
            <v>0</v>
          </cell>
          <cell r="CM111">
            <v>0</v>
          </cell>
          <cell r="CO111">
            <v>0</v>
          </cell>
          <cell r="CQ111">
            <v>0</v>
          </cell>
        </row>
        <row r="112">
          <cell r="BO112">
            <v>0</v>
          </cell>
          <cell r="BQ112">
            <v>0</v>
          </cell>
          <cell r="BS112">
            <v>0</v>
          </cell>
          <cell r="BU112">
            <v>0</v>
          </cell>
          <cell r="BW112">
            <v>0</v>
          </cell>
          <cell r="BY112">
            <v>0</v>
          </cell>
          <cell r="CA112">
            <v>0</v>
          </cell>
          <cell r="CC112">
            <v>0</v>
          </cell>
          <cell r="CE112">
            <v>0</v>
          </cell>
          <cell r="CG112">
            <v>0</v>
          </cell>
          <cell r="CI112">
            <v>0</v>
          </cell>
          <cell r="CK112">
            <v>0</v>
          </cell>
          <cell r="CM112">
            <v>0</v>
          </cell>
          <cell r="CO112">
            <v>0</v>
          </cell>
          <cell r="CQ112">
            <v>0</v>
          </cell>
        </row>
        <row r="113">
          <cell r="BO113">
            <v>0</v>
          </cell>
          <cell r="BQ113">
            <v>0</v>
          </cell>
          <cell r="BS113">
            <v>0</v>
          </cell>
          <cell r="BU113">
            <v>0</v>
          </cell>
          <cell r="BW113">
            <v>0</v>
          </cell>
          <cell r="BY113">
            <v>0</v>
          </cell>
          <cell r="CA113">
            <v>0</v>
          </cell>
          <cell r="CC113">
            <v>0</v>
          </cell>
          <cell r="CE113">
            <v>0</v>
          </cell>
          <cell r="CG113">
            <v>0</v>
          </cell>
          <cell r="CI113">
            <v>0</v>
          </cell>
          <cell r="CK113">
            <v>0</v>
          </cell>
          <cell r="CM113">
            <v>0</v>
          </cell>
          <cell r="CO113">
            <v>0</v>
          </cell>
          <cell r="CQ113">
            <v>0</v>
          </cell>
        </row>
        <row r="114">
          <cell r="BO114">
            <v>0</v>
          </cell>
          <cell r="BQ114">
            <v>0</v>
          </cell>
          <cell r="BS114">
            <v>0</v>
          </cell>
          <cell r="BU114">
            <v>0</v>
          </cell>
          <cell r="BW114">
            <v>0</v>
          </cell>
          <cell r="BY114">
            <v>0</v>
          </cell>
          <cell r="CA114">
            <v>0</v>
          </cell>
          <cell r="CC114">
            <v>0</v>
          </cell>
          <cell r="CE114">
            <v>0</v>
          </cell>
          <cell r="CG114">
            <v>0</v>
          </cell>
          <cell r="CI114">
            <v>0</v>
          </cell>
          <cell r="CK114">
            <v>0</v>
          </cell>
          <cell r="CM114">
            <v>0</v>
          </cell>
          <cell r="CO114">
            <v>0</v>
          </cell>
          <cell r="CQ114">
            <v>0</v>
          </cell>
        </row>
        <row r="115">
          <cell r="BO115">
            <v>0</v>
          </cell>
          <cell r="BQ115">
            <v>0</v>
          </cell>
          <cell r="BS115">
            <v>0</v>
          </cell>
          <cell r="BU115">
            <v>0</v>
          </cell>
          <cell r="BW115">
            <v>0</v>
          </cell>
          <cell r="BY115">
            <v>0</v>
          </cell>
          <cell r="CA115">
            <v>3</v>
          </cell>
          <cell r="CC115">
            <v>7.5</v>
          </cell>
          <cell r="CE115">
            <v>7</v>
          </cell>
          <cell r="CG115">
            <v>17.5</v>
          </cell>
          <cell r="CI115">
            <v>7</v>
          </cell>
          <cell r="CK115">
            <v>4</v>
          </cell>
          <cell r="CM115">
            <v>0</v>
          </cell>
          <cell r="CO115">
            <v>0</v>
          </cell>
          <cell r="CQ115">
            <v>11</v>
          </cell>
        </row>
        <row r="116">
          <cell r="BO116">
            <v>0</v>
          </cell>
          <cell r="BQ116">
            <v>0</v>
          </cell>
          <cell r="BS116">
            <v>0</v>
          </cell>
          <cell r="BU116">
            <v>0</v>
          </cell>
          <cell r="BW116">
            <v>0</v>
          </cell>
          <cell r="BY116">
            <v>0</v>
          </cell>
          <cell r="CA116">
            <v>0</v>
          </cell>
          <cell r="CC116">
            <v>0</v>
          </cell>
          <cell r="CE116">
            <v>0</v>
          </cell>
          <cell r="CG116">
            <v>0</v>
          </cell>
          <cell r="CI116">
            <v>0</v>
          </cell>
          <cell r="CK116">
            <v>0</v>
          </cell>
          <cell r="CM116">
            <v>0</v>
          </cell>
          <cell r="CO116">
            <v>0</v>
          </cell>
          <cell r="CQ116">
            <v>0</v>
          </cell>
        </row>
        <row r="117">
          <cell r="BO117">
            <v>0</v>
          </cell>
          <cell r="BQ117">
            <v>0</v>
          </cell>
          <cell r="BS117">
            <v>0</v>
          </cell>
          <cell r="BU117">
            <v>0</v>
          </cell>
          <cell r="BW117">
            <v>0</v>
          </cell>
          <cell r="BY117">
            <v>0</v>
          </cell>
          <cell r="CA117">
            <v>0</v>
          </cell>
          <cell r="CC117">
            <v>0</v>
          </cell>
          <cell r="CE117">
            <v>0</v>
          </cell>
          <cell r="CG117">
            <v>0</v>
          </cell>
          <cell r="CI117">
            <v>0</v>
          </cell>
          <cell r="CK117">
            <v>0</v>
          </cell>
          <cell r="CM117">
            <v>0</v>
          </cell>
          <cell r="CO117">
            <v>0</v>
          </cell>
          <cell r="CQ117">
            <v>0</v>
          </cell>
        </row>
        <row r="118">
          <cell r="BO118">
            <v>0</v>
          </cell>
          <cell r="BQ118">
            <v>0</v>
          </cell>
          <cell r="BS118">
            <v>0</v>
          </cell>
          <cell r="BU118">
            <v>0</v>
          </cell>
          <cell r="BW118">
            <v>0</v>
          </cell>
          <cell r="BY118">
            <v>0</v>
          </cell>
          <cell r="CA118">
            <v>0</v>
          </cell>
          <cell r="CC118">
            <v>0</v>
          </cell>
          <cell r="CE118">
            <v>0</v>
          </cell>
          <cell r="CG118">
            <v>0</v>
          </cell>
          <cell r="CI118">
            <v>0</v>
          </cell>
          <cell r="CK118">
            <v>0</v>
          </cell>
          <cell r="CM118">
            <v>0</v>
          </cell>
          <cell r="CO118">
            <v>0</v>
          </cell>
          <cell r="CQ118">
            <v>0</v>
          </cell>
        </row>
        <row r="119">
          <cell r="BO119">
            <v>0</v>
          </cell>
          <cell r="BQ119">
            <v>0</v>
          </cell>
          <cell r="BS119">
            <v>0</v>
          </cell>
          <cell r="BU119">
            <v>0</v>
          </cell>
          <cell r="BW119">
            <v>0</v>
          </cell>
          <cell r="BY119">
            <v>0</v>
          </cell>
          <cell r="CA119">
            <v>0</v>
          </cell>
          <cell r="CC119">
            <v>0</v>
          </cell>
          <cell r="CE119">
            <v>0</v>
          </cell>
          <cell r="CG119">
            <v>0</v>
          </cell>
          <cell r="CI119">
            <v>0</v>
          </cell>
          <cell r="CK119">
            <v>0</v>
          </cell>
          <cell r="CM119">
            <v>0</v>
          </cell>
          <cell r="CO119">
            <v>0</v>
          </cell>
          <cell r="CQ119">
            <v>0</v>
          </cell>
        </row>
        <row r="120">
          <cell r="BO120">
            <v>0</v>
          </cell>
          <cell r="BQ120">
            <v>0</v>
          </cell>
          <cell r="BS120">
            <v>0</v>
          </cell>
          <cell r="BU120">
            <v>0</v>
          </cell>
          <cell r="BW120">
            <v>0</v>
          </cell>
          <cell r="BY120">
            <v>0</v>
          </cell>
          <cell r="CA120">
            <v>3</v>
          </cell>
          <cell r="CC120">
            <v>7.5</v>
          </cell>
          <cell r="CE120">
            <v>7</v>
          </cell>
          <cell r="CG120">
            <v>17.5</v>
          </cell>
          <cell r="CI120">
            <v>7</v>
          </cell>
          <cell r="CK120">
            <v>4</v>
          </cell>
          <cell r="CM120">
            <v>0</v>
          </cell>
          <cell r="CO120">
            <v>0</v>
          </cell>
          <cell r="CQ120">
            <v>11</v>
          </cell>
        </row>
        <row r="128">
          <cell r="P128" t="str">
            <v>Sanmina Corporation</v>
          </cell>
        </row>
        <row r="129">
          <cell r="P129" t="str">
            <v>Full Year Revenue Analysis</v>
          </cell>
        </row>
        <row r="130">
          <cell r="P130" t="str">
            <v>($ In Millions Except Per Share Data)</v>
          </cell>
        </row>
        <row r="132">
          <cell r="L132" t="str">
            <v xml:space="preserve">    1995A</v>
          </cell>
          <cell r="M132" t="str">
            <v xml:space="preserve">   % Chg.</v>
          </cell>
          <cell r="N132" t="str">
            <v xml:space="preserve">    1996A</v>
          </cell>
          <cell r="O132" t="str">
            <v xml:space="preserve">   % Chg.</v>
          </cell>
          <cell r="P132" t="str">
            <v xml:space="preserve">    1997A</v>
          </cell>
          <cell r="Q132" t="str">
            <v xml:space="preserve">   % Chg.</v>
          </cell>
          <cell r="R132" t="str">
            <v xml:space="preserve">    1998A</v>
          </cell>
          <cell r="S132" t="str">
            <v xml:space="preserve">   % Chg.</v>
          </cell>
          <cell r="T132" t="str">
            <v xml:space="preserve">    1999E</v>
          </cell>
          <cell r="U132" t="str">
            <v xml:space="preserve">   % Chg.</v>
          </cell>
          <cell r="V132" t="str">
            <v xml:space="preserve">    2000E</v>
          </cell>
          <cell r="W132" t="str">
            <v xml:space="preserve">   % Chg.</v>
          </cell>
        </row>
        <row r="133">
          <cell r="L133">
            <v>271.75700000000001</v>
          </cell>
          <cell r="M133">
            <v>0.28913925191527712</v>
          </cell>
          <cell r="N133">
            <v>391.98200000000003</v>
          </cell>
          <cell r="O133">
            <v>0.4423989078478201</v>
          </cell>
          <cell r="P133">
            <v>559.78700000000015</v>
          </cell>
          <cell r="Q133">
            <v>0.42809363695271752</v>
          </cell>
          <cell r="R133">
            <v>707.58100000000013</v>
          </cell>
          <cell r="S133">
            <v>0.26401827838088399</v>
          </cell>
          <cell r="T133">
            <v>912.5</v>
          </cell>
          <cell r="U133">
            <v>0.28960500635262942</v>
          </cell>
          <cell r="V133">
            <v>1185</v>
          </cell>
          <cell r="W133">
            <v>0.29863013698630136</v>
          </cell>
        </row>
        <row r="134">
          <cell r="L134">
            <v>0</v>
          </cell>
          <cell r="M134" t="str">
            <v xml:space="preserve">      N.M.</v>
          </cell>
          <cell r="N134">
            <v>0</v>
          </cell>
          <cell r="O134" t="str">
            <v xml:space="preserve">      N.M.</v>
          </cell>
          <cell r="P134">
            <v>10</v>
          </cell>
          <cell r="Q134" t="str">
            <v xml:space="preserve">      N.M.</v>
          </cell>
          <cell r="R134">
            <v>15</v>
          </cell>
          <cell r="S134">
            <v>0.5</v>
          </cell>
          <cell r="T134">
            <v>30</v>
          </cell>
          <cell r="U134">
            <v>1</v>
          </cell>
          <cell r="V134">
            <v>50</v>
          </cell>
          <cell r="W134">
            <v>0.66666666666666674</v>
          </cell>
        </row>
        <row r="135">
          <cell r="L135">
            <v>0</v>
          </cell>
          <cell r="M135" t="str">
            <v xml:space="preserve">      N.M.</v>
          </cell>
          <cell r="N135">
            <v>0</v>
          </cell>
          <cell r="O135" t="str">
            <v xml:space="preserve">      N.M.</v>
          </cell>
          <cell r="P135">
            <v>0</v>
          </cell>
          <cell r="Q135" t="str">
            <v xml:space="preserve">      N.M.</v>
          </cell>
          <cell r="R135">
            <v>0</v>
          </cell>
          <cell r="S135" t="str">
            <v xml:space="preserve">      N.M.</v>
          </cell>
          <cell r="T135">
            <v>0</v>
          </cell>
          <cell r="U135" t="str">
            <v xml:space="preserve">      N.M.</v>
          </cell>
          <cell r="V135">
            <v>0</v>
          </cell>
          <cell r="W135" t="str">
            <v xml:space="preserve">      N.M.</v>
          </cell>
        </row>
        <row r="136">
          <cell r="L136">
            <v>0</v>
          </cell>
          <cell r="M136" t="str">
            <v xml:space="preserve">      N.M.</v>
          </cell>
          <cell r="N136">
            <v>0</v>
          </cell>
          <cell r="O136" t="str">
            <v xml:space="preserve">      N.M.</v>
          </cell>
          <cell r="P136">
            <v>0</v>
          </cell>
          <cell r="Q136" t="str">
            <v xml:space="preserve">      N.M.</v>
          </cell>
          <cell r="R136">
            <v>0</v>
          </cell>
          <cell r="S136" t="str">
            <v xml:space="preserve">      N.M.</v>
          </cell>
          <cell r="T136">
            <v>0</v>
          </cell>
          <cell r="U136" t="str">
            <v xml:space="preserve">      N.M.</v>
          </cell>
          <cell r="V136">
            <v>0</v>
          </cell>
          <cell r="W136" t="str">
            <v xml:space="preserve">      N.M.</v>
          </cell>
        </row>
        <row r="137">
          <cell r="L137">
            <v>0</v>
          </cell>
          <cell r="M137" t="str">
            <v xml:space="preserve">      N.M.</v>
          </cell>
          <cell r="N137">
            <v>0</v>
          </cell>
          <cell r="O137" t="str">
            <v xml:space="preserve">      N.M.</v>
          </cell>
          <cell r="P137">
            <v>0</v>
          </cell>
          <cell r="Q137" t="str">
            <v xml:space="preserve">      N.M.</v>
          </cell>
          <cell r="R137">
            <v>0</v>
          </cell>
          <cell r="S137" t="str">
            <v xml:space="preserve">      N.M.</v>
          </cell>
          <cell r="T137">
            <v>0</v>
          </cell>
          <cell r="U137" t="str">
            <v xml:space="preserve">      N.M.</v>
          </cell>
          <cell r="V137">
            <v>0</v>
          </cell>
          <cell r="W137" t="str">
            <v xml:space="preserve">      N.M.</v>
          </cell>
        </row>
        <row r="138">
          <cell r="L138">
            <v>271.75700000000001</v>
          </cell>
          <cell r="M138">
            <v>0.28913925191527712</v>
          </cell>
          <cell r="N138">
            <v>391.98200000000003</v>
          </cell>
          <cell r="O138">
            <v>0.4423989078478201</v>
          </cell>
          <cell r="P138">
            <v>569.78700000000015</v>
          </cell>
          <cell r="Q138">
            <v>0.4536050124750628</v>
          </cell>
          <cell r="R138">
            <v>722.58100000000013</v>
          </cell>
          <cell r="S138">
            <v>0.26815985622697602</v>
          </cell>
          <cell r="T138">
            <v>942.5</v>
          </cell>
          <cell r="U138">
            <v>0.30435203804140976</v>
          </cell>
          <cell r="V138">
            <v>1235</v>
          </cell>
          <cell r="W138">
            <v>0.31034482758620685</v>
          </cell>
        </row>
        <row r="139">
          <cell r="L139">
            <v>271.75700000000001</v>
          </cell>
          <cell r="M139">
            <v>0.28913925191527712</v>
          </cell>
          <cell r="N139">
            <v>391.98200000000003</v>
          </cell>
          <cell r="O139">
            <v>0.4423989078478201</v>
          </cell>
          <cell r="P139">
            <v>569.78700000000015</v>
          </cell>
          <cell r="Q139">
            <v>0.4536050124750628</v>
          </cell>
          <cell r="R139">
            <v>722.58100000000013</v>
          </cell>
          <cell r="S139">
            <v>0.26815985622697602</v>
          </cell>
          <cell r="T139">
            <v>942.5</v>
          </cell>
          <cell r="U139">
            <v>0.30435203804140976</v>
          </cell>
          <cell r="V139">
            <v>1235</v>
          </cell>
          <cell r="W139">
            <v>0.31034482758620685</v>
          </cell>
        </row>
        <row r="141">
          <cell r="L141">
            <v>31.510000000000012</v>
          </cell>
          <cell r="M141" t="str">
            <v xml:space="preserve">     N.M.</v>
          </cell>
          <cell r="N141">
            <v>53.984000000000052</v>
          </cell>
          <cell r="O141">
            <v>0.71323389400190518</v>
          </cell>
          <cell r="P141">
            <v>57.257000000000133</v>
          </cell>
          <cell r="Q141">
            <v>6.0629075281566358E-2</v>
          </cell>
          <cell r="R141">
            <v>107.41400000000013</v>
          </cell>
          <cell r="S141">
            <v>0.8759976946050243</v>
          </cell>
          <cell r="T141">
            <v>153.37024999999988</v>
          </cell>
          <cell r="U141">
            <v>0.42784227381905238</v>
          </cell>
          <cell r="V141">
            <v>196.72150000000002</v>
          </cell>
          <cell r="W141">
            <v>0.28265749061503231</v>
          </cell>
        </row>
        <row r="142">
          <cell r="L142">
            <v>0</v>
          </cell>
          <cell r="M142" t="str">
            <v xml:space="preserve">      N.M.</v>
          </cell>
          <cell r="N142">
            <v>0</v>
          </cell>
          <cell r="O142" t="str">
            <v xml:space="preserve">      N.M.</v>
          </cell>
          <cell r="P142">
            <v>-0.4</v>
          </cell>
          <cell r="Q142" t="str">
            <v xml:space="preserve">      N.M.</v>
          </cell>
          <cell r="R142">
            <v>-7.4999999999999997E-2</v>
          </cell>
          <cell r="S142">
            <v>-0.8125</v>
          </cell>
          <cell r="T142">
            <v>0.6</v>
          </cell>
          <cell r="U142" t="str">
            <v xml:space="preserve">     N.M.</v>
          </cell>
          <cell r="V142">
            <v>2.5</v>
          </cell>
          <cell r="W142">
            <v>3.166666666666667</v>
          </cell>
        </row>
        <row r="143">
          <cell r="L143">
            <v>0</v>
          </cell>
          <cell r="M143" t="str">
            <v xml:space="preserve">      N.M.</v>
          </cell>
          <cell r="N143">
            <v>0</v>
          </cell>
          <cell r="O143" t="str">
            <v xml:space="preserve">      N.M.</v>
          </cell>
          <cell r="P143">
            <v>0</v>
          </cell>
          <cell r="Q143" t="str">
            <v xml:space="preserve">      N.M.</v>
          </cell>
          <cell r="R143">
            <v>0</v>
          </cell>
          <cell r="S143" t="str">
            <v xml:space="preserve">      N.M.</v>
          </cell>
          <cell r="T143">
            <v>0</v>
          </cell>
          <cell r="U143" t="str">
            <v xml:space="preserve">      N.M.</v>
          </cell>
          <cell r="V143">
            <v>0</v>
          </cell>
          <cell r="W143" t="str">
            <v xml:space="preserve">      N.M.</v>
          </cell>
        </row>
        <row r="144">
          <cell r="L144">
            <v>0</v>
          </cell>
          <cell r="M144" t="str">
            <v xml:space="preserve">      N.M.</v>
          </cell>
          <cell r="N144">
            <v>0</v>
          </cell>
          <cell r="O144" t="str">
            <v xml:space="preserve">      N.M.</v>
          </cell>
          <cell r="P144">
            <v>0</v>
          </cell>
          <cell r="Q144" t="str">
            <v xml:space="preserve">      N.M.</v>
          </cell>
          <cell r="R144">
            <v>0</v>
          </cell>
          <cell r="S144" t="str">
            <v xml:space="preserve">      N.M.</v>
          </cell>
          <cell r="T144">
            <v>0</v>
          </cell>
          <cell r="U144" t="str">
            <v xml:space="preserve">      N.M.</v>
          </cell>
          <cell r="V144">
            <v>0</v>
          </cell>
          <cell r="W144" t="str">
            <v xml:space="preserve">      N.M.</v>
          </cell>
        </row>
        <row r="145">
          <cell r="L145">
            <v>0</v>
          </cell>
          <cell r="M145" t="str">
            <v xml:space="preserve">      N.M.</v>
          </cell>
          <cell r="N145">
            <v>0</v>
          </cell>
          <cell r="O145" t="str">
            <v xml:space="preserve">      N.M.</v>
          </cell>
          <cell r="P145">
            <v>0</v>
          </cell>
          <cell r="Q145" t="str">
            <v xml:space="preserve">      N.M.</v>
          </cell>
          <cell r="R145">
            <v>0</v>
          </cell>
          <cell r="S145" t="str">
            <v xml:space="preserve">      N.M.</v>
          </cell>
          <cell r="T145">
            <v>0</v>
          </cell>
          <cell r="U145" t="str">
            <v xml:space="preserve">      N.M.</v>
          </cell>
          <cell r="V145">
            <v>0</v>
          </cell>
          <cell r="W145" t="str">
            <v xml:space="preserve">      N.M.</v>
          </cell>
        </row>
        <row r="146">
          <cell r="L146">
            <v>31.510000000000012</v>
          </cell>
          <cell r="M146" t="str">
            <v xml:space="preserve">     N.M.</v>
          </cell>
          <cell r="N146">
            <v>53.984000000000052</v>
          </cell>
          <cell r="O146">
            <v>0.71323389400190518</v>
          </cell>
          <cell r="P146">
            <v>56.857000000000134</v>
          </cell>
          <cell r="Q146">
            <v>5.3219472436278892E-2</v>
          </cell>
          <cell r="R146">
            <v>107.33900000000013</v>
          </cell>
          <cell r="S146">
            <v>0.88787660270502977</v>
          </cell>
          <cell r="T146">
            <v>153.97024999999988</v>
          </cell>
          <cell r="U146">
            <v>0.43442970402183456</v>
          </cell>
          <cell r="V146">
            <v>199.22150000000002</v>
          </cell>
          <cell r="W146">
            <v>0.29389606108972455</v>
          </cell>
        </row>
        <row r="147">
          <cell r="L147">
            <v>31.510000000000012</v>
          </cell>
          <cell r="M147" t="str">
            <v xml:space="preserve">     N.M.</v>
          </cell>
          <cell r="N147">
            <v>53.984000000000052</v>
          </cell>
          <cell r="O147">
            <v>0.71323389400190518</v>
          </cell>
          <cell r="P147">
            <v>56.857000000000134</v>
          </cell>
          <cell r="Q147">
            <v>5.3219472436278892E-2</v>
          </cell>
          <cell r="R147">
            <v>107.33900000000013</v>
          </cell>
          <cell r="S147">
            <v>0.88787660270502977</v>
          </cell>
          <cell r="T147">
            <v>153.97024999999988</v>
          </cell>
          <cell r="U147">
            <v>0.43442970402183456</v>
          </cell>
          <cell r="V147">
            <v>199.22150000000002</v>
          </cell>
          <cell r="W147">
            <v>0.29389606108972455</v>
          </cell>
        </row>
        <row r="149">
          <cell r="L149">
            <v>0.11594917518224006</v>
          </cell>
          <cell r="N149">
            <v>0.1377206096198296</v>
          </cell>
          <cell r="P149">
            <v>0.10228354713489259</v>
          </cell>
          <cell r="R149">
            <v>0.15180452838614958</v>
          </cell>
          <cell r="T149">
            <v>0.16807698630136975</v>
          </cell>
          <cell r="V149">
            <v>0.16600970464135023</v>
          </cell>
        </row>
        <row r="150">
          <cell r="L150" t="e">
            <v>#DIV/0!</v>
          </cell>
          <cell r="N150">
            <v>0</v>
          </cell>
          <cell r="P150">
            <v>-0.04</v>
          </cell>
          <cell r="R150">
            <v>-5.0000000000000001E-3</v>
          </cell>
          <cell r="T150">
            <v>0.02</v>
          </cell>
          <cell r="V150">
            <v>0.05</v>
          </cell>
        </row>
        <row r="151">
          <cell r="L151" t="e">
            <v>#DIV/0!</v>
          </cell>
          <cell r="N151">
            <v>0</v>
          </cell>
          <cell r="P151">
            <v>0</v>
          </cell>
          <cell r="R151">
            <v>0</v>
          </cell>
          <cell r="T151">
            <v>0</v>
          </cell>
          <cell r="V151">
            <v>0</v>
          </cell>
        </row>
        <row r="152">
          <cell r="L152" t="e">
            <v>#DIV/0!</v>
          </cell>
          <cell r="N152">
            <v>0</v>
          </cell>
          <cell r="P152">
            <v>0</v>
          </cell>
          <cell r="R152">
            <v>0</v>
          </cell>
          <cell r="T152">
            <v>0</v>
          </cell>
          <cell r="V152">
            <v>0</v>
          </cell>
        </row>
        <row r="153">
          <cell r="L153" t="e">
            <v>#DIV/0!</v>
          </cell>
          <cell r="N153">
            <v>0</v>
          </cell>
          <cell r="P153">
            <v>0</v>
          </cell>
          <cell r="R153">
            <v>0</v>
          </cell>
          <cell r="T153">
            <v>0</v>
          </cell>
          <cell r="V153">
            <v>0</v>
          </cell>
        </row>
        <row r="154">
          <cell r="L154">
            <v>0.11594917518224006</v>
          </cell>
          <cell r="N154">
            <v>0.1377206096198296</v>
          </cell>
          <cell r="P154">
            <v>9.9786411413388024E-2</v>
          </cell>
          <cell r="R154">
            <v>0.14854943598018783</v>
          </cell>
          <cell r="T154">
            <v>0.16336366047745346</v>
          </cell>
          <cell r="V154">
            <v>0.16131295546558705</v>
          </cell>
        </row>
        <row r="155">
          <cell r="L155">
            <v>0.11594917518224006</v>
          </cell>
          <cell r="N155">
            <v>0.1377206096198296</v>
          </cell>
          <cell r="P155">
            <v>9.9786411413388024E-2</v>
          </cell>
          <cell r="R155">
            <v>0.14854943598018783</v>
          </cell>
          <cell r="T155">
            <v>0.16336366047745346</v>
          </cell>
          <cell r="V155">
            <v>0.16131295546558705</v>
          </cell>
        </row>
        <row r="157">
          <cell r="L157">
            <v>166.89819</v>
          </cell>
          <cell r="M157">
            <v>-0.20828163468608429</v>
          </cell>
          <cell r="N157">
            <v>216.17180000000002</v>
          </cell>
          <cell r="O157">
            <v>0.29523154205566882</v>
          </cell>
          <cell r="P157">
            <v>306.25542000000019</v>
          </cell>
          <cell r="Q157">
            <v>0.41672234768827465</v>
          </cell>
          <cell r="R157">
            <v>386.19915400000014</v>
          </cell>
          <cell r="S157">
            <v>0.26103614427460542</v>
          </cell>
          <cell r="T157">
            <v>537.40499999999997</v>
          </cell>
          <cell r="U157">
            <v>0.39152298609126368</v>
          </cell>
          <cell r="V157">
            <v>727.27499999999998</v>
          </cell>
          <cell r="W157">
            <v>0.35330895693192277</v>
          </cell>
        </row>
        <row r="158">
          <cell r="L158">
            <v>46.83605</v>
          </cell>
          <cell r="M158" t="str">
            <v xml:space="preserve">      N.M.</v>
          </cell>
          <cell r="N158">
            <v>79.086479999999995</v>
          </cell>
          <cell r="O158">
            <v>0.68858133852022085</v>
          </cell>
          <cell r="P158">
            <v>130.22662</v>
          </cell>
          <cell r="Q158">
            <v>0.64663568286260831</v>
          </cell>
          <cell r="R158">
            <v>208.09353800000002</v>
          </cell>
          <cell r="S158">
            <v>0.59793395543860406</v>
          </cell>
          <cell r="T158">
            <v>269.49250000000001</v>
          </cell>
          <cell r="U158">
            <v>0.29505463067286586</v>
          </cell>
          <cell r="V158">
            <v>345.8</v>
          </cell>
          <cell r="W158">
            <v>0.28315259237270052</v>
          </cell>
        </row>
        <row r="159">
          <cell r="L159">
            <v>36.063380000000002</v>
          </cell>
          <cell r="M159" t="str">
            <v xml:space="preserve">      N.M.</v>
          </cell>
          <cell r="N159">
            <v>64.804479999999998</v>
          </cell>
          <cell r="O159">
            <v>0.79696079513345652</v>
          </cell>
          <cell r="P159">
            <v>75.850619999999992</v>
          </cell>
          <cell r="Q159">
            <v>0.17045333902841286</v>
          </cell>
          <cell r="R159">
            <v>83.371878000000009</v>
          </cell>
          <cell r="S159">
            <v>9.915882032342016E-2</v>
          </cell>
          <cell r="T159">
            <v>81.577500000000001</v>
          </cell>
          <cell r="U159">
            <v>-2.1522581031460097E-2</v>
          </cell>
          <cell r="V159">
            <v>98.8</v>
          </cell>
          <cell r="W159">
            <v>0.21111826177561221</v>
          </cell>
        </row>
        <row r="160">
          <cell r="L160">
            <v>21.118320000000001</v>
          </cell>
          <cell r="M160" t="str">
            <v xml:space="preserve">      N.M.</v>
          </cell>
          <cell r="N160">
            <v>30.765319999999999</v>
          </cell>
          <cell r="O160">
            <v>0.45680717026733175</v>
          </cell>
          <cell r="P160">
            <v>57.454340000000002</v>
          </cell>
          <cell r="Q160">
            <v>0.86750340968337092</v>
          </cell>
          <cell r="R160">
            <v>44.916430000000005</v>
          </cell>
          <cell r="S160">
            <v>-0.21822389744621551</v>
          </cell>
          <cell r="T160">
            <v>54.024999999999999</v>
          </cell>
          <cell r="U160">
            <v>0.20278926887110105</v>
          </cell>
          <cell r="V160">
            <v>63.125</v>
          </cell>
          <cell r="W160">
            <v>0.16844053678852378</v>
          </cell>
        </row>
        <row r="161">
          <cell r="L161">
            <v>0</v>
          </cell>
          <cell r="M161" t="str">
            <v xml:space="preserve">      N.M.</v>
          </cell>
          <cell r="N161">
            <v>0</v>
          </cell>
          <cell r="O161" t="str">
            <v xml:space="preserve">      N.M.</v>
          </cell>
          <cell r="P161">
            <v>0</v>
          </cell>
          <cell r="Q161" t="str">
            <v xml:space="preserve">      N.M.</v>
          </cell>
          <cell r="R161">
            <v>0</v>
          </cell>
          <cell r="S161" t="str">
            <v xml:space="preserve">      N.M.</v>
          </cell>
          <cell r="T161">
            <v>0</v>
          </cell>
          <cell r="U161" t="str">
            <v xml:space="preserve">      N.M.</v>
          </cell>
          <cell r="V161">
            <v>0</v>
          </cell>
          <cell r="W161" t="str">
            <v xml:space="preserve">      N.M.</v>
          </cell>
        </row>
        <row r="162">
          <cell r="L162">
            <v>0.84106000000000003</v>
          </cell>
          <cell r="M162" t="str">
            <v xml:space="preserve">      N.M.</v>
          </cell>
          <cell r="N162">
            <v>1.1539200000000001</v>
          </cell>
          <cell r="O162">
            <v>0.37198297386631163</v>
          </cell>
          <cell r="P162">
            <v>7.1054273576010003E-15</v>
          </cell>
          <cell r="Q162">
            <v>-0.99999999999999389</v>
          </cell>
          <cell r="R162">
            <v>0</v>
          </cell>
          <cell r="S162">
            <v>-1</v>
          </cell>
          <cell r="T162">
            <v>0</v>
          </cell>
          <cell r="U162" t="str">
            <v xml:space="preserve">      N.M.</v>
          </cell>
          <cell r="V162">
            <v>0</v>
          </cell>
          <cell r="W162" t="str">
            <v xml:space="preserve">      N.M.</v>
          </cell>
        </row>
        <row r="163">
          <cell r="L163">
            <v>271.75700000000001</v>
          </cell>
          <cell r="M163">
            <v>0.28913925191527712</v>
          </cell>
          <cell r="N163">
            <v>391.98200000000003</v>
          </cell>
          <cell r="O163">
            <v>0.4423989078478201</v>
          </cell>
          <cell r="P163">
            <v>569.78700000000015</v>
          </cell>
          <cell r="Q163">
            <v>0.4536050124750628</v>
          </cell>
          <cell r="R163">
            <v>722.58100000000013</v>
          </cell>
          <cell r="S163">
            <v>0.26815985622697602</v>
          </cell>
          <cell r="T163">
            <v>942.5</v>
          </cell>
          <cell r="U163">
            <v>0.30435203804140976</v>
          </cell>
          <cell r="V163">
            <v>1235</v>
          </cell>
          <cell r="W163">
            <v>0.31034482758620685</v>
          </cell>
        </row>
        <row r="165">
          <cell r="L165">
            <v>0.61414495302788885</v>
          </cell>
          <cell r="M165">
            <v>-0.20828163468608429</v>
          </cell>
          <cell r="N165">
            <v>0.55148399671413484</v>
          </cell>
          <cell r="O165">
            <v>0.29523154205566882</v>
          </cell>
          <cell r="P165">
            <v>0.53749106244965239</v>
          </cell>
          <cell r="Q165">
            <v>0.41672234768827465</v>
          </cell>
          <cell r="R165">
            <v>0.53447178101832193</v>
          </cell>
          <cell r="S165">
            <v>0.26103614427460542</v>
          </cell>
          <cell r="T165">
            <v>0.57019098143236069</v>
          </cell>
          <cell r="U165">
            <v>0.39152298609126368</v>
          </cell>
          <cell r="V165">
            <v>0.58888663967611332</v>
          </cell>
          <cell r="W165">
            <v>0.35330895693192277</v>
          </cell>
        </row>
        <row r="166">
          <cell r="L166">
            <v>0.17234533057106163</v>
          </cell>
          <cell r="M166" t="str">
            <v xml:space="preserve">      N.M.</v>
          </cell>
          <cell r="N166">
            <v>0.20176048900204599</v>
          </cell>
          <cell r="O166">
            <v>0.68858133852022085</v>
          </cell>
          <cell r="P166">
            <v>0.22855316109353138</v>
          </cell>
          <cell r="Q166">
            <v>0.64663568286260831</v>
          </cell>
          <cell r="R166">
            <v>0.28798645134593903</v>
          </cell>
          <cell r="S166">
            <v>0.59793395543860384</v>
          </cell>
          <cell r="T166">
            <v>0.28593368700265254</v>
          </cell>
          <cell r="U166">
            <v>0.29505463067286608</v>
          </cell>
          <cell r="V166">
            <v>0.28000000000000003</v>
          </cell>
          <cell r="W166">
            <v>0.28315259237270052</v>
          </cell>
        </row>
        <row r="167">
          <cell r="L167">
            <v>0.13270451175130724</v>
          </cell>
          <cell r="M167" t="str">
            <v xml:space="preserve">      N.M.</v>
          </cell>
          <cell r="N167">
            <v>0.16532514248103228</v>
          </cell>
          <cell r="O167">
            <v>0.79696079513345652</v>
          </cell>
          <cell r="P167">
            <v>0.13312100837681445</v>
          </cell>
          <cell r="Q167">
            <v>0.17045333902841286</v>
          </cell>
          <cell r="R167">
            <v>0.11538066735770798</v>
          </cell>
          <cell r="S167">
            <v>9.915882032342016E-2</v>
          </cell>
          <cell r="T167">
            <v>8.6554376657824936E-2</v>
          </cell>
          <cell r="U167">
            <v>-2.1522581031460097E-2</v>
          </cell>
          <cell r="V167">
            <v>0.08</v>
          </cell>
          <cell r="W167">
            <v>0.21111826177561221</v>
          </cell>
        </row>
        <row r="168">
          <cell r="L168">
            <v>7.7710307370187331E-2</v>
          </cell>
          <cell r="M168" t="str">
            <v xml:space="preserve">      N.M.</v>
          </cell>
          <cell r="N168">
            <v>7.8486563158512379E-2</v>
          </cell>
          <cell r="O168">
            <v>0.45680717026733197</v>
          </cell>
          <cell r="P168">
            <v>0.1008347680800018</v>
          </cell>
          <cell r="Q168">
            <v>0.8675034096833707</v>
          </cell>
          <cell r="R168">
            <v>6.2161100278031109E-2</v>
          </cell>
          <cell r="S168">
            <v>-0.21822389744621551</v>
          </cell>
          <cell r="T168">
            <v>5.7320954907161804E-2</v>
          </cell>
          <cell r="U168">
            <v>0.20278926887110105</v>
          </cell>
          <cell r="V168">
            <v>5.1113360323886636E-2</v>
          </cell>
          <cell r="W168">
            <v>0.16844053678852378</v>
          </cell>
        </row>
        <row r="169">
          <cell r="L169">
            <v>0</v>
          </cell>
          <cell r="M169" t="str">
            <v xml:space="preserve">      N.M.</v>
          </cell>
          <cell r="N169">
            <v>0</v>
          </cell>
          <cell r="O169" t="str">
            <v xml:space="preserve">      N.M.</v>
          </cell>
          <cell r="P169">
            <v>0</v>
          </cell>
          <cell r="Q169" t="str">
            <v xml:space="preserve">      N.M.</v>
          </cell>
          <cell r="R169">
            <v>0</v>
          </cell>
          <cell r="S169" t="str">
            <v xml:space="preserve">      N.M.</v>
          </cell>
          <cell r="T169">
            <v>0</v>
          </cell>
          <cell r="U169" t="str">
            <v xml:space="preserve">      N.M.</v>
          </cell>
          <cell r="V169">
            <v>0</v>
          </cell>
          <cell r="W169" t="str">
            <v xml:space="preserve">      N.M.</v>
          </cell>
        </row>
        <row r="170">
          <cell r="L170">
            <v>3.0948972795548967E-3</v>
          </cell>
          <cell r="M170" t="str">
            <v xml:space="preserve">      N.M.</v>
          </cell>
          <cell r="N170">
            <v>2.9438086442744819E-3</v>
          </cell>
          <cell r="O170">
            <v>0.37198297386631163</v>
          </cell>
          <cell r="P170">
            <v>1.2470321993308023E-17</v>
          </cell>
          <cell r="Q170">
            <v>-0.99999999999999389</v>
          </cell>
          <cell r="R170">
            <v>0</v>
          </cell>
          <cell r="S170">
            <v>-1</v>
          </cell>
          <cell r="T170">
            <v>0</v>
          </cell>
          <cell r="U170" t="str">
            <v xml:space="preserve">      N.M.</v>
          </cell>
          <cell r="V170">
            <v>0</v>
          </cell>
          <cell r="W170" t="str">
            <v xml:space="preserve">      N.M.</v>
          </cell>
        </row>
        <row r="171">
          <cell r="L171">
            <v>1</v>
          </cell>
          <cell r="M171">
            <v>0.28913925191527712</v>
          </cell>
          <cell r="N171">
            <v>1</v>
          </cell>
          <cell r="O171">
            <v>0.4423989078478201</v>
          </cell>
          <cell r="P171">
            <v>1</v>
          </cell>
          <cell r="Q171">
            <v>0.4536050124750628</v>
          </cell>
          <cell r="R171">
            <v>1</v>
          </cell>
          <cell r="S171">
            <v>0.26815985622697602</v>
          </cell>
          <cell r="T171">
            <v>1</v>
          </cell>
          <cell r="U171">
            <v>0.30435203804140976</v>
          </cell>
          <cell r="V171">
            <v>1</v>
          </cell>
          <cell r="W171">
            <v>0.31034482758620685</v>
          </cell>
        </row>
        <row r="173">
          <cell r="L173">
            <v>27.349281000000012</v>
          </cell>
          <cell r="M173" t="str">
            <v xml:space="preserve">      N.M.</v>
          </cell>
          <cell r="N173">
            <v>135.36521399999998</v>
          </cell>
          <cell r="O173">
            <v>3.9494980873537378</v>
          </cell>
          <cell r="P173">
            <v>118.717918</v>
          </cell>
          <cell r="Q173">
            <v>-0.12298060563772306</v>
          </cell>
          <cell r="R173">
            <v>110.71861000000001</v>
          </cell>
          <cell r="S173">
            <v>-6.738079756418891E-2</v>
          </cell>
          <cell r="T173">
            <v>115.5</v>
          </cell>
          <cell r="U173">
            <v>4.3185061662172064E-2</v>
          </cell>
          <cell r="V173">
            <v>123.5</v>
          </cell>
          <cell r="W173">
            <v>6.9264069264069361E-2</v>
          </cell>
        </row>
        <row r="174">
          <cell r="L174">
            <v>244.40771899999999</v>
          </cell>
          <cell r="M174" t="str">
            <v xml:space="preserve">      N.M.</v>
          </cell>
          <cell r="N174">
            <v>256.61678599999999</v>
          </cell>
          <cell r="O174">
            <v>4.9953688246646699E-2</v>
          </cell>
          <cell r="P174">
            <v>451.98208199999999</v>
          </cell>
          <cell r="Q174">
            <v>0.76131144437293363</v>
          </cell>
          <cell r="R174">
            <v>611.86239</v>
          </cell>
          <cell r="S174">
            <v>0.35373151805606318</v>
          </cell>
          <cell r="T174">
            <v>827</v>
          </cell>
          <cell r="U174">
            <v>0.35161110327438161</v>
          </cell>
          <cell r="V174">
            <v>1111.5</v>
          </cell>
          <cell r="W174">
            <v>0.34401451027811358</v>
          </cell>
        </row>
        <row r="175">
          <cell r="L175">
            <v>0.8993612639232843</v>
          </cell>
          <cell r="N175">
            <v>0.65466471929833503</v>
          </cell>
          <cell r="P175">
            <v>0.79324744509790479</v>
          </cell>
          <cell r="R175">
            <v>0.84677342747733453</v>
          </cell>
          <cell r="T175">
            <v>0.87745358090185677</v>
          </cell>
          <cell r="V175">
            <v>0.9</v>
          </cell>
        </row>
        <row r="178">
          <cell r="L178">
            <v>35.871924</v>
          </cell>
          <cell r="M178" t="str">
            <v xml:space="preserve">      N.M.</v>
          </cell>
          <cell r="N178">
            <v>51.741624000000009</v>
          </cell>
          <cell r="O178">
            <v>0.4423989078478201</v>
          </cell>
          <cell r="P178">
            <v>48.431895000000019</v>
          </cell>
          <cell r="Q178">
            <v>-6.3966469239542856E-2</v>
          </cell>
          <cell r="R178">
            <v>48.41292700000001</v>
          </cell>
          <cell r="S178">
            <v>-3.916427387367083E-4</v>
          </cell>
          <cell r="T178">
            <v>65.975000000000009</v>
          </cell>
          <cell r="U178">
            <v>0.36275586064027898</v>
          </cell>
          <cell r="V178">
            <v>82.745000000000005</v>
          </cell>
          <cell r="W178">
            <v>0.2541871921182266</v>
          </cell>
        </row>
        <row r="179">
          <cell r="L179">
            <v>59.514783000000001</v>
          </cell>
          <cell r="M179">
            <v>-1.9717027189424585E-2</v>
          </cell>
          <cell r="N179">
            <v>98.779464000000004</v>
          </cell>
          <cell r="O179">
            <v>0.65974668848242302</v>
          </cell>
          <cell r="P179">
            <v>100.85229900000002</v>
          </cell>
          <cell r="Q179">
            <v>2.0984473047960694E-2</v>
          </cell>
          <cell r="R179">
            <v>90.322625000000016</v>
          </cell>
          <cell r="S179">
            <v>-0.10440688119563835</v>
          </cell>
          <cell r="T179">
            <v>98.962499999999991</v>
          </cell>
          <cell r="U179">
            <v>9.5655711954784062E-2</v>
          </cell>
          <cell r="V179">
            <v>104.97500000000001</v>
          </cell>
          <cell r="W179">
            <v>6.0755336617405842E-2</v>
          </cell>
        </row>
        <row r="180">
          <cell r="L180">
            <v>0</v>
          </cell>
          <cell r="M180" t="str">
            <v xml:space="preserve">      N.M.</v>
          </cell>
          <cell r="N180">
            <v>0</v>
          </cell>
          <cell r="O180" t="str">
            <v xml:space="preserve">      N.M.</v>
          </cell>
          <cell r="P180">
            <v>48.431895000000019</v>
          </cell>
          <cell r="Q180" t="str">
            <v xml:space="preserve">      N.M.</v>
          </cell>
          <cell r="R180">
            <v>126.45167500000001</v>
          </cell>
          <cell r="S180">
            <v>1.6109173510555381</v>
          </cell>
          <cell r="T180">
            <v>122.52500000000001</v>
          </cell>
          <cell r="U180">
            <v>-3.1052771740667007E-2</v>
          </cell>
          <cell r="V180">
            <v>160.55000000000001</v>
          </cell>
          <cell r="W180">
            <v>0.31034482758620685</v>
          </cell>
        </row>
        <row r="181">
          <cell r="L181">
            <v>0</v>
          </cell>
          <cell r="M181">
            <v>-1</v>
          </cell>
          <cell r="N181">
            <v>0</v>
          </cell>
          <cell r="O181" t="str">
            <v xml:space="preserve">      N.M.</v>
          </cell>
          <cell r="P181">
            <v>25.640415000000004</v>
          </cell>
          <cell r="Q181" t="str">
            <v xml:space="preserve">      N.M.</v>
          </cell>
          <cell r="R181">
            <v>18.064525000000003</v>
          </cell>
          <cell r="S181">
            <v>-0.29546674654056881</v>
          </cell>
          <cell r="T181">
            <v>46.182500000000005</v>
          </cell>
          <cell r="U181">
            <v>1.556529994561163</v>
          </cell>
          <cell r="V181">
            <v>58.045000000000002</v>
          </cell>
          <cell r="W181">
            <v>0.25686136523574943</v>
          </cell>
        </row>
        <row r="182">
          <cell r="L182">
            <v>0</v>
          </cell>
          <cell r="M182" t="str">
            <v xml:space="preserve">      N.M.</v>
          </cell>
          <cell r="N182">
            <v>0</v>
          </cell>
          <cell r="O182" t="str">
            <v xml:space="preserve">      N.M.</v>
          </cell>
          <cell r="P182">
            <v>25.640415000000004</v>
          </cell>
          <cell r="Q182" t="str">
            <v xml:space="preserve">      N.M.</v>
          </cell>
          <cell r="R182">
            <v>46.967765000000007</v>
          </cell>
          <cell r="S182">
            <v>0.83178645899452097</v>
          </cell>
          <cell r="T182">
            <v>81.997499999999988</v>
          </cell>
          <cell r="U182">
            <v>0.74582503553234814</v>
          </cell>
          <cell r="V182">
            <v>96.33</v>
          </cell>
          <cell r="W182">
            <v>0.17479191438763397</v>
          </cell>
        </row>
        <row r="183">
          <cell r="L183">
            <v>0</v>
          </cell>
          <cell r="M183" t="str">
            <v xml:space="preserve">      N.M.</v>
          </cell>
          <cell r="N183">
            <v>0</v>
          </cell>
          <cell r="O183" t="str">
            <v xml:space="preserve">      N.M.</v>
          </cell>
          <cell r="P183">
            <v>0</v>
          </cell>
          <cell r="Q183" t="str">
            <v xml:space="preserve">      N.M.</v>
          </cell>
          <cell r="R183">
            <v>39.741955000000004</v>
          </cell>
          <cell r="S183" t="str">
            <v xml:space="preserve">      N.M.</v>
          </cell>
          <cell r="T183">
            <v>49.952500000000001</v>
          </cell>
          <cell r="U183">
            <v>0.25692105483990391</v>
          </cell>
          <cell r="V183">
            <v>61.75</v>
          </cell>
          <cell r="W183">
            <v>0.23617436564736494</v>
          </cell>
        </row>
        <row r="184">
          <cell r="L184">
            <v>0</v>
          </cell>
          <cell r="M184">
            <v>-1</v>
          </cell>
          <cell r="N184">
            <v>0</v>
          </cell>
          <cell r="O184" t="str">
            <v xml:space="preserve">      N.M.</v>
          </cell>
          <cell r="P184">
            <v>0</v>
          </cell>
          <cell r="Q184" t="str">
            <v xml:space="preserve">      N.M.</v>
          </cell>
          <cell r="R184">
            <v>0</v>
          </cell>
          <cell r="S184" t="str">
            <v xml:space="preserve">      N.M.</v>
          </cell>
          <cell r="T184">
            <v>0</v>
          </cell>
          <cell r="U184" t="str">
            <v xml:space="preserve">      N.M.</v>
          </cell>
          <cell r="V184">
            <v>0</v>
          </cell>
          <cell r="W184" t="str">
            <v xml:space="preserve">      N.M.</v>
          </cell>
        </row>
        <row r="185">
          <cell r="L185">
            <v>0</v>
          </cell>
          <cell r="M185" t="str">
            <v xml:space="preserve">      N.M.</v>
          </cell>
          <cell r="N185">
            <v>0</v>
          </cell>
          <cell r="O185" t="str">
            <v xml:space="preserve">      N.M.</v>
          </cell>
          <cell r="P185">
            <v>0</v>
          </cell>
          <cell r="Q185" t="str">
            <v xml:space="preserve">      N.M.</v>
          </cell>
          <cell r="R185">
            <v>28.903240000000007</v>
          </cell>
          <cell r="S185" t="str">
            <v xml:space="preserve">      N.M.</v>
          </cell>
          <cell r="T185">
            <v>56.55</v>
          </cell>
          <cell r="U185">
            <v>0.95652805706211419</v>
          </cell>
          <cell r="V185">
            <v>74.099999999999994</v>
          </cell>
          <cell r="W185">
            <v>0.31034482758620685</v>
          </cell>
        </row>
        <row r="186">
          <cell r="P186">
            <v>248.99691900000008</v>
          </cell>
          <cell r="Q186" t="str">
            <v xml:space="preserve">      N.M.</v>
          </cell>
          <cell r="R186">
            <v>330.21951700000005</v>
          </cell>
          <cell r="S186">
            <v>0.32619920891470922</v>
          </cell>
          <cell r="T186">
            <v>465.59499999999997</v>
          </cell>
          <cell r="U186">
            <v>0.40995603236861333</v>
          </cell>
          <cell r="V186">
            <v>0</v>
          </cell>
          <cell r="W186">
            <v>-1</v>
          </cell>
        </row>
        <row r="187">
          <cell r="L187">
            <v>0</v>
          </cell>
          <cell r="M187">
            <v>-1</v>
          </cell>
          <cell r="N187">
            <v>0</v>
          </cell>
          <cell r="O187" t="str">
            <v xml:space="preserve">      N.M.</v>
          </cell>
          <cell r="P187">
            <v>0</v>
          </cell>
          <cell r="Q187" t="str">
            <v xml:space="preserve">      N.M.</v>
          </cell>
          <cell r="R187">
            <v>433.8917100000001</v>
          </cell>
          <cell r="S187" t="str">
            <v xml:space="preserve">      N.M.</v>
          </cell>
          <cell r="T187">
            <v>626.96500000000003</v>
          </cell>
          <cell r="U187">
            <v>0.44498036157455023</v>
          </cell>
          <cell r="V187">
            <v>827.45</v>
          </cell>
          <cell r="W187">
            <v>0.31977064110436793</v>
          </cell>
        </row>
        <row r="188">
          <cell r="L188">
            <v>0</v>
          </cell>
          <cell r="M188" t="str">
            <v xml:space="preserve">      N.M.</v>
          </cell>
          <cell r="N188">
            <v>0</v>
          </cell>
          <cell r="O188" t="str">
            <v xml:space="preserve">      N.M.</v>
          </cell>
          <cell r="P188">
            <v>0</v>
          </cell>
          <cell r="Q188" t="str">
            <v xml:space="preserve">      N.M.</v>
          </cell>
          <cell r="R188">
            <v>515.94776000000013</v>
          </cell>
          <cell r="S188" t="str">
            <v xml:space="preserve">      N.M.</v>
          </cell>
          <cell r="T188">
            <v>740.06500000000005</v>
          </cell>
          <cell r="U188">
            <v>0.43437971317096102</v>
          </cell>
          <cell r="V188">
            <v>975.65000000000009</v>
          </cell>
          <cell r="W188">
            <v>0.31833014667630555</v>
          </cell>
        </row>
        <row r="205">
          <cell r="P205" t="str">
            <v>Sanmina Corporation</v>
          </cell>
        </row>
        <row r="206">
          <cell r="P206" t="str">
            <v>Full Year Income Statements</v>
          </cell>
        </row>
        <row r="207">
          <cell r="P207" t="str">
            <v>($ In Millions Except Per Share Data)</v>
          </cell>
        </row>
        <row r="209">
          <cell r="L209" t="str">
            <v xml:space="preserve">    1995A</v>
          </cell>
          <cell r="M209" t="str">
            <v xml:space="preserve">   % Chg.</v>
          </cell>
          <cell r="N209" t="str">
            <v>1996A</v>
          </cell>
          <cell r="O209" t="str">
            <v xml:space="preserve">   % Chg.</v>
          </cell>
          <cell r="P209" t="str">
            <v>1997A</v>
          </cell>
          <cell r="Q209" t="str">
            <v xml:space="preserve">   % Chg.</v>
          </cell>
          <cell r="R209" t="str">
            <v>1998A</v>
          </cell>
          <cell r="S209" t="str">
            <v xml:space="preserve">   % Chg.</v>
          </cell>
          <cell r="T209" t="str">
            <v>1999E</v>
          </cell>
          <cell r="U209" t="str">
            <v xml:space="preserve">   % Chg.</v>
          </cell>
          <cell r="V209" t="str">
            <v>2000E</v>
          </cell>
          <cell r="W209" t="str">
            <v xml:space="preserve">   % Chg.</v>
          </cell>
        </row>
        <row r="210">
          <cell r="L210">
            <v>271.75700000000001</v>
          </cell>
          <cell r="M210">
            <v>0.28913925191527712</v>
          </cell>
          <cell r="N210">
            <v>391.98200000000003</v>
          </cell>
          <cell r="O210">
            <v>0.4423989078478201</v>
          </cell>
          <cell r="P210">
            <v>569.78700000000015</v>
          </cell>
          <cell r="Q210">
            <v>0.4536050124750628</v>
          </cell>
          <cell r="R210">
            <v>722.58100000000013</v>
          </cell>
          <cell r="S210">
            <v>0.26815985622697602</v>
          </cell>
          <cell r="T210">
            <v>942.5</v>
          </cell>
          <cell r="U210">
            <v>0.30435203804140976</v>
          </cell>
          <cell r="V210">
            <v>1235</v>
          </cell>
          <cell r="W210">
            <v>0.31034482758620685</v>
          </cell>
        </row>
        <row r="212">
          <cell r="L212">
            <v>216.81399999999999</v>
          </cell>
          <cell r="M212">
            <v>0.23557637511682494</v>
          </cell>
          <cell r="N212">
            <v>305.22699999999998</v>
          </cell>
          <cell r="O212">
            <v>0.40778270775872394</v>
          </cell>
          <cell r="P212">
            <v>455.57600000000002</v>
          </cell>
          <cell r="Q212">
            <v>0.49258093156896354</v>
          </cell>
          <cell r="R212">
            <v>563.91300000000001</v>
          </cell>
          <cell r="S212">
            <v>0.23780225472808048</v>
          </cell>
          <cell r="T212">
            <v>738.61050000000012</v>
          </cell>
          <cell r="U212">
            <v>0.30979512797186826</v>
          </cell>
          <cell r="V212">
            <v>976.41049999999996</v>
          </cell>
          <cell r="W212">
            <v>0.32195588879389048</v>
          </cell>
        </row>
        <row r="213">
          <cell r="L213">
            <v>0.79782305515589291</v>
          </cell>
          <cell r="N213">
            <v>0.7786760616558922</v>
          </cell>
          <cell r="P213">
            <v>0.79955492140045303</v>
          </cell>
          <cell r="R213">
            <v>0.78041492926052569</v>
          </cell>
          <cell r="T213">
            <v>0.78367161803713536</v>
          </cell>
          <cell r="V213">
            <v>0.79061578947368416</v>
          </cell>
        </row>
        <row r="214">
          <cell r="L214">
            <v>54.943000000000012</v>
          </cell>
          <cell r="M214">
            <v>0.55518129581929987</v>
          </cell>
          <cell r="N214">
            <v>86.755000000000052</v>
          </cell>
          <cell r="O214">
            <v>0.57900005460204262</v>
          </cell>
          <cell r="P214">
            <v>114.21100000000013</v>
          </cell>
          <cell r="Q214">
            <v>0.3164774364589944</v>
          </cell>
          <cell r="R214">
            <v>158.66800000000012</v>
          </cell>
          <cell r="S214">
            <v>0.38925322429538256</v>
          </cell>
          <cell r="T214">
            <v>203.88949999999988</v>
          </cell>
          <cell r="U214">
            <v>0.2850070587642104</v>
          </cell>
          <cell r="V214">
            <v>258.58950000000004</v>
          </cell>
          <cell r="W214">
            <v>0.26828257462988625</v>
          </cell>
        </row>
        <row r="215">
          <cell r="L215">
            <v>0.20217694484410709</v>
          </cell>
          <cell r="N215">
            <v>0.22132393834410777</v>
          </cell>
          <cell r="P215">
            <v>0.20044507859954702</v>
          </cell>
          <cell r="R215">
            <v>0.21958507073947431</v>
          </cell>
          <cell r="T215">
            <v>0.21632838196286461</v>
          </cell>
          <cell r="V215">
            <v>0.20938421052631581</v>
          </cell>
        </row>
        <row r="216">
          <cell r="L216">
            <v>0.32179419871374249</v>
          </cell>
          <cell r="N216">
            <v>0.26460386774797284</v>
          </cell>
          <cell r="P216">
            <v>0.1544163549956416</v>
          </cell>
          <cell r="R216">
            <v>0.2909603780253151</v>
          </cell>
          <cell r="T216">
            <v>0.20562798121126319</v>
          </cell>
          <cell r="V216">
            <v>0.18700854700854755</v>
          </cell>
        </row>
        <row r="217">
          <cell r="L217">
            <v>21.905999999999999</v>
          </cell>
          <cell r="M217">
            <v>0.12876797031998755</v>
          </cell>
          <cell r="N217">
            <v>29.702999999999999</v>
          </cell>
          <cell r="O217">
            <v>0.3559298822240482</v>
          </cell>
          <cell r="P217">
            <v>44.01</v>
          </cell>
          <cell r="Q217">
            <v>0.48166851833148172</v>
          </cell>
          <cell r="R217">
            <v>43.844999999999999</v>
          </cell>
          <cell r="S217">
            <v>-3.7491479209270651E-3</v>
          </cell>
          <cell r="T217">
            <v>53.035250000000005</v>
          </cell>
          <cell r="U217">
            <v>0.20960770897479764</v>
          </cell>
          <cell r="V217">
            <v>63.787999999999997</v>
          </cell>
          <cell r="W217">
            <v>0.20274722943702517</v>
          </cell>
        </row>
        <row r="218">
          <cell r="L218">
            <v>8.0608779166681993E-2</v>
          </cell>
          <cell r="N218">
            <v>7.5776438714022579E-2</v>
          </cell>
          <cell r="P218">
            <v>7.7239389456059876E-2</v>
          </cell>
          <cell r="R218">
            <v>6.0678318416897192E-2</v>
          </cell>
          <cell r="T218">
            <v>5.6270822281167115E-2</v>
          </cell>
          <cell r="V218">
            <v>5.1650202429149798E-2</v>
          </cell>
        </row>
        <row r="220">
          <cell r="L220">
            <v>0.68599999999999994</v>
          </cell>
          <cell r="M220">
            <v>-0.50397686189443247</v>
          </cell>
          <cell r="N220">
            <v>1.7230000000000001</v>
          </cell>
          <cell r="O220">
            <v>1.5116618075801753</v>
          </cell>
          <cell r="P220">
            <v>2.0059999999999998</v>
          </cell>
          <cell r="Q220">
            <v>0.16424840394660456</v>
          </cell>
          <cell r="R220">
            <v>2.851</v>
          </cell>
          <cell r="S220">
            <v>0.42123629112662031</v>
          </cell>
          <cell r="T220">
            <v>3.2839999999999998</v>
          </cell>
          <cell r="U220">
            <v>0.15187653454928096</v>
          </cell>
          <cell r="V220">
            <v>3.28</v>
          </cell>
          <cell r="W220">
            <v>-1.2180267965895553E-3</v>
          </cell>
        </row>
        <row r="221">
          <cell r="L221">
            <v>2.5243140011112866E-3</v>
          </cell>
          <cell r="N221">
            <v>4.395610002500115E-3</v>
          </cell>
          <cell r="P221">
            <v>3.5206138434186796E-3</v>
          </cell>
          <cell r="R221">
            <v>3.9455784195820253E-3</v>
          </cell>
          <cell r="T221">
            <v>3.4843501326259946E-3</v>
          </cell>
          <cell r="V221">
            <v>2.6558704453441295E-3</v>
          </cell>
        </row>
        <row r="222">
          <cell r="L222">
            <v>32.351000000000013</v>
          </cell>
          <cell r="M222">
            <v>1.2251186463993435</v>
          </cell>
          <cell r="N222">
            <v>55.32900000000005</v>
          </cell>
          <cell r="O222">
            <v>0.71027170721152455</v>
          </cell>
          <cell r="P222">
            <v>68.195000000000135</v>
          </cell>
          <cell r="Q222">
            <v>0.23253628296191997</v>
          </cell>
          <cell r="R222">
            <v>111.97200000000012</v>
          </cell>
          <cell r="S222">
            <v>0.64193855854534654</v>
          </cell>
          <cell r="T222">
            <v>147.57024999999987</v>
          </cell>
          <cell r="U222">
            <v>0.31792099810666685</v>
          </cell>
          <cell r="V222">
            <v>191.52150000000003</v>
          </cell>
          <cell r="W222">
            <v>0.29783272712487907</v>
          </cell>
        </row>
        <row r="223">
          <cell r="L223">
            <v>0.11904385167631382</v>
          </cell>
          <cell r="N223">
            <v>0.14115188962758507</v>
          </cell>
          <cell r="P223">
            <v>0.11968507530006847</v>
          </cell>
          <cell r="R223">
            <v>0.1549611739029951</v>
          </cell>
          <cell r="T223">
            <v>0.15657320954907147</v>
          </cell>
          <cell r="V223">
            <v>0.15507813765182188</v>
          </cell>
        </row>
        <row r="224">
          <cell r="L224">
            <v>0.29222995143719704</v>
          </cell>
          <cell r="N224">
            <v>0.19112497400707035</v>
          </cell>
          <cell r="P224">
            <v>7.2360169848992295E-2</v>
          </cell>
          <cell r="R224">
            <v>0.28650994148984904</v>
          </cell>
          <cell r="T224">
            <v>0.16186982479912956</v>
          </cell>
          <cell r="V224">
            <v>0.1502606837606843</v>
          </cell>
        </row>
        <row r="226">
          <cell r="L226">
            <v>0.84099999999999997</v>
          </cell>
          <cell r="M226">
            <v>-0.48656898656898651</v>
          </cell>
          <cell r="N226">
            <v>1.345</v>
          </cell>
          <cell r="O226">
            <v>0.59928656361474442</v>
          </cell>
          <cell r="P226">
            <v>2.4620000000000002</v>
          </cell>
          <cell r="Q226">
            <v>0.83048327137546485</v>
          </cell>
          <cell r="R226">
            <v>0.68799999999999994</v>
          </cell>
          <cell r="S226">
            <v>-0.72055239642567015</v>
          </cell>
          <cell r="T226">
            <v>-6.4</v>
          </cell>
          <cell r="U226" t="str">
            <v xml:space="preserve">     N.M.</v>
          </cell>
          <cell r="V226">
            <v>-7.6999999999999993</v>
          </cell>
          <cell r="W226">
            <v>0.20312499999999978</v>
          </cell>
        </row>
        <row r="227">
          <cell r="L227">
            <v>0</v>
          </cell>
          <cell r="M227">
            <v>-1</v>
          </cell>
          <cell r="N227">
            <v>0</v>
          </cell>
          <cell r="O227" t="str">
            <v xml:space="preserve">      N.M.</v>
          </cell>
          <cell r="P227">
            <v>8.8759999999999994</v>
          </cell>
          <cell r="Q227" t="str">
            <v xml:space="preserve">      N.M.</v>
          </cell>
          <cell r="R227">
            <v>3.9449999999999998</v>
          </cell>
          <cell r="S227">
            <v>-0.55554303740423605</v>
          </cell>
          <cell r="T227">
            <v>0</v>
          </cell>
          <cell r="U227">
            <v>-1</v>
          </cell>
          <cell r="V227">
            <v>0</v>
          </cell>
          <cell r="W227" t="str">
            <v xml:space="preserve">      N.M.</v>
          </cell>
        </row>
        <row r="228">
          <cell r="L228">
            <v>31.510000000000012</v>
          </cell>
          <cell r="M228" t="str">
            <v xml:space="preserve">     N.M.</v>
          </cell>
          <cell r="N228">
            <v>53.984000000000052</v>
          </cell>
          <cell r="O228">
            <v>0.71323389400190518</v>
          </cell>
          <cell r="P228">
            <v>56.857000000000134</v>
          </cell>
          <cell r="Q228">
            <v>5.3219472436278892E-2</v>
          </cell>
          <cell r="R228">
            <v>107.33900000000013</v>
          </cell>
          <cell r="S228">
            <v>0.88787660270502977</v>
          </cell>
          <cell r="T228">
            <v>153.97024999999988</v>
          </cell>
          <cell r="U228">
            <v>0.43442970402183456</v>
          </cell>
          <cell r="V228">
            <v>199.22150000000002</v>
          </cell>
          <cell r="W228">
            <v>0.29389606108972455</v>
          </cell>
        </row>
        <row r="229">
          <cell r="L229">
            <v>0.11594917518224006</v>
          </cell>
          <cell r="N229">
            <v>0.1377206096198296</v>
          </cell>
          <cell r="P229">
            <v>9.9786411413388024E-2</v>
          </cell>
          <cell r="R229">
            <v>0.14854943598018783</v>
          </cell>
          <cell r="T229">
            <v>0.16336366047745346</v>
          </cell>
          <cell r="V229">
            <v>0.16131295546558705</v>
          </cell>
        </row>
        <row r="231">
          <cell r="L231">
            <v>11.257</v>
          </cell>
          <cell r="M231">
            <v>2.4341061622940821</v>
          </cell>
          <cell r="N231">
            <v>17.419</v>
          </cell>
          <cell r="O231">
            <v>0.54739273341032257</v>
          </cell>
          <cell r="P231">
            <v>26.332000000000001</v>
          </cell>
          <cell r="Q231">
            <v>0.51168264538722075</v>
          </cell>
          <cell r="R231">
            <v>39.188000000000002</v>
          </cell>
          <cell r="S231">
            <v>0.48822725201276018</v>
          </cell>
          <cell r="T231">
            <v>56.199141249999997</v>
          </cell>
          <cell r="U231">
            <v>0.43409056981729077</v>
          </cell>
          <cell r="V231">
            <v>72.71584750000001</v>
          </cell>
          <cell r="W231">
            <v>0.29389606108972366</v>
          </cell>
        </row>
        <row r="232">
          <cell r="L232">
            <v>0.3572516661377339</v>
          </cell>
          <cell r="N232">
            <v>0.32266967990515677</v>
          </cell>
          <cell r="P232">
            <v>0.46312679177585764</v>
          </cell>
          <cell r="R232">
            <v>0.36508631531875607</v>
          </cell>
          <cell r="T232">
            <v>0.36500000000000027</v>
          </cell>
          <cell r="V232">
            <v>0.36499999999999999</v>
          </cell>
        </row>
        <row r="233">
          <cell r="L233">
            <v>0</v>
          </cell>
          <cell r="M233" t="str">
            <v xml:space="preserve">      N.M.</v>
          </cell>
          <cell r="N233">
            <v>0</v>
          </cell>
          <cell r="O233" t="str">
            <v xml:space="preserve">      N.M.</v>
          </cell>
          <cell r="P233">
            <v>0</v>
          </cell>
          <cell r="Q233" t="str">
            <v xml:space="preserve">      N.M.</v>
          </cell>
          <cell r="R233">
            <v>0</v>
          </cell>
          <cell r="S233" t="str">
            <v xml:space="preserve">      N.M.</v>
          </cell>
          <cell r="T233">
            <v>0</v>
          </cell>
          <cell r="U233" t="str">
            <v xml:space="preserve">      N.M.</v>
          </cell>
          <cell r="V233">
            <v>0</v>
          </cell>
          <cell r="W233" t="str">
            <v xml:space="preserve">      N.M.</v>
          </cell>
        </row>
        <row r="234">
          <cell r="L234">
            <v>20.253000000000014</v>
          </cell>
          <cell r="M234" t="str">
            <v xml:space="preserve">     N.M.</v>
          </cell>
          <cell r="N234">
            <v>36.565000000000055</v>
          </cell>
          <cell r="O234">
            <v>0.80541154396879611</v>
          </cell>
          <cell r="P234">
            <v>30.525000000000134</v>
          </cell>
          <cell r="Q234">
            <v>-0.16518528647613595</v>
          </cell>
          <cell r="R234">
            <v>68.151000000000124</v>
          </cell>
          <cell r="S234">
            <v>1.2326289926289871</v>
          </cell>
          <cell r="T234">
            <v>97.771108749999883</v>
          </cell>
          <cell r="U234">
            <v>0.43462471203650277</v>
          </cell>
          <cell r="V234">
            <v>126.50565250000001</v>
          </cell>
          <cell r="W234">
            <v>0.29389606108972521</v>
          </cell>
        </row>
        <row r="235">
          <cell r="L235">
            <v>1.833</v>
          </cell>
          <cell r="M235">
            <v>-0.81971082915314253</v>
          </cell>
          <cell r="N235">
            <v>0</v>
          </cell>
          <cell r="O235">
            <v>-1</v>
          </cell>
          <cell r="P235">
            <v>0</v>
          </cell>
          <cell r="Q235" t="str">
            <v xml:space="preserve">      N.M.</v>
          </cell>
          <cell r="R235">
            <v>0</v>
          </cell>
          <cell r="S235" t="str">
            <v xml:space="preserve">      N.M.</v>
          </cell>
          <cell r="T235">
            <v>0</v>
          </cell>
          <cell r="U235" t="str">
            <v xml:space="preserve">      N.M.</v>
          </cell>
          <cell r="V235">
            <v>0</v>
          </cell>
          <cell r="W235" t="str">
            <v xml:space="preserve">      N.M.</v>
          </cell>
        </row>
        <row r="236">
          <cell r="L236">
            <v>0</v>
          </cell>
          <cell r="M236" t="str">
            <v xml:space="preserve">      N.M.</v>
          </cell>
          <cell r="N236">
            <v>0</v>
          </cell>
          <cell r="O236" t="str">
            <v xml:space="preserve">      N.M.</v>
          </cell>
          <cell r="P236">
            <v>0</v>
          </cell>
          <cell r="Q236" t="str">
            <v xml:space="preserve">      N.M.</v>
          </cell>
          <cell r="R236">
            <v>0</v>
          </cell>
          <cell r="S236" t="str">
            <v xml:space="preserve">      N.M.</v>
          </cell>
          <cell r="T236">
            <v>0</v>
          </cell>
          <cell r="U236" t="str">
            <v xml:space="preserve">      N.M.</v>
          </cell>
          <cell r="V236">
            <v>0</v>
          </cell>
          <cell r="W236" t="str">
            <v xml:space="preserve">      N.M.</v>
          </cell>
        </row>
        <row r="237">
          <cell r="L237">
            <v>22.086000000000013</v>
          </cell>
          <cell r="M237">
            <v>6.6927899686520957</v>
          </cell>
          <cell r="N237">
            <v>36.565000000000055</v>
          </cell>
          <cell r="O237">
            <v>0.65557366657611316</v>
          </cell>
          <cell r="P237">
            <v>30.525000000000134</v>
          </cell>
          <cell r="Q237">
            <v>-0.16518528647613595</v>
          </cell>
          <cell r="R237">
            <v>68.151000000000124</v>
          </cell>
          <cell r="S237">
            <v>1.2326289926289871</v>
          </cell>
          <cell r="T237">
            <v>97.771108749999883</v>
          </cell>
          <cell r="U237">
            <v>0.43462471203650277</v>
          </cell>
          <cell r="V237">
            <v>126.50565250000001</v>
          </cell>
          <cell r="W237">
            <v>0.29389606108972521</v>
          </cell>
        </row>
        <row r="238">
          <cell r="L238">
            <v>0</v>
          </cell>
          <cell r="M238" t="str">
            <v xml:space="preserve">      N.M.</v>
          </cell>
          <cell r="N238">
            <v>0</v>
          </cell>
          <cell r="O238" t="str">
            <v xml:space="preserve">      N.M.</v>
          </cell>
          <cell r="P238">
            <v>0</v>
          </cell>
          <cell r="Q238" t="str">
            <v xml:space="preserve">      N.M.</v>
          </cell>
          <cell r="R238">
            <v>0</v>
          </cell>
          <cell r="S238" t="str">
            <v xml:space="preserve">      N.M.</v>
          </cell>
          <cell r="T238">
            <v>0</v>
          </cell>
          <cell r="U238" t="str">
            <v xml:space="preserve">      N.M.</v>
          </cell>
          <cell r="V238">
            <v>0</v>
          </cell>
          <cell r="W238" t="str">
            <v xml:space="preserve">      N.M.</v>
          </cell>
        </row>
        <row r="239">
          <cell r="L239">
            <v>22.086000000000013</v>
          </cell>
          <cell r="M239">
            <v>6.6927899686520957</v>
          </cell>
          <cell r="N239">
            <v>36.565000000000055</v>
          </cell>
          <cell r="O239">
            <v>0.65557366657611316</v>
          </cell>
          <cell r="P239">
            <v>30.525000000000134</v>
          </cell>
          <cell r="Q239">
            <v>-0.16518528647613595</v>
          </cell>
          <cell r="R239">
            <v>68.151000000000124</v>
          </cell>
          <cell r="S239">
            <v>1.2326289926289871</v>
          </cell>
          <cell r="T239">
            <v>97.771108749999883</v>
          </cell>
          <cell r="U239">
            <v>0.43462471203650277</v>
          </cell>
          <cell r="V239">
            <v>126.50565250000001</v>
          </cell>
          <cell r="W239">
            <v>0.29389606108972521</v>
          </cell>
        </row>
        <row r="240">
          <cell r="L240">
            <v>8.1271135610122322E-2</v>
          </cell>
          <cell r="N240">
            <v>9.3282344597456143E-2</v>
          </cell>
          <cell r="P240">
            <v>5.35726508326798E-2</v>
          </cell>
          <cell r="R240">
            <v>9.4316069755501608E-2</v>
          </cell>
          <cell r="T240">
            <v>0.1037359244031829</v>
          </cell>
          <cell r="V240">
            <v>0.10243372672064778</v>
          </cell>
        </row>
        <row r="242">
          <cell r="L242">
            <v>39.576000000000001</v>
          </cell>
          <cell r="M242">
            <v>0.12457376676517384</v>
          </cell>
          <cell r="N242">
            <v>41.368000000000002</v>
          </cell>
          <cell r="O242">
            <v>4.527996765716602E-2</v>
          </cell>
          <cell r="P242">
            <v>40.432000000000002</v>
          </cell>
          <cell r="Q242">
            <v>-2.2626184490427415E-2</v>
          </cell>
          <cell r="R242">
            <v>42.356000000000002</v>
          </cell>
          <cell r="S242">
            <v>4.7586070439256112E-2</v>
          </cell>
          <cell r="T242">
            <v>52.025000000000006</v>
          </cell>
          <cell r="U242">
            <v>0.22827934649164239</v>
          </cell>
          <cell r="V242">
            <v>50.8</v>
          </cell>
          <cell r="W242">
            <v>-2.3546371936569166E-2</v>
          </cell>
        </row>
        <row r="243">
          <cell r="L243">
            <v>40.781999999999996</v>
          </cell>
          <cell r="M243">
            <v>0.10929169840060915</v>
          </cell>
          <cell r="N243">
            <v>47.927999999999997</v>
          </cell>
          <cell r="O243">
            <v>0.17522436368986316</v>
          </cell>
          <cell r="P243">
            <v>49.426000000000002</v>
          </cell>
          <cell r="Q243">
            <v>3.1255216157569876E-2</v>
          </cell>
          <cell r="R243">
            <v>50.4</v>
          </cell>
          <cell r="S243">
            <v>1.9706227491603556E-2</v>
          </cell>
          <cell r="T243">
            <v>52.025000000000006</v>
          </cell>
          <cell r="U243">
            <v>3.2242063492063711E-2</v>
          </cell>
          <cell r="V243">
            <v>53.3</v>
          </cell>
          <cell r="W243">
            <v>2.4507448342143023E-2</v>
          </cell>
        </row>
        <row r="245">
          <cell r="L245">
            <v>0.51427632908833654</v>
          </cell>
          <cell r="M245" t="str">
            <v xml:space="preserve">     N.M.</v>
          </cell>
          <cell r="N245">
            <v>0.88389576484239218</v>
          </cell>
          <cell r="O245">
            <v>0.71871757428401217</v>
          </cell>
          <cell r="P245">
            <v>0.75497130985358252</v>
          </cell>
          <cell r="Q245">
            <v>-0.14585934237596243</v>
          </cell>
          <cell r="R245">
            <v>1.609004627443573</v>
          </cell>
          <cell r="S245">
            <v>1.1312129433840603</v>
          </cell>
          <cell r="T245">
            <v>1.8793101153291685</v>
          </cell>
          <cell r="U245">
            <v>0.16799546954384059</v>
          </cell>
          <cell r="V245">
            <v>2.4902687500000003</v>
          </cell>
          <cell r="W245">
            <v>0.32509729484631644</v>
          </cell>
        </row>
        <row r="246">
          <cell r="L246">
            <v>0.56059227814837287</v>
          </cell>
          <cell r="M246">
            <v>5.871599948658158</v>
          </cell>
          <cell r="N246">
            <v>0.88389576484239218</v>
          </cell>
          <cell r="O246">
            <v>0.57671769536656026</v>
          </cell>
          <cell r="P246">
            <v>0.75497130985358274</v>
          </cell>
          <cell r="Q246">
            <v>-0.14585934237596221</v>
          </cell>
          <cell r="R246">
            <v>1.609004627443573</v>
          </cell>
          <cell r="S246">
            <v>1.1312129433840594</v>
          </cell>
          <cell r="T246">
            <v>1.8793101153291685</v>
          </cell>
          <cell r="U246">
            <v>0.16799546954384059</v>
          </cell>
          <cell r="V246">
            <v>2.4902687500000003</v>
          </cell>
          <cell r="W246">
            <v>0.32509729484631644</v>
          </cell>
        </row>
        <row r="247">
          <cell r="L247">
            <v>0.50397234073856134</v>
          </cell>
          <cell r="M247" t="str">
            <v xml:space="preserve">     N.M.</v>
          </cell>
          <cell r="N247">
            <v>0.82759556000667844</v>
          </cell>
          <cell r="O247">
            <v>0.64214480261725027</v>
          </cell>
          <cell r="P247">
            <v>0.68132157164245633</v>
          </cell>
          <cell r="Q247">
            <v>-0.17674573841725505</v>
          </cell>
          <cell r="R247">
            <v>1.43156746031746</v>
          </cell>
          <cell r="S247">
            <v>1.1011626813259294</v>
          </cell>
          <cell r="T247">
            <v>1.8793101153291685</v>
          </cell>
          <cell r="U247">
            <v>0.31276392305844847</v>
          </cell>
          <cell r="V247">
            <v>2.373464399624766</v>
          </cell>
          <cell r="W247">
            <v>0.26294451366215554</v>
          </cell>
        </row>
        <row r="248">
          <cell r="L248">
            <v>1.038767103133736</v>
          </cell>
          <cell r="M248">
            <v>0.51286431009027056</v>
          </cell>
          <cell r="N248">
            <v>1.437218327491238</v>
          </cell>
          <cell r="O248">
            <v>0.38358090389603294</v>
          </cell>
          <cell r="P248">
            <v>1.5929267996601006</v>
          </cell>
          <cell r="Q248">
            <v>0.10834016599319485</v>
          </cell>
          <cell r="R248">
            <v>2.6838293650793679</v>
          </cell>
          <cell r="S248">
            <v>0.68484161711137292</v>
          </cell>
          <cell r="T248">
            <v>3.4900576645843318</v>
          </cell>
          <cell r="U248">
            <v>0.30040222004990302</v>
          </cell>
          <cell r="V248">
            <v>3.5932739212007512</v>
          </cell>
          <cell r="W248">
            <v>2.9574369977841686E-2</v>
          </cell>
        </row>
        <row r="249">
          <cell r="L249">
            <v>0</v>
          </cell>
          <cell r="M249" t="str">
            <v xml:space="preserve">      N.M.</v>
          </cell>
          <cell r="N249">
            <v>0</v>
          </cell>
          <cell r="O249" t="str">
            <v xml:space="preserve">      N.M.</v>
          </cell>
          <cell r="P249">
            <v>0</v>
          </cell>
          <cell r="Q249" t="str">
            <v xml:space="preserve">      N.M.</v>
          </cell>
          <cell r="R249">
            <v>0</v>
          </cell>
          <cell r="S249" t="str">
            <v xml:space="preserve">      N.M.</v>
          </cell>
          <cell r="T249">
            <v>0</v>
          </cell>
          <cell r="U249" t="str">
            <v xml:space="preserve">      N.M.</v>
          </cell>
          <cell r="V249">
            <v>0</v>
          </cell>
          <cell r="W249" t="str">
            <v xml:space="preserve">      N.M.</v>
          </cell>
        </row>
        <row r="251">
          <cell r="L251">
            <v>9.6572090330052109</v>
          </cell>
          <cell r="M251">
            <v>-0.24905618286628328</v>
          </cell>
          <cell r="N251">
            <v>8.7038610699212953</v>
          </cell>
          <cell r="O251">
            <v>-9.8718787159486898E-2</v>
          </cell>
          <cell r="P251">
            <v>8.6975181366933949</v>
          </cell>
          <cell r="Q251">
            <v>-7.2874936501687859E-4</v>
          </cell>
          <cell r="R251">
            <v>8.6150144369586155</v>
          </cell>
          <cell r="S251">
            <v>-9.4858899329809399E-3</v>
          </cell>
          <cell r="T251">
            <v>8.8747033697199829</v>
          </cell>
          <cell r="U251">
            <v>3.0143760600945146E-2</v>
          </cell>
          <cell r="V251">
            <v>7.9706979591836733</v>
          </cell>
          <cell r="W251">
            <v>-0.10186316915343085</v>
          </cell>
        </row>
        <row r="252">
          <cell r="L252">
            <v>43.359177500487569</v>
          </cell>
          <cell r="M252">
            <v>0.36629228222184573</v>
          </cell>
          <cell r="N252">
            <v>41.504762973810017</v>
          </cell>
          <cell r="O252">
            <v>-4.2768673982727212E-2</v>
          </cell>
          <cell r="P252">
            <v>40.505030827309149</v>
          </cell>
          <cell r="Q252">
            <v>-2.4087166745939803E-2</v>
          </cell>
          <cell r="R252">
            <v>43.410385825256952</v>
          </cell>
          <cell r="S252">
            <v>7.1728250506328806E-2</v>
          </cell>
          <cell r="T252">
            <v>42.384509283819632</v>
          </cell>
          <cell r="U252">
            <v>-2.3632053065984149E-2</v>
          </cell>
          <cell r="V252">
            <v>46.639676113360323</v>
          </cell>
          <cell r="W252">
            <v>0.10039438704001014</v>
          </cell>
        </row>
        <row r="253">
          <cell r="L253">
            <v>0</v>
          </cell>
          <cell r="N253">
            <v>0</v>
          </cell>
          <cell r="P253">
            <v>0</v>
          </cell>
          <cell r="R253">
            <v>0.60047483949896274</v>
          </cell>
          <cell r="T253">
            <v>0.66521485411140591</v>
          </cell>
          <cell r="V253">
            <v>0.67</v>
          </cell>
        </row>
        <row r="254">
          <cell r="L254">
            <v>0</v>
          </cell>
          <cell r="N254">
            <v>0</v>
          </cell>
          <cell r="P254">
            <v>0</v>
          </cell>
          <cell r="R254">
            <v>0.71403449578663158</v>
          </cell>
          <cell r="T254">
            <v>0.7852148541114059</v>
          </cell>
          <cell r="V254">
            <v>0.79</v>
          </cell>
        </row>
        <row r="255">
          <cell r="L255">
            <v>27.349281000000012</v>
          </cell>
          <cell r="M255" t="str">
            <v xml:space="preserve">      N.M.</v>
          </cell>
          <cell r="N255">
            <v>135.36521399999998</v>
          </cell>
          <cell r="O255">
            <v>3.9494980873537378</v>
          </cell>
          <cell r="P255">
            <v>118.717918</v>
          </cell>
          <cell r="Q255">
            <v>-0.12298060563772306</v>
          </cell>
          <cell r="R255">
            <v>110.71861000000001</v>
          </cell>
          <cell r="S255">
            <v>-6.738079756418891E-2</v>
          </cell>
          <cell r="T255">
            <v>115.5</v>
          </cell>
          <cell r="U255">
            <v>4.3185061662172064E-2</v>
          </cell>
          <cell r="V255">
            <v>123.5</v>
          </cell>
          <cell r="W255">
            <v>6.9264069264069361E-2</v>
          </cell>
        </row>
        <row r="256">
          <cell r="L256">
            <v>244.40771899999999</v>
          </cell>
          <cell r="M256" t="str">
            <v xml:space="preserve">      N.M.</v>
          </cell>
          <cell r="N256">
            <v>256.61678599999999</v>
          </cell>
          <cell r="O256">
            <v>4.9953688246646699E-2</v>
          </cell>
          <cell r="P256">
            <v>451.98208199999999</v>
          </cell>
          <cell r="Q256">
            <v>0.76131144437293363</v>
          </cell>
          <cell r="R256">
            <v>611.86239</v>
          </cell>
          <cell r="S256">
            <v>0.35373151805606318</v>
          </cell>
          <cell r="T256">
            <v>827</v>
          </cell>
          <cell r="U256">
            <v>0.35161110327438161</v>
          </cell>
          <cell r="V256">
            <v>1111.5</v>
          </cell>
          <cell r="W256">
            <v>0.34401451027811358</v>
          </cell>
        </row>
        <row r="263">
          <cell r="F263" t="str">
            <v>Sanmina Corporation</v>
          </cell>
        </row>
        <row r="264">
          <cell r="F264" t="str">
            <v>Statement Of Changes In Fin'l Position</v>
          </cell>
        </row>
        <row r="265">
          <cell r="F265" t="str">
            <v>($ In Millions Except Per Share Data)</v>
          </cell>
        </row>
        <row r="266">
          <cell r="D266" t="str">
            <v>Estimated Restated for Elexsys Acquisition</v>
          </cell>
        </row>
        <row r="267">
          <cell r="B267" t="str">
            <v xml:space="preserve">    1991A</v>
          </cell>
          <cell r="C267" t="str">
            <v xml:space="preserve">    1992A</v>
          </cell>
          <cell r="D267" t="str">
            <v>1993RE</v>
          </cell>
          <cell r="E267" t="str">
            <v>1994RE</v>
          </cell>
          <cell r="F267" t="str">
            <v>1995RE</v>
          </cell>
          <cell r="G267" t="str">
            <v>1996RE</v>
          </cell>
          <cell r="H267" t="str">
            <v>1997RE</v>
          </cell>
          <cell r="I267" t="str">
            <v>1998P</v>
          </cell>
          <cell r="J267" t="str">
            <v>1999E</v>
          </cell>
          <cell r="K267" t="str">
            <v>2000E</v>
          </cell>
        </row>
        <row r="269">
          <cell r="B269">
            <v>-13.233000000000009</v>
          </cell>
          <cell r="C269">
            <v>-14.124000000000006</v>
          </cell>
          <cell r="D269">
            <v>-11.234000000000002</v>
          </cell>
          <cell r="E269">
            <v>2.87099999999998</v>
          </cell>
          <cell r="F269">
            <v>22.086000000000013</v>
          </cell>
          <cell r="G269">
            <v>36.565000000000055</v>
          </cell>
          <cell r="H269">
            <v>30.525000000000134</v>
          </cell>
          <cell r="I269">
            <v>68.151000000000124</v>
          </cell>
          <cell r="J269">
            <v>97.771108749999883</v>
          </cell>
          <cell r="K269">
            <v>126.50565250000001</v>
          </cell>
        </row>
        <row r="270">
          <cell r="B270">
            <v>4.2969999999999997</v>
          </cell>
          <cell r="C270">
            <v>4.274</v>
          </cell>
          <cell r="D270">
            <v>11.794</v>
          </cell>
          <cell r="E270">
            <v>10.704000000000001</v>
          </cell>
          <cell r="F270">
            <v>10.012</v>
          </cell>
          <cell r="G270">
            <v>13.554</v>
          </cell>
          <cell r="H270">
            <v>19.413</v>
          </cell>
          <cell r="I270">
            <v>27.238</v>
          </cell>
          <cell r="J270">
            <v>34</v>
          </cell>
          <cell r="K270">
            <v>37</v>
          </cell>
        </row>
        <row r="271"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B272">
            <v>1.321</v>
          </cell>
          <cell r="C272">
            <v>0.95199999999999996</v>
          </cell>
          <cell r="D272">
            <v>3.8239999999999998</v>
          </cell>
          <cell r="E272">
            <v>6.7519999999999989</v>
          </cell>
          <cell r="F272">
            <v>-1.833</v>
          </cell>
          <cell r="G272">
            <v>0</v>
          </cell>
          <cell r="H272">
            <v>19</v>
          </cell>
          <cell r="I272">
            <v>0</v>
          </cell>
          <cell r="J272">
            <v>0</v>
          </cell>
          <cell r="K272">
            <v>0</v>
          </cell>
        </row>
        <row r="273">
          <cell r="B273">
            <v>1.177</v>
          </cell>
          <cell r="C273">
            <v>1.0579999999999998</v>
          </cell>
          <cell r="D273">
            <v>0.52600000000000002</v>
          </cell>
          <cell r="E273">
            <v>0.27900000000000003</v>
          </cell>
          <cell r="F273">
            <v>0.36099999999999999</v>
          </cell>
          <cell r="G273">
            <v>0.55200000000000005</v>
          </cell>
          <cell r="H273">
            <v>0.5</v>
          </cell>
          <cell r="I273">
            <v>0.5</v>
          </cell>
          <cell r="J273">
            <v>0.5</v>
          </cell>
          <cell r="K273">
            <v>0.5</v>
          </cell>
        </row>
        <row r="274">
          <cell r="B274">
            <v>-6.4380000000000113</v>
          </cell>
          <cell r="C274">
            <v>-7.8400000000000052</v>
          </cell>
          <cell r="D274">
            <v>4.9099999999999984</v>
          </cell>
          <cell r="E274">
            <v>20.60599999999998</v>
          </cell>
          <cell r="F274">
            <v>30.626000000000015</v>
          </cell>
          <cell r="G274">
            <v>50.671000000000056</v>
          </cell>
          <cell r="H274">
            <v>69.43800000000013</v>
          </cell>
          <cell r="I274">
            <v>95.889000000000124</v>
          </cell>
          <cell r="J274">
            <v>132.27110874999988</v>
          </cell>
          <cell r="K274">
            <v>164.0056525</v>
          </cell>
        </row>
        <row r="278">
          <cell r="B278">
            <v>-3.6999999999999998E-2</v>
          </cell>
          <cell r="C278">
            <v>-1.2470000000000001</v>
          </cell>
          <cell r="D278">
            <v>-0.17300000000000004</v>
          </cell>
          <cell r="E278">
            <v>-5.7149999999999999</v>
          </cell>
          <cell r="F278">
            <v>-11.818</v>
          </cell>
          <cell r="G278">
            <v>-8.1199999999999992</v>
          </cell>
          <cell r="H278">
            <v>-26.450000000000003</v>
          </cell>
          <cell r="I278">
            <v>-19.596000000000004</v>
          </cell>
          <cell r="J278">
            <v>-28.069999999999993</v>
          </cell>
          <cell r="K278">
            <v>-35</v>
          </cell>
        </row>
        <row r="279">
          <cell r="B279">
            <v>-0.39100000000000001</v>
          </cell>
          <cell r="C279">
            <v>2.0859999999999999</v>
          </cell>
          <cell r="D279">
            <v>-5.7089999999999996</v>
          </cell>
          <cell r="E279">
            <v>0.36900000000000011</v>
          </cell>
          <cell r="F279">
            <v>-4.4319999999999995</v>
          </cell>
          <cell r="G279">
            <v>-12.066000000000001</v>
          </cell>
          <cell r="H279">
            <v>-19.161999999999999</v>
          </cell>
          <cell r="I279">
            <v>-6.9920000000000044</v>
          </cell>
          <cell r="J279">
            <v>-28.546999999999997</v>
          </cell>
          <cell r="K279">
            <v>-25</v>
          </cell>
        </row>
        <row r="280">
          <cell r="B280">
            <v>1.2E-2</v>
          </cell>
          <cell r="C280">
            <v>-4.9999999999999989E-2</v>
          </cell>
          <cell r="D280">
            <v>0.94799999999999995</v>
          </cell>
          <cell r="E280">
            <v>4.7E-2</v>
          </cell>
          <cell r="F280">
            <v>-2.899999999999997E-2</v>
          </cell>
          <cell r="G280">
            <v>-0.56999999999999995</v>
          </cell>
          <cell r="H280">
            <v>-3.3</v>
          </cell>
          <cell r="I280">
            <v>-8.1130000000000013</v>
          </cell>
          <cell r="J280">
            <v>0</v>
          </cell>
          <cell r="K280">
            <v>0</v>
          </cell>
        </row>
        <row r="282">
          <cell r="B282">
            <v>1.1319999999999999</v>
          </cell>
          <cell r="C282">
            <v>1.69</v>
          </cell>
          <cell r="D282">
            <v>1.03</v>
          </cell>
          <cell r="E282">
            <v>-4.2780000000000005</v>
          </cell>
          <cell r="F282">
            <v>13.689</v>
          </cell>
          <cell r="G282">
            <v>4.5140000000000002</v>
          </cell>
          <cell r="H282">
            <v>23.83</v>
          </cell>
          <cell r="I282">
            <v>24.634999999999991</v>
          </cell>
          <cell r="J282">
            <v>21.5</v>
          </cell>
          <cell r="K282">
            <v>37.5</v>
          </cell>
        </row>
        <row r="283">
          <cell r="B283">
            <v>0</v>
          </cell>
          <cell r="C283">
            <v>0.45700000000000002</v>
          </cell>
          <cell r="D283">
            <v>2.3860000000000001</v>
          </cell>
          <cell r="E283">
            <v>0.15</v>
          </cell>
          <cell r="F283">
            <v>1.042</v>
          </cell>
          <cell r="G283">
            <v>0.432</v>
          </cell>
          <cell r="H283">
            <v>0</v>
          </cell>
          <cell r="I283">
            <v>-0.5</v>
          </cell>
          <cell r="J283">
            <v>0</v>
          </cell>
          <cell r="K283">
            <v>0</v>
          </cell>
        </row>
        <row r="284">
          <cell r="B284">
            <v>-0.74099999999999999</v>
          </cell>
          <cell r="C284">
            <v>0</v>
          </cell>
          <cell r="D284">
            <v>-0.9880000000000001</v>
          </cell>
          <cell r="E284">
            <v>-1.6159999999999999</v>
          </cell>
          <cell r="F284">
            <v>-1.452</v>
          </cell>
          <cell r="G284">
            <v>-1.0009999999999999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</row>
        <row r="285">
          <cell r="B285">
            <v>-2.5000000000000022E-2</v>
          </cell>
          <cell r="C285">
            <v>2.9359999999999995</v>
          </cell>
          <cell r="D285">
            <v>-2.5059999999999989</v>
          </cell>
          <cell r="E285">
            <v>-11.043000000000001</v>
          </cell>
          <cell r="F285">
            <v>-3</v>
          </cell>
          <cell r="G285">
            <v>-16.811</v>
          </cell>
          <cell r="H285">
            <v>-25.082000000000001</v>
          </cell>
          <cell r="I285">
            <v>-10.566000000000017</v>
          </cell>
          <cell r="J285">
            <v>-35.11699999999999</v>
          </cell>
          <cell r="K285">
            <v>-22.5</v>
          </cell>
        </row>
        <row r="286">
          <cell r="B286">
            <v>-6.4630000000000116</v>
          </cell>
          <cell r="C286">
            <v>-4.9040000000000052</v>
          </cell>
          <cell r="D286">
            <v>2.4039999999999995</v>
          </cell>
          <cell r="E286">
            <v>9.5629999999999793</v>
          </cell>
          <cell r="F286">
            <v>27.626000000000015</v>
          </cell>
          <cell r="G286">
            <v>33.860000000000056</v>
          </cell>
          <cell r="H286">
            <v>44.35600000000013</v>
          </cell>
          <cell r="I286">
            <v>85.323000000000107</v>
          </cell>
          <cell r="J286">
            <v>97.154108749999892</v>
          </cell>
          <cell r="K286">
            <v>141.5056525</v>
          </cell>
        </row>
        <row r="289">
          <cell r="B289">
            <v>-3.2690000000000001</v>
          </cell>
          <cell r="C289">
            <v>-2.0550000000000002</v>
          </cell>
          <cell r="D289">
            <v>-7.798</v>
          </cell>
          <cell r="E289">
            <v>-6.7519999999999998</v>
          </cell>
          <cell r="F289">
            <v>-14.608000000000001</v>
          </cell>
          <cell r="G289">
            <v>-29.675000000000001</v>
          </cell>
          <cell r="H289">
            <v>-33.4</v>
          </cell>
          <cell r="I289">
            <v>-34.5</v>
          </cell>
          <cell r="J289">
            <v>-35</v>
          </cell>
          <cell r="K289">
            <v>-37.5</v>
          </cell>
        </row>
        <row r="290"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-9.6210000000000004</v>
          </cell>
          <cell r="G290">
            <v>-6.6869999999999994</v>
          </cell>
          <cell r="H290">
            <v>-6.3550000000000004</v>
          </cell>
          <cell r="I290">
            <v>-31</v>
          </cell>
          <cell r="J290">
            <v>0</v>
          </cell>
          <cell r="K290">
            <v>0</v>
          </cell>
        </row>
        <row r="291">
          <cell r="B291">
            <v>0</v>
          </cell>
          <cell r="C291">
            <v>0</v>
          </cell>
          <cell r="D291">
            <v>0.69</v>
          </cell>
          <cell r="E291">
            <v>7.9000000000000001E-2</v>
          </cell>
          <cell r="F291">
            <v>0.64399999999999991</v>
          </cell>
          <cell r="G291">
            <v>2.7E-2</v>
          </cell>
          <cell r="H291">
            <v>0</v>
          </cell>
          <cell r="I291">
            <v>8</v>
          </cell>
          <cell r="J291">
            <v>0</v>
          </cell>
          <cell r="K291">
            <v>0</v>
          </cell>
        </row>
        <row r="292"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</row>
        <row r="293"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-2.1999999999999999E-2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</row>
        <row r="294">
          <cell r="B294">
            <v>0</v>
          </cell>
          <cell r="C294">
            <v>0</v>
          </cell>
          <cell r="D294">
            <v>10.010999999999999</v>
          </cell>
          <cell r="E294">
            <v>-7.17</v>
          </cell>
          <cell r="F294">
            <v>4.352999999999998</v>
          </cell>
          <cell r="G294">
            <v>-78.538000000000011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</row>
        <row r="295">
          <cell r="B295">
            <v>-3.2690000000000001</v>
          </cell>
          <cell r="C295">
            <v>-2.0550000000000002</v>
          </cell>
          <cell r="D295">
            <v>2.9029999999999987</v>
          </cell>
          <cell r="E295">
            <v>-13.843</v>
          </cell>
          <cell r="F295">
            <v>-19.254000000000001</v>
          </cell>
          <cell r="G295">
            <v>-114.87300000000002</v>
          </cell>
          <cell r="H295">
            <v>-39.754999999999995</v>
          </cell>
          <cell r="I295">
            <v>-57.5</v>
          </cell>
          <cell r="J295">
            <v>-35</v>
          </cell>
          <cell r="K295">
            <v>-37.5</v>
          </cell>
        </row>
        <row r="296">
          <cell r="B296">
            <v>-9.7320000000000118</v>
          </cell>
          <cell r="C296">
            <v>-6.959000000000005</v>
          </cell>
          <cell r="D296">
            <v>5.3069999999999986</v>
          </cell>
          <cell r="E296">
            <v>-4.2800000000000207</v>
          </cell>
          <cell r="F296">
            <v>8.3720000000000141</v>
          </cell>
          <cell r="G296">
            <v>-81.012999999999963</v>
          </cell>
          <cell r="H296">
            <v>4.6010000000001341</v>
          </cell>
          <cell r="I296">
            <v>27.823000000000107</v>
          </cell>
          <cell r="J296">
            <v>62.154108749999892</v>
          </cell>
          <cell r="K296">
            <v>104.0056525</v>
          </cell>
        </row>
        <row r="299">
          <cell r="B299">
            <v>1</v>
          </cell>
          <cell r="C299">
            <v>0</v>
          </cell>
          <cell r="D299">
            <v>-4.431</v>
          </cell>
          <cell r="E299">
            <v>-0.98199999999999976</v>
          </cell>
          <cell r="F299">
            <v>-0.20799999999999999</v>
          </cell>
          <cell r="G299">
            <v>0.51599999999999979</v>
          </cell>
          <cell r="H299">
            <v>0</v>
          </cell>
          <cell r="I299">
            <v>-8.7880000000000003</v>
          </cell>
          <cell r="J299">
            <v>0</v>
          </cell>
          <cell r="K299">
            <v>0</v>
          </cell>
        </row>
        <row r="300">
          <cell r="B300">
            <v>-3.3730000000000002</v>
          </cell>
          <cell r="C300">
            <v>-3.0670000000000002</v>
          </cell>
          <cell r="D300">
            <v>-26.32</v>
          </cell>
          <cell r="E300">
            <v>-4.4999999999999998E-2</v>
          </cell>
          <cell r="F300">
            <v>81.14200000000001</v>
          </cell>
          <cell r="G300">
            <v>-0.748</v>
          </cell>
          <cell r="H300">
            <v>0</v>
          </cell>
          <cell r="I300">
            <v>-99.740000000000009</v>
          </cell>
          <cell r="J300">
            <v>0</v>
          </cell>
          <cell r="K300">
            <v>0</v>
          </cell>
        </row>
        <row r="301">
          <cell r="B301">
            <v>0</v>
          </cell>
          <cell r="C301">
            <v>0</v>
          </cell>
          <cell r="D301">
            <v>20.905000000000001</v>
          </cell>
          <cell r="E301">
            <v>21.858000000000001</v>
          </cell>
          <cell r="F301">
            <v>1.9570000000000001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</row>
        <row r="302"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0.68799999999999994</v>
          </cell>
          <cell r="G302">
            <v>3.6949999999999998</v>
          </cell>
          <cell r="H302">
            <v>11.3</v>
          </cell>
          <cell r="I302">
            <v>172.33500000000001</v>
          </cell>
          <cell r="J302">
            <v>0</v>
          </cell>
          <cell r="K302">
            <v>0</v>
          </cell>
        </row>
        <row r="303">
          <cell r="B303">
            <v>2.7E-2</v>
          </cell>
          <cell r="C303">
            <v>5.0000000000000001E-3</v>
          </cell>
          <cell r="D303">
            <v>3.5000000000000003E-2</v>
          </cell>
          <cell r="E303">
            <v>9.2999999999999999E-2</v>
          </cell>
          <cell r="F303">
            <v>0</v>
          </cell>
          <cell r="G303">
            <v>0</v>
          </cell>
          <cell r="H303">
            <v>-5.25</v>
          </cell>
          <cell r="I303">
            <v>0</v>
          </cell>
          <cell r="J303">
            <v>0</v>
          </cell>
          <cell r="K303">
            <v>0</v>
          </cell>
        </row>
        <row r="304">
          <cell r="B304">
            <v>-2.3460000000000001</v>
          </cell>
          <cell r="C304">
            <v>-3.0620000000000003</v>
          </cell>
          <cell r="D304">
            <v>-9.8109999999999999</v>
          </cell>
          <cell r="E304">
            <v>20.923999999999999</v>
          </cell>
          <cell r="F304">
            <v>83.579000000000008</v>
          </cell>
          <cell r="G304">
            <v>3.4629999999999996</v>
          </cell>
          <cell r="H304">
            <v>6.0500000000000007</v>
          </cell>
          <cell r="I304">
            <v>63.807000000000002</v>
          </cell>
          <cell r="J304">
            <v>0</v>
          </cell>
          <cell r="K304">
            <v>0</v>
          </cell>
        </row>
        <row r="306">
          <cell r="B306">
            <v>-12.078000000000012</v>
          </cell>
          <cell r="C306">
            <v>-10.021000000000004</v>
          </cell>
          <cell r="D306">
            <v>-4.5040000000000013</v>
          </cell>
          <cell r="E306">
            <v>16.643999999999977</v>
          </cell>
          <cell r="F306">
            <v>91.951000000000022</v>
          </cell>
          <cell r="G306">
            <v>-77.549999999999969</v>
          </cell>
          <cell r="H306">
            <v>10.651000000000135</v>
          </cell>
          <cell r="I306">
            <v>91.630000000000109</v>
          </cell>
          <cell r="J306">
            <v>62.154108749999892</v>
          </cell>
          <cell r="K306">
            <v>104.0056525</v>
          </cell>
        </row>
        <row r="307">
          <cell r="B307">
            <v>2.0049999999999999</v>
          </cell>
          <cell r="C307">
            <v>-10.073000000000011</v>
          </cell>
          <cell r="D307">
            <v>7.5280000000000058</v>
          </cell>
          <cell r="E307">
            <v>3.0240000000000045</v>
          </cell>
          <cell r="F307">
            <v>19.667999999999981</v>
          </cell>
          <cell r="G307">
            <v>111.619</v>
          </cell>
          <cell r="H307">
            <v>34.069000000000031</v>
          </cell>
          <cell r="I307">
            <v>44.720000000000169</v>
          </cell>
          <cell r="J307">
            <v>136.35000000000028</v>
          </cell>
          <cell r="K307">
            <v>198.50410875000017</v>
          </cell>
        </row>
        <row r="308">
          <cell r="B308">
            <v>-10.073000000000011</v>
          </cell>
          <cell r="C308">
            <v>7.5280000000000058</v>
          </cell>
          <cell r="D308">
            <v>3.0240000000000045</v>
          </cell>
          <cell r="E308">
            <v>19.667999999999981</v>
          </cell>
          <cell r="F308">
            <v>111.619</v>
          </cell>
          <cell r="G308">
            <v>34.069000000000031</v>
          </cell>
          <cell r="H308">
            <v>44.720000000000169</v>
          </cell>
          <cell r="I308">
            <v>136.35000000000028</v>
          </cell>
          <cell r="J308">
            <v>198.50410875000017</v>
          </cell>
          <cell r="K308">
            <v>302.50976125000017</v>
          </cell>
        </row>
        <row r="311">
          <cell r="B311">
            <v>-0.4094935038273167</v>
          </cell>
          <cell r="C311">
            <v>-0.45211774706743146</v>
          </cell>
          <cell r="D311">
            <v>2.0898579195165811E-2</v>
          </cell>
          <cell r="E311">
            <v>0.3857410775176171</v>
          </cell>
          <cell r="F311">
            <v>0.8110470992520723</v>
          </cell>
          <cell r="G311">
            <v>1.2115403210210804</v>
          </cell>
          <cell r="H311">
            <v>1.2351108033241029</v>
          </cell>
          <cell r="I311">
            <v>2.252077627726889</v>
          </cell>
          <cell r="J311">
            <v>2.5328420711196515</v>
          </cell>
          <cell r="K311">
            <v>3.2186152066929137</v>
          </cell>
        </row>
        <row r="312">
          <cell r="B312">
            <v>-0.55929590579816457</v>
          </cell>
          <cell r="C312">
            <v>-0.54644282018657575</v>
          </cell>
          <cell r="D312">
            <v>-0.27011413609751878</v>
          </cell>
          <cell r="E312">
            <v>0.19387929074789673</v>
          </cell>
          <cell r="F312">
            <v>0.44193450576106763</v>
          </cell>
          <cell r="G312">
            <v>0.49419841423322508</v>
          </cell>
          <cell r="H312">
            <v>0.40903244954491813</v>
          </cell>
          <cell r="I312">
            <v>1.4375531211634744</v>
          </cell>
          <cell r="J312">
            <v>1.8600885872176813</v>
          </cell>
          <cell r="K312">
            <v>2.4804262303149609</v>
          </cell>
        </row>
        <row r="313">
          <cell r="B313">
            <v>-0.56044153444584621</v>
          </cell>
          <cell r="C313">
            <v>-0.41167960136525816</v>
          </cell>
          <cell r="D313">
            <v>-0.36363527799588596</v>
          </cell>
          <cell r="E313">
            <v>-0.1199136167310758</v>
          </cell>
          <cell r="F313">
            <v>0.36613098847786568</v>
          </cell>
          <cell r="G313">
            <v>8.7821504544576864E-2</v>
          </cell>
          <cell r="H313">
            <v>-0.21131776810446845</v>
          </cell>
          <cell r="I313">
            <v>1.1880961375011829</v>
          </cell>
          <cell r="J313">
            <v>1.1850861845266676</v>
          </cell>
          <cell r="K313">
            <v>2.0375128444881891</v>
          </cell>
        </row>
        <row r="314"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</row>
        <row r="315">
          <cell r="B315">
            <v>0</v>
          </cell>
          <cell r="C315">
            <v>0.17602756954351281</v>
          </cell>
          <cell r="D315">
            <v>2.2727204874743039E-2</v>
          </cell>
          <cell r="E315">
            <v>0.77892702887019716</v>
          </cell>
          <cell r="F315">
            <v>2.9060541742470183</v>
          </cell>
          <cell r="G315">
            <v>2.8045107329336685</v>
          </cell>
          <cell r="H315">
            <v>3.0458300356153538</v>
          </cell>
          <cell r="I315">
            <v>3.6033147606006235</v>
          </cell>
          <cell r="J315">
            <v>4.1283250120134509</v>
          </cell>
          <cell r="K315">
            <v>6.2752315206692879</v>
          </cell>
        </row>
        <row r="323">
          <cell r="F323" t="str">
            <v>Sanmina Corporation</v>
          </cell>
        </row>
        <row r="324">
          <cell r="F324" t="str">
            <v>Balance Sheet</v>
          </cell>
        </row>
        <row r="325">
          <cell r="F325" t="str">
            <v>($ In Millions Except Per Share Data)</v>
          </cell>
        </row>
        <row r="328">
          <cell r="B328" t="str">
            <v xml:space="preserve">    1991A</v>
          </cell>
          <cell r="C328" t="str">
            <v xml:space="preserve">    1992A</v>
          </cell>
          <cell r="D328" t="str">
            <v xml:space="preserve">    1993A</v>
          </cell>
          <cell r="E328" t="str">
            <v>1994RE</v>
          </cell>
          <cell r="F328" t="str">
            <v>1995RE</v>
          </cell>
          <cell r="G328" t="str">
            <v>1996R</v>
          </cell>
          <cell r="H328" t="str">
            <v>1997R</v>
          </cell>
          <cell r="I328" t="str">
            <v>1998A</v>
          </cell>
          <cell r="J328" t="str">
            <v>1999E</v>
          </cell>
          <cell r="K328" t="str">
            <v>2000E</v>
          </cell>
        </row>
        <row r="331">
          <cell r="C331">
            <v>3.8350000000000057</v>
          </cell>
          <cell r="D331">
            <v>0.60900000000000443</v>
          </cell>
          <cell r="E331">
            <v>27.411999999999978</v>
          </cell>
          <cell r="F331">
            <v>115.01</v>
          </cell>
          <cell r="G331">
            <v>116.017</v>
          </cell>
          <cell r="H331">
            <v>123.149</v>
          </cell>
          <cell r="I331">
            <v>152.62200000000001</v>
          </cell>
          <cell r="J331">
            <v>214.77610874999982</v>
          </cell>
          <cell r="K331">
            <v>318.78176124999982</v>
          </cell>
        </row>
        <row r="332">
          <cell r="C332">
            <v>9.7919999999999998</v>
          </cell>
          <cell r="D332">
            <v>11.204000000000001</v>
          </cell>
          <cell r="E332">
            <v>25.962000000000003</v>
          </cell>
          <cell r="F332">
            <v>39.5</v>
          </cell>
          <cell r="G332">
            <v>50.884</v>
          </cell>
          <cell r="H332">
            <v>77.334000000000003</v>
          </cell>
          <cell r="I332">
            <v>96.93</v>
          </cell>
          <cell r="J332">
            <v>125</v>
          </cell>
          <cell r="K332">
            <v>160</v>
          </cell>
        </row>
        <row r="333">
          <cell r="C333">
            <v>5.8440000000000003</v>
          </cell>
          <cell r="D333">
            <v>9.7249999999999996</v>
          </cell>
          <cell r="E333">
            <v>17.565000000000001</v>
          </cell>
          <cell r="F333">
            <v>27.337</v>
          </cell>
          <cell r="G333">
            <v>42.798999999999999</v>
          </cell>
          <cell r="H333">
            <v>61.960999999999999</v>
          </cell>
          <cell r="I333">
            <v>68.953000000000003</v>
          </cell>
          <cell r="J333">
            <v>97.5</v>
          </cell>
          <cell r="K333">
            <v>122.5</v>
          </cell>
        </row>
        <row r="334">
          <cell r="C334">
            <v>2.016</v>
          </cell>
          <cell r="D334">
            <v>1.8480000000000001</v>
          </cell>
          <cell r="E334">
            <v>3.1280000000000001</v>
          </cell>
          <cell r="F334">
            <v>5.8010000000000002</v>
          </cell>
          <cell r="G334">
            <v>9.298</v>
          </cell>
          <cell r="H334">
            <v>15.708</v>
          </cell>
          <cell r="I334">
            <v>23.821000000000002</v>
          </cell>
          <cell r="J334">
            <v>23.821000000000002</v>
          </cell>
          <cell r="K334">
            <v>23.821000000000002</v>
          </cell>
        </row>
        <row r="335">
          <cell r="C335">
            <v>21.487000000000009</v>
          </cell>
          <cell r="D335">
            <v>23.386000000000003</v>
          </cell>
          <cell r="E335">
            <v>74.066999999999979</v>
          </cell>
          <cell r="F335">
            <v>187.64799999999997</v>
          </cell>
          <cell r="G335">
            <v>218.99800000000002</v>
          </cell>
          <cell r="H335">
            <v>278.15200000000004</v>
          </cell>
          <cell r="I335">
            <v>342.32600000000002</v>
          </cell>
          <cell r="J335">
            <v>461.09710874999985</v>
          </cell>
          <cell r="K335">
            <v>625.10276124999984</v>
          </cell>
        </row>
        <row r="338">
          <cell r="C338">
            <v>9.0169999999999995</v>
          </cell>
          <cell r="D338">
            <v>8.2360000000000007</v>
          </cell>
          <cell r="E338">
            <v>26.360999999999997</v>
          </cell>
          <cell r="F338">
            <v>37.778999999999996</v>
          </cell>
          <cell r="G338">
            <v>59.686</v>
          </cell>
          <cell r="H338">
            <v>92.707999999999998</v>
          </cell>
          <cell r="I338">
            <v>107.881</v>
          </cell>
          <cell r="J338">
            <v>108.881</v>
          </cell>
          <cell r="K338">
            <v>109.381</v>
          </cell>
        </row>
        <row r="339">
          <cell r="C339">
            <v>0.76900000000000002</v>
          </cell>
          <cell r="D339">
            <v>0.10100000000000001</v>
          </cell>
          <cell r="E339">
            <v>0.1</v>
          </cell>
          <cell r="F339">
            <v>2.7040000000000002</v>
          </cell>
          <cell r="G339">
            <v>2.3359999999999999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</row>
        <row r="340">
          <cell r="C340">
            <v>14.494999999999999</v>
          </cell>
          <cell r="D340">
            <v>13.83</v>
          </cell>
          <cell r="E340">
            <v>0.92200000000000004</v>
          </cell>
          <cell r="F340">
            <v>5.1139999999999999</v>
          </cell>
          <cell r="G340">
            <v>11.625999999999999</v>
          </cell>
          <cell r="H340">
            <v>11.067</v>
          </cell>
          <cell r="I340">
            <v>17.373000000000001</v>
          </cell>
          <cell r="J340">
            <v>17.373000000000001</v>
          </cell>
          <cell r="K340">
            <v>17.373000000000001</v>
          </cell>
        </row>
        <row r="341">
          <cell r="C341">
            <v>24.280999999999999</v>
          </cell>
          <cell r="D341">
            <v>22.167000000000002</v>
          </cell>
          <cell r="E341">
            <v>27.382999999999999</v>
          </cell>
          <cell r="F341">
            <v>45.596999999999994</v>
          </cell>
          <cell r="G341">
            <v>73.647999999999996</v>
          </cell>
          <cell r="H341">
            <v>103.77500000000001</v>
          </cell>
          <cell r="I341">
            <v>125.254</v>
          </cell>
          <cell r="J341">
            <v>126.254</v>
          </cell>
          <cell r="K341">
            <v>126.754</v>
          </cell>
        </row>
        <row r="342">
          <cell r="C342">
            <v>45.768000000000008</v>
          </cell>
          <cell r="D342">
            <v>45.553000000000004</v>
          </cell>
          <cell r="E342">
            <v>101.44999999999997</v>
          </cell>
          <cell r="F342">
            <v>233.24499999999995</v>
          </cell>
          <cell r="G342">
            <v>292.64600000000002</v>
          </cell>
          <cell r="H342">
            <v>381.92700000000002</v>
          </cell>
          <cell r="I342">
            <v>467.58000000000004</v>
          </cell>
          <cell r="J342">
            <v>587.35110874999987</v>
          </cell>
          <cell r="K342">
            <v>751.85676124999986</v>
          </cell>
        </row>
        <row r="346">
          <cell r="C346">
            <v>10.514999999999999</v>
          </cell>
          <cell r="D346">
            <v>12.666</v>
          </cell>
          <cell r="E346">
            <v>24.308</v>
          </cell>
          <cell r="F346">
            <v>42.188999999999993</v>
          </cell>
          <cell r="G346">
            <v>51.13</v>
          </cell>
          <cell r="H346">
            <v>90.211000000000013</v>
          </cell>
          <cell r="I346">
            <v>114.846</v>
          </cell>
          <cell r="J346">
            <v>136.846</v>
          </cell>
          <cell r="K346">
            <v>174.846</v>
          </cell>
        </row>
        <row r="347">
          <cell r="C347">
            <v>3.9820000000000002</v>
          </cell>
          <cell r="D347">
            <v>0</v>
          </cell>
          <cell r="E347">
            <v>3.5059999999999998</v>
          </cell>
          <cell r="F347">
            <v>3.6860000000000004</v>
          </cell>
          <cell r="G347">
            <v>6.5849999999999991</v>
          </cell>
          <cell r="H347">
            <v>8.7880000000000003</v>
          </cell>
          <cell r="I347">
            <v>0</v>
          </cell>
          <cell r="J347">
            <v>0</v>
          </cell>
          <cell r="K347">
            <v>0</v>
          </cell>
        </row>
        <row r="348">
          <cell r="C348">
            <v>2.1999999999999999E-2</v>
          </cell>
          <cell r="D348">
            <v>2.3260000000000001</v>
          </cell>
          <cell r="E348">
            <v>4.407</v>
          </cell>
          <cell r="F348">
            <v>5.6950000000000003</v>
          </cell>
          <cell r="G348">
            <v>5.4039999999999999</v>
          </cell>
          <cell r="H348">
            <v>2.2170000000000001</v>
          </cell>
          <cell r="I348">
            <v>0</v>
          </cell>
          <cell r="J348">
            <v>0</v>
          </cell>
          <cell r="K348">
            <v>0</v>
          </cell>
        </row>
        <row r="349">
          <cell r="C349">
            <v>14.519</v>
          </cell>
          <cell r="D349">
            <v>14.992000000000001</v>
          </cell>
          <cell r="E349">
            <v>32.221000000000004</v>
          </cell>
          <cell r="F349">
            <v>51.569999999999993</v>
          </cell>
          <cell r="G349">
            <v>63.119</v>
          </cell>
          <cell r="H349">
            <v>101.21600000000001</v>
          </cell>
          <cell r="I349">
            <v>114.846</v>
          </cell>
          <cell r="J349">
            <v>136.846</v>
          </cell>
          <cell r="K349">
            <v>174.846</v>
          </cell>
        </row>
        <row r="352">
          <cell r="C352">
            <v>31.163</v>
          </cell>
          <cell r="D352">
            <v>4.4379999999999997</v>
          </cell>
          <cell r="E352">
            <v>16.405999999999999</v>
          </cell>
          <cell r="F352">
            <v>99.53</v>
          </cell>
          <cell r="G352">
            <v>100.69799999999999</v>
          </cell>
          <cell r="H352">
            <v>108.38200000000001</v>
          </cell>
          <cell r="I352">
            <v>8.6419999999999995</v>
          </cell>
          <cell r="J352">
            <v>8.6419999999999995</v>
          </cell>
          <cell r="K352">
            <v>8.6419999999999995</v>
          </cell>
        </row>
        <row r="353"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</row>
        <row r="354">
          <cell r="C354">
            <v>0</v>
          </cell>
          <cell r="D354">
            <v>0</v>
          </cell>
          <cell r="E354">
            <v>0</v>
          </cell>
          <cell r="F354">
            <v>1.056</v>
          </cell>
          <cell r="G354">
            <v>0.59199999999999997</v>
          </cell>
          <cell r="H354">
            <v>0.55200000000000005</v>
          </cell>
          <cell r="I354">
            <v>0</v>
          </cell>
          <cell r="J354">
            <v>0</v>
          </cell>
          <cell r="K354">
            <v>0</v>
          </cell>
        </row>
        <row r="355">
          <cell r="C355">
            <v>31.163</v>
          </cell>
          <cell r="D355">
            <v>4.4379999999999997</v>
          </cell>
          <cell r="E355">
            <v>16.405999999999999</v>
          </cell>
          <cell r="F355">
            <v>100.586</v>
          </cell>
          <cell r="G355">
            <v>101.28999999999999</v>
          </cell>
          <cell r="H355">
            <v>108.93400000000001</v>
          </cell>
          <cell r="I355">
            <v>8.6419999999999995</v>
          </cell>
          <cell r="J355">
            <v>8.6419999999999995</v>
          </cell>
          <cell r="K355">
            <v>8.6419999999999995</v>
          </cell>
        </row>
        <row r="356">
          <cell r="C356">
            <v>45.682000000000002</v>
          </cell>
          <cell r="D356">
            <v>19.43</v>
          </cell>
          <cell r="E356">
            <v>48.627000000000002</v>
          </cell>
          <cell r="F356">
            <v>152.15600000000001</v>
          </cell>
          <cell r="G356">
            <v>164.40899999999999</v>
          </cell>
          <cell r="H356">
            <v>210.15000000000003</v>
          </cell>
          <cell r="I356">
            <v>123.488</v>
          </cell>
          <cell r="J356">
            <v>145.488</v>
          </cell>
          <cell r="K356">
            <v>183.488</v>
          </cell>
        </row>
        <row r="358"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</row>
        <row r="361">
          <cell r="C361">
            <v>8.5999999999999993E-2</v>
          </cell>
          <cell r="D361">
            <v>26.123000000000001</v>
          </cell>
          <cell r="E361">
            <v>52.823</v>
          </cell>
          <cell r="F361">
            <v>81.11099999999999</v>
          </cell>
          <cell r="G361">
            <v>128.25899999999999</v>
          </cell>
          <cell r="H361">
            <v>171.75699999999998</v>
          </cell>
          <cell r="I361">
            <v>344.09199999999998</v>
          </cell>
          <cell r="J361">
            <v>441.86310874999987</v>
          </cell>
          <cell r="K361">
            <v>568.36876124999992</v>
          </cell>
        </row>
        <row r="362">
          <cell r="C362">
            <v>0</v>
          </cell>
          <cell r="D362">
            <v>0</v>
          </cell>
          <cell r="E362">
            <v>0</v>
          </cell>
          <cell r="F362">
            <v>-2.1999999999999999E-2</v>
          </cell>
          <cell r="G362">
            <v>-2.1999999999999999E-2</v>
          </cell>
          <cell r="H362">
            <v>0.02</v>
          </cell>
          <cell r="I362">
            <v>0</v>
          </cell>
          <cell r="J362">
            <v>0</v>
          </cell>
          <cell r="K362">
            <v>0</v>
          </cell>
        </row>
        <row r="363"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</row>
        <row r="364">
          <cell r="C364">
            <v>8.5999999999999993E-2</v>
          </cell>
          <cell r="D364">
            <v>26.123000000000001</v>
          </cell>
          <cell r="E364">
            <v>52.823</v>
          </cell>
          <cell r="F364">
            <v>81.088999999999984</v>
          </cell>
          <cell r="G364">
            <v>128.23699999999999</v>
          </cell>
          <cell r="H364">
            <v>171.77699999999999</v>
          </cell>
          <cell r="I364">
            <v>344.09199999999998</v>
          </cell>
          <cell r="J364">
            <v>441.86310874999987</v>
          </cell>
          <cell r="K364">
            <v>568.36876124999992</v>
          </cell>
        </row>
        <row r="366">
          <cell r="C366">
            <v>45.768000000000001</v>
          </cell>
          <cell r="D366">
            <v>45.552999999999997</v>
          </cell>
          <cell r="E366">
            <v>101.45</v>
          </cell>
          <cell r="F366">
            <v>233.245</v>
          </cell>
          <cell r="G366">
            <v>292.64599999999996</v>
          </cell>
          <cell r="H366">
            <v>381.92700000000002</v>
          </cell>
          <cell r="I366">
            <v>467.58</v>
          </cell>
          <cell r="J366">
            <v>587.35110874999987</v>
          </cell>
          <cell r="K366">
            <v>751.85676124999986</v>
          </cell>
        </row>
        <row r="369">
          <cell r="C369">
            <v>4.1851860750066125E-2</v>
          </cell>
          <cell r="D369">
            <v>4.0911657239035747E-2</v>
          </cell>
          <cell r="E369">
            <v>0.11916225895970201</v>
          </cell>
          <cell r="F369">
            <v>0.32735863289630063</v>
          </cell>
          <cell r="G369">
            <v>0.37241123316886998</v>
          </cell>
          <cell r="H369">
            <v>0.2920521177211835</v>
          </cell>
          <cell r="I369">
            <v>0.27984129114936596</v>
          </cell>
          <cell r="J369">
            <v>0.29269554840848799</v>
          </cell>
          <cell r="K369">
            <v>0.31356593927125492</v>
          </cell>
        </row>
        <row r="370">
          <cell r="C370">
            <v>5.8813636691252433E-2</v>
          </cell>
          <cell r="D370">
            <v>2.9994816498597181E-2</v>
          </cell>
          <cell r="E370">
            <v>6.1649379323304949E-2</v>
          </cell>
          <cell r="F370">
            <v>7.2788648276444226E-2</v>
          </cell>
          <cell r="G370">
            <v>6.4998888530948415E-2</v>
          </cell>
          <cell r="H370">
            <v>6.7919239021363195E-2</v>
          </cell>
          <cell r="I370">
            <v>6.7119062941747257E-2</v>
          </cell>
          <cell r="J370">
            <v>6.6348604277422674E-2</v>
          </cell>
          <cell r="K370">
            <v>6.4804189718330948E-2</v>
          </cell>
        </row>
        <row r="371">
          <cell r="C371">
            <v>3.7511794647957841E-2</v>
          </cell>
          <cell r="D371">
            <v>2.9476538951702186E-2</v>
          </cell>
          <cell r="E371">
            <v>5.0133569658961055E-2</v>
          </cell>
          <cell r="F371">
            <v>6.3158129940084504E-2</v>
          </cell>
          <cell r="G371">
            <v>7.0213575682918097E-2</v>
          </cell>
          <cell r="H371">
            <v>6.8079983993541052E-2</v>
          </cell>
          <cell r="I371">
            <v>6.1198340864631197E-2</v>
          </cell>
          <cell r="J371">
            <v>6.6043739116127251E-2</v>
          </cell>
          <cell r="K371">
            <v>6.2763583420659713E-2</v>
          </cell>
        </row>
        <row r="372">
          <cell r="C372">
            <v>0.99755896795435839</v>
          </cell>
          <cell r="D372">
            <v>0.14521776119891364</v>
          </cell>
          <cell r="E372">
            <v>0.27376091290300403</v>
          </cell>
          <cell r="F372">
            <v>0.56002821410162507</v>
          </cell>
          <cell r="G372">
            <v>0.45551545516304348</v>
          </cell>
          <cell r="H372">
            <v>0.40550689226744008</v>
          </cell>
          <cell r="I372">
            <v>2.4500048194957106E-2</v>
          </cell>
          <cell r="J372">
            <v>1.9182912318083677E-2</v>
          </cell>
          <cell r="K372">
            <v>1.4977190340919313E-2</v>
          </cell>
        </row>
        <row r="373">
          <cell r="C373">
            <v>0.99724791193318196</v>
          </cell>
          <cell r="D373">
            <v>0.14521776119891364</v>
          </cell>
          <cell r="E373">
            <v>0.23698161175230031</v>
          </cell>
          <cell r="F373">
            <v>0.55104944662521671</v>
          </cell>
          <cell r="G373">
            <v>0.43985410706095612</v>
          </cell>
          <cell r="H373">
            <v>0.38685889084412783</v>
          </cell>
          <cell r="I373">
            <v>2.4500048194957106E-2</v>
          </cell>
          <cell r="J373">
            <v>1.9182912318083677E-2</v>
          </cell>
          <cell r="K373">
            <v>1.4977190340919313E-2</v>
          </cell>
        </row>
        <row r="374">
          <cell r="C374">
            <v>1.0026560849947197</v>
          </cell>
          <cell r="D374">
            <v>0.2014004777330583</v>
          </cell>
          <cell r="E374">
            <v>-4.4677808432881869E-2</v>
          </cell>
          <cell r="F374">
            <v>-3.376721164440067E-2</v>
          </cell>
          <cell r="G374">
            <v>-1.4545613383711527E-2</v>
          </cell>
          <cell r="H374">
            <v>-1.3428089049432646E-2</v>
          </cell>
          <cell r="I374">
            <v>-0.40818293671718642</v>
          </cell>
          <cell r="J374">
            <v>-0.45756220017560428</v>
          </cell>
          <cell r="K374">
            <v>-0.53749389453003005</v>
          </cell>
        </row>
        <row r="375">
          <cell r="E375">
            <v>11.17</v>
          </cell>
          <cell r="F375">
            <v>6.8170000000000073</v>
          </cell>
          <cell r="G375">
            <v>85.373999999999995</v>
          </cell>
          <cell r="H375">
            <v>80.804000000000002</v>
          </cell>
          <cell r="I375">
            <v>16.271999999999736</v>
          </cell>
          <cell r="J375">
            <v>16.27199999999965</v>
          </cell>
          <cell r="K375">
            <v>16.27199999999965</v>
          </cell>
        </row>
        <row r="385">
          <cell r="F385" t="str">
            <v>Sanmina Corporation</v>
          </cell>
        </row>
        <row r="386">
          <cell r="F386" t="str">
            <v>Key Financial Ratios</v>
          </cell>
        </row>
        <row r="389">
          <cell r="C389" t="str">
            <v xml:space="preserve">    1992A</v>
          </cell>
          <cell r="D389" t="str">
            <v xml:space="preserve">    1993A</v>
          </cell>
          <cell r="E389" t="str">
            <v>1994RE</v>
          </cell>
          <cell r="F389" t="str">
            <v>1995RE</v>
          </cell>
          <cell r="G389" t="str">
            <v>1996R</v>
          </cell>
          <cell r="H389" t="str">
            <v>1997R</v>
          </cell>
          <cell r="I389" t="str">
            <v>1998A</v>
          </cell>
          <cell r="J389" t="str">
            <v>1999E</v>
          </cell>
          <cell r="K389" t="str">
            <v>2000E</v>
          </cell>
        </row>
        <row r="390">
          <cell r="C390">
            <v>-8.3781803329889756E-2</v>
          </cell>
          <cell r="D390">
            <v>-3.4429495169004939E-2</v>
          </cell>
          <cell r="E390">
            <v>-1.9060268968952444E-2</v>
          </cell>
          <cell r="F390">
            <v>0.11594917518224006</v>
          </cell>
          <cell r="G390">
            <v>0.1377206096198296</v>
          </cell>
          <cell r="H390">
            <v>9.9786411413388024E-2</v>
          </cell>
          <cell r="I390">
            <v>0.14854943598018783</v>
          </cell>
          <cell r="J390">
            <v>0.16336366047745346</v>
          </cell>
          <cell r="K390">
            <v>0.16131295546558705</v>
          </cell>
        </row>
        <row r="392">
          <cell r="C392">
            <v>3.6377381576647432</v>
          </cell>
          <cell r="D392">
            <v>4.1214848637850414</v>
          </cell>
          <cell r="E392">
            <v>2.0779201577131596</v>
          </cell>
          <cell r="F392">
            <v>1.1651139359900538</v>
          </cell>
          <cell r="G392">
            <v>1.3394408261175619</v>
          </cell>
          <cell r="H392">
            <v>1.4918741015953314</v>
          </cell>
          <cell r="I392">
            <v>1.5453633602805938</v>
          </cell>
          <cell r="J392">
            <v>1.6046619917102527</v>
          </cell>
          <cell r="K392">
            <v>1.642600111684505</v>
          </cell>
        </row>
        <row r="393">
          <cell r="C393">
            <v>-0.30477626289110299</v>
          </cell>
          <cell r="D393">
            <v>-0.14190064320681406</v>
          </cell>
          <cell r="E393">
            <v>-3.9605717102020904E-2</v>
          </cell>
          <cell r="F393">
            <v>0.13509399987137996</v>
          </cell>
          <cell r="G393">
            <v>0.1844686071225988</v>
          </cell>
          <cell r="H393">
            <v>0.14886876287877038</v>
          </cell>
          <cell r="I393">
            <v>0.22956285555413</v>
          </cell>
          <cell r="J393">
            <v>0.26214345679482798</v>
          </cell>
          <cell r="K393">
            <v>0.26497267866393087</v>
          </cell>
        </row>
        <row r="395">
          <cell r="C395">
            <v>532.18604651162809</v>
          </cell>
          <cell r="D395">
            <v>1.7437889982008192</v>
          </cell>
          <cell r="E395">
            <v>1.9205649054389182</v>
          </cell>
          <cell r="F395">
            <v>2.8764074042101888</v>
          </cell>
          <cell r="G395">
            <v>2.2820714770308101</v>
          </cell>
          <cell r="H395">
            <v>2.2233884629490563</v>
          </cell>
          <cell r="I395">
            <v>1.358880764446718</v>
          </cell>
          <cell r="J395">
            <v>1.3292603458378218</v>
          </cell>
          <cell r="K395">
            <v>1.3228326616622264</v>
          </cell>
        </row>
        <row r="396">
          <cell r="C396">
            <v>-162.19767441860472</v>
          </cell>
          <cell r="D396">
            <v>-0.24744478046166218</v>
          </cell>
          <cell r="E396">
            <v>-7.6065350320883324E-2</v>
          </cell>
          <cell r="F396">
            <v>0.38858538149440763</v>
          </cell>
          <cell r="G396">
            <v>0.42097054672208528</v>
          </cell>
          <cell r="H396">
            <v>0.33099308987815679</v>
          </cell>
          <cell r="I396">
            <v>0.3119485486439677</v>
          </cell>
          <cell r="J396">
            <v>0.34845690203821517</v>
          </cell>
          <cell r="K396">
            <v>0.35051451378477749</v>
          </cell>
        </row>
        <row r="398">
          <cell r="C398">
            <v>1.0125457022008746</v>
          </cell>
          <cell r="D398">
            <v>1.6104579207920791</v>
          </cell>
          <cell r="E398">
            <v>1.8158287705325991</v>
          </cell>
          <cell r="F398">
            <v>0.64274833386226615</v>
          </cell>
          <cell r="G398">
            <v>0.67733032009484329</v>
          </cell>
          <cell r="H398">
            <v>0.53687320822414231</v>
          </cell>
          <cell r="I398">
            <v>0.63491368468124398</v>
          </cell>
          <cell r="J398">
            <v>0.63499999999999979</v>
          </cell>
          <cell r="K398">
            <v>0.63500000000000001</v>
          </cell>
        </row>
        <row r="399">
          <cell r="C399">
            <v>-164.23255813953494</v>
          </cell>
          <cell r="D399">
            <v>-0.39849940665314093</v>
          </cell>
          <cell r="E399">
            <v>-0.138121651553301</v>
          </cell>
          <cell r="F399">
            <v>0.24976260651876359</v>
          </cell>
          <cell r="G399">
            <v>0.28513611516177123</v>
          </cell>
          <cell r="H399">
            <v>0.17770132206290792</v>
          </cell>
          <cell r="I399">
            <v>0.19806040245050782</v>
          </cell>
          <cell r="J399">
            <v>0.22127013279426655</v>
          </cell>
          <cell r="K399">
            <v>0.22257671625333372</v>
          </cell>
        </row>
        <row r="401">
          <cell r="C401">
            <v>-164.23255813953497</v>
          </cell>
          <cell r="D401">
            <v>-0.43004249129119937</v>
          </cell>
          <cell r="E401">
            <v>5.4351324233761426E-2</v>
          </cell>
          <cell r="F401">
            <v>0.27236739878405231</v>
          </cell>
          <cell r="G401">
            <v>0.28513611516177123</v>
          </cell>
          <cell r="H401">
            <v>0.17770132206290792</v>
          </cell>
          <cell r="I401">
            <v>0.19806040245050779</v>
          </cell>
          <cell r="J401">
            <v>0.22127013279426649</v>
          </cell>
          <cell r="K401">
            <v>0.22257671625333372</v>
          </cell>
        </row>
        <row r="405">
          <cell r="C405" t="str">
            <v xml:space="preserve">    1992A</v>
          </cell>
          <cell r="D405" t="str">
            <v xml:space="preserve">    1993A</v>
          </cell>
          <cell r="E405" t="str">
            <v>1994RE</v>
          </cell>
          <cell r="F405" t="str">
            <v>1995RE</v>
          </cell>
          <cell r="G405" t="str">
            <v>1996R</v>
          </cell>
          <cell r="H405" t="str">
            <v>1997R</v>
          </cell>
          <cell r="I405" t="str">
            <v>1998A</v>
          </cell>
          <cell r="J405" t="str">
            <v>1999E</v>
          </cell>
          <cell r="K405" t="str">
            <v>2000E</v>
          </cell>
        </row>
        <row r="407">
          <cell r="C407">
            <v>-3.99270542801974</v>
          </cell>
          <cell r="D407">
            <v>-2.625345737993463</v>
          </cell>
          <cell r="E407">
            <v>-3.4529914529914656</v>
          </cell>
          <cell r="F407">
            <v>36.467300832342467</v>
          </cell>
          <cell r="G407">
            <v>39.136802973977737</v>
          </cell>
          <cell r="H407">
            <v>22.093826157595501</v>
          </cell>
          <cell r="I407">
            <v>155.0159883720932</v>
          </cell>
          <cell r="J407">
            <v>-25.05785156249998</v>
          </cell>
          <cell r="K407">
            <v>-26.87292207792208</v>
          </cell>
        </row>
        <row r="408">
          <cell r="C408">
            <v>1.4799228597010818</v>
          </cell>
          <cell r="D408">
            <v>1.5598986125933831</v>
          </cell>
          <cell r="E408">
            <v>2.2987182272431013</v>
          </cell>
          <cell r="F408">
            <v>3.6387046732596469</v>
          </cell>
          <cell r="G408">
            <v>3.4696050317653957</v>
          </cell>
          <cell r="H408">
            <v>2.7481030667088211</v>
          </cell>
          <cell r="I408">
            <v>2.9807394249690891</v>
          </cell>
          <cell r="J408">
            <v>3.3694598946991499</v>
          </cell>
          <cell r="K408">
            <v>3.5751619210619623</v>
          </cell>
        </row>
        <row r="409">
          <cell r="C409">
            <v>0.99724791193318196</v>
          </cell>
          <cell r="D409">
            <v>0.14521776119891364</v>
          </cell>
          <cell r="E409">
            <v>0.23698161175230031</v>
          </cell>
          <cell r="F409">
            <v>0.55104944662521671</v>
          </cell>
          <cell r="G409">
            <v>0.43985410706095612</v>
          </cell>
          <cell r="H409">
            <v>0.38685889084412783</v>
          </cell>
          <cell r="I409">
            <v>2.4500048194957106E-2</v>
          </cell>
          <cell r="J409">
            <v>1.9182912318083677E-2</v>
          </cell>
          <cell r="K409">
            <v>1.4977190340919313E-2</v>
          </cell>
        </row>
        <row r="410">
          <cell r="C410">
            <v>1.1246759896316683</v>
          </cell>
          <cell r="D410">
            <v>0.14521776119891364</v>
          </cell>
          <cell r="E410">
            <v>0.28762512819772063</v>
          </cell>
          <cell r="F410">
            <v>0.57145704493990124</v>
          </cell>
          <cell r="G410">
            <v>0.46861772992334061</v>
          </cell>
          <cell r="H410">
            <v>0.41822679264274931</v>
          </cell>
          <cell r="I410">
            <v>2.4500048194957106E-2</v>
          </cell>
          <cell r="J410">
            <v>1.9182912318083677E-2</v>
          </cell>
          <cell r="K410">
            <v>1.4977190340919313E-2</v>
          </cell>
        </row>
        <row r="411">
          <cell r="C411">
            <v>-0.54644282018657575</v>
          </cell>
          <cell r="D411">
            <v>-0.27011413609751878</v>
          </cell>
          <cell r="E411">
            <v>0.19387929074789673</v>
          </cell>
          <cell r="F411">
            <v>0.44193450576106763</v>
          </cell>
          <cell r="G411">
            <v>0.49419841423322508</v>
          </cell>
          <cell r="H411">
            <v>0.40903244954491813</v>
          </cell>
          <cell r="I411">
            <v>1.4375531211634744</v>
          </cell>
          <cell r="J411">
            <v>1.8600885872176813</v>
          </cell>
          <cell r="K411">
            <v>2.4804262303149609</v>
          </cell>
        </row>
        <row r="413">
          <cell r="C413">
            <v>3.9474239845481299E-3</v>
          </cell>
          <cell r="D413">
            <v>0.97488140056306749</v>
          </cell>
          <cell r="E413">
            <v>1.5009945442145942</v>
          </cell>
          <cell r="F413">
            <v>2.0489438043258534</v>
          </cell>
          <cell r="G413">
            <v>3.0999081415586924</v>
          </cell>
          <cell r="H413">
            <v>4.2485407597942215</v>
          </cell>
          <cell r="I413">
            <v>8.1238077249976381</v>
          </cell>
          <cell r="J413">
            <v>8.4932841662662142</v>
          </cell>
          <cell r="K413">
            <v>11.188361441929134</v>
          </cell>
        </row>
        <row r="414">
          <cell r="C414">
            <v>0.15327779905527897</v>
          </cell>
          <cell r="D414">
            <v>0.11521327393496414</v>
          </cell>
          <cell r="E414">
            <v>0.9168843892880425</v>
          </cell>
          <cell r="F414">
            <v>-0.13484551784160193</v>
          </cell>
          <cell r="G414">
            <v>-0.11591897337999768</v>
          </cell>
          <cell r="H414">
            <v>-0.26840101522842591</v>
          </cell>
          <cell r="I414">
            <v>-1.0660475694115417E-2</v>
          </cell>
          <cell r="J414">
            <v>8.1573405030624935E-3</v>
          </cell>
          <cell r="K414">
            <v>1.3655542938866932E-2</v>
          </cell>
        </row>
        <row r="417">
          <cell r="C417">
            <v>10.586454604425438</v>
          </cell>
          <cell r="D417">
            <v>20.129749768303984</v>
          </cell>
          <cell r="E417">
            <v>31.734920898460665</v>
          </cell>
          <cell r="F417">
            <v>43.359177500487569</v>
          </cell>
          <cell r="G417">
            <v>41.504762973810024</v>
          </cell>
          <cell r="H417">
            <v>40.505030827309149</v>
          </cell>
          <cell r="I417">
            <v>43.410385825256952</v>
          </cell>
          <cell r="J417">
            <v>42.384509283819632</v>
          </cell>
          <cell r="K417">
            <v>41.53846153846154</v>
          </cell>
        </row>
        <row r="418">
          <cell r="C418">
            <v>11.368113783244839</v>
          </cell>
          <cell r="D418">
            <v>22.224601323064135</v>
          </cell>
          <cell r="E418">
            <v>31.570977917981075</v>
          </cell>
          <cell r="F418">
            <v>44.04471641944825</v>
          </cell>
          <cell r="G418">
            <v>42.852528942655525</v>
          </cell>
          <cell r="H418">
            <v>44.650685256069359</v>
          </cell>
          <cell r="I418">
            <v>51.081138308369567</v>
          </cell>
          <cell r="J418">
            <v>48.068498673740059</v>
          </cell>
          <cell r="K418">
            <v>45.428793522267213</v>
          </cell>
        </row>
        <row r="419">
          <cell r="C419">
            <v>53.316563997262143</v>
          </cell>
          <cell r="D419">
            <v>21.272785663819132</v>
          </cell>
          <cell r="E419">
            <v>12.860095272993773</v>
          </cell>
          <cell r="F419">
            <v>9.6572090330052109</v>
          </cell>
          <cell r="G419">
            <v>8.7038610699212953</v>
          </cell>
          <cell r="H419">
            <v>8.6975181366933949</v>
          </cell>
          <cell r="I419">
            <v>8.6150144369586155</v>
          </cell>
          <cell r="J419">
            <v>8.8747033697199829</v>
          </cell>
          <cell r="K419">
            <v>8.8764590909090906</v>
          </cell>
        </row>
        <row r="420">
          <cell r="C420">
            <v>1.7992813141683774</v>
          </cell>
          <cell r="D420">
            <v>1.3024164524421595</v>
          </cell>
          <cell r="E420">
            <v>1.383888414460575</v>
          </cell>
          <cell r="F420">
            <v>1.5432929728938798</v>
          </cell>
          <cell r="G420">
            <v>1.1946540807028203</v>
          </cell>
          <cell r="H420">
            <v>1.4559319571988834</v>
          </cell>
          <cell r="I420">
            <v>1.6655693008281003</v>
          </cell>
          <cell r="J420">
            <v>1.403548717948718</v>
          </cell>
          <cell r="K420">
            <v>1.4273142857142858</v>
          </cell>
        </row>
        <row r="421">
          <cell r="C421">
            <v>2.0925930375033062E-2</v>
          </cell>
          <cell r="D421">
            <v>5.9468643805993253E-2</v>
          </cell>
          <cell r="E421">
            <v>0.13907165389815226</v>
          </cell>
          <cell r="F421">
            <v>0.40435020993019483</v>
          </cell>
          <cell r="G421">
            <v>0.5459880810853559</v>
          </cell>
          <cell r="H421">
            <v>0.42883919780549568</v>
          </cell>
          <cell r="I421">
            <v>0.40227462388299717</v>
          </cell>
          <cell r="J421">
            <v>0.41337459350132622</v>
          </cell>
          <cell r="K421">
            <v>0.44484169180161931</v>
          </cell>
        </row>
        <row r="422">
          <cell r="C422">
            <v>7.2754763153294864</v>
          </cell>
          <cell r="D422">
            <v>4.1117815179422035</v>
          </cell>
          <cell r="E422">
            <v>2.8680367067338763</v>
          </cell>
          <cell r="F422">
            <v>1.6239083344537568</v>
          </cell>
          <cell r="G422">
            <v>1.4907347720345092</v>
          </cell>
          <cell r="H422">
            <v>1.6893264331658695</v>
          </cell>
          <cell r="I422">
            <v>1.7011772710525048</v>
          </cell>
          <cell r="J422">
            <v>1.7868465384754442</v>
          </cell>
          <cell r="K422">
            <v>1.8443738685615703</v>
          </cell>
        </row>
        <row r="425">
          <cell r="C425">
            <v>-0.61719979024646054</v>
          </cell>
          <cell r="D425">
            <v>-0.24603322346448245</v>
          </cell>
          <cell r="E425">
            <v>3.9060427338217317E-2</v>
          </cell>
          <cell r="F425">
            <v>0.13197687446779915</v>
          </cell>
          <cell r="G425">
            <v>0.13905923470833331</v>
          </cell>
          <cell r="H425">
            <v>9.0501695146411515E-2</v>
          </cell>
          <cell r="I425">
            <v>0.16044835416306191</v>
          </cell>
          <cell r="J425">
            <v>0.18536017743537772</v>
          </cell>
          <cell r="K425">
            <v>0.18892608882293985</v>
          </cell>
        </row>
        <row r="426">
          <cell r="C426">
            <v>-328.46511627906995</v>
          </cell>
          <cell r="D426">
            <v>-0.85726277233011572</v>
          </cell>
          <cell r="E426">
            <v>7.2733260709851796E-2</v>
          </cell>
          <cell r="F426">
            <v>0.32985841448115205</v>
          </cell>
          <cell r="G426">
            <v>0.3493593724620932</v>
          </cell>
          <cell r="H426">
            <v>0.2034905037764913</v>
          </cell>
          <cell r="I426">
            <v>0.26421824145277245</v>
          </cell>
          <cell r="J426">
            <v>0.24879565680410726</v>
          </cell>
          <cell r="K426">
            <v>0.25044874598937378</v>
          </cell>
        </row>
        <row r="427">
          <cell r="C427">
            <v>6.4273358479686682E-2</v>
          </cell>
          <cell r="D427">
            <v>0.11796789279132443</v>
          </cell>
          <cell r="E427">
            <v>0.16759090154408091</v>
          </cell>
          <cell r="F427">
            <v>0.20217694484410709</v>
          </cell>
          <cell r="G427">
            <v>0.22132393834410777</v>
          </cell>
          <cell r="H427">
            <v>0.20044507859954702</v>
          </cell>
          <cell r="I427">
            <v>0.21958507073947431</v>
          </cell>
          <cell r="J427">
            <v>0.21632838196286461</v>
          </cell>
          <cell r="K427">
            <v>0.20938421052631581</v>
          </cell>
        </row>
        <row r="428">
          <cell r="C428">
            <v>-8.4832904884318813E-2</v>
          </cell>
          <cell r="D428">
            <v>-5.9836161622617796E-2</v>
          </cell>
          <cell r="E428">
            <v>1.3619221555465856E-2</v>
          </cell>
          <cell r="F428">
            <v>8.1271135610122322E-2</v>
          </cell>
          <cell r="G428">
            <v>9.3282344597456143E-2</v>
          </cell>
          <cell r="H428">
            <v>5.35726508326798E-2</v>
          </cell>
          <cell r="I428">
            <v>9.4316069755501608E-2</v>
          </cell>
          <cell r="J428">
            <v>0.1037359244031829</v>
          </cell>
          <cell r="K428">
            <v>0.10243372672064778</v>
          </cell>
        </row>
        <row r="431">
          <cell r="C431">
            <v>1.0536793804170941E-2</v>
          </cell>
          <cell r="D431">
            <v>0.12765778535905636</v>
          </cell>
          <cell r="E431">
            <v>0.12282019323980276</v>
          </cell>
          <cell r="F431">
            <v>0.28913925191527712</v>
          </cell>
          <cell r="G431">
            <v>0.4423989078478201</v>
          </cell>
          <cell r="H431">
            <v>0.4536050124750628</v>
          </cell>
          <cell r="I431">
            <v>0.26815985622697602</v>
          </cell>
          <cell r="J431">
            <v>0.30435203804140976</v>
          </cell>
          <cell r="K431">
            <v>0.31034482758620685</v>
          </cell>
        </row>
        <row r="432">
          <cell r="C432">
            <v>0.18763911321815296</v>
          </cell>
          <cell r="D432">
            <v>-0.40075222443358349</v>
          </cell>
          <cell r="E432">
            <v>-0.46634398045665315</v>
          </cell>
          <cell r="F432" t="str">
            <v xml:space="preserve">     N.M.</v>
          </cell>
          <cell r="G432">
            <v>0.71871757428401217</v>
          </cell>
          <cell r="H432">
            <v>-0.14585934237596243</v>
          </cell>
          <cell r="I432">
            <v>1.1312129433840603</v>
          </cell>
          <cell r="J432">
            <v>0.16799546954384059</v>
          </cell>
          <cell r="K432">
            <v>0.32509729484631644</v>
          </cell>
        </row>
        <row r="433">
          <cell r="C433" t="str">
            <v xml:space="preserve">      N.M.</v>
          </cell>
          <cell r="D433" t="str">
            <v xml:space="preserve">      N.M.</v>
          </cell>
          <cell r="E433" t="str">
            <v xml:space="preserve">      N.M.</v>
          </cell>
          <cell r="F433" t="str">
            <v xml:space="preserve">      N.M.</v>
          </cell>
          <cell r="G433" t="str">
            <v xml:space="preserve">      N.M.</v>
          </cell>
          <cell r="H433" t="str">
            <v xml:space="preserve">      N.M.</v>
          </cell>
          <cell r="I433" t="str">
            <v xml:space="preserve">      N.M.</v>
          </cell>
          <cell r="J433" t="str">
            <v xml:space="preserve">      N.M.</v>
          </cell>
          <cell r="K433" t="str">
            <v xml:space="preserve">      N.M.</v>
          </cell>
        </row>
        <row r="436">
          <cell r="C436">
            <v>-0.40985241324291938</v>
          </cell>
          <cell r="D436">
            <v>0.83786397335339002</v>
          </cell>
          <cell r="E436">
            <v>0.26748009349126511</v>
          </cell>
          <cell r="F436">
            <v>0.34482921417274492</v>
          </cell>
          <cell r="G436">
            <v>0.43080295573653843</v>
          </cell>
          <cell r="H436">
            <v>0.42422394960117787</v>
          </cell>
          <cell r="I436">
            <v>0.25505489224854888</v>
          </cell>
          <cell r="J436">
            <v>0.19276285624985384</v>
          </cell>
          <cell r="K436">
            <v>0.19580047148753532</v>
          </cell>
        </row>
        <row r="437">
          <cell r="C437">
            <v>-1.0757348208538953</v>
          </cell>
          <cell r="D437">
            <v>2.34020618556701</v>
          </cell>
          <cell r="E437">
            <v>15.410866910866901</v>
          </cell>
          <cell r="F437">
            <v>50.372175980975058</v>
          </cell>
          <cell r="G437">
            <v>51.214126394052087</v>
          </cell>
          <cell r="H437">
            <v>31.978878960195019</v>
          </cell>
          <cell r="I437">
            <v>196.60610465116298</v>
          </cell>
          <cell r="J437">
            <v>-28.37035156249998</v>
          </cell>
          <cell r="K437">
            <v>-24.872922077922084</v>
          </cell>
        </row>
        <row r="438">
          <cell r="C438">
            <v>-7.0093737534902205</v>
          </cell>
          <cell r="D438">
            <v>0.4768453851939401</v>
          </cell>
          <cell r="E438">
            <v>0.788812740165591</v>
          </cell>
          <cell r="F438">
            <v>2.4364657838207862</v>
          </cell>
          <cell r="G438">
            <v>1.5574670092765981</v>
          </cell>
          <cell r="H438">
            <v>1.4882131788853299</v>
          </cell>
          <cell r="I438">
            <v>6.3889402284404623E-2</v>
          </cell>
          <cell r="J438">
            <v>4.7595902963178192E-2</v>
          </cell>
          <cell r="K438">
            <v>4.5122871322540802E-2</v>
          </cell>
        </row>
      </sheetData>
      <sheetData sheetId="9"/>
      <sheetData sheetId="10"/>
      <sheetData sheetId="11"/>
      <sheetData sheetId="12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 shadow"/>
      <sheetName val="NY UPLOAD"/>
      <sheetName val="Valuations"/>
      <sheetName val="JV"/>
      <sheetName val="Restatd 5 Year Sales &amp; Earnings"/>
      <sheetName val="Restated Qtr Income"/>
      <sheetName val="Restated Qtr Margin"/>
      <sheetName val="Qrt Sales"/>
      <sheetName val="Qtr Sales2"/>
      <sheetName val="Q preview"/>
      <sheetName val="BS2"/>
      <sheetName val="Cash flow"/>
      <sheetName val="transaction multiple"/>
      <sheetName val="QRT_LINK"/>
      <sheetName val="P&amp;L"/>
      <sheetName val="Quarterly P&amp;L"/>
      <sheetName val="Sales_Op Earnings"/>
      <sheetName val="Blank"/>
      <sheetName val="Balance "/>
      <sheetName val="Stat Sheet"/>
      <sheetName val="IS-COMPS"/>
      <sheetName val="QTR Income Historic"/>
      <sheetName val="QTR Margin Historic"/>
      <sheetName val="Qrt Sales Historic"/>
      <sheetName val="Annual Prod Sales"/>
      <sheetName val="5 Year Sales &amp; Earnings"/>
      <sheetName val="5 Year Sales &amp; Earnings Histori"/>
      <sheetName val="Qtr Income"/>
      <sheetName val="Qtr Margin"/>
      <sheetName val="transaction multiples"/>
      <sheetName val="transaction multiples- med tech"/>
      <sheetName val="MainCode"/>
      <sheetName val="Module1"/>
      <sheetName val="Title Page"/>
      <sheetName val="__FDSCACHE__"/>
      <sheetName val="Drivers"/>
      <sheetName val="ROIC"/>
      <sheetName val="QPreview"/>
      <sheetName val="Sheet1"/>
      <sheetName val="Annual"/>
      <sheetName val="5 Year"/>
      <sheetName val="SCF"/>
      <sheetName val="BS"/>
      <sheetName val="QIncome"/>
      <sheetName val="QMargin"/>
      <sheetName val="QSales"/>
      <sheetName val="Sheet2"/>
      <sheetName val="Client Title Page "/>
      <sheetName val="GlobalVal feed"/>
      <sheetName val="mwareTaxoPres"/>
      <sheetName val="mwareValPrintout"/>
      <sheetName val="mwarePreview"/>
      <sheetName val="RI Valuation"/>
      <sheetName val="Dynamic Convergence"/>
      <sheetName val="mwareDates"/>
      <sheetName val="P&amp;L Charts"/>
      <sheetName val="mwareSettings"/>
      <sheetName val="BMYwork"/>
      <sheetName val="xbrlPreview"/>
      <sheetName val="xbrldates"/>
      <sheetName val="xbrlSettings"/>
      <sheetName val="US Feed"/>
      <sheetName val="QPreview2"/>
      <sheetName val="EPS Sensitivity"/>
      <sheetName val="Plavix"/>
      <sheetName val="Implied ROIC "/>
      <sheetName val="Ex-OTN"/>
      <sheetName val="Plavix NPV"/>
      <sheetName val="Model_Template"/>
      <sheetName val="mwareDates_38450_5303795"/>
      <sheetName val="mwareDates_38450_6159728"/>
      <sheetName val="MWare_Cached"/>
      <sheetName val=""/>
      <sheetName val="Approvable Letters"/>
      <sheetName val="Patents"/>
      <sheetName val="Launches"/>
      <sheetName val="Charts"/>
      <sheetName val="Recent Launches-Peak Sales"/>
      <sheetName val="Approvals"/>
      <sheetName val="Recent Launches"/>
      <sheetName val="MW_RO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4">
          <cell r="BZ4" t="str">
            <v>Bristol-Myers Squibb</v>
          </cell>
          <cell r="DO4" t="str">
            <v>Bristol-Myers Squibb</v>
          </cell>
        </row>
        <row r="5">
          <cell r="BZ5" t="str">
            <v>Quarterly Sales Comparisons 1999-2006E</v>
          </cell>
          <cell r="DO5" t="str">
            <v>Quarterly Sales Comparisons 1999-2006E</v>
          </cell>
        </row>
        <row r="6">
          <cell r="BZ6" t="str">
            <v>($ Millions)</v>
          </cell>
          <cell r="DO6" t="str">
            <v>($ Millions)</v>
          </cell>
        </row>
        <row r="7">
          <cell r="CC7" t="str">
            <v>Central Nervous System (a)</v>
          </cell>
          <cell r="CR7" t="str">
            <v>Glucophage (a)</v>
          </cell>
          <cell r="DR7" t="str">
            <v>All</v>
          </cell>
          <cell r="DZ7" t="str">
            <v>Consumer Medicines</v>
          </cell>
        </row>
        <row r="8">
          <cell r="CI8" t="str">
            <v>Sine-</v>
          </cell>
          <cell r="CS8" t="str">
            <v>Gluco-</v>
          </cell>
          <cell r="DA8" t="str">
            <v>Derma-</v>
          </cell>
          <cell r="DE8" t="str">
            <v>Diagnos.</v>
          </cell>
          <cell r="DI8" t="str">
            <v>New</v>
          </cell>
          <cell r="DR8" t="str">
            <v>Other</v>
          </cell>
          <cell r="DV8" t="str">
            <v>Total</v>
          </cell>
          <cell r="DZ8" t="str">
            <v>Anale-</v>
          </cell>
          <cell r="ED8" t="str">
            <v>Other</v>
          </cell>
          <cell r="EL8" t="str">
            <v>Total</v>
          </cell>
        </row>
        <row r="9">
          <cell r="CA9" t="str">
            <v>Buspar</v>
          </cell>
          <cell r="CC9" t="str">
            <v>Buspar</v>
          </cell>
          <cell r="CD9" t="str">
            <v>Serzone</v>
          </cell>
          <cell r="CF9" t="str">
            <v>Serzone</v>
          </cell>
          <cell r="CG9" t="str">
            <v>Other</v>
          </cell>
          <cell r="CI9" t="str">
            <v>met</v>
          </cell>
          <cell r="CJ9" t="str">
            <v>Other</v>
          </cell>
          <cell r="CL9" t="str">
            <v>Total CNS</v>
          </cell>
          <cell r="CN9" t="str">
            <v>Total</v>
          </cell>
          <cell r="CP9" t="str">
            <v>Regular</v>
          </cell>
          <cell r="CR9" t="str">
            <v>Regular</v>
          </cell>
          <cell r="CS9" t="str">
            <v>Vance</v>
          </cell>
          <cell r="CT9" t="str">
            <v>Total</v>
          </cell>
          <cell r="CV9" t="str">
            <v>XR</v>
          </cell>
          <cell r="CW9" t="str">
            <v>Total</v>
          </cell>
          <cell r="CY9" t="str">
            <v>Dermatological</v>
          </cell>
          <cell r="DA9" t="str">
            <v>tological</v>
          </cell>
          <cell r="DC9" t="str">
            <v>Diagnostics (b)</v>
          </cell>
          <cell r="DE9" t="str">
            <v>tics (b)</v>
          </cell>
          <cell r="DG9" t="str">
            <v>New Product</v>
          </cell>
          <cell r="DI9" t="str">
            <v>Prod.</v>
          </cell>
          <cell r="DL9" t="str">
            <v>All Other Pharma</v>
          </cell>
          <cell r="DP9" t="str">
            <v>Erbitux</v>
          </cell>
          <cell r="DR9" t="str">
            <v>Pharma</v>
          </cell>
          <cell r="DT9" t="str">
            <v>Total Pharma</v>
          </cell>
          <cell r="DV9" t="str">
            <v>Pharma</v>
          </cell>
          <cell r="DX9" t="str">
            <v>Analegiscs</v>
          </cell>
          <cell r="DZ9" t="str">
            <v>giscs</v>
          </cell>
          <cell r="EB9" t="str">
            <v>CM</v>
          </cell>
          <cell r="ED9" t="str">
            <v>CM</v>
          </cell>
          <cell r="EF9" t="str">
            <v>Total C.M.</v>
          </cell>
          <cell r="EH9" t="str">
            <v>Total</v>
          </cell>
          <cell r="EL9" t="str">
            <v>Medicines</v>
          </cell>
        </row>
        <row r="10">
          <cell r="CA10" t="str">
            <v>U.S.</v>
          </cell>
          <cell r="CB10" t="str">
            <v>Intl</v>
          </cell>
          <cell r="CC10" t="str">
            <v>WW</v>
          </cell>
          <cell r="CD10" t="str">
            <v>U.S.</v>
          </cell>
          <cell r="CE10" t="str">
            <v>Intl</v>
          </cell>
          <cell r="CF10" t="str">
            <v>WW</v>
          </cell>
          <cell r="CG10" t="str">
            <v>U.S.</v>
          </cell>
          <cell r="CH10" t="str">
            <v>Intl</v>
          </cell>
          <cell r="CI10" t="str">
            <v>WW</v>
          </cell>
          <cell r="CJ10" t="str">
            <v>WW</v>
          </cell>
          <cell r="CL10" t="str">
            <v>U.S.</v>
          </cell>
          <cell r="CM10" t="str">
            <v>Intl</v>
          </cell>
          <cell r="CN10" t="str">
            <v>WW</v>
          </cell>
          <cell r="CP10" t="str">
            <v>U.S.</v>
          </cell>
          <cell r="CQ10" t="str">
            <v>Intl</v>
          </cell>
          <cell r="CR10" t="str">
            <v>WW</v>
          </cell>
          <cell r="CS10" t="str">
            <v>WW</v>
          </cell>
          <cell r="CT10" t="str">
            <v>U.S.</v>
          </cell>
          <cell r="CU10" t="str">
            <v>Intl</v>
          </cell>
          <cell r="CW10" t="str">
            <v>WW</v>
          </cell>
          <cell r="CY10" t="str">
            <v>U.S.</v>
          </cell>
          <cell r="CZ10" t="str">
            <v>Intl</v>
          </cell>
          <cell r="DA10" t="str">
            <v>WW</v>
          </cell>
          <cell r="DC10" t="str">
            <v>U.S.</v>
          </cell>
          <cell r="DD10" t="str">
            <v>Intl</v>
          </cell>
          <cell r="DE10" t="str">
            <v>WW</v>
          </cell>
          <cell r="DG10" t="str">
            <v>U.S.</v>
          </cell>
          <cell r="DH10" t="str">
            <v>Intl</v>
          </cell>
          <cell r="DI10" t="str">
            <v>WW</v>
          </cell>
          <cell r="DJ10" t="str">
            <v>Intl</v>
          </cell>
          <cell r="DL10" t="str">
            <v>U.S.</v>
          </cell>
          <cell r="DR10" t="str">
            <v>WW</v>
          </cell>
          <cell r="DT10" t="str">
            <v>U.S.</v>
          </cell>
          <cell r="DU10" t="str">
            <v>Intl</v>
          </cell>
          <cell r="DV10" t="str">
            <v>WW</v>
          </cell>
          <cell r="DX10" t="str">
            <v>U.S.</v>
          </cell>
          <cell r="DY10" t="str">
            <v>Intl</v>
          </cell>
          <cell r="DZ10" t="str">
            <v>WW</v>
          </cell>
          <cell r="EB10" t="str">
            <v>U.S.</v>
          </cell>
          <cell r="EC10" t="str">
            <v>Intl</v>
          </cell>
          <cell r="ED10" t="str">
            <v>WW</v>
          </cell>
          <cell r="EF10" t="str">
            <v>U.S.</v>
          </cell>
          <cell r="EG10" t="str">
            <v>Intl</v>
          </cell>
          <cell r="EH10" t="str">
            <v>WW</v>
          </cell>
          <cell r="EJ10" t="str">
            <v>U.S.</v>
          </cell>
          <cell r="EK10" t="str">
            <v>Intl</v>
          </cell>
          <cell r="EL10" t="str">
            <v>WW</v>
          </cell>
        </row>
        <row r="12">
          <cell r="BZ12">
            <v>1998</v>
          </cell>
          <cell r="DO12">
            <v>1998</v>
          </cell>
        </row>
        <row r="13">
          <cell r="BZ13" t="str">
            <v xml:space="preserve"> 1Q</v>
          </cell>
          <cell r="CA13">
            <v>135</v>
          </cell>
          <cell r="CB13">
            <v>10</v>
          </cell>
          <cell r="CC13">
            <v>145</v>
          </cell>
          <cell r="CD13">
            <v>56</v>
          </cell>
          <cell r="CE13">
            <v>8</v>
          </cell>
          <cell r="CF13">
            <v>64</v>
          </cell>
          <cell r="CG13">
            <v>47</v>
          </cell>
          <cell r="CH13">
            <v>21</v>
          </cell>
          <cell r="CJ13">
            <v>68</v>
          </cell>
          <cell r="CL13">
            <v>238</v>
          </cell>
          <cell r="CM13">
            <v>39</v>
          </cell>
          <cell r="CN13">
            <v>277</v>
          </cell>
          <cell r="CP13">
            <v>180</v>
          </cell>
          <cell r="CQ13">
            <v>1</v>
          </cell>
          <cell r="CR13">
            <v>181</v>
          </cell>
          <cell r="CY13">
            <v>65</v>
          </cell>
          <cell r="CZ13">
            <v>26</v>
          </cell>
          <cell r="DA13">
            <v>91</v>
          </cell>
          <cell r="DC13">
            <v>9</v>
          </cell>
          <cell r="DD13">
            <v>0</v>
          </cell>
          <cell r="DE13">
            <v>9</v>
          </cell>
          <cell r="DG13">
            <v>0</v>
          </cell>
          <cell r="DH13">
            <v>0</v>
          </cell>
          <cell r="DI13">
            <v>0</v>
          </cell>
          <cell r="DJ13">
            <v>49</v>
          </cell>
          <cell r="DL13">
            <v>245</v>
          </cell>
          <cell r="DO13" t="str">
            <v xml:space="preserve"> 1Q</v>
          </cell>
          <cell r="DR13">
            <v>294</v>
          </cell>
          <cell r="DT13">
            <v>1702</v>
          </cell>
          <cell r="DU13">
            <v>1011</v>
          </cell>
          <cell r="DV13">
            <v>2713</v>
          </cell>
          <cell r="DX13">
            <v>73</v>
          </cell>
          <cell r="DY13">
            <v>104</v>
          </cell>
          <cell r="DZ13">
            <v>177</v>
          </cell>
          <cell r="EB13">
            <v>55</v>
          </cell>
          <cell r="EC13">
            <v>111</v>
          </cell>
          <cell r="ED13">
            <v>166</v>
          </cell>
          <cell r="EF13">
            <v>128</v>
          </cell>
          <cell r="EG13">
            <v>215</v>
          </cell>
          <cell r="EH13">
            <v>343</v>
          </cell>
          <cell r="EJ13">
            <v>1830</v>
          </cell>
          <cell r="EK13">
            <v>1226</v>
          </cell>
          <cell r="EL13">
            <v>3056</v>
          </cell>
        </row>
        <row r="14">
          <cell r="BZ14" t="str">
            <v xml:space="preserve"> 2Q</v>
          </cell>
          <cell r="CA14">
            <v>73</v>
          </cell>
          <cell r="CB14">
            <v>11</v>
          </cell>
          <cell r="CC14">
            <v>84</v>
          </cell>
          <cell r="CD14">
            <v>62</v>
          </cell>
          <cell r="CE14">
            <v>9</v>
          </cell>
          <cell r="CF14">
            <v>71</v>
          </cell>
          <cell r="CG14">
            <v>67</v>
          </cell>
          <cell r="CH14">
            <v>21</v>
          </cell>
          <cell r="CJ14">
            <v>88</v>
          </cell>
          <cell r="CL14">
            <v>202</v>
          </cell>
          <cell r="CM14">
            <v>41</v>
          </cell>
          <cell r="CN14">
            <v>243</v>
          </cell>
          <cell r="CP14">
            <v>236</v>
          </cell>
          <cell r="CQ14">
            <v>2</v>
          </cell>
          <cell r="CR14">
            <v>238</v>
          </cell>
          <cell r="CY14">
            <v>64</v>
          </cell>
          <cell r="CZ14">
            <v>26</v>
          </cell>
          <cell r="DA14">
            <v>90</v>
          </cell>
          <cell r="DC14">
            <v>9</v>
          </cell>
          <cell r="DD14">
            <v>1</v>
          </cell>
          <cell r="DE14">
            <v>10</v>
          </cell>
          <cell r="DG14">
            <v>0</v>
          </cell>
          <cell r="DH14">
            <v>0</v>
          </cell>
          <cell r="DI14">
            <v>0</v>
          </cell>
          <cell r="DJ14">
            <v>46</v>
          </cell>
          <cell r="DL14">
            <v>281</v>
          </cell>
          <cell r="DO14" t="str">
            <v xml:space="preserve"> 2Q</v>
          </cell>
          <cell r="DR14">
            <v>327</v>
          </cell>
          <cell r="DT14">
            <v>1599</v>
          </cell>
          <cell r="DU14">
            <v>1092</v>
          </cell>
          <cell r="DV14">
            <v>2691</v>
          </cell>
          <cell r="DX14">
            <v>59</v>
          </cell>
          <cell r="DY14">
            <v>112</v>
          </cell>
          <cell r="DZ14">
            <v>171</v>
          </cell>
          <cell r="EB14">
            <v>26</v>
          </cell>
          <cell r="EC14">
            <v>99</v>
          </cell>
          <cell r="ED14">
            <v>125</v>
          </cell>
          <cell r="EF14">
            <v>85</v>
          </cell>
          <cell r="EG14">
            <v>211</v>
          </cell>
          <cell r="EH14">
            <v>296</v>
          </cell>
          <cell r="EJ14">
            <v>1684</v>
          </cell>
          <cell r="EK14">
            <v>1303</v>
          </cell>
          <cell r="EL14">
            <v>2987</v>
          </cell>
        </row>
        <row r="15">
          <cell r="BZ15" t="str">
            <v xml:space="preserve"> 3Q</v>
          </cell>
          <cell r="CA15">
            <v>129</v>
          </cell>
          <cell r="CB15">
            <v>9</v>
          </cell>
          <cell r="CC15">
            <v>138</v>
          </cell>
          <cell r="CD15">
            <v>52</v>
          </cell>
          <cell r="CE15">
            <v>9</v>
          </cell>
          <cell r="CF15">
            <v>61</v>
          </cell>
          <cell r="CG15">
            <v>50</v>
          </cell>
          <cell r="CH15">
            <v>21</v>
          </cell>
          <cell r="CJ15">
            <v>71</v>
          </cell>
          <cell r="CL15">
            <v>231</v>
          </cell>
          <cell r="CM15">
            <v>39</v>
          </cell>
          <cell r="CN15">
            <v>270</v>
          </cell>
          <cell r="CP15">
            <v>220</v>
          </cell>
          <cell r="CQ15">
            <v>2</v>
          </cell>
          <cell r="CR15">
            <v>222</v>
          </cell>
          <cell r="CY15">
            <v>52</v>
          </cell>
          <cell r="CZ15">
            <v>25</v>
          </cell>
          <cell r="DA15">
            <v>77</v>
          </cell>
          <cell r="DC15">
            <v>9</v>
          </cell>
          <cell r="DD15">
            <v>1</v>
          </cell>
          <cell r="DE15">
            <v>10</v>
          </cell>
          <cell r="DG15">
            <v>0</v>
          </cell>
          <cell r="DH15">
            <v>0</v>
          </cell>
          <cell r="DI15">
            <v>0</v>
          </cell>
          <cell r="DJ15">
            <v>33</v>
          </cell>
          <cell r="DL15">
            <v>286</v>
          </cell>
          <cell r="DO15" t="str">
            <v xml:space="preserve"> 3Q</v>
          </cell>
          <cell r="DR15">
            <v>319</v>
          </cell>
          <cell r="DT15">
            <v>1815</v>
          </cell>
          <cell r="DU15">
            <v>997</v>
          </cell>
          <cell r="DV15">
            <v>2812</v>
          </cell>
          <cell r="DX15">
            <v>67</v>
          </cell>
          <cell r="DY15">
            <v>95</v>
          </cell>
          <cell r="DZ15">
            <v>162</v>
          </cell>
          <cell r="EB15">
            <v>36</v>
          </cell>
          <cell r="EC15">
            <v>90</v>
          </cell>
          <cell r="ED15">
            <v>126</v>
          </cell>
          <cell r="EF15">
            <v>103</v>
          </cell>
          <cell r="EG15">
            <v>185</v>
          </cell>
          <cell r="EH15">
            <v>288</v>
          </cell>
          <cell r="EJ15">
            <v>1918</v>
          </cell>
          <cell r="EK15">
            <v>1182</v>
          </cell>
          <cell r="EL15">
            <v>3100</v>
          </cell>
        </row>
        <row r="16">
          <cell r="BZ16" t="str">
            <v xml:space="preserve"> 4Q </v>
          </cell>
          <cell r="CA16">
            <v>152</v>
          </cell>
          <cell r="CB16">
            <v>11</v>
          </cell>
          <cell r="CC16">
            <v>163</v>
          </cell>
          <cell r="CD16">
            <v>51</v>
          </cell>
          <cell r="CE16">
            <v>10</v>
          </cell>
          <cell r="CF16">
            <v>61</v>
          </cell>
          <cell r="CG16">
            <v>65</v>
          </cell>
          <cell r="CH16">
            <v>9</v>
          </cell>
          <cell r="CJ16">
            <v>74</v>
          </cell>
          <cell r="CL16">
            <v>268</v>
          </cell>
          <cell r="CM16">
            <v>30</v>
          </cell>
          <cell r="CN16">
            <v>298</v>
          </cell>
          <cell r="CP16">
            <v>219</v>
          </cell>
          <cell r="CQ16">
            <v>2</v>
          </cell>
          <cell r="CR16">
            <v>221</v>
          </cell>
          <cell r="CY16">
            <v>86</v>
          </cell>
          <cell r="CZ16">
            <v>25</v>
          </cell>
          <cell r="DA16">
            <v>111</v>
          </cell>
          <cell r="DC16">
            <v>10</v>
          </cell>
          <cell r="DD16">
            <v>2</v>
          </cell>
          <cell r="DE16">
            <v>12</v>
          </cell>
          <cell r="DG16">
            <v>0</v>
          </cell>
          <cell r="DH16">
            <v>0</v>
          </cell>
          <cell r="DI16">
            <v>0</v>
          </cell>
          <cell r="DJ16">
            <v>51</v>
          </cell>
          <cell r="DL16">
            <v>288</v>
          </cell>
          <cell r="DO16" t="str">
            <v xml:space="preserve"> 4Q </v>
          </cell>
          <cell r="DR16">
            <v>339</v>
          </cell>
          <cell r="DT16">
            <v>1897</v>
          </cell>
          <cell r="DU16">
            <v>1164</v>
          </cell>
          <cell r="DV16">
            <v>3061</v>
          </cell>
          <cell r="DX16">
            <v>76</v>
          </cell>
          <cell r="DY16">
            <v>163</v>
          </cell>
          <cell r="DZ16">
            <v>239</v>
          </cell>
          <cell r="EB16">
            <v>40</v>
          </cell>
          <cell r="EC16">
            <v>91</v>
          </cell>
          <cell r="ED16">
            <v>131</v>
          </cell>
          <cell r="EF16">
            <v>116</v>
          </cell>
          <cell r="EG16">
            <v>254</v>
          </cell>
          <cell r="EH16">
            <v>370</v>
          </cell>
          <cell r="EJ16">
            <v>2013</v>
          </cell>
          <cell r="EK16">
            <v>1418</v>
          </cell>
          <cell r="EL16">
            <v>3431</v>
          </cell>
        </row>
        <row r="18">
          <cell r="BZ18" t="str">
            <v>Year</v>
          </cell>
          <cell r="CA18">
            <v>489</v>
          </cell>
          <cell r="CB18">
            <v>41</v>
          </cell>
          <cell r="CC18">
            <v>530</v>
          </cell>
          <cell r="CD18">
            <v>221</v>
          </cell>
          <cell r="CE18">
            <v>36</v>
          </cell>
          <cell r="CF18">
            <v>257</v>
          </cell>
          <cell r="CG18">
            <v>229</v>
          </cell>
          <cell r="CH18">
            <v>72</v>
          </cell>
          <cell r="CJ18">
            <v>301</v>
          </cell>
          <cell r="CL18">
            <v>939</v>
          </cell>
          <cell r="CM18">
            <v>149</v>
          </cell>
          <cell r="CN18">
            <v>1088</v>
          </cell>
          <cell r="CP18">
            <v>855</v>
          </cell>
          <cell r="CQ18">
            <v>7</v>
          </cell>
          <cell r="CR18">
            <v>862</v>
          </cell>
          <cell r="CY18">
            <v>267</v>
          </cell>
          <cell r="CZ18">
            <v>102</v>
          </cell>
          <cell r="DA18">
            <v>369</v>
          </cell>
          <cell r="DC18">
            <v>37</v>
          </cell>
          <cell r="DD18">
            <v>4</v>
          </cell>
          <cell r="DE18">
            <v>41</v>
          </cell>
          <cell r="DG18">
            <v>0</v>
          </cell>
          <cell r="DH18">
            <v>0</v>
          </cell>
          <cell r="DI18">
            <v>0</v>
          </cell>
          <cell r="DJ18">
            <v>179</v>
          </cell>
          <cell r="DL18">
            <v>1100</v>
          </cell>
          <cell r="DO18" t="str">
            <v>Year</v>
          </cell>
          <cell r="DR18">
            <v>1279</v>
          </cell>
          <cell r="DT18">
            <v>7013</v>
          </cell>
          <cell r="DU18">
            <v>4264</v>
          </cell>
          <cell r="DV18">
            <v>11277</v>
          </cell>
          <cell r="DX18">
            <v>275</v>
          </cell>
          <cell r="DY18">
            <v>474</v>
          </cell>
          <cell r="DZ18">
            <v>749</v>
          </cell>
          <cell r="EB18">
            <v>157</v>
          </cell>
          <cell r="EC18">
            <v>391</v>
          </cell>
          <cell r="ED18">
            <v>548</v>
          </cell>
          <cell r="EF18">
            <v>432</v>
          </cell>
          <cell r="EG18">
            <v>865</v>
          </cell>
          <cell r="EH18">
            <v>1297</v>
          </cell>
          <cell r="EJ18">
            <v>7445</v>
          </cell>
          <cell r="EK18">
            <v>5129</v>
          </cell>
          <cell r="EL18">
            <v>12574</v>
          </cell>
        </row>
        <row r="20">
          <cell r="BZ20" t="str">
            <v>1999/98</v>
          </cell>
          <cell r="DO20" t="str">
            <v>1999/98</v>
          </cell>
        </row>
        <row r="21">
          <cell r="BZ21" t="str">
            <v xml:space="preserve"> 1Q</v>
          </cell>
          <cell r="CA21">
            <v>-9.6296296296296324E-2</v>
          </cell>
          <cell r="CB21">
            <v>-9.9999999999999978E-2</v>
          </cell>
          <cell r="CC21">
            <v>-9.6551724137931033E-2</v>
          </cell>
          <cell r="CD21">
            <v>-3.5714285714285698E-2</v>
          </cell>
          <cell r="CE21">
            <v>0.125</v>
          </cell>
          <cell r="CF21">
            <v>-1.5625E-2</v>
          </cell>
          <cell r="CG21">
            <v>8.5106382978723305E-2</v>
          </cell>
          <cell r="CH21">
            <v>-0.52380952380952384</v>
          </cell>
          <cell r="CJ21">
            <v>-0.10294117647058823</v>
          </cell>
          <cell r="CL21">
            <v>-4.621848739495793E-2</v>
          </cell>
          <cell r="CM21">
            <v>-0.28205128205128205</v>
          </cell>
          <cell r="CN21">
            <v>-7.9422382671480149E-2</v>
          </cell>
          <cell r="CP21">
            <v>0.55000000000000004</v>
          </cell>
          <cell r="CQ21">
            <v>2</v>
          </cell>
          <cell r="CR21">
            <v>0.55801104972375692</v>
          </cell>
          <cell r="CY21">
            <v>-7.6923076923076872E-2</v>
          </cell>
          <cell r="CZ21">
            <v>-0.11538461538461542</v>
          </cell>
          <cell r="DA21">
            <v>-8.7912087912087919E-2</v>
          </cell>
          <cell r="DC21">
            <v>-0.11111111111111116</v>
          </cell>
          <cell r="DD21" t="str">
            <v>NM</v>
          </cell>
          <cell r="DE21">
            <v>-0.1111111111111111</v>
          </cell>
          <cell r="DG21" t="str">
            <v>NM</v>
          </cell>
          <cell r="DH21" t="str">
            <v>NM</v>
          </cell>
          <cell r="DI21" t="str">
            <v>NM</v>
          </cell>
          <cell r="DJ21">
            <v>0</v>
          </cell>
          <cell r="DL21">
            <v>-0.83265306122448979</v>
          </cell>
          <cell r="DO21" t="str">
            <v xml:space="preserve"> 1Q</v>
          </cell>
          <cell r="DR21">
            <v>-0.69387755102040816</v>
          </cell>
          <cell r="DT21">
            <v>0.19682726204465334</v>
          </cell>
          <cell r="DU21">
            <v>4.4510385756676561E-2</v>
          </cell>
          <cell r="DV21">
            <v>0.14006634721710284</v>
          </cell>
          <cell r="DX21">
            <v>-0.1095890410958904</v>
          </cell>
          <cell r="DY21">
            <v>0.48076923076923078</v>
          </cell>
          <cell r="DZ21">
            <v>0.23728813559322035</v>
          </cell>
          <cell r="EB21">
            <v>-0.29090909090909089</v>
          </cell>
          <cell r="EC21">
            <v>-0.27927927927927926</v>
          </cell>
          <cell r="ED21">
            <v>-0.28313253012048195</v>
          </cell>
          <cell r="EF21">
            <v>-0.1875</v>
          </cell>
          <cell r="EG21">
            <v>8.8372093023255813E-2</v>
          </cell>
          <cell r="EH21">
            <v>-1.4577259475218658E-2</v>
          </cell>
          <cell r="EJ21">
            <v>0.16994535519125684</v>
          </cell>
          <cell r="EK21">
            <v>5.2202283849918436E-2</v>
          </cell>
          <cell r="EL21">
            <v>0.12270942408376963</v>
          </cell>
        </row>
        <row r="22">
          <cell r="BZ22" t="str">
            <v xml:space="preserve"> 2Q</v>
          </cell>
          <cell r="CA22">
            <v>0.68493150684931514</v>
          </cell>
          <cell r="CB22">
            <v>-0.18181818181818177</v>
          </cell>
          <cell r="CC22">
            <v>0.5714285714285714</v>
          </cell>
          <cell r="CD22">
            <v>0.20967741935483875</v>
          </cell>
          <cell r="CE22">
            <v>0</v>
          </cell>
          <cell r="CF22">
            <v>0.18309859154929578</v>
          </cell>
          <cell r="CG22">
            <v>-1.4925373134328401E-2</v>
          </cell>
          <cell r="CH22">
            <v>-0.4285714285714286</v>
          </cell>
          <cell r="CJ22">
            <v>-0.11363636363636363</v>
          </cell>
          <cell r="CL22">
            <v>0.30693069306930698</v>
          </cell>
          <cell r="CM22">
            <v>-0.26829268292682928</v>
          </cell>
          <cell r="CN22">
            <v>0.20987654320987653</v>
          </cell>
          <cell r="CP22">
            <v>0.47033898305084754</v>
          </cell>
          <cell r="CQ22">
            <v>0.5</v>
          </cell>
          <cell r="CR22">
            <v>0.47058823529411764</v>
          </cell>
          <cell r="CY22">
            <v>0.28125</v>
          </cell>
          <cell r="CZ22">
            <v>-0.23076923076923073</v>
          </cell>
          <cell r="DA22">
            <v>0.13333333333333333</v>
          </cell>
          <cell r="DC22">
            <v>0.22222222222222232</v>
          </cell>
          <cell r="DD22">
            <v>1</v>
          </cell>
          <cell r="DE22">
            <v>0.3</v>
          </cell>
          <cell r="DG22" t="str">
            <v>NM</v>
          </cell>
          <cell r="DH22" t="str">
            <v>NM</v>
          </cell>
          <cell r="DI22" t="str">
            <v>NM</v>
          </cell>
          <cell r="DJ22">
            <v>0</v>
          </cell>
          <cell r="DL22">
            <v>-0.83274021352313166</v>
          </cell>
          <cell r="DO22" t="str">
            <v xml:space="preserve"> 2Q</v>
          </cell>
          <cell r="DR22">
            <v>-0.7155963302752294</v>
          </cell>
          <cell r="DT22">
            <v>0.28517823639774859</v>
          </cell>
          <cell r="DU22">
            <v>5.4945054945054949E-3</v>
          </cell>
          <cell r="DV22">
            <v>0.17168338907469341</v>
          </cell>
          <cell r="DX22">
            <v>0</v>
          </cell>
          <cell r="DY22">
            <v>0.16071428571428573</v>
          </cell>
          <cell r="DZ22">
            <v>0.10526315789473684</v>
          </cell>
          <cell r="EB22">
            <v>0.26923076923076922</v>
          </cell>
          <cell r="EC22">
            <v>-0.39393939393939392</v>
          </cell>
          <cell r="ED22">
            <v>-0.25600000000000001</v>
          </cell>
          <cell r="EF22">
            <v>8.2352941176470587E-2</v>
          </cell>
          <cell r="EG22">
            <v>-9.9526066350710901E-2</v>
          </cell>
          <cell r="EH22">
            <v>-4.72972972972973E-2</v>
          </cell>
          <cell r="EJ22">
            <v>0.27494061757719718</v>
          </cell>
          <cell r="EK22">
            <v>-1.1511895625479662E-2</v>
          </cell>
          <cell r="EL22">
            <v>0.14998326079678606</v>
          </cell>
        </row>
        <row r="23">
          <cell r="BZ23" t="str">
            <v xml:space="preserve"> 3Q</v>
          </cell>
          <cell r="CA23">
            <v>0.13178294573643412</v>
          </cell>
          <cell r="CB23">
            <v>0</v>
          </cell>
          <cell r="CC23">
            <v>0.12318840579710146</v>
          </cell>
          <cell r="CD23">
            <v>0.48076923076923084</v>
          </cell>
          <cell r="CE23">
            <v>0</v>
          </cell>
          <cell r="CF23">
            <v>0.4098360655737705</v>
          </cell>
          <cell r="CG23">
            <v>0</v>
          </cell>
          <cell r="CH23">
            <v>-0.47619047619047616</v>
          </cell>
          <cell r="CJ23">
            <v>-0.14084507042253522</v>
          </cell>
          <cell r="CL23">
            <v>0.18181818181818188</v>
          </cell>
          <cell r="CM23">
            <v>-0.25641025641025639</v>
          </cell>
          <cell r="CN23">
            <v>0.11851851851851852</v>
          </cell>
          <cell r="CP23">
            <v>0.56363636363636371</v>
          </cell>
          <cell r="CQ23">
            <v>1.5</v>
          </cell>
          <cell r="CR23">
            <v>0.57207207207207211</v>
          </cell>
          <cell r="CY23">
            <v>0.26923076923076916</v>
          </cell>
          <cell r="CZ23">
            <v>-7.999999999999996E-2</v>
          </cell>
          <cell r="DA23">
            <v>0.15584415584415584</v>
          </cell>
          <cell r="DC23">
            <v>0.33333333333333326</v>
          </cell>
          <cell r="DD23">
            <v>0</v>
          </cell>
          <cell r="DE23">
            <v>0.3</v>
          </cell>
          <cell r="DG23" t="str">
            <v>NM</v>
          </cell>
          <cell r="DH23" t="str">
            <v>NM</v>
          </cell>
          <cell r="DI23" t="str">
            <v>NM</v>
          </cell>
          <cell r="DJ23">
            <v>6.0606060606060608E-2</v>
          </cell>
          <cell r="DL23">
            <v>-0.71678321678321677</v>
          </cell>
          <cell r="DO23" t="str">
            <v xml:space="preserve"> 3Q</v>
          </cell>
          <cell r="DR23">
            <v>-0.63636363636363635</v>
          </cell>
          <cell r="DT23">
            <v>0.21707988980716253</v>
          </cell>
          <cell r="DU23">
            <v>2.2066198595787363E-2</v>
          </cell>
          <cell r="DV23">
            <v>0.14793741109530584</v>
          </cell>
          <cell r="DX23">
            <v>4.4776119402985072E-2</v>
          </cell>
          <cell r="DY23">
            <v>0.41052631578947368</v>
          </cell>
          <cell r="DZ23">
            <v>0.25925925925925924</v>
          </cell>
          <cell r="EB23">
            <v>0.1111111111111111</v>
          </cell>
          <cell r="EC23">
            <v>-0.15555555555555556</v>
          </cell>
          <cell r="ED23">
            <v>-7.9365079365079361E-2</v>
          </cell>
          <cell r="EF23">
            <v>6.7961165048543687E-2</v>
          </cell>
          <cell r="EG23">
            <v>0.13513513513513514</v>
          </cell>
          <cell r="EH23">
            <v>0.1111111111111111</v>
          </cell>
          <cell r="EJ23">
            <v>0.20907194994786235</v>
          </cell>
          <cell r="EK23">
            <v>3.976311336717428E-2</v>
          </cell>
          <cell r="EL23">
            <v>0.14451612903225808</v>
          </cell>
        </row>
        <row r="24">
          <cell r="BZ24" t="str">
            <v xml:space="preserve"> 4Q </v>
          </cell>
          <cell r="CA24">
            <v>0.16447368421052633</v>
          </cell>
          <cell r="CB24">
            <v>-9.0909090909090939E-2</v>
          </cell>
          <cell r="CC24">
            <v>0.14723926380368099</v>
          </cell>
          <cell r="CD24">
            <v>0.74509803921568629</v>
          </cell>
          <cell r="CE24">
            <v>0</v>
          </cell>
          <cell r="CF24">
            <v>0.62295081967213117</v>
          </cell>
          <cell r="CG24">
            <v>-3.0769230769230771E-2</v>
          </cell>
          <cell r="CH24">
            <v>0.33333333333333326</v>
          </cell>
          <cell r="CJ24">
            <v>1.3513513513513514E-2</v>
          </cell>
          <cell r="CL24">
            <v>0.22761194029850751</v>
          </cell>
          <cell r="CM24">
            <v>6.6666666666666652E-2</v>
          </cell>
          <cell r="CN24">
            <v>0.21140939597315436</v>
          </cell>
          <cell r="CP24">
            <v>0.51598173515981727</v>
          </cell>
          <cell r="CQ24">
            <v>1</v>
          </cell>
          <cell r="CR24">
            <v>0.52036199095022628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G24" t="str">
            <v>NM</v>
          </cell>
          <cell r="DH24" t="str">
            <v>NM</v>
          </cell>
          <cell r="DI24" t="str">
            <v>NM</v>
          </cell>
          <cell r="DJ24">
            <v>-0.11764705882352941</v>
          </cell>
          <cell r="DL24">
            <v>-0.70486111111111116</v>
          </cell>
          <cell r="DO24" t="str">
            <v xml:space="preserve"> 4Q </v>
          </cell>
          <cell r="DR24">
            <v>-0.74926253687315636</v>
          </cell>
          <cell r="DT24">
            <v>0.22509225092250923</v>
          </cell>
          <cell r="DU24">
            <v>1.804123711340206E-2</v>
          </cell>
          <cell r="DV24">
            <v>0.14635739954263313</v>
          </cell>
          <cell r="DX24">
            <v>0</v>
          </cell>
          <cell r="DY24">
            <v>9.202453987730061E-2</v>
          </cell>
          <cell r="DZ24">
            <v>6.2761506276150625E-2</v>
          </cell>
          <cell r="EB24">
            <v>0.15</v>
          </cell>
          <cell r="EC24">
            <v>-5.4945054945054944E-2</v>
          </cell>
          <cell r="ED24">
            <v>7.6335877862595417E-3</v>
          </cell>
          <cell r="EF24">
            <v>5.1724137931034482E-2</v>
          </cell>
          <cell r="EG24">
            <v>3.937007874015748E-2</v>
          </cell>
          <cell r="EH24">
            <v>4.3243243243243246E-2</v>
          </cell>
          <cell r="EJ24">
            <v>0.21510183805265773</v>
          </cell>
          <cell r="EK24">
            <v>2.1861777150916785E-2</v>
          </cell>
          <cell r="EL24">
            <v>0.13523754007577965</v>
          </cell>
        </row>
        <row r="26">
          <cell r="BZ26" t="str">
            <v>Year</v>
          </cell>
          <cell r="CA26">
            <v>0.16155419222903888</v>
          </cell>
          <cell r="CB26">
            <v>-9.7560975609756073E-2</v>
          </cell>
          <cell r="CC26">
            <v>0.14150943396226415</v>
          </cell>
          <cell r="CD26">
            <v>0.33484162895927594</v>
          </cell>
          <cell r="CE26">
            <v>2.7777777777777679E-2</v>
          </cell>
          <cell r="CF26">
            <v>0.29182879377431908</v>
          </cell>
          <cell r="CG26">
            <v>4.366812227074135E-3</v>
          </cell>
          <cell r="CH26">
            <v>-0.375</v>
          </cell>
          <cell r="CJ26">
            <v>-8.6378737541528236E-2</v>
          </cell>
          <cell r="CL26">
            <v>0.16400425985090528</v>
          </cell>
          <cell r="CM26">
            <v>-0.20134228187919467</v>
          </cell>
          <cell r="CN26">
            <v>0.11397058823529412</v>
          </cell>
          <cell r="CP26">
            <v>0.52280701754385972</v>
          </cell>
          <cell r="CQ26">
            <v>1.1428571428571428</v>
          </cell>
          <cell r="CR26">
            <v>0.52784222737819031</v>
          </cell>
          <cell r="CY26">
            <v>0.101123595505618</v>
          </cell>
          <cell r="CZ26">
            <v>-0.10784313725490191</v>
          </cell>
          <cell r="DA26">
            <v>4.3360433604336043E-2</v>
          </cell>
          <cell r="DC26">
            <v>0.10810810810810811</v>
          </cell>
          <cell r="DD26">
            <v>0.25</v>
          </cell>
          <cell r="DE26">
            <v>0.12195121951219512</v>
          </cell>
          <cell r="DG26" t="str">
            <v>NM</v>
          </cell>
          <cell r="DH26" t="str">
            <v>NM</v>
          </cell>
          <cell r="DI26" t="str">
            <v>NM</v>
          </cell>
          <cell r="DJ26">
            <v>-2.23463687150838E-2</v>
          </cell>
          <cell r="DL26">
            <v>-0.76909090909090905</v>
          </cell>
          <cell r="DO26" t="str">
            <v>Year</v>
          </cell>
          <cell r="DR26">
            <v>-0.69976544175136823</v>
          </cell>
          <cell r="DT26">
            <v>0.22985883359475259</v>
          </cell>
          <cell r="DU26">
            <v>2.2045028142589119E-2</v>
          </cell>
          <cell r="DV26">
            <v>0.15128136915846413</v>
          </cell>
          <cell r="DX26">
            <v>-1.8181818181818181E-2</v>
          </cell>
          <cell r="DY26">
            <v>0.25738396624472576</v>
          </cell>
          <cell r="DZ26">
            <v>0.15620827770360482</v>
          </cell>
          <cell r="EB26">
            <v>6.369426751592357E-3</v>
          </cell>
          <cell r="EC26">
            <v>-0.22762148337595908</v>
          </cell>
          <cell r="ED26">
            <v>-0.16058394160583941</v>
          </cell>
          <cell r="EF26">
            <v>-9.2592592592592587E-3</v>
          </cell>
          <cell r="EG26">
            <v>3.8150289017341042E-2</v>
          </cell>
          <cell r="EH26">
            <v>2.2359290670778721E-2</v>
          </cell>
          <cell r="EJ26">
            <v>0.21598388179986569</v>
          </cell>
          <cell r="EK26">
            <v>2.4761162019886918E-2</v>
          </cell>
          <cell r="EL26">
            <v>0.13798313981231111</v>
          </cell>
        </row>
        <row r="28">
          <cell r="BZ28">
            <v>1999</v>
          </cell>
          <cell r="DO28">
            <v>1999</v>
          </cell>
        </row>
        <row r="29">
          <cell r="BZ29" t="str">
            <v xml:space="preserve"> 1Q</v>
          </cell>
          <cell r="CA29">
            <v>122</v>
          </cell>
          <cell r="CB29">
            <v>9</v>
          </cell>
          <cell r="CC29">
            <v>131</v>
          </cell>
          <cell r="CD29">
            <v>54</v>
          </cell>
          <cell r="CE29">
            <v>9</v>
          </cell>
          <cell r="CF29">
            <v>63</v>
          </cell>
          <cell r="CG29">
            <v>51</v>
          </cell>
          <cell r="CH29">
            <v>10</v>
          </cell>
          <cell r="CJ29">
            <v>61</v>
          </cell>
          <cell r="CL29">
            <v>227</v>
          </cell>
          <cell r="CM29">
            <v>28</v>
          </cell>
          <cell r="CN29">
            <v>255</v>
          </cell>
          <cell r="CP29">
            <v>279</v>
          </cell>
          <cell r="CQ29">
            <v>3</v>
          </cell>
          <cell r="CR29">
            <v>282</v>
          </cell>
          <cell r="CT29">
            <v>279</v>
          </cell>
          <cell r="CU29">
            <v>3</v>
          </cell>
          <cell r="CW29">
            <v>282</v>
          </cell>
          <cell r="CY29">
            <v>60</v>
          </cell>
          <cell r="CZ29">
            <v>23</v>
          </cell>
          <cell r="DA29">
            <v>83</v>
          </cell>
          <cell r="DC29">
            <v>8</v>
          </cell>
          <cell r="DD29">
            <v>0</v>
          </cell>
          <cell r="DE29">
            <v>8</v>
          </cell>
          <cell r="DJ29">
            <v>49</v>
          </cell>
          <cell r="DL29">
            <v>41</v>
          </cell>
          <cell r="DO29" t="str">
            <v xml:space="preserve"> 1Q</v>
          </cell>
          <cell r="DR29">
            <v>90</v>
          </cell>
          <cell r="DT29">
            <v>2037</v>
          </cell>
          <cell r="DU29">
            <v>1056</v>
          </cell>
          <cell r="DV29">
            <v>3093</v>
          </cell>
          <cell r="DX29">
            <v>65</v>
          </cell>
          <cell r="DY29">
            <v>154</v>
          </cell>
          <cell r="DZ29">
            <v>219</v>
          </cell>
          <cell r="EB29">
            <v>39</v>
          </cell>
          <cell r="EC29">
            <v>80</v>
          </cell>
          <cell r="ED29">
            <v>119</v>
          </cell>
          <cell r="EF29">
            <v>104</v>
          </cell>
          <cell r="EG29">
            <v>234</v>
          </cell>
          <cell r="EH29">
            <v>338</v>
          </cell>
          <cell r="EJ29">
            <v>2141</v>
          </cell>
          <cell r="EK29">
            <v>1290</v>
          </cell>
          <cell r="EL29">
            <v>3431</v>
          </cell>
        </row>
        <row r="30">
          <cell r="BZ30" t="str">
            <v xml:space="preserve"> 2Q</v>
          </cell>
          <cell r="CA30">
            <v>123</v>
          </cell>
          <cell r="CB30">
            <v>9</v>
          </cell>
          <cell r="CC30">
            <v>132</v>
          </cell>
          <cell r="CD30">
            <v>75</v>
          </cell>
          <cell r="CE30">
            <v>9</v>
          </cell>
          <cell r="CF30">
            <v>84</v>
          </cell>
          <cell r="CG30">
            <v>66</v>
          </cell>
          <cell r="CH30">
            <v>12</v>
          </cell>
          <cell r="CJ30">
            <v>78</v>
          </cell>
          <cell r="CL30">
            <v>264</v>
          </cell>
          <cell r="CM30">
            <v>30</v>
          </cell>
          <cell r="CN30">
            <v>294</v>
          </cell>
          <cell r="CP30">
            <v>347</v>
          </cell>
          <cell r="CQ30">
            <v>3</v>
          </cell>
          <cell r="CR30">
            <v>350</v>
          </cell>
          <cell r="CT30">
            <v>347</v>
          </cell>
          <cell r="CU30">
            <v>3</v>
          </cell>
          <cell r="CW30">
            <v>350</v>
          </cell>
          <cell r="CY30">
            <v>82</v>
          </cell>
          <cell r="CZ30">
            <v>20</v>
          </cell>
          <cell r="DA30">
            <v>102</v>
          </cell>
          <cell r="DC30">
            <v>11</v>
          </cell>
          <cell r="DD30">
            <v>2</v>
          </cell>
          <cell r="DE30">
            <v>13</v>
          </cell>
          <cell r="DJ30">
            <v>46</v>
          </cell>
          <cell r="DL30">
            <v>47</v>
          </cell>
          <cell r="DO30" t="str">
            <v xml:space="preserve"> 2Q</v>
          </cell>
          <cell r="DR30">
            <v>93</v>
          </cell>
          <cell r="DT30">
            <v>2055</v>
          </cell>
          <cell r="DU30">
            <v>1098</v>
          </cell>
          <cell r="DV30">
            <v>3153</v>
          </cell>
          <cell r="DX30">
            <v>59</v>
          </cell>
          <cell r="DY30">
            <v>130</v>
          </cell>
          <cell r="DZ30">
            <v>189</v>
          </cell>
          <cell r="EB30">
            <v>33</v>
          </cell>
          <cell r="EC30">
            <v>60</v>
          </cell>
          <cell r="ED30">
            <v>93</v>
          </cell>
          <cell r="EF30">
            <v>92</v>
          </cell>
          <cell r="EG30">
            <v>190</v>
          </cell>
          <cell r="EH30">
            <v>282</v>
          </cell>
          <cell r="EJ30">
            <v>2147</v>
          </cell>
          <cell r="EK30">
            <v>1288</v>
          </cell>
          <cell r="EL30">
            <v>3435</v>
          </cell>
        </row>
        <row r="31">
          <cell r="BZ31" t="str">
            <v xml:space="preserve"> 3Q</v>
          </cell>
          <cell r="CA31">
            <v>146</v>
          </cell>
          <cell r="CB31">
            <v>9</v>
          </cell>
          <cell r="CC31">
            <v>155</v>
          </cell>
          <cell r="CD31">
            <v>77</v>
          </cell>
          <cell r="CE31">
            <v>9</v>
          </cell>
          <cell r="CF31">
            <v>86</v>
          </cell>
          <cell r="CG31">
            <v>50</v>
          </cell>
          <cell r="CH31">
            <v>11</v>
          </cell>
          <cell r="CJ31">
            <v>61</v>
          </cell>
          <cell r="CL31">
            <v>273</v>
          </cell>
          <cell r="CM31">
            <v>29</v>
          </cell>
          <cell r="CN31">
            <v>302</v>
          </cell>
          <cell r="CP31">
            <v>344</v>
          </cell>
          <cell r="CQ31">
            <v>5</v>
          </cell>
          <cell r="CR31">
            <v>349</v>
          </cell>
          <cell r="CT31">
            <v>344</v>
          </cell>
          <cell r="CU31">
            <v>5</v>
          </cell>
          <cell r="CW31">
            <v>349</v>
          </cell>
          <cell r="CY31">
            <v>66</v>
          </cell>
          <cell r="CZ31">
            <v>23</v>
          </cell>
          <cell r="DA31">
            <v>89</v>
          </cell>
          <cell r="DC31">
            <v>12</v>
          </cell>
          <cell r="DD31">
            <v>1</v>
          </cell>
          <cell r="DE31">
            <v>13</v>
          </cell>
          <cell r="DJ31">
            <v>35</v>
          </cell>
          <cell r="DL31">
            <v>81</v>
          </cell>
          <cell r="DO31" t="str">
            <v xml:space="preserve"> 3Q</v>
          </cell>
          <cell r="DR31">
            <v>116</v>
          </cell>
          <cell r="DT31">
            <v>2209</v>
          </cell>
          <cell r="DU31">
            <v>1019</v>
          </cell>
          <cell r="DV31">
            <v>3228</v>
          </cell>
          <cell r="DX31">
            <v>70</v>
          </cell>
          <cell r="DY31">
            <v>134</v>
          </cell>
          <cell r="DZ31">
            <v>204</v>
          </cell>
          <cell r="EB31">
            <v>40</v>
          </cell>
          <cell r="EC31">
            <v>76</v>
          </cell>
          <cell r="ED31">
            <v>116</v>
          </cell>
          <cell r="EF31">
            <v>110</v>
          </cell>
          <cell r="EG31">
            <v>210</v>
          </cell>
          <cell r="EH31">
            <v>320</v>
          </cell>
          <cell r="EJ31">
            <v>2319</v>
          </cell>
          <cell r="EK31">
            <v>1229</v>
          </cell>
          <cell r="EL31">
            <v>3548</v>
          </cell>
        </row>
        <row r="32">
          <cell r="BZ32" t="str">
            <v xml:space="preserve"> 4Q </v>
          </cell>
          <cell r="CA32">
            <v>177</v>
          </cell>
          <cell r="CB32">
            <v>10</v>
          </cell>
          <cell r="CC32">
            <v>187</v>
          </cell>
          <cell r="CD32">
            <v>89</v>
          </cell>
          <cell r="CE32">
            <v>10</v>
          </cell>
          <cell r="CF32">
            <v>99</v>
          </cell>
          <cell r="CG32">
            <v>63</v>
          </cell>
          <cell r="CH32">
            <v>12</v>
          </cell>
          <cell r="CJ32">
            <v>75</v>
          </cell>
          <cell r="CL32">
            <v>329</v>
          </cell>
          <cell r="CM32">
            <v>32</v>
          </cell>
          <cell r="CN32">
            <v>361</v>
          </cell>
          <cell r="CP32">
            <v>332</v>
          </cell>
          <cell r="CQ32">
            <v>4</v>
          </cell>
          <cell r="CR32">
            <v>336</v>
          </cell>
          <cell r="CT32">
            <v>332</v>
          </cell>
          <cell r="CU32">
            <v>4</v>
          </cell>
          <cell r="CW32">
            <v>336</v>
          </cell>
          <cell r="CY32">
            <v>86</v>
          </cell>
          <cell r="CZ32">
            <v>25</v>
          </cell>
          <cell r="DA32">
            <v>111</v>
          </cell>
          <cell r="DC32">
            <v>10</v>
          </cell>
          <cell r="DD32">
            <v>2</v>
          </cell>
          <cell r="DE32">
            <v>12</v>
          </cell>
          <cell r="DJ32">
            <v>45</v>
          </cell>
          <cell r="DL32">
            <v>85</v>
          </cell>
          <cell r="DO32" t="str">
            <v xml:space="preserve"> 4Q </v>
          </cell>
          <cell r="DR32">
            <v>85</v>
          </cell>
          <cell r="DT32">
            <v>2324</v>
          </cell>
          <cell r="DU32">
            <v>1185</v>
          </cell>
          <cell r="DV32">
            <v>3509</v>
          </cell>
          <cell r="DX32">
            <v>76</v>
          </cell>
          <cell r="DY32">
            <v>178</v>
          </cell>
          <cell r="DZ32">
            <v>254</v>
          </cell>
          <cell r="EB32">
            <v>46</v>
          </cell>
          <cell r="EC32">
            <v>86</v>
          </cell>
          <cell r="ED32">
            <v>132</v>
          </cell>
          <cell r="EF32">
            <v>122</v>
          </cell>
          <cell r="EG32">
            <v>264</v>
          </cell>
          <cell r="EH32">
            <v>386</v>
          </cell>
          <cell r="EJ32">
            <v>2446</v>
          </cell>
          <cell r="EK32">
            <v>1449</v>
          </cell>
          <cell r="EL32">
            <v>3895</v>
          </cell>
        </row>
        <row r="34">
          <cell r="BZ34" t="str">
            <v>Year</v>
          </cell>
          <cell r="CA34">
            <v>568</v>
          </cell>
          <cell r="CB34">
            <v>37</v>
          </cell>
          <cell r="CC34">
            <v>605</v>
          </cell>
          <cell r="CD34">
            <v>295</v>
          </cell>
          <cell r="CE34">
            <v>37</v>
          </cell>
          <cell r="CF34">
            <v>332</v>
          </cell>
          <cell r="CG34">
            <v>230</v>
          </cell>
          <cell r="CH34">
            <v>45</v>
          </cell>
          <cell r="CJ34">
            <v>275</v>
          </cell>
          <cell r="CL34">
            <v>1093</v>
          </cell>
          <cell r="CM34">
            <v>119</v>
          </cell>
          <cell r="CN34">
            <v>1212</v>
          </cell>
          <cell r="CP34">
            <v>1302</v>
          </cell>
          <cell r="CQ34">
            <v>15</v>
          </cell>
          <cell r="CR34">
            <v>1317</v>
          </cell>
          <cell r="CT34">
            <v>1302</v>
          </cell>
          <cell r="CU34">
            <v>15</v>
          </cell>
          <cell r="CW34">
            <v>1317</v>
          </cell>
          <cell r="CY34">
            <v>294</v>
          </cell>
          <cell r="CZ34">
            <v>91</v>
          </cell>
          <cell r="DA34">
            <v>385</v>
          </cell>
          <cell r="DC34">
            <v>41</v>
          </cell>
          <cell r="DD34">
            <v>5</v>
          </cell>
          <cell r="DE34">
            <v>46</v>
          </cell>
          <cell r="DJ34">
            <v>175</v>
          </cell>
          <cell r="DL34">
            <v>254</v>
          </cell>
          <cell r="DO34" t="str">
            <v>Year</v>
          </cell>
          <cell r="DR34">
            <v>384</v>
          </cell>
          <cell r="DT34">
            <v>8625</v>
          </cell>
          <cell r="DU34">
            <v>4358</v>
          </cell>
          <cell r="DV34">
            <v>12983</v>
          </cell>
          <cell r="DX34">
            <v>270</v>
          </cell>
          <cell r="DY34">
            <v>596</v>
          </cell>
          <cell r="DZ34">
            <v>866</v>
          </cell>
          <cell r="EB34">
            <v>158</v>
          </cell>
          <cell r="EC34">
            <v>302</v>
          </cell>
          <cell r="ED34">
            <v>460</v>
          </cell>
          <cell r="EF34">
            <v>428</v>
          </cell>
          <cell r="EG34">
            <v>898</v>
          </cell>
          <cell r="EH34">
            <v>1326</v>
          </cell>
          <cell r="EJ34">
            <v>9053</v>
          </cell>
          <cell r="EK34">
            <v>5256</v>
          </cell>
          <cell r="EL34">
            <v>14309</v>
          </cell>
        </row>
        <row r="36">
          <cell r="BZ36" t="str">
            <v>2000E/99</v>
          </cell>
          <cell r="DO36" t="str">
            <v>2000E/99</v>
          </cell>
        </row>
        <row r="37">
          <cell r="BZ37" t="str">
            <v>1QA</v>
          </cell>
          <cell r="CA37">
            <v>0.27049180327868849</v>
          </cell>
          <cell r="CB37">
            <v>-0.11111111111111116</v>
          </cell>
          <cell r="CC37">
            <v>0.24427480916030531</v>
          </cell>
          <cell r="CD37">
            <v>0.44444444444444442</v>
          </cell>
          <cell r="CE37">
            <v>0</v>
          </cell>
          <cell r="CF37">
            <v>0.38095238095238093</v>
          </cell>
          <cell r="CG37">
            <v>-0.25490196078431371</v>
          </cell>
          <cell r="CH37">
            <v>-9.9999999999999978E-2</v>
          </cell>
          <cell r="CJ37">
            <v>-0.22950819672131151</v>
          </cell>
          <cell r="CL37">
            <v>0.19383259911894268</v>
          </cell>
          <cell r="CM37">
            <v>-7.1428571428571397E-2</v>
          </cell>
          <cell r="CN37">
            <v>0.16470588235294126</v>
          </cell>
          <cell r="CP37">
            <v>0.51254480286738358</v>
          </cell>
          <cell r="CQ37">
            <v>0.33333333333333326</v>
          </cell>
          <cell r="CR37">
            <v>0.5106382978723405</v>
          </cell>
          <cell r="CW37">
            <v>0.5106382978723405</v>
          </cell>
          <cell r="CY37">
            <v>0</v>
          </cell>
          <cell r="CZ37">
            <v>-0.13043478260869568</v>
          </cell>
          <cell r="DA37">
            <v>-3.6144578313253017E-2</v>
          </cell>
          <cell r="DC37">
            <v>0.125</v>
          </cell>
          <cell r="DE37">
            <v>0.125</v>
          </cell>
          <cell r="DJ37">
            <v>-4.081632653061229E-2</v>
          </cell>
          <cell r="DL37">
            <v>0.43902439024390238</v>
          </cell>
          <cell r="DO37" t="str">
            <v>1QA</v>
          </cell>
          <cell r="DR37">
            <v>0.17777777777777781</v>
          </cell>
          <cell r="DT37">
            <v>0.19931271477663226</v>
          </cell>
          <cell r="DU37">
            <v>-4.4507575757575801E-2</v>
          </cell>
          <cell r="DV37">
            <v>0.11606854186873594</v>
          </cell>
          <cell r="DX37">
            <v>4.6153846153846212E-2</v>
          </cell>
          <cell r="DY37">
            <v>-6.4935064935064402E-3</v>
          </cell>
          <cell r="DZ37">
            <v>9.1324200913243114E-3</v>
          </cell>
          <cell r="EB37">
            <v>-2.5641025641025661E-2</v>
          </cell>
          <cell r="EC37">
            <v>-9.9999999999999978E-2</v>
          </cell>
          <cell r="ED37">
            <v>-7.5630252100840289E-2</v>
          </cell>
          <cell r="EF37">
            <v>1.9230769230769162E-2</v>
          </cell>
          <cell r="EG37">
            <v>-3.8461538461538436E-2</v>
          </cell>
          <cell r="EH37">
            <v>-2.0710059171597628E-2</v>
          </cell>
          <cell r="EJ37">
            <v>0.19056515646893968</v>
          </cell>
          <cell r="EK37">
            <v>-4.3410852713178349E-2</v>
          </cell>
          <cell r="EL37">
            <v>0.10259399591955698</v>
          </cell>
        </row>
        <row r="38">
          <cell r="BZ38" t="str">
            <v>2QA</v>
          </cell>
          <cell r="CA38">
            <v>0.51219512195121952</v>
          </cell>
          <cell r="CB38">
            <v>-0.11111111111111116</v>
          </cell>
          <cell r="CC38">
            <v>0.46969696969696972</v>
          </cell>
          <cell r="CD38">
            <v>0.12000000000000011</v>
          </cell>
          <cell r="CE38">
            <v>0</v>
          </cell>
          <cell r="CF38">
            <v>0.10714285714285721</v>
          </cell>
          <cell r="CG38">
            <v>-0.46969696969696972</v>
          </cell>
          <cell r="CH38">
            <v>-0.66666666666666674</v>
          </cell>
          <cell r="CJ38">
            <v>-0.5</v>
          </cell>
          <cell r="CL38">
            <v>0.15530303030303028</v>
          </cell>
          <cell r="CM38">
            <v>-0.30000000000000004</v>
          </cell>
          <cell r="CN38">
            <v>0.10884353741496589</v>
          </cell>
          <cell r="CP38">
            <v>0.38328530259366</v>
          </cell>
          <cell r="CQ38">
            <v>0.66666666666666674</v>
          </cell>
          <cell r="CR38">
            <v>0.38571428571428568</v>
          </cell>
          <cell r="CW38">
            <v>0.38571428571428568</v>
          </cell>
          <cell r="CY38">
            <v>-0.15853658536585369</v>
          </cell>
          <cell r="CZ38">
            <v>0.14999999999999991</v>
          </cell>
          <cell r="DA38">
            <v>-9.8039215686274495E-2</v>
          </cell>
          <cell r="DC38">
            <v>0</v>
          </cell>
          <cell r="DE38">
            <v>-0.15384615384615385</v>
          </cell>
          <cell r="DJ38">
            <v>-8.6956521739130488E-2</v>
          </cell>
          <cell r="DL38">
            <v>0.44680851063829796</v>
          </cell>
          <cell r="DO38" t="str">
            <v>2QA</v>
          </cell>
          <cell r="DR38">
            <v>0.18279569892473124</v>
          </cell>
          <cell r="DT38">
            <v>0.18345498783454994</v>
          </cell>
          <cell r="DU38">
            <v>-3.0965391621129323E-2</v>
          </cell>
          <cell r="DV38">
            <v>0.10878528385664454</v>
          </cell>
          <cell r="DX38">
            <v>6.7796610169491567E-2</v>
          </cell>
          <cell r="DY38">
            <v>0.15384615384615374</v>
          </cell>
          <cell r="DZ38">
            <v>0.12698412698412698</v>
          </cell>
          <cell r="EB38">
            <v>-6.0606060606060552E-2</v>
          </cell>
          <cell r="EC38">
            <v>8.3333333333333259E-2</v>
          </cell>
          <cell r="ED38">
            <v>3.2258064516129004E-2</v>
          </cell>
          <cell r="EF38">
            <v>2.1739130434782705E-2</v>
          </cell>
          <cell r="EG38">
            <v>0.13157894736842102</v>
          </cell>
          <cell r="EH38">
            <v>9.5744680851063801E-2</v>
          </cell>
          <cell r="EJ38">
            <v>0.17652538425710285</v>
          </cell>
          <cell r="EK38">
            <v>-6.9875776397515521E-3</v>
          </cell>
          <cell r="EL38">
            <v>0.10771470160116459</v>
          </cell>
        </row>
        <row r="39">
          <cell r="BZ39" t="str">
            <v>3QA</v>
          </cell>
          <cell r="CA39">
            <v>0.13698630136986312</v>
          </cell>
          <cell r="CB39">
            <v>0</v>
          </cell>
          <cell r="CC39">
            <v>0.12903225806451624</v>
          </cell>
          <cell r="CD39">
            <v>0.16883116883116878</v>
          </cell>
          <cell r="CE39">
            <v>0</v>
          </cell>
          <cell r="CF39">
            <v>0.15116279069767447</v>
          </cell>
          <cell r="CG39">
            <v>-9.9999999999999978E-2</v>
          </cell>
          <cell r="CH39">
            <v>-0.36363636363636365</v>
          </cell>
          <cell r="CJ39">
            <v>-0.14754098360655743</v>
          </cell>
          <cell r="CL39">
            <v>0.10256410256410264</v>
          </cell>
          <cell r="CM39">
            <v>-0.13793103448275867</v>
          </cell>
          <cell r="CN39">
            <v>7.9470198675496651E-2</v>
          </cell>
          <cell r="CP39">
            <v>0.24709302325581395</v>
          </cell>
          <cell r="CQ39">
            <v>0.19999999999999996</v>
          </cell>
          <cell r="CR39">
            <v>0.24641833810888247</v>
          </cell>
          <cell r="CW39">
            <v>0.40114613180515768</v>
          </cell>
          <cell r="CY39">
            <v>0.10606060606060597</v>
          </cell>
          <cell r="CZ39">
            <v>-8.6956521739130488E-2</v>
          </cell>
          <cell r="DA39">
            <v>5.6179775280898792E-2</v>
          </cell>
          <cell r="DC39">
            <v>-1</v>
          </cell>
          <cell r="DE39" t="str">
            <v>NM</v>
          </cell>
          <cell r="DJ39">
            <v>5.7142857142857162E-2</v>
          </cell>
          <cell r="DL39">
            <v>-9.8765432098765427E-2</v>
          </cell>
          <cell r="DO39" t="str">
            <v>3QA</v>
          </cell>
          <cell r="DR39">
            <v>-5.1724137931034475E-2</v>
          </cell>
          <cell r="DT39">
            <v>0.17564508827523762</v>
          </cell>
          <cell r="DU39">
            <v>1.0794896957801781E-2</v>
          </cell>
          <cell r="DV39">
            <v>0.12360594795539037</v>
          </cell>
          <cell r="DX39">
            <v>-0.11428571428571432</v>
          </cell>
          <cell r="DY39">
            <v>1.4925373134328401E-2</v>
          </cell>
          <cell r="DZ39">
            <v>-2.9411764705882359E-2</v>
          </cell>
          <cell r="EB39">
            <v>-0.19999999999999996</v>
          </cell>
          <cell r="EC39">
            <v>-0.11842105263157898</v>
          </cell>
          <cell r="ED39">
            <v>-0.14655172413793105</v>
          </cell>
          <cell r="EF39">
            <v>-0.1454545454545455</v>
          </cell>
          <cell r="EG39">
            <v>-3.3333333333333326E-2</v>
          </cell>
          <cell r="EH39">
            <v>-7.1875000000000022E-2</v>
          </cell>
          <cell r="EJ39">
            <v>0.16041397153945658</v>
          </cell>
          <cell r="EK39">
            <v>3.2546786004881145E-3</v>
          </cell>
          <cell r="EL39">
            <v>0.1059751972942502</v>
          </cell>
        </row>
        <row r="40">
          <cell r="BZ40" t="str">
            <v>4QA</v>
          </cell>
          <cell r="CA40">
            <v>-3.9548022598870025E-2</v>
          </cell>
          <cell r="CB40">
            <v>-0.30000000000000004</v>
          </cell>
          <cell r="CC40">
            <v>-5.3475935828876997E-2</v>
          </cell>
          <cell r="CD40">
            <v>-0.1797752808988764</v>
          </cell>
          <cell r="CE40">
            <v>-9.9999999999999978E-2</v>
          </cell>
          <cell r="CF40">
            <v>-0.17171717171717171</v>
          </cell>
          <cell r="CG40">
            <v>-0.31746031746031744</v>
          </cell>
          <cell r="CH40">
            <v>-0.5</v>
          </cell>
          <cell r="CJ40">
            <v>-0.34666666666666668</v>
          </cell>
          <cell r="CL40">
            <v>-0.1306990881458967</v>
          </cell>
          <cell r="CM40">
            <v>-0.3125</v>
          </cell>
          <cell r="CN40">
            <v>-0.14681440443213301</v>
          </cell>
          <cell r="CP40">
            <v>0.14457831325301207</v>
          </cell>
          <cell r="CQ40">
            <v>0.5</v>
          </cell>
          <cell r="CR40">
            <v>0.14880952380952372</v>
          </cell>
          <cell r="CW40">
            <v>0.46428571428571419</v>
          </cell>
          <cell r="DA40">
            <v>0.25225225225225234</v>
          </cell>
          <cell r="DE40" t="str">
            <v>NM</v>
          </cell>
          <cell r="DJ40">
            <v>-0.11111111111111116</v>
          </cell>
          <cell r="DL40">
            <v>-0.3294117647058824</v>
          </cell>
          <cell r="DO40" t="str">
            <v>4QA</v>
          </cell>
          <cell r="DR40">
            <v>0.14117647058823524</v>
          </cell>
          <cell r="DT40">
            <v>0.17168674698795172</v>
          </cell>
          <cell r="DU40">
            <v>-0.10042194092827006</v>
          </cell>
          <cell r="DV40">
            <v>7.9908805927614734E-2</v>
          </cell>
          <cell r="DX40">
            <v>-0.19736842105263153</v>
          </cell>
          <cell r="DY40">
            <v>-5.6179775280898903E-2</v>
          </cell>
          <cell r="DZ40">
            <v>-9.8425196850393748E-2</v>
          </cell>
          <cell r="EB40">
            <v>-0.21739130434782605</v>
          </cell>
          <cell r="EC40">
            <v>-0.12790697674418605</v>
          </cell>
          <cell r="ED40">
            <v>-0.15909090909090906</v>
          </cell>
          <cell r="EF40">
            <v>-0.20491803278688525</v>
          </cell>
          <cell r="EG40">
            <v>-7.9545454545454586E-2</v>
          </cell>
          <cell r="EH40">
            <v>-0.11917098445595853</v>
          </cell>
          <cell r="EJ40">
            <v>0.15290269828291092</v>
          </cell>
          <cell r="EK40">
            <v>-9.661835748792269E-2</v>
          </cell>
          <cell r="EL40">
            <v>6.0179717586649417E-2</v>
          </cell>
        </row>
        <row r="42">
          <cell r="BZ42" t="str">
            <v>Year</v>
          </cell>
          <cell r="CA42">
            <v>0.19190140845070422</v>
          </cell>
          <cell r="CB42">
            <v>-0.13513513513513514</v>
          </cell>
          <cell r="CC42">
            <v>0.17190082644628099</v>
          </cell>
          <cell r="CD42">
            <v>0.10169491525423729</v>
          </cell>
          <cell r="CE42">
            <v>-5.4054054054054057E-2</v>
          </cell>
          <cell r="CF42">
            <v>8.7349397590361449E-2</v>
          </cell>
          <cell r="CG42">
            <v>-0.3</v>
          </cell>
          <cell r="CH42">
            <v>-0.42222222222222222</v>
          </cell>
          <cell r="CJ42">
            <v>-0.32</v>
          </cell>
          <cell r="CL42">
            <v>6.4043915827996345E-2</v>
          </cell>
          <cell r="CM42">
            <v>-0.21848739495798319</v>
          </cell>
          <cell r="CN42">
            <v>3.6303630363036306E-2</v>
          </cell>
          <cell r="CP42">
            <v>0.31413210445468509</v>
          </cell>
          <cell r="CQ42">
            <v>0.4</v>
          </cell>
          <cell r="CR42">
            <v>0.31511009870918755</v>
          </cell>
          <cell r="CW42">
            <v>0.43659832953682615</v>
          </cell>
          <cell r="DA42">
            <v>5.1948051948051951E-2</v>
          </cell>
          <cell r="DE42">
            <v>-0.56521739130434778</v>
          </cell>
          <cell r="DJ42">
            <v>-5.1428571428571428E-2</v>
          </cell>
          <cell r="DL42">
            <v>1.1811023622047244E-2</v>
          </cell>
          <cell r="DO42" t="str">
            <v>Year</v>
          </cell>
          <cell r="DR42">
            <v>0.1015625</v>
          </cell>
          <cell r="DT42">
            <v>0.18202898550724639</v>
          </cell>
          <cell r="DU42">
            <v>-4.3368517668655349E-2</v>
          </cell>
          <cell r="DV42">
            <v>0.10640067780944309</v>
          </cell>
          <cell r="DX42">
            <v>-5.9259259259259262E-2</v>
          </cell>
          <cell r="DY42">
            <v>1.8456375838926176E-2</v>
          </cell>
          <cell r="DZ42">
            <v>-5.7736720554272519E-3</v>
          </cell>
          <cell r="EB42">
            <v>-0.13291139240506328</v>
          </cell>
          <cell r="EC42">
            <v>-7.6158940397350994E-2</v>
          </cell>
          <cell r="ED42">
            <v>-9.5652173913043481E-2</v>
          </cell>
          <cell r="EF42">
            <v>-8.6448598130841117E-2</v>
          </cell>
          <cell r="EG42">
            <v>-1.3363028953229399E-2</v>
          </cell>
          <cell r="EH42">
            <v>-3.6953242835595777E-2</v>
          </cell>
          <cell r="EJ42">
            <v>0.16933613166905997</v>
          </cell>
          <cell r="EK42">
            <v>-3.8242009132420089E-2</v>
          </cell>
          <cell r="EL42">
            <v>9.3116220560486379E-2</v>
          </cell>
        </row>
        <row r="43">
          <cell r="CC43" t="str">
            <v xml:space="preserve"> </v>
          </cell>
        </row>
        <row r="44">
          <cell r="BZ44" t="str">
            <v>2000</v>
          </cell>
          <cell r="CC44" t="str">
            <v xml:space="preserve"> </v>
          </cell>
          <cell r="DO44" t="str">
            <v>2000</v>
          </cell>
        </row>
        <row r="45">
          <cell r="BZ45" t="str">
            <v>1QA</v>
          </cell>
          <cell r="CA45">
            <v>155</v>
          </cell>
          <cell r="CB45">
            <v>8</v>
          </cell>
          <cell r="CC45">
            <v>163</v>
          </cell>
          <cell r="CD45">
            <v>78</v>
          </cell>
          <cell r="CE45">
            <v>9</v>
          </cell>
          <cell r="CF45">
            <v>87</v>
          </cell>
          <cell r="CG45">
            <v>38</v>
          </cell>
          <cell r="CH45">
            <v>9</v>
          </cell>
          <cell r="CJ45">
            <v>47</v>
          </cell>
          <cell r="CL45">
            <v>271</v>
          </cell>
          <cell r="CM45">
            <v>26</v>
          </cell>
          <cell r="CN45">
            <v>297</v>
          </cell>
          <cell r="CP45">
            <v>422</v>
          </cell>
          <cell r="CQ45">
            <v>4</v>
          </cell>
          <cell r="CR45">
            <v>426</v>
          </cell>
          <cell r="CS45">
            <v>0</v>
          </cell>
          <cell r="CV45">
            <v>0</v>
          </cell>
          <cell r="CW45">
            <v>426</v>
          </cell>
          <cell r="CY45">
            <v>60</v>
          </cell>
          <cell r="CZ45">
            <v>20</v>
          </cell>
          <cell r="DA45">
            <v>80</v>
          </cell>
          <cell r="DC45">
            <v>9</v>
          </cell>
          <cell r="DD45">
            <v>0</v>
          </cell>
          <cell r="DE45">
            <v>9</v>
          </cell>
          <cell r="DJ45">
            <v>47</v>
          </cell>
          <cell r="DL45">
            <v>59</v>
          </cell>
          <cell r="DO45" t="str">
            <v>1QA</v>
          </cell>
          <cell r="DR45">
            <v>106</v>
          </cell>
          <cell r="DT45">
            <v>2443</v>
          </cell>
          <cell r="DU45">
            <v>1009</v>
          </cell>
          <cell r="DV45">
            <v>3452</v>
          </cell>
          <cell r="DX45">
            <v>68</v>
          </cell>
          <cell r="DY45">
            <v>153</v>
          </cell>
          <cell r="DZ45">
            <v>221</v>
          </cell>
          <cell r="EB45">
            <v>38</v>
          </cell>
          <cell r="EC45">
            <v>72</v>
          </cell>
          <cell r="ED45">
            <v>110</v>
          </cell>
          <cell r="EF45">
            <v>106</v>
          </cell>
          <cell r="EG45">
            <v>225</v>
          </cell>
          <cell r="EH45">
            <v>331</v>
          </cell>
          <cell r="EJ45">
            <v>2549</v>
          </cell>
          <cell r="EK45">
            <v>1234</v>
          </cell>
          <cell r="EL45">
            <v>3783</v>
          </cell>
        </row>
        <row r="46">
          <cell r="BZ46" t="str">
            <v>2QA</v>
          </cell>
          <cell r="CA46">
            <v>186</v>
          </cell>
          <cell r="CB46">
            <v>8</v>
          </cell>
          <cell r="CC46">
            <v>194</v>
          </cell>
          <cell r="CD46">
            <v>84</v>
          </cell>
          <cell r="CE46">
            <v>9</v>
          </cell>
          <cell r="CF46">
            <v>93</v>
          </cell>
          <cell r="CG46">
            <v>35</v>
          </cell>
          <cell r="CH46">
            <v>4</v>
          </cell>
          <cell r="CJ46">
            <v>39</v>
          </cell>
          <cell r="CL46">
            <v>305</v>
          </cell>
          <cell r="CM46">
            <v>21</v>
          </cell>
          <cell r="CN46">
            <v>326</v>
          </cell>
          <cell r="CP46">
            <v>480</v>
          </cell>
          <cell r="CQ46">
            <v>5</v>
          </cell>
          <cell r="CR46">
            <v>485</v>
          </cell>
          <cell r="CS46">
            <v>0</v>
          </cell>
          <cell r="CV46">
            <v>0</v>
          </cell>
          <cell r="CW46">
            <v>485</v>
          </cell>
          <cell r="CY46">
            <v>69</v>
          </cell>
          <cell r="CZ46">
            <v>23</v>
          </cell>
          <cell r="DA46">
            <v>92</v>
          </cell>
          <cell r="DC46">
            <v>11</v>
          </cell>
          <cell r="DD46">
            <v>0</v>
          </cell>
          <cell r="DE46">
            <v>11</v>
          </cell>
          <cell r="DJ46">
            <v>42</v>
          </cell>
          <cell r="DL46">
            <v>68</v>
          </cell>
          <cell r="DO46" t="str">
            <v>2QA</v>
          </cell>
          <cell r="DR46">
            <v>110</v>
          </cell>
          <cell r="DT46">
            <v>2432</v>
          </cell>
          <cell r="DU46">
            <v>1064</v>
          </cell>
          <cell r="DV46">
            <v>3496</v>
          </cell>
          <cell r="DX46">
            <v>63</v>
          </cell>
          <cell r="DY46">
            <v>150</v>
          </cell>
          <cell r="DZ46">
            <v>213</v>
          </cell>
          <cell r="EB46">
            <v>31</v>
          </cell>
          <cell r="EC46">
            <v>65</v>
          </cell>
          <cell r="ED46">
            <v>96</v>
          </cell>
          <cell r="EF46">
            <v>94</v>
          </cell>
          <cell r="EG46">
            <v>215</v>
          </cell>
          <cell r="EH46">
            <v>309</v>
          </cell>
          <cell r="EJ46">
            <v>2526</v>
          </cell>
          <cell r="EK46">
            <v>1279</v>
          </cell>
          <cell r="EL46">
            <v>3805</v>
          </cell>
        </row>
        <row r="47">
          <cell r="BZ47" t="str">
            <v>3QA</v>
          </cell>
          <cell r="CA47">
            <v>166</v>
          </cell>
          <cell r="CB47">
            <v>9</v>
          </cell>
          <cell r="CC47">
            <v>175</v>
          </cell>
          <cell r="CD47">
            <v>90</v>
          </cell>
          <cell r="CE47">
            <v>9</v>
          </cell>
          <cell r="CF47">
            <v>99</v>
          </cell>
          <cell r="CG47">
            <v>45</v>
          </cell>
          <cell r="CH47">
            <v>7</v>
          </cell>
          <cell r="CJ47">
            <v>52</v>
          </cell>
          <cell r="CL47">
            <v>301</v>
          </cell>
          <cell r="CM47">
            <v>25</v>
          </cell>
          <cell r="CN47">
            <v>326</v>
          </cell>
          <cell r="CP47">
            <v>429</v>
          </cell>
          <cell r="CQ47">
            <v>6</v>
          </cell>
          <cell r="CR47">
            <v>435</v>
          </cell>
          <cell r="CS47">
            <v>54</v>
          </cell>
          <cell r="CV47">
            <v>0</v>
          </cell>
          <cell r="CW47">
            <v>489</v>
          </cell>
          <cell r="CY47">
            <v>73</v>
          </cell>
          <cell r="CZ47">
            <v>21</v>
          </cell>
          <cell r="DA47">
            <v>94</v>
          </cell>
          <cell r="DC47">
            <v>0</v>
          </cell>
          <cell r="DD47">
            <v>0</v>
          </cell>
          <cell r="DE47">
            <v>0</v>
          </cell>
          <cell r="DJ47">
            <v>37</v>
          </cell>
          <cell r="DL47">
            <v>73</v>
          </cell>
          <cell r="DO47" t="str">
            <v>3QA</v>
          </cell>
          <cell r="DR47">
            <v>110</v>
          </cell>
          <cell r="DT47">
            <v>2597</v>
          </cell>
          <cell r="DU47">
            <v>1030</v>
          </cell>
          <cell r="DV47">
            <v>3627</v>
          </cell>
          <cell r="DX47">
            <v>62</v>
          </cell>
          <cell r="DY47">
            <v>136</v>
          </cell>
          <cell r="DZ47">
            <v>198</v>
          </cell>
          <cell r="EB47">
            <v>32</v>
          </cell>
          <cell r="EC47">
            <v>67</v>
          </cell>
          <cell r="ED47">
            <v>99</v>
          </cell>
          <cell r="EF47">
            <v>94</v>
          </cell>
          <cell r="EG47">
            <v>203</v>
          </cell>
          <cell r="EH47">
            <v>297</v>
          </cell>
          <cell r="EJ47">
            <v>2691</v>
          </cell>
          <cell r="EK47">
            <v>1233</v>
          </cell>
          <cell r="EL47">
            <v>3924</v>
          </cell>
        </row>
        <row r="48">
          <cell r="BZ48" t="str">
            <v>4QA</v>
          </cell>
          <cell r="CA48">
            <v>170</v>
          </cell>
          <cell r="CB48">
            <v>7</v>
          </cell>
          <cell r="CC48">
            <v>177</v>
          </cell>
          <cell r="CD48">
            <v>73</v>
          </cell>
          <cell r="CE48">
            <v>9</v>
          </cell>
          <cell r="CF48">
            <v>82</v>
          </cell>
          <cell r="CG48">
            <v>43</v>
          </cell>
          <cell r="CH48">
            <v>6</v>
          </cell>
          <cell r="CJ48">
            <v>49</v>
          </cell>
          <cell r="CL48">
            <v>286</v>
          </cell>
          <cell r="CM48">
            <v>22</v>
          </cell>
          <cell r="CN48">
            <v>308</v>
          </cell>
          <cell r="CP48">
            <v>380</v>
          </cell>
          <cell r="CQ48">
            <v>6</v>
          </cell>
          <cell r="CR48">
            <v>386</v>
          </cell>
          <cell r="CS48">
            <v>56</v>
          </cell>
          <cell r="CV48">
            <v>50</v>
          </cell>
          <cell r="CW48">
            <v>492</v>
          </cell>
          <cell r="CY48">
            <v>118</v>
          </cell>
          <cell r="CZ48">
            <v>21</v>
          </cell>
          <cell r="DA48">
            <v>139</v>
          </cell>
          <cell r="DC48">
            <v>0</v>
          </cell>
          <cell r="DD48">
            <v>0</v>
          </cell>
          <cell r="DE48">
            <v>0</v>
          </cell>
          <cell r="DJ48">
            <v>40</v>
          </cell>
          <cell r="DL48">
            <v>57</v>
          </cell>
          <cell r="DO48" t="str">
            <v>4QA</v>
          </cell>
          <cell r="DR48">
            <v>97</v>
          </cell>
          <cell r="DT48">
            <v>2723</v>
          </cell>
          <cell r="DU48">
            <v>1066</v>
          </cell>
          <cell r="DV48">
            <v>3789.4</v>
          </cell>
          <cell r="DX48">
            <v>61</v>
          </cell>
          <cell r="DY48">
            <v>168</v>
          </cell>
          <cell r="DZ48">
            <v>229</v>
          </cell>
          <cell r="EB48">
            <v>36</v>
          </cell>
          <cell r="EC48">
            <v>75</v>
          </cell>
          <cell r="ED48">
            <v>111</v>
          </cell>
          <cell r="EF48">
            <v>97</v>
          </cell>
          <cell r="EG48">
            <v>243</v>
          </cell>
          <cell r="EH48">
            <v>340</v>
          </cell>
          <cell r="EJ48">
            <v>2820</v>
          </cell>
          <cell r="EK48">
            <v>1309</v>
          </cell>
          <cell r="EL48">
            <v>4129.3999999999996</v>
          </cell>
        </row>
        <row r="50">
          <cell r="BZ50" t="str">
            <v>Year</v>
          </cell>
          <cell r="CA50">
            <v>677</v>
          </cell>
          <cell r="CB50">
            <v>32</v>
          </cell>
          <cell r="CC50">
            <v>709</v>
          </cell>
          <cell r="CD50">
            <v>325</v>
          </cell>
          <cell r="CE50">
            <v>35</v>
          </cell>
          <cell r="CF50">
            <v>361</v>
          </cell>
          <cell r="CG50">
            <v>161</v>
          </cell>
          <cell r="CH50">
            <v>26</v>
          </cell>
          <cell r="CJ50">
            <v>187</v>
          </cell>
          <cell r="CK50">
            <v>0</v>
          </cell>
          <cell r="CL50">
            <v>1163</v>
          </cell>
          <cell r="CM50">
            <v>93</v>
          </cell>
          <cell r="CN50">
            <v>1256</v>
          </cell>
          <cell r="CP50">
            <v>1711</v>
          </cell>
          <cell r="CQ50">
            <v>21</v>
          </cell>
          <cell r="CR50">
            <v>1732</v>
          </cell>
          <cell r="CS50">
            <v>110</v>
          </cell>
          <cell r="CV50">
            <v>50</v>
          </cell>
          <cell r="CW50">
            <v>1892</v>
          </cell>
          <cell r="CY50">
            <v>320</v>
          </cell>
          <cell r="CZ50">
            <v>85</v>
          </cell>
          <cell r="DA50">
            <v>405</v>
          </cell>
          <cell r="DC50">
            <v>20</v>
          </cell>
          <cell r="DD50">
            <v>0</v>
          </cell>
          <cell r="DE50">
            <v>20</v>
          </cell>
          <cell r="DJ50">
            <v>166</v>
          </cell>
          <cell r="DL50">
            <v>257</v>
          </cell>
          <cell r="DO50" t="str">
            <v>Year</v>
          </cell>
          <cell r="DR50">
            <v>423</v>
          </cell>
          <cell r="DT50">
            <v>10195</v>
          </cell>
          <cell r="DU50">
            <v>4169</v>
          </cell>
          <cell r="DV50">
            <v>14364.4</v>
          </cell>
          <cell r="DX50">
            <v>254</v>
          </cell>
          <cell r="DY50">
            <v>607</v>
          </cell>
          <cell r="DZ50">
            <v>861</v>
          </cell>
          <cell r="EB50">
            <v>137</v>
          </cell>
          <cell r="EC50">
            <v>279</v>
          </cell>
          <cell r="ED50">
            <v>416</v>
          </cell>
          <cell r="EF50">
            <v>391</v>
          </cell>
          <cell r="EG50">
            <v>886</v>
          </cell>
          <cell r="EH50">
            <v>1277</v>
          </cell>
          <cell r="EJ50">
            <v>10586</v>
          </cell>
          <cell r="EK50">
            <v>5055</v>
          </cell>
          <cell r="EL50">
            <v>15641.4</v>
          </cell>
        </row>
        <row r="52">
          <cell r="BZ52" t="str">
            <v>2001/00</v>
          </cell>
          <cell r="DO52" t="str">
            <v>2001/00</v>
          </cell>
        </row>
        <row r="53">
          <cell r="BZ53" t="str">
            <v>1QA</v>
          </cell>
          <cell r="CC53">
            <v>0.24539877300613488</v>
          </cell>
          <cell r="CF53">
            <v>0.10344827586206895</v>
          </cell>
          <cell r="CJ53">
            <v>-0.34042553191489366</v>
          </cell>
          <cell r="CK53" t="e">
            <v>#DIV/0!</v>
          </cell>
          <cell r="CN53">
            <v>0.11111111111111116</v>
          </cell>
          <cell r="CR53">
            <v>0.21830985915492951</v>
          </cell>
          <cell r="CS53" t="str">
            <v>NM</v>
          </cell>
          <cell r="CW53">
            <v>0.30751173708920199</v>
          </cell>
          <cell r="DA53">
            <v>0.22500000000000009</v>
          </cell>
          <cell r="DJ53">
            <v>-1</v>
          </cell>
          <cell r="DL53">
            <v>-1</v>
          </cell>
          <cell r="DO53" t="str">
            <v>1QA</v>
          </cell>
          <cell r="DR53">
            <v>-0.24528301886792447</v>
          </cell>
          <cell r="DT53">
            <v>-1</v>
          </cell>
          <cell r="DU53">
            <v>-1</v>
          </cell>
          <cell r="DV53">
            <v>7.8505214368482124E-2</v>
          </cell>
          <cell r="DX53">
            <v>-1</v>
          </cell>
          <cell r="DY53">
            <v>-1</v>
          </cell>
          <cell r="DZ53">
            <v>-8.5972850678733059E-2</v>
          </cell>
          <cell r="EA53" t="e">
            <v>#DIV/0!</v>
          </cell>
          <cell r="EB53">
            <v>-1</v>
          </cell>
          <cell r="EC53">
            <v>-1</v>
          </cell>
          <cell r="ED53">
            <v>-0.15454545454545454</v>
          </cell>
          <cell r="EF53">
            <v>-1</v>
          </cell>
          <cell r="EG53">
            <v>-1</v>
          </cell>
          <cell r="EH53">
            <v>-0.10876132930513593</v>
          </cell>
          <cell r="EJ53">
            <v>-1</v>
          </cell>
          <cell r="EK53">
            <v>-1</v>
          </cell>
          <cell r="EL53">
            <v>6.2120010573618822E-2</v>
          </cell>
        </row>
        <row r="54">
          <cell r="BZ54" t="str">
            <v>2QA</v>
          </cell>
          <cell r="CC54">
            <v>-0.54123711340206193</v>
          </cell>
          <cell r="CF54">
            <v>1.0752688172043001E-2</v>
          </cell>
          <cell r="CJ54">
            <v>-0.38461538461538458</v>
          </cell>
          <cell r="CK54" t="e">
            <v>#DIV/0!</v>
          </cell>
          <cell r="CN54">
            <v>-0.36503067484662577</v>
          </cell>
          <cell r="CR54">
            <v>6.5979381443298957E-2</v>
          </cell>
          <cell r="CS54" t="str">
            <v>NM</v>
          </cell>
          <cell r="CW54">
            <v>0.57319587628865976</v>
          </cell>
          <cell r="DA54">
            <v>-8.6956521739130488E-2</v>
          </cell>
          <cell r="DJ54">
            <v>-1</v>
          </cell>
          <cell r="DL54">
            <v>-1</v>
          </cell>
          <cell r="DO54" t="str">
            <v>2QA</v>
          </cell>
          <cell r="DR54">
            <v>-1.8181818181818188E-2</v>
          </cell>
          <cell r="DV54">
            <v>8.4954233409610946E-2</v>
          </cell>
          <cell r="DZ54">
            <v>-2.3474178403755874E-2</v>
          </cell>
          <cell r="EA54" t="e">
            <v>#DIV/0!</v>
          </cell>
          <cell r="EB54">
            <v>-1</v>
          </cell>
          <cell r="EC54">
            <v>-1</v>
          </cell>
          <cell r="ED54">
            <v>-0.10416666666666663</v>
          </cell>
          <cell r="EF54">
            <v>-1</v>
          </cell>
          <cell r="EG54">
            <v>-1</v>
          </cell>
          <cell r="EH54">
            <v>-4.8543689320388328E-2</v>
          </cell>
          <cell r="EJ54">
            <v>-1</v>
          </cell>
          <cell r="EK54">
            <v>-1</v>
          </cell>
          <cell r="EL54">
            <v>7.411300919842323E-2</v>
          </cell>
        </row>
        <row r="55">
          <cell r="BZ55" t="str">
            <v>3QA</v>
          </cell>
          <cell r="CC55">
            <v>-0.84</v>
          </cell>
          <cell r="CF55">
            <v>-2.0202020202020221E-2</v>
          </cell>
          <cell r="CJ55">
            <v>-0.34615384615384615</v>
          </cell>
          <cell r="CK55" t="e">
            <v>#DIV/0!</v>
          </cell>
          <cell r="CN55">
            <v>-0.51226993865030668</v>
          </cell>
          <cell r="CR55">
            <v>0.16091954022988508</v>
          </cell>
          <cell r="CS55">
            <v>0.7592592592592593</v>
          </cell>
          <cell r="CW55">
            <v>0.4355828220858895</v>
          </cell>
          <cell r="DA55">
            <v>-9.5744680851063801E-2</v>
          </cell>
          <cell r="DJ55">
            <v>-1</v>
          </cell>
          <cell r="DL55">
            <v>-1</v>
          </cell>
          <cell r="DO55" t="str">
            <v>3QA</v>
          </cell>
          <cell r="DR55">
            <v>-0.30000000000000004</v>
          </cell>
          <cell r="DV55">
            <v>5.7071960297766733E-2</v>
          </cell>
          <cell r="DZ55">
            <v>-5.0505050505050497E-2</v>
          </cell>
          <cell r="EA55" t="e">
            <v>#DIV/0!</v>
          </cell>
          <cell r="EB55">
            <v>-1</v>
          </cell>
          <cell r="EC55">
            <v>-1</v>
          </cell>
          <cell r="ED55">
            <v>-0.10101010101010099</v>
          </cell>
          <cell r="EF55">
            <v>-1</v>
          </cell>
          <cell r="EG55">
            <v>-1</v>
          </cell>
          <cell r="EH55">
            <v>-6.7340067340067367E-2</v>
          </cell>
          <cell r="EJ55">
            <v>-1</v>
          </cell>
          <cell r="EK55">
            <v>-1</v>
          </cell>
          <cell r="EL55">
            <v>4.7655453618756338E-2</v>
          </cell>
        </row>
        <row r="56">
          <cell r="BZ56" t="str">
            <v>4QA</v>
          </cell>
          <cell r="CC56">
            <v>-0.89830508474576276</v>
          </cell>
          <cell r="CF56">
            <v>0.48780487804878048</v>
          </cell>
          <cell r="CJ56">
            <v>-0.67346938775510201</v>
          </cell>
          <cell r="CN56">
            <v>-0.4935064935064935</v>
          </cell>
          <cell r="CR56">
            <v>0.31606217616580312</v>
          </cell>
          <cell r="CS56">
            <v>0.3392857142857143</v>
          </cell>
          <cell r="CW56">
            <v>0.34146341463414642</v>
          </cell>
          <cell r="DA56">
            <v>-1</v>
          </cell>
          <cell r="DJ56">
            <v>-1</v>
          </cell>
          <cell r="DL56">
            <v>-1</v>
          </cell>
          <cell r="DO56" t="str">
            <v>4QA</v>
          </cell>
          <cell r="DR56">
            <v>0.63917525773195871</v>
          </cell>
          <cell r="DV56">
            <v>3.8950757375837863E-2</v>
          </cell>
          <cell r="DZ56">
            <v>-8.7336244541484712E-3</v>
          </cell>
          <cell r="ED56">
            <v>-6.3063063063063057E-2</v>
          </cell>
          <cell r="EH56">
            <v>-2.6470588235294117E-2</v>
          </cell>
          <cell r="EL56">
            <v>3.3564198188599015E-2</v>
          </cell>
        </row>
        <row r="58">
          <cell r="BZ58" t="str">
            <v>Year</v>
          </cell>
          <cell r="CC58">
            <v>-0.52327221438645988</v>
          </cell>
          <cell r="CF58">
            <v>0.13296398891966765</v>
          </cell>
          <cell r="CJ58">
            <v>-0.3</v>
          </cell>
          <cell r="CN58">
            <v>-0.321656050955414</v>
          </cell>
          <cell r="CR58">
            <v>0.18302540415704383</v>
          </cell>
          <cell r="CS58">
            <v>1.9909090909090907</v>
          </cell>
          <cell r="CW58">
            <v>0.41754756871035942</v>
          </cell>
          <cell r="DA58">
            <v>-0.34074074074074079</v>
          </cell>
          <cell r="DO58" t="str">
            <v>Year</v>
          </cell>
          <cell r="DR58">
            <v>2.3640661938533203E-3</v>
          </cell>
          <cell r="DV58">
            <v>6.4228230904179812E-2</v>
          </cell>
          <cell r="DZ58">
            <v>-4.181184668989546E-2</v>
          </cell>
          <cell r="ED58">
            <v>-0.10576923076923073</v>
          </cell>
          <cell r="EH58">
            <v>-6.2646828504306917E-2</v>
          </cell>
          <cell r="EL58">
            <v>5.3869858196836623E-2</v>
          </cell>
        </row>
        <row r="59">
          <cell r="CC59" t="str">
            <v xml:space="preserve"> </v>
          </cell>
        </row>
        <row r="60">
          <cell r="BZ60" t="str">
            <v>2001</v>
          </cell>
          <cell r="CC60" t="str">
            <v xml:space="preserve"> </v>
          </cell>
          <cell r="DO60" t="str">
            <v>2001</v>
          </cell>
        </row>
        <row r="61">
          <cell r="BZ61" t="str">
            <v>1QA</v>
          </cell>
          <cell r="CC61">
            <v>203</v>
          </cell>
          <cell r="CF61">
            <v>96</v>
          </cell>
          <cell r="CJ61">
            <v>31</v>
          </cell>
          <cell r="CN61">
            <v>330</v>
          </cell>
          <cell r="CR61">
            <v>519</v>
          </cell>
          <cell r="CS61">
            <v>24</v>
          </cell>
          <cell r="CV61">
            <v>14</v>
          </cell>
          <cell r="CW61">
            <v>557</v>
          </cell>
          <cell r="DA61">
            <v>98</v>
          </cell>
          <cell r="DO61" t="str">
            <v>1QA</v>
          </cell>
          <cell r="DR61">
            <v>80</v>
          </cell>
          <cell r="DV61">
            <v>3723</v>
          </cell>
          <cell r="DZ61">
            <v>202</v>
          </cell>
          <cell r="ED61">
            <v>93</v>
          </cell>
          <cell r="EH61">
            <v>295</v>
          </cell>
          <cell r="EJ61">
            <v>0</v>
          </cell>
          <cell r="EK61">
            <v>0</v>
          </cell>
          <cell r="EL61">
            <v>4018</v>
          </cell>
        </row>
        <row r="62">
          <cell r="BZ62" t="str">
            <v>2QA</v>
          </cell>
          <cell r="CC62">
            <v>89</v>
          </cell>
          <cell r="CF62">
            <v>94</v>
          </cell>
          <cell r="CJ62">
            <v>24</v>
          </cell>
          <cell r="CN62">
            <v>207</v>
          </cell>
          <cell r="CR62">
            <v>517</v>
          </cell>
          <cell r="CS62">
            <v>135</v>
          </cell>
          <cell r="CV62">
            <v>111</v>
          </cell>
          <cell r="CW62">
            <v>763</v>
          </cell>
          <cell r="DA62">
            <v>84</v>
          </cell>
          <cell r="DO62" t="str">
            <v>2QA</v>
          </cell>
          <cell r="DR62">
            <v>108</v>
          </cell>
          <cell r="DV62">
            <v>3793</v>
          </cell>
          <cell r="DZ62">
            <v>208</v>
          </cell>
          <cell r="ED62">
            <v>86</v>
          </cell>
          <cell r="EH62">
            <v>294</v>
          </cell>
          <cell r="EJ62">
            <v>0</v>
          </cell>
          <cell r="EK62">
            <v>0</v>
          </cell>
          <cell r="EL62">
            <v>4087</v>
          </cell>
        </row>
        <row r="63">
          <cell r="BZ63" t="str">
            <v>3QA</v>
          </cell>
          <cell r="CC63">
            <v>28</v>
          </cell>
          <cell r="CF63">
            <v>97</v>
          </cell>
          <cell r="CJ63">
            <v>34</v>
          </cell>
          <cell r="CN63">
            <v>159</v>
          </cell>
          <cell r="CR63">
            <v>505</v>
          </cell>
          <cell r="CS63">
            <v>95</v>
          </cell>
          <cell r="CV63">
            <v>102</v>
          </cell>
          <cell r="CW63">
            <v>702</v>
          </cell>
          <cell r="DA63">
            <v>85</v>
          </cell>
          <cell r="DO63" t="str">
            <v>3QA</v>
          </cell>
          <cell r="DR63">
            <v>77</v>
          </cell>
          <cell r="DV63">
            <v>3834</v>
          </cell>
          <cell r="DZ63">
            <v>188</v>
          </cell>
          <cell r="ED63">
            <v>89</v>
          </cell>
          <cell r="EH63">
            <v>277</v>
          </cell>
          <cell r="EJ63">
            <v>0</v>
          </cell>
          <cell r="EK63">
            <v>0</v>
          </cell>
          <cell r="EL63">
            <v>4111</v>
          </cell>
        </row>
        <row r="64">
          <cell r="BZ64" t="str">
            <v>4QA</v>
          </cell>
          <cell r="CC64">
            <v>18</v>
          </cell>
          <cell r="CF64">
            <v>122</v>
          </cell>
          <cell r="CJ64">
            <v>16</v>
          </cell>
          <cell r="CN64">
            <v>156</v>
          </cell>
          <cell r="CR64">
            <v>508</v>
          </cell>
          <cell r="CS64">
            <v>75</v>
          </cell>
          <cell r="CV64">
            <v>77</v>
          </cell>
          <cell r="CW64">
            <v>660</v>
          </cell>
          <cell r="DA64">
            <v>0</v>
          </cell>
          <cell r="DO64" t="str">
            <v>4QA</v>
          </cell>
          <cell r="DR64">
            <v>159</v>
          </cell>
          <cell r="DV64">
            <v>3937</v>
          </cell>
          <cell r="DZ64">
            <v>227</v>
          </cell>
          <cell r="ED64">
            <v>104</v>
          </cell>
          <cell r="EH64">
            <v>331</v>
          </cell>
          <cell r="EJ64">
            <v>0</v>
          </cell>
          <cell r="EK64">
            <v>0</v>
          </cell>
          <cell r="EL64">
            <v>4268</v>
          </cell>
        </row>
        <row r="66">
          <cell r="BZ66" t="str">
            <v>Year</v>
          </cell>
          <cell r="CC66">
            <v>338</v>
          </cell>
          <cell r="CF66">
            <v>409</v>
          </cell>
          <cell r="CJ66">
            <v>105</v>
          </cell>
          <cell r="CN66">
            <v>852</v>
          </cell>
          <cell r="CR66">
            <v>2049</v>
          </cell>
          <cell r="CS66">
            <v>329</v>
          </cell>
          <cell r="CV66">
            <v>304</v>
          </cell>
          <cell r="CW66">
            <v>2682</v>
          </cell>
          <cell r="DA66">
            <v>267</v>
          </cell>
          <cell r="DO66" t="str">
            <v>Year</v>
          </cell>
          <cell r="DR66">
            <v>424</v>
          </cell>
          <cell r="DV66">
            <v>15287</v>
          </cell>
          <cell r="DZ66">
            <v>825</v>
          </cell>
          <cell r="ED66">
            <v>372</v>
          </cell>
          <cell r="EH66">
            <v>1197</v>
          </cell>
          <cell r="EL66">
            <v>16484</v>
          </cell>
        </row>
        <row r="69">
          <cell r="BZ69" t="str">
            <v>2002E/01</v>
          </cell>
          <cell r="DO69" t="str">
            <v>2002E/01</v>
          </cell>
        </row>
        <row r="70">
          <cell r="BZ70" t="str">
            <v>1QE</v>
          </cell>
          <cell r="CC70">
            <v>-0.94</v>
          </cell>
          <cell r="CF70">
            <v>-7.0000000000000007E-2</v>
          </cell>
          <cell r="CJ70">
            <v>-0.1</v>
          </cell>
          <cell r="CN70">
            <v>-0.51709090909090905</v>
          </cell>
          <cell r="CR70">
            <v>-0.47976878612716767</v>
          </cell>
          <cell r="CS70">
            <v>2.3333333333333335</v>
          </cell>
          <cell r="CV70">
            <v>4.7142857142857144</v>
          </cell>
          <cell r="CW70">
            <v>-0.2280071813285458</v>
          </cell>
          <cell r="DI70" t="str">
            <v>NM</v>
          </cell>
          <cell r="DO70" t="str">
            <v>1QE</v>
          </cell>
          <cell r="DR70">
            <v>1.25</v>
          </cell>
          <cell r="DV70">
            <v>-1.6825141015310185E-2</v>
          </cell>
          <cell r="DZ70">
            <v>-0.04</v>
          </cell>
          <cell r="ED70">
            <v>0.03</v>
          </cell>
          <cell r="EH70">
            <v>-7.5288135593220229E-2</v>
          </cell>
          <cell r="EL70">
            <v>-2.1117471378795383E-2</v>
          </cell>
        </row>
        <row r="71">
          <cell r="BZ71" t="str">
            <v>2QE</v>
          </cell>
          <cell r="CC71">
            <v>-0.88</v>
          </cell>
          <cell r="CF71">
            <v>-0.1</v>
          </cell>
          <cell r="CJ71">
            <v>-7.0000000000000007E-2</v>
          </cell>
          <cell r="CN71">
            <v>-0.3545893719806763</v>
          </cell>
          <cell r="CR71">
            <v>-0.8646034816247582</v>
          </cell>
          <cell r="CS71">
            <v>-0.40740740740740744</v>
          </cell>
          <cell r="CV71">
            <v>-0.18918918918918914</v>
          </cell>
          <cell r="CW71">
            <v>-0.68545216251638275</v>
          </cell>
          <cell r="DI71" t="str">
            <v>NM</v>
          </cell>
          <cell r="DO71" t="str">
            <v>2QE</v>
          </cell>
          <cell r="DR71">
            <v>0.64814814814814814</v>
          </cell>
          <cell r="DV71">
            <v>-6.1639862905351839E-2</v>
          </cell>
          <cell r="DZ71">
            <v>-0.04</v>
          </cell>
          <cell r="ED71">
            <v>-0.08</v>
          </cell>
          <cell r="EH71">
            <v>-0.13605442176870752</v>
          </cell>
          <cell r="EL71">
            <v>-6.6992904330804959E-2</v>
          </cell>
        </row>
        <row r="72">
          <cell r="BZ72" t="str">
            <v>3QE</v>
          </cell>
          <cell r="CC72">
            <v>-0.7</v>
          </cell>
          <cell r="CF72">
            <v>-0.1</v>
          </cell>
          <cell r="CJ72">
            <v>-0.25</v>
          </cell>
          <cell r="CN72">
            <v>-4.9056603773585006E-2</v>
          </cell>
          <cell r="CR72">
            <v>-0.9</v>
          </cell>
          <cell r="CS72">
            <v>0</v>
          </cell>
          <cell r="CV72">
            <v>0</v>
          </cell>
          <cell r="CW72">
            <v>-0.64743589743589736</v>
          </cell>
          <cell r="DI72" t="str">
            <v>NM</v>
          </cell>
          <cell r="DO72" t="str">
            <v>3QE</v>
          </cell>
          <cell r="DR72">
            <v>1.2077922077922079</v>
          </cell>
          <cell r="DV72">
            <v>-3.7149191444966201E-2</v>
          </cell>
          <cell r="DZ72">
            <v>-0.08</v>
          </cell>
          <cell r="ED72">
            <v>-0.08</v>
          </cell>
          <cell r="EH72">
            <v>-0.10873646209386278</v>
          </cell>
          <cell r="EL72">
            <v>-4.1972756020433044E-2</v>
          </cell>
        </row>
        <row r="73">
          <cell r="BZ73" t="str">
            <v>4QE</v>
          </cell>
          <cell r="CC73">
            <v>-0.76500000000000101</v>
          </cell>
          <cell r="CF73">
            <v>-0.25770491803278683</v>
          </cell>
          <cell r="CJ73">
            <v>0.56749999999999989</v>
          </cell>
          <cell r="CN73">
            <v>5.044871794871808E-2</v>
          </cell>
          <cell r="CR73">
            <v>-0.92167322834645682</v>
          </cell>
          <cell r="CS73">
            <v>0.20599999999999974</v>
          </cell>
          <cell r="CV73">
            <v>0.12623376623376581</v>
          </cell>
          <cell r="CW73">
            <v>-0.67127272727272747</v>
          </cell>
          <cell r="DI73" t="str">
            <v>NM</v>
          </cell>
          <cell r="DO73" t="str">
            <v>4QE</v>
          </cell>
          <cell r="DR73">
            <v>1.8867924528301883E-2</v>
          </cell>
          <cell r="DV73">
            <v>-6.7785115570231147E-2</v>
          </cell>
          <cell r="DZ73">
            <v>-0.17180616740088106</v>
          </cell>
          <cell r="ED73">
            <v>-0.36951923076923088</v>
          </cell>
          <cell r="EH73">
            <v>-0.23392749244712996</v>
          </cell>
          <cell r="EL73">
            <v>-8.0670103092783441E-2</v>
          </cell>
        </row>
        <row r="75">
          <cell r="BZ75" t="str">
            <v>2002/01E</v>
          </cell>
          <cell r="CC75">
            <v>-0.89500000000000002</v>
          </cell>
          <cell r="CF75">
            <v>-0.14000000000000001</v>
          </cell>
          <cell r="CI75" t="str">
            <v>NM</v>
          </cell>
          <cell r="CJ75">
            <v>-0.04</v>
          </cell>
          <cell r="CN75">
            <v>-0.28634976525821598</v>
          </cell>
          <cell r="CR75">
            <v>-0.79</v>
          </cell>
          <cell r="CS75">
            <v>0.05</v>
          </cell>
          <cell r="CV75">
            <v>0.18</v>
          </cell>
          <cell r="CW75">
            <v>-0.57700969425801651</v>
          </cell>
          <cell r="DI75" t="str">
            <v>NM</v>
          </cell>
          <cell r="DO75" t="str">
            <v>2002/01E</v>
          </cell>
          <cell r="DR75">
            <v>0.62735849056603776</v>
          </cell>
          <cell r="DV75">
            <v>-4.6166023418590947E-2</v>
          </cell>
          <cell r="DZ75">
            <v>-0.05</v>
          </cell>
          <cell r="EA75" t="str">
            <v>%</v>
          </cell>
          <cell r="ED75">
            <v>-0.08</v>
          </cell>
          <cell r="EH75">
            <v>-0.14182121971595654</v>
          </cell>
          <cell r="EL75">
            <v>-5.3112108711477798E-2</v>
          </cell>
        </row>
        <row r="77">
          <cell r="BZ77" t="str">
            <v>2002E</v>
          </cell>
          <cell r="DO77" t="str">
            <v>2002E</v>
          </cell>
        </row>
        <row r="78">
          <cell r="BZ78" t="str">
            <v>1QE</v>
          </cell>
          <cell r="CC78">
            <v>12.18000000000001</v>
          </cell>
          <cell r="CF78">
            <v>89.28</v>
          </cell>
          <cell r="CI78">
            <v>30</v>
          </cell>
          <cell r="CJ78">
            <v>27.900000000000002</v>
          </cell>
          <cell r="CN78">
            <v>159.36000000000001</v>
          </cell>
          <cell r="CR78">
            <v>270</v>
          </cell>
          <cell r="CS78">
            <v>80</v>
          </cell>
          <cell r="CV78">
            <v>80</v>
          </cell>
          <cell r="CW78">
            <v>430</v>
          </cell>
          <cell r="DI78">
            <v>0</v>
          </cell>
          <cell r="DO78" t="str">
            <v>1QE</v>
          </cell>
          <cell r="DP78">
            <v>0</v>
          </cell>
          <cell r="DR78">
            <v>180</v>
          </cell>
          <cell r="DV78">
            <v>3660.36</v>
          </cell>
          <cell r="DZ78">
            <v>177</v>
          </cell>
          <cell r="ED78">
            <v>95.79</v>
          </cell>
          <cell r="EH78">
            <v>272.79000000000002</v>
          </cell>
          <cell r="EL78">
            <v>3933.15</v>
          </cell>
        </row>
        <row r="79">
          <cell r="BZ79" t="str">
            <v>2QA</v>
          </cell>
          <cell r="CC79">
            <v>10.68</v>
          </cell>
          <cell r="CF79">
            <v>84.600000000000009</v>
          </cell>
          <cell r="CI79">
            <v>16</v>
          </cell>
          <cell r="CJ79">
            <v>22.32</v>
          </cell>
          <cell r="CN79">
            <v>133.6</v>
          </cell>
          <cell r="CR79">
            <v>70</v>
          </cell>
          <cell r="CS79">
            <v>80</v>
          </cell>
          <cell r="CV79">
            <v>90</v>
          </cell>
          <cell r="CW79">
            <v>240</v>
          </cell>
          <cell r="DI79">
            <v>0</v>
          </cell>
          <cell r="DO79" t="str">
            <v>2QA</v>
          </cell>
          <cell r="DP79">
            <v>0</v>
          </cell>
          <cell r="DR79">
            <v>178</v>
          </cell>
          <cell r="DV79">
            <v>3559.2000000000003</v>
          </cell>
          <cell r="DZ79">
            <v>155</v>
          </cell>
          <cell r="ED79">
            <v>99</v>
          </cell>
          <cell r="EH79">
            <v>254</v>
          </cell>
          <cell r="EL79">
            <v>3813.2000000000003</v>
          </cell>
        </row>
        <row r="80">
          <cell r="BZ80" t="str">
            <v>3QE</v>
          </cell>
          <cell r="CC80">
            <v>8.4000000000000021</v>
          </cell>
          <cell r="CF80">
            <v>87.3</v>
          </cell>
          <cell r="CI80">
            <v>30</v>
          </cell>
          <cell r="CJ80">
            <v>25.5</v>
          </cell>
          <cell r="CN80">
            <v>151.19999999999999</v>
          </cell>
          <cell r="CR80">
            <v>50.499999999999986</v>
          </cell>
          <cell r="CS80">
            <v>95</v>
          </cell>
          <cell r="CV80">
            <v>102</v>
          </cell>
          <cell r="CW80">
            <v>247.5</v>
          </cell>
          <cell r="DI80">
            <v>0</v>
          </cell>
          <cell r="DO80" t="str">
            <v>3QE</v>
          </cell>
          <cell r="DP80">
            <v>0</v>
          </cell>
          <cell r="DR80">
            <v>170</v>
          </cell>
          <cell r="DV80">
            <v>3691.5699999999997</v>
          </cell>
          <cell r="DZ80">
            <v>165</v>
          </cell>
          <cell r="ED80">
            <v>81.88000000000001</v>
          </cell>
          <cell r="EH80">
            <v>246.88</v>
          </cell>
          <cell r="EL80">
            <v>3938.45</v>
          </cell>
        </row>
        <row r="81">
          <cell r="BZ81" t="str">
            <v>4QE</v>
          </cell>
          <cell r="CC81">
            <v>4.2299999999999827</v>
          </cell>
          <cell r="CF81">
            <v>90.56</v>
          </cell>
          <cell r="CI81">
            <v>44</v>
          </cell>
          <cell r="CJ81">
            <v>25.08</v>
          </cell>
          <cell r="CN81">
            <v>163.87</v>
          </cell>
          <cell r="CR81">
            <v>39.789999999999907</v>
          </cell>
          <cell r="CS81">
            <v>90.449999999999989</v>
          </cell>
          <cell r="CV81">
            <v>86.71999999999997</v>
          </cell>
          <cell r="CW81">
            <v>216.95999999999987</v>
          </cell>
          <cell r="DI81">
            <v>40</v>
          </cell>
          <cell r="DO81" t="str">
            <v>4QE</v>
          </cell>
          <cell r="DP81">
            <v>0</v>
          </cell>
          <cell r="DR81">
            <v>162</v>
          </cell>
          <cell r="DV81">
            <v>3670.13</v>
          </cell>
          <cell r="DZ81">
            <v>188</v>
          </cell>
          <cell r="ED81">
            <v>65.569999999999993</v>
          </cell>
          <cell r="EH81">
            <v>253.57</v>
          </cell>
          <cell r="EL81">
            <v>3923.7000000000003</v>
          </cell>
        </row>
        <row r="83">
          <cell r="BZ83" t="str">
            <v>2002E</v>
          </cell>
          <cell r="CC83">
            <v>35.489999999999995</v>
          </cell>
          <cell r="CF83">
            <v>351.74</v>
          </cell>
          <cell r="CI83">
            <v>120</v>
          </cell>
          <cell r="CJ83">
            <v>100.8</v>
          </cell>
          <cell r="CN83">
            <v>608.03</v>
          </cell>
          <cell r="CR83">
            <v>430.28999999999991</v>
          </cell>
          <cell r="CS83">
            <v>345.45</v>
          </cell>
          <cell r="CV83">
            <v>358.71999999999997</v>
          </cell>
          <cell r="CW83">
            <v>1134.4599999999998</v>
          </cell>
          <cell r="DI83">
            <v>40</v>
          </cell>
          <cell r="DO83" t="str">
            <v>2002E</v>
          </cell>
          <cell r="DP83">
            <v>0</v>
          </cell>
          <cell r="DR83">
            <v>690</v>
          </cell>
          <cell r="DV83">
            <v>14581.26</v>
          </cell>
          <cell r="DZ83">
            <v>685</v>
          </cell>
          <cell r="ED83">
            <v>342.24</v>
          </cell>
          <cell r="EH83">
            <v>1027.24</v>
          </cell>
          <cell r="EL83">
            <v>15608.5</v>
          </cell>
        </row>
        <row r="84">
          <cell r="CQ84">
            <v>593.54999999999995</v>
          </cell>
          <cell r="CZ84">
            <v>765.56</v>
          </cell>
        </row>
        <row r="86">
          <cell r="BZ86" t="str">
            <v>2002E</v>
          </cell>
          <cell r="DO86" t="str">
            <v>2002E</v>
          </cell>
        </row>
        <row r="87">
          <cell r="BZ87" t="str">
            <v>1QA</v>
          </cell>
          <cell r="CC87">
            <v>12</v>
          </cell>
          <cell r="CF87">
            <v>89</v>
          </cell>
          <cell r="CI87">
            <v>30</v>
          </cell>
          <cell r="CJ87">
            <v>21</v>
          </cell>
          <cell r="CN87">
            <v>152</v>
          </cell>
          <cell r="CR87">
            <v>69</v>
          </cell>
          <cell r="CS87">
            <v>33</v>
          </cell>
          <cell r="CV87">
            <v>62</v>
          </cell>
          <cell r="CW87">
            <v>164</v>
          </cell>
          <cell r="DI87">
            <v>0</v>
          </cell>
          <cell r="DO87" t="str">
            <v>1QA</v>
          </cell>
          <cell r="DP87">
            <v>0</v>
          </cell>
          <cell r="DR87">
            <v>157</v>
          </cell>
          <cell r="DV87">
            <v>3325</v>
          </cell>
          <cell r="DZ87">
            <v>177</v>
          </cell>
          <cell r="ED87">
            <v>96</v>
          </cell>
          <cell r="EH87">
            <v>273</v>
          </cell>
          <cell r="EL87">
            <v>3598</v>
          </cell>
        </row>
        <row r="88">
          <cell r="BZ88" t="str">
            <v>2QA</v>
          </cell>
          <cell r="CC88">
            <v>3</v>
          </cell>
          <cell r="CF88">
            <v>19</v>
          </cell>
          <cell r="CI88">
            <v>16</v>
          </cell>
          <cell r="CJ88">
            <v>25</v>
          </cell>
          <cell r="CN88">
            <v>63</v>
          </cell>
          <cell r="CR88">
            <v>13</v>
          </cell>
          <cell r="CS88">
            <v>26</v>
          </cell>
          <cell r="CV88">
            <v>60</v>
          </cell>
          <cell r="CW88">
            <v>99</v>
          </cell>
          <cell r="DI88">
            <v>0</v>
          </cell>
          <cell r="DO88" t="str">
            <v>2QA</v>
          </cell>
          <cell r="DP88">
            <v>0</v>
          </cell>
          <cell r="DR88">
            <v>178</v>
          </cell>
          <cell r="DV88">
            <v>3012</v>
          </cell>
          <cell r="DZ88">
            <v>155</v>
          </cell>
          <cell r="ED88">
            <v>99</v>
          </cell>
          <cell r="EH88">
            <v>254</v>
          </cell>
          <cell r="EL88">
            <v>3266</v>
          </cell>
        </row>
        <row r="89">
          <cell r="BZ89" t="str">
            <v>3QE</v>
          </cell>
          <cell r="CC89">
            <v>8</v>
          </cell>
          <cell r="CF89">
            <v>27.299999999999997</v>
          </cell>
          <cell r="CI89">
            <v>30</v>
          </cell>
          <cell r="CJ89">
            <v>25.5</v>
          </cell>
          <cell r="CN89">
            <v>90.8</v>
          </cell>
          <cell r="CR89">
            <v>10</v>
          </cell>
          <cell r="CS89">
            <v>33</v>
          </cell>
          <cell r="CV89">
            <v>63</v>
          </cell>
          <cell r="CW89">
            <v>106</v>
          </cell>
          <cell r="DI89">
            <v>0</v>
          </cell>
          <cell r="DO89" t="str">
            <v>3QE</v>
          </cell>
          <cell r="DP89">
            <v>0</v>
          </cell>
          <cell r="DR89">
            <v>170</v>
          </cell>
          <cell r="DV89">
            <v>3141.65</v>
          </cell>
          <cell r="DZ89">
            <v>165</v>
          </cell>
          <cell r="ED89">
            <v>81.88000000000001</v>
          </cell>
          <cell r="EH89">
            <v>246.88</v>
          </cell>
          <cell r="EL89">
            <v>3388.53</v>
          </cell>
        </row>
        <row r="90">
          <cell r="BZ90" t="str">
            <v>4QE</v>
          </cell>
          <cell r="CC90">
            <v>12.489999999999995</v>
          </cell>
          <cell r="CF90">
            <v>36.44</v>
          </cell>
          <cell r="CI90">
            <v>44</v>
          </cell>
          <cell r="CJ90">
            <v>29.299999999999997</v>
          </cell>
          <cell r="CN90">
            <v>122.22999999999999</v>
          </cell>
          <cell r="CR90">
            <v>8</v>
          </cell>
          <cell r="CS90">
            <v>68.449999999999989</v>
          </cell>
          <cell r="CV90">
            <v>63.71999999999997</v>
          </cell>
          <cell r="CW90">
            <v>140.16999999999996</v>
          </cell>
          <cell r="DI90">
            <v>40</v>
          </cell>
          <cell r="DO90" t="str">
            <v>4QE</v>
          </cell>
          <cell r="DP90">
            <v>0</v>
          </cell>
          <cell r="DR90">
            <v>152</v>
          </cell>
          <cell r="DV90">
            <v>3361.4200000000005</v>
          </cell>
          <cell r="DZ90">
            <v>188</v>
          </cell>
          <cell r="ED90">
            <v>65.360000000000014</v>
          </cell>
          <cell r="EH90">
            <v>253.36</v>
          </cell>
          <cell r="EL90">
            <v>3614.7800000000007</v>
          </cell>
        </row>
        <row r="92">
          <cell r="BZ92" t="str">
            <v>2002E</v>
          </cell>
          <cell r="CC92">
            <v>35.489999999999995</v>
          </cell>
          <cell r="CF92">
            <v>171.74</v>
          </cell>
          <cell r="CI92">
            <v>120</v>
          </cell>
          <cell r="CJ92">
            <v>100.8</v>
          </cell>
          <cell r="CN92">
            <v>428.03000000000003</v>
          </cell>
          <cell r="CR92">
            <v>100</v>
          </cell>
          <cell r="CS92">
            <v>160.44999999999999</v>
          </cell>
          <cell r="CV92">
            <v>248.71999999999997</v>
          </cell>
          <cell r="CW92">
            <v>509.16999999999996</v>
          </cell>
          <cell r="DI92">
            <v>40</v>
          </cell>
          <cell r="DO92" t="str">
            <v>2002E</v>
          </cell>
          <cell r="DP92">
            <v>0</v>
          </cell>
          <cell r="DQ92">
            <v>0</v>
          </cell>
          <cell r="DR92">
            <v>657</v>
          </cell>
          <cell r="DV92">
            <v>12840.07</v>
          </cell>
          <cell r="DZ92">
            <v>685</v>
          </cell>
          <cell r="EA92">
            <v>0</v>
          </cell>
          <cell r="EB92">
            <v>0</v>
          </cell>
          <cell r="EC92">
            <v>0</v>
          </cell>
          <cell r="ED92">
            <v>342.24</v>
          </cell>
          <cell r="EF92">
            <v>0</v>
          </cell>
          <cell r="EG92">
            <v>0</v>
          </cell>
          <cell r="EH92">
            <v>1027.24</v>
          </cell>
          <cell r="EJ92">
            <v>0</v>
          </cell>
          <cell r="EK92">
            <v>0</v>
          </cell>
          <cell r="EL92">
            <v>13867.31</v>
          </cell>
        </row>
        <row r="94">
          <cell r="BZ94" t="str">
            <v>2003/02E</v>
          </cell>
          <cell r="CC94">
            <v>-0.2</v>
          </cell>
          <cell r="CF94">
            <v>-0.45</v>
          </cell>
          <cell r="CI94">
            <v>0.05</v>
          </cell>
          <cell r="CJ94">
            <v>0</v>
          </cell>
          <cell r="CN94">
            <v>-0.26212686874002916</v>
          </cell>
          <cell r="CR94">
            <v>-0.75</v>
          </cell>
          <cell r="CS94">
            <v>0.15</v>
          </cell>
          <cell r="CV94">
            <v>0.2</v>
          </cell>
          <cell r="CW94">
            <v>-0.17555136364437704</v>
          </cell>
          <cell r="DI94" t="str">
            <v>NM</v>
          </cell>
          <cell r="DO94" t="str">
            <v>2003/02E</v>
          </cell>
          <cell r="DP94" t="str">
            <v>NM</v>
          </cell>
          <cell r="DR94">
            <v>-0.05</v>
          </cell>
          <cell r="DV94">
            <v>2.7218038770311981E-2</v>
          </cell>
          <cell r="DZ94">
            <v>-0.03</v>
          </cell>
          <cell r="ED94">
            <v>-0.03</v>
          </cell>
          <cell r="EH94">
            <v>-3.0000000000000068E-2</v>
          </cell>
          <cell r="EL94">
            <v>2.3452356088028946E-2</v>
          </cell>
        </row>
        <row r="95">
          <cell r="BZ95" t="str">
            <v>2004/03E</v>
          </cell>
          <cell r="CC95">
            <v>0</v>
          </cell>
          <cell r="CF95">
            <v>-0.8</v>
          </cell>
          <cell r="CI95">
            <v>0</v>
          </cell>
          <cell r="CJ95">
            <v>0</v>
          </cell>
          <cell r="CN95">
            <v>-0.34495919973074729</v>
          </cell>
          <cell r="CR95">
            <v>-0.1</v>
          </cell>
          <cell r="CS95">
            <v>-0.4</v>
          </cell>
          <cell r="CV95">
            <v>-0.3</v>
          </cell>
          <cell r="CW95">
            <v>-0.31947201123912655</v>
          </cell>
          <cell r="DI95" t="str">
            <v>NM</v>
          </cell>
          <cell r="DO95" t="str">
            <v>2004/03E</v>
          </cell>
          <cell r="DP95" t="str">
            <v>NM</v>
          </cell>
          <cell r="DR95">
            <v>0</v>
          </cell>
          <cell r="DV95">
            <v>4.7380497474942468E-2</v>
          </cell>
          <cell r="DZ95">
            <v>0</v>
          </cell>
          <cell r="ED95">
            <v>0</v>
          </cell>
          <cell r="EH95">
            <v>0</v>
          </cell>
          <cell r="EL95">
            <v>4.4425109690528417E-2</v>
          </cell>
        </row>
        <row r="96">
          <cell r="BZ96" t="str">
            <v>2005/04E</v>
          </cell>
          <cell r="CC96">
            <v>0</v>
          </cell>
          <cell r="CF96">
            <v>-0.1</v>
          </cell>
          <cell r="CI96">
            <v>0</v>
          </cell>
          <cell r="CJ96">
            <v>0</v>
          </cell>
          <cell r="CN96">
            <v>-1.3165561579864721E-2</v>
          </cell>
          <cell r="CR96">
            <v>-0.1</v>
          </cell>
          <cell r="CS96">
            <v>-0.8</v>
          </cell>
          <cell r="CV96">
            <v>-0.8</v>
          </cell>
          <cell r="CW96">
            <v>-0.69352613285251685</v>
          </cell>
          <cell r="DI96" t="str">
            <v>NM</v>
          </cell>
          <cell r="DO96" t="str">
            <v>2005/04E</v>
          </cell>
          <cell r="DP96" t="e">
            <v>#DIV/0!</v>
          </cell>
          <cell r="DR96">
            <v>0</v>
          </cell>
          <cell r="DV96">
            <v>3.9587809309156209E-2</v>
          </cell>
          <cell r="DZ96">
            <v>0</v>
          </cell>
          <cell r="ED96">
            <v>0</v>
          </cell>
          <cell r="EH96">
            <v>0</v>
          </cell>
          <cell r="EL96">
            <v>3.722352868656547E-2</v>
          </cell>
        </row>
        <row r="97">
          <cell r="BZ97" t="str">
            <v>2006/05E</v>
          </cell>
          <cell r="CC97">
            <v>0</v>
          </cell>
          <cell r="CF97">
            <v>-0.1</v>
          </cell>
          <cell r="CI97">
            <v>0</v>
          </cell>
          <cell r="CJ97">
            <v>0</v>
          </cell>
          <cell r="CN97">
            <v>-1.2007085444694922E-2</v>
          </cell>
          <cell r="CR97">
            <v>-0.1</v>
          </cell>
          <cell r="CS97">
            <v>-0.1</v>
          </cell>
          <cell r="CV97">
            <v>-0.1</v>
          </cell>
          <cell r="CW97">
            <v>-9.9999999999999908E-2</v>
          </cell>
          <cell r="DI97" t="str">
            <v>NM</v>
          </cell>
          <cell r="DO97" t="str">
            <v>2006/05E</v>
          </cell>
          <cell r="DP97">
            <v>0.71428571428571419</v>
          </cell>
          <cell r="DR97">
            <v>0</v>
          </cell>
          <cell r="DV97">
            <v>1.7729598277320124E-2</v>
          </cell>
          <cell r="DZ97">
            <v>0</v>
          </cell>
          <cell r="ED97">
            <v>0</v>
          </cell>
          <cell r="EH97">
            <v>0</v>
          </cell>
          <cell r="EL97">
            <v>1.6708743210584361E-2</v>
          </cell>
        </row>
        <row r="98">
          <cell r="BZ98" t="str">
            <v>2007/06E</v>
          </cell>
          <cell r="CC98">
            <v>0</v>
          </cell>
          <cell r="CF98">
            <v>-0.1</v>
          </cell>
          <cell r="CI98">
            <v>0</v>
          </cell>
          <cell r="CJ98">
            <v>0</v>
          </cell>
          <cell r="CN98">
            <v>-1.0937706881318687E-2</v>
          </cell>
          <cell r="CR98">
            <v>-0.1</v>
          </cell>
          <cell r="CS98">
            <v>-0.1</v>
          </cell>
          <cell r="CV98">
            <v>-0.1</v>
          </cell>
          <cell r="CW98">
            <v>-9.9999999999999964E-2</v>
          </cell>
          <cell r="DI98" t="str">
            <v>NM</v>
          </cell>
          <cell r="DO98" t="str">
            <v>2007/06E</v>
          </cell>
          <cell r="DP98">
            <v>0.66666666666666674</v>
          </cell>
          <cell r="DR98">
            <v>0</v>
          </cell>
          <cell r="DV98">
            <v>3.7927502331943884E-2</v>
          </cell>
          <cell r="DZ98">
            <v>0</v>
          </cell>
          <cell r="ED98">
            <v>0</v>
          </cell>
          <cell r="EH98">
            <v>0</v>
          </cell>
          <cell r="EL98">
            <v>3.5779558706704802E-2</v>
          </cell>
        </row>
        <row r="100">
          <cell r="BZ100" t="str">
            <v>2003E</v>
          </cell>
          <cell r="CC100">
            <v>28.391999999999996</v>
          </cell>
          <cell r="CF100">
            <v>193.45700000000002</v>
          </cell>
          <cell r="CI100">
            <v>126</v>
          </cell>
          <cell r="CJ100">
            <v>100.8</v>
          </cell>
          <cell r="CN100">
            <v>448.64900000000006</v>
          </cell>
          <cell r="CR100">
            <v>107.57249999999998</v>
          </cell>
          <cell r="CS100">
            <v>397.26749999999998</v>
          </cell>
          <cell r="CV100">
            <v>430.46399999999994</v>
          </cell>
          <cell r="CW100">
            <v>935.30399999999986</v>
          </cell>
          <cell r="DI100">
            <v>300</v>
          </cell>
          <cell r="DO100" t="str">
            <v>2003E</v>
          </cell>
          <cell r="DP100">
            <v>0</v>
          </cell>
          <cell r="DR100">
            <v>655.5</v>
          </cell>
          <cell r="DV100">
            <v>14978.1333</v>
          </cell>
          <cell r="DZ100">
            <v>664.44999999999993</v>
          </cell>
          <cell r="ED100">
            <v>331.97280000000001</v>
          </cell>
          <cell r="EH100">
            <v>996.42279999999994</v>
          </cell>
          <cell r="EL100">
            <v>15974.5561</v>
          </cell>
        </row>
        <row r="101">
          <cell r="BZ101" t="str">
            <v>2004E</v>
          </cell>
          <cell r="CC101">
            <v>28.391999999999996</v>
          </cell>
          <cell r="CF101">
            <v>38.691399999999994</v>
          </cell>
          <cell r="CI101">
            <v>126</v>
          </cell>
          <cell r="CJ101">
            <v>100.8</v>
          </cell>
          <cell r="CN101">
            <v>293.88339999999999</v>
          </cell>
          <cell r="CR101">
            <v>96.815249999999978</v>
          </cell>
          <cell r="CS101">
            <v>238.36049999999997</v>
          </cell>
          <cell r="CV101">
            <v>301.32479999999993</v>
          </cell>
          <cell r="CW101">
            <v>636.50054999999986</v>
          </cell>
          <cell r="DI101">
            <v>1025</v>
          </cell>
          <cell r="DO101" t="str">
            <v>2004E</v>
          </cell>
          <cell r="DP101">
            <v>0</v>
          </cell>
          <cell r="DR101">
            <v>655.5</v>
          </cell>
          <cell r="DV101">
            <v>15687.804707000001</v>
          </cell>
          <cell r="DZ101">
            <v>664.44999999999993</v>
          </cell>
          <cell r="ED101">
            <v>331.97280000000001</v>
          </cell>
          <cell r="EH101">
            <v>996.42279999999994</v>
          </cell>
          <cell r="EL101">
            <v>16684.227507</v>
          </cell>
        </row>
        <row r="102">
          <cell r="BZ102" t="str">
            <v>2005E</v>
          </cell>
          <cell r="CC102">
            <v>28.391999999999996</v>
          </cell>
          <cell r="CF102">
            <v>34.822259999999993</v>
          </cell>
          <cell r="CI102">
            <v>126</v>
          </cell>
          <cell r="CJ102">
            <v>100.8</v>
          </cell>
          <cell r="CN102">
            <v>290.01425999999998</v>
          </cell>
          <cell r="CR102">
            <v>87.133724999999984</v>
          </cell>
          <cell r="CS102">
            <v>47.672099999999986</v>
          </cell>
          <cell r="CV102">
            <v>60.264959999999974</v>
          </cell>
          <cell r="CW102">
            <v>195.07078499999994</v>
          </cell>
          <cell r="DI102">
            <v>1675</v>
          </cell>
          <cell r="DO102" t="str">
            <v>2005E</v>
          </cell>
          <cell r="DP102">
            <v>175</v>
          </cell>
          <cell r="DR102">
            <v>655.5</v>
          </cell>
          <cell r="DV102">
            <v>16308.85052822</v>
          </cell>
          <cell r="DZ102">
            <v>664.44999999999993</v>
          </cell>
          <cell r="ED102">
            <v>331.97280000000001</v>
          </cell>
          <cell r="EH102">
            <v>996.42279999999994</v>
          </cell>
          <cell r="EL102">
            <v>17305.273328219999</v>
          </cell>
        </row>
        <row r="103">
          <cell r="BZ103" t="str">
            <v>2006E</v>
          </cell>
          <cell r="CC103">
            <v>28.391999999999996</v>
          </cell>
          <cell r="CF103">
            <v>31.340033999999996</v>
          </cell>
          <cell r="CI103">
            <v>126</v>
          </cell>
          <cell r="CJ103">
            <v>100.8</v>
          </cell>
          <cell r="CN103">
            <v>286.53203400000001</v>
          </cell>
          <cell r="CR103">
            <v>78.420352499999993</v>
          </cell>
          <cell r="CS103">
            <v>42.904889999999988</v>
          </cell>
          <cell r="CV103">
            <v>54.238463999999979</v>
          </cell>
          <cell r="CW103">
            <v>175.56370649999997</v>
          </cell>
          <cell r="DI103">
            <v>2325</v>
          </cell>
          <cell r="DO103" t="str">
            <v>2006E</v>
          </cell>
          <cell r="DP103">
            <v>300</v>
          </cell>
          <cell r="DR103">
            <v>655.5</v>
          </cell>
          <cell r="DV103">
            <v>16597.999896450201</v>
          </cell>
          <cell r="DZ103">
            <v>664.44999999999993</v>
          </cell>
          <cell r="ED103">
            <v>331.97280000000001</v>
          </cell>
          <cell r="EH103">
            <v>996.42279999999994</v>
          </cell>
          <cell r="EL103">
            <v>17594.422696450201</v>
          </cell>
        </row>
        <row r="104">
          <cell r="BZ104" t="str">
            <v>2007E</v>
          </cell>
          <cell r="CC104">
            <v>28.391999999999996</v>
          </cell>
          <cell r="CF104">
            <v>28.206030599999998</v>
          </cell>
          <cell r="CI104">
            <v>126</v>
          </cell>
          <cell r="CJ104">
            <v>100.8</v>
          </cell>
          <cell r="CN104">
            <v>283.39803059999997</v>
          </cell>
          <cell r="CR104">
            <v>70.578317249999998</v>
          </cell>
          <cell r="CS104">
            <v>38.614400999999987</v>
          </cell>
          <cell r="CV104">
            <v>48.814617599999984</v>
          </cell>
          <cell r="CW104">
            <v>158.00733584999998</v>
          </cell>
          <cell r="DI104">
            <v>2900</v>
          </cell>
          <cell r="DO104" t="str">
            <v>2007E</v>
          </cell>
          <cell r="DP104">
            <v>500</v>
          </cell>
          <cell r="DR104">
            <v>655.5</v>
          </cell>
          <cell r="DV104">
            <v>17227.52057622842</v>
          </cell>
          <cell r="DZ104">
            <v>664.44999999999993</v>
          </cell>
          <cell r="ED104">
            <v>331.97280000000001</v>
          </cell>
          <cell r="EH104">
            <v>996.42279999999994</v>
          </cell>
          <cell r="EL104">
            <v>18223.943376228421</v>
          </cell>
        </row>
        <row r="105">
          <cell r="BZ105" t="str">
            <v>(a) Future patent expirations include the following:</v>
          </cell>
        </row>
        <row r="106">
          <cell r="BZ106" t="str">
            <v xml:space="preserve">      Stadol (8/01); Duricef (2002); Monopril (12/4/02); Cefzil (5/05); and Serzone (2003).  </v>
          </cell>
        </row>
        <row r="107">
          <cell r="BZ107" t="str">
            <v xml:space="preserve">(b) Diagnostics was sold to Bracco in 3Q94.  Under an agreement with Bracco, Isovue sales will continue to </v>
          </cell>
        </row>
        <row r="108">
          <cell r="BZ108" t="str">
            <v xml:space="preserve">      be recorded as sales on BMY's income statement from 3Q94 forward. </v>
          </cell>
        </row>
        <row r="109">
          <cell r="BZ109" t="str">
            <v xml:space="preserve">(c) Analgesics include sales of UPSA, a French pharmaceutical firm acquired in 3Q94 with annual sales </v>
          </cell>
        </row>
        <row r="110">
          <cell r="BZ110" t="str">
            <v xml:space="preserve">      approximating $350 million.  Some 36% of UPSA sales are abroad, and it has an Rx presence.  About </v>
          </cell>
        </row>
        <row r="111">
          <cell r="BZ111" t="str">
            <v xml:space="preserve">      80-90% of UPSA's sales appear in Non-Prescription Healthcare beginning 4Q94. </v>
          </cell>
        </row>
        <row r="113">
          <cell r="BZ113" t="str">
            <v>E = Morgan Stanley  Research Estimates          NM = Not Meaningful        A = Actual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 shadow"/>
      <sheetName val="NY UPLOAD"/>
      <sheetName val="Client Title Page "/>
      <sheetName val="Title Page"/>
      <sheetName val="__FDSCACHE__"/>
      <sheetName val="Drivers"/>
      <sheetName val="Valuations"/>
      <sheetName val="5 yr Sales and Earnings"/>
      <sheetName val="PFE Qtr Income"/>
      <sheetName val="PFE Qtr Margin"/>
      <sheetName val="PFE Qtr Sales"/>
      <sheetName val="Product History"/>
      <sheetName val="BalanceSheet"/>
      <sheetName val="Cashflow"/>
      <sheetName val="ROIC"/>
      <sheetName val="Global Feed"/>
      <sheetName val="Summary"/>
      <sheetName val="PFE Q-Preview"/>
      <sheetName val="PFE Qtr Incomesolo"/>
      <sheetName val="PFE Qtr Marginsolo"/>
      <sheetName val="PFE Qrt Salessolo"/>
      <sheetName val="PFE 2 Qtr Salessolo"/>
      <sheetName val="PHAPharmaSales"/>
      <sheetName val="Combined products"/>
      <sheetName val="PFE-PHA mergerold"/>
      <sheetName val="P&amp;L Charts"/>
      <sheetName val="mStart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2">
          <cell r="A2" t="str">
            <v>Pfizer</v>
          </cell>
        </row>
        <row r="3">
          <cell r="A3" t="str">
            <v>Quarterly/Annual Sales Analysis 2000-2006E</v>
          </cell>
        </row>
        <row r="4">
          <cell r="A4" t="str">
            <v>($ Millions)</v>
          </cell>
        </row>
        <row r="6">
          <cell r="G6" t="str">
            <v>PFE</v>
          </cell>
          <cell r="N6" t="str">
            <v>Tetra</v>
          </cell>
        </row>
        <row r="7">
          <cell r="B7" t="str">
            <v>Capsugel</v>
          </cell>
          <cell r="F7" t="str">
            <v>Animal Health</v>
          </cell>
          <cell r="J7" t="str">
            <v>Shaving Products</v>
          </cell>
          <cell r="N7" t="str">
            <v>Pet Lines</v>
          </cell>
          <cell r="S7" t="str">
            <v>Consumer Health</v>
          </cell>
        </row>
        <row r="8">
          <cell r="B8" t="str">
            <v>U.S.</v>
          </cell>
          <cell r="C8" t="str">
            <v>Intl</v>
          </cell>
          <cell r="D8" t="str">
            <v>W/W</v>
          </cell>
          <cell r="F8" t="str">
            <v>U.S.</v>
          </cell>
          <cell r="G8" t="str">
            <v>Intl</v>
          </cell>
          <cell r="H8" t="str">
            <v xml:space="preserve">Total  </v>
          </cell>
          <cell r="J8" t="str">
            <v>U.S.</v>
          </cell>
          <cell r="K8" t="str">
            <v>Intl</v>
          </cell>
          <cell r="L8" t="str">
            <v>W/W</v>
          </cell>
          <cell r="N8" t="str">
            <v>U.S.</v>
          </cell>
          <cell r="O8" t="str">
            <v>Intl</v>
          </cell>
          <cell r="P8" t="str">
            <v>W/W</v>
          </cell>
          <cell r="R8" t="str">
            <v>U.S.</v>
          </cell>
          <cell r="S8" t="str">
            <v>Intl</v>
          </cell>
          <cell r="T8" t="str">
            <v>W/W</v>
          </cell>
        </row>
        <row r="10">
          <cell r="A10" t="str">
            <v>1998</v>
          </cell>
          <cell r="E10" t="e">
            <v>#NULL!</v>
          </cell>
          <cell r="M10" t="e">
            <v>#NULL!</v>
          </cell>
        </row>
        <row r="11">
          <cell r="A11" t="str">
            <v xml:space="preserve"> 1Q</v>
          </cell>
          <cell r="B11">
            <v>42</v>
          </cell>
          <cell r="C11">
            <v>52</v>
          </cell>
          <cell r="D11">
            <v>94</v>
          </cell>
          <cell r="F11">
            <v>114</v>
          </cell>
          <cell r="G11">
            <v>173</v>
          </cell>
          <cell r="H11">
            <v>287</v>
          </cell>
          <cell r="J11">
            <v>51</v>
          </cell>
          <cell r="K11">
            <v>116</v>
          </cell>
          <cell r="L11">
            <v>167</v>
          </cell>
          <cell r="N11">
            <v>20</v>
          </cell>
          <cell r="O11">
            <v>29</v>
          </cell>
          <cell r="P11">
            <v>49</v>
          </cell>
          <cell r="R11">
            <v>368</v>
          </cell>
          <cell r="S11">
            <v>201</v>
          </cell>
          <cell r="T11">
            <v>569</v>
          </cell>
        </row>
        <row r="12">
          <cell r="A12" t="str">
            <v xml:space="preserve"> 2Q</v>
          </cell>
          <cell r="B12">
            <v>41</v>
          </cell>
          <cell r="C12">
            <v>51</v>
          </cell>
          <cell r="D12">
            <v>92</v>
          </cell>
          <cell r="F12">
            <v>132</v>
          </cell>
          <cell r="G12">
            <v>186</v>
          </cell>
          <cell r="H12">
            <v>318</v>
          </cell>
          <cell r="J12">
            <v>63</v>
          </cell>
          <cell r="K12">
            <v>133</v>
          </cell>
          <cell r="L12">
            <v>196</v>
          </cell>
          <cell r="N12">
            <v>20</v>
          </cell>
          <cell r="O12">
            <v>29</v>
          </cell>
          <cell r="P12">
            <v>49</v>
          </cell>
          <cell r="R12">
            <v>354</v>
          </cell>
          <cell r="S12">
            <v>217</v>
          </cell>
          <cell r="T12">
            <v>571</v>
          </cell>
        </row>
        <row r="13">
          <cell r="A13" t="str">
            <v xml:space="preserve"> 3Q</v>
          </cell>
          <cell r="B13">
            <v>39</v>
          </cell>
          <cell r="C13">
            <v>46</v>
          </cell>
          <cell r="D13">
            <v>85</v>
          </cell>
          <cell r="F13">
            <v>154</v>
          </cell>
          <cell r="G13">
            <v>163</v>
          </cell>
          <cell r="H13">
            <v>317</v>
          </cell>
          <cell r="J13">
            <v>60</v>
          </cell>
          <cell r="K13">
            <v>133</v>
          </cell>
          <cell r="L13">
            <v>193</v>
          </cell>
          <cell r="N13">
            <v>20</v>
          </cell>
          <cell r="O13">
            <v>26</v>
          </cell>
          <cell r="P13">
            <v>46</v>
          </cell>
          <cell r="R13">
            <v>362</v>
          </cell>
          <cell r="S13">
            <v>211</v>
          </cell>
          <cell r="T13">
            <v>573</v>
          </cell>
        </row>
        <row r="14">
          <cell r="A14" t="str">
            <v xml:space="preserve"> 4Q</v>
          </cell>
          <cell r="B14">
            <v>41</v>
          </cell>
          <cell r="C14">
            <v>54</v>
          </cell>
          <cell r="D14">
            <v>95</v>
          </cell>
          <cell r="F14">
            <v>156</v>
          </cell>
          <cell r="G14">
            <v>226</v>
          </cell>
          <cell r="H14">
            <v>382</v>
          </cell>
          <cell r="J14">
            <v>53</v>
          </cell>
          <cell r="K14">
            <v>136</v>
          </cell>
          <cell r="L14">
            <v>189</v>
          </cell>
          <cell r="N14">
            <v>19</v>
          </cell>
          <cell r="O14">
            <v>30</v>
          </cell>
          <cell r="P14">
            <v>49</v>
          </cell>
          <cell r="R14">
            <v>353</v>
          </cell>
          <cell r="S14">
            <v>235</v>
          </cell>
          <cell r="T14">
            <v>588</v>
          </cell>
        </row>
        <row r="16">
          <cell r="A16" t="str">
            <v>Year</v>
          </cell>
          <cell r="B16">
            <v>163</v>
          </cell>
          <cell r="C16">
            <v>203</v>
          </cell>
          <cell r="D16">
            <v>366</v>
          </cell>
          <cell r="F16">
            <v>556</v>
          </cell>
          <cell r="G16">
            <v>748</v>
          </cell>
          <cell r="H16">
            <v>1304</v>
          </cell>
          <cell r="J16">
            <v>227</v>
          </cell>
          <cell r="K16">
            <v>518</v>
          </cell>
          <cell r="L16">
            <v>745</v>
          </cell>
          <cell r="N16">
            <v>79</v>
          </cell>
          <cell r="O16">
            <v>114</v>
          </cell>
          <cell r="P16">
            <v>193</v>
          </cell>
          <cell r="R16">
            <v>1437</v>
          </cell>
          <cell r="S16">
            <v>864</v>
          </cell>
          <cell r="T16">
            <v>2301</v>
          </cell>
        </row>
        <row r="18">
          <cell r="A18" t="str">
            <v>1999/98</v>
          </cell>
        </row>
        <row r="19">
          <cell r="A19" t="str">
            <v xml:space="preserve"> 1QA</v>
          </cell>
          <cell r="B19">
            <v>-7.1428571428571397E-2</v>
          </cell>
          <cell r="C19">
            <v>3.8461538461538547E-2</v>
          </cell>
          <cell r="D19">
            <v>-1.0638297872340385E-2</v>
          </cell>
          <cell r="F19">
            <v>2.6315789473684292E-2</v>
          </cell>
          <cell r="G19">
            <v>-4.0462427745664775E-2</v>
          </cell>
          <cell r="H19">
            <v>-1.3937282229965153E-2</v>
          </cell>
          <cell r="J19">
            <v>0.11764705882352944</v>
          </cell>
          <cell r="K19">
            <v>0.10344827586206895</v>
          </cell>
          <cell r="L19">
            <v>0.10778443113772451</v>
          </cell>
          <cell r="N19">
            <v>-1.5000000000000013E-2</v>
          </cell>
          <cell r="O19">
            <v>3.4482758620689724E-2</v>
          </cell>
          <cell r="P19">
            <v>1.4285714285714235E-2</v>
          </cell>
          <cell r="R19">
            <v>0.16576086956521729</v>
          </cell>
          <cell r="S19">
            <v>7.9601990049751326E-2</v>
          </cell>
          <cell r="T19">
            <v>0.13532513181019334</v>
          </cell>
        </row>
        <row r="20">
          <cell r="A20" t="str">
            <v xml:space="preserve"> 2QA</v>
          </cell>
          <cell r="B20">
            <v>2.4390243902439046E-2</v>
          </cell>
          <cell r="C20">
            <v>0.13725490196078427</v>
          </cell>
          <cell r="D20">
            <v>8.6956521739130377E-2</v>
          </cell>
          <cell r="F20">
            <v>2.2727272727272707E-2</v>
          </cell>
          <cell r="G20">
            <v>-9.6774193548387122E-2</v>
          </cell>
          <cell r="H20">
            <v>-4.7169811320754707E-2</v>
          </cell>
          <cell r="J20">
            <v>1.5873015873015817E-2</v>
          </cell>
          <cell r="K20">
            <v>-2.2556390977443663E-2</v>
          </cell>
          <cell r="L20">
            <v>-1.0204081632653073E-2</v>
          </cell>
          <cell r="N20">
            <v>5.0000000000000044E-2</v>
          </cell>
          <cell r="O20">
            <v>0</v>
          </cell>
          <cell r="P20">
            <v>2.0408163265306145E-2</v>
          </cell>
          <cell r="R20">
            <v>0.14971751412429368</v>
          </cell>
          <cell r="S20">
            <v>6.4516129032258007E-2</v>
          </cell>
          <cell r="T20">
            <v>0.11733800350262702</v>
          </cell>
        </row>
        <row r="21">
          <cell r="A21" t="str">
            <v xml:space="preserve"> 3QA</v>
          </cell>
          <cell r="B21">
            <v>0.10256410256410264</v>
          </cell>
          <cell r="C21">
            <v>0.17391304347826098</v>
          </cell>
          <cell r="D21">
            <v>0.14117647058823524</v>
          </cell>
          <cell r="F21">
            <v>0.16233766233766245</v>
          </cell>
          <cell r="G21">
            <v>-5.5214723926380382E-2</v>
          </cell>
          <cell r="H21">
            <v>5.0473186119873725E-2</v>
          </cell>
          <cell r="J21">
            <v>0.28333333333333344</v>
          </cell>
          <cell r="K21">
            <v>1.5037593984962516E-2</v>
          </cell>
          <cell r="L21">
            <v>9.8445595854922185E-2</v>
          </cell>
          <cell r="N21">
            <v>0.10000000000000009</v>
          </cell>
          <cell r="O21">
            <v>0.15384615384615374</v>
          </cell>
          <cell r="P21">
            <v>0.13043478260869557</v>
          </cell>
          <cell r="R21">
            <v>0.21823204419889497</v>
          </cell>
          <cell r="S21">
            <v>-0.12322274881516593</v>
          </cell>
          <cell r="T21">
            <v>9.2495636998254804E-2</v>
          </cell>
        </row>
        <row r="22">
          <cell r="A22" t="str">
            <v xml:space="preserve"> 4QA</v>
          </cell>
          <cell r="B22">
            <v>4.8780487804878092E-2</v>
          </cell>
          <cell r="C22">
            <v>7.4074074074074181E-2</v>
          </cell>
          <cell r="D22">
            <v>6.315789473684208E-2</v>
          </cell>
          <cell r="F22">
            <v>0.30769230769230771</v>
          </cell>
          <cell r="G22">
            <v>-7.0796460176991149E-2</v>
          </cell>
          <cell r="H22">
            <v>8.3769633507853491E-2</v>
          </cell>
          <cell r="J22">
            <v>0.16981132075471694</v>
          </cell>
          <cell r="K22">
            <v>2.2058823529411686E-2</v>
          </cell>
          <cell r="L22">
            <v>6.3492063492063489E-2</v>
          </cell>
          <cell r="N22">
            <v>0.10526315789473695</v>
          </cell>
          <cell r="O22">
            <v>0</v>
          </cell>
          <cell r="P22">
            <v>4.081632653061229E-2</v>
          </cell>
          <cell r="R22">
            <v>0.22662889518413598</v>
          </cell>
          <cell r="S22">
            <v>-0.11063829787234047</v>
          </cell>
          <cell r="T22">
            <v>9.1836734693877542E-2</v>
          </cell>
        </row>
        <row r="24">
          <cell r="A24" t="str">
            <v>Year</v>
          </cell>
          <cell r="B24">
            <v>3.0674846625766916E-2</v>
          </cell>
          <cell r="C24">
            <v>9.8522167487684831E-2</v>
          </cell>
          <cell r="D24">
            <v>6.8306010928961713E-2</v>
          </cell>
          <cell r="F24">
            <v>0.1420863309352518</v>
          </cell>
          <cell r="G24">
            <v>-6.6844919786096302E-2</v>
          </cell>
          <cell r="H24">
            <v>2.223926380368102E-2</v>
          </cell>
          <cell r="J24">
            <v>0.14537444933920707</v>
          </cell>
          <cell r="K24">
            <v>2.7027027027026973E-2</v>
          </cell>
          <cell r="L24">
            <v>6.3087248322147627E-2</v>
          </cell>
          <cell r="N24">
            <v>7.2151898734177156E-2</v>
          </cell>
          <cell r="O24">
            <v>3.5087719298245723E-2</v>
          </cell>
          <cell r="P24">
            <v>5.0259067357512954E-2</v>
          </cell>
          <cell r="R24">
            <v>0.18928322894919969</v>
          </cell>
          <cell r="S24">
            <v>-2.546296296296291E-2</v>
          </cell>
          <cell r="T24">
            <v>0.10864841373315959</v>
          </cell>
        </row>
        <row r="26">
          <cell r="A26" t="str">
            <v>1999</v>
          </cell>
          <cell r="E26" t="e">
            <v>#NULL!</v>
          </cell>
          <cell r="M26" t="e">
            <v>#NULL!</v>
          </cell>
        </row>
        <row r="27">
          <cell r="A27" t="str">
            <v xml:space="preserve"> 1Q</v>
          </cell>
          <cell r="B27">
            <v>39</v>
          </cell>
          <cell r="C27">
            <v>54</v>
          </cell>
          <cell r="D27">
            <v>93</v>
          </cell>
          <cell r="F27">
            <v>117</v>
          </cell>
          <cell r="G27">
            <v>166</v>
          </cell>
          <cell r="H27">
            <v>283</v>
          </cell>
          <cell r="J27">
            <v>57</v>
          </cell>
          <cell r="K27">
            <v>128</v>
          </cell>
          <cell r="L27">
            <v>185</v>
          </cell>
          <cell r="N27">
            <v>19.7</v>
          </cell>
          <cell r="O27">
            <v>30</v>
          </cell>
          <cell r="P27">
            <v>49.7</v>
          </cell>
          <cell r="R27">
            <v>429</v>
          </cell>
          <cell r="S27">
            <v>217</v>
          </cell>
          <cell r="T27">
            <v>646</v>
          </cell>
        </row>
        <row r="28">
          <cell r="A28" t="str">
            <v xml:space="preserve"> 2Q</v>
          </cell>
          <cell r="B28">
            <v>42</v>
          </cell>
          <cell r="C28">
            <v>58</v>
          </cell>
          <cell r="D28">
            <v>100</v>
          </cell>
          <cell r="F28">
            <v>135</v>
          </cell>
          <cell r="G28">
            <v>168</v>
          </cell>
          <cell r="H28">
            <v>303</v>
          </cell>
          <cell r="J28">
            <v>64</v>
          </cell>
          <cell r="K28">
            <v>130</v>
          </cell>
          <cell r="L28">
            <v>194</v>
          </cell>
          <cell r="N28">
            <v>21</v>
          </cell>
          <cell r="O28">
            <v>29</v>
          </cell>
          <cell r="P28">
            <v>50</v>
          </cell>
          <cell r="R28">
            <v>407</v>
          </cell>
          <cell r="S28">
            <v>231</v>
          </cell>
          <cell r="T28">
            <v>638</v>
          </cell>
        </row>
        <row r="29">
          <cell r="A29" t="str">
            <v xml:space="preserve"> 3Q</v>
          </cell>
          <cell r="B29">
            <v>43</v>
          </cell>
          <cell r="C29">
            <v>54</v>
          </cell>
          <cell r="D29">
            <v>97</v>
          </cell>
          <cell r="F29">
            <v>179</v>
          </cell>
          <cell r="G29">
            <v>154</v>
          </cell>
          <cell r="H29">
            <v>333</v>
          </cell>
          <cell r="J29">
            <v>77</v>
          </cell>
          <cell r="K29">
            <v>135</v>
          </cell>
          <cell r="L29">
            <v>212</v>
          </cell>
          <cell r="N29">
            <v>22</v>
          </cell>
          <cell r="O29">
            <v>30</v>
          </cell>
          <cell r="P29">
            <v>52</v>
          </cell>
          <cell r="R29">
            <v>441</v>
          </cell>
          <cell r="S29">
            <v>185</v>
          </cell>
          <cell r="T29">
            <v>626</v>
          </cell>
        </row>
        <row r="30">
          <cell r="A30" t="str">
            <v xml:space="preserve"> 4Q</v>
          </cell>
          <cell r="B30">
            <v>43</v>
          </cell>
          <cell r="C30">
            <v>58</v>
          </cell>
          <cell r="D30">
            <v>101</v>
          </cell>
          <cell r="F30">
            <v>204</v>
          </cell>
          <cell r="G30">
            <v>210</v>
          </cell>
          <cell r="H30">
            <v>414</v>
          </cell>
          <cell r="J30">
            <v>62</v>
          </cell>
          <cell r="K30">
            <v>139</v>
          </cell>
          <cell r="L30">
            <v>201</v>
          </cell>
          <cell r="N30">
            <v>21</v>
          </cell>
          <cell r="O30">
            <v>30</v>
          </cell>
          <cell r="P30">
            <v>51</v>
          </cell>
          <cell r="R30">
            <v>433</v>
          </cell>
          <cell r="S30">
            <v>209</v>
          </cell>
          <cell r="T30">
            <v>642</v>
          </cell>
        </row>
        <row r="32">
          <cell r="A32" t="str">
            <v>Year</v>
          </cell>
          <cell r="B32">
            <v>168</v>
          </cell>
          <cell r="C32">
            <v>223</v>
          </cell>
          <cell r="D32">
            <v>391</v>
          </cell>
          <cell r="F32">
            <v>635</v>
          </cell>
          <cell r="G32">
            <v>698</v>
          </cell>
          <cell r="H32">
            <v>1333</v>
          </cell>
          <cell r="J32">
            <v>260</v>
          </cell>
          <cell r="K32">
            <v>532</v>
          </cell>
          <cell r="L32">
            <v>792</v>
          </cell>
          <cell r="N32">
            <v>84.7</v>
          </cell>
          <cell r="O32">
            <v>118</v>
          </cell>
          <cell r="P32">
            <v>202.7</v>
          </cell>
          <cell r="R32">
            <v>1709</v>
          </cell>
          <cell r="S32">
            <v>842</v>
          </cell>
          <cell r="T32">
            <v>2551</v>
          </cell>
        </row>
        <row r="34">
          <cell r="A34" t="str">
            <v>2000/99</v>
          </cell>
        </row>
        <row r="35">
          <cell r="A35" t="str">
            <v xml:space="preserve"> 1QA</v>
          </cell>
          <cell r="B35">
            <v>7.6923076923076872E-2</v>
          </cell>
          <cell r="C35">
            <v>8.5185185185185253E-2</v>
          </cell>
          <cell r="D35">
            <v>8.172043010752672E-2</v>
          </cell>
          <cell r="F35">
            <v>-5.9829059829059839E-2</v>
          </cell>
          <cell r="G35">
            <v>-7.2289156626506035E-2</v>
          </cell>
          <cell r="H35">
            <v>-6.7137809187279185E-2</v>
          </cell>
          <cell r="J35">
            <v>1.7543859649122862E-2</v>
          </cell>
          <cell r="K35">
            <v>-1.5625E-2</v>
          </cell>
          <cell r="L35">
            <v>-5.4054054054053502E-3</v>
          </cell>
          <cell r="N35">
            <v>-3.5532994923857864E-2</v>
          </cell>
          <cell r="O35">
            <v>0</v>
          </cell>
          <cell r="P35">
            <v>-1.4084507042253613E-2</v>
          </cell>
          <cell r="R35">
            <v>-1.3986013986013957E-2</v>
          </cell>
          <cell r="S35">
            <v>-0.16129032258064513</v>
          </cell>
          <cell r="T35">
            <v>-6.3467492260061875E-2</v>
          </cell>
        </row>
        <row r="36">
          <cell r="A36" t="str">
            <v xml:space="preserve"> 2QA</v>
          </cell>
          <cell r="B36">
            <v>4.7619047619047672E-2</v>
          </cell>
          <cell r="C36">
            <v>3.4482758620689724E-2</v>
          </cell>
          <cell r="D36">
            <v>4.0000000000000036E-2</v>
          </cell>
          <cell r="F36">
            <v>-0.19999999999999996</v>
          </cell>
          <cell r="G36">
            <v>6.5476190476190466E-2</v>
          </cell>
          <cell r="H36">
            <v>-5.2805280528052778E-2</v>
          </cell>
          <cell r="J36">
            <v>0.15625</v>
          </cell>
          <cell r="K36">
            <v>-3.8461538461538436E-2</v>
          </cell>
          <cell r="L36">
            <v>2.5773195876288568E-2</v>
          </cell>
          <cell r="N36">
            <v>0</v>
          </cell>
          <cell r="O36">
            <v>0</v>
          </cell>
          <cell r="P36">
            <v>0</v>
          </cell>
          <cell r="R36">
            <v>1.4742014742014753E-2</v>
          </cell>
          <cell r="S36">
            <v>-0.19913419913419916</v>
          </cell>
          <cell r="T36">
            <v>-6.2695924764890276E-2</v>
          </cell>
        </row>
        <row r="37">
          <cell r="A37" t="str">
            <v xml:space="preserve"> 3QA</v>
          </cell>
          <cell r="B37">
            <v>2.3255813953488413E-2</v>
          </cell>
          <cell r="C37">
            <v>0</v>
          </cell>
          <cell r="D37">
            <v>1.0309278350515427E-2</v>
          </cell>
          <cell r="F37">
            <v>-0.63128491620111737</v>
          </cell>
          <cell r="G37">
            <v>-7.7922077922077948E-2</v>
          </cell>
          <cell r="H37">
            <v>-0.37537537537537535</v>
          </cell>
          <cell r="J37">
            <v>-2.5974025974025983E-2</v>
          </cell>
          <cell r="K37">
            <v>-8.1481481481481488E-2</v>
          </cell>
          <cell r="L37">
            <v>-6.1320754716981174E-2</v>
          </cell>
          <cell r="N37">
            <v>-9.0909090909090939E-2</v>
          </cell>
          <cell r="O37">
            <v>-0.1333333333333333</v>
          </cell>
          <cell r="P37">
            <v>-0.11538461538461542</v>
          </cell>
          <cell r="R37">
            <v>-9.7505668934240397E-2</v>
          </cell>
          <cell r="S37">
            <v>-7.567567567567568E-2</v>
          </cell>
          <cell r="T37">
            <v>-9.1054313099041551E-2</v>
          </cell>
        </row>
        <row r="38">
          <cell r="A38" t="str">
            <v xml:space="preserve"> 4QA</v>
          </cell>
          <cell r="B38">
            <v>0</v>
          </cell>
          <cell r="C38">
            <v>3.4482758620689724E-2</v>
          </cell>
          <cell r="D38">
            <v>1.980198019801982E-2</v>
          </cell>
          <cell r="F38">
            <v>-0.50980392156862742</v>
          </cell>
          <cell r="G38">
            <v>-8.5714285714285743E-2</v>
          </cell>
          <cell r="H38">
            <v>-0.29468599033816423</v>
          </cell>
          <cell r="J38">
            <v>-1.6129032258064502E-2</v>
          </cell>
          <cell r="K38">
            <v>-7.9136690647481966E-2</v>
          </cell>
          <cell r="L38">
            <v>-5.9701492537313383E-2</v>
          </cell>
          <cell r="N38">
            <v>0</v>
          </cell>
          <cell r="O38">
            <v>-0.16666666666666663</v>
          </cell>
          <cell r="P38">
            <v>-9.8039215686274495E-2</v>
          </cell>
          <cell r="R38">
            <v>-9.9307159353348773E-2</v>
          </cell>
          <cell r="S38">
            <v>-9.0909090909090939E-2</v>
          </cell>
          <cell r="T38">
            <v>-9.6573208722741444E-2</v>
          </cell>
        </row>
        <row r="40">
          <cell r="A40" t="str">
            <v>Year</v>
          </cell>
          <cell r="B40">
            <v>2.9761904761904656E-2</v>
          </cell>
          <cell r="C40">
            <v>4.3049327354260036E-2</v>
          </cell>
          <cell r="D40">
            <v>3.7340153452685376E-2</v>
          </cell>
          <cell r="F40">
            <v>-0.39527559055118111</v>
          </cell>
          <cell r="G40">
            <v>-4.4412607449856756E-2</v>
          </cell>
          <cell r="H40">
            <v>-0.21155288822205554</v>
          </cell>
          <cell r="J40">
            <v>3.076923076923066E-2</v>
          </cell>
          <cell r="K40">
            <v>-5.4511278195488733E-2</v>
          </cell>
          <cell r="L40">
            <v>-2.6515151515151492E-2</v>
          </cell>
          <cell r="N40">
            <v>-4.3683589138134638E-2</v>
          </cell>
          <cell r="O40">
            <v>-6.7796610169491567E-2</v>
          </cell>
          <cell r="P40">
            <v>-5.7720769610261402E-2</v>
          </cell>
          <cell r="R40">
            <v>-4.9736688121708617E-2</v>
          </cell>
          <cell r="S40">
            <v>-0.13539192399049882</v>
          </cell>
          <cell r="T40">
            <v>-7.800862406899256E-2</v>
          </cell>
        </row>
        <row r="42">
          <cell r="A42">
            <v>2000</v>
          </cell>
        </row>
        <row r="43">
          <cell r="A43" t="str">
            <v xml:space="preserve"> 1QA</v>
          </cell>
          <cell r="B43">
            <v>42</v>
          </cell>
          <cell r="C43">
            <v>58.6</v>
          </cell>
          <cell r="D43">
            <v>100.6</v>
          </cell>
          <cell r="F43">
            <v>110</v>
          </cell>
          <cell r="G43">
            <v>154</v>
          </cell>
          <cell r="H43">
            <v>264</v>
          </cell>
          <cell r="J43">
            <v>58</v>
          </cell>
          <cell r="K43">
            <v>126</v>
          </cell>
          <cell r="L43">
            <v>184</v>
          </cell>
          <cell r="N43">
            <v>19</v>
          </cell>
          <cell r="O43">
            <v>30</v>
          </cell>
          <cell r="P43">
            <v>49</v>
          </cell>
          <cell r="R43">
            <v>423</v>
          </cell>
          <cell r="S43">
            <v>182</v>
          </cell>
          <cell r="T43">
            <v>605</v>
          </cell>
        </row>
        <row r="44">
          <cell r="A44" t="str">
            <v xml:space="preserve"> 2QA</v>
          </cell>
          <cell r="B44">
            <v>44</v>
          </cell>
          <cell r="C44">
            <v>60</v>
          </cell>
          <cell r="D44">
            <v>104</v>
          </cell>
          <cell r="F44">
            <v>108</v>
          </cell>
          <cell r="G44">
            <v>179</v>
          </cell>
          <cell r="H44">
            <v>287</v>
          </cell>
          <cell r="J44">
            <v>74</v>
          </cell>
          <cell r="K44">
            <v>125</v>
          </cell>
          <cell r="L44">
            <v>199</v>
          </cell>
          <cell r="N44">
            <v>21</v>
          </cell>
          <cell r="O44">
            <v>29</v>
          </cell>
          <cell r="P44">
            <v>50</v>
          </cell>
          <cell r="R44">
            <v>413</v>
          </cell>
          <cell r="S44">
            <v>185</v>
          </cell>
          <cell r="T44">
            <v>598</v>
          </cell>
        </row>
        <row r="45">
          <cell r="A45" t="str">
            <v xml:space="preserve"> 3QA</v>
          </cell>
          <cell r="B45">
            <v>44</v>
          </cell>
          <cell r="C45">
            <v>54</v>
          </cell>
          <cell r="D45">
            <v>98</v>
          </cell>
          <cell r="F45">
            <v>66</v>
          </cell>
          <cell r="G45">
            <v>142</v>
          </cell>
          <cell r="H45">
            <v>208</v>
          </cell>
          <cell r="J45">
            <v>75</v>
          </cell>
          <cell r="K45">
            <v>124</v>
          </cell>
          <cell r="L45">
            <v>199</v>
          </cell>
          <cell r="N45">
            <v>20</v>
          </cell>
          <cell r="O45">
            <v>26</v>
          </cell>
          <cell r="P45">
            <v>46</v>
          </cell>
          <cell r="R45">
            <v>398</v>
          </cell>
          <cell r="S45">
            <v>171</v>
          </cell>
          <cell r="T45">
            <v>569</v>
          </cell>
        </row>
        <row r="46">
          <cell r="A46" t="str">
            <v xml:space="preserve"> 4QA</v>
          </cell>
          <cell r="B46">
            <v>43</v>
          </cell>
          <cell r="C46">
            <v>60</v>
          </cell>
          <cell r="D46">
            <v>103</v>
          </cell>
          <cell r="F46">
            <v>100</v>
          </cell>
          <cell r="G46">
            <v>192</v>
          </cell>
          <cell r="H46">
            <v>292</v>
          </cell>
          <cell r="J46">
            <v>61</v>
          </cell>
          <cell r="K46">
            <v>128</v>
          </cell>
          <cell r="L46">
            <v>189</v>
          </cell>
          <cell r="N46">
            <v>21</v>
          </cell>
          <cell r="O46">
            <v>25</v>
          </cell>
          <cell r="P46">
            <v>46</v>
          </cell>
          <cell r="R46">
            <v>390</v>
          </cell>
          <cell r="S46">
            <v>190</v>
          </cell>
          <cell r="T46">
            <v>580</v>
          </cell>
        </row>
        <row r="48">
          <cell r="A48" t="str">
            <v>Year</v>
          </cell>
          <cell r="B48">
            <v>173</v>
          </cell>
          <cell r="C48">
            <v>232.6</v>
          </cell>
          <cell r="D48">
            <v>405.6</v>
          </cell>
          <cell r="F48">
            <v>384</v>
          </cell>
          <cell r="G48">
            <v>667</v>
          </cell>
          <cell r="H48">
            <v>1051</v>
          </cell>
          <cell r="J48">
            <v>268</v>
          </cell>
          <cell r="K48">
            <v>503</v>
          </cell>
          <cell r="L48">
            <v>771</v>
          </cell>
          <cell r="N48">
            <v>81</v>
          </cell>
          <cell r="O48">
            <v>110</v>
          </cell>
          <cell r="P48">
            <v>191</v>
          </cell>
          <cell r="R48">
            <v>1624</v>
          </cell>
          <cell r="S48">
            <v>728</v>
          </cell>
          <cell r="T48">
            <v>2352</v>
          </cell>
        </row>
        <row r="51">
          <cell r="A51" t="str">
            <v>2001A/00</v>
          </cell>
        </row>
        <row r="52">
          <cell r="A52" t="str">
            <v xml:space="preserve"> 1QE</v>
          </cell>
          <cell r="B52">
            <v>2.3809523809523725E-2</v>
          </cell>
          <cell r="C52">
            <v>-1.0238907849829393E-2</v>
          </cell>
          <cell r="D52">
            <v>3.9761431411531323E-3</v>
          </cell>
          <cell r="E52" t="e">
            <v>#DIV/0!</v>
          </cell>
          <cell r="F52">
            <v>-7.2727272727272751E-2</v>
          </cell>
          <cell r="G52">
            <v>-0.24025974025974028</v>
          </cell>
          <cell r="H52">
            <v>-0.17045454545454541</v>
          </cell>
          <cell r="I52" t="e">
            <v>#DIV/0!</v>
          </cell>
          <cell r="J52">
            <v>-5.1724137931034475E-2</v>
          </cell>
          <cell r="K52">
            <v>-0.23015873015873012</v>
          </cell>
          <cell r="L52">
            <v>-0.17391304347826086</v>
          </cell>
          <cell r="M52" t="e">
            <v>#DIV/0!</v>
          </cell>
          <cell r="N52">
            <v>-0.10526315789473684</v>
          </cell>
          <cell r="O52">
            <v>-0.19999999999999996</v>
          </cell>
          <cell r="P52">
            <v>-0.16326530612244894</v>
          </cell>
          <cell r="Q52" t="e">
            <v>#DIV/0!</v>
          </cell>
          <cell r="R52">
            <v>-2.6004728132387744E-2</v>
          </cell>
          <cell r="S52">
            <v>-0.1428571428571429</v>
          </cell>
          <cell r="T52">
            <v>-6.115702479338847E-2</v>
          </cell>
        </row>
        <row r="53">
          <cell r="A53" t="str">
            <v xml:space="preserve"> 2QA</v>
          </cell>
          <cell r="B53">
            <v>6.8181818181818121E-2</v>
          </cell>
          <cell r="C53">
            <v>-1.6666666666666718E-2</v>
          </cell>
          <cell r="D53">
            <v>1.9230769230769162E-2</v>
          </cell>
          <cell r="F53">
            <v>-1.851851851851849E-2</v>
          </cell>
          <cell r="G53">
            <v>-0.21229050279329609</v>
          </cell>
          <cell r="H53">
            <v>-0.13937282229965153</v>
          </cell>
          <cell r="J53">
            <v>-0.18918918918918914</v>
          </cell>
          <cell r="K53">
            <v>-0.20799999999999996</v>
          </cell>
          <cell r="L53">
            <v>-0.20100502512562812</v>
          </cell>
          <cell r="N53">
            <v>0</v>
          </cell>
          <cell r="O53">
            <v>-1.7241379310344862E-2</v>
          </cell>
          <cell r="P53">
            <v>-1.0000000000000009E-2</v>
          </cell>
          <cell r="R53">
            <v>1.6949152542372836E-2</v>
          </cell>
          <cell r="S53">
            <v>-0.10270270270270265</v>
          </cell>
          <cell r="T53">
            <v>-2.006688963210701E-2</v>
          </cell>
        </row>
        <row r="54">
          <cell r="A54" t="str">
            <v xml:space="preserve"> 3QA</v>
          </cell>
          <cell r="B54">
            <v>4.5454545454545414E-2</v>
          </cell>
          <cell r="C54">
            <v>-3.703703703703709E-2</v>
          </cell>
          <cell r="D54">
            <v>0</v>
          </cell>
          <cell r="F54">
            <v>0.8484848484848484</v>
          </cell>
          <cell r="G54">
            <v>-7.0422535211267623E-2</v>
          </cell>
          <cell r="H54">
            <v>0.22115384615384615</v>
          </cell>
          <cell r="J54">
            <v>-0.17333333333333334</v>
          </cell>
          <cell r="K54">
            <v>-0.19354838709677424</v>
          </cell>
          <cell r="L54">
            <v>-0.18592964824120603</v>
          </cell>
          <cell r="N54">
            <v>5.0000000000000044E-2</v>
          </cell>
          <cell r="O54">
            <v>-7.6923076923076872E-2</v>
          </cell>
          <cell r="P54">
            <v>-2.1739130434782608E-2</v>
          </cell>
          <cell r="R54">
            <v>8.5427135678391997E-2</v>
          </cell>
          <cell r="S54">
            <v>-0.15204678362573099</v>
          </cell>
          <cell r="T54">
            <v>1.4059753954305799E-2</v>
          </cell>
        </row>
        <row r="55">
          <cell r="A55" t="str">
            <v xml:space="preserve"> 4QA</v>
          </cell>
          <cell r="B55">
            <v>-6.9767441860465115E-2</v>
          </cell>
          <cell r="C55">
            <v>6.6666666666666666E-2</v>
          </cell>
          <cell r="D55">
            <v>9.7087378640776691E-3</v>
          </cell>
          <cell r="F55">
            <v>0.18</v>
          </cell>
          <cell r="G55">
            <v>-4.6875E-2</v>
          </cell>
          <cell r="H55">
            <v>3.0821917808219176E-2</v>
          </cell>
          <cell r="J55">
            <v>-0.11475409836065574</v>
          </cell>
          <cell r="K55">
            <v>-0.1796875</v>
          </cell>
          <cell r="L55">
            <v>-0.15873015873015872</v>
          </cell>
          <cell r="N55">
            <v>-9.5238095238095233E-2</v>
          </cell>
          <cell r="O55">
            <v>0.04</v>
          </cell>
          <cell r="P55">
            <v>-2.1739130434782608E-2</v>
          </cell>
          <cell r="R55">
            <v>0.13589743589743589</v>
          </cell>
          <cell r="S55">
            <v>-5.2631578947368418E-2</v>
          </cell>
          <cell r="T55">
            <v>7.4137931034482754E-2</v>
          </cell>
        </row>
        <row r="56">
          <cell r="B56" t="str">
            <v xml:space="preserve"> </v>
          </cell>
        </row>
        <row r="57">
          <cell r="A57" t="str">
            <v>Year E</v>
          </cell>
          <cell r="B57">
            <v>1.7341040462427681E-2</v>
          </cell>
          <cell r="C57">
            <v>1.7196904557179593E-3</v>
          </cell>
          <cell r="D57">
            <v>8.3826429980276007E-3</v>
          </cell>
          <cell r="F57">
            <v>0.16666666666666674</v>
          </cell>
          <cell r="G57">
            <v>-0.14092953523238383</v>
          </cell>
          <cell r="H57">
            <v>-2.8544243577545148E-2</v>
          </cell>
          <cell r="J57">
            <v>-0.13805970149253732</v>
          </cell>
          <cell r="K57">
            <v>-0.20278330019880719</v>
          </cell>
          <cell r="L57">
            <v>-0.18028534370946825</v>
          </cell>
          <cell r="N57">
            <v>-3.703703703703709E-2</v>
          </cell>
          <cell r="O57">
            <v>-6.8181818181818232E-2</v>
          </cell>
          <cell r="P57">
            <v>-5.4973821989528826E-2</v>
          </cell>
          <cell r="R57">
            <v>5.1108374384236432E-2</v>
          </cell>
          <cell r="S57">
            <v>-0.11126373626373631</v>
          </cell>
          <cell r="T57">
            <v>8.5034013605445047E-4</v>
          </cell>
        </row>
        <row r="59">
          <cell r="A59">
            <v>2001</v>
          </cell>
        </row>
        <row r="60">
          <cell r="A60" t="str">
            <v xml:space="preserve"> 1QA</v>
          </cell>
          <cell r="B60">
            <v>43</v>
          </cell>
          <cell r="C60">
            <v>58</v>
          </cell>
          <cell r="D60">
            <v>101</v>
          </cell>
          <cell r="F60">
            <v>102</v>
          </cell>
          <cell r="G60">
            <v>117</v>
          </cell>
          <cell r="H60">
            <v>219</v>
          </cell>
          <cell r="J60">
            <v>55</v>
          </cell>
          <cell r="K60">
            <v>97</v>
          </cell>
          <cell r="L60">
            <v>152</v>
          </cell>
          <cell r="N60">
            <v>17</v>
          </cell>
          <cell r="O60">
            <v>24</v>
          </cell>
          <cell r="P60">
            <v>41</v>
          </cell>
          <cell r="R60">
            <v>412</v>
          </cell>
          <cell r="S60">
            <v>156</v>
          </cell>
          <cell r="T60">
            <v>568</v>
          </cell>
        </row>
        <row r="61">
          <cell r="A61" t="str">
            <v xml:space="preserve"> 2QA</v>
          </cell>
          <cell r="B61">
            <v>47</v>
          </cell>
          <cell r="C61">
            <v>59</v>
          </cell>
          <cell r="D61">
            <v>106</v>
          </cell>
          <cell r="F61">
            <v>106</v>
          </cell>
          <cell r="G61">
            <v>141</v>
          </cell>
          <cell r="H61">
            <v>247</v>
          </cell>
          <cell r="J61">
            <v>60</v>
          </cell>
          <cell r="K61">
            <v>99</v>
          </cell>
          <cell r="L61">
            <v>159</v>
          </cell>
          <cell r="N61">
            <v>21</v>
          </cell>
          <cell r="O61">
            <v>28.5</v>
          </cell>
          <cell r="P61">
            <v>49.5</v>
          </cell>
          <cell r="R61">
            <v>420</v>
          </cell>
          <cell r="S61">
            <v>166</v>
          </cell>
          <cell r="T61">
            <v>586</v>
          </cell>
        </row>
        <row r="62">
          <cell r="A62" t="str">
            <v xml:space="preserve"> 3QA</v>
          </cell>
          <cell r="B62">
            <v>46</v>
          </cell>
          <cell r="C62">
            <v>52</v>
          </cell>
          <cell r="D62">
            <v>98</v>
          </cell>
          <cell r="F62">
            <v>122</v>
          </cell>
          <cell r="G62">
            <v>132</v>
          </cell>
          <cell r="H62">
            <v>254</v>
          </cell>
          <cell r="J62">
            <v>62</v>
          </cell>
          <cell r="K62">
            <v>100</v>
          </cell>
          <cell r="L62">
            <v>162</v>
          </cell>
          <cell r="N62">
            <v>21</v>
          </cell>
          <cell r="O62">
            <v>24</v>
          </cell>
          <cell r="P62">
            <v>45</v>
          </cell>
          <cell r="R62">
            <v>432</v>
          </cell>
          <cell r="S62">
            <v>145</v>
          </cell>
          <cell r="T62">
            <v>577</v>
          </cell>
        </row>
        <row r="63">
          <cell r="A63" t="str">
            <v xml:space="preserve"> 4QA</v>
          </cell>
          <cell r="B63">
            <v>40</v>
          </cell>
          <cell r="C63">
            <v>64</v>
          </cell>
          <cell r="D63">
            <v>104</v>
          </cell>
          <cell r="F63">
            <v>118</v>
          </cell>
          <cell r="G63">
            <v>183</v>
          </cell>
          <cell r="H63">
            <v>301</v>
          </cell>
          <cell r="J63">
            <v>54</v>
          </cell>
          <cell r="K63">
            <v>105</v>
          </cell>
          <cell r="L63">
            <v>159</v>
          </cell>
          <cell r="N63">
            <v>19</v>
          </cell>
          <cell r="O63">
            <v>26</v>
          </cell>
          <cell r="P63">
            <v>45</v>
          </cell>
          <cell r="R63">
            <v>443</v>
          </cell>
          <cell r="S63">
            <v>180</v>
          </cell>
          <cell r="T63">
            <v>623</v>
          </cell>
        </row>
        <row r="65">
          <cell r="A65" t="str">
            <v xml:space="preserve">Year  </v>
          </cell>
          <cell r="B65">
            <v>176</v>
          </cell>
          <cell r="C65">
            <v>233</v>
          </cell>
          <cell r="D65">
            <v>409</v>
          </cell>
          <cell r="F65">
            <v>448</v>
          </cell>
          <cell r="G65">
            <v>573</v>
          </cell>
          <cell r="H65">
            <v>1021</v>
          </cell>
          <cell r="J65">
            <v>231</v>
          </cell>
          <cell r="K65">
            <v>401</v>
          </cell>
          <cell r="L65">
            <v>632</v>
          </cell>
          <cell r="N65">
            <v>78</v>
          </cell>
          <cell r="O65">
            <v>102.5</v>
          </cell>
          <cell r="P65">
            <v>180.5</v>
          </cell>
          <cell r="R65">
            <v>1707</v>
          </cell>
          <cell r="S65">
            <v>647</v>
          </cell>
          <cell r="T65">
            <v>2354</v>
          </cell>
        </row>
        <row r="67">
          <cell r="A67" t="str">
            <v>2002E/01</v>
          </cell>
        </row>
        <row r="68">
          <cell r="A68" t="str">
            <v xml:space="preserve"> 1QA</v>
          </cell>
          <cell r="B68">
            <v>2.3255813953488413E-2</v>
          </cell>
          <cell r="C68">
            <v>-4.8275862068965503E-2</v>
          </cell>
          <cell r="D68">
            <v>-1.7821782178217838E-2</v>
          </cell>
          <cell r="F68">
            <v>0.15882352941176481</v>
          </cell>
          <cell r="G68">
            <v>3.4188034188034289E-2</v>
          </cell>
          <cell r="H68">
            <v>9.2237442922374457E-2</v>
          </cell>
          <cell r="J68">
            <v>1.8181818181818077E-2</v>
          </cell>
          <cell r="K68">
            <v>-0.10309278350515461</v>
          </cell>
          <cell r="L68">
            <v>-5.9210526315789491E-2</v>
          </cell>
          <cell r="N68">
            <v>0.29411764705882359</v>
          </cell>
          <cell r="O68">
            <v>-8.333333333333337E-2</v>
          </cell>
          <cell r="P68">
            <v>7.3170731707317138E-2</v>
          </cell>
          <cell r="R68">
            <v>0.14077669902912615</v>
          </cell>
          <cell r="S68">
            <v>8.3333333333333259E-2</v>
          </cell>
          <cell r="T68">
            <v>0.125</v>
          </cell>
        </row>
        <row r="69">
          <cell r="A69" t="str">
            <v xml:space="preserve"> 2QA</v>
          </cell>
          <cell r="B69">
            <v>-4.2553191489361653E-2</v>
          </cell>
          <cell r="C69">
            <v>8.4745762711864403E-2</v>
          </cell>
          <cell r="D69">
            <v>2.8301886792452935E-2</v>
          </cell>
          <cell r="F69">
            <v>0.15094339622641506</v>
          </cell>
          <cell r="G69">
            <v>7.8014184397163122E-2</v>
          </cell>
          <cell r="H69">
            <v>0.10931174089068829</v>
          </cell>
          <cell r="J69">
            <v>5.0000000000000044E-2</v>
          </cell>
          <cell r="K69">
            <v>0</v>
          </cell>
          <cell r="L69">
            <v>1.8867924528301883E-2</v>
          </cell>
          <cell r="N69">
            <v>4.7619047619047672E-2</v>
          </cell>
          <cell r="O69">
            <v>-1.7543859649122862E-2</v>
          </cell>
          <cell r="P69">
            <v>1.0101010101010166E-2</v>
          </cell>
          <cell r="R69">
            <v>0.10000000000000009</v>
          </cell>
          <cell r="S69">
            <v>0.10843373493975905</v>
          </cell>
          <cell r="T69">
            <v>0.10238907849829348</v>
          </cell>
        </row>
        <row r="70">
          <cell r="A70" t="str">
            <v xml:space="preserve"> 3QA</v>
          </cell>
          <cell r="B70">
            <v>-2.1739130434782594E-2</v>
          </cell>
          <cell r="C70">
            <v>0.23461538461538467</v>
          </cell>
          <cell r="D70">
            <v>0.11428571428571432</v>
          </cell>
          <cell r="F70">
            <v>8.1967213114754189E-2</v>
          </cell>
          <cell r="G70">
            <v>0.1212121212121211</v>
          </cell>
          <cell r="H70">
            <v>0.10236220472440949</v>
          </cell>
          <cell r="J70">
            <v>-8.064516129032262E-2</v>
          </cell>
          <cell r="K70">
            <v>7.0000000000000062E-2</v>
          </cell>
          <cell r="L70">
            <v>1.2345679012345734E-2</v>
          </cell>
          <cell r="N70">
            <v>0</v>
          </cell>
          <cell r="O70">
            <v>0.125</v>
          </cell>
          <cell r="P70">
            <v>6.6666666666666652E-2</v>
          </cell>
          <cell r="R70">
            <v>2.3148148148148806E-3</v>
          </cell>
          <cell r="S70">
            <v>0.21379310344827585</v>
          </cell>
          <cell r="T70">
            <v>5.5459272097053702E-2</v>
          </cell>
        </row>
        <row r="71">
          <cell r="A71" t="str">
            <v xml:space="preserve"> 4QA</v>
          </cell>
          <cell r="B71">
            <v>0.10999999999999988</v>
          </cell>
          <cell r="C71">
            <v>0.15625</v>
          </cell>
          <cell r="D71">
            <v>0.13846153846153841</v>
          </cell>
          <cell r="F71">
            <v>0.11016949152542366</v>
          </cell>
          <cell r="G71">
            <v>6.0109289617486406E-2</v>
          </cell>
          <cell r="H71">
            <v>7.9734219269103068E-2</v>
          </cell>
          <cell r="J71">
            <v>-1</v>
          </cell>
          <cell r="K71">
            <v>-1</v>
          </cell>
          <cell r="L71">
            <v>-1</v>
          </cell>
          <cell r="N71">
            <v>-1</v>
          </cell>
          <cell r="O71">
            <v>-1</v>
          </cell>
          <cell r="P71">
            <v>-1</v>
          </cell>
          <cell r="R71">
            <v>-6.0948081264108334E-2</v>
          </cell>
          <cell r="S71">
            <v>0.22777777777777786</v>
          </cell>
          <cell r="T71">
            <v>2.2471910112359605E-2</v>
          </cell>
        </row>
        <row r="73">
          <cell r="A73" t="str">
            <v xml:space="preserve">2002E/01E </v>
          </cell>
          <cell r="B73">
            <v>1.3636363636363669E-2</v>
          </cell>
          <cell r="C73">
            <v>0.10472103004291844</v>
          </cell>
          <cell r="D73">
            <v>6.5525672371637977E-2</v>
          </cell>
          <cell r="F73">
            <v>0.12321428571428572</v>
          </cell>
          <cell r="G73">
            <v>7.3298429319371694E-2</v>
          </cell>
          <cell r="H73">
            <v>9.5200783545543635E-2</v>
          </cell>
          <cell r="J73">
            <v>-0.23809523809523814</v>
          </cell>
          <cell r="K73">
            <v>-0.26932668329177056</v>
          </cell>
          <cell r="L73">
            <v>-0.25791139240506333</v>
          </cell>
          <cell r="N73">
            <v>-0.16666666666666663</v>
          </cell>
          <cell r="O73">
            <v>-0.24878048780487805</v>
          </cell>
          <cell r="P73">
            <v>-0.21329639889196672</v>
          </cell>
          <cell r="R73">
            <v>4.3350908025776125E-2</v>
          </cell>
          <cell r="S73">
            <v>0.15919629057187024</v>
          </cell>
          <cell r="T73">
            <v>7.5191163976210618E-2</v>
          </cell>
        </row>
        <row r="75">
          <cell r="A75" t="str">
            <v>2002E</v>
          </cell>
        </row>
        <row r="76">
          <cell r="A76" t="str">
            <v xml:space="preserve"> 1QA</v>
          </cell>
          <cell r="B76">
            <v>44</v>
          </cell>
          <cell r="C76">
            <v>55.2</v>
          </cell>
          <cell r="D76">
            <v>99.2</v>
          </cell>
          <cell r="F76">
            <v>118.2</v>
          </cell>
          <cell r="G76">
            <v>121</v>
          </cell>
          <cell r="H76">
            <v>239.2</v>
          </cell>
          <cell r="J76">
            <v>56</v>
          </cell>
          <cell r="K76">
            <v>87</v>
          </cell>
          <cell r="L76">
            <v>143</v>
          </cell>
          <cell r="N76">
            <v>22</v>
          </cell>
          <cell r="O76">
            <v>22</v>
          </cell>
          <cell r="P76">
            <v>44</v>
          </cell>
          <cell r="R76">
            <v>470</v>
          </cell>
          <cell r="S76">
            <v>169</v>
          </cell>
          <cell r="T76">
            <v>639</v>
          </cell>
        </row>
        <row r="77">
          <cell r="A77" t="str">
            <v xml:space="preserve"> 2QA</v>
          </cell>
          <cell r="B77">
            <v>45</v>
          </cell>
          <cell r="C77">
            <v>64</v>
          </cell>
          <cell r="D77">
            <v>109</v>
          </cell>
          <cell r="F77">
            <v>122</v>
          </cell>
          <cell r="G77">
            <v>152</v>
          </cell>
          <cell r="H77">
            <v>274</v>
          </cell>
          <cell r="J77">
            <v>63</v>
          </cell>
          <cell r="K77">
            <v>99</v>
          </cell>
          <cell r="L77">
            <v>162</v>
          </cell>
          <cell r="N77">
            <v>22</v>
          </cell>
          <cell r="O77">
            <v>28</v>
          </cell>
          <cell r="P77">
            <v>50</v>
          </cell>
          <cell r="R77">
            <v>462</v>
          </cell>
          <cell r="S77">
            <v>184</v>
          </cell>
          <cell r="T77">
            <v>646</v>
          </cell>
        </row>
        <row r="78">
          <cell r="A78" t="str">
            <v xml:space="preserve"> 3QA</v>
          </cell>
          <cell r="B78">
            <v>45</v>
          </cell>
          <cell r="C78">
            <v>64.2</v>
          </cell>
          <cell r="D78">
            <v>109.2</v>
          </cell>
          <cell r="F78">
            <v>132</v>
          </cell>
          <cell r="G78">
            <v>148</v>
          </cell>
          <cell r="H78">
            <v>280</v>
          </cell>
          <cell r="J78">
            <v>57</v>
          </cell>
          <cell r="K78">
            <v>107</v>
          </cell>
          <cell r="L78">
            <v>164</v>
          </cell>
          <cell r="N78">
            <v>21</v>
          </cell>
          <cell r="O78">
            <v>27</v>
          </cell>
          <cell r="P78">
            <v>48</v>
          </cell>
          <cell r="R78">
            <v>433</v>
          </cell>
          <cell r="S78">
            <v>176</v>
          </cell>
          <cell r="T78">
            <v>609</v>
          </cell>
        </row>
        <row r="79">
          <cell r="A79" t="str">
            <v xml:space="preserve"> 4QA</v>
          </cell>
          <cell r="B79">
            <v>44.4</v>
          </cell>
          <cell r="C79">
            <v>74</v>
          </cell>
          <cell r="D79">
            <v>118.4</v>
          </cell>
          <cell r="F79">
            <v>131</v>
          </cell>
          <cell r="G79">
            <v>194</v>
          </cell>
          <cell r="H79">
            <v>325</v>
          </cell>
          <cell r="J79">
            <v>0</v>
          </cell>
          <cell r="K79">
            <v>0</v>
          </cell>
          <cell r="L79">
            <v>0</v>
          </cell>
          <cell r="N79">
            <v>0</v>
          </cell>
          <cell r="O79">
            <v>0</v>
          </cell>
          <cell r="P79">
            <v>0</v>
          </cell>
          <cell r="R79">
            <v>416</v>
          </cell>
          <cell r="S79">
            <v>221</v>
          </cell>
          <cell r="T79">
            <v>637</v>
          </cell>
        </row>
        <row r="81">
          <cell r="A81" t="str">
            <v>2002E</v>
          </cell>
          <cell r="B81">
            <v>178.4</v>
          </cell>
          <cell r="C81">
            <v>257.39999999999998</v>
          </cell>
          <cell r="D81">
            <v>435.79999999999995</v>
          </cell>
          <cell r="F81">
            <v>503.2</v>
          </cell>
          <cell r="G81">
            <v>615</v>
          </cell>
          <cell r="H81">
            <v>1118.2</v>
          </cell>
          <cell r="J81">
            <v>176</v>
          </cell>
          <cell r="K81">
            <v>293</v>
          </cell>
          <cell r="L81">
            <v>469</v>
          </cell>
          <cell r="N81">
            <v>65</v>
          </cell>
          <cell r="O81">
            <v>77</v>
          </cell>
          <cell r="P81">
            <v>142</v>
          </cell>
          <cell r="R81">
            <v>1781</v>
          </cell>
          <cell r="S81">
            <v>750</v>
          </cell>
          <cell r="T81">
            <v>2531</v>
          </cell>
        </row>
        <row r="83">
          <cell r="A83" t="str">
            <v>2003E/02</v>
          </cell>
        </row>
        <row r="84">
          <cell r="A84" t="str">
            <v xml:space="preserve"> 1QA</v>
          </cell>
          <cell r="B84">
            <v>0.02</v>
          </cell>
          <cell r="C84">
            <v>0.11</v>
          </cell>
          <cell r="D84">
            <v>0.12903225806451601</v>
          </cell>
          <cell r="F84">
            <v>0.05</v>
          </cell>
          <cell r="G84">
            <v>0.08</v>
          </cell>
          <cell r="H84">
            <v>0.12458193979933108</v>
          </cell>
          <cell r="J84" t="str">
            <v>NA</v>
          </cell>
          <cell r="K84" t="str">
            <v>NA</v>
          </cell>
          <cell r="L84" t="str">
            <v>NA</v>
          </cell>
          <cell r="N84" t="str">
            <v>NA</v>
          </cell>
          <cell r="O84" t="str">
            <v>NA</v>
          </cell>
          <cell r="P84" t="str">
            <v>NA</v>
          </cell>
          <cell r="R84">
            <v>0.02</v>
          </cell>
          <cell r="S84">
            <v>0.02</v>
          </cell>
          <cell r="T84">
            <v>-6.7292644757433462E-2</v>
          </cell>
        </row>
        <row r="85">
          <cell r="A85" t="str">
            <v xml:space="preserve"> 2QA</v>
          </cell>
          <cell r="B85">
            <v>0.02</v>
          </cell>
          <cell r="C85">
            <v>0.11</v>
          </cell>
          <cell r="D85">
            <v>7.2844036697247594E-2</v>
          </cell>
          <cell r="F85">
            <v>0.05</v>
          </cell>
          <cell r="G85">
            <v>0.08</v>
          </cell>
          <cell r="H85">
            <v>6.6642335766423422E-2</v>
          </cell>
          <cell r="J85" t="str">
            <v>NA</v>
          </cell>
          <cell r="K85" t="str">
            <v>NA</v>
          </cell>
          <cell r="L85" t="str">
            <v>NA</v>
          </cell>
          <cell r="N85" t="str">
            <v>NA</v>
          </cell>
          <cell r="O85" t="str">
            <v>NA</v>
          </cell>
          <cell r="P85" t="str">
            <v>NA</v>
          </cell>
          <cell r="R85">
            <v>0.02</v>
          </cell>
          <cell r="S85">
            <v>0.02</v>
          </cell>
          <cell r="T85">
            <v>2.0000000000000018E-2</v>
          </cell>
        </row>
        <row r="86">
          <cell r="A86" t="str">
            <v xml:space="preserve"> 3QA</v>
          </cell>
          <cell r="B86">
            <v>0.02</v>
          </cell>
          <cell r="C86">
            <v>0.11</v>
          </cell>
          <cell r="D86">
            <v>7.291208791208792E-2</v>
          </cell>
          <cell r="F86">
            <v>0.05</v>
          </cell>
          <cell r="G86">
            <v>0.08</v>
          </cell>
          <cell r="H86">
            <v>6.5857142857142836E-2</v>
          </cell>
          <cell r="J86" t="str">
            <v>NA</v>
          </cell>
          <cell r="K86" t="str">
            <v>NA</v>
          </cell>
          <cell r="L86" t="str">
            <v>NA</v>
          </cell>
          <cell r="N86" t="str">
            <v>NA</v>
          </cell>
          <cell r="O86" t="str">
            <v>NA</v>
          </cell>
          <cell r="P86" t="str">
            <v>NA</v>
          </cell>
          <cell r="R86">
            <v>0.02</v>
          </cell>
          <cell r="S86">
            <v>0.02</v>
          </cell>
          <cell r="T86">
            <v>2.0000000000000018E-2</v>
          </cell>
        </row>
        <row r="87">
          <cell r="A87" t="str">
            <v xml:space="preserve"> 4QA</v>
          </cell>
          <cell r="B87">
            <v>3.9819819819820079E-2</v>
          </cell>
          <cell r="C87">
            <v>1.9081081081080864E-2</v>
          </cell>
          <cell r="D87">
            <v>2.6858108108107848E-2</v>
          </cell>
          <cell r="F87">
            <v>1.2671755725190526E-2</v>
          </cell>
          <cell r="G87">
            <v>-0.15824742268041259</v>
          </cell>
          <cell r="H87">
            <v>-8.9353846153846339E-2</v>
          </cell>
          <cell r="J87" t="str">
            <v>NA</v>
          </cell>
          <cell r="K87" t="str">
            <v>NA</v>
          </cell>
          <cell r="L87" t="str">
            <v>NA</v>
          </cell>
          <cell r="N87" t="str">
            <v>NA</v>
          </cell>
          <cell r="O87" t="str">
            <v>NA</v>
          </cell>
          <cell r="P87" t="str">
            <v>NA</v>
          </cell>
          <cell r="R87">
            <v>0.26374999999999948</v>
          </cell>
          <cell r="S87">
            <v>-0.18642533936651606</v>
          </cell>
          <cell r="T87">
            <v>0.10756671899529002</v>
          </cell>
        </row>
        <row r="89">
          <cell r="A89" t="str">
            <v xml:space="preserve">2003E/02E </v>
          </cell>
          <cell r="B89">
            <v>0.02</v>
          </cell>
          <cell r="C89">
            <v>0.11</v>
          </cell>
          <cell r="D89">
            <v>7.3157411656723514E-2</v>
          </cell>
          <cell r="F89">
            <v>0.05</v>
          </cell>
          <cell r="G89">
            <v>0.02</v>
          </cell>
          <cell r="H89">
            <v>3.3500268288320312E-2</v>
          </cell>
          <cell r="J89" t="str">
            <v>NA</v>
          </cell>
          <cell r="K89" t="str">
            <v>NA</v>
          </cell>
          <cell r="L89" t="str">
            <v>NA</v>
          </cell>
          <cell r="N89" t="str">
            <v>NA</v>
          </cell>
          <cell r="O89" t="str">
            <v>NA</v>
          </cell>
          <cell r="P89" t="str">
            <v>NA</v>
          </cell>
          <cell r="R89">
            <v>0.02</v>
          </cell>
          <cell r="S89">
            <v>0.02</v>
          </cell>
          <cell r="T89">
            <v>2.0000000000000018E-2</v>
          </cell>
        </row>
        <row r="91">
          <cell r="A91" t="str">
            <v>2003E</v>
          </cell>
        </row>
        <row r="92">
          <cell r="A92" t="str">
            <v xml:space="preserve"> 1QE</v>
          </cell>
          <cell r="B92">
            <v>44</v>
          </cell>
          <cell r="C92">
            <v>68</v>
          </cell>
          <cell r="D92">
            <v>112</v>
          </cell>
          <cell r="F92">
            <v>129</v>
          </cell>
          <cell r="G92">
            <v>140</v>
          </cell>
          <cell r="H92">
            <v>269</v>
          </cell>
          <cell r="J92">
            <v>0</v>
          </cell>
          <cell r="K92">
            <v>0</v>
          </cell>
          <cell r="L92">
            <v>0</v>
          </cell>
          <cell r="N92">
            <v>0</v>
          </cell>
          <cell r="O92">
            <v>0</v>
          </cell>
          <cell r="P92">
            <v>0</v>
          </cell>
          <cell r="R92">
            <v>378</v>
          </cell>
          <cell r="S92">
            <v>218</v>
          </cell>
          <cell r="T92">
            <v>596</v>
          </cell>
        </row>
        <row r="93">
          <cell r="A93" t="str">
            <v xml:space="preserve"> 2QE</v>
          </cell>
          <cell r="B93">
            <v>45.9</v>
          </cell>
          <cell r="C93">
            <v>71.040000000000006</v>
          </cell>
          <cell r="D93">
            <v>116.94</v>
          </cell>
          <cell r="F93">
            <v>128.1</v>
          </cell>
          <cell r="G93">
            <v>164.16000000000003</v>
          </cell>
          <cell r="H93">
            <v>292.26</v>
          </cell>
          <cell r="J93">
            <v>0</v>
          </cell>
          <cell r="K93">
            <v>0</v>
          </cell>
          <cell r="L93">
            <v>0</v>
          </cell>
          <cell r="N93">
            <v>0</v>
          </cell>
          <cell r="O93">
            <v>0</v>
          </cell>
          <cell r="P93">
            <v>0</v>
          </cell>
          <cell r="R93">
            <v>471.24</v>
          </cell>
          <cell r="S93">
            <v>187.68</v>
          </cell>
          <cell r="T93">
            <v>658.92000000000007</v>
          </cell>
        </row>
        <row r="94">
          <cell r="A94" t="str">
            <v xml:space="preserve"> 3QE</v>
          </cell>
          <cell r="B94">
            <v>45.9</v>
          </cell>
          <cell r="C94">
            <v>71.262000000000015</v>
          </cell>
          <cell r="D94">
            <v>117.16200000000001</v>
          </cell>
          <cell r="F94">
            <v>138.6</v>
          </cell>
          <cell r="G94">
            <v>159.84</v>
          </cell>
          <cell r="H94">
            <v>298.44</v>
          </cell>
          <cell r="J94">
            <v>0</v>
          </cell>
          <cell r="K94">
            <v>0</v>
          </cell>
          <cell r="L94">
            <v>0</v>
          </cell>
          <cell r="N94">
            <v>0</v>
          </cell>
          <cell r="O94">
            <v>0</v>
          </cell>
          <cell r="P94">
            <v>0</v>
          </cell>
          <cell r="R94">
            <v>441.66</v>
          </cell>
          <cell r="S94">
            <v>179.52</v>
          </cell>
          <cell r="T94">
            <v>621.18000000000006</v>
          </cell>
        </row>
        <row r="95">
          <cell r="A95" t="str">
            <v xml:space="preserve"> 4QE</v>
          </cell>
          <cell r="B95">
            <v>46.168000000000006</v>
          </cell>
          <cell r="C95">
            <v>75.411999999999978</v>
          </cell>
          <cell r="D95">
            <v>121.57999999999998</v>
          </cell>
          <cell r="F95">
            <v>132.65999999999997</v>
          </cell>
          <cell r="G95">
            <v>163.29999999999995</v>
          </cell>
          <cell r="H95">
            <v>295.95999999999992</v>
          </cell>
          <cell r="J95">
            <v>0</v>
          </cell>
          <cell r="K95">
            <v>0</v>
          </cell>
          <cell r="L95">
            <v>0</v>
          </cell>
          <cell r="N95">
            <v>0</v>
          </cell>
          <cell r="O95">
            <v>0</v>
          </cell>
          <cell r="P95">
            <v>0</v>
          </cell>
          <cell r="R95">
            <v>525.7199999999998</v>
          </cell>
          <cell r="S95">
            <v>179.79999999999995</v>
          </cell>
          <cell r="T95">
            <v>705.51999999999975</v>
          </cell>
        </row>
        <row r="97">
          <cell r="A97" t="str">
            <v>2003E</v>
          </cell>
          <cell r="B97">
            <v>181.96800000000002</v>
          </cell>
          <cell r="C97">
            <v>285.714</v>
          </cell>
          <cell r="D97">
            <v>467.68200000000002</v>
          </cell>
          <cell r="F97">
            <v>528.36</v>
          </cell>
          <cell r="G97">
            <v>627.29999999999995</v>
          </cell>
          <cell r="H97">
            <v>1155.6599999999999</v>
          </cell>
          <cell r="J97">
            <v>0</v>
          </cell>
          <cell r="K97">
            <v>0</v>
          </cell>
          <cell r="L97">
            <v>0</v>
          </cell>
          <cell r="N97">
            <v>0</v>
          </cell>
          <cell r="O97">
            <v>0</v>
          </cell>
          <cell r="P97">
            <v>0</v>
          </cell>
          <cell r="R97">
            <v>1816.62</v>
          </cell>
          <cell r="S97">
            <v>765</v>
          </cell>
          <cell r="T97">
            <v>2581.62</v>
          </cell>
        </row>
        <row r="99">
          <cell r="A99" t="str">
            <v xml:space="preserve">2004E/03E </v>
          </cell>
          <cell r="B99">
            <v>0.02</v>
          </cell>
          <cell r="C99">
            <v>0.02</v>
          </cell>
          <cell r="D99">
            <v>2.0000000000000018E-2</v>
          </cell>
          <cell r="F99">
            <v>0.03</v>
          </cell>
          <cell r="G99">
            <v>0</v>
          </cell>
          <cell r="H99">
            <v>1.371579876434259E-2</v>
          </cell>
          <cell r="J99" t="str">
            <v>NA</v>
          </cell>
          <cell r="K99" t="str">
            <v>NA</v>
          </cell>
          <cell r="L99" t="str">
            <v>NA</v>
          </cell>
          <cell r="N99" t="str">
            <v>NA</v>
          </cell>
          <cell r="O99" t="str">
            <v>NA</v>
          </cell>
          <cell r="P99" t="str">
            <v>NA</v>
          </cell>
          <cell r="R99">
            <v>0.02</v>
          </cell>
          <cell r="S99">
            <v>0</v>
          </cell>
          <cell r="T99">
            <v>1.407348873962877E-2</v>
          </cell>
        </row>
        <row r="100">
          <cell r="A100" t="str">
            <v xml:space="preserve">2005E/04E </v>
          </cell>
          <cell r="B100">
            <v>0.02</v>
          </cell>
          <cell r="C100">
            <v>0.02</v>
          </cell>
          <cell r="D100">
            <v>2.0000000000000018E-2</v>
          </cell>
          <cell r="F100">
            <v>0.03</v>
          </cell>
          <cell r="G100">
            <v>0</v>
          </cell>
          <cell r="H100">
            <v>1.3936127605481907E-2</v>
          </cell>
          <cell r="J100" t="str">
            <v>NA</v>
          </cell>
          <cell r="K100" t="str">
            <v>NA</v>
          </cell>
          <cell r="L100" t="str">
            <v>NA</v>
          </cell>
          <cell r="N100" t="str">
            <v>NA</v>
          </cell>
          <cell r="O100" t="str">
            <v>NA</v>
          </cell>
          <cell r="P100" t="str">
            <v>NA</v>
          </cell>
          <cell r="R100">
            <v>0.02</v>
          </cell>
          <cell r="S100">
            <v>0</v>
          </cell>
          <cell r="T100">
            <v>1.4155737896533127E-2</v>
          </cell>
        </row>
        <row r="101">
          <cell r="A101" t="str">
            <v>2006E/05E</v>
          </cell>
          <cell r="B101">
            <v>0.02</v>
          </cell>
          <cell r="C101">
            <v>0.02</v>
          </cell>
          <cell r="D101">
            <v>2.0000000000000018E-2</v>
          </cell>
          <cell r="F101">
            <v>0.03</v>
          </cell>
          <cell r="G101">
            <v>0</v>
          </cell>
          <cell r="H101">
            <v>1.4156918806656149E-2</v>
          </cell>
          <cell r="J101" t="str">
            <v>NA</v>
          </cell>
          <cell r="K101" t="str">
            <v>NA</v>
          </cell>
          <cell r="L101" t="str">
            <v>NA</v>
          </cell>
          <cell r="N101" t="str">
            <v>NA</v>
          </cell>
          <cell r="O101" t="str">
            <v>NA</v>
          </cell>
          <cell r="P101" t="str">
            <v>NA</v>
          </cell>
          <cell r="R101">
            <v>0.02</v>
          </cell>
          <cell r="S101">
            <v>0</v>
          </cell>
          <cell r="T101">
            <v>1.4237312983518269E-2</v>
          </cell>
        </row>
        <row r="103">
          <cell r="A103" t="str">
            <v>2004E</v>
          </cell>
          <cell r="B103">
            <v>185.60736000000003</v>
          </cell>
          <cell r="C103">
            <v>291.42827999999997</v>
          </cell>
          <cell r="D103">
            <v>477.03564</v>
          </cell>
          <cell r="F103">
            <v>544.21080000000006</v>
          </cell>
          <cell r="G103">
            <v>627.29999999999995</v>
          </cell>
          <cell r="H103">
            <v>1171.5108</v>
          </cell>
          <cell r="J103">
            <v>0</v>
          </cell>
          <cell r="K103">
            <v>0</v>
          </cell>
          <cell r="L103">
            <v>0</v>
          </cell>
          <cell r="N103">
            <v>0</v>
          </cell>
          <cell r="O103">
            <v>0</v>
          </cell>
          <cell r="P103">
            <v>0</v>
          </cell>
          <cell r="R103">
            <v>1852.9523999999999</v>
          </cell>
          <cell r="S103">
            <v>765</v>
          </cell>
          <cell r="T103">
            <v>2617.9524000000001</v>
          </cell>
        </row>
        <row r="104">
          <cell r="A104" t="str">
            <v>2005E</v>
          </cell>
          <cell r="B104">
            <v>189.31950720000003</v>
          </cell>
          <cell r="C104">
            <v>297.25684559999996</v>
          </cell>
          <cell r="D104">
            <v>486.5763528</v>
          </cell>
          <cell r="F104">
            <v>560.53712400000006</v>
          </cell>
          <cell r="G104">
            <v>627.29999999999995</v>
          </cell>
          <cell r="H104">
            <v>1187.8371240000001</v>
          </cell>
          <cell r="J104">
            <v>0</v>
          </cell>
          <cell r="K104">
            <v>0</v>
          </cell>
          <cell r="L104">
            <v>0</v>
          </cell>
          <cell r="N104">
            <v>0</v>
          </cell>
          <cell r="O104">
            <v>0</v>
          </cell>
          <cell r="P104">
            <v>0</v>
          </cell>
          <cell r="R104">
            <v>1890.011448</v>
          </cell>
          <cell r="S104">
            <v>765</v>
          </cell>
          <cell r="T104">
            <v>2655.0114480000002</v>
          </cell>
        </row>
        <row r="105">
          <cell r="A105" t="str">
            <v>2006E</v>
          </cell>
          <cell r="B105">
            <v>193.10589734400003</v>
          </cell>
          <cell r="C105">
            <v>303.20198251199997</v>
          </cell>
          <cell r="D105">
            <v>496.307879856</v>
          </cell>
          <cell r="F105">
            <v>577.35323772000004</v>
          </cell>
          <cell r="G105">
            <v>627.29999999999995</v>
          </cell>
          <cell r="H105">
            <v>1204.6532377200001</v>
          </cell>
          <cell r="J105">
            <v>0</v>
          </cell>
          <cell r="K105">
            <v>0</v>
          </cell>
          <cell r="L105">
            <v>0</v>
          </cell>
          <cell r="N105">
            <v>0</v>
          </cell>
          <cell r="O105">
            <v>0</v>
          </cell>
          <cell r="P105">
            <v>0</v>
          </cell>
          <cell r="R105">
            <v>1927.8116769599999</v>
          </cell>
          <cell r="S105">
            <v>765</v>
          </cell>
          <cell r="T105">
            <v>2692.8116769600001</v>
          </cell>
        </row>
        <row r="107">
          <cell r="A107" t="str">
            <v>E = Morgan Stanley Dean Witter Research Estimates             NM = Not Meaningful             A = Actual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PID2"/>
      <sheetName val="Annual"/>
      <sheetName val="Quarterly"/>
      <sheetName val="Model2Wizard"/>
      <sheetName val="Valuation"/>
      <sheetName val="BS"/>
      <sheetName val="CF"/>
      <sheetName val="Revenues"/>
      <sheetName val="MS Model"/>
    </sheetNames>
    <sheetDataSet>
      <sheetData sheetId="0" refreshError="1">
        <row r="1">
          <cell r="C1" t="str">
            <v>TICKER</v>
          </cell>
          <cell r="D1" t="str">
            <v>Ticker</v>
          </cell>
          <cell r="E1" t="str">
            <v>$D$11</v>
          </cell>
          <cell r="F1" t="str">
            <v>T5</v>
          </cell>
          <cell r="G1" t="e">
            <v>#NULL!</v>
          </cell>
        </row>
        <row r="2">
          <cell r="C2" t="str">
            <v>DATEOFSUBMISSION</v>
          </cell>
          <cell r="D2" t="str">
            <v>Date of Submission</v>
          </cell>
          <cell r="E2" t="str">
            <v>$J$11</v>
          </cell>
          <cell r="F2" t="str">
            <v>D</v>
          </cell>
          <cell r="G2" t="e">
            <v>#NULL!</v>
          </cell>
        </row>
        <row r="3">
          <cell r="C3" t="str">
            <v>CURRENTRATING</v>
          </cell>
          <cell r="D3" t="str">
            <v>Current Rating</v>
          </cell>
          <cell r="E3" t="str">
            <v>$D$14</v>
          </cell>
          <cell r="F3" t="str">
            <v>T20</v>
          </cell>
          <cell r="G3" t="e">
            <v>#NULL!</v>
          </cell>
        </row>
        <row r="4">
          <cell r="C4" t="str">
            <v>SHARESOUTSTANDING</v>
          </cell>
          <cell r="D4" t="str">
            <v>Shares Outstanding (MM)</v>
          </cell>
          <cell r="E4" t="str">
            <v>$D$19</v>
          </cell>
          <cell r="F4" t="str">
            <v>N</v>
          </cell>
          <cell r="G4" t="e">
            <v>#NULL!</v>
          </cell>
        </row>
        <row r="5">
          <cell r="C5" t="str">
            <v>MARKETCAP</v>
          </cell>
          <cell r="D5" t="str">
            <v>Market Capitalization (MM)</v>
          </cell>
          <cell r="E5" t="str">
            <v>$D$20</v>
          </cell>
          <cell r="F5" t="str">
            <v>N</v>
          </cell>
          <cell r="G5" t="e">
            <v>#NULL!</v>
          </cell>
        </row>
        <row r="6">
          <cell r="C6" t="str">
            <v>AVERAGETRADINGVOLUME</v>
          </cell>
          <cell r="D6" t="str">
            <v>Average Trading Volume (000)</v>
          </cell>
          <cell r="E6" t="str">
            <v>$D$21</v>
          </cell>
          <cell r="F6" t="str">
            <v>N</v>
          </cell>
          <cell r="G6" t="e">
            <v>#NULL!</v>
          </cell>
        </row>
        <row r="7">
          <cell r="C7" t="str">
            <v>BOOKVALUEPERSHARE</v>
          </cell>
          <cell r="D7" t="str">
            <v>Book Value/Share</v>
          </cell>
          <cell r="E7" t="str">
            <v>$D$22</v>
          </cell>
          <cell r="F7" t="str">
            <v>N</v>
          </cell>
          <cell r="G7" t="e">
            <v>#NULL!</v>
          </cell>
        </row>
        <row r="8">
          <cell r="C8" t="str">
            <v>ROAE</v>
          </cell>
          <cell r="D8" t="str">
            <v>current year's estimated ROE/ROAE</v>
          </cell>
          <cell r="F8" t="str">
            <v>N</v>
          </cell>
        </row>
        <row r="9">
          <cell r="C9" t="str">
            <v>ROIC</v>
          </cell>
          <cell r="D9" t="str">
            <v>current year's estimated ROIC</v>
          </cell>
          <cell r="F9" t="str">
            <v>N</v>
          </cell>
        </row>
        <row r="10">
          <cell r="C10" t="str">
            <v>NETCASHPERSHARE</v>
          </cell>
          <cell r="D10" t="str">
            <v>Net Cash/Share</v>
          </cell>
          <cell r="E10" t="str">
            <v>$D$25</v>
          </cell>
          <cell r="F10" t="str">
            <v>N</v>
          </cell>
          <cell r="G10" t="e">
            <v>#NULL!</v>
          </cell>
        </row>
        <row r="11">
          <cell r="C11" t="str">
            <v>SECULARGROWTHRATE</v>
          </cell>
          <cell r="D11" t="str">
            <v>Secular Growth Rate</v>
          </cell>
          <cell r="F11" t="str">
            <v>T</v>
          </cell>
        </row>
        <row r="12">
          <cell r="C12" t="str">
            <v>EARNINGS</v>
          </cell>
          <cell r="D12" t="str">
            <v>Earnings/FFO/EBITDA region including year headings</v>
          </cell>
          <cell r="E12" t="str">
            <v>$F$15:$J$21</v>
          </cell>
          <cell r="G12" t="e">
            <v>#NULL!</v>
          </cell>
        </row>
        <row r="13">
          <cell r="C13" t="str">
            <v>REVENUES</v>
          </cell>
          <cell r="D13" t="str">
            <v>Revenues region including year headings</v>
          </cell>
          <cell r="E13" t="str">
            <v>$F$22:$J$28</v>
          </cell>
          <cell r="G13" t="e">
            <v>#NULL!</v>
          </cell>
        </row>
        <row r="15">
          <cell r="C15" t="str">
            <v>Y1E</v>
          </cell>
          <cell r="D15" t="str">
            <v>Earnings Year 1</v>
          </cell>
          <cell r="E15" t="str">
            <v>$G$15</v>
          </cell>
          <cell r="F15" t="str">
            <v>Y</v>
          </cell>
          <cell r="G15" t="e">
            <v>#NULL!</v>
          </cell>
        </row>
        <row r="16">
          <cell r="C16" t="str">
            <v>Y2E</v>
          </cell>
          <cell r="D16" t="str">
            <v>Earnings Year 2</v>
          </cell>
          <cell r="E16" t="str">
            <v>$H$15</v>
          </cell>
          <cell r="F16" t="str">
            <v>Y</v>
          </cell>
          <cell r="G16" t="e">
            <v>#NULL!</v>
          </cell>
        </row>
        <row r="17">
          <cell r="C17" t="str">
            <v>Y3E</v>
          </cell>
          <cell r="D17" t="str">
            <v>Earnings Year 3</v>
          </cell>
          <cell r="E17" t="str">
            <v>$J$15</v>
          </cell>
          <cell r="F17" t="str">
            <v>Y</v>
          </cell>
          <cell r="G17" t="e">
            <v>#NULL!</v>
          </cell>
        </row>
        <row r="18">
          <cell r="C18" t="str">
            <v>Y4E</v>
          </cell>
          <cell r="D18" t="str">
            <v>Earnings Year 4</v>
          </cell>
          <cell r="F18" t="str">
            <v>Y</v>
          </cell>
        </row>
        <row r="19">
          <cell r="C19" t="str">
            <v>Y1Q1E</v>
          </cell>
          <cell r="D19" t="str">
            <v>Year 1 Quarter 1 Earnings</v>
          </cell>
          <cell r="E19" t="str">
            <v>$G$16</v>
          </cell>
          <cell r="F19" t="str">
            <v>N</v>
          </cell>
          <cell r="G19" t="e">
            <v>#NULL!</v>
          </cell>
        </row>
        <row r="20">
          <cell r="C20" t="str">
            <v>Y1Q2E</v>
          </cell>
          <cell r="D20" t="str">
            <v>Year 1 Quarter 2 Earnings</v>
          </cell>
          <cell r="E20" t="str">
            <v>$G$17</v>
          </cell>
          <cell r="F20" t="str">
            <v>N</v>
          </cell>
          <cell r="G20" t="e">
            <v>#NULL!</v>
          </cell>
        </row>
        <row r="21">
          <cell r="C21" t="str">
            <v>Y1Q3E</v>
          </cell>
          <cell r="D21" t="str">
            <v>Year 1 Quarter 3 Earnings</v>
          </cell>
          <cell r="E21" t="str">
            <v>$G$18</v>
          </cell>
          <cell r="F21" t="str">
            <v>N</v>
          </cell>
          <cell r="G21" t="e">
            <v>#NULL!</v>
          </cell>
        </row>
        <row r="22">
          <cell r="C22" t="str">
            <v>Y1Q4E</v>
          </cell>
          <cell r="D22" t="str">
            <v>Year 1 Quarter 4 Earnings</v>
          </cell>
          <cell r="E22" t="str">
            <v>$G$19</v>
          </cell>
          <cell r="F22" t="str">
            <v>N</v>
          </cell>
          <cell r="G22" t="e">
            <v>#NULL!</v>
          </cell>
        </row>
        <row r="23">
          <cell r="C23" t="str">
            <v>Y1YearE</v>
          </cell>
          <cell r="D23" t="str">
            <v>Year 1 Earnings</v>
          </cell>
          <cell r="E23" t="str">
            <v>$G$20</v>
          </cell>
          <cell r="F23" t="str">
            <v>N</v>
          </cell>
          <cell r="G23" t="e">
            <v>#NULL!</v>
          </cell>
        </row>
        <row r="24">
          <cell r="C24" t="str">
            <v>Y1PEE</v>
          </cell>
          <cell r="D24" t="str">
            <v>Year 1 P/E</v>
          </cell>
          <cell r="E24" t="str">
            <v>$G$21</v>
          </cell>
          <cell r="F24" t="str">
            <v>N</v>
          </cell>
          <cell r="G24" t="e">
            <v>#NULL!</v>
          </cell>
        </row>
        <row r="25">
          <cell r="C25" t="str">
            <v>Y1CYE</v>
          </cell>
          <cell r="D25" t="str">
            <v>Year 1 CY</v>
          </cell>
          <cell r="F25" t="str">
            <v>N</v>
          </cell>
        </row>
        <row r="26">
          <cell r="C26" t="str">
            <v>Y1CYPEE</v>
          </cell>
          <cell r="D26" t="str">
            <v>Year 1 CY P/E</v>
          </cell>
          <cell r="F26" t="str">
            <v>N</v>
          </cell>
        </row>
        <row r="27">
          <cell r="C27" t="str">
            <v>Y2Q1E</v>
          </cell>
          <cell r="D27" t="str">
            <v>Year 2 Quarter 1 Earnings</v>
          </cell>
          <cell r="E27" t="str">
            <v>$H$16</v>
          </cell>
          <cell r="F27" t="str">
            <v>N</v>
          </cell>
          <cell r="G27" t="e">
            <v>#NULL!</v>
          </cell>
        </row>
        <row r="28">
          <cell r="C28" t="str">
            <v>Y2Q2E</v>
          </cell>
          <cell r="D28" t="str">
            <v>Year 2 Quarter 2 Earnings</v>
          </cell>
          <cell r="E28" t="str">
            <v>$H$17</v>
          </cell>
          <cell r="F28" t="str">
            <v>N</v>
          </cell>
          <cell r="G28" t="e">
            <v>#NULL!</v>
          </cell>
        </row>
        <row r="29">
          <cell r="C29" t="str">
            <v>Y2Q3E</v>
          </cell>
          <cell r="D29" t="str">
            <v>Year 2 Quarter 3 Earnings</v>
          </cell>
          <cell r="E29" t="str">
            <v>$H$18</v>
          </cell>
          <cell r="F29" t="str">
            <v>N</v>
          </cell>
          <cell r="G29" t="e">
            <v>#NULL!</v>
          </cell>
        </row>
        <row r="30">
          <cell r="C30" t="str">
            <v>Y2Q4E</v>
          </cell>
          <cell r="D30" t="str">
            <v>Year 2 Quarter 4 Earnings</v>
          </cell>
          <cell r="E30" t="str">
            <v>$H$19</v>
          </cell>
          <cell r="F30" t="str">
            <v>N</v>
          </cell>
          <cell r="G30" t="e">
            <v>#NULL!</v>
          </cell>
        </row>
        <row r="31">
          <cell r="C31" t="str">
            <v>Y2YearE</v>
          </cell>
          <cell r="D31" t="str">
            <v>Year 2 Earnings</v>
          </cell>
          <cell r="E31" t="str">
            <v>$H$20</v>
          </cell>
          <cell r="F31" t="str">
            <v>N</v>
          </cell>
          <cell r="G31" t="e">
            <v>#NULL!</v>
          </cell>
        </row>
        <row r="32">
          <cell r="C32" t="str">
            <v>Y2PEE</v>
          </cell>
          <cell r="D32" t="str">
            <v>Year 2 P/E</v>
          </cell>
          <cell r="E32" t="str">
            <v>$H$21</v>
          </cell>
          <cell r="F32" t="str">
            <v>N</v>
          </cell>
          <cell r="G32" t="e">
            <v>#NULL!</v>
          </cell>
        </row>
        <row r="33">
          <cell r="C33" t="str">
            <v>Y2CYE</v>
          </cell>
          <cell r="D33" t="str">
            <v>Year 2 CY</v>
          </cell>
          <cell r="F33" t="str">
            <v>N</v>
          </cell>
        </row>
        <row r="34">
          <cell r="C34" t="str">
            <v>Y2CYPEE</v>
          </cell>
          <cell r="D34" t="str">
            <v>Year 2 CY P/E</v>
          </cell>
          <cell r="F34" t="str">
            <v>N</v>
          </cell>
        </row>
        <row r="35">
          <cell r="C35" t="str">
            <v>Y3Q1E</v>
          </cell>
          <cell r="D35" t="str">
            <v>Year 3 Quarter 1 Earnings</v>
          </cell>
          <cell r="E35" t="str">
            <v>$J$16</v>
          </cell>
          <cell r="F35" t="str">
            <v>N</v>
          </cell>
          <cell r="G35" t="e">
            <v>#NULL!</v>
          </cell>
        </row>
        <row r="36">
          <cell r="C36" t="str">
            <v>Y3Q2E</v>
          </cell>
          <cell r="D36" t="str">
            <v>Year 3 Quarter 2 Earnings</v>
          </cell>
          <cell r="E36" t="str">
            <v>$J$17</v>
          </cell>
          <cell r="F36" t="str">
            <v>N</v>
          </cell>
          <cell r="G36" t="e">
            <v>#NULL!</v>
          </cell>
        </row>
        <row r="37">
          <cell r="C37" t="str">
            <v>Y3Q3E</v>
          </cell>
          <cell r="D37" t="str">
            <v>Year 3 Quarter 3 Earnings</v>
          </cell>
          <cell r="E37" t="str">
            <v>$J$18</v>
          </cell>
          <cell r="F37" t="str">
            <v>N</v>
          </cell>
          <cell r="G37" t="e">
            <v>#NULL!</v>
          </cell>
        </row>
        <row r="38">
          <cell r="C38" t="str">
            <v>Y3Q4E</v>
          </cell>
          <cell r="D38" t="str">
            <v>Year 3 Quarter 4 Earnings</v>
          </cell>
          <cell r="E38" t="str">
            <v>$J$19</v>
          </cell>
          <cell r="F38" t="str">
            <v>N</v>
          </cell>
          <cell r="G38" t="e">
            <v>#NULL!</v>
          </cell>
        </row>
        <row r="39">
          <cell r="C39" t="str">
            <v>Y3YearE</v>
          </cell>
          <cell r="D39" t="str">
            <v>Year 3 Earnings</v>
          </cell>
          <cell r="E39" t="str">
            <v>$J$20</v>
          </cell>
          <cell r="F39" t="str">
            <v>N</v>
          </cell>
          <cell r="G39" t="e">
            <v>#NULL!</v>
          </cell>
        </row>
        <row r="40">
          <cell r="C40" t="str">
            <v>Y3PEE</v>
          </cell>
          <cell r="D40" t="str">
            <v>Year 3 P/E</v>
          </cell>
          <cell r="E40" t="str">
            <v>$J$21</v>
          </cell>
          <cell r="F40" t="str">
            <v>N</v>
          </cell>
          <cell r="G40" t="e">
            <v>#NULL!</v>
          </cell>
        </row>
        <row r="41">
          <cell r="C41" t="str">
            <v>Y3CYE</v>
          </cell>
          <cell r="D41" t="str">
            <v>Year 3 CY</v>
          </cell>
          <cell r="F41" t="str">
            <v>N</v>
          </cell>
        </row>
        <row r="42">
          <cell r="C42" t="str">
            <v>Y3CYPEE</v>
          </cell>
          <cell r="D42" t="str">
            <v>Year 3 CY P/E</v>
          </cell>
          <cell r="F42" t="str">
            <v>N</v>
          </cell>
        </row>
        <row r="43">
          <cell r="C43" t="str">
            <v>Y4Q1E</v>
          </cell>
          <cell r="D43" t="str">
            <v>Year 4 Quarter 1 Earnings</v>
          </cell>
          <cell r="F43" t="str">
            <v>N</v>
          </cell>
        </row>
        <row r="44">
          <cell r="C44" t="str">
            <v>Y4Q2E</v>
          </cell>
          <cell r="D44" t="str">
            <v>Year 4 Quarter 2 Earnings</v>
          </cell>
          <cell r="F44" t="str">
            <v>N</v>
          </cell>
        </row>
        <row r="45">
          <cell r="C45" t="str">
            <v>Y4Q3E</v>
          </cell>
          <cell r="D45" t="str">
            <v>Year 4 Quarter 3 Earnings</v>
          </cell>
          <cell r="F45" t="str">
            <v>N</v>
          </cell>
        </row>
        <row r="46">
          <cell r="C46" t="str">
            <v>Y4Q4E</v>
          </cell>
          <cell r="D46" t="str">
            <v>Year 4 Quarter 4 Earnings</v>
          </cell>
          <cell r="F46" t="str">
            <v>N</v>
          </cell>
        </row>
        <row r="47">
          <cell r="C47" t="str">
            <v>Y4YearE</v>
          </cell>
          <cell r="D47" t="str">
            <v>Year 4 Earnings</v>
          </cell>
          <cell r="F47" t="str">
            <v>N</v>
          </cell>
        </row>
        <row r="48">
          <cell r="C48" t="str">
            <v>Y4PEE</v>
          </cell>
          <cell r="D48" t="str">
            <v>Year 4 P/E</v>
          </cell>
          <cell r="F48" t="str">
            <v>N</v>
          </cell>
        </row>
        <row r="49">
          <cell r="C49" t="str">
            <v>Y4CYE</v>
          </cell>
          <cell r="D49" t="str">
            <v>Year 4 CY</v>
          </cell>
          <cell r="F49" t="str">
            <v>N</v>
          </cell>
        </row>
        <row r="50">
          <cell r="C50" t="str">
            <v>Y4CYPEE</v>
          </cell>
          <cell r="D50" t="str">
            <v>Year 4 CY P/E</v>
          </cell>
          <cell r="F50" t="str">
            <v>N</v>
          </cell>
        </row>
        <row r="51">
          <cell r="C51" t="str">
            <v>Y1R</v>
          </cell>
          <cell r="D51" t="str">
            <v>Revenues Year 1</v>
          </cell>
          <cell r="E51" t="str">
            <v>$G$22</v>
          </cell>
          <cell r="F51" t="str">
            <v>Y</v>
          </cell>
          <cell r="G51" t="e">
            <v>#NULL!</v>
          </cell>
        </row>
        <row r="52">
          <cell r="C52" t="str">
            <v>Y2R</v>
          </cell>
          <cell r="D52" t="str">
            <v>Revenues Year 2</v>
          </cell>
          <cell r="E52" t="str">
            <v>$H$22</v>
          </cell>
          <cell r="F52" t="str">
            <v>Y</v>
          </cell>
          <cell r="G52" t="e">
            <v>#NULL!</v>
          </cell>
        </row>
        <row r="53">
          <cell r="C53" t="str">
            <v>Y3R</v>
          </cell>
          <cell r="D53" t="str">
            <v>Revenues Year 3</v>
          </cell>
          <cell r="E53" t="str">
            <v>$J$22</v>
          </cell>
          <cell r="F53" t="str">
            <v>Y</v>
          </cell>
          <cell r="G53" t="e">
            <v>#NULL!</v>
          </cell>
        </row>
        <row r="54">
          <cell r="C54" t="str">
            <v>Y4R</v>
          </cell>
          <cell r="D54" t="str">
            <v>Revenues Year 4</v>
          </cell>
          <cell r="F54" t="str">
            <v>Y</v>
          </cell>
        </row>
        <row r="55">
          <cell r="C55" t="str">
            <v>Y1Q1R</v>
          </cell>
          <cell r="D55" t="str">
            <v>Year 1 Quarter 1 Revenue</v>
          </cell>
          <cell r="E55" t="str">
            <v>$G$23</v>
          </cell>
          <cell r="F55" t="str">
            <v>N</v>
          </cell>
          <cell r="G55" t="e">
            <v>#NULL!</v>
          </cell>
        </row>
        <row r="56">
          <cell r="C56" t="str">
            <v>Y1Q2R</v>
          </cell>
          <cell r="D56" t="str">
            <v>Year 1 Quarter 2 Revenue</v>
          </cell>
          <cell r="E56" t="str">
            <v>$G$24</v>
          </cell>
          <cell r="F56" t="str">
            <v>N</v>
          </cell>
          <cell r="G56" t="e">
            <v>#NULL!</v>
          </cell>
        </row>
        <row r="57">
          <cell r="C57" t="str">
            <v>Y1Q3R</v>
          </cell>
          <cell r="D57" t="str">
            <v>Year 1 Quarter 3 Revenue</v>
          </cell>
          <cell r="E57" t="str">
            <v>$G$25</v>
          </cell>
          <cell r="F57" t="str">
            <v>N</v>
          </cell>
          <cell r="G57" t="e">
            <v>#NULL!</v>
          </cell>
        </row>
        <row r="58">
          <cell r="C58" t="str">
            <v>Y1Q4R</v>
          </cell>
          <cell r="D58" t="str">
            <v>Year 1 Quarter 4 Revenue</v>
          </cell>
          <cell r="E58" t="str">
            <v>$G$26</v>
          </cell>
          <cell r="F58" t="str">
            <v>N</v>
          </cell>
          <cell r="G58" t="e">
            <v>#NULL!</v>
          </cell>
        </row>
        <row r="59">
          <cell r="C59" t="str">
            <v>Y1YearR</v>
          </cell>
          <cell r="D59" t="str">
            <v>Year 1 Revenue</v>
          </cell>
          <cell r="E59" t="str">
            <v>$G$27</v>
          </cell>
          <cell r="F59" t="str">
            <v>N</v>
          </cell>
          <cell r="G59" t="e">
            <v>#NULL!</v>
          </cell>
        </row>
        <row r="60">
          <cell r="C60" t="str">
            <v>Y1Cap/RevR</v>
          </cell>
          <cell r="D60" t="str">
            <v>Year 1 Cap/Revs</v>
          </cell>
          <cell r="E60" t="str">
            <v>$G$28</v>
          </cell>
          <cell r="F60" t="str">
            <v>N</v>
          </cell>
          <cell r="G60" t="e">
            <v>#NULL!</v>
          </cell>
        </row>
        <row r="61">
          <cell r="C61" t="str">
            <v>Y2Q1R</v>
          </cell>
          <cell r="D61" t="str">
            <v>Year 2 Quarter 1 Revenue</v>
          </cell>
          <cell r="E61" t="str">
            <v>$H$23</v>
          </cell>
          <cell r="F61" t="str">
            <v>N</v>
          </cell>
          <cell r="G61" t="e">
            <v>#NULL!</v>
          </cell>
        </row>
        <row r="62">
          <cell r="C62" t="str">
            <v>Y2Q2R</v>
          </cell>
          <cell r="D62" t="str">
            <v>Year 2 Quarter 2 Revenue</v>
          </cell>
          <cell r="E62" t="str">
            <v>$H$24</v>
          </cell>
          <cell r="F62" t="str">
            <v>N</v>
          </cell>
          <cell r="G62" t="e">
            <v>#NULL!</v>
          </cell>
        </row>
        <row r="63">
          <cell r="C63" t="str">
            <v>Y2Q3R</v>
          </cell>
          <cell r="D63" t="str">
            <v>Year 2 Quarter 3 Revenue</v>
          </cell>
          <cell r="E63" t="str">
            <v>$H$25</v>
          </cell>
          <cell r="F63" t="str">
            <v>N</v>
          </cell>
          <cell r="G63" t="e">
            <v>#NULL!</v>
          </cell>
        </row>
        <row r="64">
          <cell r="C64" t="str">
            <v>Y2Q4R</v>
          </cell>
          <cell r="D64" t="str">
            <v>Year 2 Quarter 4 Revenue</v>
          </cell>
          <cell r="E64" t="str">
            <v>$H$26</v>
          </cell>
          <cell r="F64" t="str">
            <v>N</v>
          </cell>
          <cell r="G64" t="e">
            <v>#NULL!</v>
          </cell>
        </row>
        <row r="65">
          <cell r="C65" t="str">
            <v>Y2YearR</v>
          </cell>
          <cell r="D65" t="str">
            <v>Year 2 Revenue</v>
          </cell>
          <cell r="E65" t="str">
            <v>$H$27</v>
          </cell>
          <cell r="F65" t="str">
            <v>N</v>
          </cell>
          <cell r="G65" t="e">
            <v>#NULL!</v>
          </cell>
        </row>
        <row r="66">
          <cell r="C66" t="str">
            <v>Y2Cap/RevR</v>
          </cell>
          <cell r="D66" t="str">
            <v>Year 2 Cap/Revs</v>
          </cell>
          <cell r="E66" t="str">
            <v>$H$28</v>
          </cell>
          <cell r="F66" t="str">
            <v>N</v>
          </cell>
          <cell r="G66" t="e">
            <v>#NULL!</v>
          </cell>
        </row>
        <row r="67">
          <cell r="C67" t="str">
            <v>Y3Q1R</v>
          </cell>
          <cell r="D67" t="str">
            <v>Year 3 Quarter 1 Revenue</v>
          </cell>
          <cell r="E67" t="str">
            <v>$J$23</v>
          </cell>
          <cell r="F67" t="str">
            <v>N</v>
          </cell>
          <cell r="G67" t="e">
            <v>#NULL!</v>
          </cell>
        </row>
        <row r="68">
          <cell r="C68" t="str">
            <v>Y3Q2R</v>
          </cell>
          <cell r="D68" t="str">
            <v>Year 3 Quarter 2 Revenue</v>
          </cell>
          <cell r="E68" t="str">
            <v>$J$24</v>
          </cell>
          <cell r="F68" t="str">
            <v>N</v>
          </cell>
          <cell r="G68" t="e">
            <v>#NULL!</v>
          </cell>
        </row>
        <row r="69">
          <cell r="C69" t="str">
            <v>Y3Q3R</v>
          </cell>
          <cell r="D69" t="str">
            <v>Year 3 Quarter 3 Revenue</v>
          </cell>
          <cell r="E69" t="str">
            <v>$J$25</v>
          </cell>
          <cell r="F69" t="str">
            <v>N</v>
          </cell>
          <cell r="G69" t="e">
            <v>#NULL!</v>
          </cell>
        </row>
        <row r="70">
          <cell r="C70" t="str">
            <v>Y3Q4R</v>
          </cell>
          <cell r="D70" t="str">
            <v>Year 3 Quarter 4 Revenue</v>
          </cell>
          <cell r="E70" t="str">
            <v>$J$26</v>
          </cell>
          <cell r="F70" t="str">
            <v>N</v>
          </cell>
          <cell r="G70" t="e">
            <v>#NULL!</v>
          </cell>
        </row>
        <row r="71">
          <cell r="C71" t="str">
            <v>Y3YearR</v>
          </cell>
          <cell r="D71" t="str">
            <v>Year 3 Revenue</v>
          </cell>
          <cell r="E71" t="str">
            <v>$J$27</v>
          </cell>
          <cell r="F71" t="str">
            <v>N</v>
          </cell>
          <cell r="G71" t="e">
            <v>#NULL!</v>
          </cell>
        </row>
        <row r="72">
          <cell r="C72" t="str">
            <v>Y3Cap/RevR</v>
          </cell>
          <cell r="D72" t="str">
            <v>Year 3 Cap/Revs</v>
          </cell>
          <cell r="E72" t="str">
            <v>$J$28</v>
          </cell>
          <cell r="F72" t="str">
            <v>N</v>
          </cell>
          <cell r="G72" t="e">
            <v>#NULL!</v>
          </cell>
        </row>
        <row r="73">
          <cell r="C73" t="str">
            <v>Y4Q1R</v>
          </cell>
          <cell r="D73" t="str">
            <v>Year 4 Quarter 1 Revenue</v>
          </cell>
          <cell r="F73" t="str">
            <v>N</v>
          </cell>
        </row>
        <row r="74">
          <cell r="C74" t="str">
            <v>Y4Q2R</v>
          </cell>
          <cell r="D74" t="str">
            <v>Year 4 Quarter 2 Revenue</v>
          </cell>
          <cell r="F74" t="str">
            <v>N</v>
          </cell>
        </row>
        <row r="75">
          <cell r="C75" t="str">
            <v>Y4Q3R</v>
          </cell>
          <cell r="D75" t="str">
            <v>Year 4 Quarter 3 Revenue</v>
          </cell>
          <cell r="F75" t="str">
            <v>N</v>
          </cell>
        </row>
        <row r="76">
          <cell r="C76" t="str">
            <v>Y4Q4R</v>
          </cell>
          <cell r="D76" t="str">
            <v>Year 4 Quarter 4 Revenue</v>
          </cell>
          <cell r="F76" t="str">
            <v>N</v>
          </cell>
        </row>
        <row r="77">
          <cell r="C77" t="str">
            <v>Y4YearR</v>
          </cell>
          <cell r="D77" t="str">
            <v>Year 4 Revenue</v>
          </cell>
          <cell r="F77" t="str">
            <v>N</v>
          </cell>
        </row>
        <row r="78">
          <cell r="C78" t="str">
            <v>Y4Cap/RevR</v>
          </cell>
          <cell r="D78" t="str">
            <v>Year 4 Cap/Revs</v>
          </cell>
          <cell r="F78" t="str">
            <v>N</v>
          </cell>
        </row>
        <row r="80">
          <cell r="C80" t="str">
            <v>xCONTENTANALYSIS</v>
          </cell>
          <cell r="D80" t="str">
            <v>Analysis</v>
          </cell>
          <cell r="F80" t="str">
            <v>B</v>
          </cell>
          <cell r="G80" t="b">
            <v>0</v>
          </cell>
        </row>
        <row r="81">
          <cell r="C81" t="str">
            <v>xCONTENTESTIMATECHANGE</v>
          </cell>
          <cell r="D81" t="str">
            <v>Estimate Change</v>
          </cell>
          <cell r="F81" t="str">
            <v>B</v>
          </cell>
          <cell r="G81" t="b">
            <v>0</v>
          </cell>
        </row>
        <row r="82">
          <cell r="C82" t="str">
            <v>xCONTENTRATINGCHANGE</v>
          </cell>
          <cell r="D82" t="str">
            <v>Rating Change</v>
          </cell>
          <cell r="F82" t="str">
            <v>B</v>
          </cell>
          <cell r="G82" t="b">
            <v>0</v>
          </cell>
        </row>
        <row r="83">
          <cell r="C83" t="str">
            <v>xCONTENTUPDATE</v>
          </cell>
          <cell r="D83" t="str">
            <v>Update</v>
          </cell>
          <cell r="F83" t="str">
            <v>B</v>
          </cell>
          <cell r="G83" t="b">
            <v>0</v>
          </cell>
        </row>
        <row r="84">
          <cell r="C84" t="str">
            <v>xCONTENTINITIATE</v>
          </cell>
          <cell r="D84" t="str">
            <v>Initiate</v>
          </cell>
          <cell r="F84" t="str">
            <v>B</v>
          </cell>
          <cell r="G84" t="b">
            <v>0</v>
          </cell>
        </row>
        <row r="85">
          <cell r="C85" t="str">
            <v>xCONTENTECONOMIC</v>
          </cell>
          <cell r="D85" t="str">
            <v>Economic</v>
          </cell>
          <cell r="F85" t="str">
            <v>B</v>
          </cell>
          <cell r="G85" t="b">
            <v>0</v>
          </cell>
        </row>
        <row r="86">
          <cell r="C86" t="str">
            <v>xCONTENTPRCOMMENTS</v>
          </cell>
          <cell r="D86" t="str">
            <v>Pre-results Comments</v>
          </cell>
          <cell r="F86" t="str">
            <v>B</v>
          </cell>
          <cell r="G86" t="b">
            <v>0</v>
          </cell>
        </row>
        <row r="87">
          <cell r="C87" t="str">
            <v>xCONTENTOPERATINGRES</v>
          </cell>
          <cell r="D87" t="str">
            <v>Operating Results</v>
          </cell>
          <cell r="F87" t="str">
            <v>B</v>
          </cell>
          <cell r="G87" t="b">
            <v>0</v>
          </cell>
        </row>
        <row r="88">
          <cell r="C88" t="str">
            <v>xCONTENTINDUSTRYOVERVIEW</v>
          </cell>
          <cell r="D88" t="str">
            <v>Industry Overview</v>
          </cell>
          <cell r="F88" t="str">
            <v>B</v>
          </cell>
          <cell r="G88" t="b">
            <v>0</v>
          </cell>
        </row>
        <row r="89">
          <cell r="C89" t="str">
            <v>xCONTENTOTHER</v>
          </cell>
          <cell r="D89" t="str">
            <v>Other</v>
          </cell>
          <cell r="F89" t="str">
            <v>B</v>
          </cell>
          <cell r="G89" t="b">
            <v>0</v>
          </cell>
        </row>
        <row r="90">
          <cell r="C90" t="str">
            <v>xNEXTREPORTDATE</v>
          </cell>
          <cell r="D90" t="str">
            <v>Next Expected Report Date</v>
          </cell>
          <cell r="F90" t="str">
            <v>D</v>
          </cell>
        </row>
        <row r="91">
          <cell r="C91" t="str">
            <v>xHEADLINE</v>
          </cell>
          <cell r="D91" t="str">
            <v>Headline</v>
          </cell>
          <cell r="F91" t="str">
            <v>T</v>
          </cell>
        </row>
        <row r="92">
          <cell r="C92" t="str">
            <v>xSYNOPSIS</v>
          </cell>
          <cell r="D92" t="str">
            <v>Synopsis</v>
          </cell>
          <cell r="F92" t="str">
            <v>T</v>
          </cell>
        </row>
        <row r="93">
          <cell r="C93" t="str">
            <v>xOTHERCOMPANIES</v>
          </cell>
          <cell r="D93" t="str">
            <v>Other Companies Mentioned</v>
          </cell>
          <cell r="F93" t="str">
            <v>T</v>
          </cell>
        </row>
        <row r="94">
          <cell r="C94" t="str">
            <v>LASTACTUALYEAR</v>
          </cell>
          <cell r="D94" t="str">
            <v>Last Actual Year</v>
          </cell>
          <cell r="F94" t="str">
            <v>N</v>
          </cell>
          <cell r="G94">
            <v>1</v>
          </cell>
        </row>
        <row r="95">
          <cell r="C95" t="str">
            <v>LASTACTUALQUARTER</v>
          </cell>
          <cell r="D95" t="str">
            <v>Last Actual Quarter</v>
          </cell>
          <cell r="F95" t="str">
            <v>N</v>
          </cell>
          <cell r="G95">
            <v>4</v>
          </cell>
        </row>
        <row r="97">
          <cell r="C97" t="str">
            <v>RESULT</v>
          </cell>
          <cell r="D97" t="str">
            <v>Document Status</v>
          </cell>
          <cell r="F97" t="str">
            <v>N</v>
          </cell>
          <cell r="G97">
            <v>0</v>
          </cell>
          <cell r="J97" t="str">
            <v>quarterly earnings for 2001 and quarterly revenue for 1999, 2001 do not add up to year values</v>
          </cell>
        </row>
        <row r="98">
          <cell r="C98" t="str">
            <v>WIZARDDEFINED</v>
          </cell>
          <cell r="D98" t="str">
            <v>Wizard Defined</v>
          </cell>
          <cell r="F98" t="str">
            <v>D</v>
          </cell>
          <cell r="G98">
            <v>36557</v>
          </cell>
        </row>
        <row r="99">
          <cell r="C99" t="str">
            <v>WIZARDVERSION</v>
          </cell>
          <cell r="D99" t="str">
            <v>Wizard Version</v>
          </cell>
          <cell r="F99" t="str">
            <v>T</v>
          </cell>
          <cell r="G99" t="str">
            <v>Version 1.3a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MTC"/>
      <sheetName val="SEARLE - SALES"/>
      <sheetName val="SEARLE - QTRINC"/>
      <sheetName val="SEARLE-MARG"/>
      <sheetName val="MTC-QTRINC"/>
      <sheetName val="MTC-MARG"/>
      <sheetName val="MTC - IS"/>
      <sheetName val="MTC - MARGIN"/>
      <sheetName val="SEARLE - LOREX"/>
      <sheetName val="SEARLE - NEW PRODS"/>
      <sheetName val="Sheet1"/>
      <sheetName val="IndexInformation"/>
      <sheetName val="Link"/>
      <sheetName val="Chart1"/>
      <sheetName val="P_E2"/>
      <sheetName val="Product Table"/>
      <sheetName val="1997 Sales"/>
      <sheetName val="variance"/>
      <sheetName val="2004 ag Sales"/>
      <sheetName val="1997 ag EBIT"/>
      <sheetName val="2004 ag EBIT"/>
      <sheetName val="Charts"/>
      <sheetName val="MainCode"/>
      <sheetName val="SEARLE - IS"/>
      <sheetName val="SEARLE-MARGIN"/>
    </sheetNames>
    <sheetDataSet>
      <sheetData sheetId="0" refreshError="1"/>
      <sheetData sheetId="1" refreshError="1"/>
      <sheetData sheetId="2" refreshError="1">
        <row r="1">
          <cell r="N1">
            <v>36119.67398240741</v>
          </cell>
          <cell r="U1" t="str">
            <v>Table 10</v>
          </cell>
          <cell r="AD1">
            <v>36119.67398240741</v>
          </cell>
        </row>
        <row r="2">
          <cell r="U2" t="str">
            <v>Monsanto</v>
          </cell>
        </row>
        <row r="3">
          <cell r="U3" t="str">
            <v>Quarterly Sales 1995-2005E</v>
          </cell>
        </row>
        <row r="4">
          <cell r="I4" t="str">
            <v>Women's</v>
          </cell>
          <cell r="K4" t="str">
            <v>Sleep</v>
          </cell>
          <cell r="U4" t="str">
            <v>($ Millions)</v>
          </cell>
        </row>
        <row r="5">
          <cell r="B5" t="str">
            <v>Cardiovascular</v>
          </cell>
          <cell r="I5" t="str">
            <v>Health</v>
          </cell>
          <cell r="K5" t="str">
            <v>Disorder</v>
          </cell>
          <cell r="M5" t="str">
            <v>Arthritis</v>
          </cell>
          <cell r="V5" t="str">
            <v>New Products</v>
          </cell>
          <cell r="AG5" t="str">
            <v>Total</v>
          </cell>
          <cell r="AH5" t="str">
            <v>Royal-</v>
          </cell>
          <cell r="AI5" t="str">
            <v>One-</v>
          </cell>
          <cell r="AJ5" t="str">
            <v>Total</v>
          </cell>
        </row>
        <row r="6">
          <cell r="B6" t="str">
            <v>Calan/</v>
          </cell>
          <cell r="C6" t="str">
            <v>Spirono-</v>
          </cell>
          <cell r="D6" t="str">
            <v>Covera-</v>
          </cell>
          <cell r="F6" t="str">
            <v>Other</v>
          </cell>
          <cell r="P6" t="str">
            <v>Other</v>
          </cell>
          <cell r="Q6" t="str">
            <v>Total</v>
          </cell>
          <cell r="S6" t="str">
            <v>Other</v>
          </cell>
          <cell r="V6" t="str">
            <v>Xemilo-</v>
          </cell>
          <cell r="W6" t="str">
            <v>Orbo</v>
          </cell>
          <cell r="X6" t="str">
            <v>Eplere-</v>
          </cell>
          <cell r="Y6" t="str">
            <v>Tifa-</v>
          </cell>
          <cell r="AA6" t="str">
            <v>Dani-</v>
          </cell>
          <cell r="AB6" t="str">
            <v>Progeni-</v>
          </cell>
          <cell r="AC6" t="str">
            <v>Myelo-</v>
          </cell>
          <cell r="AD6" t="str">
            <v>Promega-</v>
          </cell>
          <cell r="AG6" t="str">
            <v>Product</v>
          </cell>
          <cell r="AH6" t="str">
            <v xml:space="preserve">ties/  </v>
          </cell>
          <cell r="AI6" t="str">
            <v>time</v>
          </cell>
          <cell r="AJ6" t="str">
            <v>Searle</v>
          </cell>
        </row>
        <row r="7">
          <cell r="B7" t="str">
            <v>Verapamil</v>
          </cell>
          <cell r="C7" t="str">
            <v>lactone</v>
          </cell>
          <cell r="D7" t="str">
            <v>HS</v>
          </cell>
          <cell r="E7" t="str">
            <v>Kerlone</v>
          </cell>
          <cell r="F7" t="str">
            <v>Cardio</v>
          </cell>
          <cell r="G7" t="str">
            <v>Total</v>
          </cell>
          <cell r="I7" t="str">
            <v xml:space="preserve">(a) </v>
          </cell>
          <cell r="K7" t="str">
            <v>Ambien</v>
          </cell>
          <cell r="M7" t="str">
            <v>Daypro</v>
          </cell>
          <cell r="N7" t="str">
            <v>Cytotec</v>
          </cell>
          <cell r="O7" t="str">
            <v>Arthrotec</v>
          </cell>
          <cell r="P7" t="str">
            <v>Arthritis</v>
          </cell>
          <cell r="Q7" t="str">
            <v>Arthritis</v>
          </cell>
          <cell r="S7" t="str">
            <v>(b)</v>
          </cell>
          <cell r="V7" t="str">
            <v>fiban</v>
          </cell>
          <cell r="W7" t="str">
            <v>fiban</v>
          </cell>
          <cell r="X7" t="str">
            <v>none</v>
          </cell>
          <cell r="Y7" t="str">
            <v>cogin</v>
          </cell>
          <cell r="Z7" t="str">
            <v>Celebra</v>
          </cell>
          <cell r="AA7" t="str">
            <v>plastin</v>
          </cell>
          <cell r="AB7" t="str">
            <v>poetin</v>
          </cell>
          <cell r="AC7" t="str">
            <v>poetin</v>
          </cell>
          <cell r="AD7" t="str">
            <v>poetin</v>
          </cell>
          <cell r="AE7" t="str">
            <v>Other</v>
          </cell>
          <cell r="AF7" t="str">
            <v>Total</v>
          </cell>
          <cell r="AG7" t="str">
            <v>Sales</v>
          </cell>
          <cell r="AH7" t="str">
            <v xml:space="preserve">Fees  </v>
          </cell>
          <cell r="AI7" t="str">
            <v>Items</v>
          </cell>
          <cell r="AJ7" t="str">
            <v>Revs.</v>
          </cell>
        </row>
        <row r="9">
          <cell r="U9" t="str">
            <v>1995</v>
          </cell>
        </row>
        <row r="10">
          <cell r="B10">
            <v>74</v>
          </cell>
          <cell r="C10">
            <v>54</v>
          </cell>
          <cell r="D10">
            <v>0</v>
          </cell>
          <cell r="E10">
            <v>3</v>
          </cell>
          <cell r="F10">
            <v>16</v>
          </cell>
          <cell r="G10">
            <v>147</v>
          </cell>
          <cell r="I10">
            <v>30</v>
          </cell>
          <cell r="K10">
            <v>43</v>
          </cell>
          <cell r="M10">
            <v>43</v>
          </cell>
          <cell r="N10">
            <v>38</v>
          </cell>
          <cell r="O10">
            <v>9</v>
          </cell>
          <cell r="P10">
            <v>4</v>
          </cell>
          <cell r="Q10">
            <v>94</v>
          </cell>
          <cell r="S10">
            <v>0</v>
          </cell>
          <cell r="U10" t="str">
            <v>1Q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386</v>
          </cell>
          <cell r="AH10">
            <v>0</v>
          </cell>
          <cell r="AI10">
            <v>0</v>
          </cell>
          <cell r="AJ10">
            <v>386</v>
          </cell>
        </row>
        <row r="11">
          <cell r="B11">
            <v>42</v>
          </cell>
          <cell r="C11">
            <v>64</v>
          </cell>
          <cell r="D11">
            <v>0</v>
          </cell>
          <cell r="E11">
            <v>3</v>
          </cell>
          <cell r="F11">
            <v>17</v>
          </cell>
          <cell r="G11">
            <v>126</v>
          </cell>
          <cell r="I11">
            <v>27</v>
          </cell>
          <cell r="K11">
            <v>52</v>
          </cell>
          <cell r="M11">
            <v>56</v>
          </cell>
          <cell r="N11">
            <v>39</v>
          </cell>
          <cell r="O11">
            <v>12</v>
          </cell>
          <cell r="P11">
            <v>4</v>
          </cell>
          <cell r="Q11">
            <v>111</v>
          </cell>
          <cell r="S11">
            <v>0</v>
          </cell>
          <cell r="U11" t="str">
            <v>2Q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402</v>
          </cell>
          <cell r="AH11">
            <v>0</v>
          </cell>
          <cell r="AI11">
            <v>0</v>
          </cell>
          <cell r="AJ11">
            <v>402</v>
          </cell>
        </row>
        <row r="12">
          <cell r="B12">
            <v>72</v>
          </cell>
          <cell r="C12">
            <v>61</v>
          </cell>
          <cell r="D12">
            <v>0</v>
          </cell>
          <cell r="E12">
            <v>3</v>
          </cell>
          <cell r="F12">
            <v>17</v>
          </cell>
          <cell r="G12">
            <v>153</v>
          </cell>
          <cell r="I12">
            <v>40</v>
          </cell>
          <cell r="K12">
            <v>44</v>
          </cell>
          <cell r="M12">
            <v>62</v>
          </cell>
          <cell r="N12">
            <v>43</v>
          </cell>
          <cell r="O12">
            <v>12</v>
          </cell>
          <cell r="P12">
            <v>6</v>
          </cell>
          <cell r="Q12">
            <v>123</v>
          </cell>
          <cell r="S12">
            <v>0</v>
          </cell>
          <cell r="U12" t="str">
            <v>3Q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430</v>
          </cell>
          <cell r="AH12">
            <v>5</v>
          </cell>
          <cell r="AI12">
            <v>0</v>
          </cell>
          <cell r="AJ12">
            <v>435</v>
          </cell>
        </row>
        <row r="13">
          <cell r="B13">
            <v>71</v>
          </cell>
          <cell r="C13">
            <v>58</v>
          </cell>
          <cell r="D13">
            <v>0</v>
          </cell>
          <cell r="E13">
            <v>3</v>
          </cell>
          <cell r="F13">
            <v>17</v>
          </cell>
          <cell r="G13">
            <v>149</v>
          </cell>
          <cell r="I13">
            <v>56</v>
          </cell>
          <cell r="K13">
            <v>55</v>
          </cell>
          <cell r="M13">
            <v>73</v>
          </cell>
          <cell r="N13">
            <v>49</v>
          </cell>
          <cell r="O13">
            <v>17</v>
          </cell>
          <cell r="P13">
            <v>7</v>
          </cell>
          <cell r="Q13">
            <v>146</v>
          </cell>
          <cell r="S13">
            <v>0</v>
          </cell>
          <cell r="U13" t="str">
            <v>4Q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483</v>
          </cell>
          <cell r="AH13">
            <v>5</v>
          </cell>
          <cell r="AI13">
            <v>0</v>
          </cell>
          <cell r="AJ13">
            <v>488</v>
          </cell>
        </row>
        <row r="15">
          <cell r="B15">
            <v>259</v>
          </cell>
          <cell r="C15">
            <v>237</v>
          </cell>
          <cell r="D15">
            <v>0</v>
          </cell>
          <cell r="E15">
            <v>12</v>
          </cell>
          <cell r="F15">
            <v>67</v>
          </cell>
          <cell r="G15">
            <v>575</v>
          </cell>
          <cell r="I15">
            <v>153</v>
          </cell>
          <cell r="K15">
            <v>194</v>
          </cell>
          <cell r="M15">
            <v>234</v>
          </cell>
          <cell r="N15">
            <v>169</v>
          </cell>
          <cell r="O15">
            <v>50</v>
          </cell>
          <cell r="P15">
            <v>21</v>
          </cell>
          <cell r="Q15">
            <v>474</v>
          </cell>
          <cell r="S15">
            <v>305</v>
          </cell>
          <cell r="U15" t="str">
            <v xml:space="preserve">Year 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1701</v>
          </cell>
          <cell r="AH15">
            <v>10</v>
          </cell>
          <cell r="AI15">
            <v>0</v>
          </cell>
          <cell r="AJ15">
            <v>1711</v>
          </cell>
        </row>
        <row r="17">
          <cell r="U17" t="str">
            <v>1996/95</v>
          </cell>
        </row>
        <row r="18">
          <cell r="B18">
            <v>-0.2432432432432432</v>
          </cell>
          <cell r="C18">
            <v>7.4074074074074181E-2</v>
          </cell>
          <cell r="D18" t="str">
            <v>NM</v>
          </cell>
          <cell r="E18">
            <v>0</v>
          </cell>
          <cell r="F18">
            <v>0.125</v>
          </cell>
          <cell r="G18">
            <v>-8.1632653061224469E-2</v>
          </cell>
          <cell r="I18">
            <v>1.1333333333333333</v>
          </cell>
          <cell r="K18">
            <v>0.88372093023255816</v>
          </cell>
          <cell r="M18">
            <v>0.37209302325581395</v>
          </cell>
          <cell r="N18">
            <v>0.10526315789473695</v>
          </cell>
          <cell r="O18">
            <v>0.55555555555555558</v>
          </cell>
          <cell r="P18">
            <v>1</v>
          </cell>
          <cell r="Q18">
            <v>0.3085106382978724</v>
          </cell>
          <cell r="S18" t="str">
            <v>NM</v>
          </cell>
          <cell r="U18" t="str">
            <v>1Q</v>
          </cell>
          <cell r="V18" t="str">
            <v>NM</v>
          </cell>
          <cell r="W18" t="str">
            <v>NM</v>
          </cell>
          <cell r="X18" t="str">
            <v>NM</v>
          </cell>
          <cell r="Y18" t="str">
            <v>NM</v>
          </cell>
          <cell r="Z18" t="str">
            <v>NM</v>
          </cell>
          <cell r="AA18" t="str">
            <v>NM</v>
          </cell>
          <cell r="AB18" t="str">
            <v>NM</v>
          </cell>
          <cell r="AC18" t="str">
            <v>NM</v>
          </cell>
          <cell r="AD18" t="str">
            <v>NM</v>
          </cell>
          <cell r="AE18" t="str">
            <v>NM</v>
          </cell>
          <cell r="AF18" t="str">
            <v>NM</v>
          </cell>
          <cell r="AG18">
            <v>0.23575129533678751</v>
          </cell>
          <cell r="AH18" t="str">
            <v>NM</v>
          </cell>
          <cell r="AI18" t="str">
            <v>NM</v>
          </cell>
          <cell r="AJ18">
            <v>0.23575129533678751</v>
          </cell>
        </row>
        <row r="19">
          <cell r="B19">
            <v>2.3809523809523725E-2</v>
          </cell>
          <cell r="C19">
            <v>-0.109375</v>
          </cell>
          <cell r="D19" t="str">
            <v>NM</v>
          </cell>
          <cell r="E19">
            <v>0</v>
          </cell>
          <cell r="F19">
            <v>0</v>
          </cell>
          <cell r="G19">
            <v>8.7301587301587213E-2</v>
          </cell>
          <cell r="I19">
            <v>1.1111111111111112</v>
          </cell>
          <cell r="K19">
            <v>-9.6153846153846145E-2</v>
          </cell>
          <cell r="M19">
            <v>7.1428571428571397E-2</v>
          </cell>
          <cell r="N19">
            <v>2.564102564102555E-2</v>
          </cell>
          <cell r="O19">
            <v>0.58333333333333326</v>
          </cell>
          <cell r="P19">
            <v>0.75</v>
          </cell>
          <cell r="Q19">
            <v>0.13513513513513509</v>
          </cell>
          <cell r="S19" t="str">
            <v>NM</v>
          </cell>
          <cell r="U19" t="str">
            <v>2Q</v>
          </cell>
          <cell r="V19" t="str">
            <v>NM</v>
          </cell>
          <cell r="W19" t="str">
            <v>NM</v>
          </cell>
          <cell r="X19" t="str">
            <v>NM</v>
          </cell>
          <cell r="Y19" t="str">
            <v>NM</v>
          </cell>
          <cell r="Z19" t="str">
            <v>NM</v>
          </cell>
          <cell r="AA19" t="str">
            <v>NM</v>
          </cell>
          <cell r="AB19" t="str">
            <v>NM</v>
          </cell>
          <cell r="AC19" t="str">
            <v>NM</v>
          </cell>
          <cell r="AD19" t="str">
            <v>NM</v>
          </cell>
          <cell r="AE19" t="str">
            <v>NM</v>
          </cell>
          <cell r="AF19" t="str">
            <v>NM</v>
          </cell>
          <cell r="AG19">
            <v>0.12189054726368154</v>
          </cell>
          <cell r="AH19" t="str">
            <v>NM</v>
          </cell>
          <cell r="AI19" t="str">
            <v>NM</v>
          </cell>
          <cell r="AJ19">
            <v>0.13432835820895517</v>
          </cell>
        </row>
        <row r="20">
          <cell r="B20">
            <v>-0.40277777777777779</v>
          </cell>
          <cell r="C20">
            <v>-6.557377049180324E-2</v>
          </cell>
          <cell r="D20" t="str">
            <v>NM</v>
          </cell>
          <cell r="E20">
            <v>0</v>
          </cell>
          <cell r="F20">
            <v>0.11764705882352944</v>
          </cell>
          <cell r="G20">
            <v>-0.20261437908496727</v>
          </cell>
          <cell r="I20">
            <v>0.39999999999999991</v>
          </cell>
          <cell r="K20">
            <v>0.95454545454545459</v>
          </cell>
          <cell r="M20">
            <v>0.19354838709677424</v>
          </cell>
          <cell r="N20">
            <v>2.3255813953488413E-2</v>
          </cell>
          <cell r="O20">
            <v>0.75</v>
          </cell>
          <cell r="P20">
            <v>0.83333333333333326</v>
          </cell>
          <cell r="Q20">
            <v>0.21951219512195119</v>
          </cell>
          <cell r="S20" t="str">
            <v>NM</v>
          </cell>
          <cell r="U20" t="str">
            <v>3Q</v>
          </cell>
          <cell r="V20" t="str">
            <v>NM</v>
          </cell>
          <cell r="W20" t="str">
            <v>NM</v>
          </cell>
          <cell r="X20" t="str">
            <v>NM</v>
          </cell>
          <cell r="Y20" t="str">
            <v>NM</v>
          </cell>
          <cell r="Z20" t="str">
            <v>NM</v>
          </cell>
          <cell r="AA20" t="str">
            <v>NM</v>
          </cell>
          <cell r="AB20" t="str">
            <v>NM</v>
          </cell>
          <cell r="AC20" t="str">
            <v>NM</v>
          </cell>
          <cell r="AD20" t="str">
            <v>NM</v>
          </cell>
          <cell r="AE20" t="str">
            <v>NM</v>
          </cell>
          <cell r="AF20" t="str">
            <v>NM</v>
          </cell>
          <cell r="AG20">
            <v>0.14418604651162781</v>
          </cell>
          <cell r="AH20" t="str">
            <v>NM</v>
          </cell>
          <cell r="AI20" t="str">
            <v>NM</v>
          </cell>
          <cell r="AJ20">
            <v>0.14252873563218382</v>
          </cell>
        </row>
        <row r="21">
          <cell r="B21">
            <v>-0.18309859154929575</v>
          </cell>
          <cell r="C21">
            <v>0</v>
          </cell>
          <cell r="D21" t="str">
            <v>NM</v>
          </cell>
          <cell r="E21">
            <v>-0.33333333333333337</v>
          </cell>
          <cell r="F21">
            <v>0.23529411764705888</v>
          </cell>
          <cell r="G21">
            <v>-4.0268456375838979E-2</v>
          </cell>
          <cell r="I21">
            <v>0.1964285714285714</v>
          </cell>
          <cell r="K21">
            <v>0.60000000000000009</v>
          </cell>
          <cell r="M21">
            <v>0.13698630136986312</v>
          </cell>
          <cell r="N21">
            <v>6.1224489795918435E-2</v>
          </cell>
          <cell r="O21">
            <v>0.64705882352941169</v>
          </cell>
          <cell r="P21">
            <v>0.71428571428571419</v>
          </cell>
          <cell r="Q21">
            <v>0.19863013698630128</v>
          </cell>
          <cell r="S21" t="str">
            <v>NM</v>
          </cell>
          <cell r="U21" t="str">
            <v>4Q</v>
          </cell>
          <cell r="V21" t="str">
            <v>NM</v>
          </cell>
          <cell r="W21" t="str">
            <v>NM</v>
          </cell>
          <cell r="X21" t="str">
            <v>NM</v>
          </cell>
          <cell r="Y21" t="str">
            <v>NM</v>
          </cell>
          <cell r="Z21" t="str">
            <v>NM</v>
          </cell>
          <cell r="AA21" t="str">
            <v>NM</v>
          </cell>
          <cell r="AB21" t="str">
            <v>NM</v>
          </cell>
          <cell r="AC21" t="str">
            <v>NM</v>
          </cell>
          <cell r="AD21" t="str">
            <v>NM</v>
          </cell>
          <cell r="AE21" t="str">
            <v>NM</v>
          </cell>
          <cell r="AF21" t="str">
            <v>NM</v>
          </cell>
          <cell r="AG21">
            <v>0.15942028985507251</v>
          </cell>
          <cell r="AH21" t="str">
            <v>NM</v>
          </cell>
          <cell r="AI21" t="str">
            <v>NM</v>
          </cell>
          <cell r="AJ21">
            <v>0.15778688524590168</v>
          </cell>
        </row>
        <row r="23">
          <cell r="B23">
            <v>-0.22779922779922779</v>
          </cell>
          <cell r="C23">
            <v>-2.9535864978902926E-2</v>
          </cell>
          <cell r="D23" t="str">
            <v>NM</v>
          </cell>
          <cell r="E23">
            <v>-8.333333333333337E-2</v>
          </cell>
          <cell r="F23">
            <v>0.11940298507462677</v>
          </cell>
          <cell r="G23">
            <v>-6.6086956521739126E-2</v>
          </cell>
          <cell r="I23">
            <v>0.59477124183006547</v>
          </cell>
          <cell r="K23">
            <v>0.55670103092783507</v>
          </cell>
          <cell r="M23">
            <v>0.17948717948717952</v>
          </cell>
          <cell r="N23">
            <v>5.3254437869822535E-2</v>
          </cell>
          <cell r="O23">
            <v>0.6399999999999999</v>
          </cell>
          <cell r="P23">
            <v>0.80952380952380953</v>
          </cell>
          <cell r="Q23">
            <v>0.21097046413502119</v>
          </cell>
          <cell r="S23">
            <v>5.9016393442622883E-2</v>
          </cell>
          <cell r="U23" t="str">
            <v>1996/95</v>
          </cell>
          <cell r="V23" t="str">
            <v>NM</v>
          </cell>
          <cell r="W23" t="str">
            <v>NM</v>
          </cell>
          <cell r="X23" t="str">
            <v>NM</v>
          </cell>
          <cell r="Y23" t="str">
            <v>NM</v>
          </cell>
          <cell r="Z23" t="str">
            <v>NM</v>
          </cell>
          <cell r="AA23" t="str">
            <v>NM</v>
          </cell>
          <cell r="AB23" t="str">
            <v>NM</v>
          </cell>
          <cell r="AC23" t="str">
            <v>NM</v>
          </cell>
          <cell r="AD23" t="str">
            <v>NM</v>
          </cell>
          <cell r="AE23" t="str">
            <v>NM</v>
          </cell>
          <cell r="AF23" t="str">
            <v>NM</v>
          </cell>
          <cell r="AG23">
            <v>0.16402116402116396</v>
          </cell>
          <cell r="AH23" t="str">
            <v>NM</v>
          </cell>
          <cell r="AI23" t="str">
            <v>NM</v>
          </cell>
          <cell r="AJ23">
            <v>0.16598480420806538</v>
          </cell>
        </row>
        <row r="25">
          <cell r="U25">
            <v>1996</v>
          </cell>
        </row>
        <row r="26">
          <cell r="B26">
            <v>56</v>
          </cell>
          <cell r="C26">
            <v>58</v>
          </cell>
          <cell r="D26">
            <v>0</v>
          </cell>
          <cell r="E26">
            <v>3</v>
          </cell>
          <cell r="F26">
            <v>18</v>
          </cell>
          <cell r="G26">
            <v>135</v>
          </cell>
          <cell r="I26">
            <v>64</v>
          </cell>
          <cell r="K26">
            <v>81</v>
          </cell>
          <cell r="M26">
            <v>59</v>
          </cell>
          <cell r="N26">
            <v>42</v>
          </cell>
          <cell r="O26">
            <v>14</v>
          </cell>
          <cell r="P26">
            <v>8</v>
          </cell>
          <cell r="Q26">
            <v>123</v>
          </cell>
          <cell r="S26">
            <v>74</v>
          </cell>
          <cell r="U26" t="str">
            <v>1Q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477</v>
          </cell>
          <cell r="AH26">
            <v>0</v>
          </cell>
          <cell r="AI26">
            <v>0</v>
          </cell>
          <cell r="AJ26">
            <v>477</v>
          </cell>
        </row>
        <row r="27">
          <cell r="B27">
            <v>43</v>
          </cell>
          <cell r="C27">
            <v>57</v>
          </cell>
          <cell r="D27">
            <v>17</v>
          </cell>
          <cell r="E27">
            <v>3</v>
          </cell>
          <cell r="F27">
            <v>17</v>
          </cell>
          <cell r="G27">
            <v>137</v>
          </cell>
          <cell r="I27">
            <v>57</v>
          </cell>
          <cell r="K27">
            <v>47</v>
          </cell>
          <cell r="M27">
            <v>60</v>
          </cell>
          <cell r="N27">
            <v>40</v>
          </cell>
          <cell r="O27">
            <v>19</v>
          </cell>
          <cell r="P27">
            <v>7</v>
          </cell>
          <cell r="Q27">
            <v>126</v>
          </cell>
          <cell r="S27">
            <v>84</v>
          </cell>
          <cell r="U27" t="str">
            <v>2Q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451</v>
          </cell>
          <cell r="AH27">
            <v>5</v>
          </cell>
          <cell r="AI27">
            <v>0</v>
          </cell>
          <cell r="AJ27">
            <v>456</v>
          </cell>
        </row>
        <row r="28">
          <cell r="B28">
            <v>43</v>
          </cell>
          <cell r="C28">
            <v>57</v>
          </cell>
          <cell r="D28">
            <v>0</v>
          </cell>
          <cell r="E28">
            <v>3</v>
          </cell>
          <cell r="F28">
            <v>19</v>
          </cell>
          <cell r="G28">
            <v>122</v>
          </cell>
          <cell r="I28">
            <v>56</v>
          </cell>
          <cell r="K28">
            <v>86</v>
          </cell>
          <cell r="M28">
            <v>74</v>
          </cell>
          <cell r="N28">
            <v>44</v>
          </cell>
          <cell r="O28">
            <v>21</v>
          </cell>
          <cell r="P28">
            <v>11</v>
          </cell>
          <cell r="Q28">
            <v>150</v>
          </cell>
          <cell r="S28">
            <v>78</v>
          </cell>
          <cell r="U28" t="str">
            <v>3Q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492</v>
          </cell>
          <cell r="AH28">
            <v>5</v>
          </cell>
          <cell r="AI28">
            <v>0</v>
          </cell>
          <cell r="AJ28">
            <v>497</v>
          </cell>
        </row>
        <row r="29">
          <cell r="B29">
            <v>58</v>
          </cell>
          <cell r="C29">
            <v>58</v>
          </cell>
          <cell r="D29">
            <v>4</v>
          </cell>
          <cell r="E29">
            <v>2</v>
          </cell>
          <cell r="F29">
            <v>21</v>
          </cell>
          <cell r="G29">
            <v>143</v>
          </cell>
          <cell r="I29">
            <v>67</v>
          </cell>
          <cell r="K29">
            <v>88</v>
          </cell>
          <cell r="M29">
            <v>83</v>
          </cell>
          <cell r="N29">
            <v>52</v>
          </cell>
          <cell r="O29">
            <v>28</v>
          </cell>
          <cell r="P29">
            <v>12</v>
          </cell>
          <cell r="Q29">
            <v>175</v>
          </cell>
          <cell r="S29">
            <v>87</v>
          </cell>
          <cell r="U29" t="str">
            <v>4Q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560</v>
          </cell>
          <cell r="AH29">
            <v>5</v>
          </cell>
          <cell r="AI29">
            <v>0</v>
          </cell>
          <cell r="AJ29">
            <v>565</v>
          </cell>
        </row>
        <row r="31">
          <cell r="B31">
            <v>200</v>
          </cell>
          <cell r="C31">
            <v>230</v>
          </cell>
          <cell r="D31">
            <v>21</v>
          </cell>
          <cell r="E31">
            <v>11</v>
          </cell>
          <cell r="F31">
            <v>75</v>
          </cell>
          <cell r="G31">
            <v>537</v>
          </cell>
          <cell r="I31">
            <v>244</v>
          </cell>
          <cell r="K31">
            <v>302</v>
          </cell>
          <cell r="M31">
            <v>276</v>
          </cell>
          <cell r="N31">
            <v>178</v>
          </cell>
          <cell r="O31">
            <v>82</v>
          </cell>
          <cell r="P31">
            <v>38</v>
          </cell>
          <cell r="Q31">
            <v>574</v>
          </cell>
          <cell r="S31">
            <v>323</v>
          </cell>
          <cell r="U31">
            <v>1996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1980</v>
          </cell>
          <cell r="AH31">
            <v>15</v>
          </cell>
          <cell r="AI31">
            <v>0</v>
          </cell>
          <cell r="AJ31">
            <v>1995</v>
          </cell>
        </row>
        <row r="33">
          <cell r="U33" t="str">
            <v>1997/96</v>
          </cell>
        </row>
        <row r="34">
          <cell r="B34">
            <v>-0.1428571428571429</v>
          </cell>
          <cell r="C34">
            <v>-6.8965517241379337E-2</v>
          </cell>
          <cell r="D34" t="str">
            <v>NM</v>
          </cell>
          <cell r="E34" t="str">
            <v>NM</v>
          </cell>
          <cell r="F34">
            <v>0</v>
          </cell>
          <cell r="G34">
            <v>-2.9629629629629672E-2</v>
          </cell>
          <cell r="I34">
            <v>-9.375E-2</v>
          </cell>
          <cell r="K34">
            <v>-6.1728395061728447E-2</v>
          </cell>
          <cell r="M34">
            <v>0.18644067796610164</v>
          </cell>
          <cell r="N34">
            <v>9.5238095238095344E-2</v>
          </cell>
          <cell r="O34">
            <v>0.4285714285714286</v>
          </cell>
          <cell r="P34">
            <v>0.125</v>
          </cell>
          <cell r="Q34">
            <v>0.17886178861788626</v>
          </cell>
          <cell r="S34">
            <v>0.41891891891891886</v>
          </cell>
          <cell r="U34" t="str">
            <v>1Q</v>
          </cell>
          <cell r="V34" t="str">
            <v>NM</v>
          </cell>
          <cell r="W34" t="str">
            <v>NM</v>
          </cell>
          <cell r="X34" t="str">
            <v>NM</v>
          </cell>
          <cell r="Y34" t="str">
            <v>NM</v>
          </cell>
          <cell r="Z34" t="str">
            <v>NM</v>
          </cell>
          <cell r="AA34" t="str">
            <v>NM</v>
          </cell>
          <cell r="AB34" t="str">
            <v>NM</v>
          </cell>
          <cell r="AC34" t="str">
            <v>NM</v>
          </cell>
          <cell r="AD34" t="str">
            <v>NM</v>
          </cell>
          <cell r="AE34" t="str">
            <v>NM</v>
          </cell>
          <cell r="AF34" t="str">
            <v>NM</v>
          </cell>
          <cell r="AG34">
            <v>7.9664570230608023E-2</v>
          </cell>
          <cell r="AH34" t="str">
            <v>NM</v>
          </cell>
          <cell r="AI34" t="str">
            <v>NM</v>
          </cell>
          <cell r="AJ34">
            <v>7.9664570230608023E-2</v>
          </cell>
        </row>
        <row r="35">
          <cell r="B35">
            <v>-0.32558139534883723</v>
          </cell>
          <cell r="C35">
            <v>-7.0175438596491224E-2</v>
          </cell>
          <cell r="D35" t="str">
            <v>NM</v>
          </cell>
          <cell r="E35" t="str">
            <v>NM</v>
          </cell>
          <cell r="F35">
            <v>0</v>
          </cell>
          <cell r="G35">
            <v>-0.16788321167883213</v>
          </cell>
          <cell r="I35">
            <v>3.5087719298245723E-2</v>
          </cell>
          <cell r="K35">
            <v>1.1063829787234041</v>
          </cell>
          <cell r="M35">
            <v>1.6666666666666607E-2</v>
          </cell>
          <cell r="N35">
            <v>0</v>
          </cell>
          <cell r="O35">
            <v>0.26315789473684204</v>
          </cell>
          <cell r="P35">
            <v>0.5714285714285714</v>
          </cell>
          <cell r="Q35">
            <v>7.9365079365079305E-2</v>
          </cell>
          <cell r="S35">
            <v>-0.1071428571428571</v>
          </cell>
          <cell r="U35" t="str">
            <v>2Q</v>
          </cell>
          <cell r="V35" t="str">
            <v>NM</v>
          </cell>
          <cell r="W35" t="str">
            <v>NM</v>
          </cell>
          <cell r="X35" t="str">
            <v>NM</v>
          </cell>
          <cell r="Y35" t="str">
            <v>NM</v>
          </cell>
          <cell r="Z35" t="str">
            <v>NM</v>
          </cell>
          <cell r="AA35" t="str">
            <v>NM</v>
          </cell>
          <cell r="AB35" t="str">
            <v>NM</v>
          </cell>
          <cell r="AC35" t="str">
            <v>NM</v>
          </cell>
          <cell r="AD35" t="str">
            <v>NM</v>
          </cell>
          <cell r="AE35" t="str">
            <v>NM</v>
          </cell>
          <cell r="AF35" t="str">
            <v>NM</v>
          </cell>
          <cell r="AG35">
            <v>7.0953436807095427E-2</v>
          </cell>
          <cell r="AH35" t="str">
            <v>NM</v>
          </cell>
          <cell r="AI35" t="str">
            <v>NM</v>
          </cell>
          <cell r="AJ35">
            <v>0.125</v>
          </cell>
        </row>
        <row r="36">
          <cell r="B36">
            <v>-0.13953488372093026</v>
          </cell>
          <cell r="C36">
            <v>-7.0175438596491224E-2</v>
          </cell>
          <cell r="D36" t="str">
            <v>NM</v>
          </cell>
          <cell r="E36" t="str">
            <v>NM</v>
          </cell>
          <cell r="F36">
            <v>5.2631578947368363E-2</v>
          </cell>
          <cell r="G36">
            <v>4.9180327868852514E-2</v>
          </cell>
          <cell r="I36">
            <v>1.7857142857142794E-2</v>
          </cell>
          <cell r="K36">
            <v>4.6511627906976827E-2</v>
          </cell>
          <cell r="M36">
            <v>0.32432432432432434</v>
          </cell>
          <cell r="N36">
            <v>2.2727272727272707E-2</v>
          </cell>
          <cell r="O36">
            <v>0.19047619047619047</v>
          </cell>
          <cell r="P36">
            <v>0</v>
          </cell>
          <cell r="Q36">
            <v>0.19333333333333336</v>
          </cell>
          <cell r="S36">
            <v>0.30769230769230771</v>
          </cell>
          <cell r="U36" t="str">
            <v>3Q</v>
          </cell>
          <cell r="V36" t="str">
            <v>NM</v>
          </cell>
          <cell r="W36" t="str">
            <v>NM</v>
          </cell>
          <cell r="X36" t="str">
            <v>NM</v>
          </cell>
          <cell r="Y36" t="str">
            <v>NM</v>
          </cell>
          <cell r="Z36" t="str">
            <v>NM</v>
          </cell>
          <cell r="AA36" t="str">
            <v>NM</v>
          </cell>
          <cell r="AB36" t="str">
            <v>NM</v>
          </cell>
          <cell r="AC36" t="str">
            <v>NM</v>
          </cell>
          <cell r="AD36" t="str">
            <v>NM</v>
          </cell>
          <cell r="AE36" t="str">
            <v>NM</v>
          </cell>
          <cell r="AF36" t="str">
            <v>NM</v>
          </cell>
          <cell r="AG36">
            <v>0.13008130081300817</v>
          </cell>
          <cell r="AH36" t="str">
            <v>NM</v>
          </cell>
          <cell r="AI36" t="str">
            <v>NM</v>
          </cell>
          <cell r="AJ36">
            <v>0.21730382293762585</v>
          </cell>
        </row>
        <row r="37">
          <cell r="B37">
            <v>-0.56896551724137934</v>
          </cell>
          <cell r="C37">
            <v>3.4482758620689724E-2</v>
          </cell>
          <cell r="D37" t="str">
            <v>NM</v>
          </cell>
          <cell r="E37" t="str">
            <v>NM</v>
          </cell>
          <cell r="F37">
            <v>0</v>
          </cell>
          <cell r="G37">
            <v>-0.11188811188811187</v>
          </cell>
          <cell r="I37">
            <v>0.16417910447761197</v>
          </cell>
          <cell r="K37">
            <v>0.48863636363636354</v>
          </cell>
          <cell r="M37">
            <v>0.22891566265060237</v>
          </cell>
          <cell r="N37">
            <v>3.8461538461538547E-2</v>
          </cell>
          <cell r="O37">
            <v>0.1785714285714286</v>
          </cell>
          <cell r="P37">
            <v>8.3333333333333259E-2</v>
          </cell>
          <cell r="Q37">
            <v>0.15428571428571436</v>
          </cell>
          <cell r="S37">
            <v>6.8965517241379226E-2</v>
          </cell>
          <cell r="U37" t="str">
            <v>4Q</v>
          </cell>
          <cell r="V37" t="str">
            <v>NM</v>
          </cell>
          <cell r="W37" t="str">
            <v>NM</v>
          </cell>
          <cell r="X37" t="str">
            <v>NM</v>
          </cell>
          <cell r="Y37" t="str">
            <v>NM</v>
          </cell>
          <cell r="Z37" t="str">
            <v>NM</v>
          </cell>
          <cell r="AA37" t="str">
            <v>NM</v>
          </cell>
          <cell r="AB37" t="str">
            <v>NM</v>
          </cell>
          <cell r="AC37" t="str">
            <v>NM</v>
          </cell>
          <cell r="AD37" t="str">
            <v>NM</v>
          </cell>
          <cell r="AE37" t="str">
            <v>NM</v>
          </cell>
          <cell r="AF37" t="str">
            <v>NM</v>
          </cell>
          <cell r="AG37">
            <v>0.12678571428571428</v>
          </cell>
          <cell r="AH37" t="str">
            <v>NM</v>
          </cell>
          <cell r="AI37" t="str">
            <v>NM</v>
          </cell>
          <cell r="AJ37">
            <v>0.36991150442477871</v>
          </cell>
        </row>
        <row r="39">
          <cell r="B39">
            <v>-0.30500000000000005</v>
          </cell>
          <cell r="C39">
            <v>-4.3478260869565188E-2</v>
          </cell>
          <cell r="D39" t="str">
            <v>NM</v>
          </cell>
          <cell r="E39" t="str">
            <v>NM</v>
          </cell>
          <cell r="F39">
            <v>1.3333333333333419E-2</v>
          </cell>
          <cell r="G39">
            <v>-6.8901303538175029E-2</v>
          </cell>
          <cell r="I39">
            <v>3.2786885245901676E-2</v>
          </cell>
          <cell r="K39">
            <v>0.3112582781456954</v>
          </cell>
          <cell r="M39">
            <v>0.19927536231884058</v>
          </cell>
          <cell r="N39">
            <v>3.9325842696629199E-2</v>
          </cell>
          <cell r="O39">
            <v>0.24390243902439024</v>
          </cell>
          <cell r="P39">
            <v>0.15789473684210531</v>
          </cell>
          <cell r="Q39">
            <v>0.1533101045296168</v>
          </cell>
          <cell r="S39">
            <v>0.16099071207430349</v>
          </cell>
          <cell r="U39" t="str">
            <v xml:space="preserve">Year </v>
          </cell>
          <cell r="V39" t="str">
            <v>NM</v>
          </cell>
          <cell r="W39" t="str">
            <v>NM</v>
          </cell>
          <cell r="X39" t="str">
            <v>NM</v>
          </cell>
          <cell r="Y39" t="str">
            <v>NM</v>
          </cell>
          <cell r="Z39" t="str">
            <v>NM</v>
          </cell>
          <cell r="AA39" t="str">
            <v>NM</v>
          </cell>
          <cell r="AB39" t="str">
            <v>NM</v>
          </cell>
          <cell r="AC39" t="str">
            <v>NM</v>
          </cell>
          <cell r="AD39" t="str">
            <v>NM</v>
          </cell>
          <cell r="AE39" t="str">
            <v>NM</v>
          </cell>
          <cell r="AF39" t="str">
            <v>NM</v>
          </cell>
          <cell r="AG39">
            <v>0.10353535353535359</v>
          </cell>
          <cell r="AH39" t="str">
            <v>NM</v>
          </cell>
          <cell r="AI39" t="str">
            <v>NM</v>
          </cell>
          <cell r="AJ39">
            <v>0.20651629072681699</v>
          </cell>
        </row>
        <row r="41">
          <cell r="U41">
            <v>1997</v>
          </cell>
        </row>
        <row r="42">
          <cell r="B42">
            <v>48</v>
          </cell>
          <cell r="C42">
            <v>54</v>
          </cell>
          <cell r="D42">
            <v>8</v>
          </cell>
          <cell r="E42">
            <v>3</v>
          </cell>
          <cell r="F42">
            <v>18</v>
          </cell>
          <cell r="G42">
            <v>131</v>
          </cell>
          <cell r="I42">
            <v>58</v>
          </cell>
          <cell r="K42">
            <v>76</v>
          </cell>
          <cell r="M42">
            <v>70</v>
          </cell>
          <cell r="N42">
            <v>46</v>
          </cell>
          <cell r="O42">
            <v>20</v>
          </cell>
          <cell r="P42">
            <v>9</v>
          </cell>
          <cell r="Q42">
            <v>145</v>
          </cell>
          <cell r="S42">
            <v>105</v>
          </cell>
          <cell r="U42" t="str">
            <v>1Q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515</v>
          </cell>
          <cell r="AH42">
            <v>0</v>
          </cell>
          <cell r="AI42">
            <v>0</v>
          </cell>
          <cell r="AJ42">
            <v>515</v>
          </cell>
        </row>
        <row r="43">
          <cell r="B43">
            <v>29</v>
          </cell>
          <cell r="C43">
            <v>53</v>
          </cell>
          <cell r="D43">
            <v>12</v>
          </cell>
          <cell r="E43">
            <v>3</v>
          </cell>
          <cell r="F43">
            <v>17</v>
          </cell>
          <cell r="G43">
            <v>114</v>
          </cell>
          <cell r="I43">
            <v>59</v>
          </cell>
          <cell r="K43">
            <v>99</v>
          </cell>
          <cell r="M43">
            <v>61</v>
          </cell>
          <cell r="N43">
            <v>40</v>
          </cell>
          <cell r="O43">
            <v>24</v>
          </cell>
          <cell r="P43">
            <v>11</v>
          </cell>
          <cell r="Q43">
            <v>136</v>
          </cell>
          <cell r="S43">
            <v>75</v>
          </cell>
          <cell r="U43" t="str">
            <v>2Q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483</v>
          </cell>
          <cell r="AH43">
            <v>19</v>
          </cell>
          <cell r="AI43">
            <v>11</v>
          </cell>
          <cell r="AJ43">
            <v>513</v>
          </cell>
        </row>
        <row r="44">
          <cell r="B44">
            <v>37</v>
          </cell>
          <cell r="C44">
            <v>53</v>
          </cell>
          <cell r="D44">
            <v>16</v>
          </cell>
          <cell r="E44">
            <v>2</v>
          </cell>
          <cell r="F44">
            <v>20</v>
          </cell>
          <cell r="G44">
            <v>128</v>
          </cell>
          <cell r="I44">
            <v>57</v>
          </cell>
          <cell r="K44">
            <v>90</v>
          </cell>
          <cell r="M44">
            <v>98</v>
          </cell>
          <cell r="N44">
            <v>45</v>
          </cell>
          <cell r="O44">
            <v>25</v>
          </cell>
          <cell r="P44">
            <v>11</v>
          </cell>
          <cell r="Q44">
            <v>179</v>
          </cell>
          <cell r="S44">
            <v>102</v>
          </cell>
          <cell r="U44" t="str">
            <v>3Q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556</v>
          </cell>
          <cell r="AH44">
            <v>0</v>
          </cell>
          <cell r="AI44">
            <v>49</v>
          </cell>
          <cell r="AJ44">
            <v>605</v>
          </cell>
        </row>
        <row r="45">
          <cell r="B45">
            <v>25</v>
          </cell>
          <cell r="C45">
            <v>60</v>
          </cell>
          <cell r="D45">
            <v>19</v>
          </cell>
          <cell r="E45">
            <v>2</v>
          </cell>
          <cell r="F45">
            <v>21</v>
          </cell>
          <cell r="G45">
            <v>127</v>
          </cell>
          <cell r="I45">
            <v>78</v>
          </cell>
          <cell r="K45">
            <v>131</v>
          </cell>
          <cell r="M45">
            <v>102</v>
          </cell>
          <cell r="N45">
            <v>54</v>
          </cell>
          <cell r="O45">
            <v>33</v>
          </cell>
          <cell r="P45">
            <v>13</v>
          </cell>
          <cell r="Q45">
            <v>202</v>
          </cell>
          <cell r="S45">
            <v>93</v>
          </cell>
          <cell r="U45" t="str">
            <v>4Q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631</v>
          </cell>
          <cell r="AH45">
            <v>75</v>
          </cell>
          <cell r="AI45">
            <v>68</v>
          </cell>
          <cell r="AJ45">
            <v>774</v>
          </cell>
        </row>
        <row r="47">
          <cell r="B47">
            <v>139</v>
          </cell>
          <cell r="C47">
            <v>220</v>
          </cell>
          <cell r="D47">
            <v>55</v>
          </cell>
          <cell r="E47">
            <v>10</v>
          </cell>
          <cell r="F47">
            <v>76</v>
          </cell>
          <cell r="G47">
            <v>500</v>
          </cell>
          <cell r="I47">
            <v>252</v>
          </cell>
          <cell r="K47">
            <v>396</v>
          </cell>
          <cell r="M47">
            <v>331</v>
          </cell>
          <cell r="N47">
            <v>185</v>
          </cell>
          <cell r="O47">
            <v>102</v>
          </cell>
          <cell r="P47">
            <v>44</v>
          </cell>
          <cell r="Q47">
            <v>662</v>
          </cell>
          <cell r="S47">
            <v>375</v>
          </cell>
          <cell r="U47" t="str">
            <v xml:space="preserve">Year 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2185</v>
          </cell>
          <cell r="AH47">
            <v>94</v>
          </cell>
          <cell r="AI47">
            <v>128</v>
          </cell>
          <cell r="AJ47">
            <v>2407</v>
          </cell>
        </row>
        <row r="49">
          <cell r="U49" t="str">
            <v>1998E/97</v>
          </cell>
        </row>
        <row r="50">
          <cell r="B50">
            <v>-0.52083333333333326</v>
          </cell>
          <cell r="C50">
            <v>-0.2407407407407407</v>
          </cell>
          <cell r="D50">
            <v>0.5</v>
          </cell>
          <cell r="E50" t="str">
            <v>NM</v>
          </cell>
          <cell r="F50">
            <v>-0.16666666666666663</v>
          </cell>
          <cell r="G50">
            <v>-0.28244274809160308</v>
          </cell>
          <cell r="I50">
            <v>-0.24137931034482762</v>
          </cell>
          <cell r="K50">
            <v>-7.8947368421052655E-2</v>
          </cell>
          <cell r="M50">
            <v>-0.32857142857142863</v>
          </cell>
          <cell r="N50">
            <v>-0.47826086956521741</v>
          </cell>
          <cell r="O50">
            <v>1.4500000000000002</v>
          </cell>
          <cell r="P50">
            <v>0.11111111111111116</v>
          </cell>
          <cell r="Q50">
            <v>-0.10344827586206895</v>
          </cell>
          <cell r="S50">
            <v>-0.20952380952380956</v>
          </cell>
          <cell r="U50" t="str">
            <v>1QA</v>
          </cell>
          <cell r="V50" t="str">
            <v>NM</v>
          </cell>
          <cell r="W50" t="str">
            <v>NM</v>
          </cell>
          <cell r="X50" t="str">
            <v>NM</v>
          </cell>
          <cell r="Y50" t="str">
            <v>NM</v>
          </cell>
          <cell r="Z50" t="str">
            <v>NM</v>
          </cell>
          <cell r="AA50" t="str">
            <v>NM</v>
          </cell>
          <cell r="AB50" t="str">
            <v>NM</v>
          </cell>
          <cell r="AC50" t="str">
            <v>NM</v>
          </cell>
          <cell r="AD50" t="str">
            <v>NM</v>
          </cell>
          <cell r="AE50" t="str">
            <v>NM</v>
          </cell>
          <cell r="AF50" t="str">
            <v>NM</v>
          </cell>
          <cell r="AG50">
            <v>-0.18252427184466025</v>
          </cell>
          <cell r="AH50" t="str">
            <v>NM</v>
          </cell>
          <cell r="AI50" t="str">
            <v>NM</v>
          </cell>
          <cell r="AJ50">
            <v>1.1650485436893288E-2</v>
          </cell>
        </row>
        <row r="51">
          <cell r="B51">
            <v>-0.62068965517241381</v>
          </cell>
          <cell r="C51">
            <v>-1.8867924528301883E-2</v>
          </cell>
          <cell r="D51">
            <v>0.66666666666666674</v>
          </cell>
          <cell r="E51" t="str">
            <v>NM</v>
          </cell>
          <cell r="F51">
            <v>0.17647058823529416</v>
          </cell>
          <cell r="G51">
            <v>-7.0175438596491224E-2</v>
          </cell>
          <cell r="I51">
            <v>-1.6949152542372836E-2</v>
          </cell>
          <cell r="K51">
            <v>0.2525252525252526</v>
          </cell>
          <cell r="M51">
            <v>0.11475409836065564</v>
          </cell>
          <cell r="N51">
            <v>-0.19999999999999996</v>
          </cell>
          <cell r="O51">
            <v>2.3333333333333335</v>
          </cell>
          <cell r="P51">
            <v>9.0909090909090828E-2</v>
          </cell>
          <cell r="Q51">
            <v>0.41176470588235303</v>
          </cell>
          <cell r="S51">
            <v>0.4933333333333334</v>
          </cell>
          <cell r="U51" t="str">
            <v>2QA</v>
          </cell>
          <cell r="V51" t="str">
            <v>NM</v>
          </cell>
          <cell r="W51" t="str">
            <v>NM</v>
          </cell>
          <cell r="X51" t="str">
            <v>NM</v>
          </cell>
          <cell r="Y51" t="str">
            <v>NM</v>
          </cell>
          <cell r="Z51" t="str">
            <v>NM</v>
          </cell>
          <cell r="AA51" t="str">
            <v>NM</v>
          </cell>
          <cell r="AB51" t="str">
            <v>NM</v>
          </cell>
          <cell r="AC51" t="str">
            <v>NM</v>
          </cell>
          <cell r="AD51" t="str">
            <v>NM</v>
          </cell>
          <cell r="AE51" t="str">
            <v>NM</v>
          </cell>
          <cell r="AF51" t="str">
            <v>NM</v>
          </cell>
          <cell r="AG51">
            <v>0.22567287784679091</v>
          </cell>
          <cell r="AH51" t="str">
            <v>NM</v>
          </cell>
          <cell r="AI51" t="str">
            <v>NM</v>
          </cell>
          <cell r="AJ51">
            <v>0.15399610136452235</v>
          </cell>
        </row>
        <row r="52">
          <cell r="B52">
            <v>-0.59459459459459452</v>
          </cell>
          <cell r="C52">
            <v>-1.8867924528301883E-2</v>
          </cell>
          <cell r="D52">
            <v>0.4375</v>
          </cell>
          <cell r="E52" t="str">
            <v>NM</v>
          </cell>
          <cell r="F52">
            <v>-0.1</v>
          </cell>
          <cell r="G52">
            <v>-0.140625</v>
          </cell>
          <cell r="I52">
            <v>5.2631578947368363E-2</v>
          </cell>
          <cell r="K52">
            <v>-4.4444444444444398E-2</v>
          </cell>
          <cell r="M52">
            <v>0.1</v>
          </cell>
          <cell r="N52">
            <v>-0.2</v>
          </cell>
          <cell r="O52">
            <v>2.88</v>
          </cell>
          <cell r="P52">
            <v>0.05</v>
          </cell>
          <cell r="Q52">
            <v>0.39413407821229063</v>
          </cell>
          <cell r="S52">
            <v>0.41617647058823515</v>
          </cell>
          <cell r="U52" t="str">
            <v>3Q</v>
          </cell>
          <cell r="V52" t="str">
            <v>NM</v>
          </cell>
          <cell r="W52" t="str">
            <v>NM</v>
          </cell>
          <cell r="X52" t="str">
            <v>NM</v>
          </cell>
          <cell r="Y52" t="str">
            <v>NM</v>
          </cell>
          <cell r="Z52" t="str">
            <v>NM</v>
          </cell>
          <cell r="AA52" t="str">
            <v>NM</v>
          </cell>
          <cell r="AB52" t="str">
            <v>NM</v>
          </cell>
          <cell r="AC52" t="str">
            <v>NM</v>
          </cell>
          <cell r="AD52" t="str">
            <v>NM</v>
          </cell>
          <cell r="AE52" t="str">
            <v>NM</v>
          </cell>
          <cell r="AF52" t="str">
            <v>NM</v>
          </cell>
          <cell r="AG52">
            <v>0.16906474820143891</v>
          </cell>
          <cell r="AH52" t="str">
            <v>NM</v>
          </cell>
          <cell r="AI52" t="str">
            <v>NM</v>
          </cell>
          <cell r="AJ52">
            <v>0.30578512396694224</v>
          </cell>
        </row>
        <row r="53">
          <cell r="B53">
            <v>-0.4</v>
          </cell>
          <cell r="C53">
            <v>-0.1333333333333333</v>
          </cell>
          <cell r="D53">
            <v>0.42105263157894735</v>
          </cell>
          <cell r="E53" t="str">
            <v>NM</v>
          </cell>
          <cell r="F53">
            <v>-0.1</v>
          </cell>
          <cell r="G53">
            <v>-9.5275590551181066E-2</v>
          </cell>
          <cell r="I53">
            <v>-0.23076923076923073</v>
          </cell>
          <cell r="K53">
            <v>3.0534351145038219E-2</v>
          </cell>
          <cell r="M53">
            <v>0.1</v>
          </cell>
          <cell r="N53">
            <v>-0.2</v>
          </cell>
          <cell r="O53">
            <v>2.0303030303030303</v>
          </cell>
          <cell r="P53">
            <v>0.05</v>
          </cell>
          <cell r="Q53">
            <v>0.33193069306930689</v>
          </cell>
          <cell r="S53">
            <v>-8.6021505376344121E-2</v>
          </cell>
          <cell r="U53" t="str">
            <v>4Q</v>
          </cell>
          <cell r="V53" t="str">
            <v>NM</v>
          </cell>
          <cell r="W53" t="str">
            <v>NM</v>
          </cell>
          <cell r="X53" t="str">
            <v>NM</v>
          </cell>
          <cell r="Y53" t="str">
            <v>NM</v>
          </cell>
          <cell r="Z53" t="str">
            <v>NM</v>
          </cell>
          <cell r="AA53" t="str">
            <v>NM</v>
          </cell>
          <cell r="AB53" t="str">
            <v>NM</v>
          </cell>
          <cell r="AC53" t="str">
            <v>NM</v>
          </cell>
          <cell r="AD53" t="str">
            <v>NM</v>
          </cell>
          <cell r="AE53" t="str">
            <v>NM</v>
          </cell>
          <cell r="AF53" t="str">
            <v>NM</v>
          </cell>
          <cell r="AG53">
            <v>5.2218700475435975E-2</v>
          </cell>
          <cell r="AH53" t="str">
            <v>NM</v>
          </cell>
          <cell r="AI53" t="str">
            <v>NM</v>
          </cell>
          <cell r="AJ53">
            <v>-0.14218346253229963</v>
          </cell>
        </row>
        <row r="55">
          <cell r="B55">
            <v>-0.53956834532374098</v>
          </cell>
          <cell r="C55">
            <v>-0.1045454545454545</v>
          </cell>
          <cell r="D55">
            <v>0.49090909090909096</v>
          </cell>
          <cell r="E55" t="str">
            <v>NM</v>
          </cell>
          <cell r="F55">
            <v>-5.3947368421052522E-2</v>
          </cell>
          <cell r="G55">
            <v>-0.1502</v>
          </cell>
          <cell r="I55">
            <v>-0.11904761904761907</v>
          </cell>
          <cell r="K55">
            <v>4.7979797979798011E-2</v>
          </cell>
          <cell r="M55">
            <v>3.6253776435044571E-3</v>
          </cell>
          <cell r="N55">
            <v>-0.26918918918918922</v>
          </cell>
          <cell r="O55">
            <v>2.1960784313725492</v>
          </cell>
          <cell r="P55">
            <v>7.2727272727272529E-2</v>
          </cell>
          <cell r="Q55">
            <v>0.26978851963746209</v>
          </cell>
          <cell r="S55">
            <v>0.13186666666666658</v>
          </cell>
          <cell r="U55" t="str">
            <v xml:space="preserve">Year </v>
          </cell>
          <cell r="V55" t="str">
            <v>NM</v>
          </cell>
          <cell r="W55" t="str">
            <v>NM</v>
          </cell>
          <cell r="X55" t="str">
            <v>NM</v>
          </cell>
          <cell r="Y55" t="str">
            <v>NM</v>
          </cell>
          <cell r="Z55" t="str">
            <v>NM</v>
          </cell>
          <cell r="AA55" t="str">
            <v>NM</v>
          </cell>
          <cell r="AB55" t="str">
            <v>NM</v>
          </cell>
          <cell r="AC55" t="str">
            <v>NM</v>
          </cell>
          <cell r="AD55" t="str">
            <v>NM</v>
          </cell>
          <cell r="AE55" t="str">
            <v>NM</v>
          </cell>
          <cell r="AF55" t="str">
            <v>NM</v>
          </cell>
          <cell r="AG55">
            <v>6.4965675057208072E-2</v>
          </cell>
          <cell r="AH55" t="str">
            <v>NM</v>
          </cell>
          <cell r="AI55" t="str">
            <v>NM</v>
          </cell>
          <cell r="AJ55">
            <v>6.6452014956377203E-2</v>
          </cell>
        </row>
        <row r="57">
          <cell r="U57" t="str">
            <v>1998E</v>
          </cell>
        </row>
        <row r="58">
          <cell r="B58">
            <v>23</v>
          </cell>
          <cell r="C58">
            <v>41</v>
          </cell>
          <cell r="D58">
            <v>12</v>
          </cell>
          <cell r="E58">
            <v>3</v>
          </cell>
          <cell r="F58">
            <v>15</v>
          </cell>
          <cell r="G58">
            <v>94</v>
          </cell>
          <cell r="I58">
            <v>44</v>
          </cell>
          <cell r="K58">
            <v>70</v>
          </cell>
          <cell r="M58">
            <v>47</v>
          </cell>
          <cell r="N58">
            <v>24</v>
          </cell>
          <cell r="O58">
            <v>49</v>
          </cell>
          <cell r="P58">
            <v>10</v>
          </cell>
          <cell r="Q58">
            <v>130</v>
          </cell>
          <cell r="S58">
            <v>83</v>
          </cell>
          <cell r="U58" t="str">
            <v>1QA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421</v>
          </cell>
          <cell r="AH58">
            <v>100</v>
          </cell>
          <cell r="AI58">
            <v>0</v>
          </cell>
          <cell r="AJ58">
            <v>521</v>
          </cell>
        </row>
        <row r="59">
          <cell r="B59">
            <v>11</v>
          </cell>
          <cell r="C59">
            <v>52</v>
          </cell>
          <cell r="D59">
            <v>20</v>
          </cell>
          <cell r="E59">
            <v>3</v>
          </cell>
          <cell r="F59">
            <v>20</v>
          </cell>
          <cell r="G59">
            <v>106</v>
          </cell>
          <cell r="I59">
            <v>58</v>
          </cell>
          <cell r="K59">
            <v>124</v>
          </cell>
          <cell r="M59">
            <v>68</v>
          </cell>
          <cell r="N59">
            <v>32</v>
          </cell>
          <cell r="O59">
            <v>80</v>
          </cell>
          <cell r="P59">
            <v>12</v>
          </cell>
          <cell r="Q59">
            <v>192</v>
          </cell>
          <cell r="S59">
            <v>112</v>
          </cell>
          <cell r="U59" t="str">
            <v>2QA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592</v>
          </cell>
          <cell r="AH59">
            <v>0</v>
          </cell>
          <cell r="AI59">
            <v>0</v>
          </cell>
          <cell r="AJ59">
            <v>592</v>
          </cell>
        </row>
        <row r="60">
          <cell r="B60">
            <v>15</v>
          </cell>
          <cell r="C60">
            <v>52</v>
          </cell>
          <cell r="D60">
            <v>23</v>
          </cell>
          <cell r="E60">
            <v>2</v>
          </cell>
          <cell r="F60">
            <v>18</v>
          </cell>
          <cell r="G60">
            <v>110</v>
          </cell>
          <cell r="I60">
            <v>60</v>
          </cell>
          <cell r="K60">
            <v>86</v>
          </cell>
          <cell r="M60">
            <v>105</v>
          </cell>
          <cell r="N60">
            <v>36</v>
          </cell>
          <cell r="O60">
            <v>97</v>
          </cell>
          <cell r="P60">
            <v>11.55</v>
          </cell>
          <cell r="Q60">
            <v>249.55</v>
          </cell>
          <cell r="S60">
            <v>144.44999999999999</v>
          </cell>
          <cell r="U60" t="str">
            <v>3QA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650</v>
          </cell>
          <cell r="AH60">
            <v>140</v>
          </cell>
          <cell r="AI60">
            <v>0</v>
          </cell>
          <cell r="AJ60">
            <v>790</v>
          </cell>
        </row>
        <row r="61">
          <cell r="B61">
            <v>15</v>
          </cell>
          <cell r="C61">
            <v>52</v>
          </cell>
          <cell r="D61">
            <v>27</v>
          </cell>
          <cell r="E61">
            <v>2</v>
          </cell>
          <cell r="F61">
            <v>18.900000000000002</v>
          </cell>
          <cell r="G61">
            <v>114.9</v>
          </cell>
          <cell r="I61">
            <v>60</v>
          </cell>
          <cell r="K61">
            <v>135</v>
          </cell>
          <cell r="M61">
            <v>112.2</v>
          </cell>
          <cell r="N61">
            <v>43.2</v>
          </cell>
          <cell r="O61">
            <v>100</v>
          </cell>
          <cell r="P61">
            <v>13.65</v>
          </cell>
          <cell r="Q61">
            <v>269.05</v>
          </cell>
          <cell r="S61">
            <v>85</v>
          </cell>
          <cell r="U61" t="str">
            <v>4Q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663.95</v>
          </cell>
          <cell r="AH61">
            <v>200</v>
          </cell>
          <cell r="AI61">
            <v>0</v>
          </cell>
          <cell r="AJ61">
            <v>863.95</v>
          </cell>
        </row>
        <row r="63">
          <cell r="B63">
            <v>64</v>
          </cell>
          <cell r="C63">
            <v>197</v>
          </cell>
          <cell r="D63">
            <v>82</v>
          </cell>
          <cell r="E63">
            <v>10</v>
          </cell>
          <cell r="F63">
            <v>71.900000000000006</v>
          </cell>
          <cell r="G63">
            <v>424.9</v>
          </cell>
          <cell r="I63">
            <v>222</v>
          </cell>
          <cell r="K63">
            <v>415</v>
          </cell>
          <cell r="M63">
            <v>332.2</v>
          </cell>
          <cell r="N63">
            <v>135.19999999999999</v>
          </cell>
          <cell r="O63">
            <v>326</v>
          </cell>
          <cell r="P63">
            <v>47.199999999999996</v>
          </cell>
          <cell r="Q63">
            <v>840.59999999999991</v>
          </cell>
          <cell r="S63">
            <v>424.45</v>
          </cell>
          <cell r="U63" t="str">
            <v xml:space="preserve">Year 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2326.9499999999998</v>
          </cell>
          <cell r="AH63">
            <v>440</v>
          </cell>
          <cell r="AI63">
            <v>0</v>
          </cell>
          <cell r="AJ63">
            <v>2566.9499999999998</v>
          </cell>
        </row>
        <row r="65">
          <cell r="B65">
            <v>-0.15</v>
          </cell>
          <cell r="C65">
            <v>0</v>
          </cell>
          <cell r="D65">
            <v>0.35</v>
          </cell>
          <cell r="E65">
            <v>0</v>
          </cell>
          <cell r="F65">
            <v>0</v>
          </cell>
          <cell r="G65">
            <v>4.495175335373025E-2</v>
          </cell>
          <cell r="I65">
            <v>0.04</v>
          </cell>
          <cell r="K65">
            <v>0.12</v>
          </cell>
          <cell r="M65">
            <v>0.05</v>
          </cell>
          <cell r="N65">
            <v>-0.2</v>
          </cell>
          <cell r="O65">
            <v>0.25</v>
          </cell>
          <cell r="P65">
            <v>0</v>
          </cell>
          <cell r="Q65">
            <v>8.4546752319771823E-2</v>
          </cell>
          <cell r="S65">
            <v>-0.08</v>
          </cell>
          <cell r="U65" t="str">
            <v>1999/98E</v>
          </cell>
          <cell r="V65" t="str">
            <v>NM</v>
          </cell>
          <cell r="W65" t="str">
            <v>NM</v>
          </cell>
          <cell r="X65" t="str">
            <v>NM</v>
          </cell>
          <cell r="Y65" t="str">
            <v>NM</v>
          </cell>
          <cell r="Z65" t="str">
            <v>NM</v>
          </cell>
          <cell r="AA65" t="str">
            <v>NM</v>
          </cell>
          <cell r="AB65" t="str">
            <v>NM</v>
          </cell>
          <cell r="AC65" t="str">
            <v>NM</v>
          </cell>
          <cell r="AD65" t="str">
            <v>NM</v>
          </cell>
          <cell r="AE65" t="str">
            <v>NM</v>
          </cell>
          <cell r="AF65" t="str">
            <v>NM</v>
          </cell>
          <cell r="AG65" t="str">
            <v>NM</v>
          </cell>
          <cell r="AH65" t="str">
            <v>NM</v>
          </cell>
          <cell r="AI65" t="str">
            <v>NM</v>
          </cell>
          <cell r="AJ65">
            <v>0.27460371257718341</v>
          </cell>
        </row>
        <row r="66">
          <cell r="B66">
            <v>-0.1</v>
          </cell>
          <cell r="C66">
            <v>0</v>
          </cell>
          <cell r="D66">
            <v>0.25</v>
          </cell>
          <cell r="E66">
            <v>0</v>
          </cell>
          <cell r="F66">
            <v>0</v>
          </cell>
          <cell r="G66">
            <v>5.007882882882897E-2</v>
          </cell>
          <cell r="I66">
            <v>0.04</v>
          </cell>
          <cell r="K66">
            <v>0.1</v>
          </cell>
          <cell r="M66">
            <v>-0.1</v>
          </cell>
          <cell r="N66">
            <v>-0.15</v>
          </cell>
          <cell r="O66">
            <v>0.2</v>
          </cell>
          <cell r="P66">
            <v>0</v>
          </cell>
          <cell r="Q66">
            <v>3.333991466210362E-2</v>
          </cell>
          <cell r="S66">
            <v>0</v>
          </cell>
          <cell r="U66" t="str">
            <v>2000/99E</v>
          </cell>
          <cell r="V66" t="str">
            <v>NM</v>
          </cell>
          <cell r="W66" t="str">
            <v>NM</v>
          </cell>
          <cell r="X66" t="str">
            <v>NM</v>
          </cell>
          <cell r="Y66" t="str">
            <v>NM</v>
          </cell>
          <cell r="Z66" t="str">
            <v>NM</v>
          </cell>
          <cell r="AA66" t="str">
            <v>NM</v>
          </cell>
          <cell r="AB66" t="str">
            <v>NM</v>
          </cell>
          <cell r="AC66" t="str">
            <v>NM</v>
          </cell>
          <cell r="AD66" t="str">
            <v>NM</v>
          </cell>
          <cell r="AE66" t="str">
            <v>NM</v>
          </cell>
          <cell r="AF66" t="str">
            <v>NM</v>
          </cell>
          <cell r="AG66">
            <v>0.20289856382820703</v>
          </cell>
          <cell r="AH66" t="str">
            <v>NM</v>
          </cell>
          <cell r="AI66" t="str">
            <v>NM</v>
          </cell>
          <cell r="AJ66">
            <v>0.16912334451153521</v>
          </cell>
        </row>
        <row r="67">
          <cell r="B67">
            <v>-0.05</v>
          </cell>
          <cell r="C67">
            <v>0</v>
          </cell>
          <cell r="D67">
            <v>0.15</v>
          </cell>
          <cell r="E67">
            <v>0</v>
          </cell>
          <cell r="F67">
            <v>0</v>
          </cell>
          <cell r="G67">
            <v>3.926828745160682E-2</v>
          </cell>
          <cell r="I67">
            <v>0.04</v>
          </cell>
          <cell r="K67">
            <v>0.09</v>
          </cell>
          <cell r="M67">
            <v>-0.1</v>
          </cell>
          <cell r="N67">
            <v>-0.1</v>
          </cell>
          <cell r="O67">
            <v>0.15</v>
          </cell>
          <cell r="P67">
            <v>0</v>
          </cell>
          <cell r="Q67">
            <v>3.4778385780174226E-2</v>
          </cell>
          <cell r="S67">
            <v>0</v>
          </cell>
          <cell r="U67" t="str">
            <v>2001/00E</v>
          </cell>
          <cell r="V67" t="str">
            <v>NM</v>
          </cell>
          <cell r="W67" t="str">
            <v>NM</v>
          </cell>
          <cell r="X67" t="str">
            <v>NM</v>
          </cell>
          <cell r="Y67" t="str">
            <v>NM</v>
          </cell>
          <cell r="Z67" t="str">
            <v>NM</v>
          </cell>
          <cell r="AA67" t="str">
            <v>NM</v>
          </cell>
          <cell r="AB67" t="str">
            <v>NM</v>
          </cell>
          <cell r="AC67" t="str">
            <v>NM</v>
          </cell>
          <cell r="AD67" t="str">
            <v>NM</v>
          </cell>
          <cell r="AE67" t="str">
            <v>NM</v>
          </cell>
          <cell r="AF67">
            <v>0.42553191489361697</v>
          </cell>
          <cell r="AG67">
            <v>0.16286194483759364</v>
          </cell>
          <cell r="AH67" t="str">
            <v>NM</v>
          </cell>
          <cell r="AI67" t="str">
            <v>NM</v>
          </cell>
          <cell r="AJ67">
            <v>0.13246182907763093</v>
          </cell>
        </row>
        <row r="68">
          <cell r="B68">
            <v>-0.05</v>
          </cell>
          <cell r="C68">
            <v>0</v>
          </cell>
          <cell r="D68">
            <v>0.12</v>
          </cell>
          <cell r="E68">
            <v>0</v>
          </cell>
          <cell r="F68">
            <v>0</v>
          </cell>
          <cell r="G68">
            <v>3.4610223132816476E-2</v>
          </cell>
          <cell r="I68">
            <v>0.04</v>
          </cell>
          <cell r="K68">
            <v>0.08</v>
          </cell>
          <cell r="M68">
            <v>-0.05</v>
          </cell>
          <cell r="N68">
            <v>-0.05</v>
          </cell>
          <cell r="O68">
            <v>0.1</v>
          </cell>
          <cell r="P68">
            <v>0</v>
          </cell>
          <cell r="Q68">
            <v>3.8951543784368159E-2</v>
          </cell>
          <cell r="S68">
            <v>0</v>
          </cell>
          <cell r="U68" t="str">
            <v>2002/01E</v>
          </cell>
          <cell r="V68" t="str">
            <v>NM</v>
          </cell>
          <cell r="W68" t="str">
            <v>NM</v>
          </cell>
          <cell r="X68" t="str">
            <v>NM</v>
          </cell>
          <cell r="Y68" t="str">
            <v>NM</v>
          </cell>
          <cell r="Z68" t="str">
            <v>NM</v>
          </cell>
          <cell r="AA68" t="str">
            <v>NM</v>
          </cell>
          <cell r="AB68" t="str">
            <v>NM</v>
          </cell>
          <cell r="AC68" t="str">
            <v>NM</v>
          </cell>
          <cell r="AD68" t="str">
            <v>NM</v>
          </cell>
          <cell r="AE68" t="str">
            <v>NM</v>
          </cell>
          <cell r="AF68">
            <v>0.31343283582089554</v>
          </cell>
          <cell r="AG68">
            <v>5.3801363042966788E-2</v>
          </cell>
          <cell r="AH68" t="str">
            <v>NM</v>
          </cell>
          <cell r="AI68" t="str">
            <v>NM</v>
          </cell>
          <cell r="AJ68">
            <v>5.3801363042966788E-2</v>
          </cell>
        </row>
        <row r="69">
          <cell r="B69">
            <v>0</v>
          </cell>
          <cell r="C69">
            <v>0</v>
          </cell>
          <cell r="D69">
            <v>0.08</v>
          </cell>
          <cell r="E69">
            <v>0</v>
          </cell>
          <cell r="F69">
            <v>0</v>
          </cell>
          <cell r="G69">
            <v>2.844160957995534E-2</v>
          </cell>
          <cell r="I69">
            <v>0.04</v>
          </cell>
          <cell r="K69" t="str">
            <v>NM</v>
          </cell>
          <cell r="M69">
            <v>-0.05</v>
          </cell>
          <cell r="N69">
            <v>-0.05</v>
          </cell>
          <cell r="O69">
            <v>0.08</v>
          </cell>
          <cell r="P69">
            <v>0</v>
          </cell>
          <cell r="Q69">
            <v>3.172994148422692E-2</v>
          </cell>
          <cell r="S69">
            <v>0</v>
          </cell>
          <cell r="U69" t="str">
            <v>2003/02E</v>
          </cell>
          <cell r="V69" t="str">
            <v>NM</v>
          </cell>
          <cell r="W69" t="str">
            <v>NM</v>
          </cell>
          <cell r="X69" t="str">
            <v>NM</v>
          </cell>
          <cell r="Y69" t="str">
            <v>NM</v>
          </cell>
          <cell r="Z69" t="str">
            <v>NM</v>
          </cell>
          <cell r="AA69" t="str">
            <v>NM</v>
          </cell>
          <cell r="AB69" t="str">
            <v>NM</v>
          </cell>
          <cell r="AC69" t="str">
            <v>NM</v>
          </cell>
          <cell r="AD69" t="str">
            <v>NM</v>
          </cell>
          <cell r="AE69" t="str">
            <v>NM</v>
          </cell>
          <cell r="AF69">
            <v>0.30681818181818188</v>
          </cell>
          <cell r="AG69">
            <v>0.11635554647309099</v>
          </cell>
          <cell r="AH69" t="str">
            <v>NM</v>
          </cell>
          <cell r="AI69" t="str">
            <v>NM</v>
          </cell>
          <cell r="AJ69">
            <v>0.11635554647309099</v>
          </cell>
        </row>
        <row r="70">
          <cell r="B70">
            <v>0</v>
          </cell>
          <cell r="C70">
            <v>0</v>
          </cell>
          <cell r="D70">
            <v>0.05</v>
          </cell>
          <cell r="E70">
            <v>0</v>
          </cell>
          <cell r="F70">
            <v>0</v>
          </cell>
          <cell r="G70">
            <v>1.8667162323693809E-2</v>
          </cell>
          <cell r="I70">
            <v>0.04</v>
          </cell>
          <cell r="K70" t="str">
            <v>NM</v>
          </cell>
          <cell r="M70">
            <v>-0.05</v>
          </cell>
          <cell r="N70">
            <v>-0.05</v>
          </cell>
          <cell r="O70">
            <v>0.05</v>
          </cell>
          <cell r="P70">
            <v>0</v>
          </cell>
          <cell r="Q70">
            <v>1.6192765313560509E-2</v>
          </cell>
          <cell r="S70">
            <v>0</v>
          </cell>
          <cell r="U70" t="str">
            <v>2004/03E</v>
          </cell>
          <cell r="V70" t="str">
            <v>NM</v>
          </cell>
          <cell r="W70" t="str">
            <v>NM</v>
          </cell>
          <cell r="X70" t="str">
            <v>NM</v>
          </cell>
          <cell r="Y70" t="str">
            <v>NM</v>
          </cell>
          <cell r="Z70" t="str">
            <v>NM</v>
          </cell>
          <cell r="AA70" t="str">
            <v>NM</v>
          </cell>
          <cell r="AB70" t="str">
            <v>NM</v>
          </cell>
          <cell r="AC70" t="str">
            <v>NM</v>
          </cell>
          <cell r="AD70" t="str">
            <v>NM</v>
          </cell>
          <cell r="AE70" t="str">
            <v>NM</v>
          </cell>
          <cell r="AF70">
            <v>0.28695652173913033</v>
          </cell>
          <cell r="AG70">
            <v>0.16921741065018381</v>
          </cell>
          <cell r="AH70" t="str">
            <v>NM</v>
          </cell>
          <cell r="AI70" t="str">
            <v>NM</v>
          </cell>
          <cell r="AJ70">
            <v>0.16921741065018381</v>
          </cell>
        </row>
        <row r="71">
          <cell r="B71">
            <v>0</v>
          </cell>
          <cell r="C71">
            <v>0</v>
          </cell>
          <cell r="D71">
            <v>0.05</v>
          </cell>
          <cell r="E71">
            <v>0</v>
          </cell>
          <cell r="F71">
            <v>0</v>
          </cell>
          <cell r="G71">
            <v>1.9241339237015875E-2</v>
          </cell>
          <cell r="I71">
            <v>0.04</v>
          </cell>
          <cell r="K71" t="str">
            <v>NM</v>
          </cell>
          <cell r="M71">
            <v>-0.05</v>
          </cell>
          <cell r="N71">
            <v>-0.05</v>
          </cell>
          <cell r="O71">
            <v>0.05</v>
          </cell>
          <cell r="P71">
            <v>0</v>
          </cell>
          <cell r="Q71">
            <v>1.8283774824252808E-2</v>
          </cell>
          <cell r="S71">
            <v>0</v>
          </cell>
          <cell r="U71" t="str">
            <v>2005/04E</v>
          </cell>
          <cell r="V71" t="str">
            <v>NM</v>
          </cell>
          <cell r="W71" t="str">
            <v>NM</v>
          </cell>
          <cell r="X71" t="str">
            <v>NM</v>
          </cell>
          <cell r="Y71" t="str">
            <v>NM</v>
          </cell>
          <cell r="Z71" t="str">
            <v>NM</v>
          </cell>
          <cell r="AA71" t="str">
            <v>NM</v>
          </cell>
          <cell r="AB71" t="str">
            <v>NM</v>
          </cell>
          <cell r="AC71" t="str">
            <v>NM</v>
          </cell>
          <cell r="AD71" t="str">
            <v>NM</v>
          </cell>
          <cell r="AE71" t="str">
            <v>NM</v>
          </cell>
          <cell r="AF71">
            <v>0.2391891891891893</v>
          </cell>
          <cell r="AG71">
            <v>0.15536872102363386</v>
          </cell>
          <cell r="AH71" t="str">
            <v>NM</v>
          </cell>
          <cell r="AI71" t="str">
            <v>NM</v>
          </cell>
          <cell r="AJ71">
            <v>0.15536872102363386</v>
          </cell>
        </row>
        <row r="73">
          <cell r="B73">
            <v>54.4</v>
          </cell>
          <cell r="C73">
            <v>197</v>
          </cell>
          <cell r="D73">
            <v>110.7</v>
          </cell>
          <cell r="E73">
            <v>10</v>
          </cell>
          <cell r="F73">
            <v>71.900000000000006</v>
          </cell>
          <cell r="G73">
            <v>444</v>
          </cell>
          <cell r="I73">
            <v>230.88</v>
          </cell>
          <cell r="K73">
            <v>464.80000000000007</v>
          </cell>
          <cell r="M73">
            <v>348.81</v>
          </cell>
          <cell r="N73">
            <v>108.16</v>
          </cell>
          <cell r="O73">
            <v>407.5</v>
          </cell>
          <cell r="P73">
            <v>47.199999999999996</v>
          </cell>
          <cell r="Q73">
            <v>911.67000000000007</v>
          </cell>
          <cell r="S73">
            <v>390.49400000000003</v>
          </cell>
          <cell r="U73" t="str">
            <v>1999E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650</v>
          </cell>
          <cell r="AA73">
            <v>5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655</v>
          </cell>
          <cell r="AG73">
            <v>3096.8440000000005</v>
          </cell>
          <cell r="AH73">
            <v>175</v>
          </cell>
          <cell r="AI73">
            <v>0</v>
          </cell>
          <cell r="AJ73">
            <v>3271.8440000000005</v>
          </cell>
        </row>
        <row r="74">
          <cell r="B74">
            <v>48.96</v>
          </cell>
          <cell r="C74">
            <v>197</v>
          </cell>
          <cell r="D74">
            <v>138.375</v>
          </cell>
          <cell r="E74">
            <v>10</v>
          </cell>
          <cell r="F74">
            <v>71.900000000000006</v>
          </cell>
          <cell r="G74">
            <v>466.23500000000001</v>
          </cell>
          <cell r="I74">
            <v>240.11520000000002</v>
          </cell>
          <cell r="K74">
            <v>511.28000000000014</v>
          </cell>
          <cell r="M74">
            <v>313.92900000000003</v>
          </cell>
          <cell r="N74">
            <v>91.935999999999993</v>
          </cell>
          <cell r="O74">
            <v>489</v>
          </cell>
          <cell r="P74">
            <v>47.199999999999996</v>
          </cell>
          <cell r="Q74">
            <v>942.06500000000005</v>
          </cell>
          <cell r="S74">
            <v>390.49400000000003</v>
          </cell>
          <cell r="U74" t="str">
            <v>2000E</v>
          </cell>
          <cell r="V74">
            <v>20</v>
          </cell>
          <cell r="W74">
            <v>5</v>
          </cell>
          <cell r="X74">
            <v>0</v>
          </cell>
          <cell r="Y74">
            <v>0</v>
          </cell>
          <cell r="Z74">
            <v>1100</v>
          </cell>
          <cell r="AA74">
            <v>25</v>
          </cell>
          <cell r="AB74">
            <v>25</v>
          </cell>
          <cell r="AC74">
            <v>0</v>
          </cell>
          <cell r="AD74">
            <v>0</v>
          </cell>
          <cell r="AE74">
            <v>0</v>
          </cell>
          <cell r="AF74">
            <v>1175</v>
          </cell>
          <cell r="AG74">
            <v>3725.1892000000003</v>
          </cell>
          <cell r="AH74">
            <v>100</v>
          </cell>
          <cell r="AI74">
            <v>0</v>
          </cell>
          <cell r="AJ74">
            <v>3825.1892000000003</v>
          </cell>
        </row>
        <row r="75">
          <cell r="B75">
            <v>46.512</v>
          </cell>
          <cell r="C75">
            <v>197</v>
          </cell>
          <cell r="D75">
            <v>159.13124999999999</v>
          </cell>
          <cell r="E75">
            <v>10</v>
          </cell>
          <cell r="F75">
            <v>71.900000000000006</v>
          </cell>
          <cell r="G75">
            <v>484.54324999999994</v>
          </cell>
          <cell r="I75">
            <v>249.71980800000003</v>
          </cell>
          <cell r="K75">
            <v>557.29520000000025</v>
          </cell>
          <cell r="M75">
            <v>282.53610000000003</v>
          </cell>
          <cell r="N75">
            <v>82.742399999999989</v>
          </cell>
          <cell r="O75">
            <v>562.34999999999991</v>
          </cell>
          <cell r="P75">
            <v>47.199999999999996</v>
          </cell>
          <cell r="Q75">
            <v>974.82849999999996</v>
          </cell>
          <cell r="S75">
            <v>390.49400000000003</v>
          </cell>
          <cell r="U75" t="str">
            <v>2001E</v>
          </cell>
          <cell r="V75">
            <v>35</v>
          </cell>
          <cell r="W75">
            <v>65</v>
          </cell>
          <cell r="X75">
            <v>0</v>
          </cell>
          <cell r="Y75">
            <v>0</v>
          </cell>
          <cell r="Z75">
            <v>1450</v>
          </cell>
          <cell r="AA75">
            <v>50</v>
          </cell>
          <cell r="AB75">
            <v>50</v>
          </cell>
          <cell r="AC75">
            <v>0</v>
          </cell>
          <cell r="AD75">
            <v>0</v>
          </cell>
          <cell r="AE75">
            <v>25</v>
          </cell>
          <cell r="AF75">
            <v>1675</v>
          </cell>
          <cell r="AG75">
            <v>4331.8807580000002</v>
          </cell>
          <cell r="AH75">
            <v>0</v>
          </cell>
          <cell r="AI75">
            <v>0</v>
          </cell>
          <cell r="AJ75">
            <v>4331.8807580000002</v>
          </cell>
        </row>
        <row r="76">
          <cell r="B76">
            <v>44.186399999999999</v>
          </cell>
          <cell r="C76">
            <v>197</v>
          </cell>
          <cell r="D76">
            <v>178.227</v>
          </cell>
          <cell r="E76">
            <v>10</v>
          </cell>
          <cell r="F76">
            <v>71.900000000000006</v>
          </cell>
          <cell r="G76">
            <v>501.3134</v>
          </cell>
          <cell r="I76">
            <v>259.70860032000002</v>
          </cell>
          <cell r="K76">
            <v>200.62627200000009</v>
          </cell>
          <cell r="M76">
            <v>268.40929500000004</v>
          </cell>
          <cell r="N76">
            <v>78.605279999999979</v>
          </cell>
          <cell r="O76">
            <v>618.58499999999992</v>
          </cell>
          <cell r="P76">
            <v>47.199999999999996</v>
          </cell>
          <cell r="Q76">
            <v>1012.799575</v>
          </cell>
          <cell r="S76">
            <v>390.49400000000003</v>
          </cell>
          <cell r="U76" t="str">
            <v>2002E</v>
          </cell>
          <cell r="V76">
            <v>50</v>
          </cell>
          <cell r="W76">
            <v>100</v>
          </cell>
          <cell r="X76">
            <v>0</v>
          </cell>
          <cell r="Y76">
            <v>0</v>
          </cell>
          <cell r="Z76">
            <v>1800</v>
          </cell>
          <cell r="AA76">
            <v>75</v>
          </cell>
          <cell r="AB76">
            <v>75</v>
          </cell>
          <cell r="AC76">
            <v>50</v>
          </cell>
          <cell r="AD76">
            <v>0</v>
          </cell>
          <cell r="AE76">
            <v>50</v>
          </cell>
          <cell r="AF76">
            <v>2200</v>
          </cell>
          <cell r="AG76">
            <v>4564.9418473200003</v>
          </cell>
          <cell r="AH76">
            <v>0</v>
          </cell>
          <cell r="AI76">
            <v>0</v>
          </cell>
          <cell r="AJ76">
            <v>4564.9418473200003</v>
          </cell>
        </row>
        <row r="77">
          <cell r="B77">
            <v>44.186399999999999</v>
          </cell>
          <cell r="C77">
            <v>197</v>
          </cell>
          <cell r="D77">
            <v>192.48516000000001</v>
          </cell>
          <cell r="E77">
            <v>10</v>
          </cell>
          <cell r="F77">
            <v>71.900000000000006</v>
          </cell>
          <cell r="G77">
            <v>515.57155999999998</v>
          </cell>
          <cell r="I77">
            <v>270.09694433280004</v>
          </cell>
          <cell r="K77">
            <v>0</v>
          </cell>
          <cell r="M77">
            <v>254.98883025000003</v>
          </cell>
          <cell r="N77">
            <v>74.675015999999971</v>
          </cell>
          <cell r="O77">
            <v>668.07179999999994</v>
          </cell>
          <cell r="P77">
            <v>47.199999999999996</v>
          </cell>
          <cell r="Q77">
            <v>1044.93564625</v>
          </cell>
          <cell r="S77">
            <v>390.49400000000003</v>
          </cell>
          <cell r="U77" t="str">
            <v>2003E</v>
          </cell>
          <cell r="V77">
            <v>65</v>
          </cell>
          <cell r="W77">
            <v>135</v>
          </cell>
          <cell r="X77">
            <v>0</v>
          </cell>
          <cell r="Y77">
            <v>0</v>
          </cell>
          <cell r="Z77">
            <v>2200</v>
          </cell>
          <cell r="AA77">
            <v>100</v>
          </cell>
          <cell r="AB77">
            <v>100</v>
          </cell>
          <cell r="AC77">
            <v>200</v>
          </cell>
          <cell r="AD77">
            <v>0</v>
          </cell>
          <cell r="AE77">
            <v>75</v>
          </cell>
          <cell r="AF77">
            <v>2875</v>
          </cell>
          <cell r="AG77">
            <v>5096.0981505828004</v>
          </cell>
          <cell r="AH77">
            <v>0</v>
          </cell>
          <cell r="AI77">
            <v>0</v>
          </cell>
          <cell r="AJ77">
            <v>5096.0981505828004</v>
          </cell>
        </row>
        <row r="78">
          <cell r="B78">
            <v>44.186399999999999</v>
          </cell>
          <cell r="C78">
            <v>197</v>
          </cell>
          <cell r="D78">
            <v>202.10941800000001</v>
          </cell>
          <cell r="E78">
            <v>10</v>
          </cell>
          <cell r="F78">
            <v>71.900000000000006</v>
          </cell>
          <cell r="G78">
            <v>525.19581800000003</v>
          </cell>
          <cell r="I78">
            <v>280.90082210611206</v>
          </cell>
          <cell r="K78">
            <v>0</v>
          </cell>
          <cell r="M78">
            <v>242.23938873750004</v>
          </cell>
          <cell r="N78">
            <v>70.941265199999975</v>
          </cell>
          <cell r="O78">
            <v>701.47538999999995</v>
          </cell>
          <cell r="P78">
            <v>47.199999999999996</v>
          </cell>
          <cell r="Q78">
            <v>1061.8560439374999</v>
          </cell>
          <cell r="S78">
            <v>390.49400000000003</v>
          </cell>
          <cell r="U78" t="str">
            <v>2004E</v>
          </cell>
          <cell r="V78">
            <v>75</v>
          </cell>
          <cell r="W78">
            <v>175</v>
          </cell>
          <cell r="X78">
            <v>0</v>
          </cell>
          <cell r="Y78">
            <v>0</v>
          </cell>
          <cell r="Z78">
            <v>2600</v>
          </cell>
          <cell r="AA78">
            <v>125</v>
          </cell>
          <cell r="AB78">
            <v>125</v>
          </cell>
          <cell r="AC78">
            <v>500</v>
          </cell>
          <cell r="AD78">
            <v>0</v>
          </cell>
          <cell r="AE78">
            <v>100</v>
          </cell>
          <cell r="AF78">
            <v>3700</v>
          </cell>
          <cell r="AG78">
            <v>5958.4466840436125</v>
          </cell>
          <cell r="AH78">
            <v>0</v>
          </cell>
          <cell r="AI78">
            <v>0</v>
          </cell>
          <cell r="AJ78">
            <v>5958.4466840436125</v>
          </cell>
        </row>
        <row r="79">
          <cell r="B79">
            <v>44.186399999999999</v>
          </cell>
          <cell r="C79">
            <v>197</v>
          </cell>
          <cell r="D79">
            <v>212.21488890000001</v>
          </cell>
          <cell r="E79">
            <v>10</v>
          </cell>
          <cell r="F79">
            <v>71.900000000000006</v>
          </cell>
          <cell r="G79">
            <v>535.30128890000003</v>
          </cell>
          <cell r="I79">
            <v>292.13685499035654</v>
          </cell>
          <cell r="K79">
            <v>0</v>
          </cell>
          <cell r="M79">
            <v>230.12741930062504</v>
          </cell>
          <cell r="N79">
            <v>67.394201939999974</v>
          </cell>
          <cell r="O79">
            <v>736.54915949999997</v>
          </cell>
          <cell r="P79">
            <v>47.199999999999996</v>
          </cell>
          <cell r="Q79">
            <v>1081.270780740625</v>
          </cell>
          <cell r="S79">
            <v>390.49400000000003</v>
          </cell>
          <cell r="U79" t="str">
            <v>2005E</v>
          </cell>
          <cell r="V79">
            <v>85</v>
          </cell>
          <cell r="W79">
            <v>200</v>
          </cell>
          <cell r="X79">
            <v>0</v>
          </cell>
          <cell r="Y79">
            <v>0</v>
          </cell>
          <cell r="Z79">
            <v>3000</v>
          </cell>
          <cell r="AA79">
            <v>200</v>
          </cell>
          <cell r="AB79">
            <v>200</v>
          </cell>
          <cell r="AC79">
            <v>700</v>
          </cell>
          <cell r="AD79">
            <v>0</v>
          </cell>
          <cell r="AE79">
            <v>200</v>
          </cell>
          <cell r="AF79">
            <v>4585</v>
          </cell>
          <cell r="AG79">
            <v>6884.2029246309812</v>
          </cell>
          <cell r="AH79">
            <v>0</v>
          </cell>
          <cell r="AI79">
            <v>0</v>
          </cell>
          <cell r="AJ79">
            <v>6884.2029246309812</v>
          </cell>
        </row>
        <row r="81">
          <cell r="U81" t="str">
            <v>Notes:</v>
          </cell>
        </row>
        <row r="82">
          <cell r="U82" t="str">
            <v>(a)  Searle acquired Roche/Syntex's Womens' Health business in 1995.  Pro-forma sales for 1995 were $211 million.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2Wizard"/>
      <sheetName val="Box"/>
      <sheetName val="Income"/>
      <sheetName val="Revenues"/>
      <sheetName val="MS Model"/>
      <sheetName val="Cash Flow "/>
      <sheetName val="Balance Sheet"/>
      <sheetName val="MS Week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vmlDrawing4.vml" Type="http://schemas.openxmlformats.org/officeDocument/2006/relationships/vmlDrawing"/>
<Relationship Id="rId3" Target="../comments4.xml" Type="http://schemas.openxmlformats.org/officeDocument/2006/relationships/comment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_rels/sheet10.xml.rels><?xml version="1.0" encoding="UTF-8" standalone="yes"?>
<Relationships xmlns="http://schemas.openxmlformats.org/package/2006/relationships">
<Relationship Id="rId1" Target="http://seer.cancer.gov/" TargetMode="External" Type="http://schemas.openxmlformats.org/officeDocument/2006/relationships/hyperlink"/>
<Relationship Id="rId2" Target="http://myeloma.org/pdfs/EmergingtherapiesEJHDimopoulos.pdf" TargetMode="External" Type="http://schemas.openxmlformats.org/officeDocument/2006/relationships/hyperlink"/>
<Relationship Id="rId3" Target="../printerSettings/printerSettings10.bin" Type="http://schemas.openxmlformats.org/officeDocument/2006/relationships/printerSettings"/>
<Relationship Id="rId4" Target="../drawings/vmlDrawing5.vml" Type="http://schemas.openxmlformats.org/officeDocument/2006/relationships/vmlDrawing"/>
<Relationship Id="rId5" Target="../comments5.xml" Type="http://schemas.openxmlformats.org/officeDocument/2006/relationships/comments"/>
</Relationships>

</file>

<file path=xl/worksheets/_rels/sheet11.xml.rels><?xml version="1.0" encoding="UTF-8" standalone="yes"?>
<Relationships xmlns="http://schemas.openxmlformats.org/package/2006/relationships">
<Relationship Id="rId1" Target="http://eco.iarc.fr/eucan/Cancer.aspx?Cancer=39" TargetMode="External" Type="http://schemas.openxmlformats.org/officeDocument/2006/relationships/hyperlink"/>
<Relationship Id="rId2" Target="http://myeloma.org/pdfs/EmergingtherapiesEJHDimopoulos.pdf" TargetMode="External" Type="http://schemas.openxmlformats.org/officeDocument/2006/relationships/hyperlink"/>
<Relationship Id="rId3" Target="../printerSettings/printerSettings11.bin" Type="http://schemas.openxmlformats.org/officeDocument/2006/relationships/printerSettings"/>
<Relationship Id="rId4" Target="../drawings/vmlDrawing6.vml" Type="http://schemas.openxmlformats.org/officeDocument/2006/relationships/vmlDrawing"/>
<Relationship Id="rId5" Target="../comments6.xml" Type="http://schemas.openxmlformats.org/officeDocument/2006/relationships/comments"/>
</Relationships>

</file>

<file path=xl/worksheets/_rels/sheet12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Relationship Id="rId2" Target="../drawings/vmlDrawing7.vml" Type="http://schemas.openxmlformats.org/officeDocument/2006/relationships/vmlDrawing"/>
<Relationship Id="rId3" Target="../comments7.xml" Type="http://schemas.openxmlformats.org/officeDocument/2006/relationships/comments"/>
</Relationships>

</file>

<file path=xl/worksheets/_rels/sheet13.xml.rels><?xml version="1.0" encoding="UTF-8" standalone="yes"?>
<Relationships xmlns="http://schemas.openxmlformats.org/package/2006/relationships">
<Relationship Id="rId1" Target="../printerSettings/printerSettings13.bin" Type="http://schemas.openxmlformats.org/officeDocument/2006/relationships/printerSettings"/>
</Relationships>

</file>

<file path=xl/worksheets/_rels/sheet14.xml.rels><?xml version="1.0" encoding="UTF-8" standalone="yes"?>
<Relationships xmlns="http://schemas.openxmlformats.org/package/2006/relationships">
<Relationship Id="rId1" Target="http://www.cdc.gov/cancer/lung/statistics/" TargetMode="External" Type="http://schemas.openxmlformats.org/officeDocument/2006/relationships/hyperlink"/>
<Relationship Id="rId2" Target="http://www.lung.org/lung-disease/lung-cancer/resources/facts-figures/lung-cancer-fact-sheet.html" TargetMode="External" Type="http://schemas.openxmlformats.org/officeDocument/2006/relationships/hyperlink"/>
<Relationship Id="rId3" Target="http://www.lung.org/lung-disease/lung-cancer/resources/facts-figures/lung-cancer-fact-sheet.html" TargetMode="External" Type="http://schemas.openxmlformats.org/officeDocument/2006/relationships/hyperlink"/>
<Relationship Id="rId4" Target="http://www.cancer.org/acs/groups/cid/documents/webcontent/003115-pdf.pdf" TargetMode="External" Type="http://schemas.openxmlformats.org/officeDocument/2006/relationships/hyperlink"/>
<Relationship Id="rId5" Target="../printerSettings/printerSettings14.bin" Type="http://schemas.openxmlformats.org/officeDocument/2006/relationships/printerSettings"/>
<Relationship Id="rId6" Target="../drawings/vmlDrawing8.vml" Type="http://schemas.openxmlformats.org/officeDocument/2006/relationships/vmlDrawing"/>
<Relationship Id="rId7" Target="../comments8.xml" Type="http://schemas.openxmlformats.org/officeDocument/2006/relationships/comments"/>
</Relationships>

</file>

<file path=xl/worksheets/_rels/sheet15.xml.rels><?xml version="1.0" encoding="UTF-8" standalone="yes"?>
<Relationships xmlns="http://schemas.openxmlformats.org/package/2006/relationships">
<Relationship Id="rId1" Target="../printerSettings/printerSettings15.bin" Type="http://schemas.openxmlformats.org/officeDocument/2006/relationships/printerSettings"/>
<Relationship Id="rId2" Target="../drawings/vmlDrawing9.vml" Type="http://schemas.openxmlformats.org/officeDocument/2006/relationships/vmlDrawing"/>
<Relationship Id="rId3" Target="../comments9.xml" Type="http://schemas.openxmlformats.org/officeDocument/2006/relationships/comments"/>
</Relationships>

</file>

<file path=xl/worksheets/_rels/sheet16.xml.rels><?xml version="1.0" encoding="UTF-8" standalone="yes"?>
<Relationships xmlns="http://schemas.openxmlformats.org/package/2006/relationships">
<Relationship Id="rId1" Target="../printerSettings/printerSettings16.bin" Type="http://schemas.openxmlformats.org/officeDocument/2006/relationships/printerSettings"/>
</Relationships>

</file>

<file path=xl/worksheets/_rels/sheet17.xml.rels><?xml version="1.0" encoding="UTF-8" standalone="yes"?>
<Relationships xmlns="http://schemas.openxmlformats.org/package/2006/relationships">
<Relationship Id="rId1" Target="../printerSettings/printerSettings17.bin" Type="http://schemas.openxmlformats.org/officeDocument/2006/relationships/printerSettings"/>
<Relationship Id="rId2" Target="../drawings/vmlDrawing10.vml" Type="http://schemas.openxmlformats.org/officeDocument/2006/relationships/vmlDrawing"/>
<Relationship Id="rId3" Target="../comments10.xml" Type="http://schemas.openxmlformats.org/officeDocument/2006/relationships/comments"/>
</Relationships>

</file>

<file path=xl/worksheets/_rels/sheet18.xml.rels><?xml version="1.0" encoding="UTF-8" standalone="yes"?>
<Relationships xmlns="http://schemas.openxmlformats.org/package/2006/relationships">
<Relationship Id="rId1" Target="../printerSettings/printerSettings18.bin" Type="http://schemas.openxmlformats.org/officeDocument/2006/relationships/printerSettings"/>
</Relationships>

</file>

<file path=xl/worksheets/_rels/sheet19.xml.rels><?xml version="1.0" encoding="UTF-8" standalone="yes"?>
<Relationships xmlns="http://schemas.openxmlformats.org/package/2006/relationships">
<Relationship Id="rId1" Target="../printerSettings/printerSettings19.bin" Type="http://schemas.openxmlformats.org/officeDocument/2006/relationships/printerSettings"/>
<Relationship Id="rId2" Target="../drawings/vmlDrawing11.vml" Type="http://schemas.openxmlformats.org/officeDocument/2006/relationships/vmlDrawing"/>
<Relationship Id="rId3" Target="../comments11.xml" Type="http://schemas.openxmlformats.org/officeDocument/2006/relationships/comments"/>
</Relationships>

</file>

<file path=xl/worksheets/_rels/sheet20.xml.rels><?xml version="1.0" encoding="UTF-8" standalone="yes"?>
<Relationships xmlns="http://schemas.openxmlformats.org/package/2006/relationships">
<Relationship Id="rId1" Target="../printerSettings/printerSettings20.bin" Type="http://schemas.openxmlformats.org/officeDocument/2006/relationships/printerSettings"/>
<Relationship Id="rId2" Target="../drawings/vmlDrawing12.vml" Type="http://schemas.openxmlformats.org/officeDocument/2006/relationships/vmlDrawing"/>
<Relationship Id="rId3" Target="../comments12.xml" Type="http://schemas.openxmlformats.org/officeDocument/2006/relationships/comments"/>
</Relationships>

</file>

<file path=xl/worksheets/_rels/sheet21.xml.rels><?xml version="1.0" encoding="UTF-8" standalone="yes"?>
<Relationships xmlns="http://schemas.openxmlformats.org/package/2006/relationships">
<Relationship Id="rId1" Target="../printerSettings/printerSettings21.bin" Type="http://schemas.openxmlformats.org/officeDocument/2006/relationships/printerSettings"/>
<Relationship Id="rId2" Target="../drawings/vmlDrawing13.vml" Type="http://schemas.openxmlformats.org/officeDocument/2006/relationships/vmlDrawing"/>
<Relationship Id="rId3" Target="../comments13.xml" Type="http://schemas.openxmlformats.org/officeDocument/2006/relationships/comments"/>
</Relationships>

</file>

<file path=xl/worksheets/_rels/sheet22.xml.rels><?xml version="1.0" encoding="UTF-8" standalone="yes"?>
<Relationships xmlns="http://schemas.openxmlformats.org/package/2006/relationships">
<Relationship Id="rId1" Target="../printerSettings/printerSettings22.bin" Type="http://schemas.openxmlformats.org/officeDocument/2006/relationships/printerSettings"/>
</Relationships>

</file>

<file path=xl/worksheets/_rels/sheet23.xml.rels><?xml version="1.0" encoding="UTF-8" standalone="yes"?>
<Relationships xmlns="http://schemas.openxmlformats.org/package/2006/relationships">
<Relationship Id="rId1" Target="../printerSettings/printerSettings23.bin" Type="http://schemas.openxmlformats.org/officeDocument/2006/relationships/printerSettings"/>
<Relationship Id="rId2" Target="../drawings/vmlDrawing14.vml" Type="http://schemas.openxmlformats.org/officeDocument/2006/relationships/vmlDrawing"/>
<Relationship Id="rId3" Target="../comments14.xml" Type="http://schemas.openxmlformats.org/officeDocument/2006/relationships/comments"/>
</Relationships>

</file>

<file path=xl/worksheets/_rels/sheet24.xml.rels><?xml version="1.0" encoding="UTF-8" standalone="yes"?>
<Relationships xmlns="http://schemas.openxmlformats.org/package/2006/relationships">
<Relationship Id="rId1" Target="../printerSettings/printerSettings24.bin" Type="http://schemas.openxmlformats.org/officeDocument/2006/relationships/printerSettings"/>
</Relationships>

</file>

<file path=xl/worksheets/_rels/sheet25.xml.rels><?xml version="1.0" encoding="UTF-8" standalone="yes"?>
<Relationships xmlns="http://schemas.openxmlformats.org/package/2006/relationships">
<Relationship Id="rId1" Target="../printerSettings/printerSettings25.bin" Type="http://schemas.openxmlformats.org/officeDocument/2006/relationships/printerSettings"/>
<Relationship Id="rId2" Target="../drawings/vmlDrawing15.vml" Type="http://schemas.openxmlformats.org/officeDocument/2006/relationships/vmlDrawing"/>
<Relationship Id="rId3" Target="../comments15.xml" Type="http://schemas.openxmlformats.org/officeDocument/2006/relationships/comments"/>
</Relationships>

</file>

<file path=xl/worksheets/_rels/sheet26.xml.rels><?xml version="1.0" encoding="UTF-8" standalone="yes"?>
<Relationships xmlns="http://schemas.openxmlformats.org/package/2006/relationships">
<Relationship Id="rId1" Target="../printerSettings/printerSettings26.bin" Type="http://schemas.openxmlformats.org/officeDocument/2006/relationships/printerSettings"/>
</Relationships>

</file>

<file path=xl/worksheets/_rels/sheet27.xml.rels><?xml version="1.0" encoding="UTF-8" standalone="yes"?>
<Relationships xmlns="http://schemas.openxmlformats.org/package/2006/relationships">
<Relationship Id="rId1" Target="../printerSettings/printerSettings27.bin" Type="http://schemas.openxmlformats.org/officeDocument/2006/relationships/printerSettings"/>
</Relationships>

</file>

<file path=xl/worksheets/_rels/sheet28.xml.rels><?xml version="1.0" encoding="UTF-8" standalone="yes"?>
<Relationships xmlns="http://schemas.openxmlformats.org/package/2006/relationships">
<Relationship Id="rId1" Target="../printerSettings/printerSettings28.bin" Type="http://schemas.openxmlformats.org/officeDocument/2006/relationships/printerSettings"/>
</Relationships>

</file>

<file path=xl/worksheets/_rels/sheet29.xml.rels><?xml version="1.0" encoding="UTF-8" standalone="yes"?>
<Relationships xmlns="http://schemas.openxmlformats.org/package/2006/relationships">
<Relationship Id="rId1" Target="../printerSettings/printerSettings29.bin" Type="http://schemas.openxmlformats.org/officeDocument/2006/relationships/printerSettings"/>
<Relationship Id="rId2" Target="../drawings/vmlDrawing16.vml" Type="http://schemas.openxmlformats.org/officeDocument/2006/relationships/vmlDrawing"/>
<Relationship Id="rId3" Target="../comments16.xml" Type="http://schemas.openxmlformats.org/officeDocument/2006/relationships/comments"/>
</Relationships>

</file>

<file path=xl/worksheets/_rels/sheet30.xml.rels><?xml version="1.0" encoding="UTF-8" standalone="yes"?>
<Relationships xmlns="http://schemas.openxmlformats.org/package/2006/relationships">
<Relationship Id="rId1" Target="../printerSettings/printerSettings30.bin" Type="http://schemas.openxmlformats.org/officeDocument/2006/relationships/printerSettings"/>
<Relationship Id="rId2" Target="../drawings/vmlDrawing17.vml" Type="http://schemas.openxmlformats.org/officeDocument/2006/relationships/vmlDrawing"/>
<Relationship Id="rId3" Target="../comments17.xml" Type="http://schemas.openxmlformats.org/officeDocument/2006/relationships/comments"/>
</Relationships>

</file>

<file path=xl/worksheets/_rels/sheet31.xml.rels><?xml version="1.0" encoding="UTF-8" standalone="yes"?>
<Relationships xmlns="http://schemas.openxmlformats.org/package/2006/relationships">
<Relationship Id="rId1" Target="../printerSettings/printerSettings31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397"/>
  <sheetViews>
    <sheetView showGridLines="0" tabSelected="1" workbookViewId="0">
      <selection activeCell="Z1" sqref="Z1"/>
    </sheetView>
  </sheetViews>
  <sheetFormatPr defaultRowHeight="12.75"/>
  <cols>
    <col min="1" max="1" width="25.7109375" style="1248" customWidth="1"/>
    <col min="2" max="5" width="9.140625" style="1248"/>
    <col min="6" max="6" width="18.7109375" style="1248" customWidth="1"/>
    <col min="7" max="256" width="9.140625" style="1248"/>
    <col min="257" max="257" width="100.7109375" style="1248" customWidth="1"/>
    <col min="258" max="512" width="9.140625" style="1248"/>
    <col min="513" max="513" width="100.7109375" style="1248" customWidth="1"/>
    <col min="514" max="768" width="9.140625" style="1248"/>
    <col min="769" max="769" width="100.7109375" style="1248" customWidth="1"/>
    <col min="770" max="1024" width="9.140625" style="1248"/>
    <col min="1025" max="1025" width="100.7109375" style="1248" customWidth="1"/>
    <col min="1026" max="1280" width="9.140625" style="1248"/>
    <col min="1281" max="1281" width="100.7109375" style="1248" customWidth="1"/>
    <col min="1282" max="1536" width="9.140625" style="1248"/>
    <col min="1537" max="1537" width="100.7109375" style="1248" customWidth="1"/>
    <col min="1538" max="1792" width="9.140625" style="1248"/>
    <col min="1793" max="1793" width="100.7109375" style="1248" customWidth="1"/>
    <col min="1794" max="2048" width="9.140625" style="1248"/>
    <col min="2049" max="2049" width="100.7109375" style="1248" customWidth="1"/>
    <col min="2050" max="2304" width="9.140625" style="1248"/>
    <col min="2305" max="2305" width="100.7109375" style="1248" customWidth="1"/>
    <col min="2306" max="2560" width="9.140625" style="1248"/>
    <col min="2561" max="2561" width="100.7109375" style="1248" customWidth="1"/>
    <col min="2562" max="2816" width="9.140625" style="1248"/>
    <col min="2817" max="2817" width="100.7109375" style="1248" customWidth="1"/>
    <col min="2818" max="3072" width="9.140625" style="1248"/>
    <col min="3073" max="3073" width="100.7109375" style="1248" customWidth="1"/>
    <col min="3074" max="3328" width="9.140625" style="1248"/>
    <col min="3329" max="3329" width="100.7109375" style="1248" customWidth="1"/>
    <col min="3330" max="3584" width="9.140625" style="1248"/>
    <col min="3585" max="3585" width="100.7109375" style="1248" customWidth="1"/>
    <col min="3586" max="3840" width="9.140625" style="1248"/>
    <col min="3841" max="3841" width="100.7109375" style="1248" customWidth="1"/>
    <col min="3842" max="4096" width="9.140625" style="1248"/>
    <col min="4097" max="4097" width="100.7109375" style="1248" customWidth="1"/>
    <col min="4098" max="4352" width="9.140625" style="1248"/>
    <col min="4353" max="4353" width="100.7109375" style="1248" customWidth="1"/>
    <col min="4354" max="4608" width="9.140625" style="1248"/>
    <col min="4609" max="4609" width="100.7109375" style="1248" customWidth="1"/>
    <col min="4610" max="4864" width="9.140625" style="1248"/>
    <col min="4865" max="4865" width="100.7109375" style="1248" customWidth="1"/>
    <col min="4866" max="5120" width="9.140625" style="1248"/>
    <col min="5121" max="5121" width="100.7109375" style="1248" customWidth="1"/>
    <col min="5122" max="5376" width="9.140625" style="1248"/>
    <col min="5377" max="5377" width="100.7109375" style="1248" customWidth="1"/>
    <col min="5378" max="5632" width="9.140625" style="1248"/>
    <col min="5633" max="5633" width="100.7109375" style="1248" customWidth="1"/>
    <col min="5634" max="5888" width="9.140625" style="1248"/>
    <col min="5889" max="5889" width="100.7109375" style="1248" customWidth="1"/>
    <col min="5890" max="6144" width="9.140625" style="1248"/>
    <col min="6145" max="6145" width="100.7109375" style="1248" customWidth="1"/>
    <col min="6146" max="6400" width="9.140625" style="1248"/>
    <col min="6401" max="6401" width="100.7109375" style="1248" customWidth="1"/>
    <col min="6402" max="6656" width="9.140625" style="1248"/>
    <col min="6657" max="6657" width="100.7109375" style="1248" customWidth="1"/>
    <col min="6658" max="6912" width="9.140625" style="1248"/>
    <col min="6913" max="6913" width="100.7109375" style="1248" customWidth="1"/>
    <col min="6914" max="7168" width="9.140625" style="1248"/>
    <col min="7169" max="7169" width="100.7109375" style="1248" customWidth="1"/>
    <col min="7170" max="7424" width="9.140625" style="1248"/>
    <col min="7425" max="7425" width="100.7109375" style="1248" customWidth="1"/>
    <col min="7426" max="7680" width="9.140625" style="1248"/>
    <col min="7681" max="7681" width="100.7109375" style="1248" customWidth="1"/>
    <col min="7682" max="7936" width="9.140625" style="1248"/>
    <col min="7937" max="7937" width="100.7109375" style="1248" customWidth="1"/>
    <col min="7938" max="8192" width="9.140625" style="1248"/>
    <col min="8193" max="8193" width="100.7109375" style="1248" customWidth="1"/>
    <col min="8194" max="8448" width="9.140625" style="1248"/>
    <col min="8449" max="8449" width="100.7109375" style="1248" customWidth="1"/>
    <col min="8450" max="8704" width="9.140625" style="1248"/>
    <col min="8705" max="8705" width="100.7109375" style="1248" customWidth="1"/>
    <col min="8706" max="8960" width="9.140625" style="1248"/>
    <col min="8961" max="8961" width="100.7109375" style="1248" customWidth="1"/>
    <col min="8962" max="9216" width="9.140625" style="1248"/>
    <col min="9217" max="9217" width="100.7109375" style="1248" customWidth="1"/>
    <col min="9218" max="9472" width="9.140625" style="1248"/>
    <col min="9473" max="9473" width="100.7109375" style="1248" customWidth="1"/>
    <col min="9474" max="9728" width="9.140625" style="1248"/>
    <col min="9729" max="9729" width="100.7109375" style="1248" customWidth="1"/>
    <col min="9730" max="9984" width="9.140625" style="1248"/>
    <col min="9985" max="9985" width="100.7109375" style="1248" customWidth="1"/>
    <col min="9986" max="10240" width="9.140625" style="1248"/>
    <col min="10241" max="10241" width="100.7109375" style="1248" customWidth="1"/>
    <col min="10242" max="10496" width="9.140625" style="1248"/>
    <col min="10497" max="10497" width="100.7109375" style="1248" customWidth="1"/>
    <col min="10498" max="10752" width="9.140625" style="1248"/>
    <col min="10753" max="10753" width="100.7109375" style="1248" customWidth="1"/>
    <col min="10754" max="11008" width="9.140625" style="1248"/>
    <col min="11009" max="11009" width="100.7109375" style="1248" customWidth="1"/>
    <col min="11010" max="11264" width="9.140625" style="1248"/>
    <col min="11265" max="11265" width="100.7109375" style="1248" customWidth="1"/>
    <col min="11266" max="11520" width="9.140625" style="1248"/>
    <col min="11521" max="11521" width="100.7109375" style="1248" customWidth="1"/>
    <col min="11522" max="11776" width="9.140625" style="1248"/>
    <col min="11777" max="11777" width="100.7109375" style="1248" customWidth="1"/>
    <col min="11778" max="12032" width="9.140625" style="1248"/>
    <col min="12033" max="12033" width="100.7109375" style="1248" customWidth="1"/>
    <col min="12034" max="12288" width="9.140625" style="1248"/>
    <col min="12289" max="12289" width="100.7109375" style="1248" customWidth="1"/>
    <col min="12290" max="12544" width="9.140625" style="1248"/>
    <col min="12545" max="12545" width="100.7109375" style="1248" customWidth="1"/>
    <col min="12546" max="12800" width="9.140625" style="1248"/>
    <col min="12801" max="12801" width="100.7109375" style="1248" customWidth="1"/>
    <col min="12802" max="13056" width="9.140625" style="1248"/>
    <col min="13057" max="13057" width="100.7109375" style="1248" customWidth="1"/>
    <col min="13058" max="13312" width="9.140625" style="1248"/>
    <col min="13313" max="13313" width="100.7109375" style="1248" customWidth="1"/>
    <col min="13314" max="13568" width="9.140625" style="1248"/>
    <col min="13569" max="13569" width="100.7109375" style="1248" customWidth="1"/>
    <col min="13570" max="13824" width="9.140625" style="1248"/>
    <col min="13825" max="13825" width="100.7109375" style="1248" customWidth="1"/>
    <col min="13826" max="14080" width="9.140625" style="1248"/>
    <col min="14081" max="14081" width="100.7109375" style="1248" customWidth="1"/>
    <col min="14082" max="14336" width="9.140625" style="1248"/>
    <col min="14337" max="14337" width="100.7109375" style="1248" customWidth="1"/>
    <col min="14338" max="14592" width="9.140625" style="1248"/>
    <col min="14593" max="14593" width="100.7109375" style="1248" customWidth="1"/>
    <col min="14594" max="14848" width="9.140625" style="1248"/>
    <col min="14849" max="14849" width="100.7109375" style="1248" customWidth="1"/>
    <col min="14850" max="15104" width="9.140625" style="1248"/>
    <col min="15105" max="15105" width="100.7109375" style="1248" customWidth="1"/>
    <col min="15106" max="15360" width="9.140625" style="1248"/>
    <col min="15361" max="15361" width="100.7109375" style="1248" customWidth="1"/>
    <col min="15362" max="15616" width="9.140625" style="1248"/>
    <col min="15617" max="15617" width="100.7109375" style="1248" customWidth="1"/>
    <col min="15618" max="15872" width="9.140625" style="1248"/>
    <col min="15873" max="15873" width="100.7109375" style="1248" customWidth="1"/>
    <col min="15874" max="16128" width="9.140625" style="1248"/>
    <col min="16129" max="16129" width="100.7109375" style="1248" customWidth="1"/>
    <col min="16130" max="16384" width="9.140625" style="1248"/>
  </cols>
  <sheetData>
    <row r="1" spans="1:8" ht="30" customHeight="1">
      <c r="A1" s="1246"/>
      <c r="B1" s="1247"/>
      <c r="C1" s="1247"/>
      <c r="D1" s="1247"/>
      <c r="E1" s="1247"/>
      <c r="F1" s="1247"/>
      <c r="G1" s="1247"/>
      <c r="H1" s="1247"/>
    </row>
    <row r="2" spans="1:8" ht="14.25">
      <c r="A2" s="1249" t="s">
        <v>1219</v>
      </c>
      <c r="B2" s="1247"/>
      <c r="C2" s="1247"/>
      <c r="D2" s="1247"/>
      <c r="E2" s="1247"/>
      <c r="F2" s="1247"/>
      <c r="G2" s="1247"/>
      <c r="H2" s="1247"/>
    </row>
    <row r="3" spans="1:8" ht="14.25">
      <c r="A3" s="1249" t="s">
        <v>1220</v>
      </c>
      <c r="B3" s="1247"/>
      <c r="C3" s="1247"/>
      <c r="D3" s="1247"/>
      <c r="E3" s="1247"/>
      <c r="F3" s="1247"/>
      <c r="G3" s="1247"/>
      <c r="H3" s="1247"/>
    </row>
    <row r="4" spans="1:8" ht="14.25">
      <c r="A4" s="1249" t="s">
        <v>1221</v>
      </c>
      <c r="B4" s="1247"/>
      <c r="C4" s="1247"/>
      <c r="D4" s="1247"/>
      <c r="E4" s="1247"/>
      <c r="F4" s="1247"/>
      <c r="G4" s="1247"/>
      <c r="H4" s="1247"/>
    </row>
    <row r="5" spans="1:8" ht="14.25">
      <c r="A5" s="1249" t="s">
        <v>1222</v>
      </c>
      <c r="B5" s="1247"/>
      <c r="C5" s="1247"/>
      <c r="D5" s="1247"/>
      <c r="E5" s="1247"/>
      <c r="F5" s="1247"/>
      <c r="G5" s="1247"/>
      <c r="H5" s="1247"/>
    </row>
    <row r="6" spans="1:8" ht="14.25">
      <c r="A6" s="1249"/>
      <c r="B6" s="1247"/>
      <c r="C6" s="1247"/>
      <c r="D6" s="1247"/>
      <c r="E6" s="1247"/>
      <c r="F6" s="1247"/>
      <c r="G6" s="1247"/>
      <c r="H6" s="1247"/>
    </row>
    <row r="7" spans="1:8">
      <c r="A7" s="1246" t="s">
        <v>1223</v>
      </c>
      <c r="B7" s="1247"/>
      <c r="C7" s="1247"/>
      <c r="D7" s="1247"/>
      <c r="E7" s="1247"/>
      <c r="F7" s="1247"/>
      <c r="G7" s="1247"/>
      <c r="H7" s="1247"/>
    </row>
    <row r="8" spans="1:8">
      <c r="A8" s="1246" t="s">
        <v>1224</v>
      </c>
      <c r="B8" s="1247"/>
      <c r="C8" s="1247"/>
      <c r="D8" s="1247"/>
      <c r="E8" s="1247"/>
      <c r="F8" s="1247"/>
      <c r="G8" s="1247"/>
      <c r="H8" s="1247"/>
    </row>
    <row r="9" spans="1:8">
      <c r="A9" s="1246"/>
      <c r="B9" s="1247"/>
      <c r="C9" s="1247"/>
      <c r="D9" s="1247"/>
      <c r="E9" s="1247"/>
      <c r="F9" s="1247"/>
      <c r="G9" s="1247"/>
      <c r="H9" s="1247"/>
    </row>
    <row r="10" spans="1:8">
      <c r="A10" s="1250" t="s">
        <v>1225</v>
      </c>
      <c r="B10" s="1247"/>
      <c r="C10" s="1247"/>
      <c r="D10" s="1247"/>
      <c r="E10" s="1247"/>
      <c r="F10" s="1247"/>
      <c r="G10" s="1247"/>
      <c r="H10" s="1247"/>
    </row>
    <row r="11" spans="1:8">
      <c r="A11" s="1250" t="s">
        <v>1226</v>
      </c>
      <c r="B11" s="1247"/>
      <c r="C11" s="1247"/>
      <c r="D11" s="1247"/>
      <c r="E11" s="1247"/>
      <c r="F11" s="1247"/>
      <c r="G11" s="1247"/>
      <c r="H11" s="1247"/>
    </row>
    <row r="12" spans="1:8">
      <c r="A12" s="1250" t="s">
        <v>1227</v>
      </c>
      <c r="B12" s="1247"/>
      <c r="C12" s="1247"/>
      <c r="D12" s="1247"/>
      <c r="E12" s="1247"/>
      <c r="F12" s="1247"/>
      <c r="G12" s="1247"/>
      <c r="H12" s="1247"/>
    </row>
    <row r="13" spans="1:8">
      <c r="A13" s="1250" t="s">
        <v>1228</v>
      </c>
      <c r="B13" s="1247"/>
      <c r="C13" s="1247"/>
      <c r="D13" s="1247"/>
      <c r="E13" s="1247"/>
      <c r="F13" s="1247"/>
      <c r="G13" s="1247"/>
      <c r="H13" s="1247"/>
    </row>
    <row r="14" spans="1:8">
      <c r="A14" s="1250" t="s">
        <v>1229</v>
      </c>
      <c r="B14" s="1247"/>
      <c r="C14" s="1247"/>
      <c r="D14" s="1247"/>
      <c r="E14" s="1247"/>
      <c r="F14" s="1247"/>
      <c r="G14" s="1247"/>
      <c r="H14" s="1247"/>
    </row>
    <row r="15" spans="1:8">
      <c r="A15" s="1250" t="s">
        <v>1230</v>
      </c>
      <c r="B15" s="1247"/>
      <c r="C15" s="1247"/>
      <c r="D15" s="1247"/>
      <c r="E15" s="1247"/>
      <c r="F15" s="1247"/>
      <c r="G15" s="1247"/>
      <c r="H15" s="1247"/>
    </row>
    <row r="16" spans="1:8">
      <c r="A16" s="1250"/>
      <c r="B16" s="1247"/>
      <c r="C16" s="1247"/>
      <c r="D16" s="1247"/>
      <c r="E16" s="1247"/>
      <c r="F16" s="1247"/>
      <c r="G16" s="1247"/>
      <c r="H16" s="1247"/>
    </row>
    <row r="17" spans="1:8">
      <c r="A17" s="1250" t="s">
        <v>1216</v>
      </c>
      <c r="B17" s="1247"/>
      <c r="C17" s="1247"/>
      <c r="D17" s="1247"/>
      <c r="E17" s="1247"/>
      <c r="F17" s="1247"/>
      <c r="G17" s="1247"/>
      <c r="H17" s="1247"/>
    </row>
    <row r="18" spans="1:8">
      <c r="A18" s="1250"/>
      <c r="B18" s="1247"/>
      <c r="C18" s="1247"/>
      <c r="D18" s="1247"/>
      <c r="E18" s="1247"/>
      <c r="F18" s="1247"/>
      <c r="G18" s="1247"/>
      <c r="H18" s="1247"/>
    </row>
    <row r="19" spans="1:8">
      <c r="A19" s="1250" t="s">
        <v>1217</v>
      </c>
      <c r="B19" s="1247"/>
      <c r="C19" s="1247"/>
      <c r="D19" s="1247"/>
      <c r="E19" s="1247"/>
      <c r="F19" s="1247"/>
      <c r="G19" s="1247"/>
      <c r="H19" s="1247"/>
    </row>
    <row r="20" spans="1:8">
      <c r="A20" s="1246"/>
      <c r="B20" s="1247"/>
      <c r="C20" s="1247"/>
      <c r="D20" s="1247"/>
      <c r="E20" s="1247"/>
      <c r="F20" s="1247"/>
      <c r="G20" s="1247"/>
      <c r="H20" s="1247"/>
    </row>
    <row r="21" spans="1:8">
      <c r="A21" s="1251" t="s">
        <v>1218</v>
      </c>
      <c r="B21" s="1247"/>
      <c r="C21" s="1247"/>
      <c r="D21" s="1247"/>
      <c r="E21" s="1247"/>
      <c r="F21" s="1247"/>
      <c r="G21" s="1247"/>
      <c r="H21" s="1247"/>
    </row>
    <row r="22" spans="1:8">
      <c r="A22" s="1252"/>
      <c r="B22" s="1252"/>
      <c r="C22" s="1252"/>
      <c r="D22" s="1252"/>
      <c r="E22" s="1252"/>
      <c r="F22" s="1252"/>
      <c r="G22" s="1252"/>
      <c r="H22" s="1252"/>
    </row>
    <row r="23" spans="1:8">
      <c r="A23" s="1253" t="s">
        <v>1513</v>
      </c>
      <c r="B23" s="1252"/>
      <c r="C23" s="1252"/>
      <c r="D23" s="1252"/>
      <c r="E23" s="1252"/>
      <c r="F23" s="1252"/>
      <c r="G23" s="1252"/>
      <c r="H23" s="1252"/>
    </row>
    <row r="24" spans="1:8">
      <c r="A24" s="1253" t="s">
        <v>1514</v>
      </c>
      <c r="B24" s="1252"/>
      <c r="C24" s="1252"/>
      <c r="D24" s="1252"/>
      <c r="E24" s="1252"/>
      <c r="F24" s="1252"/>
      <c r="G24" s="1252"/>
      <c r="H24" s="1252"/>
    </row>
    <row r="25" spans="1:8">
      <c r="A25" s="1253" t="s">
        <v>1515</v>
      </c>
      <c r="B25" s="1252"/>
      <c r="C25" s="1252"/>
      <c r="D25" s="1252"/>
      <c r="E25" s="1252"/>
      <c r="F25" s="1252"/>
      <c r="G25" s="1252"/>
      <c r="H25" s="1252"/>
    </row>
    <row r="26" spans="1:8">
      <c r="A26" s="1253" t="s">
        <v>1516</v>
      </c>
      <c r="B26" s="1252"/>
      <c r="C26" s="1252"/>
      <c r="D26" s="1252"/>
      <c r="E26" s="1252"/>
      <c r="F26" s="1252"/>
      <c r="G26" s="1252"/>
      <c r="H26" s="1252"/>
    </row>
    <row r="27" spans="1:8">
      <c r="A27" s="1252"/>
      <c r="B27" s="1252"/>
      <c r="C27" s="1252"/>
      <c r="D27" s="1252"/>
      <c r="E27" s="1252"/>
      <c r="F27" s="1252"/>
      <c r="G27" s="1252"/>
      <c r="H27" s="1252"/>
    </row>
    <row r="28" spans="1:8">
      <c r="A28" s="1252"/>
      <c r="B28" s="1252"/>
      <c r="C28" s="1252"/>
      <c r="D28" s="1252"/>
      <c r="E28" s="1252"/>
      <c r="F28" s="1252"/>
      <c r="G28" s="1252"/>
      <c r="H28" s="1252"/>
    </row>
    <row r="29" spans="1:8">
      <c r="A29" s="1253" t="s">
        <v>1508</v>
      </c>
      <c r="B29" s="1252"/>
      <c r="C29" s="1252"/>
      <c r="D29" s="1252"/>
      <c r="E29" s="1252"/>
      <c r="F29" s="1252"/>
      <c r="G29" s="1252"/>
      <c r="H29" s="1252"/>
    </row>
    <row r="30" spans="1:8">
      <c r="A30" s="1253" t="s">
        <v>1509</v>
      </c>
      <c r="B30" s="1252"/>
      <c r="C30" s="1252"/>
      <c r="D30" s="1252"/>
      <c r="E30" s="1252"/>
      <c r="F30" s="1252"/>
      <c r="G30" s="1252"/>
      <c r="H30" s="1252"/>
    </row>
    <row r="31" spans="1:8">
      <c r="A31" s="1253" t="s">
        <v>1510</v>
      </c>
      <c r="B31" s="1252"/>
      <c r="C31" s="1252"/>
      <c r="D31" s="1252"/>
      <c r="E31" s="1252"/>
      <c r="F31" s="1252"/>
      <c r="G31" s="1252"/>
      <c r="H31" s="1252"/>
    </row>
    <row r="32" spans="1:8">
      <c r="A32" s="1253" t="s">
        <v>1511</v>
      </c>
      <c r="B32" s="1252"/>
      <c r="C32" s="1252"/>
      <c r="D32" s="1252"/>
      <c r="E32" s="1252"/>
      <c r="F32" s="1252"/>
      <c r="G32" s="1252"/>
      <c r="H32" s="1252"/>
    </row>
    <row r="33" spans="1:8">
      <c r="A33" s="1253" t="s">
        <v>1512</v>
      </c>
      <c r="B33" s="1252"/>
      <c r="C33" s="1252"/>
      <c r="D33" s="1252"/>
      <c r="E33" s="1252"/>
      <c r="F33" s="1252"/>
      <c r="G33" s="1252"/>
      <c r="H33" s="1252"/>
    </row>
    <row r="34" spans="1:8">
      <c r="A34" s="1252"/>
      <c r="B34" s="1252"/>
      <c r="C34" s="1252"/>
      <c r="D34" s="1252"/>
      <c r="E34" s="1252"/>
      <c r="F34" s="1252"/>
      <c r="G34" s="1252"/>
      <c r="H34" s="1252"/>
    </row>
    <row r="35" spans="1:8">
      <c r="A35" s="1253" t="s">
        <v>1504</v>
      </c>
      <c r="B35" s="1252"/>
      <c r="C35" s="1252"/>
      <c r="D35" s="1252"/>
      <c r="E35" s="1252"/>
      <c r="F35" s="1252"/>
      <c r="G35" s="1252"/>
      <c r="H35" s="1252"/>
    </row>
    <row r="36" spans="1:8">
      <c r="A36" s="1253" t="s">
        <v>1505</v>
      </c>
      <c r="B36" s="1252"/>
      <c r="C36" s="1252"/>
      <c r="D36" s="1252"/>
      <c r="E36" s="1252"/>
      <c r="F36" s="1252"/>
      <c r="G36" s="1252"/>
      <c r="H36" s="1252"/>
    </row>
    <row r="37" spans="1:8">
      <c r="A37" s="1253" t="s">
        <v>1506</v>
      </c>
      <c r="B37" s="1252"/>
      <c r="C37" s="1252"/>
      <c r="D37" s="1252"/>
      <c r="E37" s="1252"/>
      <c r="F37" s="1252"/>
      <c r="G37" s="1252"/>
      <c r="H37" s="1252"/>
    </row>
    <row r="38" spans="1:8">
      <c r="A38" s="1253" t="s">
        <v>1507</v>
      </c>
      <c r="B38" s="1252"/>
      <c r="C38" s="1252"/>
      <c r="D38" s="1252"/>
      <c r="E38" s="1252"/>
      <c r="F38" s="1252"/>
      <c r="G38" s="1252"/>
      <c r="H38" s="1252"/>
    </row>
    <row r="39" spans="1:8">
      <c r="A39" s="1252"/>
      <c r="B39" s="1252"/>
      <c r="C39" s="1252"/>
      <c r="D39" s="1252"/>
      <c r="E39" s="1252"/>
      <c r="F39" s="1252"/>
      <c r="G39" s="1252"/>
      <c r="H39" s="1252"/>
    </row>
    <row r="40" spans="1:8">
      <c r="A40" s="1253" t="s">
        <v>1498</v>
      </c>
      <c r="B40" s="1252"/>
      <c r="C40" s="1252"/>
      <c r="D40" s="1252"/>
      <c r="E40" s="1252"/>
      <c r="F40" s="1252"/>
      <c r="G40" s="1252"/>
      <c r="H40" s="1252"/>
    </row>
    <row r="41" spans="1:8">
      <c r="A41" s="1253" t="s">
        <v>1499</v>
      </c>
      <c r="B41" s="1252"/>
      <c r="C41" s="1252"/>
      <c r="D41" s="1252"/>
      <c r="E41" s="1252"/>
      <c r="F41" s="1252"/>
      <c r="G41" s="1252"/>
      <c r="H41" s="1252"/>
    </row>
    <row r="42" spans="1:8">
      <c r="A42" s="1253" t="s">
        <v>1500</v>
      </c>
      <c r="B42" s="1252"/>
      <c r="C42" s="1252"/>
      <c r="D42" s="1252"/>
      <c r="E42" s="1252"/>
      <c r="F42" s="1252"/>
      <c r="G42" s="1252"/>
      <c r="H42" s="1252"/>
    </row>
    <row r="43" spans="1:8">
      <c r="A43" s="1253" t="s">
        <v>1501</v>
      </c>
      <c r="B43" s="1252"/>
      <c r="C43" s="1252"/>
      <c r="D43" s="1252"/>
      <c r="E43" s="1252"/>
      <c r="F43" s="1252"/>
      <c r="G43" s="1252"/>
      <c r="H43" s="1252"/>
    </row>
    <row r="44" spans="1:8">
      <c r="A44" s="1253" t="s">
        <v>1502</v>
      </c>
      <c r="B44" s="1252"/>
      <c r="C44" s="1252"/>
      <c r="D44" s="1252"/>
      <c r="E44" s="1252"/>
      <c r="F44" s="1252"/>
      <c r="G44" s="1252"/>
      <c r="H44" s="1252"/>
    </row>
    <row r="45" spans="1:8">
      <c r="A45" s="1253" t="s">
        <v>1503</v>
      </c>
      <c r="B45" s="1252"/>
      <c r="C45" s="1252"/>
      <c r="D45" s="1252"/>
      <c r="E45" s="1252"/>
      <c r="F45" s="1252"/>
      <c r="G45" s="1252"/>
      <c r="H45" s="1252"/>
    </row>
    <row r="46" spans="1:8">
      <c r="A46" s="1252"/>
      <c r="B46" s="1252"/>
      <c r="C46" s="1252"/>
      <c r="D46" s="1252"/>
      <c r="E46" s="1252"/>
      <c r="F46" s="1252"/>
      <c r="G46" s="1252"/>
      <c r="H46" s="1252"/>
    </row>
    <row r="47" spans="1:8" ht="15.75">
      <c r="A47" s="1254" t="s">
        <v>1231</v>
      </c>
      <c r="B47" s="1252"/>
      <c r="C47" s="1252"/>
      <c r="D47" s="1252"/>
      <c r="E47" s="1252"/>
      <c r="F47" s="1252"/>
      <c r="G47" s="1252"/>
      <c r="H47" s="1252"/>
    </row>
    <row r="48" spans="1:8">
      <c r="A48" s="1252"/>
      <c r="B48" s="1252"/>
      <c r="C48" s="1252"/>
      <c r="D48" s="1252"/>
      <c r="E48" s="1252"/>
      <c r="F48" s="1252"/>
      <c r="G48" s="1252"/>
      <c r="H48" s="1252"/>
    </row>
    <row r="49" spans="1:8">
      <c r="A49" s="1253" t="s">
        <v>1494</v>
      </c>
      <c r="B49" s="1252"/>
      <c r="C49" s="1252"/>
      <c r="D49" s="1252"/>
      <c r="E49" s="1252"/>
      <c r="F49" s="1252"/>
      <c r="G49" s="1252"/>
      <c r="H49" s="1252"/>
    </row>
    <row r="50" spans="1:8">
      <c r="A50" s="1253" t="s">
        <v>1495</v>
      </c>
      <c r="B50" s="1252"/>
      <c r="C50" s="1252"/>
      <c r="D50" s="1252"/>
      <c r="E50" s="1252"/>
      <c r="F50" s="1252"/>
      <c r="G50" s="1252"/>
      <c r="H50" s="1252"/>
    </row>
    <row r="51" spans="1:8">
      <c r="A51" s="1253" t="s">
        <v>1496</v>
      </c>
      <c r="B51" s="1252"/>
      <c r="C51" s="1252"/>
      <c r="D51" s="1252"/>
      <c r="E51" s="1252"/>
      <c r="F51" s="1252"/>
      <c r="G51" s="1252"/>
      <c r="H51" s="1252"/>
    </row>
    <row r="52" spans="1:8">
      <c r="A52" s="1253" t="s">
        <v>1497</v>
      </c>
      <c r="B52" s="1252"/>
      <c r="C52" s="1252"/>
      <c r="D52" s="1252"/>
      <c r="E52" s="1252"/>
      <c r="F52" s="1252"/>
      <c r="G52" s="1252"/>
      <c r="H52" s="1252"/>
    </row>
    <row r="53" spans="1:8">
      <c r="A53" s="1252"/>
      <c r="B53" s="1252"/>
      <c r="C53" s="1252"/>
      <c r="D53" s="1252"/>
      <c r="E53" s="1252"/>
      <c r="F53" s="1252"/>
      <c r="G53" s="1252"/>
      <c r="H53" s="1252"/>
    </row>
    <row r="54" spans="1:8">
      <c r="A54" s="1253" t="s">
        <v>1232</v>
      </c>
      <c r="B54" s="1252"/>
      <c r="C54" s="1252"/>
      <c r="D54" s="1252"/>
      <c r="E54" s="1252"/>
      <c r="F54" s="1252"/>
      <c r="G54" s="1252"/>
      <c r="H54" s="1252"/>
    </row>
    <row r="55" spans="1:8">
      <c r="A55" s="1252"/>
      <c r="B55" s="1252"/>
      <c r="C55" s="1252"/>
      <c r="D55" s="1252"/>
      <c r="E55" s="1252"/>
      <c r="F55" s="1252"/>
      <c r="G55" s="1252"/>
      <c r="H55" s="1252"/>
    </row>
    <row r="56" spans="1:8" ht="15.75">
      <c r="A56" s="1254" t="s">
        <v>1233</v>
      </c>
      <c r="B56" s="1252"/>
      <c r="C56" s="1252"/>
      <c r="D56" s="1252"/>
      <c r="E56" s="1252"/>
      <c r="F56" s="1252"/>
      <c r="G56" s="1252"/>
      <c r="H56" s="1252"/>
    </row>
    <row r="57" spans="1:8">
      <c r="A57" s="1252"/>
      <c r="B57" s="1252"/>
      <c r="C57" s="1252"/>
      <c r="D57" s="1252"/>
      <c r="E57" s="1252"/>
      <c r="F57" s="1252"/>
      <c r="G57" s="1252"/>
      <c r="H57" s="1252"/>
    </row>
    <row r="58" spans="1:8">
      <c r="A58" s="1253" t="s">
        <v>1492</v>
      </c>
      <c r="B58" s="1252"/>
      <c r="C58" s="1252"/>
      <c r="D58" s="1252"/>
      <c r="E58" s="1252"/>
      <c r="F58" s="1252"/>
      <c r="G58" s="1252"/>
      <c r="H58" s="1252"/>
    </row>
    <row r="59" spans="1:8">
      <c r="A59" s="1253" t="s">
        <v>1493</v>
      </c>
      <c r="B59" s="1252"/>
      <c r="C59" s="1252"/>
      <c r="D59" s="1252"/>
      <c r="E59" s="1252"/>
      <c r="F59" s="1252"/>
      <c r="G59" s="1252"/>
      <c r="H59" s="1252"/>
    </row>
    <row r="60" spans="1:8">
      <c r="A60" s="1252"/>
      <c r="B60" s="1252"/>
      <c r="C60" s="1252"/>
      <c r="D60" s="1252"/>
      <c r="E60" s="1252"/>
      <c r="F60" s="1252"/>
      <c r="G60" s="1252"/>
      <c r="H60" s="1252"/>
    </row>
    <row r="61" spans="1:8" ht="15.75">
      <c r="A61" s="1254" t="s">
        <v>1234</v>
      </c>
      <c r="B61" s="1252"/>
      <c r="C61" s="1252"/>
      <c r="D61" s="1252"/>
      <c r="E61" s="1252"/>
      <c r="F61" s="1252"/>
      <c r="G61" s="1252"/>
      <c r="H61" s="1252"/>
    </row>
    <row r="62" spans="1:8">
      <c r="A62" s="1252"/>
      <c r="B62" s="1252"/>
      <c r="C62" s="1252"/>
      <c r="D62" s="1252"/>
      <c r="E62" s="1252"/>
      <c r="F62" s="1252"/>
      <c r="G62" s="1252"/>
      <c r="H62" s="1252"/>
    </row>
    <row r="63" spans="1:8">
      <c r="A63" s="1253" t="s">
        <v>1490</v>
      </c>
      <c r="B63" s="1252"/>
      <c r="C63" s="1252"/>
      <c r="D63" s="1252"/>
      <c r="E63" s="1252"/>
      <c r="F63" s="1252"/>
      <c r="G63" s="1252"/>
      <c r="H63" s="1252"/>
    </row>
    <row r="64" spans="1:8">
      <c r="A64" s="1253" t="s">
        <v>1491</v>
      </c>
      <c r="B64" s="1252"/>
      <c r="C64" s="1252"/>
      <c r="D64" s="1252"/>
      <c r="E64" s="1252"/>
      <c r="F64" s="1252"/>
      <c r="G64" s="1252"/>
      <c r="H64" s="1252"/>
    </row>
    <row r="65" spans="1:8">
      <c r="A65" s="1252"/>
      <c r="B65" s="1252"/>
      <c r="C65" s="1252"/>
      <c r="D65" s="1252"/>
      <c r="E65" s="1252"/>
      <c r="F65" s="1252"/>
      <c r="G65" s="1252"/>
      <c r="H65" s="1252"/>
    </row>
    <row r="66" spans="1:8">
      <c r="A66" s="1253" t="s">
        <v>1488</v>
      </c>
      <c r="B66" s="1252"/>
      <c r="C66" s="1252"/>
      <c r="D66" s="1252"/>
      <c r="E66" s="1252"/>
      <c r="F66" s="1252"/>
      <c r="G66" s="1252"/>
      <c r="H66" s="1252"/>
    </row>
    <row r="67" spans="1:8">
      <c r="A67" s="1253" t="s">
        <v>1489</v>
      </c>
      <c r="B67" s="1252"/>
      <c r="C67" s="1252"/>
      <c r="D67" s="1252"/>
      <c r="E67" s="1252"/>
      <c r="F67" s="1252"/>
      <c r="G67" s="1252"/>
      <c r="H67" s="1252"/>
    </row>
    <row r="68" spans="1:8">
      <c r="A68" s="1252"/>
      <c r="B68" s="1252"/>
      <c r="C68" s="1252"/>
      <c r="D68" s="1252"/>
      <c r="E68" s="1252"/>
      <c r="F68" s="1252"/>
      <c r="G68" s="1252"/>
      <c r="H68" s="1252"/>
    </row>
    <row r="69" spans="1:8">
      <c r="A69" s="1253" t="s">
        <v>1486</v>
      </c>
      <c r="B69" s="1252"/>
      <c r="C69" s="1252"/>
      <c r="D69" s="1252"/>
      <c r="E69" s="1252"/>
      <c r="F69" s="1252"/>
      <c r="G69" s="1252"/>
      <c r="H69" s="1252"/>
    </row>
    <row r="70" spans="1:8">
      <c r="A70" s="1253" t="s">
        <v>1487</v>
      </c>
      <c r="B70" s="1252"/>
      <c r="C70" s="1252"/>
      <c r="D70" s="1252"/>
      <c r="E70" s="1252"/>
      <c r="F70" s="1252"/>
      <c r="G70" s="1252"/>
      <c r="H70" s="1252"/>
    </row>
    <row r="71" spans="1:8">
      <c r="A71" s="1252"/>
      <c r="B71" s="1252"/>
      <c r="C71" s="1252"/>
      <c r="D71" s="1252"/>
      <c r="E71" s="1252"/>
      <c r="F71" s="1252"/>
      <c r="G71" s="1252"/>
      <c r="H71" s="1252"/>
    </row>
    <row r="72" spans="1:8">
      <c r="A72" s="1253" t="s">
        <v>1484</v>
      </c>
      <c r="B72" s="1252"/>
      <c r="C72" s="1252"/>
      <c r="D72" s="1252"/>
      <c r="E72" s="1252"/>
      <c r="F72" s="1252"/>
      <c r="G72" s="1252"/>
      <c r="H72" s="1252"/>
    </row>
    <row r="73" spans="1:8">
      <c r="A73" s="1253" t="s">
        <v>1485</v>
      </c>
      <c r="B73" s="1252"/>
      <c r="C73" s="1252"/>
      <c r="D73" s="1252"/>
      <c r="E73" s="1252"/>
      <c r="F73" s="1252"/>
      <c r="G73" s="1252"/>
      <c r="H73" s="1252"/>
    </row>
    <row r="74" spans="1:8">
      <c r="A74" s="1252"/>
      <c r="B74" s="1252"/>
      <c r="C74" s="1252"/>
      <c r="D74" s="1252"/>
      <c r="E74" s="1252"/>
      <c r="F74" s="1252"/>
      <c r="G74" s="1252"/>
      <c r="H74" s="1252"/>
    </row>
    <row r="75" spans="1:8">
      <c r="A75" s="1253" t="s">
        <v>1482</v>
      </c>
      <c r="B75" s="1252"/>
      <c r="C75" s="1252"/>
      <c r="D75" s="1252"/>
      <c r="E75" s="1252"/>
      <c r="F75" s="1252"/>
      <c r="G75" s="1252"/>
      <c r="H75" s="1252"/>
    </row>
    <row r="76" spans="1:8">
      <c r="A76" s="1253" t="s">
        <v>1483</v>
      </c>
      <c r="B76" s="1252"/>
      <c r="C76" s="1252"/>
      <c r="D76" s="1252"/>
      <c r="E76" s="1252"/>
      <c r="F76" s="1252"/>
      <c r="G76" s="1252"/>
      <c r="H76" s="1252"/>
    </row>
    <row r="77" spans="1:8">
      <c r="A77" s="1252"/>
      <c r="B77" s="1252"/>
      <c r="C77" s="1252"/>
      <c r="D77" s="1252"/>
      <c r="E77" s="1252"/>
      <c r="F77" s="1252"/>
      <c r="G77" s="1252"/>
      <c r="H77" s="1252"/>
    </row>
    <row r="78" spans="1:8">
      <c r="A78" s="1253" t="s">
        <v>1479</v>
      </c>
      <c r="B78" s="1252"/>
      <c r="C78" s="1252"/>
      <c r="D78" s="1252"/>
      <c r="E78" s="1252"/>
      <c r="F78" s="1252"/>
      <c r="G78" s="1252"/>
      <c r="H78" s="1252"/>
    </row>
    <row r="79" spans="1:8">
      <c r="A79" s="1253" t="s">
        <v>1480</v>
      </c>
      <c r="B79" s="1252"/>
      <c r="C79" s="1252"/>
      <c r="D79" s="1252"/>
      <c r="E79" s="1252"/>
      <c r="F79" s="1252"/>
      <c r="G79" s="1252"/>
      <c r="H79" s="1252"/>
    </row>
    <row r="80" spans="1:8">
      <c r="A80" s="1253" t="s">
        <v>1481</v>
      </c>
      <c r="B80" s="1252"/>
      <c r="C80" s="1252"/>
      <c r="D80" s="1252"/>
      <c r="E80" s="1252"/>
      <c r="F80" s="1252"/>
      <c r="G80" s="1252"/>
      <c r="H80" s="1252"/>
    </row>
    <row r="81" spans="1:8">
      <c r="A81" s="1252"/>
      <c r="B81" s="1252"/>
      <c r="C81" s="1252"/>
      <c r="D81" s="1252"/>
      <c r="E81" s="1252"/>
      <c r="F81" s="1252"/>
      <c r="G81" s="1252"/>
      <c r="H81" s="1252"/>
    </row>
    <row r="82" spans="1:8">
      <c r="A82" s="1253" t="s">
        <v>1235</v>
      </c>
      <c r="B82" s="1252"/>
      <c r="C82" s="1252"/>
      <c r="D82" s="1252"/>
      <c r="E82" s="1252"/>
      <c r="F82" s="1252"/>
      <c r="G82" s="1252"/>
      <c r="H82" s="1252"/>
    </row>
    <row r="83" spans="1:8">
      <c r="A83" s="1252"/>
      <c r="B83" s="1252"/>
      <c r="C83" s="1252"/>
      <c r="D83" s="1252"/>
      <c r="E83" s="1252"/>
      <c r="F83" s="1252"/>
      <c r="G83" s="1252"/>
      <c r="H83" s="1252"/>
    </row>
    <row r="84" spans="1:8">
      <c r="A84" s="1253" t="s">
        <v>1474</v>
      </c>
      <c r="B84" s="1252"/>
      <c r="C84" s="1252"/>
      <c r="D84" s="1252"/>
      <c r="E84" s="1252"/>
      <c r="F84" s="1252"/>
      <c r="G84" s="1252"/>
      <c r="H84" s="1252"/>
    </row>
    <row r="85" spans="1:8">
      <c r="A85" s="1253" t="s">
        <v>1475</v>
      </c>
      <c r="B85" s="1252"/>
      <c r="C85" s="1252"/>
      <c r="D85" s="1252"/>
      <c r="E85" s="1252"/>
      <c r="F85" s="1252"/>
      <c r="G85" s="1252"/>
      <c r="H85" s="1252"/>
    </row>
    <row r="86" spans="1:8">
      <c r="A86" s="1253" t="s">
        <v>1476</v>
      </c>
      <c r="B86" s="1252"/>
      <c r="C86" s="1252"/>
      <c r="D86" s="1252"/>
      <c r="E86" s="1252"/>
      <c r="F86" s="1252"/>
      <c r="G86" s="1252"/>
      <c r="H86" s="1252"/>
    </row>
    <row r="87" spans="1:8">
      <c r="A87" s="1253" t="s">
        <v>1477</v>
      </c>
      <c r="B87" s="1252"/>
      <c r="C87" s="1252"/>
      <c r="D87" s="1252"/>
      <c r="E87" s="1252"/>
      <c r="F87" s="1252"/>
      <c r="G87" s="1252"/>
      <c r="H87" s="1252"/>
    </row>
    <row r="88" spans="1:8">
      <c r="A88" s="1253" t="s">
        <v>1478</v>
      </c>
      <c r="B88" s="1252"/>
      <c r="C88" s="1252"/>
      <c r="D88" s="1252"/>
      <c r="E88" s="1252"/>
      <c r="F88" s="1252"/>
      <c r="G88" s="1252"/>
      <c r="H88" s="1252"/>
    </row>
    <row r="89" spans="1:8">
      <c r="A89" s="1253" t="s">
        <v>1361</v>
      </c>
      <c r="B89" s="1252"/>
      <c r="C89" s="1252"/>
      <c r="D89" s="1252"/>
      <c r="E89" s="1252"/>
      <c r="F89" s="1252"/>
      <c r="G89" s="1252"/>
      <c r="H89" s="1252"/>
    </row>
    <row r="90" spans="1:8">
      <c r="A90" s="1252"/>
      <c r="B90" s="1252"/>
      <c r="C90" s="1252"/>
      <c r="D90" s="1252"/>
      <c r="E90" s="1252"/>
      <c r="F90" s="1252"/>
      <c r="G90" s="1252"/>
      <c r="H90" s="1252"/>
    </row>
    <row r="91" spans="1:8">
      <c r="A91" s="1253" t="s">
        <v>1467</v>
      </c>
      <c r="B91" s="1252"/>
      <c r="C91" s="1252"/>
      <c r="D91" s="1252"/>
      <c r="E91" s="1252"/>
      <c r="F91" s="1252"/>
      <c r="G91" s="1252"/>
      <c r="H91" s="1252"/>
    </row>
    <row r="92" spans="1:8">
      <c r="A92" s="1253" t="s">
        <v>1468</v>
      </c>
      <c r="B92" s="1252"/>
      <c r="C92" s="1252"/>
      <c r="D92" s="1252"/>
      <c r="E92" s="1252"/>
      <c r="F92" s="1252"/>
      <c r="G92" s="1252"/>
      <c r="H92" s="1252"/>
    </row>
    <row r="93" spans="1:8">
      <c r="A93" s="1253" t="s">
        <v>1469</v>
      </c>
      <c r="B93" s="1252"/>
      <c r="C93" s="1252"/>
      <c r="D93" s="1252"/>
      <c r="E93" s="1252"/>
      <c r="F93" s="1252"/>
      <c r="G93" s="1252"/>
      <c r="H93" s="1252"/>
    </row>
    <row r="94" spans="1:8">
      <c r="A94" s="1253" t="s">
        <v>1470</v>
      </c>
      <c r="B94" s="1252"/>
      <c r="C94" s="1252"/>
      <c r="D94" s="1252"/>
      <c r="E94" s="1252"/>
      <c r="F94" s="1252"/>
      <c r="G94" s="1252"/>
      <c r="H94" s="1252"/>
    </row>
    <row r="95" spans="1:8">
      <c r="A95" s="1253" t="s">
        <v>1471</v>
      </c>
      <c r="B95" s="1252"/>
      <c r="C95" s="1252"/>
      <c r="D95" s="1252"/>
      <c r="E95" s="1252"/>
      <c r="F95" s="1252"/>
      <c r="G95" s="1252"/>
      <c r="H95" s="1252"/>
    </row>
    <row r="96" spans="1:8">
      <c r="A96" s="1253" t="s">
        <v>1472</v>
      </c>
      <c r="B96" s="1252"/>
      <c r="C96" s="1252"/>
      <c r="D96" s="1252"/>
      <c r="E96" s="1252"/>
      <c r="F96" s="1252"/>
      <c r="G96" s="1252"/>
      <c r="H96" s="1252"/>
    </row>
    <row r="97" spans="1:8">
      <c r="A97" s="1253" t="s">
        <v>1473</v>
      </c>
      <c r="B97" s="1252"/>
      <c r="C97" s="1252"/>
      <c r="D97" s="1252"/>
      <c r="E97" s="1252"/>
      <c r="F97" s="1252"/>
      <c r="G97" s="1252"/>
      <c r="H97" s="1252"/>
    </row>
    <row r="98" spans="1:8">
      <c r="A98" s="1252"/>
      <c r="B98" s="1252"/>
      <c r="C98" s="1252"/>
      <c r="D98" s="1252"/>
      <c r="E98" s="1252"/>
      <c r="F98" s="1252"/>
      <c r="G98" s="1252"/>
      <c r="H98" s="1252"/>
    </row>
    <row r="99" spans="1:8">
      <c r="A99" s="1253" t="s">
        <v>1465</v>
      </c>
      <c r="B99" s="1252"/>
      <c r="C99" s="1252"/>
      <c r="D99" s="1252"/>
      <c r="E99" s="1252"/>
      <c r="F99" s="1252"/>
      <c r="G99" s="1252"/>
      <c r="H99" s="1252"/>
    </row>
    <row r="100" spans="1:8">
      <c r="A100" s="1253" t="s">
        <v>1466</v>
      </c>
      <c r="B100" s="1252"/>
      <c r="C100" s="1252"/>
      <c r="D100" s="1252"/>
      <c r="E100" s="1252"/>
      <c r="F100" s="1252"/>
      <c r="G100" s="1252"/>
      <c r="H100" s="1252"/>
    </row>
    <row r="101" spans="1:8">
      <c r="A101" s="1252"/>
      <c r="B101" s="1252"/>
      <c r="C101" s="1252"/>
      <c r="D101" s="1252"/>
      <c r="E101" s="1252"/>
      <c r="F101" s="1252"/>
      <c r="G101" s="1252"/>
      <c r="H101" s="1252"/>
    </row>
    <row r="102" spans="1:8" ht="15.75">
      <c r="A102" s="1254" t="s">
        <v>1236</v>
      </c>
      <c r="B102" s="1252"/>
      <c r="C102" s="1252"/>
      <c r="D102" s="1252"/>
      <c r="E102" s="1252"/>
      <c r="F102" s="1252"/>
      <c r="G102" s="1252"/>
      <c r="H102" s="1252"/>
    </row>
    <row r="103" spans="1:8">
      <c r="A103" s="1252"/>
      <c r="B103" s="1252"/>
      <c r="C103" s="1252"/>
      <c r="D103" s="1252"/>
      <c r="E103" s="1252"/>
      <c r="F103" s="1252"/>
      <c r="G103" s="1252"/>
      <c r="H103" s="1252"/>
    </row>
    <row r="104" spans="1:8">
      <c r="A104" s="1253" t="s">
        <v>1456</v>
      </c>
      <c r="B104" s="1252"/>
      <c r="C104" s="1252"/>
      <c r="D104" s="1252"/>
      <c r="E104" s="1252"/>
      <c r="F104" s="1252"/>
      <c r="G104" s="1252"/>
      <c r="H104" s="1252"/>
    </row>
    <row r="105" spans="1:8">
      <c r="A105" s="1253" t="s">
        <v>1457</v>
      </c>
      <c r="B105" s="1252"/>
      <c r="C105" s="1252"/>
      <c r="D105" s="1252"/>
      <c r="E105" s="1252"/>
      <c r="F105" s="1252"/>
      <c r="G105" s="1252"/>
      <c r="H105" s="1252"/>
    </row>
    <row r="106" spans="1:8">
      <c r="A106" s="1253" t="s">
        <v>1458</v>
      </c>
      <c r="B106" s="1252"/>
      <c r="C106" s="1252"/>
      <c r="D106" s="1252"/>
      <c r="E106" s="1252"/>
      <c r="F106" s="1252"/>
      <c r="G106" s="1252"/>
      <c r="H106" s="1252"/>
    </row>
    <row r="107" spans="1:8">
      <c r="A107" s="1253" t="s">
        <v>1459</v>
      </c>
      <c r="B107" s="1252"/>
      <c r="C107" s="1252"/>
      <c r="D107" s="1252"/>
      <c r="E107" s="1252"/>
      <c r="F107" s="1252"/>
      <c r="G107" s="1252"/>
      <c r="H107" s="1252"/>
    </row>
    <row r="108" spans="1:8">
      <c r="A108" s="1253" t="s">
        <v>1460</v>
      </c>
      <c r="B108" s="1252"/>
      <c r="C108" s="1252"/>
      <c r="D108" s="1252"/>
      <c r="E108" s="1252"/>
      <c r="F108" s="1252"/>
      <c r="G108" s="1252"/>
      <c r="H108" s="1252"/>
    </row>
    <row r="109" spans="1:8">
      <c r="A109" s="1253" t="s">
        <v>1461</v>
      </c>
      <c r="B109" s="1252"/>
      <c r="C109" s="1252"/>
      <c r="D109" s="1252"/>
      <c r="E109" s="1252"/>
      <c r="F109" s="1252"/>
      <c r="G109" s="1252"/>
      <c r="H109" s="1252"/>
    </row>
    <row r="110" spans="1:8">
      <c r="A110" s="1253" t="s">
        <v>1462</v>
      </c>
      <c r="B110" s="1252"/>
      <c r="C110" s="1252"/>
      <c r="D110" s="1252"/>
      <c r="E110" s="1252"/>
      <c r="F110" s="1252"/>
      <c r="G110" s="1252"/>
      <c r="H110" s="1252"/>
    </row>
    <row r="111" spans="1:8">
      <c r="A111" s="1253" t="s">
        <v>1463</v>
      </c>
      <c r="B111" s="1252"/>
      <c r="C111" s="1252"/>
      <c r="D111" s="1252"/>
      <c r="E111" s="1252"/>
      <c r="F111" s="1252"/>
      <c r="G111" s="1252"/>
      <c r="H111" s="1252"/>
    </row>
    <row r="112" spans="1:8">
      <c r="A112" s="1253" t="s">
        <v>1464</v>
      </c>
      <c r="B112" s="1252"/>
      <c r="C112" s="1252"/>
      <c r="D112" s="1252"/>
      <c r="E112" s="1252"/>
      <c r="F112" s="1252"/>
      <c r="G112" s="1252"/>
      <c r="H112" s="1252"/>
    </row>
    <row r="113" spans="1:8">
      <c r="A113" s="1252"/>
      <c r="B113" s="1252"/>
      <c r="C113" s="1252"/>
      <c r="D113" s="1252"/>
      <c r="E113" s="1252"/>
      <c r="F113" s="1252"/>
      <c r="G113" s="1252"/>
      <c r="H113" s="1252"/>
    </row>
    <row r="114" spans="1:8" ht="15.75">
      <c r="A114" s="1255" t="s">
        <v>1237</v>
      </c>
      <c r="B114" s="1255"/>
      <c r="C114" s="1255"/>
      <c r="D114" s="1255"/>
      <c r="E114" s="1255"/>
      <c r="F114" s="1255"/>
      <c r="G114" s="1255"/>
      <c r="H114" s="1255"/>
    </row>
    <row r="115" spans="1:8">
      <c r="A115" s="1256" t="s">
        <v>1238</v>
      </c>
      <c r="B115" s="1256"/>
      <c r="C115" s="1256"/>
      <c r="D115" s="1256"/>
      <c r="E115" s="1256"/>
      <c r="F115" s="1256"/>
      <c r="G115" s="1256"/>
      <c r="H115" s="1256"/>
    </row>
    <row r="116" spans="1:8">
      <c r="A116" s="1257"/>
      <c r="B116" s="1257"/>
      <c r="C116" s="1257"/>
      <c r="D116" s="1257"/>
      <c r="E116" s="1257"/>
      <c r="F116" s="1257"/>
      <c r="G116" s="1257"/>
      <c r="H116" s="1257"/>
    </row>
    <row r="117" spans="1:8">
      <c r="A117" s="1256" t="s">
        <v>1454</v>
      </c>
      <c r="B117" s="1256"/>
      <c r="C117" s="1256"/>
      <c r="D117" s="1256"/>
      <c r="E117" s="1256"/>
      <c r="F117" s="1256"/>
      <c r="G117" s="1256"/>
      <c r="H117" s="1256"/>
    </row>
    <row r="118" spans="1:8">
      <c r="A118" s="1253" t="s">
        <v>1455</v>
      </c>
      <c r="B118" s="1253"/>
      <c r="C118" s="1253"/>
      <c r="D118" s="1253"/>
      <c r="E118" s="1253"/>
      <c r="F118" s="1253"/>
      <c r="G118" s="1253"/>
      <c r="H118" s="1253"/>
    </row>
    <row r="119" spans="1:8">
      <c r="A119" s="1257"/>
      <c r="B119" s="1257"/>
      <c r="C119" s="1257"/>
      <c r="D119" s="1257"/>
      <c r="E119" s="1257"/>
      <c r="F119" s="1257"/>
      <c r="G119" s="1257"/>
      <c r="H119" s="1257"/>
    </row>
    <row r="120" spans="1:8">
      <c r="A120" s="1256" t="s">
        <v>1447</v>
      </c>
      <c r="B120" s="1256"/>
      <c r="C120" s="1256"/>
      <c r="D120" s="1256"/>
      <c r="E120" s="1256"/>
      <c r="F120" s="1256"/>
      <c r="G120" s="1256"/>
      <c r="H120" s="1256"/>
    </row>
    <row r="121" spans="1:8">
      <c r="A121" s="1253" t="s">
        <v>1448</v>
      </c>
      <c r="B121" s="1253"/>
      <c r="C121" s="1253"/>
      <c r="D121" s="1253"/>
      <c r="E121" s="1253"/>
      <c r="F121" s="1253"/>
      <c r="G121" s="1253"/>
      <c r="H121" s="1253"/>
    </row>
    <row r="122" spans="1:8">
      <c r="A122" s="1253" t="s">
        <v>1449</v>
      </c>
      <c r="B122" s="1253"/>
      <c r="C122" s="1253"/>
      <c r="D122" s="1253"/>
      <c r="E122" s="1253"/>
      <c r="F122" s="1253"/>
      <c r="G122" s="1253"/>
      <c r="H122" s="1253"/>
    </row>
    <row r="123" spans="1:8">
      <c r="A123" s="1253" t="s">
        <v>1450</v>
      </c>
      <c r="B123" s="1253"/>
      <c r="C123" s="1253"/>
      <c r="D123" s="1253"/>
      <c r="E123" s="1253"/>
      <c r="F123" s="1253"/>
      <c r="G123" s="1253"/>
      <c r="H123" s="1253"/>
    </row>
    <row r="124" spans="1:8">
      <c r="A124" s="1253" t="s">
        <v>1451</v>
      </c>
      <c r="B124" s="1253"/>
      <c r="C124" s="1253"/>
      <c r="D124" s="1253"/>
      <c r="E124" s="1253"/>
      <c r="F124" s="1253"/>
      <c r="G124" s="1253"/>
      <c r="H124" s="1253"/>
    </row>
    <row r="125" spans="1:8">
      <c r="A125" s="1253" t="s">
        <v>1452</v>
      </c>
      <c r="B125" s="1253"/>
      <c r="C125" s="1253"/>
      <c r="D125" s="1253"/>
      <c r="E125" s="1253"/>
      <c r="F125" s="1253"/>
      <c r="G125" s="1253"/>
      <c r="H125" s="1253"/>
    </row>
    <row r="126" spans="1:8">
      <c r="A126" s="1253" t="s">
        <v>1453</v>
      </c>
      <c r="B126" s="1253"/>
      <c r="C126" s="1253"/>
      <c r="D126" s="1253"/>
      <c r="E126" s="1253"/>
      <c r="F126" s="1253"/>
      <c r="G126" s="1253"/>
      <c r="H126" s="1253"/>
    </row>
    <row r="127" spans="1:8">
      <c r="A127" s="1258"/>
      <c r="B127" s="1258"/>
      <c r="C127" s="1258"/>
      <c r="D127" s="1258"/>
      <c r="E127" s="1258"/>
      <c r="F127" s="1258"/>
      <c r="G127" s="1258"/>
      <c r="H127" s="1258"/>
    </row>
    <row r="128" spans="1:8">
      <c r="A128" s="1259"/>
      <c r="B128" s="1260" t="s">
        <v>1239</v>
      </c>
      <c r="C128" s="1261"/>
      <c r="D128" s="1260" t="s">
        <v>1240</v>
      </c>
      <c r="E128" s="1262"/>
      <c r="F128" s="1261"/>
      <c r="G128" s="1260" t="s">
        <v>1241</v>
      </c>
      <c r="H128" s="1261"/>
    </row>
    <row r="129" spans="1:8">
      <c r="A129" s="1259" t="s">
        <v>1242</v>
      </c>
      <c r="B129" s="1259" t="s">
        <v>750</v>
      </c>
      <c r="C129" s="1259" t="s">
        <v>1243</v>
      </c>
      <c r="D129" s="1259" t="s">
        <v>750</v>
      </c>
      <c r="E129" s="1259" t="s">
        <v>1244</v>
      </c>
      <c r="F129" s="1259" t="s">
        <v>1245</v>
      </c>
      <c r="G129" s="1259" t="s">
        <v>750</v>
      </c>
      <c r="H129" s="1259" t="s">
        <v>1246</v>
      </c>
    </row>
    <row r="130" spans="1:8">
      <c r="A130" s="1259" t="s">
        <v>1247</v>
      </c>
      <c r="B130" s="1259">
        <v>1189</v>
      </c>
      <c r="C130" s="1263">
        <v>0.38</v>
      </c>
      <c r="D130" s="1259">
        <v>315</v>
      </c>
      <c r="E130" s="1263">
        <v>0.41</v>
      </c>
      <c r="F130" s="1263">
        <v>0.26</v>
      </c>
      <c r="G130" s="1259">
        <v>555</v>
      </c>
      <c r="H130" s="1263">
        <v>0.39</v>
      </c>
    </row>
    <row r="131" spans="1:8">
      <c r="A131" s="1259" t="s">
        <v>1248</v>
      </c>
      <c r="B131" s="1259">
        <v>1355</v>
      </c>
      <c r="C131" s="1263">
        <v>0.43</v>
      </c>
      <c r="D131" s="1259">
        <v>364</v>
      </c>
      <c r="E131" s="1263">
        <v>0.47</v>
      </c>
      <c r="F131" s="1263">
        <v>0.27</v>
      </c>
      <c r="G131" s="1259">
        <v>644</v>
      </c>
      <c r="H131" s="1263">
        <v>0.45</v>
      </c>
    </row>
    <row r="132" spans="1:8">
      <c r="A132" s="1259" t="s">
        <v>1249</v>
      </c>
      <c r="B132" s="1259">
        <v>53</v>
      </c>
      <c r="C132" s="1263">
        <v>0.02</v>
      </c>
      <c r="D132" s="1259">
        <v>4</v>
      </c>
      <c r="E132" s="1263">
        <v>0.01</v>
      </c>
      <c r="F132" s="1263">
        <v>0.08</v>
      </c>
      <c r="G132" s="1259">
        <v>7</v>
      </c>
      <c r="H132" s="1263">
        <v>0</v>
      </c>
    </row>
    <row r="133" spans="1:8">
      <c r="A133" s="1259" t="s">
        <v>1250</v>
      </c>
      <c r="B133" s="1259">
        <v>545</v>
      </c>
      <c r="C133" s="1263">
        <v>0.17</v>
      </c>
      <c r="D133" s="1259">
        <v>84</v>
      </c>
      <c r="E133" s="1263">
        <v>0.11</v>
      </c>
      <c r="F133" s="1263">
        <v>0.15</v>
      </c>
      <c r="G133" s="1259">
        <v>214</v>
      </c>
      <c r="H133" s="1263">
        <v>0.15</v>
      </c>
    </row>
    <row r="134" spans="1:8">
      <c r="A134" s="1259" t="s">
        <v>249</v>
      </c>
      <c r="B134" s="1264">
        <v>3142</v>
      </c>
      <c r="C134" s="1259"/>
      <c r="D134" s="1259">
        <v>767</v>
      </c>
      <c r="E134" s="1259"/>
      <c r="F134" s="1259"/>
      <c r="G134" s="1259">
        <v>1420</v>
      </c>
      <c r="H134" s="1259"/>
    </row>
    <row r="135" spans="1:8">
      <c r="A135" s="1265"/>
      <c r="B135" s="1265"/>
      <c r="C135" s="1265"/>
      <c r="D135" s="1265"/>
      <c r="E135" s="1265"/>
      <c r="F135" s="1265"/>
      <c r="G135" s="1265"/>
      <c r="H135" s="1265"/>
    </row>
    <row r="136" spans="1:8">
      <c r="A136" s="1256" t="s">
        <v>1443</v>
      </c>
      <c r="B136" s="1256"/>
      <c r="C136" s="1256"/>
      <c r="D136" s="1256"/>
      <c r="E136" s="1256"/>
      <c r="F136" s="1256"/>
      <c r="G136" s="1256"/>
      <c r="H136" s="1256"/>
    </row>
    <row r="137" spans="1:8">
      <c r="A137" s="1253" t="s">
        <v>1444</v>
      </c>
      <c r="B137" s="1253"/>
      <c r="C137" s="1253"/>
      <c r="D137" s="1253"/>
      <c r="E137" s="1253"/>
      <c r="F137" s="1253"/>
      <c r="G137" s="1253"/>
      <c r="H137" s="1253"/>
    </row>
    <row r="138" spans="1:8">
      <c r="A138" s="1253" t="s">
        <v>1445</v>
      </c>
      <c r="B138" s="1253"/>
      <c r="C138" s="1253"/>
      <c r="D138" s="1253"/>
      <c r="E138" s="1253"/>
      <c r="F138" s="1253"/>
      <c r="G138" s="1253"/>
      <c r="H138" s="1253"/>
    </row>
    <row r="139" spans="1:8">
      <c r="A139" s="1253" t="s">
        <v>1446</v>
      </c>
      <c r="B139" s="1253"/>
      <c r="C139" s="1253"/>
      <c r="D139" s="1253"/>
      <c r="E139" s="1253"/>
      <c r="F139" s="1253"/>
      <c r="G139" s="1253"/>
      <c r="H139" s="1253"/>
    </row>
    <row r="140" spans="1:8">
      <c r="A140" s="1252"/>
      <c r="B140" s="1252"/>
      <c r="C140" s="1252"/>
      <c r="D140" s="1252"/>
      <c r="E140" s="1252"/>
      <c r="F140" s="1252"/>
      <c r="G140" s="1252"/>
      <c r="H140" s="1252"/>
    </row>
    <row r="141" spans="1:8" ht="15.75">
      <c r="A141" s="1254" t="s">
        <v>1251</v>
      </c>
      <c r="B141" s="1252"/>
      <c r="C141" s="1252"/>
      <c r="D141" s="1252"/>
      <c r="E141" s="1252"/>
      <c r="F141" s="1252"/>
      <c r="G141" s="1252"/>
      <c r="H141" s="1252"/>
    </row>
    <row r="142" spans="1:8">
      <c r="A142" s="1252"/>
      <c r="B142" s="1252"/>
      <c r="C142" s="1252"/>
      <c r="D142" s="1252"/>
      <c r="E142" s="1252"/>
      <c r="F142" s="1252"/>
      <c r="G142" s="1252"/>
      <c r="H142" s="1252"/>
    </row>
    <row r="143" spans="1:8">
      <c r="A143" s="1253" t="s">
        <v>1441</v>
      </c>
      <c r="B143" s="1252"/>
      <c r="C143" s="1252"/>
      <c r="D143" s="1252"/>
      <c r="E143" s="1252"/>
      <c r="F143" s="1252"/>
      <c r="G143" s="1252"/>
      <c r="H143" s="1252"/>
    </row>
    <row r="144" spans="1:8">
      <c r="A144" s="1253" t="s">
        <v>1442</v>
      </c>
      <c r="B144" s="1252"/>
      <c r="C144" s="1252"/>
      <c r="D144" s="1252"/>
      <c r="E144" s="1252"/>
      <c r="F144" s="1252"/>
      <c r="G144" s="1252"/>
      <c r="H144" s="1252"/>
    </row>
    <row r="145" spans="1:8">
      <c r="A145" s="1252"/>
      <c r="B145" s="1252"/>
      <c r="C145" s="1252"/>
      <c r="D145" s="1252"/>
      <c r="E145" s="1252"/>
      <c r="F145" s="1252"/>
      <c r="G145" s="1252"/>
      <c r="H145" s="1252"/>
    </row>
    <row r="146" spans="1:8">
      <c r="A146" s="1253" t="s">
        <v>1438</v>
      </c>
      <c r="B146" s="1252"/>
      <c r="C146" s="1252"/>
      <c r="D146" s="1252"/>
      <c r="E146" s="1252"/>
      <c r="F146" s="1252"/>
      <c r="G146" s="1252"/>
      <c r="H146" s="1252"/>
    </row>
    <row r="147" spans="1:8">
      <c r="A147" s="1253" t="s">
        <v>1439</v>
      </c>
      <c r="B147" s="1252"/>
      <c r="C147" s="1252"/>
      <c r="D147" s="1252"/>
      <c r="E147" s="1252"/>
      <c r="F147" s="1252"/>
      <c r="G147" s="1252"/>
      <c r="H147" s="1252"/>
    </row>
    <row r="148" spans="1:8">
      <c r="A148" s="1253" t="s">
        <v>1440</v>
      </c>
      <c r="B148" s="1252"/>
      <c r="C148" s="1252"/>
      <c r="D148" s="1252"/>
      <c r="E148" s="1252"/>
      <c r="F148" s="1252"/>
      <c r="G148" s="1252"/>
      <c r="H148" s="1252"/>
    </row>
    <row r="149" spans="1:8">
      <c r="A149" s="1252"/>
      <c r="B149" s="1252"/>
      <c r="C149" s="1252"/>
      <c r="D149" s="1252"/>
      <c r="E149" s="1252"/>
      <c r="F149" s="1252"/>
      <c r="G149" s="1252"/>
      <c r="H149" s="1252"/>
    </row>
    <row r="150" spans="1:8">
      <c r="A150" s="1253" t="s">
        <v>1435</v>
      </c>
      <c r="B150" s="1252"/>
      <c r="C150" s="1252"/>
      <c r="D150" s="1252"/>
      <c r="E150" s="1252"/>
      <c r="F150" s="1252"/>
      <c r="G150" s="1252"/>
      <c r="H150" s="1252"/>
    </row>
    <row r="151" spans="1:8">
      <c r="A151" s="1253" t="s">
        <v>1436</v>
      </c>
      <c r="B151" s="1252"/>
      <c r="C151" s="1252"/>
      <c r="D151" s="1252"/>
      <c r="E151" s="1252"/>
      <c r="F151" s="1252"/>
      <c r="G151" s="1252"/>
      <c r="H151" s="1252"/>
    </row>
    <row r="152" spans="1:8">
      <c r="A152" s="1253" t="s">
        <v>1437</v>
      </c>
      <c r="B152" s="1252"/>
      <c r="C152" s="1252"/>
      <c r="D152" s="1252"/>
      <c r="E152" s="1252"/>
      <c r="F152" s="1252"/>
      <c r="G152" s="1252"/>
      <c r="H152" s="1252"/>
    </row>
    <row r="153" spans="1:8">
      <c r="A153" s="1252"/>
      <c r="B153" s="1252"/>
      <c r="C153" s="1252"/>
      <c r="D153" s="1252"/>
      <c r="E153" s="1252"/>
      <c r="F153" s="1252"/>
      <c r="G153" s="1252"/>
      <c r="H153" s="1252"/>
    </row>
    <row r="154" spans="1:8">
      <c r="A154" s="1253" t="s">
        <v>1432</v>
      </c>
      <c r="B154" s="1252"/>
      <c r="C154" s="1252"/>
      <c r="D154" s="1252"/>
      <c r="E154" s="1252"/>
      <c r="F154" s="1252"/>
      <c r="G154" s="1252"/>
      <c r="H154" s="1252"/>
    </row>
    <row r="155" spans="1:8">
      <c r="A155" s="1253" t="s">
        <v>1433</v>
      </c>
      <c r="B155" s="1252"/>
      <c r="C155" s="1252"/>
      <c r="D155" s="1252"/>
      <c r="E155" s="1252"/>
      <c r="F155" s="1252"/>
      <c r="G155" s="1252"/>
      <c r="H155" s="1252"/>
    </row>
    <row r="156" spans="1:8">
      <c r="A156" s="1253" t="s">
        <v>1434</v>
      </c>
      <c r="B156" s="1252"/>
      <c r="C156" s="1252"/>
      <c r="D156" s="1252"/>
      <c r="E156" s="1252"/>
      <c r="F156" s="1252"/>
      <c r="G156" s="1252"/>
      <c r="H156" s="1252"/>
    </row>
    <row r="157" spans="1:8">
      <c r="A157" s="1252"/>
      <c r="B157" s="1252"/>
      <c r="C157" s="1252"/>
      <c r="D157" s="1252"/>
      <c r="E157" s="1252"/>
      <c r="F157" s="1252"/>
      <c r="G157" s="1252"/>
      <c r="H157" s="1252"/>
    </row>
    <row r="158" spans="1:8">
      <c r="A158" s="1253" t="s">
        <v>1430</v>
      </c>
      <c r="B158" s="1252"/>
      <c r="C158" s="1252"/>
      <c r="D158" s="1252"/>
      <c r="E158" s="1252"/>
      <c r="F158" s="1252"/>
      <c r="G158" s="1252"/>
      <c r="H158" s="1252"/>
    </row>
    <row r="159" spans="1:8">
      <c r="A159" s="1253" t="s">
        <v>1431</v>
      </c>
      <c r="B159" s="1252"/>
      <c r="C159" s="1252"/>
      <c r="D159" s="1252"/>
      <c r="E159" s="1252"/>
      <c r="F159" s="1252"/>
      <c r="G159" s="1252"/>
      <c r="H159" s="1252"/>
    </row>
    <row r="160" spans="1:8">
      <c r="A160" s="1252"/>
      <c r="B160" s="1252"/>
      <c r="C160" s="1252"/>
      <c r="D160" s="1252"/>
      <c r="E160" s="1252"/>
      <c r="F160" s="1252"/>
      <c r="G160" s="1252"/>
      <c r="H160" s="1252"/>
    </row>
    <row r="161" spans="1:8" ht="15.75">
      <c r="A161" s="1254" t="s">
        <v>1252</v>
      </c>
      <c r="B161" s="1252"/>
      <c r="C161" s="1252"/>
      <c r="D161" s="1252"/>
      <c r="E161" s="1252"/>
      <c r="F161" s="1252"/>
      <c r="G161" s="1252"/>
      <c r="H161" s="1252"/>
    </row>
    <row r="162" spans="1:8">
      <c r="A162" s="1252"/>
      <c r="B162" s="1252"/>
      <c r="C162" s="1252"/>
      <c r="D162" s="1252"/>
      <c r="E162" s="1252"/>
      <c r="F162" s="1252"/>
      <c r="G162" s="1252"/>
      <c r="H162" s="1252"/>
    </row>
    <row r="163" spans="1:8">
      <c r="A163" s="1253" t="s">
        <v>1428</v>
      </c>
      <c r="B163" s="1252"/>
      <c r="C163" s="1252"/>
      <c r="D163" s="1252"/>
      <c r="E163" s="1252"/>
      <c r="F163" s="1252"/>
      <c r="G163" s="1252"/>
      <c r="H163" s="1252"/>
    </row>
    <row r="164" spans="1:8">
      <c r="A164" s="1253" t="s">
        <v>1429</v>
      </c>
      <c r="B164" s="1252"/>
      <c r="C164" s="1252"/>
      <c r="D164" s="1252"/>
      <c r="E164" s="1252"/>
      <c r="F164" s="1252"/>
      <c r="G164" s="1252"/>
      <c r="H164" s="1252"/>
    </row>
    <row r="165" spans="1:8">
      <c r="A165" s="1252"/>
      <c r="B165" s="1252"/>
      <c r="C165" s="1252"/>
      <c r="D165" s="1252"/>
      <c r="E165" s="1252"/>
      <c r="F165" s="1252"/>
      <c r="G165" s="1252"/>
      <c r="H165" s="1252"/>
    </row>
    <row r="166" spans="1:8">
      <c r="A166" s="1253" t="s">
        <v>1426</v>
      </c>
      <c r="B166" s="1252"/>
      <c r="C166" s="1252"/>
      <c r="D166" s="1252"/>
      <c r="E166" s="1252"/>
      <c r="F166" s="1252"/>
      <c r="G166" s="1252"/>
      <c r="H166" s="1252"/>
    </row>
    <row r="167" spans="1:8">
      <c r="A167" s="1253" t="s">
        <v>1427</v>
      </c>
      <c r="B167" s="1252"/>
      <c r="C167" s="1252"/>
      <c r="D167" s="1252"/>
      <c r="E167" s="1252"/>
      <c r="F167" s="1252"/>
      <c r="G167" s="1252"/>
      <c r="H167" s="1252"/>
    </row>
    <row r="168" spans="1:8">
      <c r="A168" s="1252"/>
      <c r="B168" s="1252"/>
      <c r="C168" s="1252"/>
      <c r="D168" s="1252"/>
      <c r="E168" s="1252"/>
      <c r="F168" s="1252"/>
      <c r="G168" s="1252"/>
      <c r="H168" s="1252"/>
    </row>
    <row r="169" spans="1:8">
      <c r="A169" s="1253" t="s">
        <v>1424</v>
      </c>
      <c r="B169" s="1252"/>
      <c r="C169" s="1252"/>
      <c r="D169" s="1252"/>
      <c r="E169" s="1252"/>
      <c r="F169" s="1252"/>
      <c r="G169" s="1252"/>
      <c r="H169" s="1252"/>
    </row>
    <row r="170" spans="1:8">
      <c r="A170" s="1253" t="s">
        <v>1425</v>
      </c>
      <c r="B170" s="1252"/>
      <c r="C170" s="1252"/>
      <c r="D170" s="1252"/>
      <c r="E170" s="1252"/>
      <c r="F170" s="1252"/>
      <c r="G170" s="1252"/>
      <c r="H170" s="1252"/>
    </row>
    <row r="171" spans="1:8">
      <c r="A171" s="1252"/>
      <c r="B171" s="1252"/>
      <c r="C171" s="1252"/>
      <c r="D171" s="1252"/>
      <c r="E171" s="1252"/>
      <c r="F171" s="1252"/>
      <c r="G171" s="1252"/>
      <c r="H171" s="1252"/>
    </row>
    <row r="172" spans="1:8">
      <c r="A172" s="1253" t="s">
        <v>1421</v>
      </c>
      <c r="B172" s="1252"/>
      <c r="C172" s="1252"/>
      <c r="D172" s="1252"/>
      <c r="E172" s="1252"/>
      <c r="F172" s="1252"/>
      <c r="G172" s="1252"/>
      <c r="H172" s="1252"/>
    </row>
    <row r="173" spans="1:8">
      <c r="A173" s="1253" t="s">
        <v>1422</v>
      </c>
      <c r="B173" s="1252"/>
      <c r="C173" s="1252"/>
      <c r="D173" s="1252"/>
      <c r="E173" s="1252"/>
      <c r="F173" s="1252"/>
      <c r="G173" s="1252"/>
      <c r="H173" s="1252"/>
    </row>
    <row r="174" spans="1:8">
      <c r="A174" s="1253" t="s">
        <v>1423</v>
      </c>
      <c r="B174" s="1252"/>
      <c r="C174" s="1252"/>
      <c r="D174" s="1252"/>
      <c r="E174" s="1252"/>
      <c r="F174" s="1252"/>
      <c r="G174" s="1252"/>
      <c r="H174" s="1252"/>
    </row>
    <row r="175" spans="1:8">
      <c r="A175" s="1252"/>
      <c r="B175" s="1252"/>
      <c r="C175" s="1252"/>
      <c r="D175" s="1252"/>
      <c r="E175" s="1252"/>
      <c r="F175" s="1252"/>
      <c r="G175" s="1252"/>
      <c r="H175" s="1252"/>
    </row>
    <row r="176" spans="1:8">
      <c r="A176" s="1252"/>
      <c r="B176" s="1252"/>
      <c r="C176" s="1252"/>
      <c r="D176" s="1252"/>
      <c r="E176" s="1252"/>
      <c r="F176" s="1252"/>
      <c r="G176" s="1252"/>
      <c r="H176" s="1252"/>
    </row>
    <row r="177" spans="1:8">
      <c r="A177" s="1253" t="s">
        <v>1253</v>
      </c>
      <c r="B177" s="1252"/>
      <c r="C177" s="1252"/>
      <c r="D177" s="1252"/>
      <c r="E177" s="1252"/>
      <c r="F177" s="1252"/>
      <c r="G177" s="1252"/>
      <c r="H177" s="1252"/>
    </row>
    <row r="178" spans="1:8">
      <c r="A178" s="1252"/>
      <c r="B178" s="1252"/>
      <c r="C178" s="1252"/>
      <c r="D178" s="1252"/>
      <c r="E178" s="1252"/>
      <c r="F178" s="1252"/>
      <c r="G178" s="1252"/>
      <c r="H178" s="1252"/>
    </row>
    <row r="179" spans="1:8" ht="15.75">
      <c r="A179" s="1254" t="s">
        <v>1254</v>
      </c>
      <c r="B179" s="1252"/>
      <c r="C179" s="1252"/>
      <c r="D179" s="1252"/>
      <c r="E179" s="1252"/>
      <c r="F179" s="1252"/>
      <c r="G179" s="1252"/>
      <c r="H179" s="1252"/>
    </row>
    <row r="180" spans="1:8">
      <c r="A180" s="1252"/>
      <c r="B180" s="1252"/>
      <c r="C180" s="1252"/>
      <c r="D180" s="1252"/>
      <c r="E180" s="1252"/>
      <c r="F180" s="1252"/>
      <c r="G180" s="1252"/>
      <c r="H180" s="1252"/>
    </row>
    <row r="181" spans="1:8">
      <c r="A181" s="1252"/>
      <c r="B181" s="1252"/>
      <c r="C181" s="1252"/>
      <c r="D181" s="1252"/>
      <c r="E181" s="1252"/>
      <c r="F181" s="1252"/>
      <c r="G181" s="1252"/>
      <c r="H181" s="1252"/>
    </row>
    <row r="182" spans="1:8">
      <c r="A182" s="1252"/>
      <c r="B182" s="1252"/>
      <c r="C182" s="1252"/>
      <c r="D182" s="1252"/>
      <c r="E182" s="1252"/>
      <c r="F182" s="1252"/>
      <c r="G182" s="1252"/>
      <c r="H182" s="1252"/>
    </row>
    <row r="183" spans="1:8">
      <c r="A183" s="1252"/>
      <c r="B183" s="1252"/>
      <c r="C183" s="1252"/>
      <c r="D183" s="1252"/>
      <c r="E183" s="1252"/>
      <c r="F183" s="1252"/>
      <c r="G183" s="1252"/>
      <c r="H183" s="1252"/>
    </row>
    <row r="184" spans="1:8">
      <c r="A184" s="1252"/>
      <c r="B184" s="1252"/>
      <c r="C184" s="1252"/>
      <c r="D184" s="1252"/>
      <c r="E184" s="1252"/>
      <c r="F184" s="1252"/>
      <c r="G184" s="1252"/>
      <c r="H184" s="1252"/>
    </row>
    <row r="185" spans="1:8">
      <c r="A185" s="1252"/>
      <c r="B185" s="1252"/>
      <c r="C185" s="1252"/>
      <c r="D185" s="1252"/>
      <c r="E185" s="1252"/>
      <c r="F185" s="1252"/>
      <c r="G185" s="1252"/>
      <c r="H185" s="1252"/>
    </row>
    <row r="186" spans="1:8">
      <c r="A186" s="1252"/>
      <c r="B186" s="1252"/>
      <c r="C186" s="1252"/>
      <c r="D186" s="1252"/>
      <c r="E186" s="1252"/>
      <c r="F186" s="1252"/>
      <c r="G186" s="1252"/>
      <c r="H186" s="1252"/>
    </row>
    <row r="187" spans="1:8">
      <c r="A187" s="1252"/>
      <c r="B187" s="1252"/>
      <c r="C187" s="1252"/>
      <c r="D187" s="1252"/>
      <c r="E187" s="1252"/>
      <c r="F187" s="1252"/>
      <c r="G187" s="1252"/>
      <c r="H187" s="1252"/>
    </row>
    <row r="188" spans="1:8">
      <c r="A188" s="1252"/>
      <c r="B188" s="1252"/>
      <c r="C188" s="1252"/>
      <c r="D188" s="1252"/>
      <c r="E188" s="1252"/>
      <c r="F188" s="1252"/>
      <c r="G188" s="1252"/>
      <c r="H188" s="1252"/>
    </row>
    <row r="189" spans="1:8">
      <c r="A189" s="1252"/>
      <c r="B189" s="1252"/>
      <c r="C189" s="1252"/>
      <c r="D189" s="1252"/>
      <c r="E189" s="1252"/>
      <c r="F189" s="1252"/>
      <c r="G189" s="1252"/>
      <c r="H189" s="1252"/>
    </row>
    <row r="190" spans="1:8">
      <c r="A190" s="1252"/>
      <c r="B190" s="1252"/>
      <c r="C190" s="1252"/>
      <c r="D190" s="1252"/>
      <c r="E190" s="1252"/>
      <c r="F190" s="1252"/>
      <c r="G190" s="1252"/>
      <c r="H190" s="1252"/>
    </row>
    <row r="191" spans="1:8">
      <c r="A191" s="1252"/>
      <c r="B191" s="1252"/>
      <c r="C191" s="1252"/>
      <c r="D191" s="1252"/>
      <c r="E191" s="1252"/>
      <c r="F191" s="1252"/>
      <c r="G191" s="1252"/>
      <c r="H191" s="1252"/>
    </row>
    <row r="192" spans="1:8">
      <c r="A192" s="1252"/>
      <c r="B192" s="1252"/>
      <c r="C192" s="1252"/>
      <c r="D192" s="1252"/>
      <c r="E192" s="1252"/>
      <c r="F192" s="1252"/>
      <c r="G192" s="1252"/>
      <c r="H192" s="1252"/>
    </row>
    <row r="193" spans="1:8">
      <c r="A193" s="1252"/>
      <c r="B193" s="1252"/>
      <c r="C193" s="1252"/>
      <c r="D193" s="1252"/>
      <c r="E193" s="1252"/>
      <c r="F193" s="1252"/>
      <c r="G193" s="1252"/>
      <c r="H193" s="1252"/>
    </row>
    <row r="194" spans="1:8">
      <c r="A194" s="1252"/>
      <c r="B194" s="1252"/>
      <c r="C194" s="1252"/>
      <c r="D194" s="1252"/>
      <c r="E194" s="1252"/>
      <c r="F194" s="1252"/>
      <c r="G194" s="1252"/>
      <c r="H194" s="1252"/>
    </row>
    <row r="195" spans="1:8">
      <c r="A195" s="1252"/>
      <c r="B195" s="1252"/>
      <c r="C195" s="1252"/>
      <c r="D195" s="1252"/>
      <c r="E195" s="1252"/>
      <c r="F195" s="1252"/>
      <c r="G195" s="1252"/>
      <c r="H195" s="1252"/>
    </row>
    <row r="196" spans="1:8">
      <c r="A196" s="1252"/>
      <c r="B196" s="1252"/>
      <c r="C196" s="1252"/>
      <c r="D196" s="1252"/>
      <c r="E196" s="1252"/>
      <c r="F196" s="1252"/>
      <c r="G196" s="1252"/>
      <c r="H196" s="1252"/>
    </row>
    <row r="197" spans="1:8">
      <c r="A197" s="1252"/>
      <c r="B197" s="1252"/>
      <c r="C197" s="1252"/>
      <c r="D197" s="1252"/>
      <c r="E197" s="1252"/>
      <c r="F197" s="1252"/>
      <c r="G197" s="1252"/>
      <c r="H197" s="1252"/>
    </row>
    <row r="198" spans="1:8">
      <c r="A198" s="1252"/>
      <c r="B198" s="1252"/>
      <c r="C198" s="1252"/>
      <c r="D198" s="1252"/>
      <c r="E198" s="1252"/>
      <c r="F198" s="1252"/>
      <c r="G198" s="1252"/>
      <c r="H198" s="1252"/>
    </row>
    <row r="199" spans="1:8">
      <c r="A199" s="1252"/>
      <c r="B199" s="1252"/>
      <c r="C199" s="1252"/>
      <c r="D199" s="1252"/>
      <c r="E199" s="1252"/>
      <c r="F199" s="1252"/>
      <c r="G199" s="1252"/>
      <c r="H199" s="1252"/>
    </row>
    <row r="200" spans="1:8">
      <c r="A200" s="1252"/>
      <c r="B200" s="1252"/>
      <c r="C200" s="1252"/>
      <c r="D200" s="1252"/>
      <c r="E200" s="1252"/>
      <c r="F200" s="1252"/>
      <c r="G200" s="1252"/>
      <c r="H200" s="1252"/>
    </row>
    <row r="201" spans="1:8">
      <c r="A201" s="1252"/>
      <c r="B201" s="1252"/>
      <c r="C201" s="1252"/>
      <c r="D201" s="1252"/>
      <c r="E201" s="1252"/>
      <c r="F201" s="1252"/>
      <c r="G201" s="1252"/>
      <c r="H201" s="1252"/>
    </row>
    <row r="202" spans="1:8">
      <c r="A202" s="1252"/>
      <c r="B202" s="1252"/>
      <c r="C202" s="1252"/>
      <c r="D202" s="1252"/>
      <c r="E202" s="1252"/>
      <c r="F202" s="1252"/>
      <c r="G202" s="1252"/>
      <c r="H202" s="1252"/>
    </row>
    <row r="203" spans="1:8">
      <c r="A203" s="1252"/>
      <c r="B203" s="1252"/>
      <c r="C203" s="1252"/>
      <c r="D203" s="1252"/>
      <c r="E203" s="1252"/>
      <c r="F203" s="1252"/>
      <c r="G203" s="1252"/>
      <c r="H203" s="1252"/>
    </row>
    <row r="204" spans="1:8">
      <c r="A204" s="1252"/>
      <c r="B204" s="1252"/>
      <c r="C204" s="1252"/>
      <c r="D204" s="1252"/>
      <c r="E204" s="1252"/>
      <c r="F204" s="1252"/>
      <c r="G204" s="1252"/>
      <c r="H204" s="1252"/>
    </row>
    <row r="205" spans="1:8">
      <c r="A205" s="1252"/>
      <c r="B205" s="1252"/>
      <c r="C205" s="1252"/>
      <c r="D205" s="1252"/>
      <c r="E205" s="1252"/>
      <c r="F205" s="1252"/>
      <c r="G205" s="1252"/>
      <c r="H205" s="1252"/>
    </row>
    <row r="206" spans="1:8" ht="15.75">
      <c r="A206" s="1254" t="s">
        <v>1255</v>
      </c>
      <c r="B206" s="1252"/>
      <c r="C206" s="1252"/>
      <c r="D206" s="1252"/>
      <c r="E206" s="1252"/>
      <c r="F206" s="1252"/>
      <c r="G206" s="1252"/>
      <c r="H206" s="1252"/>
    </row>
    <row r="207" spans="1:8">
      <c r="A207" s="1252"/>
      <c r="B207" s="1252"/>
      <c r="C207" s="1252"/>
      <c r="D207" s="1252"/>
      <c r="E207" s="1252"/>
      <c r="F207" s="1252"/>
      <c r="G207" s="1252"/>
      <c r="H207" s="1252"/>
    </row>
    <row r="208" spans="1:8">
      <c r="A208" s="1253" t="s">
        <v>1416</v>
      </c>
      <c r="B208" s="1252"/>
      <c r="C208" s="1252"/>
      <c r="D208" s="1252"/>
      <c r="E208" s="1252"/>
      <c r="F208" s="1252"/>
      <c r="G208" s="1252"/>
      <c r="H208" s="1252"/>
    </row>
    <row r="209" spans="1:8">
      <c r="A209" s="1253" t="s">
        <v>1417</v>
      </c>
      <c r="B209" s="1252"/>
      <c r="C209" s="1252"/>
      <c r="D209" s="1252"/>
      <c r="E209" s="1252"/>
      <c r="F209" s="1252"/>
      <c r="G209" s="1252"/>
      <c r="H209" s="1252"/>
    </row>
    <row r="210" spans="1:8">
      <c r="A210" s="1253" t="s">
        <v>1418</v>
      </c>
      <c r="B210" s="1252"/>
      <c r="C210" s="1252"/>
      <c r="D210" s="1252"/>
      <c r="E210" s="1252"/>
      <c r="F210" s="1252"/>
      <c r="G210" s="1252"/>
      <c r="H210" s="1252"/>
    </row>
    <row r="211" spans="1:8">
      <c r="A211" s="1253" t="s">
        <v>1419</v>
      </c>
      <c r="B211" s="1252"/>
      <c r="C211" s="1252"/>
      <c r="D211" s="1252"/>
      <c r="E211" s="1252"/>
      <c r="F211" s="1252"/>
      <c r="G211" s="1252"/>
      <c r="H211" s="1252"/>
    </row>
    <row r="212" spans="1:8">
      <c r="A212" s="1253" t="s">
        <v>1420</v>
      </c>
      <c r="B212" s="1252"/>
      <c r="C212" s="1252"/>
      <c r="D212" s="1252"/>
      <c r="E212" s="1252"/>
      <c r="F212" s="1252"/>
      <c r="G212" s="1252"/>
      <c r="H212" s="1252"/>
    </row>
    <row r="213" spans="1:8">
      <c r="A213" s="1252"/>
      <c r="B213" s="1252"/>
      <c r="C213" s="1252"/>
      <c r="D213" s="1252"/>
      <c r="E213" s="1252"/>
      <c r="F213" s="1252"/>
      <c r="G213" s="1252"/>
      <c r="H213" s="1252"/>
    </row>
    <row r="214" spans="1:8">
      <c r="A214" s="1253" t="s">
        <v>1413</v>
      </c>
      <c r="B214" s="1252"/>
      <c r="C214" s="1252"/>
      <c r="D214" s="1252"/>
      <c r="E214" s="1252"/>
      <c r="F214" s="1252"/>
      <c r="G214" s="1252"/>
      <c r="H214" s="1252"/>
    </row>
    <row r="215" spans="1:8">
      <c r="A215" s="1253" t="s">
        <v>1414</v>
      </c>
      <c r="B215" s="1252"/>
      <c r="C215" s="1252"/>
      <c r="D215" s="1252"/>
      <c r="E215" s="1252"/>
      <c r="F215" s="1252"/>
      <c r="G215" s="1252"/>
      <c r="H215" s="1252"/>
    </row>
    <row r="216" spans="1:8">
      <c r="A216" s="1253" t="s">
        <v>1415</v>
      </c>
      <c r="B216" s="1252"/>
      <c r="C216" s="1252"/>
      <c r="D216" s="1252"/>
      <c r="E216" s="1252"/>
      <c r="F216" s="1252"/>
      <c r="G216" s="1252"/>
      <c r="H216" s="1252"/>
    </row>
    <row r="217" spans="1:8" ht="15.75">
      <c r="A217" s="1254" t="s">
        <v>1256</v>
      </c>
      <c r="B217" s="1252"/>
      <c r="C217" s="1252"/>
      <c r="D217" s="1252"/>
      <c r="E217" s="1252"/>
      <c r="F217" s="1252"/>
      <c r="G217" s="1252"/>
      <c r="H217" s="1252"/>
    </row>
    <row r="218" spans="1:8">
      <c r="A218" s="1252"/>
      <c r="B218" s="1252"/>
      <c r="C218" s="1252"/>
      <c r="D218" s="1252"/>
      <c r="E218" s="1252"/>
      <c r="F218" s="1252"/>
      <c r="G218" s="1252"/>
      <c r="H218" s="1252"/>
    </row>
    <row r="219" spans="1:8">
      <c r="A219" s="1253" t="s">
        <v>1411</v>
      </c>
      <c r="B219" s="1252"/>
      <c r="C219" s="1252"/>
      <c r="D219" s="1252"/>
      <c r="E219" s="1252"/>
      <c r="F219" s="1252"/>
      <c r="G219" s="1252"/>
      <c r="H219" s="1252"/>
    </row>
    <row r="220" spans="1:8">
      <c r="A220" s="1253" t="s">
        <v>1412</v>
      </c>
      <c r="B220" s="1252"/>
      <c r="C220" s="1252"/>
      <c r="D220" s="1252"/>
      <c r="E220" s="1252"/>
      <c r="F220" s="1252"/>
      <c r="G220" s="1252"/>
      <c r="H220" s="1252"/>
    </row>
    <row r="221" spans="1:8">
      <c r="A221" s="1252"/>
      <c r="B221" s="1252"/>
      <c r="C221" s="1252"/>
      <c r="D221" s="1252"/>
      <c r="E221" s="1252"/>
      <c r="F221" s="1252"/>
      <c r="G221" s="1252"/>
      <c r="H221" s="1252"/>
    </row>
    <row r="222" spans="1:8">
      <c r="A222" s="1253" t="s">
        <v>1404</v>
      </c>
      <c r="B222" s="1252"/>
      <c r="C222" s="1252"/>
      <c r="D222" s="1252"/>
      <c r="E222" s="1252"/>
      <c r="F222" s="1252"/>
      <c r="G222" s="1252"/>
      <c r="H222" s="1252"/>
    </row>
    <row r="223" spans="1:8">
      <c r="A223" s="1253" t="s">
        <v>1405</v>
      </c>
      <c r="B223" s="1252"/>
      <c r="C223" s="1252"/>
      <c r="D223" s="1252"/>
      <c r="E223" s="1252"/>
      <c r="F223" s="1252"/>
      <c r="G223" s="1252"/>
      <c r="H223" s="1252"/>
    </row>
    <row r="224" spans="1:8">
      <c r="A224" s="1253" t="s">
        <v>1406</v>
      </c>
      <c r="B224" s="1252"/>
      <c r="C224" s="1252"/>
      <c r="D224" s="1252"/>
      <c r="E224" s="1252"/>
      <c r="F224" s="1252"/>
      <c r="G224" s="1252"/>
      <c r="H224" s="1252"/>
    </row>
    <row r="225" spans="1:8">
      <c r="A225" s="1253" t="s">
        <v>1407</v>
      </c>
      <c r="B225" s="1252"/>
      <c r="C225" s="1252"/>
      <c r="D225" s="1252"/>
      <c r="E225" s="1252"/>
      <c r="F225" s="1252"/>
      <c r="G225" s="1252"/>
      <c r="H225" s="1252"/>
    </row>
    <row r="226" spans="1:8">
      <c r="A226" s="1253" t="s">
        <v>1408</v>
      </c>
      <c r="B226" s="1252"/>
      <c r="C226" s="1252"/>
      <c r="D226" s="1252"/>
      <c r="E226" s="1252"/>
      <c r="F226" s="1252"/>
      <c r="G226" s="1252"/>
      <c r="H226" s="1252"/>
    </row>
    <row r="227" spans="1:8">
      <c r="A227" s="1253" t="s">
        <v>1409</v>
      </c>
      <c r="B227" s="1252"/>
      <c r="C227" s="1252"/>
      <c r="D227" s="1252"/>
      <c r="E227" s="1252"/>
      <c r="F227" s="1252"/>
      <c r="G227" s="1252"/>
      <c r="H227" s="1252"/>
    </row>
    <row r="228" spans="1:8">
      <c r="A228" s="1253" t="s">
        <v>1410</v>
      </c>
      <c r="B228" s="1252"/>
      <c r="C228" s="1252"/>
      <c r="D228" s="1252"/>
      <c r="E228" s="1252"/>
      <c r="F228" s="1252"/>
      <c r="G228" s="1252"/>
      <c r="H228" s="1252"/>
    </row>
    <row r="229" spans="1:8">
      <c r="A229" s="1252"/>
      <c r="B229" s="1252"/>
      <c r="C229" s="1252"/>
      <c r="D229" s="1252"/>
      <c r="E229" s="1252"/>
      <c r="F229" s="1252"/>
      <c r="G229" s="1252"/>
      <c r="H229" s="1252"/>
    </row>
    <row r="230" spans="1:8">
      <c r="A230" s="1253" t="s">
        <v>1401</v>
      </c>
      <c r="B230" s="1252"/>
      <c r="C230" s="1252"/>
      <c r="D230" s="1252"/>
      <c r="E230" s="1252"/>
      <c r="F230" s="1252"/>
      <c r="G230" s="1252"/>
      <c r="H230" s="1252"/>
    </row>
    <row r="231" spans="1:8">
      <c r="A231" s="1253" t="s">
        <v>1402</v>
      </c>
      <c r="B231" s="1252"/>
      <c r="C231" s="1252"/>
      <c r="D231" s="1252"/>
      <c r="E231" s="1252"/>
      <c r="F231" s="1252"/>
      <c r="G231" s="1252"/>
      <c r="H231" s="1252"/>
    </row>
    <row r="232" spans="1:8">
      <c r="A232" s="1253" t="s">
        <v>1403</v>
      </c>
      <c r="B232" s="1252"/>
      <c r="C232" s="1252"/>
      <c r="D232" s="1252"/>
      <c r="E232" s="1252"/>
      <c r="F232" s="1252"/>
      <c r="G232" s="1252"/>
      <c r="H232" s="1252"/>
    </row>
    <row r="233" spans="1:8">
      <c r="A233" s="1252"/>
      <c r="B233" s="1252"/>
      <c r="C233" s="1252"/>
      <c r="D233" s="1252"/>
      <c r="E233" s="1252"/>
      <c r="F233" s="1252"/>
      <c r="G233" s="1252"/>
      <c r="H233" s="1252"/>
    </row>
    <row r="234" spans="1:8">
      <c r="A234" s="1253" t="s">
        <v>1396</v>
      </c>
      <c r="B234" s="1252"/>
      <c r="C234" s="1252"/>
      <c r="D234" s="1252"/>
      <c r="E234" s="1252"/>
      <c r="F234" s="1252"/>
      <c r="G234" s="1252"/>
      <c r="H234" s="1252"/>
    </row>
    <row r="235" spans="1:8">
      <c r="A235" s="1253" t="s">
        <v>1397</v>
      </c>
      <c r="B235" s="1252"/>
      <c r="C235" s="1252"/>
      <c r="D235" s="1252"/>
      <c r="E235" s="1252"/>
      <c r="F235" s="1252"/>
      <c r="G235" s="1252"/>
      <c r="H235" s="1252"/>
    </row>
    <row r="236" spans="1:8">
      <c r="A236" s="1253" t="s">
        <v>1398</v>
      </c>
      <c r="B236" s="1252"/>
      <c r="C236" s="1252"/>
      <c r="D236" s="1252"/>
      <c r="E236" s="1252"/>
      <c r="F236" s="1252"/>
      <c r="G236" s="1252"/>
      <c r="H236" s="1252"/>
    </row>
    <row r="237" spans="1:8">
      <c r="A237" s="1253" t="s">
        <v>1399</v>
      </c>
      <c r="B237" s="1252"/>
      <c r="C237" s="1252"/>
      <c r="D237" s="1252"/>
      <c r="E237" s="1252"/>
      <c r="F237" s="1252"/>
      <c r="G237" s="1252"/>
      <c r="H237" s="1252"/>
    </row>
    <row r="238" spans="1:8">
      <c r="A238" s="1253" t="s">
        <v>1400</v>
      </c>
      <c r="B238" s="1252"/>
      <c r="C238" s="1252"/>
      <c r="D238" s="1252"/>
      <c r="E238" s="1252"/>
      <c r="F238" s="1252"/>
      <c r="G238" s="1252"/>
      <c r="H238" s="1252"/>
    </row>
    <row r="239" spans="1:8">
      <c r="A239" s="1252"/>
      <c r="B239" s="1252"/>
      <c r="C239" s="1252"/>
      <c r="D239" s="1252"/>
      <c r="E239" s="1252"/>
      <c r="F239" s="1252"/>
      <c r="G239" s="1252"/>
      <c r="H239" s="1252"/>
    </row>
    <row r="240" spans="1:8">
      <c r="A240" s="1253" t="s">
        <v>1390</v>
      </c>
      <c r="B240" s="1252"/>
      <c r="C240" s="1252"/>
      <c r="D240" s="1252"/>
      <c r="E240" s="1252"/>
      <c r="F240" s="1252"/>
      <c r="G240" s="1252"/>
      <c r="H240" s="1252"/>
    </row>
    <row r="241" spans="1:8">
      <c r="A241" s="1253" t="s">
        <v>1391</v>
      </c>
      <c r="B241" s="1252"/>
      <c r="C241" s="1252"/>
      <c r="D241" s="1252"/>
      <c r="E241" s="1252"/>
      <c r="F241" s="1252"/>
      <c r="G241" s="1252"/>
      <c r="H241" s="1252"/>
    </row>
    <row r="242" spans="1:8">
      <c r="A242" s="1253" t="s">
        <v>1392</v>
      </c>
      <c r="B242" s="1252"/>
      <c r="C242" s="1252"/>
      <c r="D242" s="1252"/>
      <c r="E242" s="1252"/>
      <c r="F242" s="1252"/>
      <c r="G242" s="1252"/>
      <c r="H242" s="1252"/>
    </row>
    <row r="243" spans="1:8">
      <c r="A243" s="1253" t="s">
        <v>1393</v>
      </c>
      <c r="B243" s="1252"/>
      <c r="C243" s="1252"/>
      <c r="D243" s="1252"/>
      <c r="E243" s="1252"/>
      <c r="F243" s="1252"/>
      <c r="G243" s="1252"/>
      <c r="H243" s="1252"/>
    </row>
    <row r="244" spans="1:8">
      <c r="A244" s="1253" t="s">
        <v>1394</v>
      </c>
      <c r="B244" s="1252"/>
      <c r="C244" s="1252"/>
      <c r="D244" s="1252"/>
      <c r="E244" s="1252"/>
      <c r="F244" s="1252"/>
      <c r="G244" s="1252"/>
      <c r="H244" s="1252"/>
    </row>
    <row r="245" spans="1:8">
      <c r="A245" s="1253" t="s">
        <v>1395</v>
      </c>
      <c r="B245" s="1252"/>
      <c r="C245" s="1252"/>
      <c r="D245" s="1252"/>
      <c r="E245" s="1252"/>
      <c r="F245" s="1252"/>
      <c r="G245" s="1252"/>
      <c r="H245" s="1252"/>
    </row>
    <row r="246" spans="1:8">
      <c r="A246" s="1252"/>
      <c r="B246" s="1252"/>
      <c r="C246" s="1252"/>
      <c r="D246" s="1252"/>
      <c r="E246" s="1252"/>
      <c r="F246" s="1252"/>
      <c r="G246" s="1252"/>
      <c r="H246" s="1252"/>
    </row>
    <row r="247" spans="1:8">
      <c r="A247" s="1253" t="s">
        <v>1380</v>
      </c>
      <c r="B247" s="1252"/>
      <c r="C247" s="1252"/>
      <c r="D247" s="1252"/>
      <c r="E247" s="1252"/>
      <c r="F247" s="1252"/>
      <c r="G247" s="1252"/>
      <c r="H247" s="1252"/>
    </row>
    <row r="248" spans="1:8">
      <c r="A248" s="1253" t="s">
        <v>1381</v>
      </c>
      <c r="B248" s="1252"/>
      <c r="C248" s="1252"/>
      <c r="D248" s="1252"/>
      <c r="E248" s="1252"/>
      <c r="F248" s="1252"/>
      <c r="G248" s="1252"/>
      <c r="H248" s="1252"/>
    </row>
    <row r="249" spans="1:8">
      <c r="A249" s="1253" t="s">
        <v>1382</v>
      </c>
      <c r="B249" s="1252"/>
      <c r="C249" s="1252"/>
      <c r="D249" s="1252"/>
      <c r="E249" s="1252"/>
      <c r="F249" s="1252"/>
      <c r="G249" s="1252"/>
      <c r="H249" s="1252"/>
    </row>
    <row r="250" spans="1:8">
      <c r="A250" s="1253" t="s">
        <v>1383</v>
      </c>
      <c r="B250" s="1252"/>
      <c r="C250" s="1252"/>
      <c r="D250" s="1252"/>
      <c r="E250" s="1252"/>
      <c r="F250" s="1252"/>
      <c r="G250" s="1252"/>
      <c r="H250" s="1252"/>
    </row>
    <row r="251" spans="1:8">
      <c r="A251" s="1253" t="s">
        <v>1384</v>
      </c>
      <c r="B251" s="1252"/>
      <c r="C251" s="1252"/>
      <c r="D251" s="1252"/>
      <c r="E251" s="1252"/>
      <c r="F251" s="1252"/>
      <c r="G251" s="1252"/>
      <c r="H251" s="1252"/>
    </row>
    <row r="252" spans="1:8">
      <c r="A252" s="1253" t="s">
        <v>1385</v>
      </c>
      <c r="B252" s="1252"/>
      <c r="C252" s="1252"/>
      <c r="D252" s="1252"/>
      <c r="E252" s="1252"/>
      <c r="F252" s="1252"/>
      <c r="G252" s="1252"/>
      <c r="H252" s="1252"/>
    </row>
    <row r="253" spans="1:8">
      <c r="A253" s="1253" t="s">
        <v>1386</v>
      </c>
      <c r="B253" s="1252"/>
      <c r="C253" s="1252"/>
      <c r="D253" s="1252"/>
      <c r="E253" s="1252"/>
      <c r="F253" s="1252"/>
      <c r="G253" s="1252"/>
      <c r="H253" s="1252"/>
    </row>
    <row r="254" spans="1:8">
      <c r="A254" s="1253" t="s">
        <v>1387</v>
      </c>
      <c r="B254" s="1252"/>
      <c r="C254" s="1252"/>
      <c r="D254" s="1252"/>
      <c r="E254" s="1252"/>
      <c r="F254" s="1252"/>
      <c r="G254" s="1252"/>
      <c r="H254" s="1252"/>
    </row>
    <row r="255" spans="1:8">
      <c r="A255" s="1253" t="s">
        <v>1388</v>
      </c>
      <c r="B255" s="1252"/>
      <c r="C255" s="1252"/>
      <c r="D255" s="1252"/>
      <c r="E255" s="1252"/>
      <c r="F255" s="1252"/>
      <c r="G255" s="1252"/>
      <c r="H255" s="1252"/>
    </row>
    <row r="256" spans="1:8">
      <c r="A256" s="1253" t="s">
        <v>1389</v>
      </c>
      <c r="B256" s="1252"/>
      <c r="C256" s="1252"/>
      <c r="D256" s="1252"/>
      <c r="E256" s="1252"/>
      <c r="F256" s="1252"/>
      <c r="G256" s="1252"/>
      <c r="H256" s="1252"/>
    </row>
    <row r="257" spans="1:8">
      <c r="A257" s="1252"/>
      <c r="B257" s="1252"/>
      <c r="C257" s="1252"/>
      <c r="D257" s="1252"/>
      <c r="E257" s="1252"/>
      <c r="F257" s="1252"/>
      <c r="G257" s="1252"/>
      <c r="H257" s="1252"/>
    </row>
    <row r="258" spans="1:8">
      <c r="A258" s="1253" t="s">
        <v>1378</v>
      </c>
      <c r="B258" s="1252"/>
      <c r="C258" s="1252"/>
      <c r="D258" s="1252"/>
      <c r="E258" s="1252"/>
      <c r="F258" s="1252"/>
      <c r="G258" s="1252"/>
      <c r="H258" s="1252"/>
    </row>
    <row r="259" spans="1:8">
      <c r="A259" s="1253" t="s">
        <v>1379</v>
      </c>
      <c r="B259" s="1252"/>
      <c r="C259" s="1252"/>
      <c r="D259" s="1252"/>
      <c r="E259" s="1252"/>
      <c r="F259" s="1252"/>
      <c r="G259" s="1252"/>
      <c r="H259" s="1252"/>
    </row>
    <row r="260" spans="1:8">
      <c r="A260" s="1252"/>
      <c r="B260" s="1252"/>
      <c r="C260" s="1252"/>
      <c r="D260" s="1252"/>
      <c r="E260" s="1252"/>
      <c r="F260" s="1252"/>
      <c r="G260" s="1252"/>
      <c r="H260" s="1252"/>
    </row>
    <row r="261" spans="1:8">
      <c r="A261" s="1253" t="s">
        <v>1362</v>
      </c>
      <c r="B261" s="1252"/>
      <c r="C261" s="1252"/>
      <c r="D261" s="1252"/>
      <c r="E261" s="1252"/>
      <c r="F261" s="1252"/>
      <c r="G261" s="1252"/>
      <c r="H261" s="1252"/>
    </row>
    <row r="262" spans="1:8">
      <c r="A262" s="1253" t="s">
        <v>1363</v>
      </c>
      <c r="B262" s="1252"/>
      <c r="C262" s="1252"/>
      <c r="D262" s="1252"/>
      <c r="E262" s="1252"/>
      <c r="F262" s="1252"/>
      <c r="G262" s="1252"/>
      <c r="H262" s="1252"/>
    </row>
    <row r="263" spans="1:8">
      <c r="A263" s="1253" t="s">
        <v>1364</v>
      </c>
      <c r="B263" s="1252"/>
      <c r="C263" s="1252"/>
      <c r="D263" s="1252"/>
      <c r="E263" s="1252"/>
      <c r="F263" s="1252"/>
      <c r="G263" s="1252"/>
      <c r="H263" s="1252"/>
    </row>
    <row r="264" spans="1:8">
      <c r="A264" s="1253" t="s">
        <v>1365</v>
      </c>
      <c r="B264" s="1252"/>
      <c r="C264" s="1252"/>
      <c r="D264" s="1252"/>
      <c r="E264" s="1252"/>
      <c r="F264" s="1252"/>
      <c r="G264" s="1252"/>
      <c r="H264" s="1252"/>
    </row>
    <row r="265" spans="1:8">
      <c r="A265" s="1253" t="s">
        <v>1366</v>
      </c>
      <c r="B265" s="1252"/>
      <c r="C265" s="1252"/>
      <c r="D265" s="1252"/>
      <c r="E265" s="1252"/>
      <c r="F265" s="1252"/>
      <c r="G265" s="1252"/>
      <c r="H265" s="1252"/>
    </row>
    <row r="266" spans="1:8">
      <c r="A266" s="1253" t="s">
        <v>1367</v>
      </c>
      <c r="B266" s="1252"/>
      <c r="C266" s="1252"/>
      <c r="D266" s="1252"/>
      <c r="E266" s="1252"/>
      <c r="F266" s="1252"/>
      <c r="G266" s="1252"/>
      <c r="H266" s="1252"/>
    </row>
    <row r="267" spans="1:8">
      <c r="A267" s="1253" t="s">
        <v>1368</v>
      </c>
      <c r="B267" s="1252"/>
      <c r="C267" s="1252"/>
      <c r="D267" s="1252"/>
      <c r="E267" s="1252"/>
      <c r="F267" s="1252"/>
      <c r="G267" s="1252"/>
      <c r="H267" s="1252"/>
    </row>
    <row r="268" spans="1:8">
      <c r="A268" s="1253" t="s">
        <v>1369</v>
      </c>
      <c r="B268" s="1252"/>
      <c r="C268" s="1252"/>
      <c r="D268" s="1252"/>
      <c r="E268" s="1252"/>
      <c r="F268" s="1252"/>
      <c r="G268" s="1252"/>
      <c r="H268" s="1252"/>
    </row>
    <row r="269" spans="1:8">
      <c r="A269" s="1253" t="s">
        <v>1370</v>
      </c>
      <c r="B269" s="1252"/>
      <c r="C269" s="1252"/>
      <c r="D269" s="1252"/>
      <c r="E269" s="1252"/>
      <c r="F269" s="1252"/>
      <c r="G269" s="1252"/>
      <c r="H269" s="1252"/>
    </row>
    <row r="270" spans="1:8">
      <c r="A270" s="1253" t="s">
        <v>1371</v>
      </c>
      <c r="B270" s="1252"/>
      <c r="C270" s="1252"/>
      <c r="D270" s="1252"/>
      <c r="E270" s="1252"/>
      <c r="F270" s="1252"/>
      <c r="G270" s="1252"/>
      <c r="H270" s="1252"/>
    </row>
    <row r="271" spans="1:8">
      <c r="A271" s="1253" t="s">
        <v>1372</v>
      </c>
      <c r="B271" s="1252"/>
      <c r="C271" s="1252"/>
      <c r="D271" s="1252"/>
      <c r="E271" s="1252"/>
      <c r="F271" s="1252"/>
      <c r="G271" s="1252"/>
      <c r="H271" s="1252"/>
    </row>
    <row r="272" spans="1:8">
      <c r="A272" s="1253" t="s">
        <v>1373</v>
      </c>
      <c r="B272" s="1252"/>
      <c r="C272" s="1252"/>
      <c r="D272" s="1252"/>
      <c r="E272" s="1252"/>
      <c r="F272" s="1252"/>
      <c r="G272" s="1252"/>
      <c r="H272" s="1252"/>
    </row>
    <row r="273" spans="1:8">
      <c r="A273" s="1253" t="s">
        <v>1374</v>
      </c>
      <c r="B273" s="1252"/>
      <c r="C273" s="1252"/>
      <c r="D273" s="1252"/>
      <c r="E273" s="1252"/>
      <c r="F273" s="1252"/>
      <c r="G273" s="1252"/>
      <c r="H273" s="1252"/>
    </row>
    <row r="274" spans="1:8">
      <c r="A274" s="1253" t="s">
        <v>1375</v>
      </c>
      <c r="B274" s="1252"/>
      <c r="C274" s="1252"/>
      <c r="D274" s="1252"/>
      <c r="E274" s="1252"/>
      <c r="F274" s="1252"/>
      <c r="G274" s="1252"/>
      <c r="H274" s="1252"/>
    </row>
    <row r="275" spans="1:8">
      <c r="A275" s="1253" t="s">
        <v>1376</v>
      </c>
      <c r="B275" s="1252"/>
      <c r="C275" s="1252"/>
      <c r="D275" s="1252"/>
      <c r="E275" s="1252"/>
      <c r="F275" s="1252"/>
      <c r="G275" s="1252"/>
      <c r="H275" s="1252"/>
    </row>
    <row r="276" spans="1:8">
      <c r="A276" s="1253" t="s">
        <v>1377</v>
      </c>
      <c r="B276" s="1252"/>
      <c r="C276" s="1252"/>
      <c r="D276" s="1252"/>
      <c r="E276" s="1252"/>
      <c r="F276" s="1252"/>
      <c r="G276" s="1252"/>
      <c r="H276" s="1252"/>
    </row>
    <row r="277" spans="1:8">
      <c r="A277" s="1252"/>
      <c r="B277" s="1252"/>
      <c r="C277" s="1252"/>
      <c r="D277" s="1252"/>
      <c r="E277" s="1252"/>
      <c r="F277" s="1252"/>
      <c r="G277" s="1252"/>
      <c r="H277" s="1252"/>
    </row>
    <row r="278" spans="1:8">
      <c r="A278" s="1253" t="s">
        <v>1355</v>
      </c>
      <c r="B278" s="1252"/>
      <c r="C278" s="1252"/>
      <c r="D278" s="1252"/>
      <c r="E278" s="1252"/>
      <c r="F278" s="1252"/>
      <c r="G278" s="1252"/>
      <c r="H278" s="1252"/>
    </row>
    <row r="279" spans="1:8">
      <c r="A279" s="1253" t="s">
        <v>1356</v>
      </c>
      <c r="B279" s="1252"/>
      <c r="C279" s="1252"/>
      <c r="D279" s="1252"/>
      <c r="E279" s="1252"/>
      <c r="F279" s="1252"/>
      <c r="G279" s="1252"/>
      <c r="H279" s="1252"/>
    </row>
    <row r="280" spans="1:8">
      <c r="A280" s="1253" t="s">
        <v>1357</v>
      </c>
      <c r="B280" s="1252"/>
      <c r="C280" s="1252"/>
      <c r="D280" s="1252"/>
      <c r="E280" s="1252"/>
      <c r="F280" s="1252"/>
      <c r="G280" s="1252"/>
      <c r="H280" s="1252"/>
    </row>
    <row r="281" spans="1:8">
      <c r="A281" s="1253" t="s">
        <v>1358</v>
      </c>
      <c r="B281" s="1252"/>
      <c r="C281" s="1252"/>
      <c r="D281" s="1252"/>
      <c r="E281" s="1252"/>
      <c r="F281" s="1252"/>
      <c r="G281" s="1252"/>
      <c r="H281" s="1252"/>
    </row>
    <row r="282" spans="1:8">
      <c r="A282" s="1253" t="s">
        <v>1359</v>
      </c>
      <c r="B282" s="1252"/>
      <c r="C282" s="1252"/>
      <c r="D282" s="1252"/>
      <c r="E282" s="1252"/>
      <c r="F282" s="1252"/>
      <c r="G282" s="1252"/>
      <c r="H282" s="1252"/>
    </row>
    <row r="283" spans="1:8">
      <c r="A283" s="1253" t="s">
        <v>1360</v>
      </c>
      <c r="B283" s="1252"/>
      <c r="C283" s="1252"/>
      <c r="D283" s="1252"/>
      <c r="E283" s="1252"/>
      <c r="F283" s="1252"/>
      <c r="G283" s="1252"/>
      <c r="H283" s="1252"/>
    </row>
    <row r="284" spans="1:8">
      <c r="A284" s="1253" t="s">
        <v>1361</v>
      </c>
      <c r="B284" s="1252"/>
      <c r="C284" s="1252"/>
      <c r="D284" s="1252"/>
      <c r="E284" s="1252"/>
      <c r="F284" s="1252"/>
      <c r="G284" s="1252"/>
      <c r="H284" s="1252"/>
    </row>
    <row r="285" spans="1:8">
      <c r="A285" s="1252"/>
      <c r="B285" s="1252"/>
      <c r="C285" s="1252"/>
      <c r="D285" s="1252"/>
      <c r="E285" s="1252"/>
      <c r="F285" s="1252"/>
      <c r="G285" s="1252"/>
      <c r="H285" s="1252"/>
    </row>
    <row r="286" spans="1:8">
      <c r="A286" s="1253" t="s">
        <v>1346</v>
      </c>
      <c r="B286" s="1252"/>
      <c r="C286" s="1252"/>
      <c r="D286" s="1252"/>
      <c r="E286" s="1252"/>
      <c r="F286" s="1252"/>
      <c r="G286" s="1252"/>
      <c r="H286" s="1252"/>
    </row>
    <row r="287" spans="1:8">
      <c r="A287" s="1253" t="s">
        <v>1347</v>
      </c>
      <c r="B287" s="1252"/>
      <c r="C287" s="1252"/>
      <c r="D287" s="1252"/>
      <c r="E287" s="1252"/>
      <c r="F287" s="1252"/>
      <c r="G287" s="1252"/>
      <c r="H287" s="1252"/>
    </row>
    <row r="288" spans="1:8">
      <c r="A288" s="1253" t="s">
        <v>1348</v>
      </c>
      <c r="B288" s="1252"/>
      <c r="C288" s="1252"/>
      <c r="D288" s="1252"/>
      <c r="E288" s="1252"/>
      <c r="F288" s="1252"/>
      <c r="G288" s="1252"/>
      <c r="H288" s="1252"/>
    </row>
    <row r="289" spans="1:8">
      <c r="A289" s="1253" t="s">
        <v>1349</v>
      </c>
      <c r="B289" s="1252"/>
      <c r="C289" s="1252"/>
      <c r="D289" s="1252"/>
      <c r="E289" s="1252"/>
      <c r="F289" s="1252"/>
      <c r="G289" s="1252"/>
      <c r="H289" s="1252"/>
    </row>
    <row r="290" spans="1:8">
      <c r="A290" s="1253" t="s">
        <v>1350</v>
      </c>
      <c r="B290" s="1252"/>
      <c r="C290" s="1252"/>
      <c r="D290" s="1252"/>
      <c r="E290" s="1252"/>
      <c r="F290" s="1252"/>
      <c r="G290" s="1252"/>
      <c r="H290" s="1252"/>
    </row>
    <row r="291" spans="1:8">
      <c r="A291" s="1253" t="s">
        <v>1351</v>
      </c>
      <c r="B291" s="1252"/>
      <c r="C291" s="1252"/>
      <c r="D291" s="1252"/>
      <c r="E291" s="1252"/>
      <c r="F291" s="1252"/>
      <c r="G291" s="1252"/>
      <c r="H291" s="1252"/>
    </row>
    <row r="292" spans="1:8">
      <c r="A292" s="1253" t="s">
        <v>1352</v>
      </c>
      <c r="B292" s="1252"/>
      <c r="C292" s="1252"/>
      <c r="D292" s="1252"/>
      <c r="E292" s="1252"/>
      <c r="F292" s="1252"/>
      <c r="G292" s="1252"/>
      <c r="H292" s="1252"/>
    </row>
    <row r="293" spans="1:8">
      <c r="A293" s="1253" t="s">
        <v>1353</v>
      </c>
      <c r="B293" s="1252"/>
      <c r="C293" s="1252"/>
      <c r="D293" s="1252"/>
      <c r="E293" s="1252"/>
      <c r="F293" s="1252"/>
      <c r="G293" s="1252"/>
      <c r="H293" s="1252"/>
    </row>
    <row r="294" spans="1:8">
      <c r="A294" s="1253" t="s">
        <v>1354</v>
      </c>
      <c r="B294" s="1252"/>
      <c r="C294" s="1252"/>
      <c r="D294" s="1252"/>
      <c r="E294" s="1252"/>
      <c r="F294" s="1252"/>
      <c r="G294" s="1252"/>
      <c r="H294" s="1252"/>
    </row>
    <row r="295" spans="1:8">
      <c r="A295" s="1252"/>
      <c r="B295" s="1252"/>
      <c r="C295" s="1252"/>
      <c r="D295" s="1252"/>
      <c r="E295" s="1252"/>
      <c r="F295" s="1252"/>
      <c r="G295" s="1252"/>
      <c r="H295" s="1252"/>
    </row>
    <row r="296" spans="1:8">
      <c r="A296" s="1253" t="s">
        <v>1339</v>
      </c>
      <c r="B296" s="1252"/>
      <c r="C296" s="1252"/>
      <c r="D296" s="1252"/>
      <c r="E296" s="1252"/>
      <c r="F296" s="1252"/>
      <c r="G296" s="1252"/>
      <c r="H296" s="1252"/>
    </row>
    <row r="297" spans="1:8">
      <c r="A297" s="1253" t="s">
        <v>1340</v>
      </c>
      <c r="B297" s="1252"/>
      <c r="C297" s="1252"/>
      <c r="D297" s="1252"/>
      <c r="E297" s="1252"/>
      <c r="F297" s="1252"/>
      <c r="G297" s="1252"/>
      <c r="H297" s="1252"/>
    </row>
    <row r="298" spans="1:8">
      <c r="A298" s="1253" t="s">
        <v>1341</v>
      </c>
      <c r="B298" s="1252"/>
      <c r="C298" s="1252"/>
      <c r="D298" s="1252"/>
      <c r="E298" s="1252"/>
      <c r="F298" s="1252"/>
      <c r="G298" s="1252"/>
      <c r="H298" s="1252"/>
    </row>
    <row r="299" spans="1:8">
      <c r="A299" s="1253" t="s">
        <v>1342</v>
      </c>
      <c r="B299" s="1252"/>
      <c r="C299" s="1252"/>
      <c r="D299" s="1252"/>
      <c r="E299" s="1252"/>
      <c r="F299" s="1252"/>
      <c r="G299" s="1252"/>
      <c r="H299" s="1252"/>
    </row>
    <row r="300" spans="1:8">
      <c r="A300" s="1253" t="s">
        <v>1343</v>
      </c>
      <c r="B300" s="1252"/>
      <c r="C300" s="1252"/>
      <c r="D300" s="1252"/>
      <c r="E300" s="1252"/>
      <c r="F300" s="1252"/>
      <c r="G300" s="1252"/>
      <c r="H300" s="1252"/>
    </row>
    <row r="301" spans="1:8">
      <c r="A301" s="1253" t="s">
        <v>1344</v>
      </c>
      <c r="B301" s="1252"/>
      <c r="C301" s="1252"/>
      <c r="D301" s="1252"/>
      <c r="E301" s="1252"/>
      <c r="F301" s="1252"/>
      <c r="G301" s="1252"/>
      <c r="H301" s="1252"/>
    </row>
    <row r="302" spans="1:8">
      <c r="A302" s="1253" t="s">
        <v>1345</v>
      </c>
      <c r="B302" s="1252"/>
      <c r="C302" s="1252"/>
      <c r="D302" s="1252"/>
      <c r="E302" s="1252"/>
      <c r="F302" s="1252"/>
      <c r="G302" s="1252"/>
      <c r="H302" s="1252"/>
    </row>
    <row r="303" spans="1:8">
      <c r="A303" s="1252"/>
      <c r="B303" s="1252"/>
      <c r="C303" s="1252"/>
      <c r="D303" s="1252"/>
      <c r="E303" s="1252"/>
      <c r="F303" s="1252"/>
      <c r="G303" s="1252"/>
      <c r="H303" s="1252"/>
    </row>
    <row r="304" spans="1:8">
      <c r="A304" s="1253" t="s">
        <v>1336</v>
      </c>
      <c r="B304" s="1252"/>
      <c r="C304" s="1252"/>
      <c r="D304" s="1252"/>
      <c r="E304" s="1252"/>
      <c r="F304" s="1252"/>
      <c r="G304" s="1252"/>
      <c r="H304" s="1252"/>
    </row>
    <row r="305" spans="1:8">
      <c r="A305" s="1253" t="s">
        <v>1337</v>
      </c>
      <c r="B305" s="1252"/>
      <c r="C305" s="1252"/>
      <c r="D305" s="1252"/>
      <c r="E305" s="1252"/>
      <c r="F305" s="1252"/>
      <c r="G305" s="1252"/>
      <c r="H305" s="1252"/>
    </row>
    <row r="306" spans="1:8">
      <c r="A306" s="1253" t="s">
        <v>1338</v>
      </c>
      <c r="B306" s="1252"/>
      <c r="C306" s="1252"/>
      <c r="D306" s="1252"/>
      <c r="E306" s="1252"/>
      <c r="F306" s="1252"/>
      <c r="G306" s="1252"/>
      <c r="H306" s="1252"/>
    </row>
    <row r="307" spans="1:8">
      <c r="A307" s="1252"/>
      <c r="B307" s="1252"/>
      <c r="C307" s="1252"/>
      <c r="D307" s="1252"/>
      <c r="E307" s="1252"/>
      <c r="F307" s="1252"/>
      <c r="G307" s="1252"/>
      <c r="H307" s="1252"/>
    </row>
    <row r="308" spans="1:8">
      <c r="A308" s="1253" t="s">
        <v>1334</v>
      </c>
      <c r="B308" s="1252"/>
      <c r="C308" s="1252"/>
      <c r="D308" s="1252"/>
      <c r="E308" s="1252"/>
      <c r="F308" s="1252"/>
      <c r="G308" s="1252"/>
      <c r="H308" s="1252"/>
    </row>
    <row r="309" spans="1:8">
      <c r="A309" s="1253" t="s">
        <v>1335</v>
      </c>
      <c r="B309" s="1252"/>
      <c r="C309" s="1252"/>
      <c r="D309" s="1252"/>
      <c r="E309" s="1252"/>
      <c r="F309" s="1252"/>
      <c r="G309" s="1252"/>
      <c r="H309" s="1252"/>
    </row>
    <row r="310" spans="1:8">
      <c r="A310" s="1252"/>
      <c r="B310" s="1252"/>
      <c r="C310" s="1252"/>
      <c r="D310" s="1252"/>
      <c r="E310" s="1252"/>
      <c r="F310" s="1252"/>
      <c r="G310" s="1252"/>
      <c r="H310" s="1252"/>
    </row>
    <row r="311" spans="1:8">
      <c r="A311" s="1253" t="s">
        <v>1321</v>
      </c>
      <c r="B311" s="1252"/>
      <c r="C311" s="1252"/>
      <c r="D311" s="1252"/>
      <c r="E311" s="1252"/>
      <c r="F311" s="1252"/>
      <c r="G311" s="1252"/>
      <c r="H311" s="1252"/>
    </row>
    <row r="312" spans="1:8">
      <c r="A312" s="1253" t="s">
        <v>1322</v>
      </c>
      <c r="B312" s="1252"/>
      <c r="C312" s="1252"/>
      <c r="D312" s="1252"/>
      <c r="E312" s="1252"/>
      <c r="F312" s="1252"/>
      <c r="G312" s="1252"/>
      <c r="H312" s="1252"/>
    </row>
    <row r="313" spans="1:8">
      <c r="A313" s="1253" t="s">
        <v>1323</v>
      </c>
      <c r="B313" s="1252"/>
      <c r="C313" s="1252"/>
      <c r="D313" s="1252"/>
      <c r="E313" s="1252"/>
      <c r="F313" s="1252"/>
      <c r="G313" s="1252"/>
      <c r="H313" s="1252"/>
    </row>
    <row r="314" spans="1:8">
      <c r="A314" s="1253" t="s">
        <v>1324</v>
      </c>
      <c r="B314" s="1252"/>
      <c r="C314" s="1252"/>
      <c r="D314" s="1252"/>
      <c r="E314" s="1252"/>
      <c r="F314" s="1252"/>
      <c r="G314" s="1252"/>
      <c r="H314" s="1252"/>
    </row>
    <row r="315" spans="1:8">
      <c r="A315" s="1253" t="s">
        <v>1325</v>
      </c>
      <c r="B315" s="1252"/>
      <c r="C315" s="1252"/>
      <c r="D315" s="1252"/>
      <c r="E315" s="1252"/>
      <c r="F315" s="1252"/>
      <c r="G315" s="1252"/>
      <c r="H315" s="1252"/>
    </row>
    <row r="316" spans="1:8">
      <c r="A316" s="1253" t="s">
        <v>1326</v>
      </c>
      <c r="B316" s="1252"/>
      <c r="C316" s="1252"/>
      <c r="D316" s="1252"/>
      <c r="E316" s="1252"/>
      <c r="F316" s="1252"/>
      <c r="G316" s="1252"/>
      <c r="H316" s="1252"/>
    </row>
    <row r="317" spans="1:8">
      <c r="A317" s="1253" t="s">
        <v>1327</v>
      </c>
      <c r="B317" s="1252"/>
      <c r="C317" s="1252"/>
      <c r="D317" s="1252"/>
      <c r="E317" s="1252"/>
      <c r="F317" s="1252"/>
      <c r="G317" s="1252"/>
      <c r="H317" s="1252"/>
    </row>
    <row r="318" spans="1:8">
      <c r="A318" s="1253" t="s">
        <v>1328</v>
      </c>
      <c r="B318" s="1252"/>
      <c r="C318" s="1252"/>
      <c r="D318" s="1252"/>
      <c r="E318" s="1252"/>
      <c r="F318" s="1252"/>
      <c r="G318" s="1252"/>
      <c r="H318" s="1252"/>
    </row>
    <row r="319" spans="1:8">
      <c r="A319" s="1253" t="s">
        <v>1329</v>
      </c>
      <c r="B319" s="1252"/>
      <c r="C319" s="1252"/>
      <c r="D319" s="1252"/>
      <c r="E319" s="1252"/>
      <c r="F319" s="1252"/>
      <c r="G319" s="1252"/>
      <c r="H319" s="1252"/>
    </row>
    <row r="320" spans="1:8">
      <c r="A320" s="1253" t="s">
        <v>1330</v>
      </c>
      <c r="B320" s="1252"/>
      <c r="C320" s="1252"/>
      <c r="D320" s="1252"/>
      <c r="E320" s="1252"/>
      <c r="F320" s="1252"/>
      <c r="G320" s="1252"/>
      <c r="H320" s="1252"/>
    </row>
    <row r="321" spans="1:8">
      <c r="A321" s="1253" t="s">
        <v>1331</v>
      </c>
      <c r="B321" s="1252"/>
      <c r="C321" s="1252"/>
      <c r="D321" s="1252"/>
      <c r="E321" s="1252"/>
      <c r="F321" s="1252"/>
      <c r="G321" s="1252"/>
      <c r="H321" s="1252"/>
    </row>
    <row r="322" spans="1:8">
      <c r="A322" s="1253" t="s">
        <v>1332</v>
      </c>
      <c r="B322" s="1252"/>
      <c r="C322" s="1252"/>
      <c r="D322" s="1252"/>
      <c r="E322" s="1252"/>
      <c r="F322" s="1252"/>
      <c r="G322" s="1252"/>
      <c r="H322" s="1252"/>
    </row>
    <row r="323" spans="1:8">
      <c r="A323" s="1253" t="s">
        <v>1333</v>
      </c>
      <c r="B323" s="1252"/>
      <c r="C323" s="1252"/>
      <c r="D323" s="1252"/>
      <c r="E323" s="1252"/>
      <c r="F323" s="1252"/>
      <c r="G323" s="1252"/>
      <c r="H323" s="1252"/>
    </row>
    <row r="324" spans="1:8">
      <c r="A324" s="1252"/>
      <c r="B324" s="1252"/>
      <c r="C324" s="1252"/>
      <c r="D324" s="1252"/>
      <c r="E324" s="1252"/>
      <c r="F324" s="1252"/>
      <c r="G324" s="1252"/>
      <c r="H324" s="1252"/>
    </row>
    <row r="325" spans="1:8">
      <c r="A325" s="1253" t="s">
        <v>1313</v>
      </c>
      <c r="B325" s="1252"/>
      <c r="C325" s="1252"/>
      <c r="D325" s="1252"/>
      <c r="E325" s="1252"/>
      <c r="F325" s="1252"/>
      <c r="G325" s="1252"/>
      <c r="H325" s="1252"/>
    </row>
    <row r="326" spans="1:8">
      <c r="A326" s="1253" t="s">
        <v>1314</v>
      </c>
      <c r="B326" s="1252"/>
      <c r="C326" s="1252"/>
      <c r="D326" s="1252"/>
      <c r="E326" s="1252"/>
      <c r="F326" s="1252"/>
      <c r="G326" s="1252"/>
      <c r="H326" s="1252"/>
    </row>
    <row r="327" spans="1:8">
      <c r="A327" s="1253" t="s">
        <v>1315</v>
      </c>
      <c r="B327" s="1252"/>
      <c r="C327" s="1252"/>
      <c r="D327" s="1252"/>
      <c r="E327" s="1252"/>
      <c r="F327" s="1252"/>
      <c r="G327" s="1252"/>
      <c r="H327" s="1252"/>
    </row>
    <row r="328" spans="1:8">
      <c r="A328" s="1253" t="s">
        <v>1316</v>
      </c>
      <c r="B328" s="1252"/>
      <c r="C328" s="1252"/>
      <c r="D328" s="1252"/>
      <c r="E328" s="1252"/>
      <c r="F328" s="1252"/>
      <c r="G328" s="1252"/>
      <c r="H328" s="1252"/>
    </row>
    <row r="329" spans="1:8">
      <c r="A329" s="1253" t="s">
        <v>1317</v>
      </c>
      <c r="B329" s="1252"/>
      <c r="C329" s="1252"/>
      <c r="D329" s="1252"/>
      <c r="E329" s="1252"/>
      <c r="F329" s="1252"/>
      <c r="G329" s="1252"/>
      <c r="H329" s="1252"/>
    </row>
    <row r="330" spans="1:8">
      <c r="A330" s="1253" t="s">
        <v>1318</v>
      </c>
      <c r="B330" s="1252"/>
      <c r="C330" s="1252"/>
      <c r="D330" s="1252"/>
      <c r="E330" s="1252"/>
      <c r="F330" s="1252"/>
      <c r="G330" s="1252"/>
      <c r="H330" s="1252"/>
    </row>
    <row r="331" spans="1:8">
      <c r="A331" s="1253" t="s">
        <v>1319</v>
      </c>
      <c r="B331" s="1252"/>
      <c r="C331" s="1252"/>
      <c r="D331" s="1252"/>
      <c r="E331" s="1252"/>
      <c r="F331" s="1252"/>
      <c r="G331" s="1252"/>
      <c r="H331" s="1252"/>
    </row>
    <row r="332" spans="1:8">
      <c r="A332" s="1253" t="s">
        <v>1320</v>
      </c>
      <c r="B332" s="1252"/>
      <c r="C332" s="1252"/>
      <c r="D332" s="1252"/>
      <c r="E332" s="1252"/>
      <c r="F332" s="1252"/>
      <c r="G332" s="1252"/>
      <c r="H332" s="1252"/>
    </row>
    <row r="333" spans="1:8">
      <c r="A333" s="1252"/>
      <c r="B333" s="1252"/>
      <c r="C333" s="1252"/>
      <c r="D333" s="1252"/>
      <c r="E333" s="1252"/>
      <c r="F333" s="1252"/>
      <c r="G333" s="1252"/>
      <c r="H333" s="1252"/>
    </row>
    <row r="334" spans="1:8">
      <c r="A334" s="1253" t="s">
        <v>1278</v>
      </c>
      <c r="B334" s="1252"/>
      <c r="C334" s="1252"/>
      <c r="D334" s="1252"/>
      <c r="E334" s="1252"/>
      <c r="F334" s="1252"/>
      <c r="G334" s="1252"/>
      <c r="H334" s="1252"/>
    </row>
    <row r="335" spans="1:8">
      <c r="A335" s="1253" t="s">
        <v>1279</v>
      </c>
      <c r="B335" s="1252"/>
      <c r="C335" s="1252"/>
      <c r="D335" s="1252"/>
      <c r="E335" s="1252"/>
      <c r="F335" s="1252"/>
      <c r="G335" s="1252"/>
      <c r="H335" s="1252"/>
    </row>
    <row r="336" spans="1:8">
      <c r="A336" s="1253" t="s">
        <v>1280</v>
      </c>
      <c r="B336" s="1252"/>
      <c r="C336" s="1252"/>
      <c r="D336" s="1252"/>
      <c r="E336" s="1252"/>
      <c r="F336" s="1252"/>
      <c r="G336" s="1252"/>
      <c r="H336" s="1252"/>
    </row>
    <row r="337" spans="1:8">
      <c r="A337" s="1253" t="s">
        <v>1281</v>
      </c>
      <c r="B337" s="1252"/>
      <c r="C337" s="1252"/>
      <c r="D337" s="1252"/>
      <c r="E337" s="1252"/>
      <c r="F337" s="1252"/>
      <c r="G337" s="1252"/>
      <c r="H337" s="1252"/>
    </row>
    <row r="338" spans="1:8">
      <c r="A338" s="1253" t="s">
        <v>1282</v>
      </c>
      <c r="B338" s="1252"/>
      <c r="C338" s="1252"/>
      <c r="D338" s="1252"/>
      <c r="E338" s="1252"/>
      <c r="F338" s="1252"/>
      <c r="G338" s="1252"/>
      <c r="H338" s="1252"/>
    </row>
    <row r="339" spans="1:8">
      <c r="A339" s="1253" t="s">
        <v>1283</v>
      </c>
      <c r="B339" s="1252"/>
      <c r="C339" s="1252"/>
      <c r="D339" s="1252"/>
      <c r="E339" s="1252"/>
      <c r="F339" s="1252"/>
      <c r="G339" s="1252"/>
      <c r="H339" s="1252"/>
    </row>
    <row r="340" spans="1:8">
      <c r="A340" s="1253" t="s">
        <v>1284</v>
      </c>
      <c r="B340" s="1252"/>
      <c r="C340" s="1252"/>
      <c r="D340" s="1252"/>
      <c r="E340" s="1252"/>
      <c r="F340" s="1252"/>
      <c r="G340" s="1252"/>
      <c r="H340" s="1252"/>
    </row>
    <row r="341" spans="1:8">
      <c r="A341" s="1253" t="s">
        <v>1285</v>
      </c>
      <c r="B341" s="1252"/>
      <c r="C341" s="1252"/>
      <c r="D341" s="1252"/>
      <c r="E341" s="1252"/>
      <c r="F341" s="1252"/>
      <c r="G341" s="1252"/>
      <c r="H341" s="1252"/>
    </row>
    <row r="342" spans="1:8">
      <c r="A342" s="1253" t="s">
        <v>1286</v>
      </c>
      <c r="B342" s="1252"/>
      <c r="C342" s="1252"/>
      <c r="D342" s="1252"/>
      <c r="E342" s="1252"/>
      <c r="F342" s="1252"/>
      <c r="G342" s="1252"/>
      <c r="H342" s="1252"/>
    </row>
    <row r="343" spans="1:8">
      <c r="A343" s="1253" t="s">
        <v>1287</v>
      </c>
      <c r="B343" s="1252"/>
      <c r="C343" s="1252"/>
      <c r="D343" s="1252"/>
      <c r="E343" s="1252"/>
      <c r="F343" s="1252"/>
      <c r="G343" s="1252"/>
      <c r="H343" s="1252"/>
    </row>
    <row r="344" spans="1:8">
      <c r="A344" s="1253" t="s">
        <v>1288</v>
      </c>
      <c r="B344" s="1252"/>
      <c r="C344" s="1252"/>
      <c r="D344" s="1252"/>
      <c r="E344" s="1252"/>
      <c r="F344" s="1252"/>
      <c r="G344" s="1252"/>
      <c r="H344" s="1252"/>
    </row>
    <row r="345" spans="1:8">
      <c r="A345" s="1253" t="s">
        <v>1289</v>
      </c>
      <c r="B345" s="1252"/>
      <c r="C345" s="1252"/>
      <c r="D345" s="1252"/>
      <c r="E345" s="1252"/>
      <c r="F345" s="1252"/>
      <c r="G345" s="1252"/>
      <c r="H345" s="1252"/>
    </row>
    <row r="346" spans="1:8">
      <c r="A346" s="1253" t="s">
        <v>1290</v>
      </c>
      <c r="B346" s="1252"/>
      <c r="C346" s="1252"/>
      <c r="D346" s="1252"/>
      <c r="E346" s="1252"/>
      <c r="F346" s="1252"/>
      <c r="G346" s="1252"/>
      <c r="H346" s="1252"/>
    </row>
    <row r="347" spans="1:8">
      <c r="A347" s="1253" t="s">
        <v>1291</v>
      </c>
      <c r="B347" s="1252"/>
      <c r="C347" s="1252"/>
      <c r="D347" s="1252"/>
      <c r="E347" s="1252"/>
      <c r="F347" s="1252"/>
      <c r="G347" s="1252"/>
      <c r="H347" s="1252"/>
    </row>
    <row r="348" spans="1:8">
      <c r="A348" s="1253" t="s">
        <v>1292</v>
      </c>
      <c r="B348" s="1252"/>
      <c r="C348" s="1252"/>
      <c r="D348" s="1252"/>
      <c r="E348" s="1252"/>
      <c r="F348" s="1252"/>
      <c r="G348" s="1252"/>
      <c r="H348" s="1252"/>
    </row>
    <row r="349" spans="1:8">
      <c r="A349" s="1253" t="s">
        <v>1293</v>
      </c>
      <c r="B349" s="1252"/>
      <c r="C349" s="1252"/>
      <c r="D349" s="1252"/>
      <c r="E349" s="1252"/>
      <c r="F349" s="1252"/>
      <c r="G349" s="1252"/>
      <c r="H349" s="1252"/>
    </row>
    <row r="350" spans="1:8">
      <c r="A350" s="1253" t="s">
        <v>1294</v>
      </c>
      <c r="B350" s="1252"/>
      <c r="C350" s="1252"/>
      <c r="D350" s="1252"/>
      <c r="E350" s="1252"/>
      <c r="F350" s="1252"/>
      <c r="G350" s="1252"/>
      <c r="H350" s="1252"/>
    </row>
    <row r="351" spans="1:8">
      <c r="A351" s="1253" t="s">
        <v>1295</v>
      </c>
      <c r="B351" s="1252"/>
      <c r="C351" s="1252"/>
      <c r="D351" s="1252"/>
      <c r="E351" s="1252"/>
      <c r="F351" s="1252"/>
      <c r="G351" s="1252"/>
      <c r="H351" s="1252"/>
    </row>
    <row r="352" spans="1:8">
      <c r="A352" s="1253" t="s">
        <v>1296</v>
      </c>
      <c r="B352" s="1252"/>
      <c r="C352" s="1252"/>
      <c r="D352" s="1252"/>
      <c r="E352" s="1252"/>
      <c r="F352" s="1252"/>
      <c r="G352" s="1252"/>
      <c r="H352" s="1252"/>
    </row>
    <row r="353" spans="1:8">
      <c r="A353" s="1253" t="s">
        <v>1297</v>
      </c>
      <c r="B353" s="1252"/>
      <c r="C353" s="1252"/>
      <c r="D353" s="1252"/>
      <c r="E353" s="1252"/>
      <c r="F353" s="1252"/>
      <c r="G353" s="1252"/>
      <c r="H353" s="1252"/>
    </row>
    <row r="354" spans="1:8">
      <c r="A354" s="1253" t="s">
        <v>1298</v>
      </c>
      <c r="B354" s="1252"/>
      <c r="C354" s="1252"/>
      <c r="D354" s="1252"/>
      <c r="E354" s="1252"/>
      <c r="F354" s="1252"/>
      <c r="G354" s="1252"/>
      <c r="H354" s="1252"/>
    </row>
    <row r="355" spans="1:8">
      <c r="A355" s="1253" t="s">
        <v>1299</v>
      </c>
      <c r="B355" s="1252"/>
      <c r="C355" s="1252"/>
      <c r="D355" s="1252"/>
      <c r="E355" s="1252"/>
      <c r="F355" s="1252"/>
      <c r="G355" s="1252"/>
      <c r="H355" s="1252"/>
    </row>
    <row r="356" spans="1:8">
      <c r="A356" s="1253" t="s">
        <v>1300</v>
      </c>
      <c r="B356" s="1252"/>
      <c r="C356" s="1252"/>
      <c r="D356" s="1252"/>
      <c r="E356" s="1252"/>
      <c r="F356" s="1252"/>
      <c r="G356" s="1252"/>
      <c r="H356" s="1252"/>
    </row>
    <row r="357" spans="1:8">
      <c r="A357" s="1253" t="s">
        <v>1301</v>
      </c>
      <c r="B357" s="1252"/>
      <c r="C357" s="1252"/>
      <c r="D357" s="1252"/>
      <c r="E357" s="1252"/>
      <c r="F357" s="1252"/>
      <c r="G357" s="1252"/>
      <c r="H357" s="1252"/>
    </row>
    <row r="358" spans="1:8">
      <c r="A358" s="1253" t="s">
        <v>1302</v>
      </c>
      <c r="B358" s="1252"/>
      <c r="C358" s="1252"/>
      <c r="D358" s="1252"/>
      <c r="E358" s="1252"/>
      <c r="F358" s="1252"/>
      <c r="G358" s="1252"/>
      <c r="H358" s="1252"/>
    </row>
    <row r="359" spans="1:8">
      <c r="A359" s="1253" t="s">
        <v>1303</v>
      </c>
      <c r="B359" s="1252"/>
      <c r="C359" s="1252"/>
      <c r="D359" s="1252"/>
      <c r="E359" s="1252"/>
      <c r="F359" s="1252"/>
      <c r="G359" s="1252"/>
      <c r="H359" s="1252"/>
    </row>
    <row r="360" spans="1:8">
      <c r="A360" s="1253" t="s">
        <v>1304</v>
      </c>
      <c r="B360" s="1252"/>
      <c r="C360" s="1252"/>
      <c r="D360" s="1252"/>
      <c r="E360" s="1252"/>
      <c r="F360" s="1252"/>
      <c r="G360" s="1252"/>
      <c r="H360" s="1252"/>
    </row>
    <row r="361" spans="1:8">
      <c r="A361" s="1253" t="s">
        <v>1305</v>
      </c>
      <c r="B361" s="1252"/>
      <c r="C361" s="1252"/>
      <c r="D361" s="1252"/>
      <c r="E361" s="1252"/>
      <c r="F361" s="1252"/>
      <c r="G361" s="1252"/>
      <c r="H361" s="1252"/>
    </row>
    <row r="362" spans="1:8">
      <c r="A362" s="1253" t="s">
        <v>1306</v>
      </c>
      <c r="B362" s="1252"/>
      <c r="C362" s="1252"/>
      <c r="D362" s="1252"/>
      <c r="E362" s="1252"/>
      <c r="F362" s="1252"/>
      <c r="G362" s="1252"/>
      <c r="H362" s="1252"/>
    </row>
    <row r="363" spans="1:8">
      <c r="A363" s="1253" t="s">
        <v>1307</v>
      </c>
      <c r="B363" s="1252"/>
      <c r="C363" s="1252"/>
      <c r="D363" s="1252"/>
      <c r="E363" s="1252"/>
      <c r="F363" s="1252"/>
      <c r="G363" s="1252"/>
      <c r="H363" s="1252"/>
    </row>
    <row r="364" spans="1:8">
      <c r="A364" s="1253" t="s">
        <v>1308</v>
      </c>
      <c r="B364" s="1252"/>
      <c r="C364" s="1252"/>
      <c r="D364" s="1252"/>
      <c r="E364" s="1252"/>
      <c r="F364" s="1252"/>
      <c r="G364" s="1252"/>
      <c r="H364" s="1252"/>
    </row>
    <row r="365" spans="1:8">
      <c r="A365" s="1253" t="s">
        <v>1309</v>
      </c>
      <c r="B365" s="1252"/>
      <c r="C365" s="1252"/>
      <c r="D365" s="1252"/>
      <c r="E365" s="1252"/>
      <c r="F365" s="1252"/>
      <c r="G365" s="1252"/>
      <c r="H365" s="1252"/>
    </row>
    <row r="366" spans="1:8">
      <c r="A366" s="1253" t="s">
        <v>1310</v>
      </c>
      <c r="B366" s="1252"/>
      <c r="C366" s="1252"/>
      <c r="D366" s="1252"/>
      <c r="E366" s="1252"/>
      <c r="F366" s="1252"/>
      <c r="G366" s="1252"/>
      <c r="H366" s="1252"/>
    </row>
    <row r="367" spans="1:8">
      <c r="A367" s="1253" t="s">
        <v>1311</v>
      </c>
      <c r="B367" s="1252"/>
      <c r="C367" s="1252"/>
      <c r="D367" s="1252"/>
      <c r="E367" s="1252"/>
      <c r="F367" s="1252"/>
      <c r="G367" s="1252"/>
      <c r="H367" s="1252"/>
    </row>
    <row r="368" spans="1:8">
      <c r="A368" s="1253" t="s">
        <v>1312</v>
      </c>
      <c r="B368" s="1252"/>
      <c r="C368" s="1252"/>
      <c r="D368" s="1252"/>
      <c r="E368" s="1252"/>
      <c r="F368" s="1252"/>
      <c r="G368" s="1252"/>
      <c r="H368" s="1252"/>
    </row>
    <row r="369" spans="1:8">
      <c r="A369" s="1252"/>
      <c r="B369" s="1252"/>
      <c r="C369" s="1252"/>
      <c r="D369" s="1252"/>
      <c r="E369" s="1252"/>
      <c r="F369" s="1252"/>
      <c r="G369" s="1252"/>
      <c r="H369" s="1252"/>
    </row>
    <row r="370" spans="1:8">
      <c r="A370" s="1253" t="s">
        <v>1270</v>
      </c>
      <c r="B370" s="1252"/>
      <c r="C370" s="1252"/>
      <c r="D370" s="1252"/>
      <c r="E370" s="1252"/>
      <c r="F370" s="1252"/>
      <c r="G370" s="1252"/>
      <c r="H370" s="1252"/>
    </row>
    <row r="371" spans="1:8">
      <c r="A371" s="1253" t="s">
        <v>1274</v>
      </c>
      <c r="B371" s="1252"/>
      <c r="C371" s="1252"/>
      <c r="D371" s="1252"/>
      <c r="E371" s="1252"/>
      <c r="F371" s="1252"/>
      <c r="G371" s="1252"/>
      <c r="H371" s="1252"/>
    </row>
    <row r="372" spans="1:8">
      <c r="A372" s="1253" t="s">
        <v>1275</v>
      </c>
      <c r="B372" s="1252"/>
      <c r="C372" s="1252"/>
      <c r="D372" s="1252"/>
      <c r="E372" s="1252"/>
      <c r="F372" s="1252"/>
      <c r="G372" s="1252"/>
      <c r="H372" s="1252"/>
    </row>
    <row r="373" spans="1:8">
      <c r="A373" s="1253" t="s">
        <v>1276</v>
      </c>
      <c r="B373" s="1252"/>
      <c r="C373" s="1252"/>
      <c r="D373" s="1252"/>
      <c r="E373" s="1252"/>
      <c r="F373" s="1252"/>
      <c r="G373" s="1252"/>
      <c r="H373" s="1252"/>
    </row>
    <row r="374" spans="1:8">
      <c r="A374" s="1253" t="s">
        <v>1277</v>
      </c>
      <c r="B374" s="1252"/>
      <c r="C374" s="1252"/>
      <c r="D374" s="1252"/>
      <c r="E374" s="1252"/>
      <c r="F374" s="1252"/>
      <c r="G374" s="1252"/>
      <c r="H374" s="1252"/>
    </row>
    <row r="375" spans="1:8">
      <c r="A375" s="1252"/>
      <c r="B375" s="1252"/>
      <c r="C375" s="1252"/>
      <c r="D375" s="1252"/>
      <c r="E375" s="1252"/>
      <c r="F375" s="1252"/>
      <c r="G375" s="1252"/>
      <c r="H375" s="1252"/>
    </row>
    <row r="376" spans="1:8">
      <c r="A376" s="1253" t="s">
        <v>1270</v>
      </c>
      <c r="B376" s="1252"/>
      <c r="C376" s="1252"/>
      <c r="D376" s="1252"/>
      <c r="E376" s="1252"/>
      <c r="F376" s="1252"/>
      <c r="G376" s="1252"/>
      <c r="H376" s="1252"/>
    </row>
    <row r="377" spans="1:8">
      <c r="A377" s="1253" t="s">
        <v>1271</v>
      </c>
      <c r="B377" s="1252"/>
      <c r="C377" s="1252"/>
      <c r="D377" s="1252"/>
      <c r="E377" s="1252"/>
      <c r="F377" s="1252"/>
      <c r="G377" s="1252"/>
      <c r="H377" s="1252"/>
    </row>
    <row r="378" spans="1:8">
      <c r="A378" s="1253" t="s">
        <v>1272</v>
      </c>
      <c r="B378" s="1252"/>
      <c r="C378" s="1252"/>
      <c r="D378" s="1252"/>
      <c r="E378" s="1252"/>
      <c r="F378" s="1252"/>
      <c r="G378" s="1252"/>
      <c r="H378" s="1252"/>
    </row>
    <row r="379" spans="1:8">
      <c r="A379" s="1253" t="s">
        <v>1273</v>
      </c>
      <c r="B379" s="1252"/>
      <c r="C379" s="1252"/>
      <c r="D379" s="1252"/>
      <c r="E379" s="1252"/>
      <c r="F379" s="1252"/>
      <c r="G379" s="1252"/>
      <c r="H379" s="1252"/>
    </row>
    <row r="380" spans="1:8">
      <c r="A380" s="1252"/>
      <c r="B380" s="1252"/>
      <c r="C380" s="1252"/>
      <c r="D380" s="1252"/>
      <c r="E380" s="1252"/>
      <c r="F380" s="1252"/>
      <c r="G380" s="1252"/>
      <c r="H380" s="1252"/>
    </row>
    <row r="381" spans="1:8">
      <c r="A381" s="1253" t="s">
        <v>1264</v>
      </c>
      <c r="B381" s="1252"/>
      <c r="C381" s="1252"/>
      <c r="D381" s="1252"/>
      <c r="E381" s="1252"/>
      <c r="F381" s="1252"/>
      <c r="G381" s="1252"/>
      <c r="H381" s="1252"/>
    </row>
    <row r="382" spans="1:8">
      <c r="A382" s="1253" t="s">
        <v>1265</v>
      </c>
      <c r="B382" s="1252"/>
      <c r="C382" s="1252"/>
      <c r="D382" s="1252"/>
      <c r="E382" s="1252"/>
      <c r="F382" s="1252"/>
      <c r="G382" s="1252"/>
      <c r="H382" s="1252"/>
    </row>
    <row r="383" spans="1:8">
      <c r="A383" s="1253" t="s">
        <v>1266</v>
      </c>
      <c r="B383" s="1252"/>
      <c r="C383" s="1252"/>
      <c r="D383" s="1252"/>
      <c r="E383" s="1252"/>
      <c r="F383" s="1252"/>
      <c r="G383" s="1252"/>
      <c r="H383" s="1252"/>
    </row>
    <row r="384" spans="1:8">
      <c r="A384" s="1253" t="s">
        <v>1267</v>
      </c>
      <c r="B384" s="1252"/>
      <c r="C384" s="1252"/>
      <c r="D384" s="1252"/>
      <c r="E384" s="1252"/>
      <c r="F384" s="1252"/>
      <c r="G384" s="1252"/>
      <c r="H384" s="1252"/>
    </row>
    <row r="385" spans="1:8">
      <c r="A385" s="1253" t="s">
        <v>1268</v>
      </c>
      <c r="B385" s="1252"/>
      <c r="C385" s="1252"/>
      <c r="D385" s="1252"/>
      <c r="E385" s="1252"/>
      <c r="F385" s="1252"/>
      <c r="G385" s="1252"/>
      <c r="H385" s="1252"/>
    </row>
    <row r="386" spans="1:8">
      <c r="A386" s="1253" t="s">
        <v>1269</v>
      </c>
      <c r="B386" s="1252"/>
      <c r="C386" s="1252"/>
      <c r="D386" s="1252"/>
      <c r="E386" s="1252"/>
      <c r="F386" s="1252"/>
      <c r="G386" s="1252"/>
      <c r="H386" s="1252"/>
    </row>
    <row r="387" spans="1:8">
      <c r="A387" s="1252"/>
      <c r="B387" s="1252"/>
      <c r="C387" s="1252"/>
      <c r="D387" s="1252"/>
      <c r="E387" s="1252"/>
      <c r="F387" s="1252"/>
      <c r="G387" s="1252"/>
      <c r="H387" s="1252"/>
    </row>
    <row r="388" spans="1:8">
      <c r="A388" s="1253" t="s">
        <v>1259</v>
      </c>
      <c r="B388" s="1252"/>
      <c r="C388" s="1252"/>
      <c r="D388" s="1252"/>
      <c r="E388" s="1252"/>
      <c r="F388" s="1252"/>
      <c r="G388" s="1252"/>
      <c r="H388" s="1252"/>
    </row>
    <row r="389" spans="1:8">
      <c r="A389" s="1253" t="s">
        <v>1260</v>
      </c>
      <c r="B389" s="1252"/>
      <c r="C389" s="1252"/>
      <c r="D389" s="1252"/>
      <c r="E389" s="1252"/>
      <c r="F389" s="1252"/>
      <c r="G389" s="1252"/>
      <c r="H389" s="1252"/>
    </row>
    <row r="390" spans="1:8">
      <c r="A390" s="1253" t="s">
        <v>1261</v>
      </c>
      <c r="B390" s="1252"/>
      <c r="C390" s="1252"/>
      <c r="D390" s="1252"/>
      <c r="E390" s="1252"/>
      <c r="F390" s="1252"/>
      <c r="G390" s="1252"/>
      <c r="H390" s="1252"/>
    </row>
    <row r="391" spans="1:8">
      <c r="A391" s="1253" t="s">
        <v>1262</v>
      </c>
      <c r="B391" s="1252"/>
      <c r="C391" s="1252"/>
      <c r="D391" s="1252"/>
      <c r="E391" s="1252"/>
      <c r="F391" s="1252"/>
      <c r="G391" s="1252"/>
      <c r="H391" s="1252"/>
    </row>
    <row r="392" spans="1:8">
      <c r="A392" s="1253" t="s">
        <v>1263</v>
      </c>
      <c r="B392" s="1252"/>
      <c r="C392" s="1252"/>
      <c r="D392" s="1252"/>
      <c r="E392" s="1252"/>
      <c r="F392" s="1252"/>
      <c r="G392" s="1252"/>
      <c r="H392" s="1252"/>
    </row>
    <row r="393" spans="1:8">
      <c r="A393" s="1252"/>
      <c r="B393" s="1252"/>
      <c r="C393" s="1252"/>
      <c r="D393" s="1252"/>
      <c r="E393" s="1252"/>
      <c r="F393" s="1252"/>
      <c r="G393" s="1252"/>
      <c r="H393" s="1252"/>
    </row>
    <row r="394" spans="1:8">
      <c r="A394" s="1253" t="s">
        <v>1257</v>
      </c>
      <c r="B394" s="1252"/>
      <c r="C394" s="1252"/>
      <c r="D394" s="1252"/>
      <c r="E394" s="1252"/>
      <c r="F394" s="1252"/>
      <c r="G394" s="1252"/>
      <c r="H394" s="1252"/>
    </row>
    <row r="395" spans="1:8">
      <c r="A395" s="1253" t="s">
        <v>1258</v>
      </c>
      <c r="B395" s="1252"/>
      <c r="C395" s="1252"/>
      <c r="D395" s="1252"/>
      <c r="E395" s="1252"/>
      <c r="F395" s="1252"/>
      <c r="G395" s="1252"/>
      <c r="H395" s="1252"/>
    </row>
    <row r="397" spans="1:8">
      <c r="A397" s="1248" t="s">
        <v>1517</v>
      </c>
    </row>
  </sheetData>
  <mergeCells count="12">
    <mergeCell ref="A135:H135"/>
    <mergeCell ref="A136:H136"/>
    <mergeCell ref="B128:C128"/>
    <mergeCell ref="D128:F128"/>
    <mergeCell ref="G128:H128"/>
    <mergeCell ref="A114:H114"/>
    <mergeCell ref="A115:H115"/>
    <mergeCell ref="A116:H116"/>
    <mergeCell ref="A117:H117"/>
    <mergeCell ref="A119:H119"/>
    <mergeCell ref="A120:H120"/>
    <mergeCell ref="A127:H12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U41"/>
  <sheetViews>
    <sheetView showGridLines="0" zoomScaleNormal="100" workbookViewId="0">
      <selection activeCell="C25" sqref="C25"/>
    </sheetView>
  </sheetViews>
  <sheetFormatPr defaultRowHeight="12.75"/>
  <cols>
    <col min="1" max="1" width="2.7109375" style="348" customWidth="1"/>
    <col min="2" max="2" width="22.140625" style="348" customWidth="1"/>
    <col min="3" max="3" width="9.140625" style="348"/>
    <col min="4" max="7" width="7.7109375" style="348" customWidth="1"/>
    <col min="8" max="8" width="8.5703125" style="348" customWidth="1"/>
    <col min="9" max="12" width="7.7109375" style="348" customWidth="1"/>
    <col min="13" max="13" width="8.28515625" style="348" customWidth="1"/>
    <col min="14" max="14" width="10.140625" style="348" bestFit="1" customWidth="1"/>
    <col min="15" max="15" width="7.7109375" style="348" customWidth="1"/>
    <col min="16" max="16" width="10.140625" style="348" bestFit="1" customWidth="1"/>
    <col min="17" max="17" width="9.140625" style="348" bestFit="1" customWidth="1"/>
    <col min="18" max="19" width="7.7109375" style="348" customWidth="1"/>
    <col min="20" max="20" width="9.28515625" bestFit="1" customWidth="1"/>
    <col min="21" max="21" width="7.7109375" style="348" customWidth="1"/>
    <col min="22" max="16384" width="9.140625" style="348"/>
  </cols>
  <sheetData>
    <row r="1" spans="2:21" s="421" customFormat="1"/>
    <row r="2" spans="2:21" s="422" customFormat="1">
      <c r="D2" s="349"/>
      <c r="E2" s="355"/>
      <c r="F2" s="355"/>
      <c r="G2" s="355"/>
      <c r="H2" s="355"/>
      <c r="I2" s="351"/>
      <c r="J2" s="351"/>
      <c r="K2" s="349"/>
      <c r="L2" s="349"/>
      <c r="M2" s="349"/>
      <c r="N2" s="349"/>
      <c r="O2" s="349"/>
      <c r="P2" s="349"/>
      <c r="Q2" s="349"/>
      <c r="R2" s="349"/>
      <c r="S2" s="349"/>
    </row>
    <row r="3" spans="2:21" s="422" customFormat="1">
      <c r="D3" s="349"/>
      <c r="E3" s="355"/>
      <c r="F3" s="355"/>
      <c r="G3" s="355"/>
      <c r="H3" s="355"/>
      <c r="I3" s="355"/>
      <c r="J3" s="355"/>
      <c r="K3" s="349"/>
      <c r="L3" s="349"/>
      <c r="N3" s="423" t="s">
        <v>385</v>
      </c>
      <c r="O3" s="355"/>
      <c r="P3" s="423" t="s">
        <v>182</v>
      </c>
      <c r="Q3" s="423" t="s">
        <v>122</v>
      </c>
      <c r="R3" s="351"/>
      <c r="S3" s="349"/>
    </row>
    <row r="4" spans="2:21" s="424" customFormat="1">
      <c r="D4" s="350"/>
      <c r="E4" s="351"/>
      <c r="F4" s="351"/>
      <c r="G4" s="351"/>
      <c r="H4" s="351"/>
      <c r="I4" s="351"/>
      <c r="J4" s="351"/>
      <c r="K4" s="350"/>
      <c r="L4" s="350"/>
      <c r="M4" s="350"/>
      <c r="N4" s="351"/>
      <c r="O4" s="351"/>
      <c r="P4" s="351"/>
      <c r="Q4" s="350"/>
      <c r="R4" s="351"/>
      <c r="S4" s="425"/>
      <c r="U4" s="628" t="s">
        <v>765</v>
      </c>
    </row>
    <row r="5" spans="2:21" s="422" customFormat="1">
      <c r="B5" s="625"/>
      <c r="C5" s="625"/>
      <c r="D5" s="626">
        <v>2014</v>
      </c>
      <c r="E5" s="626">
        <f>D5+1</f>
        <v>2015</v>
      </c>
      <c r="F5" s="626">
        <f t="shared" ref="F5:T5" si="0">E5+1</f>
        <v>2016</v>
      </c>
      <c r="G5" s="626">
        <f t="shared" si="0"/>
        <v>2017</v>
      </c>
      <c r="H5" s="626">
        <f t="shared" si="0"/>
        <v>2018</v>
      </c>
      <c r="I5" s="626">
        <f t="shared" si="0"/>
        <v>2019</v>
      </c>
      <c r="J5" s="626">
        <f t="shared" si="0"/>
        <v>2020</v>
      </c>
      <c r="K5" s="626">
        <f t="shared" si="0"/>
        <v>2021</v>
      </c>
      <c r="L5" s="626">
        <f t="shared" si="0"/>
        <v>2022</v>
      </c>
      <c r="M5" s="626">
        <f t="shared" si="0"/>
        <v>2023</v>
      </c>
      <c r="N5" s="626">
        <f t="shared" si="0"/>
        <v>2024</v>
      </c>
      <c r="O5" s="626">
        <f t="shared" si="0"/>
        <v>2025</v>
      </c>
      <c r="P5" s="626">
        <f t="shared" si="0"/>
        <v>2026</v>
      </c>
      <c r="Q5" s="626">
        <f t="shared" si="0"/>
        <v>2027</v>
      </c>
      <c r="R5" s="626">
        <f t="shared" si="0"/>
        <v>2028</v>
      </c>
      <c r="S5" s="626">
        <f t="shared" si="0"/>
        <v>2029</v>
      </c>
      <c r="T5" s="626">
        <f t="shared" si="0"/>
        <v>2030</v>
      </c>
      <c r="U5" s="626">
        <f>T5+1</f>
        <v>2031</v>
      </c>
    </row>
    <row r="6" spans="2:21" s="422" customFormat="1">
      <c r="B6" s="426" t="s">
        <v>764</v>
      </c>
      <c r="C6" s="426"/>
      <c r="D6" s="352">
        <f>CF!O62</f>
        <v>2906.6</v>
      </c>
      <c r="E6" s="352">
        <f>CF!P62</f>
        <v>2498.0999999999995</v>
      </c>
      <c r="F6" s="352">
        <f>CF!Q62</f>
        <v>3928.9</v>
      </c>
      <c r="G6" s="352">
        <f>CF!R62</f>
        <v>4967</v>
      </c>
      <c r="H6" s="352">
        <f>CF!S62</f>
        <v>6225.6679120730587</v>
      </c>
      <c r="I6" s="352">
        <f>CF!T62</f>
        <v>7245.080942516197</v>
      </c>
      <c r="J6" s="352">
        <f>CF!U62</f>
        <v>8542.5456252760869</v>
      </c>
      <c r="K6" s="352">
        <f>CF!V62</f>
        <v>10005.201595585335</v>
      </c>
      <c r="L6" s="352">
        <f>CF!W62</f>
        <v>10898.897182403673</v>
      </c>
      <c r="M6" s="352">
        <f>CF!X62</f>
        <v>11229.491998058324</v>
      </c>
      <c r="N6" s="352">
        <f>CF!Y62</f>
        <v>11103.719763908855</v>
      </c>
      <c r="O6" s="352">
        <f>CF!Z62</f>
        <v>9338.8690805930528</v>
      </c>
      <c r="P6" s="352">
        <f>CF!AA62</f>
        <v>6136.7172971463497</v>
      </c>
      <c r="Q6" s="352">
        <f>CF!AB62</f>
        <v>5007.6974064933929</v>
      </c>
      <c r="R6" s="352">
        <f>CF!AC62</f>
        <v>4937.963917531335</v>
      </c>
      <c r="S6" s="352">
        <f>CF!AD62</f>
        <v>5340.4093721998743</v>
      </c>
      <c r="T6" s="352">
        <f>CF!AE62</f>
        <v>4575.7420537231264</v>
      </c>
      <c r="U6" s="352">
        <f>S6*(1+C20)/(C18-C20)</f>
        <v>68090.219495548401</v>
      </c>
    </row>
    <row r="7" spans="2:21" s="422" customFormat="1">
      <c r="B7" s="426"/>
      <c r="C7" s="426"/>
      <c r="D7" s="352"/>
      <c r="E7" s="352"/>
      <c r="F7" s="352"/>
      <c r="G7" s="352"/>
      <c r="H7" s="352"/>
      <c r="I7" s="352"/>
      <c r="J7" s="352"/>
      <c r="K7" s="352"/>
      <c r="L7" s="352"/>
      <c r="M7" s="352"/>
      <c r="N7" s="352"/>
      <c r="O7" s="352"/>
      <c r="P7" s="352"/>
      <c r="Q7" s="352"/>
      <c r="R7" s="352"/>
      <c r="S7" s="352"/>
      <c r="U7" s="352"/>
    </row>
    <row r="8" spans="2:21" s="422" customFormat="1">
      <c r="B8" s="627" t="s">
        <v>328</v>
      </c>
      <c r="C8" s="427"/>
      <c r="D8" s="352"/>
      <c r="E8" s="353">
        <f t="shared" ref="E8:S8" si="1">E6/D6-1</f>
        <v>-0.14054221427096969</v>
      </c>
      <c r="F8" s="353">
        <f t="shared" si="1"/>
        <v>0.57275529402345815</v>
      </c>
      <c r="G8" s="353">
        <f t="shared" si="1"/>
        <v>0.26422153783501745</v>
      </c>
      <c r="H8" s="353">
        <f t="shared" si="1"/>
        <v>0.25340606242662744</v>
      </c>
      <c r="I8" s="353">
        <f t="shared" si="1"/>
        <v>0.16374356050476968</v>
      </c>
      <c r="J8" s="353">
        <f t="shared" si="1"/>
        <v>0.17908215146997164</v>
      </c>
      <c r="K8" s="428">
        <f t="shared" si="1"/>
        <v>0.17122015315686134</v>
      </c>
      <c r="L8" s="429">
        <f t="shared" si="1"/>
        <v>8.9323096419433368E-2</v>
      </c>
      <c r="M8" s="429">
        <f t="shared" si="1"/>
        <v>3.0332868557416903E-2</v>
      </c>
      <c r="N8" s="430">
        <f t="shared" si="1"/>
        <v>-1.1200171314180163E-2</v>
      </c>
      <c r="O8" s="771">
        <f t="shared" si="1"/>
        <v>-0.15894229328915632</v>
      </c>
      <c r="P8" s="772">
        <f t="shared" si="1"/>
        <v>-0.34288432098283084</v>
      </c>
      <c r="Q8" s="772">
        <f t="shared" si="1"/>
        <v>-0.18397782331898604</v>
      </c>
      <c r="R8" s="772">
        <f t="shared" si="1"/>
        <v>-1.3925260114885485E-2</v>
      </c>
      <c r="S8" s="773">
        <f t="shared" si="1"/>
        <v>8.1500282584028305E-2</v>
      </c>
    </row>
    <row r="9" spans="2:21" s="422" customFormat="1" ht="15" customHeight="1">
      <c r="K9" s="1229" t="s">
        <v>730</v>
      </c>
      <c r="L9" s="1230"/>
      <c r="M9" s="1230"/>
      <c r="N9" s="1231"/>
      <c r="O9" s="1232" t="s">
        <v>731</v>
      </c>
      <c r="P9" s="1233"/>
      <c r="Q9" s="1233"/>
      <c r="R9" s="1233"/>
      <c r="S9" s="1234"/>
    </row>
    <row r="10" spans="2:21" s="424" customFormat="1" ht="15" customHeight="1">
      <c r="K10" s="431"/>
      <c r="L10" s="431"/>
      <c r="M10" s="431"/>
      <c r="N10" s="431"/>
      <c r="O10" s="431"/>
      <c r="P10" s="431"/>
      <c r="Q10" s="431"/>
      <c r="R10" s="431"/>
      <c r="S10" s="431"/>
    </row>
    <row r="11" spans="2:21" s="422" customFormat="1">
      <c r="B11" s="422" t="s">
        <v>763</v>
      </c>
      <c r="D11" s="432"/>
      <c r="E11" s="432">
        <f>E6/(1+$C$18)^(E5-$C$21)</f>
        <v>3487.2591095900416</v>
      </c>
      <c r="F11" s="432">
        <f t="shared" ref="F11:R11" si="2">F6/(1+$C$18)^(F5-$C$21)</f>
        <v>4986.0047511266084</v>
      </c>
      <c r="G11" s="432">
        <f t="shared" si="2"/>
        <v>5730.3769037472575</v>
      </c>
      <c r="H11" s="432">
        <f t="shared" si="2"/>
        <v>6529.5355919512176</v>
      </c>
      <c r="I11" s="432">
        <f t="shared" si="2"/>
        <v>6907.9136347453887</v>
      </c>
      <c r="J11" s="432">
        <f t="shared" si="2"/>
        <v>7404.5433369312213</v>
      </c>
      <c r="K11" s="432">
        <f t="shared" si="2"/>
        <v>7883.9548919429117</v>
      </c>
      <c r="L11" s="432">
        <f t="shared" si="2"/>
        <v>7807.431049929447</v>
      </c>
      <c r="M11" s="432">
        <f t="shared" si="2"/>
        <v>7312.9571179436825</v>
      </c>
      <c r="N11" s="432">
        <f t="shared" si="2"/>
        <v>6573.6824958267825</v>
      </c>
      <c r="O11" s="432">
        <f t="shared" si="2"/>
        <v>5026.2239314411709</v>
      </c>
      <c r="P11" s="432">
        <f t="shared" si="2"/>
        <v>3002.5550469102818</v>
      </c>
      <c r="Q11" s="432">
        <f t="shared" si="2"/>
        <v>2227.4104590766287</v>
      </c>
      <c r="R11" s="432">
        <f t="shared" si="2"/>
        <v>1996.7210809557912</v>
      </c>
      <c r="S11" s="432">
        <f>S6/(1+$C$18)^(S5-$C$21)</f>
        <v>1963.1403757228857</v>
      </c>
      <c r="T11" s="432">
        <f>T6/(1+$C$18)^(T5-$C$21)</f>
        <v>1529.1343872894442</v>
      </c>
      <c r="U11" s="432">
        <f>U6/(1+$C$18)^(U5-$C$21)</f>
        <v>20685.983297906441</v>
      </c>
    </row>
    <row r="12" spans="2:21" s="422" customFormat="1">
      <c r="E12" s="422">
        <f>1/(1+$C$18)^(E5-$C$21)</f>
        <v>1.395964576914472</v>
      </c>
      <c r="F12" s="422">
        <f t="shared" ref="F12:U12" si="3">1/(1+$C$18)^(F5-$C$21)</f>
        <v>1.2690587062858836</v>
      </c>
      <c r="G12" s="422">
        <f t="shared" si="3"/>
        <v>1.1536897329871669</v>
      </c>
      <c r="H12" s="422">
        <f t="shared" si="3"/>
        <v>1.0488088481701516</v>
      </c>
      <c r="I12" s="422">
        <f t="shared" si="3"/>
        <v>0.95346258924559224</v>
      </c>
      <c r="J12" s="422">
        <f t="shared" si="3"/>
        <v>0.86678417204144742</v>
      </c>
      <c r="K12" s="422">
        <f t="shared" si="3"/>
        <v>0.78798561094677033</v>
      </c>
      <c r="L12" s="422">
        <f t="shared" si="3"/>
        <v>0.71635055540615489</v>
      </c>
      <c r="M12" s="422">
        <f t="shared" si="3"/>
        <v>0.65122777764195883</v>
      </c>
      <c r="N12" s="422">
        <f t="shared" si="3"/>
        <v>0.59202525240178083</v>
      </c>
      <c r="O12" s="422">
        <f t="shared" si="3"/>
        <v>0.53820477491070973</v>
      </c>
      <c r="P12" s="422">
        <f t="shared" si="3"/>
        <v>0.48927706810064514</v>
      </c>
      <c r="Q12" s="422">
        <f t="shared" si="3"/>
        <v>0.44479733463695009</v>
      </c>
      <c r="R12" s="422">
        <f t="shared" si="3"/>
        <v>0.4043612133063183</v>
      </c>
      <c r="S12" s="422">
        <f t="shared" si="3"/>
        <v>0.36760110300574383</v>
      </c>
      <c r="T12" s="422">
        <f t="shared" si="3"/>
        <v>0.33418282091431251</v>
      </c>
      <c r="U12" s="422">
        <f t="shared" si="3"/>
        <v>0.30380256446755688</v>
      </c>
    </row>
    <row r="13" spans="2:21" s="422" customFormat="1">
      <c r="B13" s="433" t="s">
        <v>732</v>
      </c>
      <c r="C13" s="434">
        <f>SUM(I11:U11)+H11*0.5</f>
        <v>83586.418902597681</v>
      </c>
      <c r="U13" s="422">
        <f>(1+C20)/(C18-C20)</f>
        <v>12.75</v>
      </c>
    </row>
    <row r="14" spans="2:21" s="422" customFormat="1">
      <c r="B14" s="422" t="s">
        <v>733</v>
      </c>
      <c r="C14" s="432">
        <f>BS!S3+BS!S4-BS!S31</f>
        <v>-11195.047226118179</v>
      </c>
      <c r="E14" s="432"/>
      <c r="F14" s="432"/>
      <c r="G14" s="432"/>
      <c r="H14" s="432"/>
      <c r="I14" s="432"/>
      <c r="J14" s="432"/>
      <c r="K14" s="432"/>
      <c r="L14" s="966"/>
      <c r="M14" s="967"/>
      <c r="N14" s="967"/>
      <c r="O14" s="967"/>
      <c r="P14" s="432"/>
      <c r="Q14" s="432"/>
      <c r="R14" s="432"/>
      <c r="S14" s="432"/>
      <c r="T14" s="432"/>
      <c r="U14" s="432"/>
    </row>
    <row r="15" spans="2:21" s="422" customFormat="1">
      <c r="B15" s="422" t="s">
        <v>734</v>
      </c>
      <c r="C15" s="432">
        <f>C13+C14</f>
        <v>72391.371676479495</v>
      </c>
      <c r="E15" s="435"/>
      <c r="F15" s="435"/>
      <c r="G15" s="959"/>
      <c r="H15" s="959"/>
      <c r="I15" s="435"/>
      <c r="J15" s="435"/>
      <c r="K15" s="435"/>
      <c r="M15" s="919"/>
      <c r="N15" s="919"/>
      <c r="O15" s="918"/>
    </row>
    <row r="16" spans="2:21" s="422" customFormat="1">
      <c r="B16" s="433" t="s">
        <v>735</v>
      </c>
      <c r="C16" s="434">
        <f>C15/C22</f>
        <v>93.420275747166727</v>
      </c>
      <c r="E16" s="957"/>
      <c r="F16" s="957"/>
      <c r="G16" s="436"/>
      <c r="H16" s="957"/>
      <c r="I16" s="436"/>
      <c r="J16" s="957"/>
      <c r="K16" s="435"/>
      <c r="M16" s="919"/>
      <c r="N16" s="919"/>
      <c r="O16" s="918"/>
    </row>
    <row r="17" spans="1:20" s="422" customFormat="1">
      <c r="E17" s="955"/>
      <c r="F17" s="435"/>
      <c r="G17" s="435"/>
      <c r="H17" s="959"/>
      <c r="I17" s="435"/>
      <c r="J17" s="435"/>
      <c r="K17" s="435"/>
      <c r="M17" s="919"/>
      <c r="N17" s="919"/>
      <c r="O17" s="918"/>
    </row>
    <row r="18" spans="1:20" s="422" customFormat="1">
      <c r="B18" s="422" t="s">
        <v>736</v>
      </c>
      <c r="C18" s="437">
        <v>0.1</v>
      </c>
      <c r="H18" s="969"/>
      <c r="M18" s="919"/>
      <c r="N18" s="919"/>
      <c r="O18" s="918"/>
    </row>
    <row r="19" spans="1:20" s="422" customFormat="1">
      <c r="B19" s="422" t="s">
        <v>737</v>
      </c>
      <c r="C19" s="437">
        <f>AVERAGE(K8:N8)</f>
        <v>6.9918986704882863E-2</v>
      </c>
      <c r="M19" s="919"/>
      <c r="N19" s="919"/>
      <c r="O19" s="918"/>
    </row>
    <row r="20" spans="1:20" s="422" customFormat="1">
      <c r="B20" s="422" t="s">
        <v>738</v>
      </c>
      <c r="C20" s="437">
        <v>0.02</v>
      </c>
      <c r="M20" s="919"/>
      <c r="N20" s="919"/>
      <c r="O20" s="918"/>
    </row>
    <row r="21" spans="1:20" s="422" customFormat="1">
      <c r="B21" s="422" t="s">
        <v>739</v>
      </c>
      <c r="C21" s="968">
        <v>2018.5</v>
      </c>
      <c r="M21" s="919"/>
      <c r="N21" s="919"/>
      <c r="O21" s="918"/>
    </row>
    <row r="22" spans="1:20" s="422" customFormat="1">
      <c r="B22" s="422" t="s">
        <v>606</v>
      </c>
      <c r="C22" s="438">
        <f>IS!CF87</f>
        <v>774.9</v>
      </c>
      <c r="M22" s="919"/>
      <c r="N22" s="919"/>
      <c r="O22" s="918"/>
    </row>
    <row r="23" spans="1:20">
      <c r="C23" s="354"/>
      <c r="G23" s="956"/>
    </row>
    <row r="24" spans="1:20" ht="13.5" thickBot="1">
      <c r="B24" s="707" t="s">
        <v>982</v>
      </c>
      <c r="H24" s="943"/>
      <c r="I24" s="943"/>
      <c r="J24" s="943"/>
      <c r="K24" s="943"/>
      <c r="M24" s="920"/>
      <c r="N24" s="920"/>
      <c r="O24" s="920"/>
    </row>
    <row r="25" spans="1:20">
      <c r="A25" s="705">
        <v>1</v>
      </c>
      <c r="B25" s="708" t="s">
        <v>776</v>
      </c>
      <c r="C25" s="706">
        <v>2</v>
      </c>
      <c r="D25" s="1235" t="s">
        <v>772</v>
      </c>
      <c r="E25" s="1236"/>
      <c r="H25" s="970"/>
      <c r="I25" s="971"/>
      <c r="J25" s="970"/>
      <c r="K25" s="944"/>
      <c r="M25" s="921"/>
      <c r="N25" s="921"/>
      <c r="O25" s="922"/>
    </row>
    <row r="26" spans="1:20">
      <c r="A26" s="705">
        <v>2</v>
      </c>
      <c r="B26" s="709"/>
      <c r="C26" s="711"/>
      <c r="D26" s="1237" t="s">
        <v>773</v>
      </c>
      <c r="E26" s="1238"/>
      <c r="H26" s="970"/>
      <c r="I26" s="971"/>
      <c r="J26" s="970"/>
      <c r="K26" s="945"/>
      <c r="M26" s="921"/>
      <c r="N26" s="921"/>
      <c r="O26" s="922"/>
    </row>
    <row r="27" spans="1:20" ht="13.5" thickBot="1">
      <c r="A27" s="705">
        <v>3</v>
      </c>
      <c r="B27" s="710"/>
      <c r="C27" s="712"/>
      <c r="D27" s="1227" t="s">
        <v>774</v>
      </c>
      <c r="E27" s="1228"/>
      <c r="H27" s="970"/>
      <c r="I27" s="971"/>
      <c r="J27" s="970"/>
      <c r="K27" s="946"/>
      <c r="L27" s="926"/>
      <c r="M27" s="927"/>
      <c r="N27" s="927"/>
      <c r="O27" s="623"/>
      <c r="P27" s="927"/>
      <c r="Q27" s="927"/>
      <c r="R27" s="927"/>
      <c r="S27" s="927"/>
      <c r="T27" s="928"/>
    </row>
    <row r="28" spans="1:20">
      <c r="L28" s="923"/>
    </row>
    <row r="29" spans="1:20" ht="13.5" thickBot="1">
      <c r="B29" s="707" t="s">
        <v>983</v>
      </c>
      <c r="L29" s="924"/>
    </row>
    <row r="30" spans="1:20">
      <c r="B30" s="870" t="s">
        <v>776</v>
      </c>
      <c r="C30" s="884">
        <v>6</v>
      </c>
      <c r="D30" s="878">
        <v>1</v>
      </c>
      <c r="E30" s="881">
        <v>2020</v>
      </c>
      <c r="L30" s="925"/>
    </row>
    <row r="31" spans="1:20">
      <c r="B31" s="873"/>
      <c r="C31" s="874"/>
      <c r="D31" s="879">
        <f>D30+1</f>
        <v>2</v>
      </c>
      <c r="E31" s="882">
        <f>E30+1</f>
        <v>2021</v>
      </c>
    </row>
    <row r="32" spans="1:20">
      <c r="B32" s="873"/>
      <c r="C32" s="874"/>
      <c r="D32" s="879">
        <f t="shared" ref="D32:D37" si="4">D31+1</f>
        <v>3</v>
      </c>
      <c r="E32" s="882">
        <f t="shared" ref="E32:E37" si="5">E31+1</f>
        <v>2022</v>
      </c>
    </row>
    <row r="33" spans="2:12">
      <c r="B33" s="873"/>
      <c r="C33" s="874"/>
      <c r="D33" s="879">
        <f t="shared" si="4"/>
        <v>4</v>
      </c>
      <c r="E33" s="882">
        <f t="shared" si="5"/>
        <v>2023</v>
      </c>
    </row>
    <row r="34" spans="2:12">
      <c r="B34" s="873"/>
      <c r="C34" s="874"/>
      <c r="D34" s="879">
        <f t="shared" si="4"/>
        <v>5</v>
      </c>
      <c r="E34" s="882">
        <f t="shared" si="5"/>
        <v>2024</v>
      </c>
    </row>
    <row r="35" spans="2:12">
      <c r="B35" s="873"/>
      <c r="C35" s="874"/>
      <c r="D35" s="879">
        <f t="shared" si="4"/>
        <v>6</v>
      </c>
      <c r="E35" s="882">
        <f t="shared" si="5"/>
        <v>2025</v>
      </c>
    </row>
    <row r="36" spans="2:12">
      <c r="B36" s="873"/>
      <c r="C36" s="874"/>
      <c r="D36" s="879">
        <f t="shared" si="4"/>
        <v>7</v>
      </c>
      <c r="E36" s="882">
        <f t="shared" si="5"/>
        <v>2026</v>
      </c>
      <c r="G36" s="941"/>
    </row>
    <row r="37" spans="2:12" ht="13.5" thickBot="1">
      <c r="B37" s="875"/>
      <c r="C37" s="876"/>
      <c r="D37" s="880">
        <f t="shared" si="4"/>
        <v>8</v>
      </c>
      <c r="E37" s="883">
        <f t="shared" si="5"/>
        <v>2027</v>
      </c>
    </row>
    <row r="39" spans="2:12" ht="13.5" thickBot="1">
      <c r="B39" s="707" t="s">
        <v>984</v>
      </c>
    </row>
    <row r="40" spans="2:12">
      <c r="B40" s="870" t="s">
        <v>776</v>
      </c>
      <c r="C40" s="884">
        <v>2</v>
      </c>
      <c r="D40" s="878">
        <v>1</v>
      </c>
      <c r="E40" s="871" t="s">
        <v>985</v>
      </c>
      <c r="F40" s="871"/>
      <c r="G40" s="872"/>
    </row>
    <row r="41" spans="2:12" ht="13.5" thickBot="1">
      <c r="B41" s="875"/>
      <c r="C41" s="876"/>
      <c r="D41" s="880">
        <v>2</v>
      </c>
      <c r="E41" s="876" t="s">
        <v>986</v>
      </c>
      <c r="F41" s="876"/>
      <c r="G41" s="877"/>
      <c r="L41" s="941"/>
    </row>
  </sheetData>
  <mergeCells count="5">
    <mergeCell ref="D27:E27"/>
    <mergeCell ref="K9:N9"/>
    <mergeCell ref="O9:S9"/>
    <mergeCell ref="D25:E25"/>
    <mergeCell ref="D26:E26"/>
  </mergeCells>
  <phoneticPr fontId="52" type="noConversion"/>
  <dataValidations count="3">
    <dataValidation type="list" allowBlank="1" showInputMessage="1" showErrorMessage="1" sqref="C25">
      <formula1>$A$25:$A$27</formula1>
    </dataValidation>
    <dataValidation type="list" allowBlank="1" showInputMessage="1" showErrorMessage="1" sqref="C30">
      <formula1>$D$30:$D$37</formula1>
    </dataValidation>
    <dataValidation type="list" allowBlank="1" showInputMessage="1" showErrorMessage="1" sqref="C40">
      <formula1>$D$40:$D$41</formula1>
    </dataValidation>
  </dataValidations>
  <pageMargins left="0" right="0" top="0" bottom="0" header="0" footer="0"/>
  <pageSetup paperSize="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2"/>
  <sheetViews>
    <sheetView zoomScaleNormal="100" workbookViewId="0"/>
  </sheetViews>
  <sheetFormatPr defaultRowHeight="12.75"/>
  <sheetData>
    <row r="1" spans="1:6">
      <c r="A1" t="s">
        <v>754</v>
      </c>
    </row>
    <row r="2" spans="1:6">
      <c r="A2" s="366" t="s">
        <v>753</v>
      </c>
      <c r="B2" s="366" t="s">
        <v>745</v>
      </c>
      <c r="C2" s="366" t="s">
        <v>752</v>
      </c>
      <c r="D2" s="366" t="s">
        <v>785</v>
      </c>
      <c r="E2" s="366" t="s">
        <v>751</v>
      </c>
      <c r="F2" s="366" t="s">
        <v>707</v>
      </c>
    </row>
  </sheetData>
  <phoneticPr fontId="52" type="noConversion"/>
  <pageMargins left="0.75" right="0.75" top="1" bottom="1" header="0.5" footer="0.5"/>
  <pageSetup orientation="portrait" horizontalDpi="90" verticalDpi="9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FA147"/>
  <sheetViews>
    <sheetView showGridLines="0" zoomScaleNormal="100" workbookViewId="0">
      <pane xSplit="2" ySplit="1" topLeftCell="CF2" activePane="bottomRight" state="frozen"/>
      <selection activeCell="AB62" sqref="AB62"/>
      <selection pane="topRight" activeCell="AB62" sqref="AB62"/>
      <selection pane="bottomLeft" activeCell="AB62" sqref="AB62"/>
      <selection pane="bottomRight" activeCell="B1" sqref="B1:DO91"/>
    </sheetView>
  </sheetViews>
  <sheetFormatPr defaultRowHeight="12.75" outlineLevelRow="2" outlineLevelCol="1"/>
  <cols>
    <col min="1" max="1" width="1.5703125" customWidth="1"/>
    <col min="2" max="2" width="37.140625" bestFit="1" customWidth="1"/>
    <col min="3" max="3" width="3.5703125" customWidth="1"/>
    <col min="4" max="4" width="0" style="50" hidden="1" customWidth="1"/>
    <col min="5" max="8" width="9.140625" hidden="1" customWidth="1" outlineLevel="1"/>
    <col min="9" max="9" width="0" hidden="1" customWidth="1" collapsed="1"/>
    <col min="10" max="13" width="9.140625" hidden="1" customWidth="1" outlineLevel="1"/>
    <col min="14" max="14" width="0" hidden="1" customWidth="1" collapsed="1"/>
    <col min="15" max="18" width="9.140625" hidden="1" customWidth="1" outlineLevel="1"/>
    <col min="19" max="19" width="0" hidden="1" customWidth="1" collapsed="1"/>
    <col min="20" max="23" width="9.140625" hidden="1" customWidth="1" outlineLevel="1"/>
    <col min="24" max="24" width="0" hidden="1" customWidth="1" collapsed="1"/>
    <col min="25" max="28" width="9.140625" hidden="1" customWidth="1" outlineLevel="1"/>
    <col min="29" max="29" width="0" hidden="1" customWidth="1" collapsed="1"/>
    <col min="30" max="33" width="9.140625" hidden="1" customWidth="1" outlineLevel="1"/>
    <col min="34" max="34" width="0" hidden="1" customWidth="1" collapsed="1"/>
    <col min="35" max="38" width="9.140625" hidden="1" customWidth="1" outlineLevel="1"/>
    <col min="39" max="39" width="9.140625" collapsed="1"/>
    <col min="40" max="43" width="9.140625" hidden="1" customWidth="1" outlineLevel="1"/>
    <col min="44" max="44" width="9.140625" collapsed="1"/>
    <col min="45" max="48" width="9.140625" hidden="1" customWidth="1" outlineLevel="1"/>
    <col min="49" max="49" width="9.140625" collapsed="1"/>
    <col min="50" max="53" width="9.140625" hidden="1" customWidth="1" outlineLevel="1"/>
    <col min="54" max="54" width="9.140625" collapsed="1"/>
    <col min="55" max="58" width="9.140625" hidden="1" customWidth="1" outlineLevel="1"/>
    <col min="59" max="59" width="9.140625" collapsed="1"/>
    <col min="60" max="63" width="9.140625" hidden="1" customWidth="1" outlineLevel="1"/>
    <col min="64" max="64" width="9.140625" collapsed="1"/>
    <col min="65" max="68" width="9.140625" hidden="1" customWidth="1" outlineLevel="1"/>
    <col min="69" max="69" width="9.140625" collapsed="1"/>
    <col min="70" max="73" width="9.140625" hidden="1" customWidth="1" outlineLevel="1"/>
    <col min="74" max="74" width="10.140625" customWidth="1" collapsed="1"/>
    <col min="75" max="78" width="9.140625" hidden="1" customWidth="1" outlineLevel="1"/>
    <col min="79" max="79" width="9.140625" customWidth="1" collapsed="1"/>
    <col min="80" max="83" width="9.140625" customWidth="1" outlineLevel="1"/>
    <col min="85" max="88" width="9.140625" hidden="1" customWidth="1" outlineLevel="1"/>
    <col min="89" max="89" width="9.140625" collapsed="1"/>
    <col min="90" max="93" width="9.140625" hidden="1" customWidth="1" outlineLevel="1"/>
    <col min="94" max="94" width="9.140625" collapsed="1"/>
    <col min="95" max="98" width="9.140625" hidden="1" customWidth="1" outlineLevel="1"/>
    <col min="99" max="99" width="9.140625" collapsed="1"/>
    <col min="100" max="103" width="9.140625" hidden="1" customWidth="1" outlineLevel="1"/>
    <col min="104" max="104" width="9.140625" collapsed="1"/>
    <col min="105" max="108" width="9.140625" hidden="1" customWidth="1" outlineLevel="1"/>
    <col min="109" max="109" width="9.140625" collapsed="1"/>
    <col min="110" max="113" width="9.140625" hidden="1" customWidth="1" outlineLevel="1"/>
    <col min="114" max="114" width="9.140625" collapsed="1"/>
    <col min="115" max="118" width="9.140625" hidden="1" customWidth="1" outlineLevel="1"/>
    <col min="119" max="119" width="9.140625" collapsed="1"/>
    <col min="120" max="123" width="0" hidden="1" customWidth="1" outlineLevel="1"/>
    <col min="124" max="124" width="9.140625" collapsed="1"/>
    <col min="125" max="128" width="9.140625" hidden="1" customWidth="1" outlineLevel="1"/>
    <col min="129" max="129" width="9.140625" collapsed="1"/>
    <col min="130" max="133" width="9.140625" hidden="1" customWidth="1" outlineLevel="1"/>
    <col min="134" max="134" width="9.140625" collapsed="1"/>
    <col min="135" max="138" width="9.140625" hidden="1" customWidth="1" outlineLevel="1"/>
    <col min="139" max="139" width="9.140625" collapsed="1"/>
    <col min="140" max="143" width="9.140625" hidden="1" customWidth="1" outlineLevel="1"/>
    <col min="144" max="144" width="9.140625" collapsed="1"/>
    <col min="149" max="149" width="17.7109375" customWidth="1"/>
  </cols>
  <sheetData>
    <row r="1" spans="2:157" ht="13.5" thickBot="1">
      <c r="C1" s="73"/>
      <c r="D1" s="96" t="s">
        <v>133</v>
      </c>
      <c r="E1" s="1239" t="s">
        <v>134</v>
      </c>
      <c r="F1" s="1239"/>
      <c r="G1" s="1239"/>
      <c r="H1" s="1239"/>
      <c r="I1" s="1239"/>
      <c r="J1" s="1239" t="s">
        <v>116</v>
      </c>
      <c r="K1" s="1239"/>
      <c r="L1" s="1239"/>
      <c r="M1" s="1239"/>
      <c r="N1" s="1239"/>
      <c r="O1" s="1239" t="s">
        <v>117</v>
      </c>
      <c r="P1" s="1239"/>
      <c r="Q1" s="1239"/>
      <c r="R1" s="1239"/>
      <c r="S1" s="1239"/>
      <c r="T1" s="1239" t="s">
        <v>118</v>
      </c>
      <c r="U1" s="1239"/>
      <c r="V1" s="1239"/>
      <c r="W1" s="1239"/>
      <c r="X1" s="1239"/>
      <c r="Y1" s="1239" t="s">
        <v>135</v>
      </c>
      <c r="Z1" s="1239"/>
      <c r="AA1" s="1239"/>
      <c r="AB1" s="1239"/>
      <c r="AC1" s="1239"/>
      <c r="AD1" s="1239" t="s">
        <v>136</v>
      </c>
      <c r="AE1" s="1239"/>
      <c r="AF1" s="1239"/>
      <c r="AG1" s="1239"/>
      <c r="AH1" s="1239"/>
      <c r="AI1" s="1239" t="s">
        <v>137</v>
      </c>
      <c r="AJ1" s="1239"/>
      <c r="AK1" s="1239"/>
      <c r="AL1" s="1239"/>
      <c r="AM1" s="1239"/>
      <c r="AN1" s="1239" t="s">
        <v>131</v>
      </c>
      <c r="AO1" s="1239"/>
      <c r="AP1" s="1239"/>
      <c r="AQ1" s="1239"/>
      <c r="AR1" s="1239"/>
      <c r="AS1" s="1239" t="s">
        <v>187</v>
      </c>
      <c r="AT1" s="1239"/>
      <c r="AU1" s="1239"/>
      <c r="AV1" s="1239"/>
      <c r="AW1" s="1239"/>
      <c r="AX1" s="1239" t="s">
        <v>30</v>
      </c>
      <c r="AY1" s="1239"/>
      <c r="AZ1" s="1239"/>
      <c r="BA1" s="1239"/>
      <c r="BB1" s="1239"/>
      <c r="BC1" s="1239" t="s">
        <v>741</v>
      </c>
      <c r="BD1" s="1239"/>
      <c r="BE1" s="1239"/>
      <c r="BF1" s="1239"/>
      <c r="BG1" s="1239"/>
      <c r="BH1" s="1239" t="s">
        <v>920</v>
      </c>
      <c r="BI1" s="1239"/>
      <c r="BJ1" s="1239"/>
      <c r="BK1" s="1239"/>
      <c r="BL1" s="1239"/>
      <c r="BM1" s="1239" t="s">
        <v>1010</v>
      </c>
      <c r="BN1" s="1239"/>
      <c r="BO1" s="1239"/>
      <c r="BP1" s="1239"/>
      <c r="BQ1" s="1239"/>
      <c r="BR1" s="1239" t="s">
        <v>1016</v>
      </c>
      <c r="BS1" s="1239"/>
      <c r="BT1" s="1239"/>
      <c r="BU1" s="1239"/>
      <c r="BV1" s="1239"/>
      <c r="BW1" s="1239" t="s">
        <v>1054</v>
      </c>
      <c r="BX1" s="1239"/>
      <c r="BY1" s="1239"/>
      <c r="BZ1" s="1239"/>
      <c r="CA1" s="1239"/>
      <c r="CB1" s="1240" t="s">
        <v>119</v>
      </c>
      <c r="CC1" s="1240"/>
      <c r="CD1" s="1240"/>
      <c r="CE1" s="1240"/>
      <c r="CF1" s="1240"/>
      <c r="CG1" s="1239" t="s">
        <v>120</v>
      </c>
      <c r="CH1" s="1239"/>
      <c r="CI1" s="1239"/>
      <c r="CJ1" s="1239"/>
      <c r="CK1" s="1239"/>
      <c r="CL1" s="1239" t="s">
        <v>121</v>
      </c>
      <c r="CM1" s="1239"/>
      <c r="CN1" s="1239"/>
      <c r="CO1" s="1239"/>
      <c r="CP1" s="1239"/>
      <c r="CQ1" s="1239" t="s">
        <v>820</v>
      </c>
      <c r="CR1" s="1239"/>
      <c r="CS1" s="1239"/>
      <c r="CT1" s="1239"/>
      <c r="CU1" s="1239"/>
      <c r="CV1" s="1239" t="s">
        <v>817</v>
      </c>
      <c r="CW1" s="1239"/>
      <c r="CX1" s="1239"/>
      <c r="CY1" s="1239"/>
      <c r="CZ1" s="1239"/>
      <c r="DA1" s="1239" t="s">
        <v>818</v>
      </c>
      <c r="DB1" s="1239"/>
      <c r="DC1" s="1239"/>
      <c r="DD1" s="1239"/>
      <c r="DE1" s="1239"/>
      <c r="DF1" s="1239" t="s">
        <v>819</v>
      </c>
      <c r="DG1" s="1239"/>
      <c r="DH1" s="1239"/>
      <c r="DI1" s="1239"/>
      <c r="DJ1" s="1239"/>
      <c r="DK1" s="1239" t="s">
        <v>821</v>
      </c>
      <c r="DL1" s="1239"/>
      <c r="DM1" s="1239"/>
      <c r="DN1" s="1239"/>
      <c r="DO1" s="1239"/>
      <c r="DP1" s="1239" t="s">
        <v>822</v>
      </c>
      <c r="DQ1" s="1239"/>
      <c r="DR1" s="1239"/>
      <c r="DS1" s="1239"/>
      <c r="DT1" s="1239"/>
      <c r="DU1" s="1239" t="s">
        <v>823</v>
      </c>
      <c r="DV1" s="1239"/>
      <c r="DW1" s="1239"/>
      <c r="DX1" s="1239"/>
      <c r="DY1" s="1239"/>
      <c r="DZ1" s="1239" t="s">
        <v>889</v>
      </c>
      <c r="EA1" s="1239"/>
      <c r="EB1" s="1239"/>
      <c r="EC1" s="1239"/>
      <c r="ED1" s="1239"/>
      <c r="EE1" s="1239" t="s">
        <v>890</v>
      </c>
      <c r="EF1" s="1239"/>
      <c r="EG1" s="1239"/>
      <c r="EH1" s="1239"/>
      <c r="EI1" s="1239"/>
      <c r="EJ1" s="1239" t="s">
        <v>891</v>
      </c>
      <c r="EK1" s="1239"/>
      <c r="EL1" s="1239"/>
      <c r="EM1" s="1239"/>
      <c r="EN1" s="1239"/>
      <c r="EZ1" s="985" t="s">
        <v>1024</v>
      </c>
      <c r="FA1" s="986" t="s">
        <v>746</v>
      </c>
    </row>
    <row r="2" spans="2:157">
      <c r="B2" s="44" t="s">
        <v>220</v>
      </c>
      <c r="C2" s="44"/>
      <c r="D2" s="95"/>
      <c r="E2" s="374" t="s">
        <v>243</v>
      </c>
      <c r="F2" s="374" t="s">
        <v>244</v>
      </c>
      <c r="G2" s="374" t="s">
        <v>245</v>
      </c>
      <c r="H2" s="374" t="s">
        <v>246</v>
      </c>
      <c r="I2" s="44"/>
      <c r="J2" s="374" t="s">
        <v>239</v>
      </c>
      <c r="K2" s="374" t="s">
        <v>240</v>
      </c>
      <c r="L2" s="374" t="s">
        <v>241</v>
      </c>
      <c r="M2" s="374" t="s">
        <v>242</v>
      </c>
      <c r="N2" s="44"/>
      <c r="O2" s="74" t="s">
        <v>235</v>
      </c>
      <c r="P2" s="74" t="s">
        <v>236</v>
      </c>
      <c r="Q2" s="74" t="s">
        <v>237</v>
      </c>
      <c r="R2" s="74" t="s">
        <v>238</v>
      </c>
      <c r="S2" s="44"/>
      <c r="T2" s="74" t="s">
        <v>19</v>
      </c>
      <c r="U2" s="74" t="s">
        <v>20</v>
      </c>
      <c r="V2" s="74" t="s">
        <v>21</v>
      </c>
      <c r="W2" s="74" t="s">
        <v>22</v>
      </c>
      <c r="X2" s="44"/>
      <c r="Y2" s="74" t="s">
        <v>15</v>
      </c>
      <c r="Z2" s="74" t="s">
        <v>16</v>
      </c>
      <c r="AA2" s="74" t="s">
        <v>17</v>
      </c>
      <c r="AB2" s="74" t="s">
        <v>18</v>
      </c>
      <c r="AC2" s="44"/>
      <c r="AD2" s="74" t="s">
        <v>10</v>
      </c>
      <c r="AE2" s="74" t="s">
        <v>11</v>
      </c>
      <c r="AF2" s="74" t="s">
        <v>12</v>
      </c>
      <c r="AG2" s="74" t="s">
        <v>13</v>
      </c>
      <c r="AH2" s="44"/>
      <c r="AI2" s="74" t="s">
        <v>6</v>
      </c>
      <c r="AJ2" s="74" t="s">
        <v>7</v>
      </c>
      <c r="AK2" s="74" t="s">
        <v>8</v>
      </c>
      <c r="AL2" s="74" t="s">
        <v>9</v>
      </c>
      <c r="AM2" s="44"/>
      <c r="AN2" s="74" t="s">
        <v>1</v>
      </c>
      <c r="AO2" s="74" t="s">
        <v>2</v>
      </c>
      <c r="AP2" s="74" t="s">
        <v>3</v>
      </c>
      <c r="AQ2" s="74" t="s">
        <v>4</v>
      </c>
      <c r="AR2" s="44"/>
      <c r="AS2" s="74" t="s">
        <v>227</v>
      </c>
      <c r="AT2" s="74" t="s">
        <v>228</v>
      </c>
      <c r="AU2" s="74" t="s">
        <v>229</v>
      </c>
      <c r="AV2" s="74" t="s">
        <v>230</v>
      </c>
      <c r="AW2" s="44"/>
      <c r="AX2" s="374" t="s">
        <v>221</v>
      </c>
      <c r="AY2" s="374" t="s">
        <v>222</v>
      </c>
      <c r="AZ2" s="374" t="s">
        <v>223</v>
      </c>
      <c r="BA2" s="374" t="s">
        <v>224</v>
      </c>
      <c r="BB2" s="44"/>
      <c r="BC2" s="374" t="s">
        <v>215</v>
      </c>
      <c r="BD2" s="374" t="s">
        <v>216</v>
      </c>
      <c r="BE2" s="374" t="s">
        <v>217</v>
      </c>
      <c r="BF2" s="374" t="s">
        <v>218</v>
      </c>
      <c r="BG2" s="44"/>
      <c r="BH2" s="374" t="s">
        <v>784</v>
      </c>
      <c r="BI2" s="374" t="s">
        <v>788</v>
      </c>
      <c r="BJ2" s="374" t="s">
        <v>807</v>
      </c>
      <c r="BK2" s="374" t="s">
        <v>918</v>
      </c>
      <c r="BL2" s="44"/>
      <c r="BM2" s="374" t="s">
        <v>921</v>
      </c>
      <c r="BN2" s="374" t="s">
        <v>1000</v>
      </c>
      <c r="BO2" s="374" t="s">
        <v>1008</v>
      </c>
      <c r="BP2" s="374" t="s">
        <v>1009</v>
      </c>
      <c r="BQ2" s="953"/>
      <c r="BR2" s="374" t="s">
        <v>1011</v>
      </c>
      <c r="BS2" s="374" t="s">
        <v>1012</v>
      </c>
      <c r="BT2" s="374" t="s">
        <v>1013</v>
      </c>
      <c r="BU2" s="374" t="s">
        <v>1015</v>
      </c>
      <c r="BV2" s="56"/>
      <c r="BW2" s="374" t="s">
        <v>1019</v>
      </c>
      <c r="BX2" s="374" t="s">
        <v>1020</v>
      </c>
      <c r="BY2" s="374" t="s">
        <v>1021</v>
      </c>
      <c r="BZ2" s="374" t="s">
        <v>1053</v>
      </c>
      <c r="CA2" s="44"/>
      <c r="CB2" s="374" t="s">
        <v>709</v>
      </c>
      <c r="CC2" s="374" t="s">
        <v>710</v>
      </c>
      <c r="CD2" s="374" t="s">
        <v>711</v>
      </c>
      <c r="CE2" s="374" t="s">
        <v>712</v>
      </c>
      <c r="CF2" s="44"/>
      <c r="CG2" s="374" t="s">
        <v>713</v>
      </c>
      <c r="CH2" s="374" t="s">
        <v>714</v>
      </c>
      <c r="CI2" s="374" t="s">
        <v>715</v>
      </c>
      <c r="CJ2" s="374" t="s">
        <v>716</v>
      </c>
      <c r="CK2" s="44"/>
      <c r="CL2" s="374" t="s">
        <v>717</v>
      </c>
      <c r="CM2" s="374" t="s">
        <v>718</v>
      </c>
      <c r="CN2" s="374" t="s">
        <v>719</v>
      </c>
      <c r="CO2" s="374" t="s">
        <v>720</v>
      </c>
      <c r="CP2" s="44"/>
      <c r="CQ2" s="374" t="s">
        <v>859</v>
      </c>
      <c r="CR2" s="374" t="s">
        <v>860</v>
      </c>
      <c r="CS2" s="374" t="s">
        <v>861</v>
      </c>
      <c r="CT2" s="374" t="s">
        <v>862</v>
      </c>
      <c r="CU2" s="44"/>
      <c r="CV2" s="374" t="s">
        <v>883</v>
      </c>
      <c r="CW2" s="374" t="s">
        <v>884</v>
      </c>
      <c r="CX2" s="374" t="s">
        <v>885</v>
      </c>
      <c r="CY2" s="374" t="s">
        <v>886</v>
      </c>
      <c r="CZ2" s="44"/>
      <c r="DA2" s="374" t="s">
        <v>875</v>
      </c>
      <c r="DB2" s="374" t="s">
        <v>876</v>
      </c>
      <c r="DC2" s="374" t="s">
        <v>877</v>
      </c>
      <c r="DD2" s="374" t="s">
        <v>878</v>
      </c>
      <c r="DE2" s="44"/>
      <c r="DF2" s="374" t="s">
        <v>879</v>
      </c>
      <c r="DG2" s="374" t="s">
        <v>880</v>
      </c>
      <c r="DH2" s="374" t="s">
        <v>881</v>
      </c>
      <c r="DI2" s="374" t="s">
        <v>882</v>
      </c>
      <c r="DJ2" s="44"/>
      <c r="DK2" s="374" t="s">
        <v>872</v>
      </c>
      <c r="DL2" s="374" t="s">
        <v>873</v>
      </c>
      <c r="DM2" s="374" t="s">
        <v>874</v>
      </c>
      <c r="DN2" s="374" t="s">
        <v>871</v>
      </c>
      <c r="DO2" s="44"/>
      <c r="DP2" s="374" t="s">
        <v>867</v>
      </c>
      <c r="DQ2" s="374" t="s">
        <v>868</v>
      </c>
      <c r="DR2" s="374" t="s">
        <v>869</v>
      </c>
      <c r="DS2" s="374" t="s">
        <v>870</v>
      </c>
      <c r="DT2" s="44"/>
      <c r="DU2" s="374" t="s">
        <v>863</v>
      </c>
      <c r="DV2" s="374" t="s">
        <v>864</v>
      </c>
      <c r="DW2" s="374" t="s">
        <v>865</v>
      </c>
      <c r="DX2" s="374" t="s">
        <v>866</v>
      </c>
      <c r="DY2" s="44"/>
      <c r="DZ2" s="374" t="s">
        <v>957</v>
      </c>
      <c r="EA2" s="374" t="s">
        <v>958</v>
      </c>
      <c r="EB2" s="374" t="s">
        <v>959</v>
      </c>
      <c r="EC2" s="374" t="s">
        <v>960</v>
      </c>
      <c r="ED2" s="44"/>
      <c r="EE2" s="374" t="s">
        <v>961</v>
      </c>
      <c r="EF2" s="374" t="s">
        <v>962</v>
      </c>
      <c r="EG2" s="374" t="s">
        <v>963</v>
      </c>
      <c r="EH2" s="374" t="s">
        <v>964</v>
      </c>
      <c r="EI2" s="44"/>
      <c r="EJ2" s="374" t="s">
        <v>904</v>
      </c>
      <c r="EK2" s="374" t="s">
        <v>905</v>
      </c>
      <c r="EL2" s="374" t="s">
        <v>906</v>
      </c>
      <c r="EM2" s="374" t="s">
        <v>907</v>
      </c>
      <c r="EN2" s="44"/>
      <c r="EZ2" s="360" t="s">
        <v>748</v>
      </c>
      <c r="FA2" s="360" t="e">
        <f ca="1">_xll.TR($FA$1,"TR.NetIncome.currency","Null=-")</f>
        <v>#NAME?</v>
      </c>
    </row>
    <row r="3" spans="2:157" ht="13.5" thickBot="1">
      <c r="B3" s="10" t="s">
        <v>190</v>
      </c>
      <c r="C3" s="10"/>
      <c r="D3" s="51">
        <f>REVS!C61</f>
        <v>122.92100000000001</v>
      </c>
      <c r="E3" s="375">
        <f>REVS!D61</f>
        <v>45.804000000000002</v>
      </c>
      <c r="F3" s="375">
        <f>REVS!E61</f>
        <v>62.497</v>
      </c>
      <c r="G3" s="375">
        <f>REVS!F61</f>
        <v>65.445000000000007</v>
      </c>
      <c r="H3" s="375">
        <f>REVS!G61</f>
        <v>70.707000000000022</v>
      </c>
      <c r="I3" s="51">
        <f>REVS!H61</f>
        <v>244.453</v>
      </c>
      <c r="J3" s="375">
        <f>REVS!I61</f>
        <v>76.12</v>
      </c>
      <c r="K3" s="375">
        <f>REVS!J61</f>
        <v>79.009999999999991</v>
      </c>
      <c r="L3" s="375">
        <f>REVS!K61</f>
        <v>83.802999999999997</v>
      </c>
      <c r="M3" s="375">
        <f>REVS!L61</f>
        <v>91.638000000000005</v>
      </c>
      <c r="N3" s="51">
        <f>REVS!M61</f>
        <v>330.57100000000003</v>
      </c>
      <c r="O3" s="43">
        <f>REVS!N61</f>
        <v>97.64500000000001</v>
      </c>
      <c r="P3" s="43">
        <f>REVS!O61</f>
        <v>105.38300000000001</v>
      </c>
      <c r="Q3" s="43">
        <f>REVS!P61</f>
        <v>113.9</v>
      </c>
      <c r="R3" s="43">
        <f>REVS!Q61</f>
        <v>128.69699999999995</v>
      </c>
      <c r="S3" s="51">
        <f>REVS!R61</f>
        <v>445.625</v>
      </c>
      <c r="T3" s="43">
        <f>REVS!S61</f>
        <v>160.24299999999999</v>
      </c>
      <c r="U3" s="43">
        <f>REVS!T61</f>
        <v>176.40099999999998</v>
      </c>
      <c r="V3" s="43">
        <f>REVS!U61</f>
        <v>223.10499999999999</v>
      </c>
      <c r="W3" s="43">
        <f>REVS!V61</f>
        <v>251.85599999999999</v>
      </c>
      <c r="X3" s="51">
        <f>REVS!W61</f>
        <v>811.60500000000002</v>
      </c>
      <c r="Y3" s="43">
        <f>REVS!X61</f>
        <v>269.79599999999999</v>
      </c>
      <c r="Z3" s="43">
        <f>REVS!Y61</f>
        <v>318.94499999999999</v>
      </c>
      <c r="AA3" s="43">
        <f>REVS!Z61</f>
        <v>331.16899999999998</v>
      </c>
      <c r="AB3" s="43">
        <f>REVS!AA61</f>
        <v>380.53100000000001</v>
      </c>
      <c r="AC3" s="51">
        <f>REVS!AB61</f>
        <v>1300.4409999999998</v>
      </c>
      <c r="AD3" s="43">
        <f>REVS!AC61</f>
        <v>429.79600000000005</v>
      </c>
      <c r="AE3" s="43">
        <f>REVS!AD61</f>
        <v>538.31600000000003</v>
      </c>
      <c r="AF3" s="43">
        <f>REVS!AE61</f>
        <v>561.29200000000003</v>
      </c>
      <c r="AG3" s="43">
        <f>REVS!AF61</f>
        <v>591.30999999999995</v>
      </c>
      <c r="AH3" s="51">
        <f>REVS!AG61</f>
        <v>2120.7139999999999</v>
      </c>
      <c r="AI3" s="43">
        <f>REVS!AH61</f>
        <v>572.28100000000006</v>
      </c>
      <c r="AJ3" s="43">
        <f>REVS!AI61</f>
        <v>595.63900000000001</v>
      </c>
      <c r="AK3" s="43">
        <f>REVS!AJ61</f>
        <v>665.06500000000005</v>
      </c>
      <c r="AL3" s="43">
        <f>REVS!AK61</f>
        <v>721.7149999999998</v>
      </c>
      <c r="AM3" s="51">
        <f>REVS!AL61</f>
        <v>2554.6999999999998</v>
      </c>
      <c r="AN3" s="43">
        <f>REVS!AM61</f>
        <v>757.03699999999992</v>
      </c>
      <c r="AO3" s="43">
        <f>REVS!AN61</f>
        <v>820.79700000000003</v>
      </c>
      <c r="AP3" s="43">
        <f>REVS!AO61</f>
        <v>883.60700000000008</v>
      </c>
      <c r="AQ3" s="43">
        <f>REVS!AP61</f>
        <v>1022.899</v>
      </c>
      <c r="AR3" s="51">
        <f>REVS!AQ61</f>
        <v>3484.34</v>
      </c>
      <c r="AS3" s="43">
        <f>REVS!AR61</f>
        <v>1066.7049999999999</v>
      </c>
      <c r="AT3" s="43">
        <f>REVS!AS61</f>
        <v>1147.7629999999999</v>
      </c>
      <c r="AU3" s="43">
        <f>REVS!AT61</f>
        <v>1217.6500000000001</v>
      </c>
      <c r="AV3" s="43">
        <f>REVS!AU61</f>
        <v>1240.8839999999998</v>
      </c>
      <c r="AW3" s="51">
        <f>REVS!AV61</f>
        <v>4673.0020000000004</v>
      </c>
      <c r="AX3" s="375">
        <f>REVS!AW61</f>
        <v>1245.499</v>
      </c>
      <c r="AY3" s="375">
        <f>REVS!AX61</f>
        <v>1336.5900000000001</v>
      </c>
      <c r="AZ3" s="375">
        <f>REVS!AY61</f>
        <v>1388.0129999999999</v>
      </c>
      <c r="BA3" s="375">
        <f>REVS!AZ61</f>
        <v>1415.4970000000003</v>
      </c>
      <c r="BB3" s="51">
        <f>REVS!BA61</f>
        <v>5385.5990000000002</v>
      </c>
      <c r="BC3" s="375">
        <f>REVS!BB61</f>
        <v>1429.3000000000002</v>
      </c>
      <c r="BD3" s="375">
        <f>REVS!BC61</f>
        <v>1564.1</v>
      </c>
      <c r="BE3" s="375">
        <f>REVS!BD61</f>
        <v>1644</v>
      </c>
      <c r="BF3" s="443">
        <v>1724.9</v>
      </c>
      <c r="BG3" s="51">
        <f>REVS!BF61</f>
        <v>6339.4000000000005</v>
      </c>
      <c r="BH3" s="375">
        <f>REVS!BG61</f>
        <v>1707.5</v>
      </c>
      <c r="BI3" s="375">
        <f>REVS!BH61</f>
        <v>1844.6</v>
      </c>
      <c r="BJ3" s="375">
        <f>REVS!BI61</f>
        <v>1956.8</v>
      </c>
      <c r="BK3" s="375">
        <f>REVS!BJ61</f>
        <v>2054.9</v>
      </c>
      <c r="BL3" s="51">
        <f>REVS!BK61</f>
        <v>7563.7999999999993</v>
      </c>
      <c r="BM3" s="375">
        <f>REVS!BL61</f>
        <v>2055.2000000000003</v>
      </c>
      <c r="BN3" s="375">
        <f>REVS!BM61</f>
        <v>2254.1000000000004</v>
      </c>
      <c r="BO3" s="375">
        <f>REVS!BN61</f>
        <v>2312.6</v>
      </c>
      <c r="BP3" s="375">
        <f>REVS!BO61</f>
        <v>2539.1999999999998</v>
      </c>
      <c r="BQ3" s="51">
        <f>REVS!BP61</f>
        <v>9161.1</v>
      </c>
      <c r="BR3" s="375">
        <f>REVS!BQ61</f>
        <v>2494.6999999999998</v>
      </c>
      <c r="BS3" s="375">
        <f>REVS!BR61</f>
        <v>2744.5</v>
      </c>
      <c r="BT3" s="375">
        <f>REVS!BS61</f>
        <v>2968.6</v>
      </c>
      <c r="BU3" s="375">
        <f>REVS!BT61</f>
        <v>2976.7999999999997</v>
      </c>
      <c r="BV3" s="51">
        <f>REVS!BU61</f>
        <v>11184.6</v>
      </c>
      <c r="BW3" s="375">
        <f>REVS!BV61</f>
        <v>2950</v>
      </c>
      <c r="BX3" s="375">
        <f>REVS!BW61</f>
        <v>3256</v>
      </c>
      <c r="BY3" s="375">
        <f>REVS!BX61</f>
        <v>3288</v>
      </c>
      <c r="BZ3" s="375">
        <f>REVS!BY61</f>
        <v>3479</v>
      </c>
      <c r="CA3" s="51">
        <f>REVS!BZ61</f>
        <v>12973</v>
      </c>
      <c r="CB3" s="375">
        <f>REVS!CA61</f>
        <v>3407.4388545851743</v>
      </c>
      <c r="CC3" s="375">
        <f>REVS!CB61</f>
        <v>3683.6627940238063</v>
      </c>
      <c r="CD3" s="375">
        <f>REVS!CC61</f>
        <v>3728.9859245873322</v>
      </c>
      <c r="CE3" s="375">
        <f>REVS!CD61</f>
        <v>3925.1930337908193</v>
      </c>
      <c r="CF3" s="51">
        <f>REVS!CE61</f>
        <v>14745.280606987131</v>
      </c>
      <c r="CG3" s="375"/>
      <c r="CH3" s="375"/>
      <c r="CI3" s="375"/>
      <c r="CJ3" s="375"/>
      <c r="CK3" s="51">
        <f>REVS!CJ61</f>
        <v>16701.201940531038</v>
      </c>
      <c r="CL3" s="375"/>
      <c r="CM3" s="375"/>
      <c r="CN3" s="375"/>
      <c r="CO3" s="375"/>
      <c r="CP3" s="51">
        <f>REVS!CO61</f>
        <v>19223.731119150274</v>
      </c>
      <c r="CQ3" s="375"/>
      <c r="CR3" s="375"/>
      <c r="CS3" s="375"/>
      <c r="CT3" s="375"/>
      <c r="CU3" s="51">
        <f>REVS!CT61</f>
        <v>22084.84509287923</v>
      </c>
      <c r="CV3" s="375"/>
      <c r="CW3" s="375"/>
      <c r="CX3" s="375"/>
      <c r="CY3" s="375"/>
      <c r="CZ3" s="51">
        <f>REVS!CY61</f>
        <v>23649.319314473927</v>
      </c>
      <c r="DA3" s="375"/>
      <c r="DB3" s="375"/>
      <c r="DC3" s="375"/>
      <c r="DD3" s="375"/>
      <c r="DE3" s="51">
        <f>REVS!DD61</f>
        <v>23967.342966352666</v>
      </c>
      <c r="DF3" s="375"/>
      <c r="DG3" s="375"/>
      <c r="DH3" s="375"/>
      <c r="DI3" s="375"/>
      <c r="DJ3" s="51">
        <f>REVS!DI61</f>
        <v>23463.78726629644</v>
      </c>
      <c r="DK3" s="375"/>
      <c r="DL3" s="375"/>
      <c r="DM3" s="375"/>
      <c r="DN3" s="375"/>
      <c r="DO3" s="51">
        <f>REVS!DN61</f>
        <v>19114.535753784134</v>
      </c>
      <c r="DP3" s="375"/>
      <c r="DQ3" s="375"/>
      <c r="DR3" s="375"/>
      <c r="DS3" s="375"/>
      <c r="DT3" s="51">
        <f>REVS!DS61</f>
        <v>12289.935928057557</v>
      </c>
      <c r="DU3" s="375"/>
      <c r="DV3" s="375"/>
      <c r="DW3" s="375"/>
      <c r="DX3" s="375"/>
      <c r="DY3" s="51">
        <f>REVS!DX61</f>
        <v>9885.9522701546521</v>
      </c>
      <c r="DZ3" s="375"/>
      <c r="EA3" s="375"/>
      <c r="EB3" s="375"/>
      <c r="EC3" s="375"/>
      <c r="ED3" s="51">
        <f>REVS!EC61</f>
        <v>9531.7632545710676</v>
      </c>
      <c r="EE3" s="375"/>
      <c r="EF3" s="375"/>
      <c r="EG3" s="375"/>
      <c r="EH3" s="375"/>
      <c r="EI3" s="51">
        <f>REVS!EH61</f>
        <v>9463.6190081539717</v>
      </c>
      <c r="EJ3" s="375"/>
      <c r="EK3" s="375"/>
      <c r="EL3" s="375"/>
      <c r="EM3" s="375"/>
      <c r="EN3" s="51">
        <f>REVS!EM61</f>
        <v>7241.0282959317356</v>
      </c>
    </row>
    <row r="4" spans="2:157" ht="13.5" thickBot="1">
      <c r="B4" s="10"/>
      <c r="C4" s="10"/>
      <c r="D4" s="51"/>
      <c r="E4" s="375"/>
      <c r="F4" s="375"/>
      <c r="G4" s="375"/>
      <c r="H4" s="375"/>
      <c r="I4" s="51"/>
      <c r="J4" s="375"/>
      <c r="K4" s="375"/>
      <c r="L4" s="375"/>
      <c r="M4" s="375"/>
      <c r="N4" s="51"/>
      <c r="O4" s="43"/>
      <c r="P4" s="43"/>
      <c r="Q4" s="43"/>
      <c r="R4" s="43"/>
      <c r="S4" s="51"/>
      <c r="T4" s="43"/>
      <c r="U4" s="43"/>
      <c r="V4" s="43"/>
      <c r="W4" s="43"/>
      <c r="X4" s="51"/>
      <c r="Y4" s="43"/>
      <c r="Z4" s="43"/>
      <c r="AA4" s="43"/>
      <c r="AB4" s="43"/>
      <c r="AC4" s="51"/>
      <c r="AD4" s="43"/>
      <c r="AE4" s="43"/>
      <c r="AF4" s="43"/>
      <c r="AG4" s="43"/>
      <c r="AH4" s="51"/>
      <c r="AI4" s="43"/>
      <c r="AJ4" s="43"/>
      <c r="AK4" s="43"/>
      <c r="AL4" s="43"/>
      <c r="AM4" s="51"/>
      <c r="AN4" s="43"/>
      <c r="AO4" s="43"/>
      <c r="AP4" s="43"/>
      <c r="AQ4" s="43"/>
      <c r="AR4" s="51"/>
      <c r="AS4" s="43"/>
      <c r="AT4" s="43"/>
      <c r="AU4" s="43"/>
      <c r="AV4" s="43"/>
      <c r="AW4" s="51"/>
      <c r="AX4" s="375"/>
      <c r="AY4" s="375"/>
      <c r="AZ4" s="375"/>
      <c r="BA4" s="375"/>
      <c r="BB4" s="51"/>
      <c r="BC4" s="375"/>
      <c r="BD4" s="375"/>
      <c r="BE4" s="375"/>
      <c r="BF4" s="443"/>
      <c r="BG4" s="51"/>
      <c r="BH4" s="375"/>
      <c r="BI4" s="375"/>
      <c r="BJ4" s="397"/>
      <c r="BK4" s="397"/>
      <c r="BL4" s="780"/>
      <c r="BM4" s="375"/>
      <c r="BN4" s="375"/>
      <c r="BO4" s="387"/>
      <c r="BP4" s="387"/>
      <c r="BQ4" s="50"/>
      <c r="BR4" s="375"/>
      <c r="BS4" s="375"/>
      <c r="BT4" s="375"/>
      <c r="BU4" s="375"/>
      <c r="BV4" s="975"/>
      <c r="BW4" s="375"/>
      <c r="BX4" s="375"/>
      <c r="BY4" s="375"/>
      <c r="BZ4" s="375"/>
      <c r="CA4" s="975"/>
      <c r="CB4" s="375"/>
      <c r="CC4" s="375"/>
      <c r="CD4" s="377" t="s">
        <v>432</v>
      </c>
      <c r="CE4" s="378"/>
      <c r="CF4" s="785" t="s">
        <v>1045</v>
      </c>
      <c r="CG4" s="1013"/>
      <c r="CH4" s="1013"/>
      <c r="CI4" s="379" t="s">
        <v>1023</v>
      </c>
      <c r="CJ4" s="1013"/>
      <c r="CK4" s="1012"/>
      <c r="CL4" s="1013"/>
      <c r="CM4" s="1013"/>
      <c r="CN4" s="1013"/>
      <c r="CO4" s="1013"/>
      <c r="CP4" s="379" t="s">
        <v>1023</v>
      </c>
      <c r="CQ4" s="375"/>
      <c r="CR4" s="375"/>
      <c r="CS4" s="375"/>
      <c r="CT4" s="375"/>
      <c r="CU4" s="51"/>
      <c r="CV4" s="375"/>
      <c r="CW4" s="375"/>
      <c r="CX4" s="375"/>
      <c r="CY4" s="375"/>
      <c r="CZ4" s="51"/>
      <c r="DA4" s="375"/>
      <c r="DB4" s="375"/>
      <c r="DC4" s="375"/>
      <c r="DD4" s="375"/>
      <c r="DE4" s="51"/>
      <c r="DF4" s="375"/>
      <c r="DG4" s="375"/>
      <c r="DH4" s="375"/>
      <c r="DI4" s="375"/>
      <c r="DJ4" s="51"/>
      <c r="DK4" s="375"/>
      <c r="DL4" s="375"/>
      <c r="DM4" s="375"/>
      <c r="DN4" s="375"/>
      <c r="DO4" s="51"/>
      <c r="DP4" s="375"/>
      <c r="DQ4" s="375"/>
      <c r="DR4" s="375"/>
      <c r="DS4" s="375"/>
      <c r="DT4" s="51"/>
      <c r="DU4" s="375"/>
      <c r="DV4" s="375"/>
      <c r="DW4" s="375"/>
      <c r="DX4" s="375"/>
      <c r="DY4" s="51"/>
      <c r="DZ4" s="375"/>
      <c r="EA4" s="375"/>
      <c r="EB4" s="375"/>
      <c r="EC4" s="375"/>
      <c r="ED4" s="51"/>
      <c r="EE4" s="375"/>
      <c r="EF4" s="375"/>
      <c r="EG4" s="375"/>
      <c r="EH4" s="375"/>
      <c r="EI4" s="51"/>
      <c r="EJ4" s="375"/>
      <c r="EK4" s="375"/>
      <c r="EL4" s="375"/>
      <c r="EM4" s="375"/>
      <c r="EN4" s="51"/>
    </row>
    <row r="5" spans="2:157">
      <c r="B5" s="10" t="s">
        <v>191</v>
      </c>
      <c r="C5" s="10"/>
      <c r="D5" s="51">
        <f>REVS!C62+REVS!C63</f>
        <v>12.824999999999999</v>
      </c>
      <c r="E5" s="375">
        <f>REVS!D62+REVS!D63</f>
        <v>3.2850000000000001</v>
      </c>
      <c r="F5" s="375">
        <f>REVS!E62+REVS!E63</f>
        <v>4.7889999999999997</v>
      </c>
      <c r="G5" s="375">
        <f>REVS!F62+REVS!F63</f>
        <v>8.8870000000000005</v>
      </c>
      <c r="H5" s="375">
        <f>REVS!G62+REVS!G63</f>
        <v>10.061</v>
      </c>
      <c r="I5" s="51">
        <f>REVS!H62+REVS!H63</f>
        <v>27.021999999999998</v>
      </c>
      <c r="J5" s="375">
        <f>REVS!I62+REVS!I63</f>
        <v>6.7530000000000001</v>
      </c>
      <c r="K5" s="375">
        <f>REVS!J62+REVS!J63</f>
        <v>8.7430000000000003</v>
      </c>
      <c r="L5" s="375">
        <f>REVS!K62+REVS!K63</f>
        <v>17.664999999999999</v>
      </c>
      <c r="M5" s="375">
        <f>REVS!L62+REVS!L63</f>
        <v>13.770000000000003</v>
      </c>
      <c r="N5" s="51">
        <f>REVS!M62+REVS!M63</f>
        <v>46.930999999999997</v>
      </c>
      <c r="O5" s="43">
        <f>REVS!N62+REVS!N63</f>
        <v>14.751000000000001</v>
      </c>
      <c r="P5" s="43">
        <f>REVS!O62+REVS!O63</f>
        <v>40.317999999999998</v>
      </c>
      <c r="Q5" s="43">
        <f>REVS!P62+REVS!P63</f>
        <v>15.606</v>
      </c>
      <c r="R5" s="43">
        <f>REVS!Q62+REVS!Q63</f>
        <v>20.640999999999998</v>
      </c>
      <c r="S5" s="51">
        <f>REVS!R62+REVS!R63</f>
        <v>91.316000000000003</v>
      </c>
      <c r="T5" s="43">
        <f>REVS!S62+REVS!S63</f>
        <v>21.597999999999999</v>
      </c>
      <c r="U5" s="43">
        <f>REVS!T62+REVS!T63</f>
        <v>20.838000000000001</v>
      </c>
      <c r="V5" s="43">
        <f>REVS!U62+REVS!U63</f>
        <v>21.734000000000002</v>
      </c>
      <c r="W5" s="43">
        <f>REVS!V62+REVS!V63</f>
        <v>23.097999999999992</v>
      </c>
      <c r="X5" s="51">
        <f>REVS!W62+REVS!W63</f>
        <v>87.268000000000001</v>
      </c>
      <c r="Y5" s="43">
        <f>REVS!X62+REVS!X63</f>
        <v>23.619</v>
      </c>
      <c r="Z5" s="43">
        <f>REVS!Y62+REVS!Y63</f>
        <v>28.961999999999996</v>
      </c>
      <c r="AA5" s="43">
        <f>REVS!Z62+REVS!Z63</f>
        <v>18.738999999999997</v>
      </c>
      <c r="AB5" s="43">
        <f>REVS!AA62+REVS!AA63</f>
        <v>34.058999999999997</v>
      </c>
      <c r="AC5" s="51">
        <f>REVS!AB62+REVS!AB63</f>
        <v>105.37899999999999</v>
      </c>
      <c r="AD5" s="43">
        <f>REVS!AC62+REVS!AC63</f>
        <v>31.222999999999999</v>
      </c>
      <c r="AE5" s="43">
        <f>REVS!AD62+REVS!AD63</f>
        <v>28.299000000000003</v>
      </c>
      <c r="AF5" s="43">
        <f>REVS!AE62+REVS!AE63</f>
        <v>25.448</v>
      </c>
      <c r="AG5" s="43">
        <f>REVS!AF62+REVS!AF63</f>
        <v>32.132999999999988</v>
      </c>
      <c r="AH5" s="51">
        <f>REVS!AG62+REVS!AG63</f>
        <v>117.10299999999998</v>
      </c>
      <c r="AI5" s="43">
        <f>REVS!AH62+REVS!AH63</f>
        <v>28.821000000000002</v>
      </c>
      <c r="AJ5" s="43">
        <f>REVS!AI62+REVS!AI63</f>
        <v>30.512</v>
      </c>
      <c r="AK5" s="43">
        <f>REVS!AJ62+REVS!AJ63</f>
        <v>27.17</v>
      </c>
      <c r="AL5" s="43">
        <f>REVS!AK62+REVS!AK63</f>
        <v>36.036000000000001</v>
      </c>
      <c r="AM5" s="51">
        <f>REVS!AL62+REVS!AL63</f>
        <v>122.539</v>
      </c>
      <c r="AN5" s="43">
        <f>REVS!AM62+REVS!AM63</f>
        <v>31.843</v>
      </c>
      <c r="AO5" s="43">
        <f>REVS!AN62+REVS!AN63</f>
        <v>29.594999999999999</v>
      </c>
      <c r="AP5" s="43">
        <f>REVS!AO62+REVS!AO63</f>
        <v>24.454999999999998</v>
      </c>
      <c r="AQ5" s="43">
        <f>REVS!AP62+REVS!AP63</f>
        <v>30.470999999999993</v>
      </c>
      <c r="AR5" s="51">
        <f>REVS!AQ62+REVS!AQ63</f>
        <v>116.36399999999999</v>
      </c>
      <c r="AS5" s="43">
        <f>REVS!AR62+REVS!AR63</f>
        <v>40.767000000000003</v>
      </c>
      <c r="AT5" s="43">
        <f>REVS!AS62+REVS!AS63</f>
        <v>28.018000000000001</v>
      </c>
      <c r="AU5" s="43">
        <f>REVS!AT62+REVS!AT63</f>
        <v>30.619</v>
      </c>
      <c r="AV5" s="43">
        <f>REVS!AU62+REVS!AU63</f>
        <v>41.261999999999986</v>
      </c>
      <c r="AW5" s="51">
        <f>REVS!AV62+REVS!AV63</f>
        <v>140.666</v>
      </c>
      <c r="AX5" s="375">
        <f>REVS!AW62+REVS!AW63</f>
        <v>27.789000000000001</v>
      </c>
      <c r="AY5" s="375">
        <f>REVS!AX62+REVS!AX63</f>
        <v>30.173999999999999</v>
      </c>
      <c r="AZ5" s="375">
        <f>REVS!AY62+REVS!AY63</f>
        <v>31.238</v>
      </c>
      <c r="BA5" s="375">
        <f>REVS!AZ62+REVS!AZ63</f>
        <v>31.912999999999997</v>
      </c>
      <c r="BB5" s="51">
        <f>REVS!BA62+REVS!BA63</f>
        <v>121.114</v>
      </c>
      <c r="BC5" s="375">
        <f>REVS!BB62+REVS!BB63</f>
        <v>35.299999999999997</v>
      </c>
      <c r="BD5" s="375">
        <f>REVS!BC62+REVS!BC63</f>
        <v>34.9</v>
      </c>
      <c r="BE5" s="375">
        <f>REVS!BD62+REVS!BD63</f>
        <v>30.4</v>
      </c>
      <c r="BF5" s="443">
        <v>31</v>
      </c>
      <c r="BG5" s="51">
        <f>REVS!BF62+REVS!BF63</f>
        <v>131.6</v>
      </c>
      <c r="BH5" s="375">
        <f>REVS!BG62+REVS!BG63</f>
        <v>22.5</v>
      </c>
      <c r="BI5" s="375">
        <f>REVS!BH62+REVS!BH63</f>
        <v>28.1</v>
      </c>
      <c r="BJ5" s="375">
        <f>REVS!BI62+REVS!BI63</f>
        <v>25.4</v>
      </c>
      <c r="BK5" s="375">
        <f>REVS!BJ62+REVS!BJ63</f>
        <v>30.6</v>
      </c>
      <c r="BL5" s="51">
        <f>REVS!BK62+REVS!BK63</f>
        <v>106.6</v>
      </c>
      <c r="BM5" s="375">
        <f>REVS!BL62+REVS!BL63</f>
        <v>25.6</v>
      </c>
      <c r="BN5" s="375">
        <f>REVS!BM62+REVS!BM63</f>
        <v>23.7</v>
      </c>
      <c r="BO5" s="375">
        <f>REVS!BN62+REVS!BN63</f>
        <v>21.5</v>
      </c>
      <c r="BP5" s="375">
        <f>REVS!BO62+REVS!BO63</f>
        <v>24.1</v>
      </c>
      <c r="BQ5" s="51">
        <f>REVS!BP62+REVS!BP63</f>
        <v>94.9</v>
      </c>
      <c r="BR5" s="375">
        <f>REVS!BQ62+REVS!BQ63</f>
        <v>16.899999999999999</v>
      </c>
      <c r="BS5" s="375">
        <f>REVS!BR62+REVS!BR63</f>
        <v>9.8000000000000007</v>
      </c>
      <c r="BT5" s="375">
        <f>REVS!BS62+REVS!BS63</f>
        <v>14.2</v>
      </c>
      <c r="BU5" s="375">
        <f>REVS!BT62+REVS!BT63</f>
        <v>3.7</v>
      </c>
      <c r="BV5" s="51">
        <f>REVS!BU62+REVS!BU63</f>
        <v>44.599999999999994</v>
      </c>
      <c r="BW5" s="375">
        <f>REVS!BV62+REVS!BV63</f>
        <v>10</v>
      </c>
      <c r="BX5" s="375">
        <f>REVS!BW62+REVS!BW63</f>
        <v>12</v>
      </c>
      <c r="BY5" s="375">
        <f>REVS!BX62+REVS!BX63</f>
        <v>4</v>
      </c>
      <c r="BZ5" s="375">
        <f>REVS!BY62+REVS!BY63</f>
        <v>4</v>
      </c>
      <c r="CA5" s="51">
        <f>REVS!BZ62+REVS!BZ63</f>
        <v>29.999999999999996</v>
      </c>
      <c r="CB5" s="375">
        <f>REVS!CA62+REVS!CA63</f>
        <v>9.379999999999999</v>
      </c>
      <c r="CC5" s="375">
        <f>REVS!CB62+REVS!CB63</f>
        <v>11.18</v>
      </c>
      <c r="CD5" s="375">
        <f>REVS!CC62+REVS!CC63</f>
        <v>3.98</v>
      </c>
      <c r="CE5" s="375">
        <f>REVS!CD62+REVS!CD63</f>
        <v>3.9799999999999991</v>
      </c>
      <c r="CF5" s="51">
        <f>REVS!CE62+REVS!CE63</f>
        <v>28.519999999999996</v>
      </c>
      <c r="CG5" s="375"/>
      <c r="CH5" s="375"/>
      <c r="CI5" s="375"/>
      <c r="CJ5" s="375"/>
      <c r="CK5" s="51">
        <f>REVS!CJ62+REVS!CJ63</f>
        <v>27.187999999999999</v>
      </c>
      <c r="CL5" s="375"/>
      <c r="CM5" s="375"/>
      <c r="CN5" s="375"/>
      <c r="CO5" s="375"/>
      <c r="CP5" s="51">
        <f>REVS!CO62+REVS!CO63</f>
        <v>25.989199999999997</v>
      </c>
      <c r="CQ5" s="375"/>
      <c r="CR5" s="375"/>
      <c r="CS5" s="375"/>
      <c r="CT5" s="375"/>
      <c r="CU5" s="51">
        <f>REVS!CT62+REVS!CT63</f>
        <v>24.91028</v>
      </c>
      <c r="CV5" s="375"/>
      <c r="CW5" s="375"/>
      <c r="CX5" s="375"/>
      <c r="CY5" s="375"/>
      <c r="CZ5" s="51">
        <f>REVS!CY62+REVS!CY63</f>
        <v>23.939251999999996</v>
      </c>
      <c r="DA5" s="375"/>
      <c r="DB5" s="375"/>
      <c r="DC5" s="375"/>
      <c r="DD5" s="375"/>
      <c r="DE5" s="51">
        <f>REVS!DD62+REVS!DD63</f>
        <v>23.065326799999998</v>
      </c>
      <c r="DF5" s="375"/>
      <c r="DG5" s="375"/>
      <c r="DH5" s="375"/>
      <c r="DI5" s="375"/>
      <c r="DJ5" s="51">
        <f>REVS!DI62+REVS!DI63</f>
        <v>22.278794120000001</v>
      </c>
      <c r="DK5" s="375"/>
      <c r="DL5" s="375"/>
      <c r="DM5" s="375"/>
      <c r="DN5" s="375"/>
      <c r="DO5" s="51">
        <f>REVS!DN62+REVS!DN63</f>
        <v>21.570914708</v>
      </c>
      <c r="DP5" s="375"/>
      <c r="DQ5" s="375"/>
      <c r="DR5" s="375"/>
      <c r="DS5" s="375"/>
      <c r="DT5" s="51">
        <f>REVS!DS62+REVS!DS63</f>
        <v>20.933823237199999</v>
      </c>
      <c r="DU5" s="375"/>
      <c r="DV5" s="375"/>
      <c r="DW5" s="375"/>
      <c r="DX5" s="375"/>
      <c r="DY5" s="51">
        <f>REVS!DX62+REVS!DX63</f>
        <v>20.360440913479998</v>
      </c>
      <c r="DZ5" s="375"/>
      <c r="EA5" s="375"/>
      <c r="EB5" s="375"/>
      <c r="EC5" s="375"/>
      <c r="ED5" s="51">
        <f>REVS!EC62+REVS!EC63</f>
        <v>19.844396822131998</v>
      </c>
      <c r="EE5" s="375"/>
      <c r="EF5" s="375"/>
      <c r="EG5" s="375"/>
      <c r="EH5" s="375"/>
      <c r="EI5" s="51">
        <f>REVS!EH62+REVS!EH63</f>
        <v>19.379957139918801</v>
      </c>
      <c r="EJ5" s="375"/>
      <c r="EK5" s="375"/>
      <c r="EL5" s="375"/>
      <c r="EM5" s="375"/>
      <c r="EN5" s="51">
        <f>REVS!EM62+REVS!EM63</f>
        <v>18.961961425926919</v>
      </c>
    </row>
    <row r="6" spans="2:157">
      <c r="B6" s="72" t="s">
        <v>176</v>
      </c>
      <c r="C6" s="72"/>
      <c r="D6" s="83">
        <f t="shared" ref="D6:S6" si="0">+D5+D3</f>
        <v>135.74600000000001</v>
      </c>
      <c r="E6" s="380">
        <f t="shared" si="0"/>
        <v>49.088999999999999</v>
      </c>
      <c r="F6" s="380">
        <f t="shared" si="0"/>
        <v>67.286000000000001</v>
      </c>
      <c r="G6" s="380">
        <f t="shared" si="0"/>
        <v>74.332000000000008</v>
      </c>
      <c r="H6" s="380">
        <f t="shared" si="0"/>
        <v>80.768000000000029</v>
      </c>
      <c r="I6" s="83">
        <f t="shared" si="0"/>
        <v>271.47500000000002</v>
      </c>
      <c r="J6" s="380">
        <f t="shared" si="0"/>
        <v>82.873000000000005</v>
      </c>
      <c r="K6" s="380">
        <f t="shared" si="0"/>
        <v>87.752999999999986</v>
      </c>
      <c r="L6" s="380">
        <f t="shared" si="0"/>
        <v>101.46799999999999</v>
      </c>
      <c r="M6" s="380">
        <f t="shared" si="0"/>
        <v>105.40800000000002</v>
      </c>
      <c r="N6" s="83">
        <f t="shared" si="0"/>
        <v>377.50200000000001</v>
      </c>
      <c r="O6" s="81">
        <f t="shared" si="0"/>
        <v>112.39600000000002</v>
      </c>
      <c r="P6" s="81">
        <f t="shared" si="0"/>
        <v>145.70100000000002</v>
      </c>
      <c r="Q6" s="81">
        <f t="shared" si="0"/>
        <v>129.506</v>
      </c>
      <c r="R6" s="81">
        <f t="shared" si="0"/>
        <v>149.33799999999994</v>
      </c>
      <c r="S6" s="83">
        <f t="shared" si="0"/>
        <v>536.94100000000003</v>
      </c>
      <c r="T6" s="81">
        <f t="shared" ref="T6:CE6" si="1">+T5+T3</f>
        <v>181.84100000000001</v>
      </c>
      <c r="U6" s="81">
        <f t="shared" si="1"/>
        <v>197.23899999999998</v>
      </c>
      <c r="V6" s="81">
        <f t="shared" si="1"/>
        <v>244.839</v>
      </c>
      <c r="W6" s="81">
        <f t="shared" si="1"/>
        <v>274.95400000000001</v>
      </c>
      <c r="X6" s="83">
        <f t="shared" si="1"/>
        <v>898.87300000000005</v>
      </c>
      <c r="Y6" s="81">
        <f t="shared" si="1"/>
        <v>293.41499999999996</v>
      </c>
      <c r="Z6" s="81">
        <f t="shared" si="1"/>
        <v>347.90699999999998</v>
      </c>
      <c r="AA6" s="81">
        <f t="shared" si="1"/>
        <v>349.90799999999996</v>
      </c>
      <c r="AB6" s="81">
        <f t="shared" si="1"/>
        <v>414.59000000000003</v>
      </c>
      <c r="AC6" s="83">
        <f t="shared" si="1"/>
        <v>1405.8199999999997</v>
      </c>
      <c r="AD6" s="81">
        <f t="shared" si="1"/>
        <v>461.01900000000006</v>
      </c>
      <c r="AE6" s="81">
        <f t="shared" si="1"/>
        <v>566.61500000000001</v>
      </c>
      <c r="AF6" s="81">
        <f t="shared" si="1"/>
        <v>586.74</v>
      </c>
      <c r="AG6" s="81">
        <f t="shared" si="1"/>
        <v>623.44299999999998</v>
      </c>
      <c r="AH6" s="83">
        <f t="shared" si="1"/>
        <v>2237.817</v>
      </c>
      <c r="AI6" s="81">
        <f t="shared" si="1"/>
        <v>601.10200000000009</v>
      </c>
      <c r="AJ6" s="81">
        <f t="shared" si="1"/>
        <v>626.15100000000007</v>
      </c>
      <c r="AK6" s="81">
        <f t="shared" si="1"/>
        <v>692.23500000000001</v>
      </c>
      <c r="AL6" s="81">
        <f t="shared" si="1"/>
        <v>757.75099999999975</v>
      </c>
      <c r="AM6" s="83">
        <f t="shared" si="1"/>
        <v>2677.239</v>
      </c>
      <c r="AN6" s="81">
        <f t="shared" si="1"/>
        <v>788.87999999999988</v>
      </c>
      <c r="AO6" s="81">
        <f t="shared" si="1"/>
        <v>850.39200000000005</v>
      </c>
      <c r="AP6" s="81">
        <f t="shared" si="1"/>
        <v>908.06200000000013</v>
      </c>
      <c r="AQ6" s="81">
        <f t="shared" si="1"/>
        <v>1053.3699999999999</v>
      </c>
      <c r="AR6" s="83">
        <f t="shared" si="1"/>
        <v>3600.7040000000002</v>
      </c>
      <c r="AS6" s="81">
        <f t="shared" si="1"/>
        <v>1107.472</v>
      </c>
      <c r="AT6" s="81">
        <f t="shared" si="1"/>
        <v>1175.7809999999999</v>
      </c>
      <c r="AU6" s="81">
        <f t="shared" si="1"/>
        <v>1248.269</v>
      </c>
      <c r="AV6" s="81">
        <f t="shared" si="1"/>
        <v>1282.1459999999997</v>
      </c>
      <c r="AW6" s="83">
        <f t="shared" si="1"/>
        <v>4813.6680000000006</v>
      </c>
      <c r="AX6" s="380">
        <f t="shared" si="1"/>
        <v>1273.288</v>
      </c>
      <c r="AY6" s="380">
        <f t="shared" si="1"/>
        <v>1366.7640000000001</v>
      </c>
      <c r="AZ6" s="380">
        <f t="shared" si="1"/>
        <v>1419.251</v>
      </c>
      <c r="BA6" s="380">
        <f t="shared" si="1"/>
        <v>1447.4100000000003</v>
      </c>
      <c r="BB6" s="83">
        <f t="shared" si="1"/>
        <v>5506.7129999999997</v>
      </c>
      <c r="BC6" s="380">
        <f t="shared" si="1"/>
        <v>1464.6000000000001</v>
      </c>
      <c r="BD6" s="380">
        <f t="shared" si="1"/>
        <v>1599</v>
      </c>
      <c r="BE6" s="380">
        <f t="shared" si="1"/>
        <v>1674.4</v>
      </c>
      <c r="BF6" s="380">
        <f t="shared" si="1"/>
        <v>1755.9</v>
      </c>
      <c r="BG6" s="83">
        <f t="shared" si="1"/>
        <v>6471.0000000000009</v>
      </c>
      <c r="BH6" s="380">
        <f t="shared" si="1"/>
        <v>1730</v>
      </c>
      <c r="BI6" s="380">
        <f t="shared" si="1"/>
        <v>1872.6999999999998</v>
      </c>
      <c r="BJ6" s="380">
        <f t="shared" si="1"/>
        <v>1982.2</v>
      </c>
      <c r="BK6" s="380">
        <f t="shared" si="1"/>
        <v>2085.5</v>
      </c>
      <c r="BL6" s="83">
        <f t="shared" si="1"/>
        <v>7670.4</v>
      </c>
      <c r="BM6" s="380">
        <f t="shared" si="1"/>
        <v>2080.8000000000002</v>
      </c>
      <c r="BN6" s="380">
        <f t="shared" si="1"/>
        <v>2277.8000000000002</v>
      </c>
      <c r="BO6" s="380">
        <f t="shared" si="1"/>
        <v>2334.1</v>
      </c>
      <c r="BP6" s="380">
        <f t="shared" si="1"/>
        <v>2563.2999999999997</v>
      </c>
      <c r="BQ6" s="83">
        <f t="shared" si="1"/>
        <v>9256</v>
      </c>
      <c r="BR6" s="380">
        <f t="shared" si="1"/>
        <v>2511.6</v>
      </c>
      <c r="BS6" s="380">
        <f t="shared" si="1"/>
        <v>2754.3</v>
      </c>
      <c r="BT6" s="380">
        <f t="shared" si="1"/>
        <v>2982.7999999999997</v>
      </c>
      <c r="BU6" s="380">
        <f t="shared" si="1"/>
        <v>2980.4999999999995</v>
      </c>
      <c r="BV6" s="83">
        <f t="shared" si="1"/>
        <v>11229.2</v>
      </c>
      <c r="BW6" s="380">
        <f t="shared" si="1"/>
        <v>2960</v>
      </c>
      <c r="BX6" s="380">
        <f t="shared" si="1"/>
        <v>3268</v>
      </c>
      <c r="BY6" s="380">
        <f t="shared" si="1"/>
        <v>3292</v>
      </c>
      <c r="BZ6" s="380">
        <f t="shared" si="1"/>
        <v>3483</v>
      </c>
      <c r="CA6" s="83">
        <f t="shared" si="1"/>
        <v>13003</v>
      </c>
      <c r="CB6" s="380">
        <f t="shared" si="1"/>
        <v>3416.8188545851744</v>
      </c>
      <c r="CC6" s="380">
        <f t="shared" si="1"/>
        <v>3694.8427940238062</v>
      </c>
      <c r="CD6" s="380">
        <f t="shared" si="1"/>
        <v>3732.9659245873322</v>
      </c>
      <c r="CE6" s="380">
        <f t="shared" si="1"/>
        <v>3929.1730337908193</v>
      </c>
      <c r="CF6" s="83">
        <f>+CF5+CF3</f>
        <v>14773.800606987132</v>
      </c>
      <c r="CG6" s="380"/>
      <c r="CH6" s="380"/>
      <c r="CI6" s="380"/>
      <c r="CJ6" s="380"/>
      <c r="CK6" s="83">
        <f>+CK5+CK3</f>
        <v>16728.389940531037</v>
      </c>
      <c r="CL6" s="380"/>
      <c r="CM6" s="380"/>
      <c r="CN6" s="380"/>
      <c r="CO6" s="380"/>
      <c r="CP6" s="83">
        <f>+CP5+CP3</f>
        <v>19249.720319150274</v>
      </c>
      <c r="CQ6" s="380"/>
      <c r="CR6" s="380"/>
      <c r="CS6" s="380"/>
      <c r="CT6" s="380"/>
      <c r="CU6" s="83">
        <f>+CU5+CU3</f>
        <v>22109.75537287923</v>
      </c>
      <c r="CV6" s="380"/>
      <c r="CW6" s="380"/>
      <c r="CX6" s="380"/>
      <c r="CY6" s="380"/>
      <c r="CZ6" s="83">
        <f>+CZ5+CZ3</f>
        <v>23673.258566473927</v>
      </c>
      <c r="DA6" s="380"/>
      <c r="DB6" s="380"/>
      <c r="DC6" s="380"/>
      <c r="DD6" s="380"/>
      <c r="DE6" s="83">
        <f>+DE5+DE3</f>
        <v>23990.408293152665</v>
      </c>
      <c r="DF6" s="380"/>
      <c r="DG6" s="380"/>
      <c r="DH6" s="380"/>
      <c r="DI6" s="380"/>
      <c r="DJ6" s="83">
        <f>+DJ5+DJ3</f>
        <v>23486.06606041644</v>
      </c>
      <c r="DK6" s="380"/>
      <c r="DL6" s="380"/>
      <c r="DM6" s="380"/>
      <c r="DN6" s="380"/>
      <c r="DO6" s="83">
        <f>+DO5+DO3</f>
        <v>19136.106668492135</v>
      </c>
      <c r="DP6" s="380"/>
      <c r="DQ6" s="380"/>
      <c r="DR6" s="380"/>
      <c r="DS6" s="380"/>
      <c r="DT6" s="83">
        <f>+DT5+DT3</f>
        <v>12310.869751294756</v>
      </c>
      <c r="DU6" s="380"/>
      <c r="DV6" s="380"/>
      <c r="DW6" s="380"/>
      <c r="DX6" s="380"/>
      <c r="DY6" s="83">
        <f>+DY5+DY3</f>
        <v>9906.3127110681326</v>
      </c>
      <c r="DZ6" s="380"/>
      <c r="EA6" s="380"/>
      <c r="EB6" s="380"/>
      <c r="EC6" s="380"/>
      <c r="ED6" s="83">
        <f>+ED5+ED3</f>
        <v>9551.6076513932003</v>
      </c>
      <c r="EE6" s="380"/>
      <c r="EF6" s="380"/>
      <c r="EG6" s="380"/>
      <c r="EH6" s="380"/>
      <c r="EI6" s="83">
        <f>+EI5+EI3</f>
        <v>9482.9989652938912</v>
      </c>
      <c r="EJ6" s="380"/>
      <c r="EK6" s="380"/>
      <c r="EL6" s="380"/>
      <c r="EM6" s="380"/>
      <c r="EN6" s="83">
        <f>+EN5+EN3</f>
        <v>7259.9902573576628</v>
      </c>
    </row>
    <row r="7" spans="2:157" s="28" customFormat="1">
      <c r="B7" s="381" t="s">
        <v>192</v>
      </c>
      <c r="C7" s="382"/>
      <c r="D7" s="383"/>
      <c r="E7" s="383"/>
      <c r="F7" s="383"/>
      <c r="G7" s="384"/>
      <c r="H7" s="383"/>
      <c r="I7" s="383"/>
      <c r="J7" s="383"/>
      <c r="K7" s="383"/>
      <c r="L7" s="384"/>
      <c r="M7" s="383"/>
      <c r="N7" s="383"/>
      <c r="O7" s="383"/>
      <c r="P7" s="383"/>
      <c r="Q7" s="384"/>
      <c r="R7" s="383"/>
      <c r="S7" s="383"/>
      <c r="T7" s="383"/>
      <c r="U7" s="383"/>
      <c r="V7" s="384"/>
      <c r="W7" s="383"/>
      <c r="X7" s="383"/>
      <c r="Y7" s="383"/>
      <c r="Z7" s="383"/>
      <c r="AA7" s="384"/>
      <c r="AB7" s="383"/>
      <c r="AC7" s="383"/>
      <c r="AD7" s="383"/>
      <c r="AE7" s="383"/>
      <c r="AF7" s="384"/>
      <c r="AG7" s="383"/>
      <c r="AH7" s="383"/>
      <c r="AI7" s="383"/>
      <c r="AJ7" s="383"/>
      <c r="AK7" s="384"/>
      <c r="AL7" s="383"/>
      <c r="AM7" s="383"/>
      <c r="AN7" s="383"/>
      <c r="AO7" s="383"/>
      <c r="AP7" s="384"/>
      <c r="AQ7" s="383"/>
      <c r="AR7" s="383"/>
      <c r="AS7" s="383"/>
      <c r="AT7" s="383"/>
      <c r="AU7" s="384"/>
      <c r="AV7" s="383"/>
      <c r="AW7" s="383"/>
      <c r="AX7" s="383"/>
      <c r="AY7" s="383"/>
      <c r="AZ7" s="384"/>
      <c r="BA7" s="383"/>
      <c r="BB7" s="383"/>
      <c r="BC7" s="383"/>
      <c r="BD7" s="383"/>
      <c r="BE7" s="384"/>
      <c r="BF7" s="383"/>
      <c r="BG7" s="383"/>
      <c r="BH7" s="385"/>
      <c r="BI7" s="385"/>
      <c r="BJ7" s="385"/>
      <c r="BK7" s="385"/>
      <c r="BL7" s="385"/>
      <c r="BM7" s="385"/>
      <c r="BN7" s="385"/>
      <c r="BO7" s="385"/>
      <c r="BP7" s="385"/>
      <c r="BQ7" s="385"/>
      <c r="BR7" s="385"/>
      <c r="BS7" s="385"/>
      <c r="BT7" s="385"/>
      <c r="BU7" s="385"/>
      <c r="BV7" s="385"/>
      <c r="BW7" s="385"/>
      <c r="BX7" s="385"/>
      <c r="BY7" s="385"/>
      <c r="BZ7" s="385"/>
      <c r="CA7" s="385"/>
      <c r="CB7" s="385" t="e">
        <f ca="1">_xll.TR($FA$1,"TR.RevenueMean","Period=#1 Curn=#2 Scale=6 NULL=-",,LEFT($CB$2,1)&amp;"CQ20"&amp;MID($CB$2,3,2),$FA$2)</f>
        <v>#NAME?</v>
      </c>
      <c r="CC7" s="385" t="e">
        <f ca="1">_xll.TR($FA$1,"TR.RevenueMean","Period=#1 Curn=#2 Scale=6 NULL=-",,LEFT($CC$2,1)&amp;"CQ20"&amp;MID($CC$2,3,2),$FA$2)</f>
        <v>#NAME?</v>
      </c>
      <c r="CD7" s="385" t="e">
        <f ca="1">_xll.TR($FA$1,"TR.RevenueMean","Period=#1 Curn=#2 Scale=6 NULL=-",,LEFT($CD$2,1)&amp;"CQ20"&amp;MID($CD$2,3,2),$FA$2)</f>
        <v>#NAME?</v>
      </c>
      <c r="CE7" s="385" t="e">
        <f ca="1">_xll.TR($FA$1,"TR.RevenueMean","Period=#1 Curn=#2 Scale=6 NULL=-",,LEFT($CE$2,1)&amp;"CQ20"&amp;MID($CE$2,3,2),$FA$2)</f>
        <v>#NAME?</v>
      </c>
      <c r="CF7" s="385" t="e">
        <f ca="1">_xll.TR($FA$1,"AVAIL(TR.RevenueMean(Methodology=WeightedAnnual),TR.RevenueMean(Methodology=InterimSum))","Period=#1 Curn=#2 Scale=6 NULL=-",,"CY"&amp;LEFT($CB$1,4),$FA$2)</f>
        <v>#NAME?</v>
      </c>
      <c r="CG7" s="386"/>
      <c r="CH7" s="386"/>
      <c r="CI7" s="386"/>
      <c r="CJ7" s="386"/>
      <c r="CK7" s="385" t="e">
        <f ca="1">_xll.TR($FA$1,"AVAIL(TR.RevenueMean(Methodology=WeightedAnnual),TR.RevenueMean(Methodology=InterimSum))","Period=#1 Curn=#2 Scale=6 NULL=-",,"CY"&amp;LEFT($CG$1,4),$FA$2)</f>
        <v>#NAME?</v>
      </c>
      <c r="CL7" s="386"/>
      <c r="CM7" s="386"/>
      <c r="CN7" s="386"/>
      <c r="CO7" s="386"/>
      <c r="CP7" s="385" t="e">
        <f ca="1">_xll.TR($FA$1,"AVAIL(TR.RevenueMean(Methodology=WeightedAnnual),TR.RevenueMean(Methodology=InterimSum))","Period=#1 Curn=#2 Scale=6 NULL=-",,"CY"&amp;LEFT($CL$1,4),$FA$2)</f>
        <v>#NAME?</v>
      </c>
      <c r="CQ7" s="386"/>
      <c r="CR7" s="386"/>
      <c r="CS7" s="386"/>
      <c r="CT7" s="386"/>
      <c r="CU7" s="386"/>
      <c r="CV7" s="386"/>
      <c r="CW7" s="386"/>
      <c r="CX7" s="386"/>
      <c r="CY7" s="386"/>
      <c r="CZ7" s="386"/>
      <c r="DA7" s="386"/>
      <c r="DB7" s="386"/>
      <c r="DC7" s="386"/>
      <c r="DD7" s="386"/>
      <c r="DE7" s="386"/>
      <c r="DF7" s="386"/>
      <c r="DG7" s="386"/>
      <c r="DH7" s="386"/>
      <c r="DI7" s="386"/>
      <c r="DJ7" s="386"/>
      <c r="DK7" s="386"/>
      <c r="DL7" s="386"/>
      <c r="DM7" s="386"/>
      <c r="DN7" s="386"/>
      <c r="DO7" s="386"/>
      <c r="DP7" s="386"/>
      <c r="DQ7" s="386"/>
      <c r="DR7" s="386"/>
      <c r="DS7" s="386"/>
      <c r="DT7" s="386"/>
      <c r="DU7" s="386"/>
      <c r="DV7" s="386"/>
      <c r="DW7" s="386"/>
      <c r="DX7" s="386"/>
      <c r="DY7" s="386"/>
      <c r="DZ7" s="386"/>
      <c r="EA7" s="386"/>
      <c r="EB7" s="386"/>
      <c r="EC7" s="386"/>
      <c r="ED7" s="386"/>
      <c r="EE7" s="386"/>
      <c r="EF7" s="386"/>
      <c r="EG7" s="386"/>
      <c r="EH7" s="386"/>
      <c r="EI7" s="386"/>
      <c r="EJ7" s="386"/>
      <c r="EK7" s="386"/>
      <c r="EL7" s="386"/>
      <c r="EM7" s="386"/>
      <c r="EN7" s="386"/>
      <c r="ES7"/>
      <c r="ET7"/>
      <c r="EU7"/>
      <c r="EV7"/>
      <c r="EW7"/>
      <c r="EX7"/>
    </row>
    <row r="8" spans="2:157">
      <c r="E8" s="387"/>
      <c r="F8" s="387"/>
      <c r="G8" s="375"/>
      <c r="H8" s="387"/>
      <c r="J8" s="387"/>
      <c r="K8" s="387"/>
      <c r="L8" s="375"/>
      <c r="M8" s="387"/>
      <c r="O8" s="75"/>
      <c r="P8" s="75"/>
      <c r="Q8" s="43"/>
      <c r="R8" s="75"/>
      <c r="T8" s="75"/>
      <c r="U8" s="75"/>
      <c r="V8" s="43"/>
      <c r="W8" s="75"/>
      <c r="Y8" s="75"/>
      <c r="Z8" s="75"/>
      <c r="AA8" s="43"/>
      <c r="AB8" s="75"/>
      <c r="AD8" s="75"/>
      <c r="AE8" s="75"/>
      <c r="AF8" s="43"/>
      <c r="AG8" s="75"/>
      <c r="AI8" s="75"/>
      <c r="AJ8" s="75"/>
      <c r="AK8" s="43"/>
      <c r="AL8" s="75"/>
      <c r="AN8" s="75"/>
      <c r="AO8" s="75"/>
      <c r="AP8" s="43"/>
      <c r="AQ8" s="75"/>
      <c r="AS8" s="75"/>
      <c r="AT8" s="75"/>
      <c r="AU8" s="43"/>
      <c r="AV8" s="75"/>
      <c r="AX8" s="387"/>
      <c r="AY8" s="387"/>
      <c r="AZ8" s="375"/>
      <c r="BA8" s="387"/>
      <c r="BC8" s="387"/>
      <c r="BD8" s="387"/>
      <c r="BE8" s="375"/>
      <c r="BF8" s="387"/>
      <c r="BH8" s="622"/>
      <c r="BI8" s="387"/>
      <c r="BJ8" s="387"/>
      <c r="BK8" s="387"/>
      <c r="BM8" s="387"/>
      <c r="BN8" s="387"/>
      <c r="BO8" s="387"/>
      <c r="BP8" s="387"/>
      <c r="BQ8" s="42"/>
      <c r="BR8" s="375"/>
      <c r="BS8" s="387"/>
      <c r="BT8" s="387"/>
      <c r="BU8" s="375"/>
      <c r="BW8" s="387"/>
      <c r="BX8" s="387"/>
      <c r="BY8" s="387"/>
      <c r="BZ8" s="387"/>
      <c r="CB8" s="387"/>
      <c r="CC8" s="387"/>
      <c r="CD8" s="387"/>
      <c r="CE8" s="387"/>
      <c r="CG8" s="387"/>
      <c r="CH8" s="387"/>
      <c r="CI8" s="387"/>
      <c r="CJ8" s="387"/>
      <c r="CL8" s="387"/>
      <c r="CM8" s="387"/>
      <c r="CN8" s="387"/>
      <c r="CO8" s="387"/>
      <c r="CQ8" s="387"/>
      <c r="CR8" s="387"/>
      <c r="CS8" s="387"/>
      <c r="CT8" s="387"/>
      <c r="CV8" s="387"/>
      <c r="CW8" s="387"/>
      <c r="CX8" s="387"/>
      <c r="CY8" s="387"/>
      <c r="DA8" s="387"/>
      <c r="DB8" s="387"/>
      <c r="DC8" s="387"/>
      <c r="DD8" s="387"/>
      <c r="DF8" s="387"/>
      <c r="DG8" s="387"/>
      <c r="DH8" s="387"/>
      <c r="DI8" s="387"/>
      <c r="DK8" s="387"/>
      <c r="DL8" s="387"/>
      <c r="DM8" s="387"/>
      <c r="DN8" s="387"/>
      <c r="DP8" s="387"/>
      <c r="DQ8" s="387"/>
      <c r="DR8" s="387"/>
      <c r="DS8" s="387"/>
      <c r="DU8" s="387"/>
      <c r="DV8" s="387"/>
      <c r="DW8" s="387"/>
      <c r="DX8" s="387"/>
      <c r="DZ8" s="387"/>
      <c r="EA8" s="387"/>
      <c r="EB8" s="387"/>
      <c r="EC8" s="387"/>
      <c r="EE8" s="387"/>
      <c r="EF8" s="387"/>
      <c r="EG8" s="387"/>
      <c r="EH8" s="387"/>
      <c r="EJ8" s="387"/>
      <c r="EK8" s="387"/>
      <c r="EL8" s="387"/>
      <c r="EM8" s="387"/>
    </row>
    <row r="9" spans="2:157">
      <c r="B9" t="s">
        <v>184</v>
      </c>
      <c r="D9" s="51">
        <v>20.867000000000001</v>
      </c>
      <c r="E9" s="375">
        <v>4.6619999999999999</v>
      </c>
      <c r="F9" s="375">
        <v>11.629</v>
      </c>
      <c r="G9" s="375">
        <v>13.638999999999999</v>
      </c>
      <c r="H9" s="375">
        <v>15.266</v>
      </c>
      <c r="I9" s="12">
        <f>SUM(E9:H9)</f>
        <v>45.195999999999998</v>
      </c>
      <c r="J9" s="375">
        <v>14.395</v>
      </c>
      <c r="K9" s="375">
        <v>14.093999999999999</v>
      </c>
      <c r="L9" s="375">
        <v>15.166</v>
      </c>
      <c r="M9" s="375">
        <v>16.071000000000002</v>
      </c>
      <c r="N9" s="12">
        <f>SUM(J9:M9)</f>
        <v>59.725999999999999</v>
      </c>
      <c r="O9" s="43">
        <v>12.603999999999999</v>
      </c>
      <c r="P9" s="43">
        <v>18.196000000000002</v>
      </c>
      <c r="Q9" s="43">
        <f>23.199-Q49</f>
        <v>23.375</v>
      </c>
      <c r="R9" s="43">
        <f>26.728-R49</f>
        <v>27.239000000000001</v>
      </c>
      <c r="S9" s="12">
        <f>SUM(O9:R9)</f>
        <v>81.414000000000001</v>
      </c>
      <c r="T9" s="43">
        <f>30.144-T50</f>
        <v>29.686</v>
      </c>
      <c r="U9" s="43">
        <f>26.799-U50</f>
        <v>26.338000000000001</v>
      </c>
      <c r="V9" s="43">
        <f>34.205-V49-V50</f>
        <v>34.128999999999998</v>
      </c>
      <c r="W9" s="43">
        <f>34.744-W49-W50</f>
        <v>34.934000000000005</v>
      </c>
      <c r="X9" s="12">
        <f>SUM(T9:W9)</f>
        <v>125.08699999999999</v>
      </c>
      <c r="Y9" s="43">
        <f>22.055-Y50</f>
        <v>21.666</v>
      </c>
      <c r="Z9" s="43">
        <f>28.701-Z50</f>
        <v>28.292999999999999</v>
      </c>
      <c r="AA9" s="43">
        <f>34.079-AA49-AA50</f>
        <v>33.923999999999999</v>
      </c>
      <c r="AB9" s="43">
        <f>45.404-AB49-AB50</f>
        <v>45.205000000000005</v>
      </c>
      <c r="AC9" s="12">
        <f>SUM(Y9:AB9)</f>
        <v>129.08800000000002</v>
      </c>
      <c r="AD9" s="43">
        <f>44.724-AD48-AD49-AD50</f>
        <v>41.079000000000001</v>
      </c>
      <c r="AE9" s="43">
        <f>75.194-AE48-AE49-AE50</f>
        <v>63.991999999999997</v>
      </c>
      <c r="AF9" s="43">
        <f>70.534-AF48-AF49-AF50</f>
        <v>60.269000000000005</v>
      </c>
      <c r="AG9" s="43">
        <f>67.814-AG48-AG49-AG50</f>
        <v>59.640999999999984</v>
      </c>
      <c r="AH9" s="12">
        <f>SUM(AD9:AG9)</f>
        <v>224.98099999999999</v>
      </c>
      <c r="AI9" s="43">
        <f>64.299-AI48-AI49-AI50</f>
        <v>60.501000000000005</v>
      </c>
      <c r="AJ9" s="43">
        <f>50.902-AJ49-AJ50</f>
        <v>47.901000000000003</v>
      </c>
      <c r="AK9" s="43">
        <f>52.058-AK49-AK50</f>
        <v>49.817</v>
      </c>
      <c r="AL9" s="43">
        <f>49.03-AL49-AL50</f>
        <v>45.411999999999999</v>
      </c>
      <c r="AM9" s="12">
        <f>SUM(AI9:AL9)</f>
        <v>203.63100000000003</v>
      </c>
      <c r="AN9" s="43">
        <f>61.915-AN49-AN50</f>
        <v>56.108999999999995</v>
      </c>
      <c r="AO9" s="43">
        <f>67.993-AO49-AO50</f>
        <v>61.994</v>
      </c>
      <c r="AP9" s="43">
        <f>63.542-AP49-AP50</f>
        <v>62.304000000000009</v>
      </c>
      <c r="AQ9" s="43">
        <f>114.321-AQ48-AQ49-AQ50</f>
        <v>67.066999999999979</v>
      </c>
      <c r="AR9" s="12">
        <f>SUM(AN9:AQ9)</f>
        <v>247.47399999999999</v>
      </c>
      <c r="AS9" s="43">
        <f>127.268-AS48-AS49-AS50</f>
        <v>73.043999999999997</v>
      </c>
      <c r="AT9" s="43">
        <f>126.443-AT48-AT49-AT50</f>
        <v>77.626999999999995</v>
      </c>
      <c r="AU9" s="43">
        <f>94.645-AU48-AU49-AU50</f>
        <v>81.064999999999998</v>
      </c>
      <c r="AV9" s="43">
        <f>77.503-AV49-AV50</f>
        <v>71.051000000000002</v>
      </c>
      <c r="AW9" s="12">
        <f>SUM(AS9:AV9)</f>
        <v>302.78699999999998</v>
      </c>
      <c r="AX9" s="375">
        <f>72.52-AX49-AX50</f>
        <v>71.052999999999997</v>
      </c>
      <c r="AY9" s="375">
        <f>71.852-AY49-AY50</f>
        <v>69.441000000000003</v>
      </c>
      <c r="AZ9" s="375">
        <f>74.622-AZ49-AZ50</f>
        <v>71.320999999999998</v>
      </c>
      <c r="BA9" s="375">
        <f>80.13-BA49-BA50</f>
        <v>76.448999999999998</v>
      </c>
      <c r="BB9" s="12">
        <f>SUM(AX9:BA9)</f>
        <v>288.26400000000001</v>
      </c>
      <c r="BC9" s="387">
        <f>80.5-BC50</f>
        <v>77.7</v>
      </c>
      <c r="BD9" s="387">
        <f>80.9-BD50</f>
        <v>77.2</v>
      </c>
      <c r="BE9" s="375">
        <f>86.2-BE50</f>
        <v>80.100000000000009</v>
      </c>
      <c r="BF9" s="443">
        <f>92.8-BF50</f>
        <v>86.899999999999991</v>
      </c>
      <c r="BG9" s="12">
        <f>SUM(BC9:BF9)</f>
        <v>321.89999999999998</v>
      </c>
      <c r="BH9" s="376">
        <f>86.1-BH50</f>
        <v>80</v>
      </c>
      <c r="BI9" s="376">
        <f>98.9-BI50</f>
        <v>93</v>
      </c>
      <c r="BJ9" s="376">
        <f>97.7-BJ50</f>
        <v>90.9</v>
      </c>
      <c r="BK9" s="376">
        <f>103.2-BK50</f>
        <v>95.8</v>
      </c>
      <c r="BL9" s="12">
        <f>SUM(BH9:BK9)</f>
        <v>359.7</v>
      </c>
      <c r="BM9" s="376">
        <f>104-BM50</f>
        <v>97.3</v>
      </c>
      <c r="BN9" s="376">
        <f>100.8-BN50</f>
        <v>92.7</v>
      </c>
      <c r="BO9" s="376">
        <f>109.9-BO50</f>
        <v>101.4</v>
      </c>
      <c r="BP9" s="376">
        <f>105.4-BP50</f>
        <v>97</v>
      </c>
      <c r="BQ9" s="12">
        <f>SUM(BM9:BP9)</f>
        <v>388.4</v>
      </c>
      <c r="BR9" s="376">
        <f>105.9-BR50</f>
        <v>96.9</v>
      </c>
      <c r="BS9" s="376">
        <f>110.9-BS50</f>
        <v>102.30000000000001</v>
      </c>
      <c r="BT9" s="376">
        <f>107.7-BT50</f>
        <v>100.3</v>
      </c>
      <c r="BU9" s="376">
        <f>113.5-BU50</f>
        <v>105.7</v>
      </c>
      <c r="BV9" s="12">
        <f>SUM(BR9:BU9)</f>
        <v>405.2</v>
      </c>
      <c r="BW9" s="376">
        <f>113-BW50</f>
        <v>106</v>
      </c>
      <c r="BX9" s="376">
        <f>111-BX50</f>
        <v>103</v>
      </c>
      <c r="BY9" s="376">
        <f>118-BY50</f>
        <v>111</v>
      </c>
      <c r="BZ9" s="376">
        <f>119-BZ50</f>
        <v>112</v>
      </c>
      <c r="CA9" s="12">
        <f>SUM(BW9:BZ9)</f>
        <v>432</v>
      </c>
      <c r="CB9" s="375">
        <f>REVS!CA159</f>
        <v>116.34893161584874</v>
      </c>
      <c r="CC9" s="375">
        <f>REVS!CB159</f>
        <v>123.88376358586598</v>
      </c>
      <c r="CD9" s="375">
        <f>REVS!CC159</f>
        <v>124.34315693540084</v>
      </c>
      <c r="CE9" s="375">
        <f>REVS!CD159</f>
        <v>129.93599722254407</v>
      </c>
      <c r="CF9" s="12">
        <f>REVS!CE159</f>
        <v>494.51184935965966</v>
      </c>
      <c r="CG9" s="375"/>
      <c r="CH9" s="375"/>
      <c r="CI9" s="375"/>
      <c r="CJ9" s="375"/>
      <c r="CK9" s="12">
        <f>REVS!CJ159</f>
        <v>582.75343213964038</v>
      </c>
      <c r="CL9" s="375"/>
      <c r="CM9" s="375"/>
      <c r="CN9" s="375"/>
      <c r="CO9" s="375"/>
      <c r="CP9" s="12">
        <f>REVS!CO159</f>
        <v>744.67274859365864</v>
      </c>
      <c r="CQ9" s="375"/>
      <c r="CR9" s="375"/>
      <c r="CS9" s="375"/>
      <c r="CT9" s="375"/>
      <c r="CU9" s="12">
        <f>REVS!CT159</f>
        <v>984.86792814679575</v>
      </c>
      <c r="CV9" s="375"/>
      <c r="CW9" s="375"/>
      <c r="CX9" s="375"/>
      <c r="CY9" s="375"/>
      <c r="CZ9" s="12">
        <f>REVS!CY159</f>
        <v>1171.5461982343481</v>
      </c>
      <c r="DA9" s="375"/>
      <c r="DB9" s="375"/>
      <c r="DC9" s="375"/>
      <c r="DD9" s="375"/>
      <c r="DE9" s="12">
        <f>REVS!DD159</f>
        <v>1319.9638342538235</v>
      </c>
      <c r="DF9" s="375"/>
      <c r="DG9" s="375"/>
      <c r="DH9" s="375"/>
      <c r="DI9" s="375"/>
      <c r="DJ9" s="12">
        <f>REVS!DI159</f>
        <v>1502.3048857436966</v>
      </c>
      <c r="DK9" s="375"/>
      <c r="DL9" s="375"/>
      <c r="DM9" s="375"/>
      <c r="DN9" s="375"/>
      <c r="DO9" s="12">
        <f>REVS!DN159</f>
        <v>1436.4133601329295</v>
      </c>
      <c r="DP9" s="375"/>
      <c r="DQ9" s="375"/>
      <c r="DR9" s="375"/>
      <c r="DS9" s="375"/>
      <c r="DT9" s="12">
        <f>REVS!DS159</f>
        <v>1378.8456310648792</v>
      </c>
      <c r="DU9" s="375"/>
      <c r="DV9" s="375"/>
      <c r="DW9" s="375"/>
      <c r="DX9" s="375"/>
      <c r="DY9" s="12">
        <f>REVS!DX159</f>
        <v>1403.4890069868904</v>
      </c>
      <c r="DZ9" s="375"/>
      <c r="EA9" s="375"/>
      <c r="EB9" s="375"/>
      <c r="EC9" s="375"/>
      <c r="ED9" s="12">
        <f>REVS!EC159</f>
        <v>1455.0072888024381</v>
      </c>
      <c r="EE9" s="375"/>
      <c r="EF9" s="375"/>
      <c r="EG9" s="375"/>
      <c r="EH9" s="375"/>
      <c r="EI9" s="12">
        <f>REVS!EH159</f>
        <v>1512.2666430556026</v>
      </c>
      <c r="EJ9" s="375"/>
      <c r="EK9" s="375"/>
      <c r="EL9" s="375"/>
      <c r="EM9" s="375"/>
      <c r="EN9" s="12">
        <f>REVS!EM159</f>
        <v>1391.3323203717</v>
      </c>
    </row>
    <row r="10" spans="2:157">
      <c r="B10" t="s">
        <v>173</v>
      </c>
      <c r="D10" s="51">
        <f t="shared" ref="D10:AI10" si="2">D6-D9</f>
        <v>114.879</v>
      </c>
      <c r="E10" s="375">
        <f t="shared" si="2"/>
        <v>44.427</v>
      </c>
      <c r="F10" s="375">
        <f t="shared" si="2"/>
        <v>55.657000000000004</v>
      </c>
      <c r="G10" s="375">
        <f t="shared" si="2"/>
        <v>60.693000000000012</v>
      </c>
      <c r="H10" s="375">
        <f t="shared" si="2"/>
        <v>65.502000000000024</v>
      </c>
      <c r="I10" s="51">
        <f t="shared" si="2"/>
        <v>226.27900000000002</v>
      </c>
      <c r="J10" s="375">
        <f t="shared" si="2"/>
        <v>68.478000000000009</v>
      </c>
      <c r="K10" s="375">
        <f t="shared" si="2"/>
        <v>73.658999999999992</v>
      </c>
      <c r="L10" s="375">
        <f t="shared" si="2"/>
        <v>86.301999999999992</v>
      </c>
      <c r="M10" s="375">
        <f t="shared" si="2"/>
        <v>89.337000000000018</v>
      </c>
      <c r="N10" s="51">
        <f t="shared" si="2"/>
        <v>317.77600000000001</v>
      </c>
      <c r="O10" s="43">
        <f t="shared" si="2"/>
        <v>99.792000000000016</v>
      </c>
      <c r="P10" s="43">
        <f t="shared" si="2"/>
        <v>127.50500000000002</v>
      </c>
      <c r="Q10" s="43">
        <f t="shared" si="2"/>
        <v>106.131</v>
      </c>
      <c r="R10" s="43">
        <f t="shared" si="2"/>
        <v>122.09899999999993</v>
      </c>
      <c r="S10" s="51">
        <f t="shared" si="2"/>
        <v>455.52700000000004</v>
      </c>
      <c r="T10" s="43">
        <f t="shared" si="2"/>
        <v>152.155</v>
      </c>
      <c r="U10" s="43">
        <f t="shared" si="2"/>
        <v>170.90099999999998</v>
      </c>
      <c r="V10" s="43">
        <f t="shared" si="2"/>
        <v>210.71</v>
      </c>
      <c r="W10" s="43">
        <f t="shared" si="2"/>
        <v>240.02</v>
      </c>
      <c r="X10" s="51">
        <f t="shared" si="2"/>
        <v>773.78600000000006</v>
      </c>
      <c r="Y10" s="43">
        <f t="shared" si="2"/>
        <v>271.74899999999997</v>
      </c>
      <c r="Z10" s="43">
        <f t="shared" si="2"/>
        <v>319.61399999999998</v>
      </c>
      <c r="AA10" s="43">
        <f t="shared" si="2"/>
        <v>315.98399999999998</v>
      </c>
      <c r="AB10" s="43">
        <f t="shared" si="2"/>
        <v>369.38500000000005</v>
      </c>
      <c r="AC10" s="51">
        <f t="shared" si="2"/>
        <v>1276.7319999999997</v>
      </c>
      <c r="AD10" s="43">
        <f t="shared" si="2"/>
        <v>419.94000000000005</v>
      </c>
      <c r="AE10" s="43">
        <f t="shared" si="2"/>
        <v>502.62299999999999</v>
      </c>
      <c r="AF10" s="43">
        <f t="shared" si="2"/>
        <v>526.471</v>
      </c>
      <c r="AG10" s="43">
        <f t="shared" si="2"/>
        <v>563.80200000000002</v>
      </c>
      <c r="AH10" s="51">
        <f t="shared" si="2"/>
        <v>2012.836</v>
      </c>
      <c r="AI10" s="43">
        <f t="shared" si="2"/>
        <v>540.60100000000011</v>
      </c>
      <c r="AJ10" s="43">
        <f t="shared" ref="AJ10:BO10" si="3">AJ6-AJ9</f>
        <v>578.25000000000011</v>
      </c>
      <c r="AK10" s="43">
        <f t="shared" si="3"/>
        <v>642.41800000000001</v>
      </c>
      <c r="AL10" s="43">
        <f t="shared" si="3"/>
        <v>712.33899999999971</v>
      </c>
      <c r="AM10" s="51">
        <f t="shared" si="3"/>
        <v>2473.6080000000002</v>
      </c>
      <c r="AN10" s="43">
        <f t="shared" si="3"/>
        <v>732.77099999999984</v>
      </c>
      <c r="AO10" s="43">
        <f t="shared" si="3"/>
        <v>788.39800000000002</v>
      </c>
      <c r="AP10" s="43">
        <f t="shared" si="3"/>
        <v>845.75800000000015</v>
      </c>
      <c r="AQ10" s="43">
        <f t="shared" si="3"/>
        <v>986.30299999999988</v>
      </c>
      <c r="AR10" s="51">
        <f t="shared" si="3"/>
        <v>3353.23</v>
      </c>
      <c r="AS10" s="43">
        <f t="shared" si="3"/>
        <v>1034.4279999999999</v>
      </c>
      <c r="AT10" s="43">
        <f t="shared" si="3"/>
        <v>1098.154</v>
      </c>
      <c r="AU10" s="43">
        <f t="shared" si="3"/>
        <v>1167.204</v>
      </c>
      <c r="AV10" s="43">
        <f t="shared" si="3"/>
        <v>1211.0949999999998</v>
      </c>
      <c r="AW10" s="51">
        <f t="shared" si="3"/>
        <v>4510.8810000000003</v>
      </c>
      <c r="AX10" s="375">
        <f t="shared" si="3"/>
        <v>1202.2350000000001</v>
      </c>
      <c r="AY10" s="375">
        <f t="shared" si="3"/>
        <v>1297.3230000000001</v>
      </c>
      <c r="AZ10" s="375">
        <f t="shared" si="3"/>
        <v>1347.93</v>
      </c>
      <c r="BA10" s="375">
        <f t="shared" si="3"/>
        <v>1370.9610000000002</v>
      </c>
      <c r="BB10" s="51">
        <f t="shared" si="3"/>
        <v>5218.4489999999996</v>
      </c>
      <c r="BC10" s="375">
        <f t="shared" si="3"/>
        <v>1386.9</v>
      </c>
      <c r="BD10" s="375">
        <f t="shared" si="3"/>
        <v>1521.8</v>
      </c>
      <c r="BE10" s="375">
        <f t="shared" si="3"/>
        <v>1594.3000000000002</v>
      </c>
      <c r="BF10" s="443">
        <f t="shared" si="3"/>
        <v>1669</v>
      </c>
      <c r="BG10" s="51">
        <f t="shared" si="3"/>
        <v>6149.1000000000013</v>
      </c>
      <c r="BH10" s="443">
        <f t="shared" si="3"/>
        <v>1650</v>
      </c>
      <c r="BI10" s="375">
        <f t="shared" si="3"/>
        <v>1779.6999999999998</v>
      </c>
      <c r="BJ10" s="375">
        <f t="shared" si="3"/>
        <v>1891.3</v>
      </c>
      <c r="BK10" s="375">
        <f t="shared" si="3"/>
        <v>1989.7</v>
      </c>
      <c r="BL10" s="51">
        <f t="shared" si="3"/>
        <v>7310.7</v>
      </c>
      <c r="BM10" s="443">
        <f t="shared" si="3"/>
        <v>1983.5000000000002</v>
      </c>
      <c r="BN10" s="375">
        <f t="shared" si="3"/>
        <v>2185.1000000000004</v>
      </c>
      <c r="BO10" s="375">
        <f t="shared" si="3"/>
        <v>2232.6999999999998</v>
      </c>
      <c r="BP10" s="375">
        <f>BP6-BP9</f>
        <v>2466.2999999999997</v>
      </c>
      <c r="BQ10" s="51">
        <f>BQ6-BQ9</f>
        <v>8867.6</v>
      </c>
      <c r="BR10" s="443">
        <f t="shared" ref="BR10:BT10" si="4">BR6-BR9</f>
        <v>2414.6999999999998</v>
      </c>
      <c r="BS10" s="375">
        <f t="shared" si="4"/>
        <v>2652</v>
      </c>
      <c r="BT10" s="375">
        <f t="shared" si="4"/>
        <v>2882.4999999999995</v>
      </c>
      <c r="BU10" s="375">
        <f>BU6-BU9</f>
        <v>2874.7999999999997</v>
      </c>
      <c r="BV10" s="51">
        <f>BV6-BV9</f>
        <v>10824</v>
      </c>
      <c r="BW10" s="375">
        <f t="shared" ref="BW10:CE10" si="5">BW6-BW9</f>
        <v>2854</v>
      </c>
      <c r="BX10" s="375">
        <f t="shared" si="5"/>
        <v>3165</v>
      </c>
      <c r="BY10" s="375">
        <f t="shared" si="5"/>
        <v>3181</v>
      </c>
      <c r="BZ10" s="375">
        <f t="shared" si="5"/>
        <v>3371</v>
      </c>
      <c r="CA10" s="51">
        <f>CA6-CA9</f>
        <v>12571</v>
      </c>
      <c r="CB10" s="375">
        <f t="shared" si="5"/>
        <v>3300.4699229693256</v>
      </c>
      <c r="CC10" s="375">
        <f t="shared" si="5"/>
        <v>3570.9590304379403</v>
      </c>
      <c r="CD10" s="375">
        <f t="shared" si="5"/>
        <v>3608.6227676519316</v>
      </c>
      <c r="CE10" s="375">
        <f t="shared" si="5"/>
        <v>3799.2370365682755</v>
      </c>
      <c r="CF10" s="51">
        <f>CF6-CF9</f>
        <v>14279.288757627472</v>
      </c>
      <c r="CG10" s="375"/>
      <c r="CH10" s="375"/>
      <c r="CI10" s="375"/>
      <c r="CJ10" s="375"/>
      <c r="CK10" s="51">
        <f>CK6-CK9</f>
        <v>16145.636508391397</v>
      </c>
      <c r="CL10" s="375"/>
      <c r="CM10" s="375"/>
      <c r="CN10" s="375"/>
      <c r="CO10" s="375"/>
      <c r="CP10" s="51">
        <f>CP6-CP9</f>
        <v>18505.047570556617</v>
      </c>
      <c r="CQ10" s="375"/>
      <c r="CR10" s="375"/>
      <c r="CS10" s="375"/>
      <c r="CT10" s="375"/>
      <c r="CU10" s="51">
        <f>CU6-CU9</f>
        <v>21124.887444732434</v>
      </c>
      <c r="CV10" s="375"/>
      <c r="CW10" s="375"/>
      <c r="CX10" s="375"/>
      <c r="CY10" s="375"/>
      <c r="CZ10" s="51">
        <f>CZ6-CZ9</f>
        <v>22501.71236823958</v>
      </c>
      <c r="DA10" s="375"/>
      <c r="DB10" s="375"/>
      <c r="DC10" s="375"/>
      <c r="DD10" s="375"/>
      <c r="DE10" s="51">
        <f>DE6-DE9</f>
        <v>22670.444458898841</v>
      </c>
      <c r="DF10" s="375"/>
      <c r="DG10" s="375"/>
      <c r="DH10" s="375"/>
      <c r="DI10" s="375"/>
      <c r="DJ10" s="51">
        <f>DJ6-DJ9</f>
        <v>21983.761174672745</v>
      </c>
      <c r="DK10" s="375"/>
      <c r="DL10" s="375"/>
      <c r="DM10" s="375"/>
      <c r="DN10" s="375"/>
      <c r="DO10" s="51">
        <f>DO6-DO9</f>
        <v>17699.693308359205</v>
      </c>
      <c r="DP10" s="375"/>
      <c r="DQ10" s="375"/>
      <c r="DR10" s="375"/>
      <c r="DS10" s="375"/>
      <c r="DT10" s="51">
        <f>DT6-DT9</f>
        <v>10932.024120229877</v>
      </c>
      <c r="DU10" s="375"/>
      <c r="DV10" s="375"/>
      <c r="DW10" s="375"/>
      <c r="DX10" s="375"/>
      <c r="DY10" s="51">
        <f>DY6-DY9</f>
        <v>8502.8237040812419</v>
      </c>
      <c r="DZ10" s="375"/>
      <c r="EA10" s="375"/>
      <c r="EB10" s="375"/>
      <c r="EC10" s="375"/>
      <c r="ED10" s="51">
        <f>ED6-ED9</f>
        <v>8096.6003625907624</v>
      </c>
      <c r="EE10" s="375"/>
      <c r="EF10" s="375"/>
      <c r="EG10" s="375"/>
      <c r="EH10" s="375"/>
      <c r="EI10" s="51">
        <f>EI6-EI9</f>
        <v>7970.7323222382884</v>
      </c>
      <c r="EJ10" s="375"/>
      <c r="EK10" s="375"/>
      <c r="EL10" s="375"/>
      <c r="EM10" s="375"/>
      <c r="EN10" s="51">
        <f>EN6-EN9</f>
        <v>5868.6579369859628</v>
      </c>
    </row>
    <row r="11" spans="2:157">
      <c r="D11" s="51"/>
      <c r="E11" s="375"/>
      <c r="F11" s="375"/>
      <c r="G11" s="375"/>
      <c r="H11" s="375"/>
      <c r="J11" s="375"/>
      <c r="K11" s="375"/>
      <c r="L11" s="375"/>
      <c r="M11" s="375"/>
      <c r="O11" s="43"/>
      <c r="P11" s="43"/>
      <c r="Q11" s="43"/>
      <c r="R11" s="43"/>
      <c r="T11" s="43"/>
      <c r="U11" s="43"/>
      <c r="V11" s="43"/>
      <c r="W11" s="43"/>
      <c r="Y11" s="43"/>
      <c r="Z11" s="43"/>
      <c r="AA11" s="43"/>
      <c r="AB11" s="43"/>
      <c r="AD11" s="43"/>
      <c r="AE11" s="43"/>
      <c r="AF11" s="43"/>
      <c r="AG11" s="43"/>
      <c r="AI11" s="43"/>
      <c r="AJ11" s="43"/>
      <c r="AK11" s="43"/>
      <c r="AL11" s="43"/>
      <c r="AN11" s="43"/>
      <c r="AO11" s="43"/>
      <c r="AP11" s="43"/>
      <c r="AQ11" s="43"/>
      <c r="AS11" s="43"/>
      <c r="AT11" s="43"/>
      <c r="AU11" s="43"/>
      <c r="AV11" s="43"/>
      <c r="AX11" s="375"/>
      <c r="AY11" s="375"/>
      <c r="AZ11" s="375"/>
      <c r="BA11" s="375"/>
      <c r="BC11" s="387"/>
      <c r="BD11" s="387"/>
      <c r="BE11" s="375"/>
      <c r="BF11" s="622"/>
      <c r="BH11" s="622"/>
      <c r="BI11" s="387"/>
      <c r="BJ11" s="387"/>
      <c r="BK11" s="387"/>
      <c r="BM11" s="387"/>
      <c r="BN11" s="387"/>
      <c r="BO11" s="387"/>
      <c r="BP11" s="387"/>
      <c r="BR11" s="387"/>
      <c r="BS11" s="387"/>
      <c r="BT11" s="387"/>
      <c r="BU11" s="387"/>
      <c r="BW11" s="387"/>
      <c r="BX11" s="387"/>
      <c r="BY11" s="387"/>
      <c r="BZ11" s="387"/>
      <c r="CB11" s="387"/>
      <c r="CC11" s="387"/>
      <c r="CD11" s="387"/>
      <c r="CE11" s="387"/>
      <c r="CG11" s="387"/>
      <c r="CH11" s="387"/>
      <c r="CI11" s="387"/>
      <c r="CJ11" s="387"/>
      <c r="CL11" s="387"/>
      <c r="CM11" s="387"/>
      <c r="CN11" s="387"/>
      <c r="CO11" s="387"/>
      <c r="CQ11" s="387"/>
      <c r="CR11" s="387"/>
      <c r="CS11" s="387"/>
      <c r="CT11" s="387"/>
      <c r="CV11" s="387"/>
      <c r="CW11" s="387"/>
      <c r="CX11" s="387"/>
      <c r="CY11" s="387"/>
      <c r="DA11" s="387"/>
      <c r="DB11" s="387"/>
      <c r="DC11" s="387"/>
      <c r="DD11" s="387"/>
      <c r="DF11" s="387"/>
      <c r="DG11" s="387"/>
      <c r="DH11" s="387"/>
      <c r="DI11" s="387"/>
      <c r="DK11" s="387"/>
      <c r="DL11" s="387"/>
      <c r="DM11" s="387"/>
      <c r="DN11" s="387"/>
      <c r="DP11" s="387"/>
      <c r="DQ11" s="387"/>
      <c r="DR11" s="387"/>
      <c r="DS11" s="387"/>
      <c r="DU11" s="387"/>
      <c r="DV11" s="387"/>
      <c r="DW11" s="387"/>
      <c r="DX11" s="387"/>
      <c r="DZ11" s="387"/>
      <c r="EA11" s="387"/>
      <c r="EB11" s="387"/>
      <c r="EC11" s="387"/>
      <c r="EE11" s="387"/>
      <c r="EF11" s="387"/>
      <c r="EG11" s="387"/>
      <c r="EH11" s="387"/>
      <c r="EJ11" s="387"/>
      <c r="EK11" s="387"/>
      <c r="EL11" s="387"/>
      <c r="EM11" s="387"/>
    </row>
    <row r="12" spans="2:157">
      <c r="B12" t="s">
        <v>179</v>
      </c>
      <c r="D12" s="51">
        <v>66.171999999999997</v>
      </c>
      <c r="E12" s="375">
        <v>23.373000000000001</v>
      </c>
      <c r="F12" s="375">
        <v>25.905000000000001</v>
      </c>
      <c r="G12" s="375">
        <v>26.516999999999999</v>
      </c>
      <c r="H12" s="375">
        <v>26.544</v>
      </c>
      <c r="I12" s="42">
        <f>SUM(E12:H12)</f>
        <v>102.339</v>
      </c>
      <c r="J12" s="375">
        <v>25.936</v>
      </c>
      <c r="K12" s="375">
        <v>25.722000000000001</v>
      </c>
      <c r="L12" s="375">
        <v>27.75</v>
      </c>
      <c r="M12" s="375">
        <v>34.787999999999997</v>
      </c>
      <c r="N12" s="42">
        <f>SUM(J12:M12)</f>
        <v>114.196</v>
      </c>
      <c r="O12" s="43">
        <f>37.806-O60</f>
        <v>36.589999999999996</v>
      </c>
      <c r="P12" s="43">
        <f>41.367-P60</f>
        <v>40.338999999999999</v>
      </c>
      <c r="Q12" s="43">
        <f>46.941-Q60</f>
        <v>46.830000000000005</v>
      </c>
      <c r="R12" s="43">
        <f>55.682-R60</f>
        <v>55.581000000000003</v>
      </c>
      <c r="S12" s="42">
        <f>SUM(O12:R12)</f>
        <v>179.34000000000003</v>
      </c>
      <c r="T12" s="43">
        <f>66.867-T61-T63</f>
        <v>54.31600000000001</v>
      </c>
      <c r="U12" s="43">
        <f>83.036-U61-U63</f>
        <v>63.919999999999995</v>
      </c>
      <c r="V12" s="43">
        <f>89.592-V61-V63</f>
        <v>67.283000000000001</v>
      </c>
      <c r="W12" s="43">
        <f>100.174-W61-W63</f>
        <v>82.967000000000013</v>
      </c>
      <c r="X12" s="42">
        <f>SUM(T12:W12)</f>
        <v>268.48599999999999</v>
      </c>
      <c r="Y12" s="43">
        <f>107.421-Y63-Y61</f>
        <v>98.624000000000009</v>
      </c>
      <c r="Z12" s="43">
        <f>113.986-Z61-Z63</f>
        <v>103.31200000000001</v>
      </c>
      <c r="AA12" s="43">
        <f>97.309-AA61-AA63</f>
        <v>85.74499999999999</v>
      </c>
      <c r="AB12" s="43">
        <f>133.154-AB61-AB63</f>
        <v>119.846</v>
      </c>
      <c r="AC12" s="42">
        <f>SUM(Y12:AB12)</f>
        <v>407.52700000000004</v>
      </c>
      <c r="AD12" s="43">
        <f>140.451-AD61</f>
        <v>129.31899999999999</v>
      </c>
      <c r="AE12" s="43">
        <f>176.287-AE61</f>
        <v>162.459</v>
      </c>
      <c r="AF12" s="43">
        <f>168.607-AF61</f>
        <v>152.011</v>
      </c>
      <c r="AG12" s="43">
        <f>200.203-AG61</f>
        <v>181.72300000000001</v>
      </c>
      <c r="AH12" s="42">
        <f>SUM(AD12:AG12)</f>
        <v>625.51199999999994</v>
      </c>
      <c r="AI12" s="43">
        <f>173.44-AI61</f>
        <v>155.815</v>
      </c>
      <c r="AJ12" s="43">
        <f>176.311-AJ61</f>
        <v>156.94800000000001</v>
      </c>
      <c r="AK12" s="43">
        <f>192.512-AK61</f>
        <v>172.345</v>
      </c>
      <c r="AL12" s="43">
        <f>211.564-AL61</f>
        <v>193.32399999999998</v>
      </c>
      <c r="AM12" s="42">
        <f>SUM(AI12:AL12)</f>
        <v>678.43200000000002</v>
      </c>
      <c r="AN12" s="43">
        <f>207.978-AN61</f>
        <v>188.047</v>
      </c>
      <c r="AO12" s="43">
        <f>219.262-AO61</f>
        <v>197.077</v>
      </c>
      <c r="AP12" s="43">
        <f>228.281-AP61</f>
        <v>204.12</v>
      </c>
      <c r="AQ12" s="43">
        <f>295.112-AQ60-AQ61</f>
        <v>252.37600000000003</v>
      </c>
      <c r="AR12" s="42">
        <f>SUM(AN12:AQ12)</f>
        <v>841.62000000000012</v>
      </c>
      <c r="AS12" s="43">
        <f>302.261-AS60-AS61</f>
        <v>269.959</v>
      </c>
      <c r="AT12" s="43">
        <f>305.643-AT60-AT61</f>
        <v>274.17299999999994</v>
      </c>
      <c r="AU12" s="43">
        <f>303.303-AU61</f>
        <v>276.10500000000002</v>
      </c>
      <c r="AV12" s="43">
        <f>315.107-AV59-AV61</f>
        <v>278.46199999999999</v>
      </c>
      <c r="AW12" s="42">
        <f>SUM(AS12:AV12)</f>
        <v>1098.6990000000001</v>
      </c>
      <c r="AX12" s="375">
        <f>325.778-AX61</f>
        <v>298.96200000000005</v>
      </c>
      <c r="AY12" s="375">
        <f>323.027-AY61</f>
        <v>295.952</v>
      </c>
      <c r="AZ12" s="375">
        <f>354.644-AZ61</f>
        <v>322.52499999999998</v>
      </c>
      <c r="BA12" s="375">
        <f>370.092-BA61</f>
        <v>339.88499999999999</v>
      </c>
      <c r="BB12" s="42">
        <f>SUM(AX12:BA12)</f>
        <v>1257.3240000000001</v>
      </c>
      <c r="BC12" s="387">
        <f>369-BC61</f>
        <v>333.2</v>
      </c>
      <c r="BD12" s="387">
        <f>418.1-BD61</f>
        <v>383.8</v>
      </c>
      <c r="BE12" s="375">
        <f>448.7-BE61</f>
        <v>404.5</v>
      </c>
      <c r="BF12" s="443">
        <f>448.7-BF61</f>
        <v>400.4</v>
      </c>
      <c r="BG12" s="42">
        <f>SUM(BC12:BF12)</f>
        <v>1521.9</v>
      </c>
      <c r="BH12" s="376">
        <f>494.1-BH61-BH60</f>
        <v>417.8</v>
      </c>
      <c r="BI12" s="376">
        <f>491.8-BI61-BI60</f>
        <v>440.1</v>
      </c>
      <c r="BJ12" s="376">
        <f>497.6-BJ61-BJ60</f>
        <v>441.40000000000003</v>
      </c>
      <c r="BK12" s="376">
        <f>544.4-BK61-BK60</f>
        <v>478.7</v>
      </c>
      <c r="BL12" s="42">
        <f>SUM(BH12:BK12)</f>
        <v>1778.0000000000002</v>
      </c>
      <c r="BM12" s="376">
        <f>529.2-BM61-BM60</f>
        <v>463.30000000000007</v>
      </c>
      <c r="BN12" s="376">
        <f>616.8-BN60-BN61</f>
        <v>540.79999999999995</v>
      </c>
      <c r="BO12" s="376">
        <f>550.3-BO60-BO61</f>
        <v>474.09999999999997</v>
      </c>
      <c r="BP12" s="376">
        <f>609.1-BP60-BP61</f>
        <v>533</v>
      </c>
      <c r="BQ12" s="42">
        <f>SUM(BM12:BP12)</f>
        <v>2011.2</v>
      </c>
      <c r="BR12" s="376">
        <f>543-BR61</f>
        <v>467.7</v>
      </c>
      <c r="BS12" s="376">
        <f>732.1-BS61-BS60</f>
        <v>547.1</v>
      </c>
      <c r="BT12" s="376">
        <f>698-BT61-BT60</f>
        <v>590.70000000000005</v>
      </c>
      <c r="BU12" s="376">
        <f>684.6-BU61-BU60</f>
        <v>533.6</v>
      </c>
      <c r="BV12" s="42">
        <f>SUM(BR12:BU12)</f>
        <v>2139.1</v>
      </c>
      <c r="BW12" s="376">
        <f>620-BW61-BW60</f>
        <v>539</v>
      </c>
      <c r="BX12" s="376">
        <f>939-BX61-BX60</f>
        <v>532</v>
      </c>
      <c r="BY12" s="376">
        <f>608-BY61-BY60</f>
        <v>521</v>
      </c>
      <c r="BZ12" s="376">
        <f>774-BZ61-BZ60</f>
        <v>687</v>
      </c>
      <c r="CA12" s="42">
        <f>SUM(BW12:BZ12)</f>
        <v>2279</v>
      </c>
      <c r="CB12" s="375">
        <f>CB98*CB6</f>
        <v>589.40125241594251</v>
      </c>
      <c r="CC12" s="375">
        <f t="shared" ref="CC12:CE12" si="6">CC98*CC6</f>
        <v>637.36038196910647</v>
      </c>
      <c r="CD12" s="375">
        <f t="shared" si="6"/>
        <v>643.93662199131472</v>
      </c>
      <c r="CE12" s="375">
        <f t="shared" si="6"/>
        <v>677.78234832891633</v>
      </c>
      <c r="CF12" s="42">
        <f>CF6*CF98</f>
        <v>2548.4806047052798</v>
      </c>
      <c r="CG12" s="375"/>
      <c r="CH12" s="375"/>
      <c r="CI12" s="375"/>
      <c r="CJ12" s="375"/>
      <c r="CK12" s="42">
        <f>CK6*CK98</f>
        <v>2770.221374151939</v>
      </c>
      <c r="CL12" s="375"/>
      <c r="CM12" s="375"/>
      <c r="CN12" s="375"/>
      <c r="CO12" s="375"/>
      <c r="CP12" s="42">
        <f>CP6*CP98</f>
        <v>3092.1210743057463</v>
      </c>
      <c r="CQ12" s="375"/>
      <c r="CR12" s="375"/>
      <c r="CS12" s="375"/>
      <c r="CT12" s="375"/>
      <c r="CU12" s="42">
        <f>CU6*CU98</f>
        <v>3462.7458694299271</v>
      </c>
      <c r="CV12" s="375"/>
      <c r="CW12" s="375"/>
      <c r="CX12" s="375"/>
      <c r="CY12" s="375"/>
      <c r="CZ12" s="42">
        <f>CZ6*CZ98</f>
        <v>3614.9254033411275</v>
      </c>
      <c r="DA12" s="375"/>
      <c r="DB12" s="375"/>
      <c r="DC12" s="375"/>
      <c r="DD12" s="375"/>
      <c r="DE12" s="42">
        <f>DE6*DE98</f>
        <v>3571.7705582705285</v>
      </c>
      <c r="DF12" s="375"/>
      <c r="DG12" s="375"/>
      <c r="DH12" s="375"/>
      <c r="DI12" s="375"/>
      <c r="DJ12" s="42">
        <f>DJ6*DJ98</f>
        <v>3461.7156105281351</v>
      </c>
      <c r="DK12" s="375"/>
      <c r="DL12" s="375"/>
      <c r="DM12" s="375"/>
      <c r="DN12" s="375"/>
      <c r="DO12" s="42">
        <f>DO6*DO98</f>
        <v>2792.3502138909262</v>
      </c>
      <c r="DP12" s="375"/>
      <c r="DQ12" s="375"/>
      <c r="DR12" s="375"/>
      <c r="DS12" s="375"/>
      <c r="DT12" s="42">
        <f>DT6*DT98</f>
        <v>1778.4441618636097</v>
      </c>
      <c r="DU12" s="375"/>
      <c r="DV12" s="375"/>
      <c r="DW12" s="375"/>
      <c r="DX12" s="375"/>
      <c r="DY12" s="42">
        <f>DY6*DY98</f>
        <v>1416.7679553830121</v>
      </c>
      <c r="DZ12" s="375"/>
      <c r="EA12" s="375"/>
      <c r="EB12" s="375"/>
      <c r="EC12" s="375"/>
      <c r="ED12" s="42">
        <f>ED6*ED98</f>
        <v>1352.3788232010806</v>
      </c>
      <c r="EE12" s="375"/>
      <c r="EF12" s="375"/>
      <c r="EG12" s="375"/>
      <c r="EH12" s="375"/>
      <c r="EI12" s="42">
        <f>EI6*EI98</f>
        <v>1329.2381109726916</v>
      </c>
      <c r="EJ12" s="375"/>
      <c r="EK12" s="375"/>
      <c r="EL12" s="375"/>
      <c r="EM12" s="375"/>
      <c r="EN12" s="42">
        <f>EN6*EN98</f>
        <v>1007.4611642352381</v>
      </c>
    </row>
    <row r="13" spans="2:157">
      <c r="B13" t="s">
        <v>178</v>
      </c>
      <c r="D13" s="51">
        <v>84.924000000000007</v>
      </c>
      <c r="E13" s="375">
        <v>24.721</v>
      </c>
      <c r="F13" s="375">
        <v>30.516999999999999</v>
      </c>
      <c r="G13" s="375">
        <v>33.270000000000003</v>
      </c>
      <c r="H13" s="375">
        <v>34.192</v>
      </c>
      <c r="I13" s="42">
        <f>SUM(E13:H13)</f>
        <v>122.70000000000002</v>
      </c>
      <c r="J13" s="375">
        <v>37.728000000000002</v>
      </c>
      <c r="K13" s="375">
        <v>38.637999999999998</v>
      </c>
      <c r="L13" s="375">
        <v>40.154000000000003</v>
      </c>
      <c r="M13" s="375">
        <v>44.332000000000001</v>
      </c>
      <c r="N13" s="42">
        <f>SUM(J13:M13)</f>
        <v>160.852</v>
      </c>
      <c r="O13" s="43">
        <v>40.036999999999999</v>
      </c>
      <c r="P13" s="43">
        <v>49.027999999999999</v>
      </c>
      <c r="Q13" s="43">
        <v>49.347999999999999</v>
      </c>
      <c r="R13" s="43">
        <v>52.420999999999999</v>
      </c>
      <c r="S13" s="42">
        <f>SUM(O13:R13)</f>
        <v>190.834</v>
      </c>
      <c r="T13" s="43">
        <f>54.524-T56</f>
        <v>50.576000000000001</v>
      </c>
      <c r="U13" s="43">
        <f>57.018-U56</f>
        <v>53.617000000000004</v>
      </c>
      <c r="V13" s="43">
        <f>66.756-V56</f>
        <v>64.067000000000007</v>
      </c>
      <c r="W13" s="43">
        <f>80.323-W56</f>
        <v>77.620999999999995</v>
      </c>
      <c r="X13" s="42">
        <f>SUM(T13:W13)</f>
        <v>245.88100000000003</v>
      </c>
      <c r="Y13" s="43">
        <f>79.575-Y56</f>
        <v>76.972999999999999</v>
      </c>
      <c r="Z13" s="43">
        <f>89.934-Z56</f>
        <v>86.590999999999994</v>
      </c>
      <c r="AA13" s="43">
        <f>130.545-AA55-AA56</f>
        <v>84.274999999999977</v>
      </c>
      <c r="AB13" s="43">
        <f>98.536-AB56</f>
        <v>93.016000000000005</v>
      </c>
      <c r="AC13" s="42">
        <f>SUM(Y13:AB13)</f>
        <v>340.85499999999996</v>
      </c>
      <c r="AD13" s="43">
        <f>156.877-AD55-AD56</f>
        <v>102.26100000000001</v>
      </c>
      <c r="AE13" s="43">
        <f>144.861-AE56</f>
        <v>133.17599999999999</v>
      </c>
      <c r="AF13" s="43">
        <f>160.911-AF56</f>
        <v>149.947</v>
      </c>
      <c r="AG13" s="43">
        <f>468.568-AG53-AG56</f>
        <v>153.75699999999998</v>
      </c>
      <c r="AH13" s="42">
        <f>SUM(AD13:AG13)</f>
        <v>539.14099999999996</v>
      </c>
      <c r="AI13" s="43">
        <f>181.248-AI56</f>
        <v>167.52599999999998</v>
      </c>
      <c r="AJ13" s="43">
        <f>218.5-AJ55-AJ56</f>
        <v>169.035</v>
      </c>
      <c r="AK13" s="43">
        <f>193.362-AK56</f>
        <v>178.184</v>
      </c>
      <c r="AL13" s="43">
        <f>201.738-AL56</f>
        <v>181.828</v>
      </c>
      <c r="AM13" s="42">
        <f>SUM(AI13:AL13)</f>
        <v>696.57299999999998</v>
      </c>
      <c r="AN13" s="43">
        <f>204.657-AN56</f>
        <v>185.52800000000002</v>
      </c>
      <c r="AO13" s="43">
        <f>342.761-AO55-AO56</f>
        <v>201.56200000000004</v>
      </c>
      <c r="AP13" s="43">
        <f>253.547-AP56</f>
        <v>232.327</v>
      </c>
      <c r="AQ13" s="43">
        <f>327.53-AQ53-AQ56</f>
        <v>298.46699999999993</v>
      </c>
      <c r="AR13" s="42">
        <f>SUM(AN13:AQ13)</f>
        <v>917.88400000000001</v>
      </c>
      <c r="AS13" s="43">
        <f>435.478-AS53-AS54-AS55-AS56</f>
        <v>278.03700000000003</v>
      </c>
      <c r="AT13" s="43">
        <f>371.52-AT53-AT54-AT55-AT56</f>
        <v>305.779</v>
      </c>
      <c r="AU13" s="43">
        <f>356.839-AU55-AU56</f>
        <v>307.31200000000001</v>
      </c>
      <c r="AV13" s="43">
        <f>436.427-AV55-AV56</f>
        <v>349.22500000000002</v>
      </c>
      <c r="AW13" s="42">
        <f>SUM(AS13:AV13)</f>
        <v>1240.3530000000001</v>
      </c>
      <c r="AX13" s="375">
        <f>362.044-AX54-AX55-AX56</f>
        <v>314.86499999999995</v>
      </c>
      <c r="AY13" s="375">
        <f>447.098-AY54-AY55-AY56</f>
        <v>348.54200000000003</v>
      </c>
      <c r="AZ13" s="375">
        <f>441.595-AZ54-AZ55-AZ56</f>
        <v>328.11900000000003</v>
      </c>
      <c r="BA13" s="375">
        <f>473.419-BA54-BA55-BA56</f>
        <v>318.20799999999997</v>
      </c>
      <c r="BB13" s="42">
        <f>SUM(AX13:BA13)</f>
        <v>1309.7339999999999</v>
      </c>
      <c r="BC13" s="387">
        <f>452.4-BC54-BC55-BC56</f>
        <v>329.7</v>
      </c>
      <c r="BD13" s="387">
        <f>458.1-BD54-BD55-BD56</f>
        <v>344.5</v>
      </c>
      <c r="BE13" s="375">
        <f>584.5-BE55-BE56</f>
        <v>371.5</v>
      </c>
      <c r="BF13" s="443">
        <f>731.2-BF55-BF56</f>
        <v>460.00000000000006</v>
      </c>
      <c r="BG13" s="42">
        <f>SUM(BC13:BF13)</f>
        <v>1505.7</v>
      </c>
      <c r="BH13" s="376">
        <f>713.7-BH55-BH56</f>
        <v>357.70000000000005</v>
      </c>
      <c r="BI13" s="376">
        <f>456.9-BI55-BI56</f>
        <v>397.09999999999997</v>
      </c>
      <c r="BJ13" s="376">
        <f>675.1-BJ55-BJ56-BJ54</f>
        <v>418.90000000000003</v>
      </c>
      <c r="BK13" s="376">
        <f>584.9-BK55-BK56-BK54</f>
        <v>477.59999999999997</v>
      </c>
      <c r="BL13" s="42">
        <f>SUM(BH13:BK13)</f>
        <v>1651.3</v>
      </c>
      <c r="BM13" s="376">
        <f>506-BM55-BM56-BM54</f>
        <v>430.8</v>
      </c>
      <c r="BN13" s="376">
        <f>1110-BN54-BN55-BN56</f>
        <v>476.9</v>
      </c>
      <c r="BO13" s="376">
        <f>1304.5-BO55-BO56</f>
        <v>487.50000000000006</v>
      </c>
      <c r="BP13" s="376">
        <f>776.8-BP55-BP56</f>
        <v>649.09999999999991</v>
      </c>
      <c r="BQ13" s="42">
        <f>SUM(BM13:BP13)</f>
        <v>2044.3</v>
      </c>
      <c r="BR13" s="376">
        <f>733.2-BR55-BR56</f>
        <v>591</v>
      </c>
      <c r="BS13" s="376">
        <f>948.7-BS55-BS56</f>
        <v>600.80000000000007</v>
      </c>
      <c r="BT13" s="376">
        <f>1653.5-BT55-BT56-BT53</f>
        <v>643.60000000000014</v>
      </c>
      <c r="BU13" s="376">
        <f>1134.7-BU55-BU56-BU53</f>
        <v>672.80000000000007</v>
      </c>
      <c r="BV13" s="42">
        <f>SUM(BR13:BU13)</f>
        <v>2508.2000000000003</v>
      </c>
      <c r="BW13" s="376">
        <f>995-BW55-BW56-BW53</f>
        <v>595</v>
      </c>
      <c r="BX13" s="376">
        <f>835-BX55-BX56-BX53</f>
        <v>690</v>
      </c>
      <c r="BY13" s="376">
        <f>1347-BY55-BY56-BY53</f>
        <v>698</v>
      </c>
      <c r="BZ13" s="376">
        <f>2738-BZ55-BZ56-BZ53-BZ54</f>
        <v>766</v>
      </c>
      <c r="CA13" s="42">
        <f>SUM(BW13:BZ13)</f>
        <v>2749</v>
      </c>
      <c r="CB13" s="375">
        <f>CB100*CB6</f>
        <v>768.78424228166432</v>
      </c>
      <c r="CC13" s="375">
        <f t="shared" ref="CC13:CE13" si="7">CC100*CC6</f>
        <v>831.33962865535636</v>
      </c>
      <c r="CD13" s="375">
        <f t="shared" si="7"/>
        <v>839.91733303214971</v>
      </c>
      <c r="CE13" s="375">
        <f t="shared" si="7"/>
        <v>884.06393260293441</v>
      </c>
      <c r="CF13" s="42">
        <f>CF6*CF100</f>
        <v>3324.1051365721046</v>
      </c>
      <c r="CG13" s="375"/>
      <c r="CH13" s="375"/>
      <c r="CI13" s="375"/>
      <c r="CJ13" s="375"/>
      <c r="CK13" s="42">
        <f>CK6*CK100</f>
        <v>3688.6099818870935</v>
      </c>
      <c r="CL13" s="375"/>
      <c r="CM13" s="375"/>
      <c r="CN13" s="375"/>
      <c r="CO13" s="375"/>
      <c r="CP13" s="42">
        <f>CP6*CP100</f>
        <v>4159.6720637651824</v>
      </c>
      <c r="CQ13" s="375"/>
      <c r="CR13" s="375"/>
      <c r="CS13" s="375"/>
      <c r="CT13" s="375"/>
      <c r="CU13" s="42">
        <f>CU6*CU100</f>
        <v>4706.0315829475903</v>
      </c>
      <c r="CV13" s="375"/>
      <c r="CW13" s="375"/>
      <c r="CX13" s="375"/>
      <c r="CY13" s="375"/>
      <c r="CZ13" s="42">
        <f>CZ6*CZ100</f>
        <v>4963.2388100702865</v>
      </c>
      <c r="DA13" s="375"/>
      <c r="DB13" s="375"/>
      <c r="DC13" s="375"/>
      <c r="DD13" s="375"/>
      <c r="DE13" s="42">
        <f>DE6*DE100</f>
        <v>4954.2851609560412</v>
      </c>
      <c r="DF13" s="375"/>
      <c r="DG13" s="375"/>
      <c r="DH13" s="375"/>
      <c r="DI13" s="375"/>
      <c r="DJ13" s="42">
        <f>DJ6*DJ100</f>
        <v>4777.3809075388472</v>
      </c>
      <c r="DK13" s="375"/>
      <c r="DL13" s="375"/>
      <c r="DM13" s="375"/>
      <c r="DN13" s="375"/>
      <c r="DO13" s="42">
        <f>DO6*DO100</f>
        <v>3834.1526993662992</v>
      </c>
      <c r="DP13" s="375"/>
      <c r="DQ13" s="375"/>
      <c r="DR13" s="375"/>
      <c r="DS13" s="375"/>
      <c r="DT13" s="42">
        <f>DT6*DT100</f>
        <v>2429.6336227942948</v>
      </c>
      <c r="DU13" s="375"/>
      <c r="DV13" s="375"/>
      <c r="DW13" s="375"/>
      <c r="DX13" s="375"/>
      <c r="DY13" s="42">
        <f>DY6*DY100</f>
        <v>1935.5272062570839</v>
      </c>
      <c r="DZ13" s="375"/>
      <c r="EA13" s="375"/>
      <c r="EB13" s="375"/>
      <c r="EC13" s="375"/>
      <c r="ED13" s="42">
        <f>ED6*ED100</f>
        <v>1847.5615541177256</v>
      </c>
      <c r="EE13" s="375"/>
      <c r="EF13" s="375"/>
      <c r="EG13" s="375"/>
      <c r="EH13" s="375"/>
      <c r="EI13" s="42">
        <f>EI6*EI100</f>
        <v>1815.9477122602534</v>
      </c>
      <c r="EJ13" s="375"/>
      <c r="EK13" s="375"/>
      <c r="EL13" s="375"/>
      <c r="EM13" s="375"/>
      <c r="EN13" s="42">
        <f>EN6*EN100</f>
        <v>1376.3499415806457</v>
      </c>
    </row>
    <row r="14" spans="2:157" ht="12.75" hidden="1" customHeight="1" outlineLevel="1">
      <c r="B14" s="10" t="s">
        <v>724</v>
      </c>
      <c r="D14" s="51"/>
      <c r="E14" s="375"/>
      <c r="F14" s="375"/>
      <c r="G14" s="375"/>
      <c r="H14" s="375"/>
      <c r="I14" s="42"/>
      <c r="J14" s="375"/>
      <c r="K14" s="375"/>
      <c r="L14" s="375"/>
      <c r="M14" s="375"/>
      <c r="N14" s="42"/>
      <c r="O14" s="43"/>
      <c r="P14" s="43"/>
      <c r="Q14" s="43"/>
      <c r="R14" s="43"/>
      <c r="S14" s="42"/>
      <c r="T14" s="43"/>
      <c r="U14" s="43"/>
      <c r="V14" s="43"/>
      <c r="W14" s="43"/>
      <c r="X14" s="42"/>
      <c r="Y14" s="43"/>
      <c r="Z14" s="43"/>
      <c r="AA14" s="43"/>
      <c r="AB14" s="43"/>
      <c r="AC14" s="42"/>
      <c r="AD14" s="43"/>
      <c r="AE14" s="43"/>
      <c r="AF14" s="43"/>
      <c r="AG14" s="43"/>
      <c r="AH14" s="42"/>
      <c r="AI14" s="43"/>
      <c r="AJ14" s="43"/>
      <c r="AK14" s="43"/>
      <c r="AL14" s="43"/>
      <c r="AM14" s="42"/>
      <c r="AN14" s="43">
        <f>100.418*AN13/204.657</f>
        <v>91.032071729772269</v>
      </c>
      <c r="AO14" s="43">
        <f>101.435*AO13/342.761</f>
        <v>59.64926426868869</v>
      </c>
      <c r="AP14" s="43">
        <f>124.288*AP13/253.547</f>
        <v>113.88601788228613</v>
      </c>
      <c r="AQ14" s="43">
        <f>AR14-SUM(AN14:AP14)</f>
        <v>126.24962009255364</v>
      </c>
      <c r="AR14" s="42">
        <f>480.491*AR13/1128.495</f>
        <v>390.81697397330072</v>
      </c>
      <c r="AS14" s="43">
        <f>171.806*AS13/435.478</f>
        <v>109.69193580846795</v>
      </c>
      <c r="AT14" s="43">
        <f>184.233*AT13/371.52</f>
        <v>151.63270485303619</v>
      </c>
      <c r="AU14" s="43">
        <f>185.768*AU13/356.839</f>
        <v>159.98457460087045</v>
      </c>
      <c r="AV14" s="43">
        <f t="shared" ref="AV14:AV19" si="8">AW14-SUM(AS14:AU14)</f>
        <v>146.34235047802827</v>
      </c>
      <c r="AW14" s="42">
        <f>732.366*AW13/1600.264</f>
        <v>567.65156574040282</v>
      </c>
      <c r="AX14" s="375">
        <f>189.4*AX13/362</f>
        <v>164.73875966850827</v>
      </c>
      <c r="AY14" s="375">
        <f>204.9*AY13/447.2</f>
        <v>159.69645751341685</v>
      </c>
      <c r="AZ14" s="375">
        <f>195.8*AZ13/441.595</f>
        <v>145.48556980944079</v>
      </c>
      <c r="BA14" s="375">
        <f t="shared" ref="BA14:BA19" si="9">BB14-SUM(AX14:AZ14)</f>
        <v>123.38061119302114</v>
      </c>
      <c r="BB14" s="42">
        <f>781.032*BB13/1724.156</f>
        <v>593.30139818438704</v>
      </c>
      <c r="BC14" s="388">
        <f>176.5*BC13/452.4</f>
        <v>128.62964190981432</v>
      </c>
      <c r="BD14" s="388">
        <f>198*BD13/458.1</f>
        <v>148.89980353634576</v>
      </c>
      <c r="BE14" s="375">
        <f>215.6*BE13/584.5</f>
        <v>137.03233532934129</v>
      </c>
      <c r="BF14" s="443"/>
      <c r="BG14" s="42"/>
      <c r="BH14" s="443"/>
      <c r="BI14" s="375"/>
      <c r="BJ14" s="375"/>
      <c r="BK14" s="375"/>
      <c r="BL14" s="42"/>
      <c r="BM14" s="375"/>
      <c r="BN14" s="375"/>
      <c r="BO14" s="375"/>
      <c r="BP14" s="375"/>
      <c r="BQ14" s="42"/>
      <c r="BR14" s="375"/>
      <c r="BS14" s="375"/>
      <c r="BT14" s="375"/>
      <c r="BU14" s="375"/>
      <c r="BV14" s="42"/>
      <c r="BW14" s="375"/>
      <c r="BX14" s="375"/>
      <c r="BY14" s="375"/>
      <c r="BZ14" s="375"/>
      <c r="CA14" s="42"/>
      <c r="CB14" s="375"/>
      <c r="CC14" s="375"/>
      <c r="CD14" s="375"/>
      <c r="CE14" s="375"/>
      <c r="CF14" s="42"/>
      <c r="CG14" s="375"/>
      <c r="CH14" s="375"/>
      <c r="CI14" s="375"/>
      <c r="CJ14" s="375"/>
      <c r="CK14" s="42"/>
      <c r="CL14" s="375"/>
      <c r="CM14" s="375"/>
      <c r="CN14" s="375"/>
      <c r="CO14" s="375"/>
      <c r="CP14" s="42"/>
      <c r="CQ14" s="375"/>
      <c r="CR14" s="375"/>
      <c r="CS14" s="375"/>
      <c r="CT14" s="375"/>
      <c r="CU14" s="42"/>
      <c r="CV14" s="375"/>
      <c r="CW14" s="375"/>
      <c r="CX14" s="375"/>
      <c r="CY14" s="375"/>
      <c r="CZ14" s="42"/>
      <c r="DA14" s="375"/>
      <c r="DB14" s="375"/>
      <c r="DC14" s="375"/>
      <c r="DD14" s="375"/>
      <c r="DE14" s="42"/>
      <c r="DF14" s="375"/>
      <c r="DG14" s="375"/>
      <c r="DH14" s="375"/>
      <c r="DI14" s="375"/>
      <c r="DJ14" s="42"/>
      <c r="DK14" s="375"/>
      <c r="DL14" s="375"/>
      <c r="DM14" s="375"/>
      <c r="DN14" s="375"/>
      <c r="DO14" s="42"/>
      <c r="DP14" s="375"/>
      <c r="DQ14" s="375"/>
      <c r="DR14" s="375"/>
      <c r="DS14" s="375"/>
      <c r="DT14" s="42"/>
      <c r="DU14" s="375"/>
      <c r="DV14" s="375"/>
      <c r="DW14" s="375"/>
      <c r="DX14" s="375"/>
      <c r="DY14" s="42"/>
      <c r="DZ14" s="375"/>
      <c r="EA14" s="375"/>
      <c r="EB14" s="375"/>
      <c r="EC14" s="375"/>
      <c r="ED14" s="42"/>
      <c r="EE14" s="375"/>
      <c r="EF14" s="375"/>
      <c r="EG14" s="375"/>
      <c r="EH14" s="375"/>
      <c r="EI14" s="42"/>
      <c r="EJ14" s="375"/>
      <c r="EK14" s="375"/>
      <c r="EL14" s="375"/>
      <c r="EM14" s="375"/>
      <c r="EN14" s="42"/>
    </row>
    <row r="15" spans="2:157" ht="12.75" hidden="1" customHeight="1" outlineLevel="1">
      <c r="B15" s="10" t="s">
        <v>725</v>
      </c>
      <c r="D15" s="51"/>
      <c r="E15" s="375"/>
      <c r="F15" s="375"/>
      <c r="G15" s="375"/>
      <c r="H15" s="375"/>
      <c r="I15" s="42"/>
      <c r="J15" s="375"/>
      <c r="K15" s="375"/>
      <c r="L15" s="375"/>
      <c r="M15" s="375"/>
      <c r="N15" s="42"/>
      <c r="O15" s="43"/>
      <c r="P15" s="43"/>
      <c r="Q15" s="43"/>
      <c r="R15" s="43"/>
      <c r="S15" s="42"/>
      <c r="T15" s="43"/>
      <c r="U15" s="43"/>
      <c r="V15" s="43"/>
      <c r="W15" s="43"/>
      <c r="X15" s="42"/>
      <c r="Y15" s="43"/>
      <c r="Z15" s="43"/>
      <c r="AA15" s="43"/>
      <c r="AB15" s="43"/>
      <c r="AC15" s="42"/>
      <c r="AD15" s="43"/>
      <c r="AE15" s="43"/>
      <c r="AF15" s="43"/>
      <c r="AG15" s="43"/>
      <c r="AH15" s="42"/>
      <c r="AI15" s="43"/>
      <c r="AJ15" s="43"/>
      <c r="AK15" s="43"/>
      <c r="AL15" s="43"/>
      <c r="AM15" s="42"/>
      <c r="AN15" s="43">
        <f>73.057*AN13/204.657</f>
        <v>66.228465657172734</v>
      </c>
      <c r="AO15" s="43">
        <f>212.577*AO13/342.761</f>
        <v>125.00676936407585</v>
      </c>
      <c r="AP15" s="43">
        <f>93.211*AP13/253.547</f>
        <v>85.409931874563696</v>
      </c>
      <c r="AQ15" s="43">
        <f>AR15-SUM(AN15:AP15)</f>
        <v>27.833392892224026</v>
      </c>
      <c r="AR15" s="42">
        <f>374.342*AR13/1128.495</f>
        <v>304.47855978803631</v>
      </c>
      <c r="AS15" s="43">
        <f>217.864*AS13/435.478</f>
        <v>139.09830799259666</v>
      </c>
      <c r="AT15" s="43">
        <f>147.341*AT13/371.52</f>
        <v>121.26879747792852</v>
      </c>
      <c r="AU15" s="43">
        <f>98.493*AU13/356.839</f>
        <v>84.822793517524701</v>
      </c>
      <c r="AV15" s="43">
        <f t="shared" si="8"/>
        <v>-30.42938998328566</v>
      </c>
      <c r="AW15" s="42">
        <f>406.094*AW13/1600.264</f>
        <v>314.76050900476423</v>
      </c>
      <c r="AX15" s="375">
        <f>102*AX13/362</f>
        <v>88.718867403314903</v>
      </c>
      <c r="AY15" s="375">
        <f>114.1*AY13/447.2</f>
        <v>88.928090787119871</v>
      </c>
      <c r="AZ15" s="375">
        <f>112.1*AZ13/441.595</f>
        <v>83.293832357703323</v>
      </c>
      <c r="BA15" s="375">
        <f t="shared" si="9"/>
        <v>64.382435757370274</v>
      </c>
      <c r="BB15" s="42">
        <f>428.261*BB13/1724.156</f>
        <v>325.32322630550834</v>
      </c>
      <c r="BC15" s="388">
        <f>119.1*BC13/452.4</f>
        <v>86.797679045092835</v>
      </c>
      <c r="BD15" s="388">
        <f>116*BD13/458.1</f>
        <v>87.234228334424799</v>
      </c>
      <c r="BE15" s="375">
        <f>141.1*BE13/584.5</f>
        <v>89.68118049615056</v>
      </c>
      <c r="BF15" s="443"/>
      <c r="BG15" s="42"/>
      <c r="BH15" s="443"/>
      <c r="BI15" s="375"/>
      <c r="BJ15" s="375"/>
      <c r="BK15" s="375"/>
      <c r="BL15" s="42"/>
      <c r="BM15" s="375"/>
      <c r="BN15" s="375"/>
      <c r="BO15" s="375"/>
      <c r="BP15" s="375"/>
      <c r="BQ15" s="42"/>
      <c r="BR15" s="375"/>
      <c r="BS15" s="375"/>
      <c r="BT15" s="375"/>
      <c r="BU15" s="375"/>
      <c r="BV15" s="42"/>
      <c r="BW15" s="375"/>
      <c r="BX15" s="375"/>
      <c r="BY15" s="375"/>
      <c r="BZ15" s="375"/>
      <c r="CA15" s="42"/>
      <c r="CB15" s="375"/>
      <c r="CC15" s="375"/>
      <c r="CD15" s="375"/>
      <c r="CE15" s="375"/>
      <c r="CF15" s="42"/>
      <c r="CG15" s="375"/>
      <c r="CH15" s="375"/>
      <c r="CI15" s="375"/>
      <c r="CJ15" s="375"/>
      <c r="CK15" s="42"/>
      <c r="CL15" s="375"/>
      <c r="CM15" s="375"/>
      <c r="CN15" s="375"/>
      <c r="CO15" s="375"/>
      <c r="CP15" s="42"/>
      <c r="CQ15" s="375"/>
      <c r="CR15" s="375"/>
      <c r="CS15" s="375"/>
      <c r="CT15" s="375"/>
      <c r="CU15" s="42"/>
      <c r="CV15" s="375"/>
      <c r="CW15" s="375"/>
      <c r="CX15" s="375"/>
      <c r="CY15" s="375"/>
      <c r="CZ15" s="42"/>
      <c r="DA15" s="375"/>
      <c r="DB15" s="375"/>
      <c r="DC15" s="375"/>
      <c r="DD15" s="375"/>
      <c r="DE15" s="42"/>
      <c r="DF15" s="375"/>
      <c r="DG15" s="375"/>
      <c r="DH15" s="375"/>
      <c r="DI15" s="375"/>
      <c r="DJ15" s="42"/>
      <c r="DK15" s="375"/>
      <c r="DL15" s="375"/>
      <c r="DM15" s="375"/>
      <c r="DN15" s="375"/>
      <c r="DO15" s="42"/>
      <c r="DP15" s="375"/>
      <c r="DQ15" s="375"/>
      <c r="DR15" s="375"/>
      <c r="DS15" s="375"/>
      <c r="DT15" s="42"/>
      <c r="DU15" s="375"/>
      <c r="DV15" s="375"/>
      <c r="DW15" s="375"/>
      <c r="DX15" s="375"/>
      <c r="DY15" s="42"/>
      <c r="DZ15" s="375"/>
      <c r="EA15" s="375"/>
      <c r="EB15" s="375"/>
      <c r="EC15" s="375"/>
      <c r="ED15" s="42"/>
      <c r="EE15" s="375"/>
      <c r="EF15" s="375"/>
      <c r="EG15" s="375"/>
      <c r="EH15" s="375"/>
      <c r="EI15" s="42"/>
      <c r="EJ15" s="375"/>
      <c r="EK15" s="375"/>
      <c r="EL15" s="375"/>
      <c r="EM15" s="375"/>
      <c r="EN15" s="42"/>
    </row>
    <row r="16" spans="2:157" ht="12.75" hidden="1" customHeight="1" outlineLevel="1">
      <c r="B16" s="10" t="s">
        <v>726</v>
      </c>
      <c r="D16" s="51"/>
      <c r="E16" s="375"/>
      <c r="F16" s="375"/>
      <c r="G16" s="375"/>
      <c r="H16" s="375"/>
      <c r="I16" s="42"/>
      <c r="J16" s="375"/>
      <c r="K16" s="375"/>
      <c r="L16" s="375"/>
      <c r="M16" s="375"/>
      <c r="N16" s="42"/>
      <c r="O16" s="43"/>
      <c r="P16" s="43"/>
      <c r="Q16" s="43"/>
      <c r="R16" s="43"/>
      <c r="S16" s="42"/>
      <c r="T16" s="43"/>
      <c r="U16" s="43"/>
      <c r="V16" s="43"/>
      <c r="W16" s="43"/>
      <c r="X16" s="42"/>
      <c r="Y16" s="43"/>
      <c r="Z16" s="43"/>
      <c r="AA16" s="43"/>
      <c r="AB16" s="43"/>
      <c r="AC16" s="42"/>
      <c r="AD16" s="43"/>
      <c r="AE16" s="43"/>
      <c r="AF16" s="43"/>
      <c r="AG16" s="43"/>
      <c r="AH16" s="42"/>
      <c r="AI16" s="43"/>
      <c r="AJ16" s="43"/>
      <c r="AK16" s="43"/>
      <c r="AL16" s="43"/>
      <c r="AM16" s="42"/>
      <c r="AN16" s="43">
        <f>26.242*AN13/204.657</f>
        <v>23.789197418119098</v>
      </c>
      <c r="AO16" s="43">
        <f>23.637*AO13/342.761</f>
        <v>13.899833977611223</v>
      </c>
      <c r="AP16" s="43">
        <f>30.534*AP13/253.547</f>
        <v>27.978531073134366</v>
      </c>
      <c r="AQ16" s="43">
        <f>AR16-SUM(AN16:AP16)</f>
        <v>32.231279801592876</v>
      </c>
      <c r="AR16" s="42">
        <f>120.362*AR13/1128.495</f>
        <v>97.898842270457564</v>
      </c>
      <c r="AS16" s="43">
        <f>40.467*AS13/435.478</f>
        <v>25.83672029126615</v>
      </c>
      <c r="AT16" s="43">
        <f>36.289*AT13/371.52</f>
        <v>29.867609095068907</v>
      </c>
      <c r="AU16" s="43">
        <f>34.371*AU13/356.839</f>
        <v>29.600522229913214</v>
      </c>
      <c r="AV16" s="43">
        <f t="shared" si="8"/>
        <v>38.251906129348711</v>
      </c>
      <c r="AW16" s="42">
        <f>159.409*AW13/1600.264</f>
        <v>123.55675774559698</v>
      </c>
      <c r="AX16" s="375">
        <f>40.6*AX13/362</f>
        <v>35.313588397790049</v>
      </c>
      <c r="AY16" s="375">
        <f>43.9*AY13/447.2</f>
        <v>34.215102415026834</v>
      </c>
      <c r="AZ16" s="375">
        <f>40.2*AZ13/441.595</f>
        <v>29.86986673309254</v>
      </c>
      <c r="BA16" s="375">
        <f t="shared" si="9"/>
        <v>27.146458174245851</v>
      </c>
      <c r="BB16" s="42">
        <f>166.586*BB13/1724.156</f>
        <v>126.54501572015526</v>
      </c>
      <c r="BC16" s="388">
        <f>45.1*BC13/452.4</f>
        <v>32.867970822281166</v>
      </c>
      <c r="BD16" s="388">
        <f>53.4*BD13/458.1</f>
        <v>40.157825802226583</v>
      </c>
      <c r="BE16" s="375">
        <f>49.5*BE13/584.5</f>
        <v>31.461505560307955</v>
      </c>
      <c r="BF16" s="443"/>
      <c r="BG16" s="42"/>
      <c r="BH16" s="443"/>
      <c r="BI16" s="375"/>
      <c r="BJ16" s="375"/>
      <c r="BK16" s="375"/>
      <c r="BL16" s="42"/>
      <c r="BM16" s="375"/>
      <c r="BN16" s="375"/>
      <c r="BO16" s="375"/>
      <c r="BP16" s="375"/>
      <c r="BQ16" s="42"/>
      <c r="BR16" s="375"/>
      <c r="BS16" s="375"/>
      <c r="BT16" s="375"/>
      <c r="BU16" s="375"/>
      <c r="BV16" s="42"/>
      <c r="BW16" s="375"/>
      <c r="BX16" s="375"/>
      <c r="BY16" s="375"/>
      <c r="BZ16" s="375"/>
      <c r="CA16" s="42"/>
      <c r="CB16" s="375"/>
      <c r="CC16" s="375"/>
      <c r="CD16" s="375"/>
      <c r="CE16" s="375"/>
      <c r="CF16" s="42"/>
      <c r="CG16" s="375"/>
      <c r="CH16" s="375"/>
      <c r="CI16" s="375"/>
      <c r="CJ16" s="375"/>
      <c r="CK16" s="42"/>
      <c r="CL16" s="375"/>
      <c r="CM16" s="375"/>
      <c r="CN16" s="375"/>
      <c r="CO16" s="375"/>
      <c r="CP16" s="42"/>
      <c r="CQ16" s="375"/>
      <c r="CR16" s="375"/>
      <c r="CS16" s="375"/>
      <c r="CT16" s="375"/>
      <c r="CU16" s="42"/>
      <c r="CV16" s="375"/>
      <c r="CW16" s="375"/>
      <c r="CX16" s="375"/>
      <c r="CY16" s="375"/>
      <c r="CZ16" s="42"/>
      <c r="DA16" s="375"/>
      <c r="DB16" s="375"/>
      <c r="DC16" s="375"/>
      <c r="DD16" s="375"/>
      <c r="DE16" s="42"/>
      <c r="DF16" s="375"/>
      <c r="DG16" s="375"/>
      <c r="DH16" s="375"/>
      <c r="DI16" s="375"/>
      <c r="DJ16" s="42"/>
      <c r="DK16" s="375"/>
      <c r="DL16" s="375"/>
      <c r="DM16" s="375"/>
      <c r="DN16" s="375"/>
      <c r="DO16" s="42"/>
      <c r="DP16" s="375"/>
      <c r="DQ16" s="375"/>
      <c r="DR16" s="375"/>
      <c r="DS16" s="375"/>
      <c r="DT16" s="42"/>
      <c r="DU16" s="375"/>
      <c r="DV16" s="375"/>
      <c r="DW16" s="375"/>
      <c r="DX16" s="375"/>
      <c r="DY16" s="42"/>
      <c r="DZ16" s="375"/>
      <c r="EA16" s="375"/>
      <c r="EB16" s="375"/>
      <c r="EC16" s="375"/>
      <c r="ED16" s="42"/>
      <c r="EE16" s="375"/>
      <c r="EF16" s="375"/>
      <c r="EG16" s="375"/>
      <c r="EH16" s="375"/>
      <c r="EI16" s="42"/>
      <c r="EJ16" s="375"/>
      <c r="EK16" s="375"/>
      <c r="EL16" s="375"/>
      <c r="EM16" s="375"/>
      <c r="EN16" s="42"/>
    </row>
    <row r="17" spans="2:154" ht="12.75" hidden="1" customHeight="1" outlineLevel="1">
      <c r="B17" s="10" t="s">
        <v>727</v>
      </c>
      <c r="D17" s="51"/>
      <c r="E17" s="375"/>
      <c r="F17" s="375"/>
      <c r="G17" s="375"/>
      <c r="H17" s="375"/>
      <c r="I17" s="42"/>
      <c r="J17" s="375"/>
      <c r="K17" s="375"/>
      <c r="L17" s="375"/>
      <c r="M17" s="375"/>
      <c r="N17" s="42"/>
      <c r="O17" s="43"/>
      <c r="P17" s="43"/>
      <c r="Q17" s="43"/>
      <c r="R17" s="43"/>
      <c r="S17" s="42"/>
      <c r="T17" s="43"/>
      <c r="U17" s="43"/>
      <c r="V17" s="43"/>
      <c r="W17" s="43"/>
      <c r="X17" s="42"/>
      <c r="Y17" s="43"/>
      <c r="Z17" s="43"/>
      <c r="AA17" s="43"/>
      <c r="AB17" s="43"/>
      <c r="AC17" s="42"/>
      <c r="AD17" s="43"/>
      <c r="AE17" s="43"/>
      <c r="AF17" s="43"/>
      <c r="AG17" s="43"/>
      <c r="AH17" s="42"/>
      <c r="AI17" s="43"/>
      <c r="AJ17" s="43"/>
      <c r="AK17" s="43"/>
      <c r="AL17" s="43"/>
      <c r="AM17" s="42"/>
      <c r="AN17" s="43">
        <f>4.94*AN13/204.657</f>
        <v>4.4782651949359176</v>
      </c>
      <c r="AO17" s="43">
        <f>5.112*AO13/342.761</f>
        <v>3.0061323896242573</v>
      </c>
      <c r="AP17" s="43">
        <f>5.514*AP13/253.547</f>
        <v>5.0525191700158159</v>
      </c>
      <c r="AQ17" s="43">
        <f>AR17-SUM(AN17:AP17)</f>
        <v>5.4580815537904641</v>
      </c>
      <c r="AR17" s="42">
        <f>22.124*AR13/1128.495</f>
        <v>17.994998308366455</v>
      </c>
      <c r="AS17" s="43">
        <f>5.341*AS13/435.478</f>
        <v>3.4100359076692741</v>
      </c>
      <c r="AT17" s="43">
        <f>3.657*AT13/371.52</f>
        <v>3.0098885739664087</v>
      </c>
      <c r="AU17" s="43">
        <f>5.707*AU13/356.839</f>
        <v>4.9149044358940586</v>
      </c>
      <c r="AV17" s="43">
        <f t="shared" si="8"/>
        <v>5.2645570887792204</v>
      </c>
      <c r="AW17" s="42">
        <f>21.416*AW13/1600.264</f>
        <v>16.599386006308961</v>
      </c>
      <c r="AX17" s="375">
        <f>7.8*AX13/362</f>
        <v>6.7843839779005517</v>
      </c>
      <c r="AY17" s="375">
        <f>8*AY13/447.2</f>
        <v>6.2350983899821113</v>
      </c>
      <c r="AZ17" s="375">
        <f>7.3*AZ13/441.595</f>
        <v>5.4241300286461573</v>
      </c>
      <c r="BA17" s="375">
        <f t="shared" si="9"/>
        <v>5.0428678361183401</v>
      </c>
      <c r="BB17" s="42">
        <f>30.918*BB13/1724.156</f>
        <v>23.48648023264716</v>
      </c>
      <c r="BC17" s="388">
        <f>6*BC13/452.4</f>
        <v>4.3726790450928377</v>
      </c>
      <c r="BD17" s="388">
        <f>5.5*BD13/458.1</f>
        <v>4.1361056537873822</v>
      </c>
      <c r="BE17" s="375">
        <f>7*BE13/584.5</f>
        <v>4.4491017964071853</v>
      </c>
      <c r="BF17" s="443"/>
      <c r="BG17" s="42"/>
      <c r="BH17" s="443"/>
      <c r="BI17" s="375"/>
      <c r="BJ17" s="375"/>
      <c r="BK17" s="375"/>
      <c r="BL17" s="42"/>
      <c r="BM17" s="375"/>
      <c r="BN17" s="375"/>
      <c r="BO17" s="375"/>
      <c r="BP17" s="375"/>
      <c r="BQ17" s="42"/>
      <c r="BR17" s="375"/>
      <c r="BS17" s="375"/>
      <c r="BT17" s="375"/>
      <c r="BU17" s="375"/>
      <c r="BV17" s="42"/>
      <c r="BW17" s="375"/>
      <c r="BX17" s="375"/>
      <c r="BY17" s="375"/>
      <c r="BZ17" s="375"/>
      <c r="CA17" s="42"/>
      <c r="CB17" s="375"/>
      <c r="CC17" s="375"/>
      <c r="CD17" s="375"/>
      <c r="CE17" s="375"/>
      <c r="CF17" s="42"/>
      <c r="CG17" s="375"/>
      <c r="CH17" s="375"/>
      <c r="CI17" s="375"/>
      <c r="CJ17" s="375"/>
      <c r="CK17" s="42"/>
      <c r="CL17" s="375"/>
      <c r="CM17" s="375"/>
      <c r="CN17" s="375"/>
      <c r="CO17" s="375"/>
      <c r="CP17" s="42"/>
      <c r="CQ17" s="375"/>
      <c r="CR17" s="375"/>
      <c r="CS17" s="375"/>
      <c r="CT17" s="375"/>
      <c r="CU17" s="42"/>
      <c r="CV17" s="375"/>
      <c r="CW17" s="375"/>
      <c r="CX17" s="375"/>
      <c r="CY17" s="375"/>
      <c r="CZ17" s="42"/>
      <c r="DA17" s="375"/>
      <c r="DB17" s="375"/>
      <c r="DC17" s="375"/>
      <c r="DD17" s="375"/>
      <c r="DE17" s="42"/>
      <c r="DF17" s="375"/>
      <c r="DG17" s="375"/>
      <c r="DH17" s="375"/>
      <c r="DI17" s="375"/>
      <c r="DJ17" s="42"/>
      <c r="DK17" s="375"/>
      <c r="DL17" s="375"/>
      <c r="DM17" s="375"/>
      <c r="DN17" s="375"/>
      <c r="DO17" s="42"/>
      <c r="DP17" s="375"/>
      <c r="DQ17" s="375"/>
      <c r="DR17" s="375"/>
      <c r="DS17" s="375"/>
      <c r="DT17" s="42"/>
      <c r="DU17" s="375"/>
      <c r="DV17" s="375"/>
      <c r="DW17" s="375"/>
      <c r="DX17" s="375"/>
      <c r="DY17" s="42"/>
      <c r="DZ17" s="375"/>
      <c r="EA17" s="375"/>
      <c r="EB17" s="375"/>
      <c r="EC17" s="375"/>
      <c r="ED17" s="42"/>
      <c r="EE17" s="375"/>
      <c r="EF17" s="375"/>
      <c r="EG17" s="375"/>
      <c r="EH17" s="375"/>
      <c r="EI17" s="42"/>
      <c r="EJ17" s="375"/>
      <c r="EK17" s="375"/>
      <c r="EL17" s="375"/>
      <c r="EM17" s="375"/>
      <c r="EN17" s="42"/>
    </row>
    <row r="18" spans="2:154" ht="12.75" hidden="1" customHeight="1" outlineLevel="1">
      <c r="B18" s="10" t="s">
        <v>728</v>
      </c>
      <c r="D18" s="51"/>
      <c r="E18" s="375"/>
      <c r="F18" s="375"/>
      <c r="G18" s="375"/>
      <c r="H18" s="375"/>
      <c r="I18" s="42"/>
      <c r="J18" s="375"/>
      <c r="K18" s="375"/>
      <c r="L18" s="375"/>
      <c r="M18" s="375"/>
      <c r="N18" s="42"/>
      <c r="O18" s="43"/>
      <c r="P18" s="43"/>
      <c r="Q18" s="43"/>
      <c r="R18" s="43"/>
      <c r="S18" s="42"/>
      <c r="T18" s="43"/>
      <c r="U18" s="43"/>
      <c r="V18" s="43"/>
      <c r="W18" s="43"/>
      <c r="X18" s="42"/>
      <c r="Y18" s="43"/>
      <c r="Z18" s="43"/>
      <c r="AA18" s="43"/>
      <c r="AB18" s="43"/>
      <c r="AC18" s="42"/>
      <c r="AD18" s="43"/>
      <c r="AE18" s="43"/>
      <c r="AF18" s="43"/>
      <c r="AG18" s="43"/>
      <c r="AH18" s="42"/>
      <c r="AI18" s="43"/>
      <c r="AJ18" s="43"/>
      <c r="AK18" s="43"/>
      <c r="AL18" s="43"/>
      <c r="AM18" s="42"/>
      <c r="AN18" s="43"/>
      <c r="AO18" s="43"/>
      <c r="AP18" s="43"/>
      <c r="AQ18" s="43">
        <f>AR18-SUM(AN18:AP18)</f>
        <v>106.69462565983899</v>
      </c>
      <c r="AR18" s="42">
        <f>131.176*AR13/1128.495</f>
        <v>106.69462565983899</v>
      </c>
      <c r="AS18" s="43"/>
      <c r="AT18" s="43"/>
      <c r="AU18" s="43">
        <f>32.5*AU13/356.839</f>
        <v>27.989205215797604</v>
      </c>
      <c r="AV18" s="43">
        <f t="shared" si="8"/>
        <v>98.33463359267401</v>
      </c>
      <c r="AW18" s="42">
        <f>162.979*AW13/1600.264</f>
        <v>126.32383880847162</v>
      </c>
      <c r="AX18" s="375">
        <v>0</v>
      </c>
      <c r="AY18" s="375">
        <f>76.3*AY13/447.2</f>
        <v>59.467250894454388</v>
      </c>
      <c r="AZ18" s="375">
        <f>55*AZ13/441.595</f>
        <v>40.866733092539548</v>
      </c>
      <c r="BA18" s="375">
        <f t="shared" si="9"/>
        <v>47.68143335343234</v>
      </c>
      <c r="BB18" s="42">
        <f>194.85*BB13/1724.156</f>
        <v>148.01541734042627</v>
      </c>
      <c r="BC18" s="388">
        <f>105.7*BC13/452.4</f>
        <v>77.03202917771884</v>
      </c>
      <c r="BD18" s="388">
        <f>85.2*BD13/458.1</f>
        <v>64.07203667321545</v>
      </c>
      <c r="BE18" s="375">
        <f>171.3*BE13/584.5</f>
        <v>108.875876817793</v>
      </c>
      <c r="BF18" s="443"/>
      <c r="BG18" s="42"/>
      <c r="BH18" s="443"/>
      <c r="BI18" s="375"/>
      <c r="BJ18" s="375"/>
      <c r="BK18" s="375"/>
      <c r="BL18" s="42"/>
      <c r="BM18" s="375"/>
      <c r="BN18" s="375"/>
      <c r="BO18" s="375"/>
      <c r="BP18" s="375"/>
      <c r="BQ18" s="42"/>
      <c r="BR18" s="375"/>
      <c r="BS18" s="375"/>
      <c r="BT18" s="375"/>
      <c r="BU18" s="375"/>
      <c r="BV18" s="42"/>
      <c r="BW18" s="375"/>
      <c r="BX18" s="375"/>
      <c r="BY18" s="375"/>
      <c r="BZ18" s="375"/>
      <c r="CA18" s="42"/>
      <c r="CB18" s="375"/>
      <c r="CC18" s="375"/>
      <c r="CD18" s="375"/>
      <c r="CE18" s="375"/>
      <c r="CF18" s="42"/>
      <c r="CG18" s="375"/>
      <c r="CH18" s="375"/>
      <c r="CI18" s="375"/>
      <c r="CJ18" s="375"/>
      <c r="CK18" s="42"/>
      <c r="CL18" s="375"/>
      <c r="CM18" s="375"/>
      <c r="CN18" s="375"/>
      <c r="CO18" s="375"/>
      <c r="CP18" s="42"/>
      <c r="CQ18" s="375"/>
      <c r="CR18" s="375"/>
      <c r="CS18" s="375"/>
      <c r="CT18" s="375"/>
      <c r="CU18" s="42"/>
      <c r="CV18" s="375"/>
      <c r="CW18" s="375"/>
      <c r="CX18" s="375"/>
      <c r="CY18" s="375"/>
      <c r="CZ18" s="42"/>
      <c r="DA18" s="375"/>
      <c r="DB18" s="375"/>
      <c r="DC18" s="375"/>
      <c r="DD18" s="375"/>
      <c r="DE18" s="42"/>
      <c r="DF18" s="375"/>
      <c r="DG18" s="375"/>
      <c r="DH18" s="375"/>
      <c r="DI18" s="375"/>
      <c r="DJ18" s="42"/>
      <c r="DK18" s="375"/>
      <c r="DL18" s="375"/>
      <c r="DM18" s="375"/>
      <c r="DN18" s="375"/>
      <c r="DO18" s="42"/>
      <c r="DP18" s="375"/>
      <c r="DQ18" s="375"/>
      <c r="DR18" s="375"/>
      <c r="DS18" s="375"/>
      <c r="DT18" s="42"/>
      <c r="DU18" s="375"/>
      <c r="DV18" s="375"/>
      <c r="DW18" s="375"/>
      <c r="DX18" s="375"/>
      <c r="DY18" s="42"/>
      <c r="DZ18" s="375"/>
      <c r="EA18" s="375"/>
      <c r="EB18" s="375"/>
      <c r="EC18" s="375"/>
      <c r="ED18" s="42"/>
      <c r="EE18" s="375"/>
      <c r="EF18" s="375"/>
      <c r="EG18" s="375"/>
      <c r="EH18" s="375"/>
      <c r="EI18" s="42"/>
      <c r="EJ18" s="375"/>
      <c r="EK18" s="375"/>
      <c r="EL18" s="375"/>
      <c r="EM18" s="375"/>
      <c r="EN18" s="42"/>
    </row>
    <row r="19" spans="2:154" ht="12.75" hidden="1" customHeight="1" outlineLevel="1">
      <c r="B19" s="10" t="s">
        <v>729</v>
      </c>
      <c r="D19" s="51"/>
      <c r="E19" s="375"/>
      <c r="F19" s="375"/>
      <c r="G19" s="375"/>
      <c r="H19" s="375"/>
      <c r="I19" s="42"/>
      <c r="J19" s="375"/>
      <c r="K19" s="375"/>
      <c r="L19" s="375"/>
      <c r="M19" s="375"/>
      <c r="N19" s="42"/>
      <c r="O19" s="43"/>
      <c r="P19" s="43"/>
      <c r="Q19" s="43"/>
      <c r="R19" s="43"/>
      <c r="S19" s="42"/>
      <c r="T19" s="43"/>
      <c r="U19" s="43"/>
      <c r="V19" s="43"/>
      <c r="W19" s="43"/>
      <c r="X19" s="42"/>
      <c r="Y19" s="43"/>
      <c r="Z19" s="43"/>
      <c r="AA19" s="43"/>
      <c r="AB19" s="43"/>
      <c r="AC19" s="42"/>
      <c r="AD19" s="43"/>
      <c r="AE19" s="43"/>
      <c r="AF19" s="43"/>
      <c r="AG19" s="43"/>
      <c r="AH19" s="42"/>
      <c r="AI19" s="43"/>
      <c r="AJ19" s="43"/>
      <c r="AK19" s="43"/>
      <c r="AL19" s="43"/>
      <c r="AM19" s="42"/>
      <c r="AN19" s="43"/>
      <c r="AO19" s="43"/>
      <c r="AP19" s="43"/>
      <c r="AQ19" s="43"/>
      <c r="AR19" s="42"/>
      <c r="AS19" s="43"/>
      <c r="AT19" s="43"/>
      <c r="AU19" s="43"/>
      <c r="AV19" s="43">
        <f t="shared" si="8"/>
        <v>91.460942694455426</v>
      </c>
      <c r="AW19" s="42">
        <f>118*AW13/1600.264</f>
        <v>91.460942694455426</v>
      </c>
      <c r="AX19" s="375">
        <f>22.2*AX13/362</f>
        <v>19.309400552486185</v>
      </c>
      <c r="AY19" s="389">
        <v>0</v>
      </c>
      <c r="AZ19" s="375">
        <f>31.1*AZ13/441.595</f>
        <v>23.108279985054178</v>
      </c>
      <c r="BA19" s="375">
        <f t="shared" si="9"/>
        <v>50.644781679335594</v>
      </c>
      <c r="BB19" s="42">
        <f>122.509*BB13/1724.156</f>
        <v>93.062462216875957</v>
      </c>
      <c r="BC19" s="387">
        <v>0</v>
      </c>
      <c r="BD19" s="389">
        <v>0</v>
      </c>
      <c r="BE19" s="389">
        <v>0</v>
      </c>
      <c r="BF19" s="443"/>
      <c r="BG19" s="42"/>
      <c r="BH19" s="443"/>
      <c r="BI19" s="375"/>
      <c r="BJ19" s="375"/>
      <c r="BK19" s="375"/>
      <c r="BL19" s="42"/>
      <c r="BM19" s="375"/>
      <c r="BN19" s="375"/>
      <c r="BO19" s="375"/>
      <c r="BP19" s="375"/>
      <c r="BQ19" s="42"/>
      <c r="BR19" s="375"/>
      <c r="BS19" s="375"/>
      <c r="BT19" s="375"/>
      <c r="BU19" s="375"/>
      <c r="BV19" s="42"/>
      <c r="BW19" s="375"/>
      <c r="BX19" s="375"/>
      <c r="BY19" s="375"/>
      <c r="BZ19" s="375"/>
      <c r="CA19" s="42"/>
      <c r="CB19" s="375"/>
      <c r="CC19" s="375"/>
      <c r="CD19" s="375"/>
      <c r="CE19" s="375"/>
      <c r="CF19" s="42"/>
      <c r="CG19" s="375"/>
      <c r="CH19" s="375"/>
      <c r="CI19" s="375"/>
      <c r="CJ19" s="375"/>
      <c r="CK19" s="42"/>
      <c r="CL19" s="375"/>
      <c r="CM19" s="375"/>
      <c r="CN19" s="375"/>
      <c r="CO19" s="375"/>
      <c r="CP19" s="42"/>
      <c r="CQ19" s="375"/>
      <c r="CR19" s="375"/>
      <c r="CS19" s="375"/>
      <c r="CT19" s="375"/>
      <c r="CU19" s="42"/>
      <c r="CV19" s="375"/>
      <c r="CW19" s="375"/>
      <c r="CX19" s="375"/>
      <c r="CY19" s="375"/>
      <c r="CZ19" s="42"/>
      <c r="DA19" s="375"/>
      <c r="DB19" s="375"/>
      <c r="DC19" s="375"/>
      <c r="DD19" s="375"/>
      <c r="DE19" s="42"/>
      <c r="DF19" s="375"/>
      <c r="DG19" s="375"/>
      <c r="DH19" s="375"/>
      <c r="DI19" s="375"/>
      <c r="DJ19" s="42"/>
      <c r="DK19" s="375"/>
      <c r="DL19" s="375"/>
      <c r="DM19" s="375"/>
      <c r="DN19" s="375"/>
      <c r="DO19" s="42"/>
      <c r="DP19" s="375"/>
      <c r="DQ19" s="375"/>
      <c r="DR19" s="375"/>
      <c r="DS19" s="375"/>
      <c r="DT19" s="42"/>
      <c r="DU19" s="375"/>
      <c r="DV19" s="375"/>
      <c r="DW19" s="375"/>
      <c r="DX19" s="375"/>
      <c r="DY19" s="42"/>
      <c r="DZ19" s="375"/>
      <c r="EA19" s="375"/>
      <c r="EB19" s="375"/>
      <c r="EC19" s="375"/>
      <c r="ED19" s="42"/>
      <c r="EE19" s="375"/>
      <c r="EF19" s="375"/>
      <c r="EG19" s="375"/>
      <c r="EH19" s="375"/>
      <c r="EI19" s="42"/>
      <c r="EJ19" s="375"/>
      <c r="EK19" s="375"/>
      <c r="EL19" s="375"/>
      <c r="EM19" s="375"/>
      <c r="EN19" s="42"/>
    </row>
    <row r="20" spans="2:154" collapsed="1">
      <c r="B20" s="71" t="s">
        <v>193</v>
      </c>
      <c r="C20" s="71"/>
      <c r="D20" s="85">
        <f t="shared" ref="D20:S20" si="10">D10-D12-D13</f>
        <v>-36.216999999999999</v>
      </c>
      <c r="E20" s="390">
        <f t="shared" si="10"/>
        <v>-3.6670000000000016</v>
      </c>
      <c r="F20" s="390">
        <f t="shared" si="10"/>
        <v>-0.76499999999999702</v>
      </c>
      <c r="G20" s="390">
        <f t="shared" si="10"/>
        <v>0.90600000000001302</v>
      </c>
      <c r="H20" s="390">
        <f t="shared" si="10"/>
        <v>4.7660000000000267</v>
      </c>
      <c r="I20" s="85">
        <f t="shared" si="10"/>
        <v>1.2400000000000091</v>
      </c>
      <c r="J20" s="390">
        <f t="shared" si="10"/>
        <v>4.8140000000000072</v>
      </c>
      <c r="K20" s="390">
        <f t="shared" si="10"/>
        <v>9.2989999999999924</v>
      </c>
      <c r="L20" s="390">
        <f t="shared" si="10"/>
        <v>18.397999999999989</v>
      </c>
      <c r="M20" s="390">
        <f t="shared" si="10"/>
        <v>10.21700000000002</v>
      </c>
      <c r="N20" s="85">
        <f t="shared" si="10"/>
        <v>42.728000000000009</v>
      </c>
      <c r="O20" s="82">
        <f t="shared" si="10"/>
        <v>23.16500000000002</v>
      </c>
      <c r="P20" s="82">
        <f t="shared" si="10"/>
        <v>38.138000000000027</v>
      </c>
      <c r="Q20" s="82">
        <f t="shared" si="10"/>
        <v>9.9529999999999959</v>
      </c>
      <c r="R20" s="82">
        <f t="shared" si="10"/>
        <v>14.09699999999993</v>
      </c>
      <c r="S20" s="85">
        <f t="shared" si="10"/>
        <v>85.353000000000009</v>
      </c>
      <c r="T20" s="82">
        <f t="shared" ref="T20:BF20" si="11">T10-T12-T13</f>
        <v>47.262999999999998</v>
      </c>
      <c r="U20" s="82">
        <f t="shared" si="11"/>
        <v>53.36399999999999</v>
      </c>
      <c r="V20" s="82">
        <f t="shared" si="11"/>
        <v>79.360000000000014</v>
      </c>
      <c r="W20" s="82">
        <f t="shared" si="11"/>
        <v>79.432000000000002</v>
      </c>
      <c r="X20" s="85">
        <f t="shared" si="11"/>
        <v>259.41900000000004</v>
      </c>
      <c r="Y20" s="82">
        <f t="shared" si="11"/>
        <v>96.151999999999944</v>
      </c>
      <c r="Z20" s="82">
        <f t="shared" si="11"/>
        <v>129.71099999999996</v>
      </c>
      <c r="AA20" s="82">
        <f t="shared" si="11"/>
        <v>145.964</v>
      </c>
      <c r="AB20" s="82">
        <f t="shared" si="11"/>
        <v>156.52300000000002</v>
      </c>
      <c r="AC20" s="85">
        <f t="shared" si="11"/>
        <v>528.34999999999968</v>
      </c>
      <c r="AD20" s="82">
        <f t="shared" si="11"/>
        <v>188.36000000000007</v>
      </c>
      <c r="AE20" s="82">
        <f t="shared" si="11"/>
        <v>206.988</v>
      </c>
      <c r="AF20" s="82">
        <f t="shared" si="11"/>
        <v>224.51300000000003</v>
      </c>
      <c r="AG20" s="82">
        <f t="shared" si="11"/>
        <v>228.32200000000003</v>
      </c>
      <c r="AH20" s="85">
        <f t="shared" si="11"/>
        <v>848.18300000000011</v>
      </c>
      <c r="AI20" s="82">
        <f t="shared" si="11"/>
        <v>217.26000000000013</v>
      </c>
      <c r="AJ20" s="82">
        <f t="shared" si="11"/>
        <v>252.26700000000014</v>
      </c>
      <c r="AK20" s="82">
        <f t="shared" si="11"/>
        <v>291.88900000000001</v>
      </c>
      <c r="AL20" s="82">
        <f t="shared" si="11"/>
        <v>337.18699999999978</v>
      </c>
      <c r="AM20" s="85">
        <f t="shared" si="11"/>
        <v>1098.6030000000001</v>
      </c>
      <c r="AN20" s="82">
        <f t="shared" si="11"/>
        <v>359.1959999999998</v>
      </c>
      <c r="AO20" s="82">
        <f t="shared" si="11"/>
        <v>389.75900000000001</v>
      </c>
      <c r="AP20" s="82">
        <f t="shared" si="11"/>
        <v>409.31100000000015</v>
      </c>
      <c r="AQ20" s="82">
        <f t="shared" si="11"/>
        <v>435.46</v>
      </c>
      <c r="AR20" s="85">
        <f t="shared" si="11"/>
        <v>1593.7259999999997</v>
      </c>
      <c r="AS20" s="93">
        <f t="shared" si="11"/>
        <v>486.43199999999979</v>
      </c>
      <c r="AT20" s="82">
        <f t="shared" si="11"/>
        <v>518.202</v>
      </c>
      <c r="AU20" s="82">
        <f t="shared" si="11"/>
        <v>583.78699999999992</v>
      </c>
      <c r="AV20" s="82">
        <f t="shared" si="11"/>
        <v>583.40799999999979</v>
      </c>
      <c r="AW20" s="85">
        <f t="shared" si="11"/>
        <v>2171.8290000000002</v>
      </c>
      <c r="AX20" s="390">
        <f t="shared" si="11"/>
        <v>588.40800000000013</v>
      </c>
      <c r="AY20" s="390">
        <f t="shared" si="11"/>
        <v>652.82900000000006</v>
      </c>
      <c r="AZ20" s="390">
        <f t="shared" si="11"/>
        <v>697.28600000000017</v>
      </c>
      <c r="BA20" s="390">
        <f t="shared" si="11"/>
        <v>712.86800000000028</v>
      </c>
      <c r="BB20" s="85">
        <f t="shared" si="11"/>
        <v>2651.3909999999996</v>
      </c>
      <c r="BC20" s="390">
        <f t="shared" si="11"/>
        <v>724</v>
      </c>
      <c r="BD20" s="390">
        <f t="shared" si="11"/>
        <v>793.5</v>
      </c>
      <c r="BE20" s="390">
        <f t="shared" si="11"/>
        <v>818.30000000000018</v>
      </c>
      <c r="BF20" s="726">
        <f t="shared" si="11"/>
        <v>808.59999999999991</v>
      </c>
      <c r="BG20" s="85">
        <f t="shared" ref="BG20:CE20" si="12">BG10-BG12-BG13</f>
        <v>3121.5000000000009</v>
      </c>
      <c r="BH20" s="726">
        <f t="shared" si="12"/>
        <v>874.5</v>
      </c>
      <c r="BI20" s="390">
        <f t="shared" si="12"/>
        <v>942.5</v>
      </c>
      <c r="BJ20" s="390">
        <f>BJ10-BJ12-BJ13</f>
        <v>1030.9999999999998</v>
      </c>
      <c r="BK20" s="390">
        <f t="shared" si="12"/>
        <v>1033.4000000000001</v>
      </c>
      <c r="BL20" s="85">
        <f t="shared" si="12"/>
        <v>3881.3999999999996</v>
      </c>
      <c r="BM20" s="726">
        <f t="shared" si="12"/>
        <v>1089.4000000000003</v>
      </c>
      <c r="BN20" s="390">
        <f t="shared" si="12"/>
        <v>1167.4000000000005</v>
      </c>
      <c r="BO20" s="390">
        <f>BO10-BO12-BO13</f>
        <v>1271.0999999999999</v>
      </c>
      <c r="BP20" s="390">
        <f t="shared" si="12"/>
        <v>1284.1999999999998</v>
      </c>
      <c r="BQ20" s="85">
        <f t="shared" si="12"/>
        <v>4812.1000000000004</v>
      </c>
      <c r="BR20" s="390">
        <f t="shared" si="12"/>
        <v>1355.9999999999998</v>
      </c>
      <c r="BS20" s="390">
        <f t="shared" si="12"/>
        <v>1504.1</v>
      </c>
      <c r="BT20" s="390">
        <f t="shared" si="12"/>
        <v>1648.1999999999991</v>
      </c>
      <c r="BU20" s="390">
        <f t="shared" si="12"/>
        <v>1668.3999999999996</v>
      </c>
      <c r="BV20" s="85">
        <f>BV10-BV12-BV13</f>
        <v>6176.6999999999989</v>
      </c>
      <c r="BW20" s="390">
        <f t="shared" si="12"/>
        <v>1720</v>
      </c>
      <c r="BX20" s="390">
        <f t="shared" si="12"/>
        <v>1943</v>
      </c>
      <c r="BY20" s="390">
        <f t="shared" si="12"/>
        <v>1962</v>
      </c>
      <c r="BZ20" s="390">
        <f t="shared" si="12"/>
        <v>1918</v>
      </c>
      <c r="CA20" s="85">
        <f>CA10-CA12-CA13</f>
        <v>7543</v>
      </c>
      <c r="CB20" s="390">
        <f t="shared" si="12"/>
        <v>1942.2844282717188</v>
      </c>
      <c r="CC20" s="390">
        <f t="shared" si="12"/>
        <v>2102.2590198134776</v>
      </c>
      <c r="CD20" s="390">
        <f t="shared" si="12"/>
        <v>2124.768812628467</v>
      </c>
      <c r="CE20" s="390">
        <f t="shared" si="12"/>
        <v>2237.3907556364247</v>
      </c>
      <c r="CF20" s="85">
        <f>CF10-CF12-CF13</f>
        <v>8406.7030163500876</v>
      </c>
      <c r="CG20" s="390"/>
      <c r="CH20" s="390"/>
      <c r="CI20" s="390"/>
      <c r="CJ20" s="390"/>
      <c r="CK20" s="85">
        <f>CK10-CK12-CK13</f>
        <v>9686.8051523523645</v>
      </c>
      <c r="CL20" s="390"/>
      <c r="CM20" s="390"/>
      <c r="CN20" s="390"/>
      <c r="CO20" s="390"/>
      <c r="CP20" s="85">
        <f>CP10-CP12-CP13</f>
        <v>11253.25443248569</v>
      </c>
      <c r="CQ20" s="390"/>
      <c r="CR20" s="390"/>
      <c r="CS20" s="390"/>
      <c r="CT20" s="390"/>
      <c r="CU20" s="85">
        <f>CU10-CU12-CU13</f>
        <v>12956.109992354915</v>
      </c>
      <c r="CV20" s="390"/>
      <c r="CW20" s="390"/>
      <c r="CX20" s="390"/>
      <c r="CY20" s="390"/>
      <c r="CZ20" s="85">
        <f>CZ10-CZ12-CZ13</f>
        <v>13923.548154828166</v>
      </c>
      <c r="DA20" s="390"/>
      <c r="DB20" s="390"/>
      <c r="DC20" s="390"/>
      <c r="DD20" s="390"/>
      <c r="DE20" s="85">
        <f>DE10-DE12-DE13</f>
        <v>14144.388739672271</v>
      </c>
      <c r="DF20" s="390"/>
      <c r="DG20" s="390"/>
      <c r="DH20" s="390"/>
      <c r="DI20" s="390"/>
      <c r="DJ20" s="85">
        <f>DJ10-DJ12-DJ13</f>
        <v>13744.664656605763</v>
      </c>
      <c r="DK20" s="390"/>
      <c r="DL20" s="390"/>
      <c r="DM20" s="390"/>
      <c r="DN20" s="390"/>
      <c r="DO20" s="85">
        <f>DO10-DO12-DO13</f>
        <v>11073.190395101979</v>
      </c>
      <c r="DP20" s="390"/>
      <c r="DQ20" s="390"/>
      <c r="DR20" s="390"/>
      <c r="DS20" s="390"/>
      <c r="DT20" s="85">
        <f>DT10-DT12-DT13</f>
        <v>6723.9463355719718</v>
      </c>
      <c r="DU20" s="390"/>
      <c r="DV20" s="390"/>
      <c r="DW20" s="390"/>
      <c r="DX20" s="390"/>
      <c r="DY20" s="85">
        <f>DY10-DY12-DY13</f>
        <v>5150.5285424411459</v>
      </c>
      <c r="DZ20" s="390"/>
      <c r="EA20" s="390"/>
      <c r="EB20" s="390"/>
      <c r="EC20" s="390"/>
      <c r="ED20" s="85">
        <f>ED10-ED12-ED13</f>
        <v>4896.6599852719564</v>
      </c>
      <c r="EE20" s="390"/>
      <c r="EF20" s="390"/>
      <c r="EG20" s="390"/>
      <c r="EH20" s="390"/>
      <c r="EI20" s="85">
        <f>EI10-EI12-EI13</f>
        <v>4825.5464990053442</v>
      </c>
      <c r="EJ20" s="390"/>
      <c r="EK20" s="390"/>
      <c r="EL20" s="390"/>
      <c r="EM20" s="390"/>
      <c r="EN20" s="85">
        <f>EN10-EN12-EN13</f>
        <v>3484.846831170079</v>
      </c>
    </row>
    <row r="21" spans="2:154">
      <c r="D21" s="51"/>
      <c r="E21" s="375"/>
      <c r="F21" s="375"/>
      <c r="G21" s="375"/>
      <c r="H21" s="375"/>
      <c r="J21" s="375"/>
      <c r="K21" s="375"/>
      <c r="L21" s="375"/>
      <c r="M21" s="375"/>
      <c r="O21" s="43"/>
      <c r="P21" s="43"/>
      <c r="Q21" s="43"/>
      <c r="R21" s="43"/>
      <c r="T21" s="43"/>
      <c r="U21" s="43"/>
      <c r="V21" s="43"/>
      <c r="W21" s="43"/>
      <c r="Y21" s="43"/>
      <c r="Z21" s="43"/>
      <c r="AA21" s="43"/>
      <c r="AB21" s="43"/>
      <c r="AD21" s="43"/>
      <c r="AE21" s="43"/>
      <c r="AF21" s="43"/>
      <c r="AG21" s="43"/>
      <c r="AI21" s="43"/>
      <c r="AJ21" s="43"/>
      <c r="AK21" s="43"/>
      <c r="AL21" s="43"/>
      <c r="AN21" s="43"/>
      <c r="AO21" s="43"/>
      <c r="AP21" s="43"/>
      <c r="AQ21" s="43"/>
      <c r="AS21" s="43"/>
      <c r="AT21" s="43"/>
      <c r="AU21" s="43"/>
      <c r="AV21" s="43"/>
      <c r="AW21" s="42"/>
      <c r="AX21" s="375"/>
      <c r="AY21" s="375"/>
      <c r="AZ21" s="375"/>
      <c r="BA21" s="375"/>
      <c r="BC21" s="387"/>
      <c r="BD21" s="387"/>
      <c r="BE21" s="375"/>
      <c r="BF21" s="622"/>
      <c r="BH21" s="387"/>
      <c r="BI21" s="387"/>
      <c r="BJ21" s="387"/>
      <c r="BK21" s="387"/>
      <c r="BM21" s="387"/>
      <c r="BN21" s="387"/>
      <c r="BO21" s="387"/>
      <c r="BP21" s="388"/>
      <c r="BQ21" s="952"/>
      <c r="BR21" s="387"/>
      <c r="BS21" s="387"/>
      <c r="BT21" s="387"/>
      <c r="BU21" s="387"/>
      <c r="BW21" s="387"/>
      <c r="BX21" s="387"/>
      <c r="BY21" s="387"/>
      <c r="BZ21" s="387"/>
      <c r="CB21" s="387"/>
      <c r="CC21" s="387"/>
      <c r="CD21" s="387"/>
      <c r="CE21" s="387"/>
      <c r="CG21" s="387"/>
      <c r="CH21" s="387"/>
      <c r="CI21" s="387"/>
      <c r="CJ21" s="387"/>
      <c r="CL21" s="387"/>
      <c r="CM21" s="387"/>
      <c r="CN21" s="387"/>
      <c r="CO21" s="387"/>
      <c r="CQ21" s="387"/>
      <c r="CR21" s="387"/>
      <c r="CS21" s="387"/>
      <c r="CT21" s="387"/>
      <c r="CV21" s="387"/>
      <c r="CW21" s="387"/>
      <c r="CX21" s="387"/>
      <c r="CY21" s="387"/>
      <c r="DA21" s="387"/>
      <c r="DB21" s="387"/>
      <c r="DC21" s="387"/>
      <c r="DD21" s="387"/>
      <c r="DF21" s="387"/>
      <c r="DG21" s="387"/>
      <c r="DH21" s="387"/>
      <c r="DI21" s="387"/>
      <c r="DK21" s="387"/>
      <c r="DL21" s="387"/>
      <c r="DM21" s="387"/>
      <c r="DN21" s="387"/>
      <c r="DP21" s="387"/>
      <c r="DQ21" s="387"/>
      <c r="DR21" s="387"/>
      <c r="DS21" s="387"/>
      <c r="DU21" s="387"/>
      <c r="DV21" s="387"/>
      <c r="DW21" s="387"/>
      <c r="DX21" s="387"/>
      <c r="DZ21" s="387"/>
      <c r="EA21" s="387"/>
      <c r="EB21" s="387"/>
      <c r="EC21" s="387"/>
      <c r="EE21" s="387"/>
      <c r="EF21" s="387"/>
      <c r="EG21" s="387"/>
      <c r="EH21" s="387"/>
      <c r="EJ21" s="387"/>
      <c r="EK21" s="387"/>
      <c r="EL21" s="387"/>
      <c r="EM21" s="387"/>
    </row>
    <row r="22" spans="2:154" hidden="1" outlineLevel="1">
      <c r="B22" s="10" t="s">
        <v>214</v>
      </c>
      <c r="C22" s="10"/>
      <c r="D22" s="51">
        <v>23.058</v>
      </c>
      <c r="E22" s="375">
        <v>4.7549999999999999</v>
      </c>
      <c r="F22" s="375">
        <v>4.4630000000000001</v>
      </c>
      <c r="G22" s="375">
        <v>6.4390000000000001</v>
      </c>
      <c r="H22" s="375">
        <v>6.1379999999999999</v>
      </c>
      <c r="I22" s="12">
        <f>SUM(E22:H22)</f>
        <v>21.795000000000002</v>
      </c>
      <c r="J22" s="375">
        <v>7.2889999999999997</v>
      </c>
      <c r="K22" s="375">
        <f>-3.161+K74</f>
        <v>6.6880000000000006</v>
      </c>
      <c r="L22" s="375">
        <f>4.972+L74</f>
        <v>7.218</v>
      </c>
      <c r="M22" s="375">
        <f>N22-J22-K22-L22</f>
        <v>12.937000000000001</v>
      </c>
      <c r="N22" s="12">
        <f>29.994+1.922+N74</f>
        <v>34.132000000000005</v>
      </c>
      <c r="O22" s="43">
        <f>-1.178+O74</f>
        <v>5.6970000000000001</v>
      </c>
      <c r="P22" s="43">
        <v>6.7160000000000002</v>
      </c>
      <c r="Q22" s="43">
        <v>6.9790000000000001</v>
      </c>
      <c r="R22" s="43">
        <f>S22-O22-P22-Q22</f>
        <v>4.5309999999999979</v>
      </c>
      <c r="S22" s="12">
        <f>17.048+S74</f>
        <v>23.922999999999998</v>
      </c>
      <c r="T22" s="43">
        <v>4.6509999999999998</v>
      </c>
      <c r="U22" s="43">
        <v>8.1980000000000004</v>
      </c>
      <c r="V22" s="43">
        <v>9.2530000000000001</v>
      </c>
      <c r="W22" s="43">
        <f>X22-T22-U22-V22</f>
        <v>18.249999999999993</v>
      </c>
      <c r="X22" s="12">
        <v>40.351999999999997</v>
      </c>
      <c r="Y22" s="43">
        <v>24.774000000000001</v>
      </c>
      <c r="Z22" s="43">
        <v>26.376000000000001</v>
      </c>
      <c r="AA22" s="43">
        <v>28.295999999999999</v>
      </c>
      <c r="AB22" s="43">
        <f>AC22-Y22-Z22-AA22</f>
        <v>30.366999999999997</v>
      </c>
      <c r="AC22" s="12">
        <v>109.813</v>
      </c>
      <c r="AD22" s="43">
        <v>29.623000000000001</v>
      </c>
      <c r="AE22" s="43">
        <v>19.853000000000002</v>
      </c>
      <c r="AF22" s="43">
        <v>19.678000000000001</v>
      </c>
      <c r="AG22" s="43">
        <f>AH22-AD22-AE22-AF22</f>
        <v>15.680999999999987</v>
      </c>
      <c r="AH22" s="12">
        <v>84.834999999999994</v>
      </c>
      <c r="AI22" s="43">
        <v>17.452999999999999</v>
      </c>
      <c r="AJ22" s="43">
        <v>24.071999999999999</v>
      </c>
      <c r="AK22" s="43">
        <v>20.468</v>
      </c>
      <c r="AL22" s="43">
        <f>AM22-AI22-AJ22-AK22</f>
        <v>14.791999999999991</v>
      </c>
      <c r="AM22" s="12">
        <f>76.785</f>
        <v>76.784999999999997</v>
      </c>
      <c r="AN22" s="43">
        <v>14.084</v>
      </c>
      <c r="AO22" s="43">
        <v>10.125</v>
      </c>
      <c r="AP22" s="43">
        <v>12.801</v>
      </c>
      <c r="AQ22" s="43">
        <f>AR22-AN22-AO22-AP22</f>
        <v>7.7469999999999981</v>
      </c>
      <c r="AR22" s="12">
        <v>44.756999999999998</v>
      </c>
      <c r="AS22" s="43">
        <v>4.5220000000000002</v>
      </c>
      <c r="AT22" s="43">
        <v>5.9450000000000003</v>
      </c>
      <c r="AU22" s="43">
        <v>8.4809999999999999</v>
      </c>
      <c r="AV22" s="43">
        <f>AW22-AS22-AT22-AU22</f>
        <v>6.9120000000000008</v>
      </c>
      <c r="AW22" s="12">
        <v>25.86</v>
      </c>
      <c r="AX22" s="375">
        <v>3.7080000000000002</v>
      </c>
      <c r="AY22" s="375">
        <v>3.1080000000000001</v>
      </c>
      <c r="AZ22" s="375">
        <v>2.7450000000000001</v>
      </c>
      <c r="BA22" s="375">
        <f>BB22-AX22-AY22-AZ22</f>
        <v>5.698999999999999</v>
      </c>
      <c r="BB22" s="12">
        <v>15.26</v>
      </c>
      <c r="BC22" s="387">
        <v>4.8</v>
      </c>
      <c r="BD22" s="387">
        <v>4.5</v>
      </c>
      <c r="BE22" s="375">
        <v>5.3</v>
      </c>
      <c r="BF22" s="443">
        <v>5</v>
      </c>
      <c r="BG22" s="12">
        <f>SUM(BC22:BF22)</f>
        <v>19.600000000000001</v>
      </c>
      <c r="BH22" s="391">
        <v>7.1</v>
      </c>
      <c r="BI22" s="391">
        <v>7.1</v>
      </c>
      <c r="BJ22" s="376">
        <v>6.9</v>
      </c>
      <c r="BK22" s="391">
        <v>7.6</v>
      </c>
      <c r="BL22" s="12">
        <f>SUM(BH22:BK22)</f>
        <v>28.700000000000003</v>
      </c>
      <c r="BM22" s="391">
        <v>9</v>
      </c>
      <c r="BN22" s="391">
        <v>8.8000000000000007</v>
      </c>
      <c r="BO22" s="391">
        <v>8.6</v>
      </c>
      <c r="BP22" s="391">
        <v>4.7</v>
      </c>
      <c r="BQ22" s="12">
        <f>SUM(BM22:BP22)</f>
        <v>31.099999999999998</v>
      </c>
      <c r="BR22" s="391">
        <v>6.8</v>
      </c>
      <c r="BS22" s="391">
        <v>7.2</v>
      </c>
      <c r="BT22" s="391">
        <v>7.3</v>
      </c>
      <c r="BU22" s="391">
        <v>9</v>
      </c>
      <c r="BV22" s="12">
        <f>SUM(BR22:BU22)</f>
        <v>30.3</v>
      </c>
      <c r="BW22" s="391">
        <v>15</v>
      </c>
      <c r="BX22" s="391">
        <v>24</v>
      </c>
      <c r="BY22" s="376">
        <v>33</v>
      </c>
      <c r="BZ22" s="376">
        <v>33</v>
      </c>
      <c r="CA22" s="12">
        <f>SUM(BW22:BZ22)</f>
        <v>105</v>
      </c>
      <c r="CB22" s="388">
        <v>12.5</v>
      </c>
      <c r="CC22" s="388">
        <f>CB22*1.025</f>
        <v>12.812499999999998</v>
      </c>
      <c r="CD22" s="375">
        <f>CC22*1.025</f>
        <v>13.132812499999996</v>
      </c>
      <c r="CE22" s="375">
        <f>CF22-SUM(CB22:CD22)</f>
        <v>21.764687500000001</v>
      </c>
      <c r="CF22" s="12">
        <f>0.005*(BS!R3+BS!R4)</f>
        <v>60.21</v>
      </c>
      <c r="CG22" s="388"/>
      <c r="CH22" s="388"/>
      <c r="CI22" s="375"/>
      <c r="CJ22" s="375"/>
      <c r="CK22" s="12">
        <f>0.005*(BS!S3+BS!S4)</f>
        <v>23.214763869409108</v>
      </c>
      <c r="CL22" s="388"/>
      <c r="CM22" s="388"/>
      <c r="CN22" s="375"/>
      <c r="CO22" s="375"/>
      <c r="CP22" s="12">
        <f>0.005*(BS!T3+BS!T4)</f>
        <v>35.733617636363142</v>
      </c>
      <c r="CQ22" s="388"/>
      <c r="CR22" s="388"/>
      <c r="CS22" s="375"/>
      <c r="CT22" s="375"/>
      <c r="CU22" s="12">
        <f>0.005*(BS!U3+BS!U4)</f>
        <v>34.953978089527709</v>
      </c>
      <c r="CV22" s="388"/>
      <c r="CW22" s="388"/>
      <c r="CX22" s="375"/>
      <c r="CY22" s="375"/>
      <c r="CZ22" s="12">
        <f>0.005*(BS!V3+BS!V4)</f>
        <v>54.772598379607388</v>
      </c>
      <c r="DA22" s="388"/>
      <c r="DB22" s="388"/>
      <c r="DC22" s="375"/>
      <c r="DD22" s="375"/>
      <c r="DE22" s="12">
        <f>0.005*(BS!W3+BS!W4)</f>
        <v>68.670519076243551</v>
      </c>
      <c r="DF22" s="388"/>
      <c r="DG22" s="388"/>
      <c r="DH22" s="375"/>
      <c r="DI22" s="375"/>
      <c r="DJ22" s="12">
        <f>0.005*(BS!X3+BS!X4)</f>
        <v>86.774573148796264</v>
      </c>
      <c r="DK22" s="388"/>
      <c r="DL22" s="388"/>
      <c r="DM22" s="375"/>
      <c r="DN22" s="375"/>
      <c r="DO22" s="12">
        <f>0.005*(BS!Y3+BS!Y4)</f>
        <v>112.68368170703717</v>
      </c>
      <c r="DP22" s="388"/>
      <c r="DQ22" s="388"/>
      <c r="DR22" s="375"/>
      <c r="DS22" s="375"/>
      <c r="DT22" s="12">
        <f>0.005*(BS!Z3+BS!Z4)</f>
        <v>120.04797102671193</v>
      </c>
      <c r="DU22" s="388"/>
      <c r="DV22" s="388"/>
      <c r="DW22" s="375"/>
      <c r="DX22" s="375"/>
      <c r="DY22" s="12">
        <f>0.005*(BS!AA3+BS!AA4)</f>
        <v>121.23780210067903</v>
      </c>
      <c r="DZ22" s="388"/>
      <c r="EA22" s="388"/>
      <c r="EB22" s="375"/>
      <c r="EC22" s="375"/>
      <c r="ED22" s="12">
        <f>0.005*(BS!AB3+BS!AB4)</f>
        <v>109.03579228562191</v>
      </c>
      <c r="EE22" s="388"/>
      <c r="EF22" s="388"/>
      <c r="EG22" s="375"/>
      <c r="EH22" s="375"/>
      <c r="EI22" s="12">
        <f>0.005*(BS!AC3+BS!AC4)</f>
        <v>111.5298443140306</v>
      </c>
      <c r="EJ22" s="388"/>
      <c r="EK22" s="388"/>
      <c r="EL22" s="375"/>
      <c r="EM22" s="375"/>
      <c r="EN22" s="12">
        <f>0.005*(BS!AD3+BS!AD4)</f>
        <v>123.65238403819777</v>
      </c>
    </row>
    <row r="23" spans="2:154" hidden="1" outlineLevel="1">
      <c r="B23" s="10" t="s">
        <v>212</v>
      </c>
      <c r="C23" s="10"/>
      <c r="D23" s="51">
        <v>-2.7E-2</v>
      </c>
      <c r="E23" s="375">
        <v>0</v>
      </c>
      <c r="F23" s="375">
        <v>-0.59399999999999997</v>
      </c>
      <c r="G23" s="375">
        <v>-2.6739999999999999</v>
      </c>
      <c r="H23" s="375">
        <v>-2.399</v>
      </c>
      <c r="I23" s="12">
        <f>SUM(E23:H23)</f>
        <v>-5.6669999999999998</v>
      </c>
      <c r="J23" s="375">
        <f>-2.388</f>
        <v>-2.3879999999999999</v>
      </c>
      <c r="K23" s="375">
        <v>-2.387</v>
      </c>
      <c r="L23" s="375">
        <f>-2.388</f>
        <v>-2.3879999999999999</v>
      </c>
      <c r="M23" s="375">
        <f>N23-J23-K23-L23</f>
        <v>-2.3879999999999999</v>
      </c>
      <c r="N23" s="12">
        <f>-9.551</f>
        <v>-9.5510000000000002</v>
      </c>
      <c r="O23" s="43">
        <f>-2.374</f>
        <v>-2.3740000000000001</v>
      </c>
      <c r="P23" s="43">
        <v>-2.3730000000000002</v>
      </c>
      <c r="Q23" s="43">
        <f>-2.374</f>
        <v>-2.3740000000000001</v>
      </c>
      <c r="R23" s="43">
        <f>S23-O23-P23-Q23</f>
        <v>-2.375999999999999</v>
      </c>
      <c r="S23" s="12">
        <f>-9.497</f>
        <v>-9.4969999999999999</v>
      </c>
      <c r="T23" s="43">
        <f>-2.365</f>
        <v>-2.3650000000000002</v>
      </c>
      <c r="U23" s="43">
        <f>-2.361</f>
        <v>-2.3610000000000002</v>
      </c>
      <c r="V23" s="43">
        <f>-2.361</f>
        <v>-2.3610000000000002</v>
      </c>
      <c r="W23" s="43">
        <f>X23-T23-U23-V23</f>
        <v>-2.3299999999999987</v>
      </c>
      <c r="X23" s="12">
        <f>-9.417</f>
        <v>-9.4169999999999998</v>
      </c>
      <c r="Y23" s="43">
        <f>-2.688</f>
        <v>-2.6880000000000002</v>
      </c>
      <c r="Z23" s="43">
        <f>-2.611</f>
        <v>-2.6110000000000002</v>
      </c>
      <c r="AA23" s="43">
        <f>-2.614</f>
        <v>-2.6139999999999999</v>
      </c>
      <c r="AB23" s="43">
        <f>AC23-Y23-Z23-AA23</f>
        <v>-3.2139999999999995</v>
      </c>
      <c r="AC23" s="12">
        <f>-11.127</f>
        <v>-11.127000000000001</v>
      </c>
      <c r="AD23" s="43">
        <f>-2.21</f>
        <v>-2.21</v>
      </c>
      <c r="AE23" s="43">
        <f>-1.246</f>
        <v>-1.246</v>
      </c>
      <c r="AF23" s="43">
        <f>-0.512</f>
        <v>-0.51200000000000001</v>
      </c>
      <c r="AG23" s="43">
        <f>AH23-AD23-AE23-AF23</f>
        <v>-0.46900000000000031</v>
      </c>
      <c r="AH23" s="12">
        <v>-4.4370000000000003</v>
      </c>
      <c r="AI23" s="43">
        <f>-0.464</f>
        <v>-0.46400000000000002</v>
      </c>
      <c r="AJ23" s="43">
        <f>-0.527</f>
        <v>-0.52700000000000002</v>
      </c>
      <c r="AK23" s="43">
        <f>-0.466</f>
        <v>-0.46600000000000003</v>
      </c>
      <c r="AL23" s="43">
        <f>AM23-AI23-AJ23-AK23</f>
        <v>-0.5089999999999999</v>
      </c>
      <c r="AM23" s="12">
        <v>-1.966</v>
      </c>
      <c r="AN23" s="43">
        <v>-0.48099999999999998</v>
      </c>
      <c r="AO23" s="43">
        <f>-0.426</f>
        <v>-0.42599999999999999</v>
      </c>
      <c r="AP23" s="43">
        <f>-0.414</f>
        <v>-0.41399999999999998</v>
      </c>
      <c r="AQ23" s="43">
        <f>AR23-AN23-AO23-AP23</f>
        <v>-11.313000000000001</v>
      </c>
      <c r="AR23" s="12">
        <v>-12.634</v>
      </c>
      <c r="AS23" s="43">
        <v>-11.75</v>
      </c>
      <c r="AT23" s="43">
        <v>-9.4179999999999993</v>
      </c>
      <c r="AU23" s="43">
        <v>-10.292</v>
      </c>
      <c r="AV23" s="43">
        <f>AW23-AS23-AT23-AU23</f>
        <v>-11.277000000000003</v>
      </c>
      <c r="AW23" s="12">
        <v>-42.737000000000002</v>
      </c>
      <c r="AX23" s="375">
        <v>-11.385</v>
      </c>
      <c r="AY23" s="375">
        <v>-11.474</v>
      </c>
      <c r="AZ23" s="375">
        <v>-17.792999999999999</v>
      </c>
      <c r="BA23" s="375">
        <f>BB23-AX23-AY23-AZ23</f>
        <v>-22.553000000000004</v>
      </c>
      <c r="BB23" s="12">
        <v>-63.204999999999998</v>
      </c>
      <c r="BC23" s="387">
        <v>-17.899999999999999</v>
      </c>
      <c r="BD23" s="387">
        <v>-19.600000000000001</v>
      </c>
      <c r="BE23" s="375">
        <v>-24</v>
      </c>
      <c r="BF23" s="443">
        <f>BG23-SUM(BC23:BE23)</f>
        <v>-50.255524250000008</v>
      </c>
      <c r="BG23" s="12">
        <f>-Debt!F105</f>
        <v>-111.75552425000001</v>
      </c>
      <c r="BH23" s="391">
        <v>-21.6</v>
      </c>
      <c r="BI23" s="391">
        <v>-21.6</v>
      </c>
      <c r="BJ23" s="391">
        <v>-53.5</v>
      </c>
      <c r="BK23" s="391">
        <v>-51.7</v>
      </c>
      <c r="BL23" s="12">
        <f>SUM(BH23:BK23)</f>
        <v>-148.4</v>
      </c>
      <c r="BM23" s="391">
        <v>-49.2</v>
      </c>
      <c r="BN23" s="391">
        <v>-48.3</v>
      </c>
      <c r="BO23" s="391">
        <v>-88.5</v>
      </c>
      <c r="BP23" s="391">
        <v>-124.6</v>
      </c>
      <c r="BQ23" s="12">
        <f>SUM(BM23:BP23)</f>
        <v>-310.60000000000002</v>
      </c>
      <c r="BR23" s="391">
        <v>-121.9</v>
      </c>
      <c r="BS23" s="391">
        <v>-123.3</v>
      </c>
      <c r="BT23" s="391">
        <v>-127.8</v>
      </c>
      <c r="BU23" s="391">
        <v>-127.1</v>
      </c>
      <c r="BV23" s="12">
        <f>SUM(BR23:BU23)</f>
        <v>-500.1</v>
      </c>
      <c r="BW23" s="391">
        <v>-127</v>
      </c>
      <c r="BX23" s="391">
        <v>-126</v>
      </c>
      <c r="BY23" s="391">
        <v>-127</v>
      </c>
      <c r="BZ23" s="391">
        <v>-142</v>
      </c>
      <c r="CA23" s="12">
        <f>SUM(BW23:BZ23)</f>
        <v>-522</v>
      </c>
      <c r="CB23" s="388">
        <v>-110</v>
      </c>
      <c r="CC23" s="388">
        <f>CB23*1.025</f>
        <v>-112.74999999999999</v>
      </c>
      <c r="CD23" s="388">
        <f>CC23*1.025</f>
        <v>-115.56874999999998</v>
      </c>
      <c r="CE23" s="388">
        <f>CF23-SUM(CB23:CD23)</f>
        <v>-111.15699999999998</v>
      </c>
      <c r="CF23" s="12">
        <f>-Debt!K105</f>
        <v>-449.47574999999995</v>
      </c>
      <c r="CG23" s="388"/>
      <c r="CH23" s="388"/>
      <c r="CI23" s="388"/>
      <c r="CJ23" s="388"/>
      <c r="CK23" s="12">
        <f>-Debt!L105</f>
        <v>-443.79449999999997</v>
      </c>
      <c r="CL23" s="388"/>
      <c r="CM23" s="388"/>
      <c r="CN23" s="388"/>
      <c r="CO23" s="388"/>
      <c r="CP23" s="12">
        <f>-Debt!M105</f>
        <v>-406.47112499999997</v>
      </c>
      <c r="CQ23" s="388"/>
      <c r="CR23" s="388"/>
      <c r="CS23" s="388"/>
      <c r="CT23" s="388"/>
      <c r="CU23" s="12">
        <f>-Debt!N105</f>
        <v>-374.82899999999995</v>
      </c>
      <c r="CV23" s="388"/>
      <c r="CW23" s="388"/>
      <c r="CX23" s="388"/>
      <c r="CY23" s="388"/>
      <c r="CZ23" s="12">
        <f>-Debt!O105</f>
        <v>-357.86399999999998</v>
      </c>
      <c r="DA23" s="388"/>
      <c r="DB23" s="388"/>
      <c r="DC23" s="388"/>
      <c r="DD23" s="388"/>
      <c r="DE23" s="12">
        <f>-Debt!P105</f>
        <v>-326.15899999999999</v>
      </c>
      <c r="DF23" s="388"/>
      <c r="DG23" s="388"/>
      <c r="DH23" s="388"/>
      <c r="DI23" s="388"/>
      <c r="DJ23" s="12">
        <f>-Debt!Q105</f>
        <v>-293.27587499999998</v>
      </c>
      <c r="DK23" s="388"/>
      <c r="DL23" s="388"/>
      <c r="DM23" s="388"/>
      <c r="DN23" s="388"/>
      <c r="DO23" s="12">
        <f>-Debt!R105</f>
        <v>-227.1215</v>
      </c>
      <c r="DP23" s="388"/>
      <c r="DQ23" s="388"/>
      <c r="DR23" s="388"/>
      <c r="DS23" s="388"/>
      <c r="DT23" s="12">
        <f>-Debt!S105</f>
        <v>-179.11025000000001</v>
      </c>
      <c r="DU23" s="388"/>
      <c r="DV23" s="388"/>
      <c r="DW23" s="388"/>
      <c r="DX23" s="388"/>
      <c r="DY23" s="12">
        <f>-Debt!T105</f>
        <v>-179.11025000000001</v>
      </c>
      <c r="DZ23" s="388"/>
      <c r="EA23" s="388"/>
      <c r="EB23" s="388"/>
      <c r="EC23" s="388"/>
      <c r="ED23" s="12">
        <f>-Debt!U105</f>
        <v>-179.11025000000001</v>
      </c>
      <c r="EE23" s="388"/>
      <c r="EF23" s="388"/>
      <c r="EG23" s="388"/>
      <c r="EH23" s="388"/>
      <c r="EI23" s="12">
        <f>-Debt!V105</f>
        <v>-179.11025000000001</v>
      </c>
      <c r="EJ23" s="388"/>
      <c r="EK23" s="388"/>
      <c r="EL23" s="388"/>
      <c r="EM23" s="388"/>
      <c r="EN23" s="12">
        <f>-Debt!W105</f>
        <v>-179.11025000000001</v>
      </c>
    </row>
    <row r="24" spans="2:154" hidden="1" outlineLevel="1">
      <c r="B24" s="10" t="s">
        <v>213</v>
      </c>
      <c r="C24" s="10"/>
      <c r="D24" s="51">
        <f>-22.704-55.7+1</f>
        <v>-77.403999999999996</v>
      </c>
      <c r="E24" s="375"/>
      <c r="F24" s="375"/>
      <c r="G24" s="375"/>
      <c r="H24" s="375"/>
      <c r="I24" s="12"/>
      <c r="J24" s="375"/>
      <c r="K24" s="375"/>
      <c r="L24" s="375"/>
      <c r="M24" s="375"/>
      <c r="N24" s="12"/>
      <c r="O24" s="43"/>
      <c r="P24" s="43"/>
      <c r="Q24" s="43"/>
      <c r="R24" s="43"/>
      <c r="S24" s="12"/>
      <c r="T24" s="43">
        <f>1.595+T74-0.03</f>
        <v>1.458</v>
      </c>
      <c r="U24" s="43">
        <f>1.495+U74</f>
        <v>1.8730000000000002</v>
      </c>
      <c r="V24" s="43">
        <f>1.134+V74</f>
        <v>1.1609999999999998</v>
      </c>
      <c r="W24" s="43">
        <f>X24-T24-U24-V24</f>
        <v>1.4279999999999997</v>
      </c>
      <c r="X24" s="12">
        <f>5.502+X74</f>
        <v>5.92</v>
      </c>
      <c r="Y24" s="43">
        <f>0.931+Y74</f>
        <v>0.9930000000000001</v>
      </c>
      <c r="Z24" s="43">
        <f>-5.008+Z74</f>
        <v>-0.20500000000000007</v>
      </c>
      <c r="AA24" s="43">
        <f>0.732+AA74</f>
        <v>0.80299999999999994</v>
      </c>
      <c r="AB24" s="43">
        <f>AC24-Y24-Z24-AA24</f>
        <v>0.96599999999999997</v>
      </c>
      <c r="AC24" s="12">
        <f>-2.35+AC74</f>
        <v>2.5569999999999999</v>
      </c>
      <c r="AD24" s="43">
        <v>0.92200000000000004</v>
      </c>
      <c r="AE24" s="43">
        <v>1.6970000000000001</v>
      </c>
      <c r="AF24" s="43">
        <v>2.464</v>
      </c>
      <c r="AG24" s="43">
        <f>AH24-AD24-AE24-AF24</f>
        <v>19.639000000000003</v>
      </c>
      <c r="AH24" s="12">
        <v>24.722000000000001</v>
      </c>
      <c r="AI24" s="43">
        <f>32.61</f>
        <v>32.61</v>
      </c>
      <c r="AJ24" s="43">
        <v>5.1760000000000002</v>
      </c>
      <c r="AK24" s="43">
        <v>14.935</v>
      </c>
      <c r="AL24" s="43">
        <f>AM24-AI24-AJ24-AK24</f>
        <v>7.7399999999999967</v>
      </c>
      <c r="AM24" s="12">
        <v>60.460999999999999</v>
      </c>
      <c r="AN24" s="43">
        <v>3.766</v>
      </c>
      <c r="AO24" s="43">
        <v>-5.0890000000000004</v>
      </c>
      <c r="AP24" s="43">
        <v>8.4529999999999994</v>
      </c>
      <c r="AQ24" s="43">
        <f>AR24-AN24-AO24-AP24</f>
        <v>-9.8279999999999994</v>
      </c>
      <c r="AR24" s="12">
        <f>-7.22-AR74+1.428+0.32</f>
        <v>-2.698</v>
      </c>
      <c r="AS24" s="43">
        <f>6.624+AS74</f>
        <v>6.7219999999999995</v>
      </c>
      <c r="AT24" s="43">
        <f>1.694+AT74</f>
        <v>-1.2310000000000003</v>
      </c>
      <c r="AU24" s="43">
        <v>-15.002000000000001</v>
      </c>
      <c r="AV24" s="43">
        <f>AW24-AS24-AT24-AU24</f>
        <v>3.1340000000000003</v>
      </c>
      <c r="AW24" s="12">
        <f>-3.55+AW74</f>
        <v>-6.3770000000000007</v>
      </c>
      <c r="AX24" s="375">
        <v>-1.764</v>
      </c>
      <c r="AY24" s="375">
        <v>7.6959999999999997</v>
      </c>
      <c r="AZ24" s="375">
        <v>-10.034000000000001</v>
      </c>
      <c r="BA24" s="375">
        <f>BB24-AX24-AY24-AZ24</f>
        <v>-14.090999999999999</v>
      </c>
      <c r="BB24" s="12">
        <f>-17.006-BB25</f>
        <v>-18.193000000000001</v>
      </c>
      <c r="BC24" s="387">
        <v>-2.2999999999999998</v>
      </c>
      <c r="BD24" s="387">
        <v>9.1999999999999993</v>
      </c>
      <c r="BE24" s="375">
        <v>5.0999999999999996</v>
      </c>
      <c r="BF24" s="443">
        <f>-108.6-BF23-BF22+BF75</f>
        <v>16.655524250000013</v>
      </c>
      <c r="BG24" s="12">
        <f>SUM(BC24:BF24)</f>
        <v>28.655524250000013</v>
      </c>
      <c r="BH24" s="376">
        <f>-29.5-BH23-BH22+BH75</f>
        <v>-14.999999999999998</v>
      </c>
      <c r="BI24" s="388">
        <f>-52.1-BI23-BI22</f>
        <v>-37.6</v>
      </c>
      <c r="BJ24" s="728">
        <v>-22.5</v>
      </c>
      <c r="BK24" s="728">
        <v>3.2</v>
      </c>
      <c r="BL24" s="12">
        <f>SUM(BH24:BK24)</f>
        <v>-71.899999999999991</v>
      </c>
      <c r="BM24" s="728">
        <v>8.3000000000000007</v>
      </c>
      <c r="BN24" s="391">
        <v>94.5</v>
      </c>
      <c r="BO24" s="391">
        <v>-19.600000000000001</v>
      </c>
      <c r="BP24" s="391">
        <v>-34.799999999999997</v>
      </c>
      <c r="BQ24" s="12">
        <f>SUM(BM24:BP24)</f>
        <v>48.399999999999991</v>
      </c>
      <c r="BR24" s="391">
        <v>35.200000000000003</v>
      </c>
      <c r="BS24" s="391">
        <v>-12.5</v>
      </c>
      <c r="BT24" s="391">
        <v>-34.200000000000003</v>
      </c>
      <c r="BU24" s="391">
        <f>-312.8+BU78</f>
        <v>-40.600000000000023</v>
      </c>
      <c r="BV24" s="12">
        <f>SUM(BR24:BU24)</f>
        <v>-52.100000000000023</v>
      </c>
      <c r="BW24" s="391">
        <v>26</v>
      </c>
      <c r="BX24" s="391">
        <v>-76</v>
      </c>
      <c r="BY24" s="391">
        <v>0</v>
      </c>
      <c r="BZ24" s="391">
        <v>42</v>
      </c>
      <c r="CA24" s="12">
        <f>SUM(BW24:BZ24)</f>
        <v>-8</v>
      </c>
      <c r="CB24" s="388">
        <v>0</v>
      </c>
      <c r="CC24" s="388">
        <v>0</v>
      </c>
      <c r="CD24" s="388">
        <v>0</v>
      </c>
      <c r="CE24" s="388">
        <v>0</v>
      </c>
      <c r="CF24" s="12">
        <f>SUM(CB24:CE24)</f>
        <v>0</v>
      </c>
      <c r="CG24" s="387"/>
      <c r="CH24" s="387"/>
      <c r="CI24" s="387"/>
      <c r="CJ24" s="387"/>
      <c r="CK24" s="12">
        <f>SUM(CG24:CJ24)</f>
        <v>0</v>
      </c>
      <c r="CL24" s="387"/>
      <c r="CM24" s="387"/>
      <c r="CN24" s="387"/>
      <c r="CO24" s="387"/>
      <c r="CP24" s="12">
        <f>SUM(CL24:CO24)</f>
        <v>0</v>
      </c>
      <c r="CQ24" s="387"/>
      <c r="CR24" s="387"/>
      <c r="CS24" s="387"/>
      <c r="CT24" s="387"/>
      <c r="CU24" s="12">
        <f>SUM(CQ24:CT24)</f>
        <v>0</v>
      </c>
      <c r="CV24" s="387"/>
      <c r="CW24" s="387"/>
      <c r="CX24" s="387"/>
      <c r="CY24" s="387"/>
      <c r="CZ24" s="12">
        <f>SUM(CV24:CY24)</f>
        <v>0</v>
      </c>
      <c r="DA24" s="387"/>
      <c r="DB24" s="387"/>
      <c r="DC24" s="387"/>
      <c r="DD24" s="387"/>
      <c r="DE24" s="12">
        <f>SUM(DA24:DD24)</f>
        <v>0</v>
      </c>
      <c r="DF24" s="387"/>
      <c r="DG24" s="387"/>
      <c r="DH24" s="387"/>
      <c r="DI24" s="387"/>
      <c r="DJ24" s="12">
        <f>SUM(DF24:DI24)</f>
        <v>0</v>
      </c>
      <c r="DK24" s="387"/>
      <c r="DL24" s="387"/>
      <c r="DM24" s="387"/>
      <c r="DN24" s="387"/>
      <c r="DO24" s="12">
        <f>SUM(DK24:DN24)</f>
        <v>0</v>
      </c>
      <c r="DP24" s="387"/>
      <c r="DQ24" s="387"/>
      <c r="DR24" s="387"/>
      <c r="DS24" s="387"/>
      <c r="DT24" s="12">
        <f>SUM(DP24:DS24)</f>
        <v>0</v>
      </c>
      <c r="DU24" s="387"/>
      <c r="DV24" s="387"/>
      <c r="DW24" s="387"/>
      <c r="DX24" s="387"/>
      <c r="DY24" s="12">
        <f>SUM(DU24:DX24)</f>
        <v>0</v>
      </c>
      <c r="DZ24" s="387"/>
      <c r="EA24" s="387"/>
      <c r="EB24" s="387"/>
      <c r="EC24" s="387"/>
      <c r="ED24" s="12">
        <f>SUM(DZ24:EC24)</f>
        <v>0</v>
      </c>
      <c r="EE24" s="387"/>
      <c r="EF24" s="387"/>
      <c r="EG24" s="387"/>
      <c r="EH24" s="387"/>
      <c r="EI24" s="12">
        <f>SUM(EE24:EH24)</f>
        <v>0</v>
      </c>
      <c r="EJ24" s="387"/>
      <c r="EK24" s="387"/>
      <c r="EL24" s="387"/>
      <c r="EM24" s="387"/>
      <c r="EN24" s="12">
        <f>SUM(EJ24:EM24)</f>
        <v>0</v>
      </c>
    </row>
    <row r="25" spans="2:154" hidden="1" outlineLevel="1">
      <c r="B25" s="10" t="s">
        <v>226</v>
      </c>
      <c r="C25" s="10"/>
      <c r="D25" s="51">
        <v>0</v>
      </c>
      <c r="E25" s="375"/>
      <c r="F25" s="375"/>
      <c r="G25" s="375"/>
      <c r="H25" s="375"/>
      <c r="I25" s="12">
        <f>SUM(E25:H25)</f>
        <v>0</v>
      </c>
      <c r="J25" s="375">
        <v>0</v>
      </c>
      <c r="K25" s="375">
        <v>0</v>
      </c>
      <c r="L25" s="375">
        <v>0</v>
      </c>
      <c r="M25" s="375">
        <v>0</v>
      </c>
      <c r="N25" s="12">
        <f>SUM(J25:M25)</f>
        <v>0</v>
      </c>
      <c r="O25" s="43">
        <f>-4.355+O70</f>
        <v>0</v>
      </c>
      <c r="P25" s="43">
        <f>-0.64+P70</f>
        <v>0</v>
      </c>
      <c r="Q25" s="43">
        <f>-0.98+Q70</f>
        <v>0</v>
      </c>
      <c r="R25" s="43">
        <f>-0.948+R70</f>
        <v>0</v>
      </c>
      <c r="S25" s="12">
        <f>SUM(O25:R25)</f>
        <v>0</v>
      </c>
      <c r="T25" s="43">
        <f>-3.091+T70</f>
        <v>0</v>
      </c>
      <c r="U25" s="43">
        <f>-1.375+U70</f>
        <v>0</v>
      </c>
      <c r="V25" s="43">
        <f>-0.736+V70</f>
        <v>0</v>
      </c>
      <c r="W25" s="43">
        <f>-3.031+W56</f>
        <v>-0.32900000000000018</v>
      </c>
      <c r="X25" s="12">
        <f>SUM(T25:W25)</f>
        <v>-0.32900000000000018</v>
      </c>
      <c r="Y25" s="43">
        <f>-1.283+Y70</f>
        <v>-0.29999999999999993</v>
      </c>
      <c r="Z25" s="43">
        <f>-0.949+Z70</f>
        <v>0.1110000000000001</v>
      </c>
      <c r="AA25" s="43">
        <f>-1.106+AA70</f>
        <v>-0.1180000000000001</v>
      </c>
      <c r="AB25" s="43">
        <f>-1.15+AB70</f>
        <v>-0.20299999999999996</v>
      </c>
      <c r="AC25" s="12">
        <f>SUM(Y25:AB25)</f>
        <v>-0.5099999999999999</v>
      </c>
      <c r="AD25" s="43">
        <f>-5.079+AD70</f>
        <v>-4.3380000000000001</v>
      </c>
      <c r="AE25" s="43">
        <f>-1.343+AE70</f>
        <v>-2.6000000000000023E-2</v>
      </c>
      <c r="AF25" s="43">
        <f>-2.338+AF70</f>
        <v>-1.5750000000000002</v>
      </c>
      <c r="AG25" s="43">
        <f>-0.966+AG70</f>
        <v>-0.21599999999999997</v>
      </c>
      <c r="AH25" s="12">
        <f>SUM(AD25:AG25)</f>
        <v>-6.1550000000000002</v>
      </c>
      <c r="AI25" s="43">
        <f>-0.771+AI70</f>
        <v>-0.433</v>
      </c>
      <c r="AJ25" s="43">
        <f>0.157+AJ70</f>
        <v>0.47799999999999998</v>
      </c>
      <c r="AK25" s="43">
        <f>-0.329+AK70</f>
        <v>-8.0000000000000071E-3</v>
      </c>
      <c r="AL25" s="43">
        <f>-0.159+AL70</f>
        <v>0.30999999999999994</v>
      </c>
      <c r="AM25" s="12">
        <f>SUM(AI25:AL25)</f>
        <v>0.34699999999999992</v>
      </c>
      <c r="AN25" s="43">
        <f>0.741+AN70</f>
        <v>1.1259999999999999</v>
      </c>
      <c r="AO25" s="43">
        <f>-0.103+AO70</f>
        <v>-4.6999999999999993E-2</v>
      </c>
      <c r="AP25" s="43">
        <f>-1.384+AP70</f>
        <v>-0.8829999999999999</v>
      </c>
      <c r="AQ25" s="43">
        <f>-1.182+AQ70+AQ71</f>
        <v>0.47699999999999998</v>
      </c>
      <c r="AR25" s="12">
        <f>SUM(AN25:AQ25)</f>
        <v>0.67300000000000004</v>
      </c>
      <c r="AS25" s="43">
        <f>-0.556+AS70+AS71</f>
        <v>1.544</v>
      </c>
      <c r="AT25" s="43">
        <f>1.251+AT70+AT71</f>
        <v>1.6589999999999998</v>
      </c>
      <c r="AU25" s="43">
        <f>+AU70-1.661</f>
        <v>-1.6080000000000001</v>
      </c>
      <c r="AV25" s="43">
        <f>-1.838+AV70</f>
        <v>-1.736</v>
      </c>
      <c r="AW25" s="12">
        <f>SUM(AS25:AV25)</f>
        <v>-0.14100000000000024</v>
      </c>
      <c r="AX25" s="375">
        <v>1.1870000000000001</v>
      </c>
      <c r="AY25" s="375">
        <v>0</v>
      </c>
      <c r="AZ25" s="375">
        <v>0</v>
      </c>
      <c r="BA25" s="375">
        <f>BB25-AX25-AY25-AZ25</f>
        <v>0</v>
      </c>
      <c r="BB25" s="12">
        <f>AX25</f>
        <v>1.1870000000000001</v>
      </c>
      <c r="BC25" s="387"/>
      <c r="BD25" s="387"/>
      <c r="BE25" s="375"/>
      <c r="BF25" s="622"/>
      <c r="BG25" s="12"/>
      <c r="BH25" s="387"/>
      <c r="BI25" s="387"/>
      <c r="BJ25" s="387"/>
      <c r="BK25" s="387"/>
      <c r="BM25" s="388"/>
      <c r="BN25" s="387"/>
      <c r="BO25" s="387"/>
      <c r="BP25" s="387"/>
      <c r="BR25" s="387"/>
      <c r="BS25" s="387"/>
      <c r="BT25" s="387"/>
      <c r="BU25" s="387"/>
      <c r="BW25" s="387"/>
      <c r="BX25" s="387"/>
      <c r="BY25" s="387"/>
      <c r="BZ25" s="387"/>
      <c r="CB25" s="387"/>
      <c r="CC25" s="387"/>
      <c r="CD25" s="387"/>
      <c r="CE25" s="387"/>
      <c r="CG25" s="387"/>
      <c r="CH25" s="387"/>
      <c r="CI25" s="387"/>
      <c r="CJ25" s="387"/>
      <c r="CL25" s="387"/>
      <c r="CM25" s="387"/>
      <c r="CN25" s="387"/>
      <c r="CO25" s="387"/>
      <c r="CQ25" s="387"/>
      <c r="CR25" s="387"/>
      <c r="CS25" s="387"/>
      <c r="CT25" s="387"/>
      <c r="CV25" s="387"/>
      <c r="CW25" s="387"/>
      <c r="CX25" s="387"/>
      <c r="CY25" s="387"/>
      <c r="DA25" s="387"/>
      <c r="DB25" s="387"/>
      <c r="DC25" s="387"/>
      <c r="DD25" s="387"/>
      <c r="DF25" s="387"/>
      <c r="DG25" s="387"/>
      <c r="DH25" s="387"/>
      <c r="DI25" s="387"/>
      <c r="DK25" s="387"/>
      <c r="DL25" s="387"/>
      <c r="DM25" s="387"/>
      <c r="DN25" s="387"/>
      <c r="DP25" s="387"/>
      <c r="DQ25" s="387"/>
      <c r="DR25" s="387"/>
      <c r="DS25" s="387"/>
      <c r="DU25" s="387"/>
      <c r="DV25" s="387"/>
      <c r="DW25" s="387"/>
      <c r="DX25" s="387"/>
      <c r="DZ25" s="387"/>
      <c r="EA25" s="387"/>
      <c r="EB25" s="387"/>
      <c r="EC25" s="387"/>
      <c r="EE25" s="387"/>
      <c r="EF25" s="387"/>
      <c r="EG25" s="387"/>
      <c r="EH25" s="387"/>
      <c r="EJ25" s="387"/>
      <c r="EK25" s="387"/>
      <c r="EL25" s="387"/>
      <c r="EM25" s="387"/>
    </row>
    <row r="26" spans="2:154" collapsed="1">
      <c r="B26" t="s">
        <v>194</v>
      </c>
      <c r="D26" s="51">
        <f>D24+D23+D22+D25</f>
        <v>-54.372999999999998</v>
      </c>
      <c r="E26" s="375">
        <f>E24+E23+E22+E25</f>
        <v>4.7549999999999999</v>
      </c>
      <c r="F26" s="375">
        <f>F24+F23+F22+F25</f>
        <v>3.8690000000000002</v>
      </c>
      <c r="G26" s="375">
        <f>G24+G23+G22+G25</f>
        <v>3.7650000000000001</v>
      </c>
      <c r="H26" s="375">
        <f>H24+H23+H22+H25</f>
        <v>3.7389999999999999</v>
      </c>
      <c r="I26" s="12">
        <f>I25+I24+I23+I22</f>
        <v>16.128</v>
      </c>
      <c r="J26" s="375">
        <f>J24+J23+J22+J25</f>
        <v>4.9009999999999998</v>
      </c>
      <c r="K26" s="375">
        <f>K24+K23+K22+K25</f>
        <v>4.3010000000000002</v>
      </c>
      <c r="L26" s="375">
        <f>L24+L23+L22+L25</f>
        <v>4.83</v>
      </c>
      <c r="M26" s="375">
        <f>M24+M23+M22+M25</f>
        <v>10.549000000000001</v>
      </c>
      <c r="N26" s="12">
        <f>N25+N24+N23+N22</f>
        <v>24.581000000000003</v>
      </c>
      <c r="O26" s="43">
        <f>O24+O23+O22+O25</f>
        <v>3.323</v>
      </c>
      <c r="P26" s="43">
        <f>P24+P23+P22+P25</f>
        <v>4.343</v>
      </c>
      <c r="Q26" s="43">
        <f>Q24+Q23+Q22+Q25</f>
        <v>4.6050000000000004</v>
      </c>
      <c r="R26" s="43">
        <f>R24+R23+R22+R25</f>
        <v>2.1549999999999989</v>
      </c>
      <c r="S26" s="12">
        <f>S25+S24+S23+S22</f>
        <v>14.425999999999998</v>
      </c>
      <c r="T26" s="43">
        <f>T24+T23+T22+T25</f>
        <v>3.7439999999999998</v>
      </c>
      <c r="U26" s="43">
        <f>U24+U23+U22+U25</f>
        <v>7.7100000000000009</v>
      </c>
      <c r="V26" s="43">
        <f>V24+V23+V22+V25</f>
        <v>8.052999999999999</v>
      </c>
      <c r="W26" s="43">
        <f>W24+W23+W22+W25</f>
        <v>17.018999999999995</v>
      </c>
      <c r="X26" s="12">
        <f>X25+X24+X23+X22</f>
        <v>36.525999999999996</v>
      </c>
      <c r="Y26" s="43">
        <f>Y24+Y23+Y22+Y25</f>
        <v>22.779</v>
      </c>
      <c r="Z26" s="43">
        <f>Z24+Z23+Z22+Z25</f>
        <v>23.671000000000003</v>
      </c>
      <c r="AA26" s="43">
        <f>AA24+AA23+AA22+AA25</f>
        <v>26.367000000000001</v>
      </c>
      <c r="AB26" s="43">
        <f>AB24+AB23+AB22+AB25</f>
        <v>27.916</v>
      </c>
      <c r="AC26" s="12">
        <f>AC25+AC24+AC23+AC22</f>
        <v>100.733</v>
      </c>
      <c r="AD26" s="43">
        <f>AD24+AD23+AD22+AD25</f>
        <v>23.997</v>
      </c>
      <c r="AE26" s="43">
        <f>AE24+AE23+AE22+AE25</f>
        <v>20.278000000000002</v>
      </c>
      <c r="AF26" s="43">
        <f>AF24+AF23+AF22+AF25</f>
        <v>20.055000000000003</v>
      </c>
      <c r="AG26" s="43">
        <f>AG24+AG23+AG22+AG25</f>
        <v>34.634999999999984</v>
      </c>
      <c r="AH26" s="12">
        <f>AH25+AH24+AH23+AH22</f>
        <v>98.964999999999989</v>
      </c>
      <c r="AI26" s="43">
        <f>AI24+AI23+AI22+AI25</f>
        <v>49.166000000000004</v>
      </c>
      <c r="AJ26" s="43">
        <f>AJ24+AJ23+AJ22+AJ25</f>
        <v>29.199000000000002</v>
      </c>
      <c r="AK26" s="43">
        <f>AK24+AK23+AK22+AK25</f>
        <v>34.928999999999995</v>
      </c>
      <c r="AL26" s="43">
        <f>AL24+AL23+AL22+AL25</f>
        <v>22.332999999999988</v>
      </c>
      <c r="AM26" s="12">
        <f>AM25+AM24+AM23+AM22</f>
        <v>135.62700000000001</v>
      </c>
      <c r="AN26" s="43">
        <f>AN24+AN23+AN22+AN25</f>
        <v>18.495000000000001</v>
      </c>
      <c r="AO26" s="43">
        <f>AO24+AO23+AO22+AO25</f>
        <v>4.5629999999999997</v>
      </c>
      <c r="AP26" s="43">
        <f>AP24+AP23+AP22+AP25</f>
        <v>19.957000000000001</v>
      </c>
      <c r="AQ26" s="43">
        <f>AQ24+AQ23+AQ22+AQ25</f>
        <v>-12.917</v>
      </c>
      <c r="AR26" s="12">
        <f>AR25+AR24+AR23+AR22</f>
        <v>30.097999999999999</v>
      </c>
      <c r="AS26" s="43">
        <f>AS24+AS23+AS22+AS25</f>
        <v>1.0379999999999998</v>
      </c>
      <c r="AT26" s="43">
        <f>AT24+AT23+AT22+AT25</f>
        <v>-3.044999999999999</v>
      </c>
      <c r="AU26" s="43">
        <f>AU24+AU23+AU22+AU25</f>
        <v>-18.421000000000003</v>
      </c>
      <c r="AV26" s="43">
        <f>AV24+AV23+AV22+AV25</f>
        <v>-2.9670000000000014</v>
      </c>
      <c r="AW26" s="12">
        <f>AW25+AW24+AW23+AW22</f>
        <v>-23.395000000000003</v>
      </c>
      <c r="AX26" s="375">
        <f>AX24+AX23+AX22+AX25</f>
        <v>-8.2539999999999996</v>
      </c>
      <c r="AY26" s="375">
        <f>AY24+AY23+AY22</f>
        <v>-0.67000000000000037</v>
      </c>
      <c r="AZ26" s="375">
        <f>AZ24+AZ23+AZ22</f>
        <v>-25.081999999999997</v>
      </c>
      <c r="BA26" s="375">
        <f>BA24+BA23+BA22</f>
        <v>-30.945000000000007</v>
      </c>
      <c r="BB26" s="12">
        <f>BB25+BB24+BB23+BB22</f>
        <v>-64.950999999999993</v>
      </c>
      <c r="BC26" s="375">
        <f t="shared" ref="BC26:BH26" si="13">BC24+BC23+BC22</f>
        <v>-15.399999999999999</v>
      </c>
      <c r="BD26" s="375">
        <f t="shared" si="13"/>
        <v>-5.9000000000000021</v>
      </c>
      <c r="BE26" s="375">
        <f t="shared" si="13"/>
        <v>-13.599999999999998</v>
      </c>
      <c r="BF26" s="443">
        <f t="shared" si="13"/>
        <v>-28.599999999999994</v>
      </c>
      <c r="BG26" s="12">
        <f t="shared" si="13"/>
        <v>-63.499999999999993</v>
      </c>
      <c r="BH26" s="443">
        <f t="shared" si="13"/>
        <v>-29.5</v>
      </c>
      <c r="BI26" s="375">
        <f t="shared" ref="BI26:CE26" si="14">BI24+BI23+BI22</f>
        <v>-52.1</v>
      </c>
      <c r="BJ26" s="375">
        <f t="shared" si="14"/>
        <v>-69.099999999999994</v>
      </c>
      <c r="BK26" s="375">
        <f t="shared" si="14"/>
        <v>-40.9</v>
      </c>
      <c r="BL26" s="12">
        <f t="shared" si="14"/>
        <v>-191.60000000000002</v>
      </c>
      <c r="BM26" s="375">
        <f t="shared" si="14"/>
        <v>-31.900000000000006</v>
      </c>
      <c r="BN26" s="375">
        <f t="shared" si="14"/>
        <v>55</v>
      </c>
      <c r="BO26" s="375">
        <f t="shared" si="14"/>
        <v>-99.5</v>
      </c>
      <c r="BP26" s="375">
        <f t="shared" si="14"/>
        <v>-154.69999999999999</v>
      </c>
      <c r="BQ26" s="12">
        <f t="shared" si="14"/>
        <v>-231.10000000000005</v>
      </c>
      <c r="BR26" s="375">
        <f t="shared" si="14"/>
        <v>-79.900000000000006</v>
      </c>
      <c r="BS26" s="375">
        <f t="shared" si="14"/>
        <v>-128.60000000000002</v>
      </c>
      <c r="BT26" s="375">
        <f t="shared" si="14"/>
        <v>-154.69999999999999</v>
      </c>
      <c r="BU26" s="375">
        <f t="shared" si="14"/>
        <v>-158.70000000000002</v>
      </c>
      <c r="BV26" s="12">
        <f>BV24+BV23+BV22</f>
        <v>-521.90000000000009</v>
      </c>
      <c r="BW26" s="375">
        <f t="shared" si="14"/>
        <v>-86</v>
      </c>
      <c r="BX26" s="375">
        <f t="shared" si="14"/>
        <v>-178</v>
      </c>
      <c r="BY26" s="375">
        <f t="shared" si="14"/>
        <v>-94</v>
      </c>
      <c r="BZ26" s="375">
        <f t="shared" si="14"/>
        <v>-67</v>
      </c>
      <c r="CA26" s="12">
        <f>CA24+CA23+CA22</f>
        <v>-425</v>
      </c>
      <c r="CB26" s="375">
        <f t="shared" si="14"/>
        <v>-97.5</v>
      </c>
      <c r="CC26" s="375">
        <f t="shared" si="14"/>
        <v>-99.937499999999986</v>
      </c>
      <c r="CD26" s="375">
        <f t="shared" si="14"/>
        <v>-102.43593749999998</v>
      </c>
      <c r="CE26" s="375">
        <f t="shared" si="14"/>
        <v>-89.392312499999974</v>
      </c>
      <c r="CF26" s="12">
        <f>CF24+CF23+CF22</f>
        <v>-389.26574999999997</v>
      </c>
      <c r="CG26" s="375"/>
      <c r="CH26" s="375"/>
      <c r="CI26" s="375"/>
      <c r="CJ26" s="375"/>
      <c r="CK26" s="12">
        <f>CK24+CK23+CK22</f>
        <v>-420.57973613059085</v>
      </c>
      <c r="CL26" s="375"/>
      <c r="CM26" s="375"/>
      <c r="CN26" s="375"/>
      <c r="CO26" s="375"/>
      <c r="CP26" s="12">
        <f>CP24+CP23+CP22</f>
        <v>-370.73750736363684</v>
      </c>
      <c r="CQ26" s="375"/>
      <c r="CR26" s="375"/>
      <c r="CS26" s="375"/>
      <c r="CT26" s="375"/>
      <c r="CU26" s="12">
        <f>CU24+CU23+CU22</f>
        <v>-339.87502191047224</v>
      </c>
      <c r="CV26" s="375"/>
      <c r="CW26" s="375"/>
      <c r="CX26" s="375"/>
      <c r="CY26" s="375"/>
      <c r="CZ26" s="12">
        <f>CZ24+CZ23+CZ22</f>
        <v>-303.09140162039262</v>
      </c>
      <c r="DA26" s="375"/>
      <c r="DB26" s="375"/>
      <c r="DC26" s="375"/>
      <c r="DD26" s="375"/>
      <c r="DE26" s="12">
        <f>DE24+DE23+DE22</f>
        <v>-257.48848092375647</v>
      </c>
      <c r="DF26" s="375"/>
      <c r="DG26" s="375"/>
      <c r="DH26" s="375"/>
      <c r="DI26" s="375"/>
      <c r="DJ26" s="12">
        <f>DJ24+DJ23+DJ22</f>
        <v>-206.50130185120372</v>
      </c>
      <c r="DK26" s="375"/>
      <c r="DL26" s="375"/>
      <c r="DM26" s="375"/>
      <c r="DN26" s="375"/>
      <c r="DO26" s="12">
        <f>DO24+DO23+DO22</f>
        <v>-114.43781829296283</v>
      </c>
      <c r="DP26" s="375"/>
      <c r="DQ26" s="375"/>
      <c r="DR26" s="375"/>
      <c r="DS26" s="375"/>
      <c r="DT26" s="12">
        <f>DT24+DT23+DT22</f>
        <v>-59.062278973288073</v>
      </c>
      <c r="DU26" s="375"/>
      <c r="DV26" s="375"/>
      <c r="DW26" s="375"/>
      <c r="DX26" s="375"/>
      <c r="DY26" s="12">
        <f>DY24+DY23+DY22</f>
        <v>-57.872447899320974</v>
      </c>
      <c r="DZ26" s="375"/>
      <c r="EA26" s="375"/>
      <c r="EB26" s="375"/>
      <c r="EC26" s="375"/>
      <c r="ED26" s="12">
        <f>ED24+ED23+ED22</f>
        <v>-70.074457714378099</v>
      </c>
      <c r="EE26" s="375"/>
      <c r="EF26" s="375"/>
      <c r="EG26" s="375"/>
      <c r="EH26" s="375"/>
      <c r="EI26" s="12">
        <f>EI24+EI23+EI22</f>
        <v>-67.58040568596941</v>
      </c>
      <c r="EJ26" s="375"/>
      <c r="EK26" s="375"/>
      <c r="EL26" s="375"/>
      <c r="EM26" s="375"/>
      <c r="EN26" s="12">
        <f>EN24+EN23+EN22</f>
        <v>-55.457865961802241</v>
      </c>
    </row>
    <row r="27" spans="2:154">
      <c r="D27" s="51"/>
      <c r="E27" s="375"/>
      <c r="F27" s="375"/>
      <c r="G27" s="375"/>
      <c r="H27" s="375"/>
      <c r="J27" s="375"/>
      <c r="K27" s="375"/>
      <c r="L27" s="375"/>
      <c r="M27" s="375"/>
      <c r="O27" s="43"/>
      <c r="P27" s="43"/>
      <c r="Q27" s="43"/>
      <c r="R27" s="43"/>
      <c r="T27" s="43"/>
      <c r="U27" s="43"/>
      <c r="V27" s="43"/>
      <c r="W27" s="43"/>
      <c r="Y27" s="43"/>
      <c r="Z27" s="43"/>
      <c r="AA27" s="43"/>
      <c r="AB27" s="43"/>
      <c r="AD27" s="43"/>
      <c r="AE27" s="43"/>
      <c r="AF27" s="43"/>
      <c r="AG27" s="43"/>
      <c r="AI27" s="43"/>
      <c r="AJ27" s="43"/>
      <c r="AK27" s="43"/>
      <c r="AL27" s="43"/>
      <c r="AN27" s="43"/>
      <c r="AO27" s="43"/>
      <c r="AP27" s="43"/>
      <c r="AQ27" s="43"/>
      <c r="AS27" s="43"/>
      <c r="AT27" s="43"/>
      <c r="AU27" s="43"/>
      <c r="AV27" s="43"/>
      <c r="AX27" s="375"/>
      <c r="AY27" s="375"/>
      <c r="AZ27" s="375"/>
      <c r="BA27" s="375"/>
      <c r="BC27" s="387"/>
      <c r="BD27" s="387"/>
      <c r="BE27" s="375"/>
      <c r="BF27" s="622"/>
      <c r="BH27" s="622"/>
      <c r="BI27" s="387"/>
      <c r="BJ27" s="387"/>
      <c r="BK27" s="387"/>
      <c r="BM27" s="387"/>
      <c r="BN27" s="387"/>
      <c r="BO27" s="387"/>
      <c r="BP27" s="387"/>
      <c r="BR27" s="387"/>
      <c r="BS27" s="387"/>
      <c r="BT27" s="387"/>
      <c r="BU27" s="387"/>
      <c r="BW27" s="387"/>
      <c r="BX27" s="387"/>
      <c r="BY27" s="387"/>
      <c r="BZ27" s="387"/>
      <c r="CB27" s="387"/>
      <c r="CC27" s="387"/>
      <c r="CD27" s="387"/>
      <c r="CE27" s="387"/>
      <c r="CG27" s="387"/>
      <c r="CH27" s="387"/>
      <c r="CI27" s="387"/>
      <c r="CJ27" s="387"/>
      <c r="CL27" s="387"/>
      <c r="CM27" s="387"/>
      <c r="CN27" s="387"/>
      <c r="CO27" s="387"/>
      <c r="CQ27" s="387"/>
      <c r="CR27" s="387"/>
      <c r="CS27" s="387"/>
      <c r="CT27" s="387"/>
      <c r="CV27" s="387"/>
      <c r="CW27" s="387"/>
      <c r="CX27" s="387"/>
      <c r="CY27" s="387"/>
      <c r="DA27" s="387"/>
      <c r="DB27" s="387"/>
      <c r="DC27" s="387"/>
      <c r="DD27" s="387"/>
      <c r="DF27" s="387"/>
      <c r="DG27" s="387"/>
      <c r="DH27" s="387"/>
      <c r="DI27" s="387"/>
      <c r="DK27" s="387"/>
      <c r="DL27" s="387"/>
      <c r="DM27" s="387"/>
      <c r="DN27" s="387"/>
      <c r="DP27" s="387"/>
      <c r="DQ27" s="387"/>
      <c r="DR27" s="387"/>
      <c r="DS27" s="387"/>
      <c r="DU27" s="387"/>
      <c r="DV27" s="387"/>
      <c r="DW27" s="387"/>
      <c r="DX27" s="387"/>
      <c r="DZ27" s="387"/>
      <c r="EA27" s="387"/>
      <c r="EB27" s="387"/>
      <c r="EC27" s="387"/>
      <c r="EE27" s="387"/>
      <c r="EF27" s="387"/>
      <c r="EG27" s="387"/>
      <c r="EH27" s="387"/>
      <c r="EJ27" s="387"/>
      <c r="EK27" s="387"/>
      <c r="EL27" s="387"/>
      <c r="EM27" s="387"/>
    </row>
    <row r="28" spans="2:154">
      <c r="B28" t="s">
        <v>195</v>
      </c>
      <c r="D28" s="51">
        <f t="shared" ref="D28:S28" si="15">D20+D26</f>
        <v>-90.59</v>
      </c>
      <c r="E28" s="375">
        <f t="shared" si="15"/>
        <v>1.0879999999999983</v>
      </c>
      <c r="F28" s="375">
        <f t="shared" si="15"/>
        <v>3.1040000000000032</v>
      </c>
      <c r="G28" s="375">
        <f t="shared" si="15"/>
        <v>4.6710000000000136</v>
      </c>
      <c r="H28" s="375">
        <f t="shared" si="15"/>
        <v>8.5050000000000274</v>
      </c>
      <c r="I28" s="51">
        <f t="shared" si="15"/>
        <v>17.368000000000009</v>
      </c>
      <c r="J28" s="375">
        <f t="shared" si="15"/>
        <v>9.715000000000007</v>
      </c>
      <c r="K28" s="375">
        <f t="shared" si="15"/>
        <v>13.599999999999993</v>
      </c>
      <c r="L28" s="375">
        <f t="shared" si="15"/>
        <v>23.227999999999987</v>
      </c>
      <c r="M28" s="375">
        <f t="shared" si="15"/>
        <v>20.76600000000002</v>
      </c>
      <c r="N28" s="51">
        <f t="shared" si="15"/>
        <v>67.309000000000012</v>
      </c>
      <c r="O28" s="43">
        <f t="shared" si="15"/>
        <v>26.488000000000021</v>
      </c>
      <c r="P28" s="43">
        <f t="shared" si="15"/>
        <v>42.481000000000023</v>
      </c>
      <c r="Q28" s="43">
        <f t="shared" si="15"/>
        <v>14.557999999999996</v>
      </c>
      <c r="R28" s="43">
        <f t="shared" si="15"/>
        <v>16.251999999999928</v>
      </c>
      <c r="S28" s="51">
        <f t="shared" si="15"/>
        <v>99.779000000000011</v>
      </c>
      <c r="T28" s="43">
        <f t="shared" ref="T28:BG28" si="16">T20+T26</f>
        <v>51.006999999999998</v>
      </c>
      <c r="U28" s="43">
        <f t="shared" si="16"/>
        <v>61.073999999999991</v>
      </c>
      <c r="V28" s="43">
        <f t="shared" si="16"/>
        <v>87.413000000000011</v>
      </c>
      <c r="W28" s="43">
        <f t="shared" si="16"/>
        <v>96.450999999999993</v>
      </c>
      <c r="X28" s="51">
        <f t="shared" si="16"/>
        <v>295.94500000000005</v>
      </c>
      <c r="Y28" s="43">
        <f t="shared" si="16"/>
        <v>118.93099999999994</v>
      </c>
      <c r="Z28" s="43">
        <f t="shared" si="16"/>
        <v>153.38199999999995</v>
      </c>
      <c r="AA28" s="43">
        <f t="shared" si="16"/>
        <v>172.33099999999999</v>
      </c>
      <c r="AB28" s="43">
        <f t="shared" si="16"/>
        <v>184.43900000000002</v>
      </c>
      <c r="AC28" s="51">
        <f t="shared" si="16"/>
        <v>629.08299999999963</v>
      </c>
      <c r="AD28" s="43">
        <f t="shared" si="16"/>
        <v>212.35700000000008</v>
      </c>
      <c r="AE28" s="43">
        <f t="shared" si="16"/>
        <v>227.26599999999999</v>
      </c>
      <c r="AF28" s="43">
        <f t="shared" si="16"/>
        <v>244.56800000000004</v>
      </c>
      <c r="AG28" s="43">
        <f t="shared" si="16"/>
        <v>262.95699999999999</v>
      </c>
      <c r="AH28" s="51">
        <f t="shared" si="16"/>
        <v>947.14800000000014</v>
      </c>
      <c r="AI28" s="43">
        <f t="shared" si="16"/>
        <v>266.42600000000016</v>
      </c>
      <c r="AJ28" s="43">
        <f t="shared" si="16"/>
        <v>281.46600000000012</v>
      </c>
      <c r="AK28" s="43">
        <f t="shared" si="16"/>
        <v>326.81799999999998</v>
      </c>
      <c r="AL28" s="43">
        <f t="shared" si="16"/>
        <v>359.51999999999975</v>
      </c>
      <c r="AM28" s="51">
        <f t="shared" si="16"/>
        <v>1234.23</v>
      </c>
      <c r="AN28" s="43">
        <f t="shared" si="16"/>
        <v>377.6909999999998</v>
      </c>
      <c r="AO28" s="43">
        <f t="shared" si="16"/>
        <v>394.322</v>
      </c>
      <c r="AP28" s="43">
        <f t="shared" si="16"/>
        <v>429.26800000000014</v>
      </c>
      <c r="AQ28" s="43">
        <f t="shared" si="16"/>
        <v>422.54300000000001</v>
      </c>
      <c r="AR28" s="51">
        <f t="shared" si="16"/>
        <v>1623.8239999999996</v>
      </c>
      <c r="AS28" s="43">
        <f t="shared" si="16"/>
        <v>487.4699999999998</v>
      </c>
      <c r="AT28" s="43">
        <f t="shared" si="16"/>
        <v>515.15700000000004</v>
      </c>
      <c r="AU28" s="43">
        <f t="shared" si="16"/>
        <v>565.36599999999987</v>
      </c>
      <c r="AV28" s="43">
        <f t="shared" si="16"/>
        <v>580.4409999999998</v>
      </c>
      <c r="AW28" s="51">
        <f t="shared" si="16"/>
        <v>2148.4340000000002</v>
      </c>
      <c r="AX28" s="375">
        <f t="shared" si="16"/>
        <v>580.15400000000011</v>
      </c>
      <c r="AY28" s="375">
        <f t="shared" si="16"/>
        <v>652.15900000000011</v>
      </c>
      <c r="AZ28" s="375">
        <f t="shared" si="16"/>
        <v>672.20400000000018</v>
      </c>
      <c r="BA28" s="375">
        <f t="shared" si="16"/>
        <v>681.92300000000023</v>
      </c>
      <c r="BB28" s="51">
        <f t="shared" si="16"/>
        <v>2586.4399999999996</v>
      </c>
      <c r="BC28" s="375">
        <f t="shared" si="16"/>
        <v>708.6</v>
      </c>
      <c r="BD28" s="375">
        <f t="shared" si="16"/>
        <v>787.6</v>
      </c>
      <c r="BE28" s="375">
        <f t="shared" si="16"/>
        <v>804.70000000000016</v>
      </c>
      <c r="BF28" s="443">
        <f t="shared" si="16"/>
        <v>779.99999999999989</v>
      </c>
      <c r="BG28" s="51">
        <f t="shared" si="16"/>
        <v>3058.0000000000009</v>
      </c>
      <c r="BH28" s="443">
        <f t="shared" ref="BH28:CE28" si="17">BH20+BH26</f>
        <v>845</v>
      </c>
      <c r="BI28" s="375">
        <f t="shared" si="17"/>
        <v>890.4</v>
      </c>
      <c r="BJ28" s="375">
        <f>BJ20+BJ26</f>
        <v>961.89999999999975</v>
      </c>
      <c r="BK28" s="375">
        <f>BK20+BK26</f>
        <v>992.50000000000011</v>
      </c>
      <c r="BL28" s="51">
        <f t="shared" si="17"/>
        <v>3689.7999999999997</v>
      </c>
      <c r="BM28" s="443">
        <f t="shared" si="17"/>
        <v>1057.5000000000002</v>
      </c>
      <c r="BN28" s="375">
        <f t="shared" si="17"/>
        <v>1222.4000000000005</v>
      </c>
      <c r="BO28" s="375">
        <f>BO20+BO26</f>
        <v>1171.5999999999999</v>
      </c>
      <c r="BP28" s="375">
        <f t="shared" si="17"/>
        <v>1129.4999999999998</v>
      </c>
      <c r="BQ28" s="51">
        <f t="shared" si="17"/>
        <v>4581</v>
      </c>
      <c r="BR28" s="443">
        <f t="shared" si="17"/>
        <v>1276.0999999999997</v>
      </c>
      <c r="BS28" s="375">
        <f t="shared" si="17"/>
        <v>1375.5</v>
      </c>
      <c r="BT28" s="375">
        <f>BT20+BT26</f>
        <v>1493.4999999999991</v>
      </c>
      <c r="BU28" s="375">
        <f t="shared" si="17"/>
        <v>1509.6999999999996</v>
      </c>
      <c r="BV28" s="51">
        <f>BV20+BV26</f>
        <v>5654.7999999999993</v>
      </c>
      <c r="BW28" s="375">
        <f t="shared" si="17"/>
        <v>1634</v>
      </c>
      <c r="BX28" s="375">
        <f t="shared" si="17"/>
        <v>1765</v>
      </c>
      <c r="BY28" s="375">
        <f t="shared" si="17"/>
        <v>1868</v>
      </c>
      <c r="BZ28" s="375">
        <f t="shared" si="17"/>
        <v>1851</v>
      </c>
      <c r="CA28" s="51">
        <f>CA20+CA26</f>
        <v>7118</v>
      </c>
      <c r="CB28" s="375">
        <f t="shared" si="17"/>
        <v>1844.7844282717188</v>
      </c>
      <c r="CC28" s="375">
        <f t="shared" si="17"/>
        <v>2002.3215198134776</v>
      </c>
      <c r="CD28" s="375">
        <f t="shared" si="17"/>
        <v>2022.3328751284671</v>
      </c>
      <c r="CE28" s="375">
        <f t="shared" si="17"/>
        <v>2147.9984431364246</v>
      </c>
      <c r="CF28" s="51">
        <f>CF20+CF26</f>
        <v>8017.4372663500881</v>
      </c>
      <c r="CG28" s="375"/>
      <c r="CH28" s="375"/>
      <c r="CI28" s="375"/>
      <c r="CJ28" s="375"/>
      <c r="CK28" s="51">
        <f>CK20+CK26</f>
        <v>9266.2254162217741</v>
      </c>
      <c r="CL28" s="375"/>
      <c r="CM28" s="375"/>
      <c r="CN28" s="375"/>
      <c r="CO28" s="375"/>
      <c r="CP28" s="51">
        <f>CP20+CP26</f>
        <v>10882.516925122052</v>
      </c>
      <c r="CQ28" s="375"/>
      <c r="CR28" s="375"/>
      <c r="CS28" s="375"/>
      <c r="CT28" s="375"/>
      <c r="CU28" s="51">
        <f>CU20+CU26</f>
        <v>12616.234970444442</v>
      </c>
      <c r="CV28" s="375"/>
      <c r="CW28" s="375"/>
      <c r="CX28" s="375"/>
      <c r="CY28" s="375"/>
      <c r="CZ28" s="51">
        <f>CZ20+CZ26</f>
        <v>13620.456753207773</v>
      </c>
      <c r="DA28" s="375"/>
      <c r="DB28" s="375"/>
      <c r="DC28" s="375"/>
      <c r="DD28" s="375"/>
      <c r="DE28" s="51">
        <f>DE20+DE26</f>
        <v>13886.900258748516</v>
      </c>
      <c r="DF28" s="375"/>
      <c r="DG28" s="375"/>
      <c r="DH28" s="375"/>
      <c r="DI28" s="375"/>
      <c r="DJ28" s="51">
        <f>DJ20+DJ26</f>
        <v>13538.163354754559</v>
      </c>
      <c r="DK28" s="375"/>
      <c r="DL28" s="375"/>
      <c r="DM28" s="375"/>
      <c r="DN28" s="375"/>
      <c r="DO28" s="51">
        <f>DO20+DO26</f>
        <v>10958.752576809016</v>
      </c>
      <c r="DP28" s="375"/>
      <c r="DQ28" s="375"/>
      <c r="DR28" s="375"/>
      <c r="DS28" s="375"/>
      <c r="DT28" s="51">
        <f>DT20+DT26</f>
        <v>6664.8840565986839</v>
      </c>
      <c r="DU28" s="375"/>
      <c r="DV28" s="375"/>
      <c r="DW28" s="375"/>
      <c r="DX28" s="375"/>
      <c r="DY28" s="51">
        <f>DY20+DY26</f>
        <v>5092.656094541825</v>
      </c>
      <c r="DZ28" s="375"/>
      <c r="EA28" s="375"/>
      <c r="EB28" s="375"/>
      <c r="EC28" s="375"/>
      <c r="ED28" s="51">
        <f>ED20+ED26</f>
        <v>4826.5855275575786</v>
      </c>
      <c r="EE28" s="375"/>
      <c r="EF28" s="375"/>
      <c r="EG28" s="375"/>
      <c r="EH28" s="375"/>
      <c r="EI28" s="51">
        <f>EI20+EI26</f>
        <v>4757.9660933193745</v>
      </c>
      <c r="EJ28" s="375"/>
      <c r="EK28" s="375"/>
      <c r="EL28" s="375"/>
      <c r="EM28" s="375"/>
      <c r="EN28" s="51">
        <f>EN20+EN26</f>
        <v>3429.3889652082767</v>
      </c>
    </row>
    <row r="29" spans="2:154">
      <c r="B29" t="s">
        <v>196</v>
      </c>
      <c r="D29" s="51">
        <v>-9.8000000000000004E-2</v>
      </c>
      <c r="E29" s="375">
        <v>0.13500000000000001</v>
      </c>
      <c r="F29" s="375">
        <v>0.13500000000000001</v>
      </c>
      <c r="G29" s="375">
        <v>0.13500000000000001</v>
      </c>
      <c r="H29" s="375">
        <v>0.313</v>
      </c>
      <c r="I29" s="12">
        <f>SUM(E29:H29)</f>
        <v>0.71799999999999997</v>
      </c>
      <c r="J29" s="375">
        <v>0.80100000000000005</v>
      </c>
      <c r="K29" s="375">
        <f>1.156-K80</f>
        <v>1.1829999999999998</v>
      </c>
      <c r="L29" s="375">
        <f>1.974-L80</f>
        <v>2.0209999999999999</v>
      </c>
      <c r="M29" s="375">
        <f>6.484-M80</f>
        <v>1.4660000000000002</v>
      </c>
      <c r="N29" s="12">
        <f>SUM(J29:M29)</f>
        <v>5.4710000000000001</v>
      </c>
      <c r="O29" s="43">
        <f>-34.172-O80</f>
        <v>7.4170000000000016</v>
      </c>
      <c r="P29" s="43">
        <f>29.968-P80</f>
        <v>11.895</v>
      </c>
      <c r="Q29" s="43">
        <f>12.975-Q80</f>
        <v>4.0760000000000005</v>
      </c>
      <c r="R29" s="43">
        <f>11.786-R80</f>
        <v>8.270999999999999</v>
      </c>
      <c r="S29" s="12">
        <f>SUM(O29:R29)</f>
        <v>31.658999999999999</v>
      </c>
      <c r="T29" s="43">
        <f>15.042-T80</f>
        <v>17.341999999999999</v>
      </c>
      <c r="U29" s="43">
        <f>26.735-U80</f>
        <v>18.524000000000001</v>
      </c>
      <c r="V29" s="43">
        <f>41.139-V80</f>
        <v>27.972000000000001</v>
      </c>
      <c r="W29" s="43">
        <f>50.998-W80</f>
        <v>21.988999999999997</v>
      </c>
      <c r="X29" s="12">
        <f>SUM(T29:W29)</f>
        <v>85.826999999999998</v>
      </c>
      <c r="Y29" s="43">
        <f>48.689-Y80</f>
        <v>33.301000000000002</v>
      </c>
      <c r="Z29" s="43">
        <f>78.224-Z80</f>
        <v>42.947000000000003</v>
      </c>
      <c r="AA29" s="43">
        <f>74.45-AA80</f>
        <v>48.253</v>
      </c>
      <c r="AB29" s="43">
        <f>89.172-AB80</f>
        <v>51.642999999999994</v>
      </c>
      <c r="AC29" s="12">
        <f>SUM(Y29:AB29)</f>
        <v>176.14400000000001</v>
      </c>
      <c r="AD29" s="43">
        <f>35.047-AD80</f>
        <v>53.089999999999996</v>
      </c>
      <c r="AE29" s="43">
        <f>39.033-AE80</f>
        <v>54.543999999999997</v>
      </c>
      <c r="AF29" s="43">
        <f>42.058-AF80</f>
        <v>58.695999999999998</v>
      </c>
      <c r="AG29" s="43">
        <f>48.69-AG80</f>
        <v>62.057000000000002</v>
      </c>
      <c r="AH29" s="12">
        <f>SUM(AD29:AG29)</f>
        <v>228.387</v>
      </c>
      <c r="AI29" s="43">
        <f>48.386-AI80</f>
        <v>61.278000000000006</v>
      </c>
      <c r="AJ29" s="43">
        <f>46.329-AJ80</f>
        <v>65.441000000000003</v>
      </c>
      <c r="AK29" s="43">
        <f>53.887-AK80</f>
        <v>67.001999999999995</v>
      </c>
      <c r="AL29" s="43">
        <f>50.354-AL80</f>
        <v>69.207999999999998</v>
      </c>
      <c r="AM29" s="12">
        <f>SUM(AI29:AL29)</f>
        <v>262.92899999999997</v>
      </c>
      <c r="AN29" s="43">
        <f>53.917-AN80</f>
        <v>83.13</v>
      </c>
      <c r="AO29" s="43">
        <f>16.927-AO80</f>
        <v>71.057000000000002</v>
      </c>
      <c r="AP29" s="43">
        <f>49.011-AP80</f>
        <v>79.39</v>
      </c>
      <c r="AQ29" s="43">
        <f>13.12-AQ80</f>
        <v>74.95</v>
      </c>
      <c r="AR29" s="12">
        <f>SUM(AN29:AQ29)</f>
        <v>308.52699999999999</v>
      </c>
      <c r="AS29" s="43">
        <f>31.722-AS80</f>
        <v>94.081999999999994</v>
      </c>
      <c r="AT29" s="43">
        <f>39.203-AT80</f>
        <v>97.863</v>
      </c>
      <c r="AU29" s="43">
        <f>39.657-AU80</f>
        <v>96.111999999999995</v>
      </c>
      <c r="AV29" s="43">
        <f>-8.516-AV80</f>
        <v>107.38199999999999</v>
      </c>
      <c r="AW29" s="12">
        <f>SUM(AS29:AV29)</f>
        <v>395.43900000000002</v>
      </c>
      <c r="AX29" s="375">
        <f>72.465-AX80</f>
        <v>95.725000000000009</v>
      </c>
      <c r="AY29" s="375">
        <f>73.311-AY80</f>
        <v>107.607</v>
      </c>
      <c r="AZ29" s="375">
        <f>52.347-AZ80</f>
        <v>110.91300000000001</v>
      </c>
      <c r="BA29" s="375">
        <f>27.188-BA80</f>
        <v>109.709</v>
      </c>
      <c r="BB29" s="12">
        <f>SUM(AX29:BA29)</f>
        <v>423.95400000000001</v>
      </c>
      <c r="BC29" s="387">
        <f>63.5-BC80</f>
        <v>116.9</v>
      </c>
      <c r="BD29" s="387">
        <f>79.7-BD80</f>
        <v>134.69999999999999</v>
      </c>
      <c r="BE29" s="375">
        <f>69.5-BE80</f>
        <v>135.19999999999999</v>
      </c>
      <c r="BF29" s="721">
        <f>2.8-BF80</f>
        <v>131</v>
      </c>
      <c r="BG29" s="12">
        <f>SUM(BC29:BF29)</f>
        <v>517.79999999999995</v>
      </c>
      <c r="BH29" s="391">
        <f>52.6-BH80</f>
        <v>140.1</v>
      </c>
      <c r="BI29" s="391">
        <f>109-BI80</f>
        <v>142.5</v>
      </c>
      <c r="BJ29" s="391">
        <f>69-BJ80</f>
        <v>156.30000000000001</v>
      </c>
      <c r="BK29" s="391">
        <f>96.9-BK80</f>
        <v>152.30000000000001</v>
      </c>
      <c r="BL29" s="12">
        <f>SUM(BH29:BK29)</f>
        <v>591.20000000000005</v>
      </c>
      <c r="BM29" s="391">
        <f>108.2-BM80</f>
        <v>166.5</v>
      </c>
      <c r="BN29" s="391">
        <f>114.6-BN80</f>
        <v>203.6</v>
      </c>
      <c r="BO29" s="391">
        <f>14.2-BO80</f>
        <v>160.39999999999998</v>
      </c>
      <c r="BP29" s="391">
        <f>184.5-BP80</f>
        <v>168.1</v>
      </c>
      <c r="BQ29" s="42">
        <f>SUM(BM29:BP29)</f>
        <v>698.6</v>
      </c>
      <c r="BR29" s="391">
        <f>120.9-BR80</f>
        <v>211.8</v>
      </c>
      <c r="BS29" s="391">
        <f>96.9-BS80</f>
        <v>223.60000000000002</v>
      </c>
      <c r="BT29" s="391">
        <f>85.4-BT80</f>
        <v>230</v>
      </c>
      <c r="BU29" s="391">
        <f>70.1-BU80</f>
        <v>219.6</v>
      </c>
      <c r="BV29" s="42">
        <f>SUM(BR29:BU29)</f>
        <v>885.00000000000011</v>
      </c>
      <c r="BW29" s="376">
        <f>84-BW80</f>
        <v>270</v>
      </c>
      <c r="BX29" s="376">
        <f>69-BX80</f>
        <v>291</v>
      </c>
      <c r="BY29" s="376">
        <f>3-BY80</f>
        <v>308</v>
      </c>
      <c r="BZ29" s="376">
        <f>1212-BZ80</f>
        <v>259</v>
      </c>
      <c r="CA29" s="42">
        <f>SUM(BW29:BZ29)</f>
        <v>1128</v>
      </c>
      <c r="CB29" s="375">
        <f t="shared" ref="CB29:CE29" si="18">CB28*CB30</f>
        <v>332.06119708890935</v>
      </c>
      <c r="CC29" s="375">
        <f t="shared" si="18"/>
        <v>360.41787356642595</v>
      </c>
      <c r="CD29" s="375">
        <f t="shared" si="18"/>
        <v>364.01991752312404</v>
      </c>
      <c r="CE29" s="375">
        <f t="shared" si="18"/>
        <v>386.63971976455639</v>
      </c>
      <c r="CF29" s="42">
        <f>CF28*CF30</f>
        <v>1443.1387079430158</v>
      </c>
      <c r="CG29" s="375"/>
      <c r="CH29" s="375"/>
      <c r="CI29" s="375"/>
      <c r="CJ29" s="375"/>
      <c r="CK29" s="42">
        <f>CK28*CK30</f>
        <v>1528.9271936765929</v>
      </c>
      <c r="CL29" s="375"/>
      <c r="CM29" s="375"/>
      <c r="CN29" s="375"/>
      <c r="CO29" s="375"/>
      <c r="CP29" s="42">
        <f>CP28*CP30</f>
        <v>1795.6152926451387</v>
      </c>
      <c r="CQ29" s="375"/>
      <c r="CR29" s="375"/>
      <c r="CS29" s="375"/>
      <c r="CT29" s="375"/>
      <c r="CU29" s="42">
        <f>CU28*CU30</f>
        <v>2081.6787701233329</v>
      </c>
      <c r="CV29" s="375"/>
      <c r="CW29" s="375"/>
      <c r="CX29" s="375"/>
      <c r="CY29" s="375"/>
      <c r="CZ29" s="42">
        <f>CZ28*CZ30</f>
        <v>2247.3753642792826</v>
      </c>
      <c r="DA29" s="375"/>
      <c r="DB29" s="375"/>
      <c r="DC29" s="375"/>
      <c r="DD29" s="375"/>
      <c r="DE29" s="42">
        <f>DE28*DE30</f>
        <v>2291.3385426935051</v>
      </c>
      <c r="DF29" s="375"/>
      <c r="DG29" s="375"/>
      <c r="DH29" s="375"/>
      <c r="DI29" s="375"/>
      <c r="DJ29" s="42">
        <f>DJ28*DJ30</f>
        <v>2233.7969535345023</v>
      </c>
      <c r="DK29" s="375"/>
      <c r="DL29" s="375"/>
      <c r="DM29" s="375"/>
      <c r="DN29" s="375"/>
      <c r="DO29" s="42">
        <f>DO28*DO30</f>
        <v>1808.1941751734878</v>
      </c>
      <c r="DP29" s="375"/>
      <c r="DQ29" s="375"/>
      <c r="DR29" s="375"/>
      <c r="DS29" s="375"/>
      <c r="DT29" s="42">
        <f>DT28*DT30</f>
        <v>1099.7058693387828</v>
      </c>
      <c r="DU29" s="375"/>
      <c r="DV29" s="375"/>
      <c r="DW29" s="375"/>
      <c r="DX29" s="375"/>
      <c r="DY29" s="42">
        <f>DY28*DY30</f>
        <v>840.28825559940117</v>
      </c>
      <c r="DZ29" s="375"/>
      <c r="EA29" s="375"/>
      <c r="EB29" s="375"/>
      <c r="EC29" s="375"/>
      <c r="ED29" s="42">
        <f>ED28*ED30</f>
        <v>796.38661204700054</v>
      </c>
      <c r="EE29" s="375"/>
      <c r="EF29" s="375"/>
      <c r="EG29" s="375"/>
      <c r="EH29" s="375"/>
      <c r="EI29" s="42">
        <f>EI28*EI30</f>
        <v>785.06440539769687</v>
      </c>
      <c r="EJ29" s="375"/>
      <c r="EK29" s="375"/>
      <c r="EL29" s="375"/>
      <c r="EM29" s="375"/>
      <c r="EN29" s="42">
        <f>EN28*EN30</f>
        <v>565.84917925936566</v>
      </c>
    </row>
    <row r="30" spans="2:154" s="28" customFormat="1" ht="13.5" thickBot="1">
      <c r="B30" s="27" t="s">
        <v>198</v>
      </c>
      <c r="C30" s="27"/>
      <c r="D30" s="86">
        <f t="shared" ref="D30:S30" si="19">D29/D28</f>
        <v>1.0817971078485485E-3</v>
      </c>
      <c r="E30" s="392">
        <f t="shared" si="19"/>
        <v>0.12408088235294137</v>
      </c>
      <c r="F30" s="392">
        <f t="shared" si="19"/>
        <v>4.349226804123707E-2</v>
      </c>
      <c r="G30" s="392">
        <f t="shared" si="19"/>
        <v>2.8901734104046159E-2</v>
      </c>
      <c r="H30" s="392">
        <f t="shared" si="19"/>
        <v>3.6801881246325573E-2</v>
      </c>
      <c r="I30" s="86">
        <f t="shared" si="19"/>
        <v>4.134039613081527E-2</v>
      </c>
      <c r="J30" s="392">
        <f t="shared" si="19"/>
        <v>8.2449819866186255E-2</v>
      </c>
      <c r="K30" s="392">
        <f t="shared" si="19"/>
        <v>8.6985294117647091E-2</v>
      </c>
      <c r="L30" s="392">
        <f t="shared" si="19"/>
        <v>8.700706044429142E-2</v>
      </c>
      <c r="M30" s="392">
        <f t="shared" si="19"/>
        <v>7.0596166811133523E-2</v>
      </c>
      <c r="N30" s="86">
        <f t="shared" si="19"/>
        <v>8.128184938121201E-2</v>
      </c>
      <c r="O30" s="76">
        <f t="shared" si="19"/>
        <v>0.28001359106010254</v>
      </c>
      <c r="P30" s="76">
        <f t="shared" si="19"/>
        <v>0.28000753277936002</v>
      </c>
      <c r="Q30" s="76">
        <f t="shared" si="19"/>
        <v>0.27998351421898621</v>
      </c>
      <c r="R30" s="76">
        <f t="shared" si="19"/>
        <v>0.50892197883337653</v>
      </c>
      <c r="S30" s="86">
        <f t="shared" si="19"/>
        <v>0.31729121358201623</v>
      </c>
      <c r="T30" s="76">
        <f t="shared" ref="T30:BK30" si="20">T29/T28</f>
        <v>0.33999255004215106</v>
      </c>
      <c r="U30" s="76">
        <f t="shared" si="20"/>
        <v>0.30330418836165968</v>
      </c>
      <c r="V30" s="76">
        <f t="shared" si="20"/>
        <v>0.31999816960863942</v>
      </c>
      <c r="W30" s="76">
        <f t="shared" si="20"/>
        <v>0.227981047371204</v>
      </c>
      <c r="X30" s="86">
        <f t="shared" si="20"/>
        <v>0.29000996806839102</v>
      </c>
      <c r="Y30" s="76">
        <f t="shared" si="20"/>
        <v>0.28000269063574695</v>
      </c>
      <c r="Z30" s="76">
        <f t="shared" si="20"/>
        <v>0.28000026078679385</v>
      </c>
      <c r="AA30" s="76">
        <f t="shared" si="20"/>
        <v>0.28000185689167939</v>
      </c>
      <c r="AB30" s="76">
        <f t="shared" si="20"/>
        <v>0.28000043374774308</v>
      </c>
      <c r="AC30" s="86">
        <f t="shared" si="20"/>
        <v>0.28000120810767437</v>
      </c>
      <c r="AD30" s="76">
        <f t="shared" si="20"/>
        <v>0.25000353178845047</v>
      </c>
      <c r="AE30" s="76">
        <f t="shared" si="20"/>
        <v>0.24000070402083901</v>
      </c>
      <c r="AF30" s="76">
        <f t="shared" si="20"/>
        <v>0.23999869157044254</v>
      </c>
      <c r="AG30" s="76">
        <f t="shared" si="20"/>
        <v>0.23599675992652794</v>
      </c>
      <c r="AH30" s="86">
        <f t="shared" si="20"/>
        <v>0.24113126987545766</v>
      </c>
      <c r="AI30" s="76">
        <f t="shared" si="20"/>
        <v>0.23000007506774853</v>
      </c>
      <c r="AJ30" s="76">
        <f t="shared" si="20"/>
        <v>0.23250055068818248</v>
      </c>
      <c r="AK30" s="76">
        <f t="shared" si="20"/>
        <v>0.20501318776811558</v>
      </c>
      <c r="AL30" s="76">
        <f t="shared" si="20"/>
        <v>0.19250111259457067</v>
      </c>
      <c r="AM30" s="86">
        <f t="shared" si="20"/>
        <v>0.21303079652900997</v>
      </c>
      <c r="AN30" s="76">
        <f t="shared" si="20"/>
        <v>0.22010055839297213</v>
      </c>
      <c r="AO30" s="76">
        <f t="shared" si="20"/>
        <v>0.18020044532133636</v>
      </c>
      <c r="AP30" s="76">
        <f t="shared" si="20"/>
        <v>0.18494273973368613</v>
      </c>
      <c r="AQ30" s="76">
        <f t="shared" si="20"/>
        <v>0.17737839699154878</v>
      </c>
      <c r="AR30" s="86">
        <f t="shared" si="20"/>
        <v>0.19000027096532632</v>
      </c>
      <c r="AS30" s="76">
        <f t="shared" si="20"/>
        <v>0.19300059490840468</v>
      </c>
      <c r="AT30" s="76">
        <f t="shared" si="20"/>
        <v>0.18996733034783569</v>
      </c>
      <c r="AU30" s="76">
        <f t="shared" si="20"/>
        <v>0.16999961087154164</v>
      </c>
      <c r="AV30" s="76">
        <f t="shared" si="20"/>
        <v>0.18500071497361495</v>
      </c>
      <c r="AW30" s="86">
        <f t="shared" si="20"/>
        <v>0.18405917984913661</v>
      </c>
      <c r="AX30" s="392">
        <f t="shared" si="20"/>
        <v>0.16499929329109167</v>
      </c>
      <c r="AY30" s="392">
        <f t="shared" si="20"/>
        <v>0.16500117302682318</v>
      </c>
      <c r="AZ30" s="392">
        <f t="shared" si="20"/>
        <v>0.16499901815520285</v>
      </c>
      <c r="BA30" s="392">
        <f t="shared" si="20"/>
        <v>0.16088180043787931</v>
      </c>
      <c r="BB30" s="86">
        <f t="shared" si="20"/>
        <v>0.16391410587525715</v>
      </c>
      <c r="BC30" s="392">
        <f t="shared" si="20"/>
        <v>0.16497318656505786</v>
      </c>
      <c r="BD30" s="392">
        <f t="shared" si="20"/>
        <v>0.17102590147282884</v>
      </c>
      <c r="BE30" s="392">
        <f t="shared" si="20"/>
        <v>0.16801292407108234</v>
      </c>
      <c r="BF30" s="392">
        <f t="shared" si="20"/>
        <v>0.16794871794871796</v>
      </c>
      <c r="BG30" s="86">
        <f t="shared" si="20"/>
        <v>0.16932635709614122</v>
      </c>
      <c r="BH30" s="392">
        <f t="shared" si="20"/>
        <v>0.16579881656804732</v>
      </c>
      <c r="BI30" s="392">
        <f t="shared" si="20"/>
        <v>0.16004043126684636</v>
      </c>
      <c r="BJ30" s="392">
        <f t="shared" si="20"/>
        <v>0.16249090342031403</v>
      </c>
      <c r="BK30" s="392">
        <f t="shared" si="20"/>
        <v>0.15345088161209067</v>
      </c>
      <c r="BL30" s="86">
        <f t="shared" ref="BL30:BZ30" si="21">BL29/BL28</f>
        <v>0.1602254864762318</v>
      </c>
      <c r="BM30" s="392">
        <f t="shared" si="21"/>
        <v>0.15744680851063828</v>
      </c>
      <c r="BN30" s="392">
        <f t="shared" si="21"/>
        <v>0.16655759162303657</v>
      </c>
      <c r="BO30" s="392">
        <f t="shared" si="21"/>
        <v>0.13690679412768864</v>
      </c>
      <c r="BP30" s="392">
        <f t="shared" si="21"/>
        <v>0.14882691456396638</v>
      </c>
      <c r="BQ30" s="86">
        <f t="shared" si="21"/>
        <v>0.15249945426762715</v>
      </c>
      <c r="BR30" s="392">
        <f t="shared" si="21"/>
        <v>0.165974453412742</v>
      </c>
      <c r="BS30" s="392">
        <f t="shared" si="21"/>
        <v>0.16255906942929846</v>
      </c>
      <c r="BT30" s="392">
        <f t="shared" si="21"/>
        <v>0.15400066956812866</v>
      </c>
      <c r="BU30" s="393">
        <f t="shared" si="21"/>
        <v>0.14545936278730878</v>
      </c>
      <c r="BV30" s="86">
        <f t="shared" ref="BV30" si="22">BV29/BV28</f>
        <v>0.15650420881375118</v>
      </c>
      <c r="BW30" s="392">
        <f t="shared" si="21"/>
        <v>0.16523867809057527</v>
      </c>
      <c r="BX30" s="392">
        <f t="shared" si="21"/>
        <v>0.16487252124645893</v>
      </c>
      <c r="BY30" s="392">
        <f t="shared" si="21"/>
        <v>0.16488222698072805</v>
      </c>
      <c r="BZ30" s="393">
        <f t="shared" si="21"/>
        <v>0.13992436520799567</v>
      </c>
      <c r="CA30" s="86">
        <f t="shared" ref="CA30" si="23">CA29/CA28</f>
        <v>0.1584714807530205</v>
      </c>
      <c r="CB30" s="392">
        <f>CF30</f>
        <v>0.18</v>
      </c>
      <c r="CC30" s="392">
        <f>CB30</f>
        <v>0.18</v>
      </c>
      <c r="CD30" s="392">
        <f t="shared" ref="CD30:CE30" si="24">CC30</f>
        <v>0.18</v>
      </c>
      <c r="CE30" s="393">
        <f t="shared" si="24"/>
        <v>0.18</v>
      </c>
      <c r="CF30" s="1015">
        <v>0.18</v>
      </c>
      <c r="CG30" s="392"/>
      <c r="CH30" s="392"/>
      <c r="CI30" s="392"/>
      <c r="CJ30" s="393"/>
      <c r="CK30" s="86">
        <v>0.16500000000000001</v>
      </c>
      <c r="CL30" s="392"/>
      <c r="CM30" s="392"/>
      <c r="CN30" s="392"/>
      <c r="CO30" s="393"/>
      <c r="CP30" s="86">
        <f>CK30</f>
        <v>0.16500000000000001</v>
      </c>
      <c r="CQ30" s="392"/>
      <c r="CR30" s="392"/>
      <c r="CS30" s="392"/>
      <c r="CT30" s="393"/>
      <c r="CU30" s="86">
        <f>CP30</f>
        <v>0.16500000000000001</v>
      </c>
      <c r="CV30" s="392"/>
      <c r="CW30" s="392"/>
      <c r="CX30" s="392"/>
      <c r="CY30" s="393"/>
      <c r="CZ30" s="86">
        <f>CU30</f>
        <v>0.16500000000000001</v>
      </c>
      <c r="DA30" s="392"/>
      <c r="DB30" s="392"/>
      <c r="DC30" s="392"/>
      <c r="DD30" s="393"/>
      <c r="DE30" s="86">
        <f>CZ30</f>
        <v>0.16500000000000001</v>
      </c>
      <c r="DF30" s="392"/>
      <c r="DG30" s="392"/>
      <c r="DH30" s="392"/>
      <c r="DI30" s="393"/>
      <c r="DJ30" s="86">
        <f>DE30</f>
        <v>0.16500000000000001</v>
      </c>
      <c r="DK30" s="392"/>
      <c r="DL30" s="392"/>
      <c r="DM30" s="392"/>
      <c r="DN30" s="393"/>
      <c r="DO30" s="86">
        <f>DJ30</f>
        <v>0.16500000000000001</v>
      </c>
      <c r="DP30" s="392"/>
      <c r="DQ30" s="392"/>
      <c r="DR30" s="392"/>
      <c r="DS30" s="393"/>
      <c r="DT30" s="86">
        <f>DO30</f>
        <v>0.16500000000000001</v>
      </c>
      <c r="DU30" s="392"/>
      <c r="DV30" s="392"/>
      <c r="DW30" s="392"/>
      <c r="DX30" s="393"/>
      <c r="DY30" s="86">
        <f>DT30</f>
        <v>0.16500000000000001</v>
      </c>
      <c r="DZ30" s="392"/>
      <c r="EA30" s="392"/>
      <c r="EB30" s="392"/>
      <c r="EC30" s="393"/>
      <c r="ED30" s="86">
        <f>DY30</f>
        <v>0.16500000000000001</v>
      </c>
      <c r="EE30" s="392"/>
      <c r="EF30" s="392"/>
      <c r="EG30" s="392"/>
      <c r="EH30" s="393"/>
      <c r="EI30" s="86">
        <f>ED30</f>
        <v>0.16500000000000001</v>
      </c>
      <c r="EJ30" s="392"/>
      <c r="EK30" s="392"/>
      <c r="EL30" s="392"/>
      <c r="EM30" s="393"/>
      <c r="EN30" s="86">
        <f>EI30</f>
        <v>0.16500000000000001</v>
      </c>
      <c r="ES30"/>
      <c r="ET30"/>
      <c r="EU30"/>
      <c r="EV30"/>
      <c r="EW30"/>
      <c r="EX30"/>
    </row>
    <row r="31" spans="2:154" s="28" customFormat="1" ht="13.5" thickBot="1">
      <c r="B31" s="27"/>
      <c r="C31" s="27"/>
      <c r="D31" s="86"/>
      <c r="E31" s="392"/>
      <c r="F31" s="392"/>
      <c r="G31" s="392"/>
      <c r="H31" s="392"/>
      <c r="I31" s="86"/>
      <c r="J31" s="392"/>
      <c r="K31" s="392"/>
      <c r="L31" s="392"/>
      <c r="M31" s="392"/>
      <c r="N31" s="86"/>
      <c r="O31" s="76"/>
      <c r="P31" s="76"/>
      <c r="Q31" s="76"/>
      <c r="R31" s="76"/>
      <c r="S31" s="86"/>
      <c r="T31" s="76"/>
      <c r="U31" s="76"/>
      <c r="V31" s="76"/>
      <c r="W31" s="76"/>
      <c r="X31" s="86"/>
      <c r="Y31" s="76"/>
      <c r="Z31" s="76"/>
      <c r="AA31" s="76"/>
      <c r="AB31" s="76"/>
      <c r="AC31" s="86"/>
      <c r="AD31" s="76"/>
      <c r="AE31" s="76"/>
      <c r="AF31" s="76"/>
      <c r="AG31" s="76"/>
      <c r="AH31" s="86"/>
      <c r="AI31" s="76"/>
      <c r="AJ31" s="76"/>
      <c r="AK31" s="76"/>
      <c r="AL31" s="76"/>
      <c r="AM31" s="86"/>
      <c r="AN31" s="76"/>
      <c r="AO31" s="76"/>
      <c r="AP31" s="76"/>
      <c r="AQ31" s="76"/>
      <c r="AR31" s="86"/>
      <c r="AS31" s="76"/>
      <c r="AT31" s="76"/>
      <c r="AU31" s="76"/>
      <c r="AV31" s="76"/>
      <c r="AW31" s="86"/>
      <c r="AX31" s="392"/>
      <c r="AY31" s="392"/>
      <c r="AZ31" s="392"/>
      <c r="BA31" s="392"/>
      <c r="BB31" s="86"/>
      <c r="BC31" s="392"/>
      <c r="BD31" s="392"/>
      <c r="BE31" s="392"/>
      <c r="BF31" s="393"/>
      <c r="BG31" s="86"/>
      <c r="BH31" s="392"/>
      <c r="BI31" s="392"/>
      <c r="BJ31" s="783"/>
      <c r="BK31" s="783"/>
      <c r="BL31" s="784"/>
      <c r="BM31" s="392"/>
      <c r="BN31" s="392"/>
      <c r="BO31" s="392"/>
      <c r="BP31" s="393"/>
      <c r="BQ31" s="86"/>
      <c r="BR31" s="392"/>
      <c r="BS31" s="392"/>
      <c r="BT31" s="392"/>
      <c r="BU31" s="393"/>
      <c r="BV31" s="86"/>
      <c r="BW31" s="392"/>
      <c r="BX31" s="392"/>
      <c r="BY31" s="392"/>
      <c r="BZ31" s="393"/>
      <c r="CA31" s="86"/>
      <c r="CB31" s="392"/>
      <c r="CC31" s="392"/>
      <c r="CD31" s="377" t="s">
        <v>432</v>
      </c>
      <c r="CE31" s="378"/>
      <c r="CF31" s="379" t="s">
        <v>1052</v>
      </c>
      <c r="CG31" s="392"/>
      <c r="CH31" s="392"/>
      <c r="CI31" s="392"/>
      <c r="CJ31" s="393"/>
      <c r="CK31" s="86"/>
      <c r="CL31" s="392"/>
      <c r="CM31" s="392"/>
      <c r="CN31" s="392"/>
      <c r="CO31" s="393"/>
      <c r="CP31" s="86"/>
      <c r="CQ31" s="392"/>
      <c r="CR31" s="392"/>
      <c r="CS31" s="392"/>
      <c r="CT31" s="393"/>
      <c r="CU31" s="86"/>
      <c r="CV31" s="392"/>
      <c r="CW31" s="392"/>
      <c r="CX31" s="392"/>
      <c r="CY31" s="393"/>
      <c r="CZ31" s="86"/>
      <c r="DA31" s="392"/>
      <c r="DB31" s="392"/>
      <c r="DC31" s="392"/>
      <c r="DD31" s="393"/>
      <c r="DE31" s="86"/>
      <c r="DF31" s="392"/>
      <c r="DG31" s="392"/>
      <c r="DH31" s="392"/>
      <c r="DI31" s="393"/>
      <c r="DJ31" s="86"/>
      <c r="DK31" s="392"/>
      <c r="DL31" s="392"/>
      <c r="DM31" s="392"/>
      <c r="DN31" s="393"/>
      <c r="DO31" s="86"/>
      <c r="DP31" s="392"/>
      <c r="DQ31" s="392"/>
      <c r="DR31" s="392"/>
      <c r="DS31" s="393"/>
      <c r="DT31" s="86"/>
      <c r="DU31" s="392"/>
      <c r="DV31" s="392"/>
      <c r="DW31" s="392"/>
      <c r="DX31" s="393"/>
      <c r="DY31" s="86"/>
      <c r="DZ31" s="392"/>
      <c r="EA31" s="392"/>
      <c r="EB31" s="392"/>
      <c r="EC31" s="393"/>
      <c r="ED31" s="86"/>
      <c r="EE31" s="392"/>
      <c r="EF31" s="392"/>
      <c r="EG31" s="392"/>
      <c r="EH31" s="393"/>
      <c r="EI31" s="86"/>
      <c r="EJ31" s="392"/>
      <c r="EK31" s="392"/>
      <c r="EL31" s="392"/>
      <c r="EM31" s="393"/>
      <c r="EN31" s="86"/>
      <c r="ES31"/>
      <c r="ET31"/>
      <c r="EU31"/>
      <c r="EV31"/>
      <c r="EW31"/>
      <c r="EX31"/>
    </row>
    <row r="32" spans="2:154" ht="13.5" thickBot="1">
      <c r="B32" s="45" t="s">
        <v>197</v>
      </c>
      <c r="C32" s="45"/>
      <c r="D32" s="88">
        <f t="shared" ref="D32:S32" si="25">D28-D29</f>
        <v>-90.492000000000004</v>
      </c>
      <c r="E32" s="394">
        <f t="shared" si="25"/>
        <v>0.95299999999999829</v>
      </c>
      <c r="F32" s="394">
        <f t="shared" si="25"/>
        <v>2.969000000000003</v>
      </c>
      <c r="G32" s="394">
        <f t="shared" si="25"/>
        <v>4.5360000000000138</v>
      </c>
      <c r="H32" s="394">
        <f t="shared" si="25"/>
        <v>8.1920000000000268</v>
      </c>
      <c r="I32" s="88">
        <f t="shared" si="25"/>
        <v>16.650000000000009</v>
      </c>
      <c r="J32" s="394">
        <f t="shared" si="25"/>
        <v>8.9140000000000068</v>
      </c>
      <c r="K32" s="394">
        <f t="shared" si="25"/>
        <v>12.416999999999993</v>
      </c>
      <c r="L32" s="394">
        <f t="shared" si="25"/>
        <v>21.206999999999987</v>
      </c>
      <c r="M32" s="394">
        <f t="shared" si="25"/>
        <v>19.300000000000018</v>
      </c>
      <c r="N32" s="88">
        <f t="shared" si="25"/>
        <v>61.838000000000008</v>
      </c>
      <c r="O32" s="92">
        <f t="shared" si="25"/>
        <v>19.071000000000019</v>
      </c>
      <c r="P32" s="92">
        <f t="shared" si="25"/>
        <v>30.586000000000023</v>
      </c>
      <c r="Q32" s="92">
        <f t="shared" si="25"/>
        <v>10.481999999999996</v>
      </c>
      <c r="R32" s="92">
        <f t="shared" si="25"/>
        <v>7.9809999999999288</v>
      </c>
      <c r="S32" s="88">
        <f t="shared" si="25"/>
        <v>68.12</v>
      </c>
      <c r="T32" s="92">
        <f t="shared" ref="T32:BG32" si="26">T28-T29</f>
        <v>33.664999999999999</v>
      </c>
      <c r="U32" s="92">
        <f t="shared" si="26"/>
        <v>42.54999999999999</v>
      </c>
      <c r="V32" s="92">
        <f t="shared" si="26"/>
        <v>59.44100000000001</v>
      </c>
      <c r="W32" s="92">
        <f t="shared" si="26"/>
        <v>74.461999999999989</v>
      </c>
      <c r="X32" s="88">
        <f t="shared" si="26"/>
        <v>210.11800000000005</v>
      </c>
      <c r="Y32" s="92">
        <f t="shared" si="26"/>
        <v>85.629999999999939</v>
      </c>
      <c r="Z32" s="92">
        <f t="shared" si="26"/>
        <v>110.43499999999995</v>
      </c>
      <c r="AA32" s="92">
        <f t="shared" si="26"/>
        <v>124.07799999999999</v>
      </c>
      <c r="AB32" s="92">
        <f t="shared" si="26"/>
        <v>132.79600000000002</v>
      </c>
      <c r="AC32" s="88">
        <f t="shared" si="26"/>
        <v>452.93899999999962</v>
      </c>
      <c r="AD32" s="92">
        <f t="shared" si="26"/>
        <v>159.26700000000008</v>
      </c>
      <c r="AE32" s="92">
        <f t="shared" si="26"/>
        <v>172.72199999999998</v>
      </c>
      <c r="AF32" s="92">
        <f t="shared" si="26"/>
        <v>185.87200000000004</v>
      </c>
      <c r="AG32" s="92">
        <f t="shared" si="26"/>
        <v>200.89999999999998</v>
      </c>
      <c r="AH32" s="88">
        <f t="shared" si="26"/>
        <v>718.76100000000019</v>
      </c>
      <c r="AI32" s="92">
        <f t="shared" si="26"/>
        <v>205.14800000000014</v>
      </c>
      <c r="AJ32" s="92">
        <f t="shared" si="26"/>
        <v>216.02500000000012</v>
      </c>
      <c r="AK32" s="92">
        <f t="shared" si="26"/>
        <v>259.81599999999997</v>
      </c>
      <c r="AL32" s="92">
        <f t="shared" si="26"/>
        <v>290.31199999999978</v>
      </c>
      <c r="AM32" s="88">
        <f t="shared" si="26"/>
        <v>971.30100000000004</v>
      </c>
      <c r="AN32" s="92">
        <f t="shared" si="26"/>
        <v>294.56099999999981</v>
      </c>
      <c r="AO32" s="92">
        <f t="shared" si="26"/>
        <v>323.26499999999999</v>
      </c>
      <c r="AP32" s="92">
        <f t="shared" si="26"/>
        <v>349.87800000000016</v>
      </c>
      <c r="AQ32" s="92">
        <f t="shared" si="26"/>
        <v>347.59300000000002</v>
      </c>
      <c r="AR32" s="88">
        <f t="shared" si="26"/>
        <v>1315.2969999999996</v>
      </c>
      <c r="AS32" s="92">
        <f t="shared" si="26"/>
        <v>393.38799999999981</v>
      </c>
      <c r="AT32" s="92">
        <f t="shared" si="26"/>
        <v>417.29400000000004</v>
      </c>
      <c r="AU32" s="92">
        <f t="shared" si="26"/>
        <v>469.25399999999991</v>
      </c>
      <c r="AV32" s="92">
        <f t="shared" si="26"/>
        <v>473.0589999999998</v>
      </c>
      <c r="AW32" s="88">
        <f t="shared" si="26"/>
        <v>1752.9950000000001</v>
      </c>
      <c r="AX32" s="394">
        <f t="shared" si="26"/>
        <v>484.42900000000009</v>
      </c>
      <c r="AY32" s="394">
        <f t="shared" si="26"/>
        <v>544.55200000000013</v>
      </c>
      <c r="AZ32" s="394">
        <f t="shared" si="26"/>
        <v>561.29100000000017</v>
      </c>
      <c r="BA32" s="394">
        <f t="shared" si="26"/>
        <v>572.21400000000017</v>
      </c>
      <c r="BB32" s="88">
        <f t="shared" si="26"/>
        <v>2162.4859999999994</v>
      </c>
      <c r="BC32" s="395">
        <f t="shared" si="26"/>
        <v>591.70000000000005</v>
      </c>
      <c r="BD32" s="395">
        <f t="shared" si="26"/>
        <v>652.90000000000009</v>
      </c>
      <c r="BE32" s="395">
        <f t="shared" si="26"/>
        <v>669.50000000000023</v>
      </c>
      <c r="BF32" s="396">
        <f>BF28-BF29</f>
        <v>648.99999999999989</v>
      </c>
      <c r="BG32" s="88">
        <f t="shared" si="26"/>
        <v>2540.2000000000007</v>
      </c>
      <c r="BH32" s="396">
        <f t="shared" ref="BH32:CE32" si="27">BH28-BH29</f>
        <v>704.9</v>
      </c>
      <c r="BI32" s="396">
        <f t="shared" si="27"/>
        <v>747.9</v>
      </c>
      <c r="BJ32" s="781">
        <f t="shared" si="27"/>
        <v>805.59999999999968</v>
      </c>
      <c r="BK32" s="781">
        <f t="shared" si="27"/>
        <v>840.2</v>
      </c>
      <c r="BL32" s="782">
        <f t="shared" si="27"/>
        <v>3098.5999999999995</v>
      </c>
      <c r="BM32" s="394">
        <f>BM28-BM29</f>
        <v>891.00000000000023</v>
      </c>
      <c r="BN32" s="394">
        <f t="shared" si="27"/>
        <v>1018.8000000000005</v>
      </c>
      <c r="BO32" s="394">
        <f t="shared" si="27"/>
        <v>1011.1999999999999</v>
      </c>
      <c r="BP32" s="394">
        <f t="shared" si="27"/>
        <v>961.39999999999975</v>
      </c>
      <c r="BQ32" s="88">
        <f t="shared" si="27"/>
        <v>3882.4</v>
      </c>
      <c r="BR32" s="394">
        <f t="shared" si="27"/>
        <v>1064.2999999999997</v>
      </c>
      <c r="BS32" s="394">
        <f t="shared" si="27"/>
        <v>1151.9000000000001</v>
      </c>
      <c r="BT32" s="394">
        <f t="shared" si="27"/>
        <v>1263.4999999999991</v>
      </c>
      <c r="BU32" s="394">
        <f t="shared" si="27"/>
        <v>1290.0999999999997</v>
      </c>
      <c r="BV32" s="88">
        <f>BV28-BV29</f>
        <v>4769.7999999999993</v>
      </c>
      <c r="BW32" s="394">
        <f t="shared" si="27"/>
        <v>1364</v>
      </c>
      <c r="BX32" s="394">
        <f t="shared" si="27"/>
        <v>1474</v>
      </c>
      <c r="BY32" s="394">
        <f t="shared" si="27"/>
        <v>1560</v>
      </c>
      <c r="BZ32" s="394">
        <f t="shared" si="27"/>
        <v>1592</v>
      </c>
      <c r="CA32" s="88">
        <f>CA28-CA29</f>
        <v>5990</v>
      </c>
      <c r="CB32" s="394">
        <f t="shared" si="27"/>
        <v>1512.7232311828093</v>
      </c>
      <c r="CC32" s="394">
        <f t="shared" si="27"/>
        <v>1641.9036462470517</v>
      </c>
      <c r="CD32" s="394">
        <f t="shared" si="27"/>
        <v>1658.3129576053429</v>
      </c>
      <c r="CE32" s="394">
        <f t="shared" si="27"/>
        <v>1761.3587233718681</v>
      </c>
      <c r="CF32" s="88">
        <f>CF28-CF29</f>
        <v>6574.2985584070721</v>
      </c>
      <c r="CG32" s="396"/>
      <c r="CH32" s="396"/>
      <c r="CI32" s="396"/>
      <c r="CJ32" s="396"/>
      <c r="CK32" s="88">
        <f>CK28-CK29</f>
        <v>7737.2982225451815</v>
      </c>
      <c r="CL32" s="396"/>
      <c r="CM32" s="396"/>
      <c r="CN32" s="396"/>
      <c r="CO32" s="396"/>
      <c r="CP32" s="88">
        <f>CP28-CP29</f>
        <v>9086.9016324769145</v>
      </c>
      <c r="CQ32" s="396"/>
      <c r="CR32" s="396"/>
      <c r="CS32" s="396"/>
      <c r="CT32" s="396"/>
      <c r="CU32" s="88">
        <f>CU28-CU29</f>
        <v>10534.556200321109</v>
      </c>
      <c r="CV32" s="396"/>
      <c r="CW32" s="396"/>
      <c r="CX32" s="396"/>
      <c r="CY32" s="396"/>
      <c r="CZ32" s="88">
        <f>CZ28-CZ29</f>
        <v>11373.081388928491</v>
      </c>
      <c r="DA32" s="396"/>
      <c r="DB32" s="396"/>
      <c r="DC32" s="396"/>
      <c r="DD32" s="396"/>
      <c r="DE32" s="88">
        <f>DE28-DE29</f>
        <v>11595.56171605501</v>
      </c>
      <c r="DF32" s="396"/>
      <c r="DG32" s="396"/>
      <c r="DH32" s="396"/>
      <c r="DI32" s="396"/>
      <c r="DJ32" s="88">
        <f>DJ28-DJ29</f>
        <v>11304.366401220057</v>
      </c>
      <c r="DK32" s="396"/>
      <c r="DL32" s="396"/>
      <c r="DM32" s="396"/>
      <c r="DN32" s="396"/>
      <c r="DO32" s="88">
        <f>DO28-DO29</f>
        <v>9150.5584016355278</v>
      </c>
      <c r="DP32" s="396"/>
      <c r="DQ32" s="396"/>
      <c r="DR32" s="396"/>
      <c r="DS32" s="396"/>
      <c r="DT32" s="88">
        <f>DT28-DT29</f>
        <v>5565.1781872599013</v>
      </c>
      <c r="DU32" s="396"/>
      <c r="DV32" s="396"/>
      <c r="DW32" s="396"/>
      <c r="DX32" s="396"/>
      <c r="DY32" s="88">
        <f>DY28-DY29</f>
        <v>4252.367838942424</v>
      </c>
      <c r="DZ32" s="396"/>
      <c r="EA32" s="396"/>
      <c r="EB32" s="396"/>
      <c r="EC32" s="396"/>
      <c r="ED32" s="88">
        <f>ED28-ED29</f>
        <v>4030.198915510578</v>
      </c>
      <c r="EE32" s="396"/>
      <c r="EF32" s="396"/>
      <c r="EG32" s="396"/>
      <c r="EH32" s="396"/>
      <c r="EI32" s="88">
        <f>EI28-EI29</f>
        <v>3972.9016879216779</v>
      </c>
      <c r="EJ32" s="396"/>
      <c r="EK32" s="396"/>
      <c r="EL32" s="396"/>
      <c r="EM32" s="396"/>
      <c r="EN32" s="88">
        <f>EN28-EN29</f>
        <v>2863.5397859489112</v>
      </c>
    </row>
    <row r="33" spans="2:144">
      <c r="E33" s="387"/>
      <c r="F33" s="387"/>
      <c r="G33" s="387"/>
      <c r="H33" s="387"/>
      <c r="I33" s="50"/>
      <c r="J33" s="387"/>
      <c r="K33" s="387"/>
      <c r="L33" s="387"/>
      <c r="M33" s="387"/>
      <c r="N33" s="50"/>
      <c r="O33" s="75"/>
      <c r="P33" s="75"/>
      <c r="Q33" s="75"/>
      <c r="R33" s="75"/>
      <c r="S33" s="50"/>
      <c r="T33" s="75"/>
      <c r="U33" s="75"/>
      <c r="V33" s="75"/>
      <c r="W33" s="75"/>
      <c r="X33" s="50"/>
      <c r="Y33" s="75"/>
      <c r="Z33" s="75"/>
      <c r="AA33" s="75"/>
      <c r="AB33" s="75"/>
      <c r="AC33" s="50"/>
      <c r="AD33" s="75"/>
      <c r="AE33" s="75"/>
      <c r="AF33" s="75"/>
      <c r="AG33" s="75"/>
      <c r="AH33" s="50"/>
      <c r="AI33" s="75"/>
      <c r="AJ33" s="75"/>
      <c r="AK33" s="75"/>
      <c r="AL33" s="75"/>
      <c r="AM33" s="50"/>
      <c r="AN33" s="75"/>
      <c r="AO33" s="75"/>
      <c r="AP33" s="75"/>
      <c r="AQ33" s="75"/>
      <c r="AR33" s="50"/>
      <c r="AS33" s="75"/>
      <c r="AT33" s="75"/>
      <c r="AU33" s="75"/>
      <c r="AV33" s="75"/>
      <c r="AW33" s="50"/>
      <c r="AX33" s="387"/>
      <c r="AY33" s="387"/>
      <c r="AZ33" s="387"/>
      <c r="BA33" s="387"/>
      <c r="BB33" s="50"/>
      <c r="BC33" s="387"/>
      <c r="BD33" s="387"/>
      <c r="BE33" s="387"/>
      <c r="BF33" s="387"/>
      <c r="BG33" s="50"/>
      <c r="BH33" s="387"/>
      <c r="BI33" s="387"/>
      <c r="BJ33" s="387"/>
      <c r="BK33" s="387"/>
      <c r="BL33" s="50"/>
      <c r="BM33" s="387"/>
      <c r="BN33" s="387"/>
      <c r="BO33" s="387"/>
      <c r="BP33" s="387"/>
      <c r="BQ33" s="50"/>
      <c r="BR33" s="407"/>
      <c r="BS33" s="387"/>
      <c r="BT33" s="387"/>
      <c r="BU33" s="387"/>
      <c r="BV33" s="942"/>
      <c r="BW33" s="387"/>
      <c r="BX33" s="387"/>
      <c r="BY33" s="387"/>
      <c r="BZ33" s="387"/>
      <c r="CA33" s="50"/>
      <c r="CB33" s="387"/>
      <c r="CC33" s="387"/>
      <c r="CD33" s="387"/>
      <c r="CE33" s="387"/>
      <c r="CF33" s="50"/>
      <c r="CG33" s="387"/>
      <c r="CH33" s="387"/>
      <c r="CI33" s="387"/>
      <c r="CJ33" s="387"/>
      <c r="CK33" s="50"/>
      <c r="CL33" s="387"/>
      <c r="CM33" s="387"/>
      <c r="CN33" s="387"/>
      <c r="CO33" s="387"/>
      <c r="CP33" s="50"/>
      <c r="CQ33" s="387"/>
      <c r="CR33" s="387"/>
      <c r="CS33" s="387"/>
      <c r="CT33" s="387"/>
      <c r="CU33" s="50"/>
      <c r="CV33" s="387"/>
      <c r="CW33" s="387"/>
      <c r="CX33" s="387"/>
      <c r="CY33" s="387"/>
      <c r="CZ33" s="50"/>
      <c r="DA33" s="387"/>
      <c r="DB33" s="387"/>
      <c r="DC33" s="387"/>
      <c r="DD33" s="387"/>
      <c r="DE33" s="50"/>
      <c r="DF33" s="387"/>
      <c r="DG33" s="387"/>
      <c r="DH33" s="387"/>
      <c r="DI33" s="387"/>
      <c r="DJ33" s="50"/>
      <c r="DK33" s="387"/>
      <c r="DL33" s="387"/>
      <c r="DM33" s="387"/>
      <c r="DN33" s="387"/>
      <c r="DO33" s="50"/>
      <c r="DP33" s="387"/>
      <c r="DQ33" s="387"/>
      <c r="DR33" s="387"/>
      <c r="DS33" s="387"/>
      <c r="DT33" s="50"/>
      <c r="DU33" s="387"/>
      <c r="DV33" s="387"/>
      <c r="DW33" s="387"/>
      <c r="DX33" s="387"/>
      <c r="DY33" s="50"/>
      <c r="DZ33" s="387"/>
      <c r="EA33" s="387"/>
      <c r="EB33" s="387"/>
      <c r="EC33" s="387"/>
      <c r="ED33" s="50"/>
      <c r="EE33" s="387"/>
      <c r="EF33" s="387"/>
      <c r="EG33" s="387"/>
      <c r="EH33" s="387"/>
      <c r="EI33" s="50"/>
      <c r="EJ33" s="387"/>
      <c r="EK33" s="387"/>
      <c r="EL33" s="387"/>
      <c r="EM33" s="387"/>
      <c r="EN33" s="50"/>
    </row>
    <row r="34" spans="2:144" ht="13.5" thickBot="1">
      <c r="B34" s="45" t="s">
        <v>779</v>
      </c>
      <c r="C34" s="45"/>
      <c r="D34" s="87">
        <f t="shared" ref="D34:AI34" si="28">D32/D87</f>
        <v>-0.14626246169362658</v>
      </c>
      <c r="E34" s="398">
        <f t="shared" si="28"/>
        <v>1.4191684536573718E-3</v>
      </c>
      <c r="F34" s="398">
        <f t="shared" si="28"/>
        <v>4.3593041558014469E-3</v>
      </c>
      <c r="G34" s="398">
        <f t="shared" si="28"/>
        <v>6.5679352705074415E-3</v>
      </c>
      <c r="H34" s="398">
        <f t="shared" si="28"/>
        <v>1.1753632836711776E-2</v>
      </c>
      <c r="I34" s="87">
        <f t="shared" si="28"/>
        <v>2.4371179652919288E-2</v>
      </c>
      <c r="J34" s="398">
        <f t="shared" si="28"/>
        <v>1.2768871113759564E-2</v>
      </c>
      <c r="K34" s="398">
        <f t="shared" si="28"/>
        <v>1.7552614020604554E-2</v>
      </c>
      <c r="L34" s="398">
        <f t="shared" si="28"/>
        <v>2.9942563141011142E-2</v>
      </c>
      <c r="M34" s="398">
        <f t="shared" si="28"/>
        <v>2.7782736124466682E-2</v>
      </c>
      <c r="N34" s="87">
        <f t="shared" si="28"/>
        <v>8.9436232680570438E-2</v>
      </c>
      <c r="O34" s="80">
        <f t="shared" si="28"/>
        <v>2.4947935198945125E-2</v>
      </c>
      <c r="P34" s="80">
        <f t="shared" si="28"/>
        <v>3.9717332474561509E-2</v>
      </c>
      <c r="Q34" s="80">
        <f t="shared" si="28"/>
        <v>1.4569503285852482E-2</v>
      </c>
      <c r="R34" s="80">
        <f t="shared" si="28"/>
        <v>1.108478380435437E-2</v>
      </c>
      <c r="S34" s="87">
        <f t="shared" si="28"/>
        <v>8.7202752800933994E-2</v>
      </c>
      <c r="T34" s="80">
        <f t="shared" si="28"/>
        <v>4.2007841297332905E-2</v>
      </c>
      <c r="U34" s="80">
        <f t="shared" si="28"/>
        <v>5.2741700774206014E-2</v>
      </c>
      <c r="V34" s="80">
        <f t="shared" si="28"/>
        <v>7.3409689323170116E-2</v>
      </c>
      <c r="W34" s="80">
        <f t="shared" si="28"/>
        <v>8.8786027367206075E-2</v>
      </c>
      <c r="X34" s="87">
        <f t="shared" si="28"/>
        <v>0.25801547714652706</v>
      </c>
      <c r="Y34" s="80">
        <f t="shared" si="28"/>
        <v>9.9730728198534305E-2</v>
      </c>
      <c r="Z34" s="80">
        <f t="shared" si="28"/>
        <v>0.12800288378842631</v>
      </c>
      <c r="AA34" s="80">
        <f t="shared" si="28"/>
        <v>0.14333771547790405</v>
      </c>
      <c r="AB34" s="80">
        <f t="shared" si="28"/>
        <v>0.15304367869079177</v>
      </c>
      <c r="AC34" s="87">
        <f t="shared" si="28"/>
        <v>0.52440732833477621</v>
      </c>
      <c r="AD34" s="80">
        <f t="shared" si="28"/>
        <v>0.18015039396976296</v>
      </c>
      <c r="AE34" s="80">
        <f t="shared" si="28"/>
        <v>0.18505122276815078</v>
      </c>
      <c r="AF34" s="80">
        <f t="shared" si="28"/>
        <v>0.1982038469495043</v>
      </c>
      <c r="AG34" s="80">
        <f t="shared" si="28"/>
        <v>0.21441821049912801</v>
      </c>
      <c r="AH34" s="87">
        <f t="shared" si="28"/>
        <v>0.77851009258577319</v>
      </c>
      <c r="AI34" s="80">
        <f t="shared" si="28"/>
        <v>0.21912605077920566</v>
      </c>
      <c r="AJ34" s="80">
        <f t="shared" ref="AJ34:CE34" si="29">AJ32/AJ87</f>
        <v>0.23124954504776477</v>
      </c>
      <c r="AK34" s="80">
        <f t="shared" si="29"/>
        <v>0.27814164009960235</v>
      </c>
      <c r="AL34" s="80">
        <f t="shared" si="29"/>
        <v>0.31084984956045936</v>
      </c>
      <c r="AM34" s="87">
        <f t="shared" si="29"/>
        <v>1.0391491246464137</v>
      </c>
      <c r="AN34" s="80">
        <f t="shared" si="29"/>
        <v>0.3149340860249541</v>
      </c>
      <c r="AO34" s="80">
        <f t="shared" si="29"/>
        <v>0.34579344279830987</v>
      </c>
      <c r="AP34" s="80">
        <f t="shared" si="29"/>
        <v>0.375138313476236</v>
      </c>
      <c r="AQ34" s="80">
        <f t="shared" si="29"/>
        <v>0.36457566355994958</v>
      </c>
      <c r="AR34" s="87">
        <f t="shared" si="29"/>
        <v>1.4006915617538871</v>
      </c>
      <c r="AS34" s="80">
        <f t="shared" si="29"/>
        <v>0.41651720012282001</v>
      </c>
      <c r="AT34" s="80">
        <f t="shared" si="29"/>
        <v>0.44396568233176303</v>
      </c>
      <c r="AU34" s="80">
        <f t="shared" si="29"/>
        <v>0.51058037560115765</v>
      </c>
      <c r="AV34" s="80">
        <f t="shared" si="29"/>
        <v>0.52591679321929863</v>
      </c>
      <c r="AW34" s="87">
        <f t="shared" si="29"/>
        <v>1.8941140750473262</v>
      </c>
      <c r="AX34" s="398">
        <f t="shared" si="29"/>
        <v>0.53993664706485545</v>
      </c>
      <c r="AY34" s="398">
        <f t="shared" si="29"/>
        <v>0.61133551424741639</v>
      </c>
      <c r="AZ34" s="398">
        <f t="shared" si="29"/>
        <v>0.64328102651556851</v>
      </c>
      <c r="BA34" s="398">
        <f t="shared" si="29"/>
        <v>0.66180981240313685</v>
      </c>
      <c r="BB34" s="87">
        <f t="shared" si="29"/>
        <v>2.4529328759789104</v>
      </c>
      <c r="BC34" s="398">
        <f t="shared" si="29"/>
        <v>0.68452105506709859</v>
      </c>
      <c r="BD34" s="398">
        <f t="shared" si="29"/>
        <v>0.76042394595853724</v>
      </c>
      <c r="BE34" s="398">
        <f t="shared" si="29"/>
        <v>0.78066697761194059</v>
      </c>
      <c r="BF34" s="398">
        <f t="shared" si="29"/>
        <v>0.75711619225384952</v>
      </c>
      <c r="BG34" s="87">
        <f t="shared" si="29"/>
        <v>2.9516616314199404</v>
      </c>
      <c r="BH34" s="398">
        <f t="shared" si="29"/>
        <v>0.8342011834319526</v>
      </c>
      <c r="BI34" s="398">
        <f t="shared" si="29"/>
        <v>0.9</v>
      </c>
      <c r="BJ34" s="398">
        <f>BJ32/BJ87</f>
        <v>0.96733909702209386</v>
      </c>
      <c r="BK34" s="398">
        <f>BK32/BK87</f>
        <v>1.0067098011023246</v>
      </c>
      <c r="BL34" s="87">
        <f t="shared" si="29"/>
        <v>3.7064593301435402</v>
      </c>
      <c r="BM34" s="398">
        <f t="shared" si="29"/>
        <v>1.0682172401390724</v>
      </c>
      <c r="BN34" s="398">
        <f t="shared" si="29"/>
        <v>1.2344601962922581</v>
      </c>
      <c r="BO34" s="398">
        <f>BO32/BO87</f>
        <v>1.2277804759592035</v>
      </c>
      <c r="BP34" s="398">
        <f t="shared" si="29"/>
        <v>1.1774647887323941</v>
      </c>
      <c r="BQ34" s="87">
        <f>BQ32/BQ87</f>
        <v>4.7066525231095619</v>
      </c>
      <c r="BR34" s="398">
        <f t="shared" si="29"/>
        <v>1.3176922124551191</v>
      </c>
      <c r="BS34" s="398">
        <f t="shared" si="29"/>
        <v>1.4371802869619466</v>
      </c>
      <c r="BT34" s="398">
        <f t="shared" si="29"/>
        <v>1.576419213973798</v>
      </c>
      <c r="BU34" s="398">
        <f t="shared" si="29"/>
        <v>1.6082024432809767</v>
      </c>
      <c r="BV34" s="87">
        <f>BV32/BV87</f>
        <v>5.9383111830433561</v>
      </c>
      <c r="BW34" s="398">
        <f t="shared" si="29"/>
        <v>1.6814595660749505</v>
      </c>
      <c r="BX34" s="398">
        <f t="shared" si="29"/>
        <v>1.8159418504373537</v>
      </c>
      <c r="BY34" s="398">
        <f t="shared" si="29"/>
        <v>1.9136408243375858</v>
      </c>
      <c r="BZ34" s="398">
        <f t="shared" si="29"/>
        <v>1.9964885879107099</v>
      </c>
      <c r="CA34" s="87">
        <f>CA32/CA87</f>
        <v>7.4053469324679329</v>
      </c>
      <c r="CB34" s="398">
        <f t="shared" si="29"/>
        <v>1.9211623459268596</v>
      </c>
      <c r="CC34" s="398">
        <f t="shared" si="29"/>
        <v>2.1120448240893386</v>
      </c>
      <c r="CD34" s="398">
        <f t="shared" si="29"/>
        <v>2.1539329232437239</v>
      </c>
      <c r="CE34" s="398">
        <f t="shared" si="29"/>
        <v>2.3027307143049658</v>
      </c>
      <c r="CF34" s="87">
        <f>CF32/CF87</f>
        <v>8.4840605993122633</v>
      </c>
      <c r="CG34" s="398"/>
      <c r="CH34" s="398"/>
      <c r="CI34" s="398"/>
      <c r="CJ34" s="398"/>
      <c r="CK34" s="87">
        <f>CK32/CK87</f>
        <v>9.9340655135479174</v>
      </c>
      <c r="CL34" s="398"/>
      <c r="CM34" s="398"/>
      <c r="CN34" s="398"/>
      <c r="CO34" s="398"/>
      <c r="CP34" s="87">
        <f>CP32/CP87</f>
        <v>12.111585856610883</v>
      </c>
      <c r="CQ34" s="398"/>
      <c r="CR34" s="398"/>
      <c r="CS34" s="398"/>
      <c r="CT34" s="398"/>
      <c r="CU34" s="87">
        <f>CU32/CU87</f>
        <v>14.607288577876373</v>
      </c>
      <c r="CV34" s="398"/>
      <c r="CW34" s="398"/>
      <c r="CX34" s="398"/>
      <c r="CY34" s="398"/>
      <c r="CZ34" s="87">
        <f>CZ32/CZ87</f>
        <v>16.289500998714214</v>
      </c>
      <c r="DA34" s="398"/>
      <c r="DB34" s="398"/>
      <c r="DC34" s="398"/>
      <c r="DD34" s="398"/>
      <c r="DE34" s="87">
        <f>DE32/DE87</f>
        <v>17.117130640790734</v>
      </c>
      <c r="DF34" s="398"/>
      <c r="DG34" s="398"/>
      <c r="DH34" s="398"/>
      <c r="DI34" s="398"/>
      <c r="DJ34" s="87">
        <f>DJ32/DJ87</f>
        <v>17.053635726666151</v>
      </c>
      <c r="DK34" s="398"/>
      <c r="DL34" s="398"/>
      <c r="DM34" s="398"/>
      <c r="DN34" s="398"/>
      <c r="DO34" s="87">
        <f>DO32/DO87</f>
        <v>14.006770620961207</v>
      </c>
      <c r="DP34" s="398"/>
      <c r="DQ34" s="398"/>
      <c r="DR34" s="398"/>
      <c r="DS34" s="398"/>
      <c r="DT34" s="87">
        <f>DT32/DT87</f>
        <v>8.6299235806425667</v>
      </c>
      <c r="DU34" s="398"/>
      <c r="DV34" s="398"/>
      <c r="DW34" s="398"/>
      <c r="DX34" s="398"/>
      <c r="DY34" s="87">
        <f>DY32/DY87</f>
        <v>6.6685446116635685</v>
      </c>
      <c r="DZ34" s="398"/>
      <c r="EA34" s="398"/>
      <c r="EB34" s="398"/>
      <c r="EC34" s="398"/>
      <c r="ED34" s="87">
        <f>ED32/ED87</f>
        <v>6.3397790050046963</v>
      </c>
      <c r="EE34" s="398"/>
      <c r="EF34" s="398"/>
      <c r="EG34" s="398"/>
      <c r="EH34" s="398"/>
      <c r="EI34" s="87">
        <f>EI32/EI87</f>
        <v>6.1918178788278162</v>
      </c>
      <c r="EJ34" s="398"/>
      <c r="EK34" s="398"/>
      <c r="EL34" s="398"/>
      <c r="EM34" s="398"/>
      <c r="EN34" s="87">
        <f>EN32/EN87</f>
        <v>4.3853110242444853</v>
      </c>
    </row>
    <row r="35" spans="2:144" ht="13.5" thickBot="1">
      <c r="B35" s="66"/>
      <c r="C35" s="66"/>
      <c r="D35" s="138"/>
      <c r="E35" s="399"/>
      <c r="F35" s="399"/>
      <c r="G35" s="399"/>
      <c r="H35" s="399"/>
      <c r="I35" s="138"/>
      <c r="J35" s="399"/>
      <c r="K35" s="399"/>
      <c r="L35" s="399"/>
      <c r="M35" s="399"/>
      <c r="N35" s="138"/>
      <c r="O35" s="139"/>
      <c r="P35" s="139"/>
      <c r="Q35" s="139"/>
      <c r="R35" s="139"/>
      <c r="S35" s="138"/>
      <c r="T35" s="139"/>
      <c r="U35" s="139"/>
      <c r="V35" s="139"/>
      <c r="W35" s="139"/>
      <c r="X35" s="138"/>
      <c r="Y35" s="139"/>
      <c r="Z35" s="139"/>
      <c r="AA35" s="139"/>
      <c r="AB35" s="139"/>
      <c r="AC35" s="138"/>
      <c r="AD35" s="139"/>
      <c r="AE35" s="139"/>
      <c r="AF35" s="139"/>
      <c r="AG35" s="139"/>
      <c r="AH35" s="138"/>
      <c r="AI35" s="139"/>
      <c r="AJ35" s="139"/>
      <c r="AK35" s="139"/>
      <c r="AL35" s="139"/>
      <c r="AM35" s="138"/>
      <c r="AN35" s="139"/>
      <c r="AO35" s="139"/>
      <c r="AP35" s="139"/>
      <c r="AQ35" s="139"/>
      <c r="AR35" s="138"/>
      <c r="AS35" s="139"/>
      <c r="AT35" s="139"/>
      <c r="AU35" s="139"/>
      <c r="AV35" s="139"/>
      <c r="AW35" s="138"/>
      <c r="AX35" s="399"/>
      <c r="AY35" s="399"/>
      <c r="AZ35" s="399"/>
      <c r="BA35" s="399"/>
      <c r="BB35" s="138"/>
      <c r="BC35" s="399"/>
      <c r="BD35" s="399"/>
      <c r="BE35" s="399"/>
      <c r="BF35" s="399"/>
      <c r="BG35" s="138"/>
      <c r="BH35" s="399"/>
      <c r="BI35" s="777"/>
      <c r="BJ35" s="775"/>
      <c r="BK35" s="775"/>
      <c r="BL35" s="776"/>
      <c r="BM35" s="399"/>
      <c r="BN35" s="399"/>
      <c r="BO35" s="387"/>
      <c r="BP35" s="387"/>
      <c r="BQ35" s="50"/>
      <c r="BR35" s="399"/>
      <c r="BS35" s="399"/>
      <c r="BT35" s="399"/>
      <c r="BU35" s="399"/>
      <c r="BV35" s="50"/>
      <c r="BW35" s="399"/>
      <c r="BX35" s="399"/>
      <c r="BY35" s="399"/>
      <c r="BZ35" s="399"/>
      <c r="CA35" s="975"/>
      <c r="CB35" s="399"/>
      <c r="CC35" s="399"/>
      <c r="CD35" s="377" t="s">
        <v>432</v>
      </c>
      <c r="CE35" s="378"/>
      <c r="CF35" s="785" t="s">
        <v>1049</v>
      </c>
      <c r="CG35" s="399"/>
      <c r="CH35" s="399"/>
      <c r="CI35" s="399"/>
      <c r="CJ35" s="399"/>
      <c r="CK35" s="1012"/>
      <c r="CL35" s="1014"/>
      <c r="CM35" s="1014"/>
      <c r="CN35" s="1014"/>
      <c r="CO35" s="1014"/>
      <c r="CP35" s="379" t="s">
        <v>1022</v>
      </c>
      <c r="CQ35" s="399"/>
      <c r="CR35" s="399"/>
      <c r="CS35" s="399"/>
      <c r="CT35" s="399"/>
      <c r="CU35" s="138"/>
      <c r="CV35" s="399"/>
      <c r="CW35" s="399"/>
      <c r="CX35" s="399"/>
      <c r="CY35" s="399"/>
      <c r="CZ35" s="138"/>
      <c r="DA35" s="399"/>
      <c r="DB35" s="399"/>
      <c r="DC35" s="399"/>
      <c r="DD35" s="399"/>
      <c r="DE35" s="138"/>
      <c r="DF35" s="399"/>
      <c r="DG35" s="399"/>
      <c r="DH35" s="399"/>
      <c r="DI35" s="399"/>
      <c r="DJ35" s="138"/>
      <c r="DK35" s="399"/>
      <c r="DL35" s="399"/>
      <c r="DM35" s="399"/>
      <c r="DN35" s="399"/>
      <c r="DO35" s="138"/>
      <c r="DP35" s="399"/>
      <c r="DQ35" s="399"/>
      <c r="DR35" s="399"/>
      <c r="DS35" s="399"/>
      <c r="DT35" s="138"/>
      <c r="DU35" s="399"/>
      <c r="DV35" s="399"/>
      <c r="DW35" s="399"/>
      <c r="DX35" s="399"/>
      <c r="DY35" s="138"/>
      <c r="DZ35" s="399"/>
      <c r="EA35" s="399"/>
      <c r="EB35" s="399"/>
      <c r="EC35" s="399"/>
      <c r="ED35" s="138"/>
      <c r="EE35" s="399"/>
      <c r="EF35" s="399"/>
      <c r="EG35" s="399"/>
      <c r="EH35" s="399"/>
      <c r="EI35" s="138"/>
      <c r="EJ35" s="399"/>
      <c r="EK35" s="399"/>
      <c r="EL35" s="399"/>
      <c r="EM35" s="399"/>
      <c r="EN35" s="138"/>
    </row>
    <row r="36" spans="2:144">
      <c r="B36" s="381" t="s">
        <v>345</v>
      </c>
      <c r="C36" s="400"/>
      <c r="D36" s="401"/>
      <c r="E36" s="401"/>
      <c r="F36" s="401"/>
      <c r="G36" s="401"/>
      <c r="H36" s="401"/>
      <c r="I36" s="401"/>
      <c r="J36" s="401"/>
      <c r="K36" s="401"/>
      <c r="L36" s="401"/>
      <c r="M36" s="401"/>
      <c r="N36" s="401"/>
      <c r="O36" s="401"/>
      <c r="P36" s="401"/>
      <c r="Q36" s="401"/>
      <c r="R36" s="401"/>
      <c r="S36" s="401"/>
      <c r="T36" s="401"/>
      <c r="U36" s="401"/>
      <c r="V36" s="401"/>
      <c r="W36" s="401"/>
      <c r="X36" s="401"/>
      <c r="Y36" s="401"/>
      <c r="Z36" s="401"/>
      <c r="AA36" s="401"/>
      <c r="AB36" s="401"/>
      <c r="AC36" s="401"/>
      <c r="AD36" s="401"/>
      <c r="AE36" s="401"/>
      <c r="AF36" s="401"/>
      <c r="AG36" s="401"/>
      <c r="AH36" s="401"/>
      <c r="AI36" s="401"/>
      <c r="AJ36" s="401"/>
      <c r="AK36" s="401"/>
      <c r="AL36" s="401"/>
      <c r="AM36" s="401"/>
      <c r="AN36" s="401"/>
      <c r="AO36" s="401"/>
      <c r="AP36" s="401"/>
      <c r="AQ36" s="401"/>
      <c r="AR36" s="401"/>
      <c r="AS36" s="401"/>
      <c r="AT36" s="401"/>
      <c r="AU36" s="401"/>
      <c r="AV36" s="401"/>
      <c r="AW36" s="401"/>
      <c r="AX36" s="401"/>
      <c r="AY36" s="401"/>
      <c r="AZ36" s="401"/>
      <c r="BA36" s="401"/>
      <c r="BB36" s="401"/>
      <c r="BC36" s="401"/>
      <c r="BD36" s="401"/>
      <c r="BE36" s="401"/>
      <c r="BF36" s="400"/>
      <c r="BG36" s="400"/>
      <c r="BH36" s="402"/>
      <c r="BI36" s="402"/>
      <c r="BJ36" s="402"/>
      <c r="BK36" s="402"/>
      <c r="BL36" s="403"/>
      <c r="BM36" s="402"/>
      <c r="BN36" s="402"/>
      <c r="BO36" s="402"/>
      <c r="BP36" s="402"/>
      <c r="BQ36" s="403"/>
      <c r="BR36" s="402"/>
      <c r="BS36" s="402"/>
      <c r="BT36" s="402"/>
      <c r="BU36" s="402"/>
      <c r="BV36" s="403"/>
      <c r="BW36" s="402"/>
      <c r="BX36" s="402"/>
      <c r="BY36" s="402"/>
      <c r="BZ36" s="402"/>
      <c r="CA36" s="403"/>
      <c r="CB36" s="1010" t="e">
        <f ca="1">_xll.TR($FA$1,"TR.EPSMean","Period=#1 Curn=#2 NULL=-",,LEFT($CB$2,1)&amp;"CQ20"&amp;MID($CB$2,3,2),$FA$2)</f>
        <v>#NAME?</v>
      </c>
      <c r="CC36" s="1010" t="e">
        <f ca="1">_xll.TR($FA$1,"TR.EPSMean","Period=#1 Curn=#2 NULL=-",,LEFT($CC$2,1)&amp;"CQ20"&amp;MID($CC$2,3,2),$FA$2)</f>
        <v>#NAME?</v>
      </c>
      <c r="CD36" s="1010" t="e">
        <f ca="1">_xll.TR($FA$1,"TR.EPSMean","Period=#1 Curn=#2 NULL=-",,LEFT($CD$2,1)&amp;"CQ20"&amp;MID($CD$2,3,2),$FA$2)</f>
        <v>#NAME?</v>
      </c>
      <c r="CE36" s="1010" t="e">
        <f ca="1">_xll.TR($FA$1,"TR.EPSMean","Period=#1 Curn=#2 NULL=-",,LEFT($CE$2,1)&amp;"CQ20"&amp;MID($CE$2,3,2),$FA$2)</f>
        <v>#NAME?</v>
      </c>
      <c r="CF36" s="403" t="e">
        <f ca="1">_xll.TR($FA$1,"AVAIL(TR.EPSMean(Methodology=WeightedAnnual),TR.EPSMean(Methodology=InterimSum))","Period=#1 Curn=#2 NULL=-",,"CY"&amp;LEFT($CB$1,4),$FA$2)</f>
        <v>#NAME?</v>
      </c>
      <c r="CG36" s="404"/>
      <c r="CH36" s="404"/>
      <c r="CI36" s="404"/>
      <c r="CJ36" s="404"/>
      <c r="CK36" s="403" t="e">
        <f ca="1">_xll.TR($FA$1,"AVAIL(TR.EPSMean(Methodology=WeightedAnnual),TR.EPSMean(Methodology=InterimSum))","Period=#1 Curn=#2 NULL=-",,"CY"&amp;LEFT($CG$1,4),$FA$2)</f>
        <v>#NAME?</v>
      </c>
      <c r="CL36" s="404"/>
      <c r="CM36" s="404"/>
      <c r="CN36" s="404"/>
      <c r="CO36" s="404"/>
      <c r="CP36" s="403" t="e">
        <f ca="1">_xll.TR($FA$1,"AVAIL(TR.EPSMean(Methodology=WeightedAnnual),TR.EPSMean(Methodology=InterimSum))","Period=#1 Curn=#2 NULL=-",,"CY"&amp;LEFT($CL$1,4),$FA$2)</f>
        <v>#NAME?</v>
      </c>
      <c r="CQ36" s="404"/>
      <c r="CR36" s="404"/>
      <c r="CS36" s="404"/>
      <c r="CT36" s="404"/>
      <c r="CU36" s="404"/>
      <c r="CV36" s="404"/>
      <c r="CW36" s="404"/>
      <c r="CX36" s="404"/>
      <c r="CY36" s="404"/>
      <c r="CZ36" s="404"/>
      <c r="DA36" s="404"/>
      <c r="DB36" s="404"/>
      <c r="DC36" s="404"/>
      <c r="DD36" s="404"/>
      <c r="DE36" s="404"/>
      <c r="DF36" s="404"/>
      <c r="DG36" s="404"/>
      <c r="DH36" s="404"/>
      <c r="DI36" s="404"/>
      <c r="DJ36" s="404"/>
      <c r="DK36" s="404"/>
      <c r="DL36" s="404"/>
      <c r="DM36" s="404"/>
      <c r="DN36" s="404"/>
      <c r="DO36" s="404"/>
      <c r="DP36" s="404"/>
      <c r="DQ36" s="404"/>
      <c r="DR36" s="404"/>
      <c r="DS36" s="404"/>
      <c r="DT36" s="404"/>
      <c r="DU36" s="404"/>
      <c r="DV36" s="404"/>
      <c r="DW36" s="404"/>
      <c r="DX36" s="404"/>
      <c r="DY36" s="404"/>
      <c r="DZ36" s="404"/>
      <c r="EA36" s="404"/>
      <c r="EB36" s="404"/>
      <c r="EC36" s="404"/>
      <c r="ED36" s="404"/>
      <c r="EE36" s="404"/>
      <c r="EF36" s="404"/>
      <c r="EG36" s="404"/>
      <c r="EH36" s="404"/>
      <c r="EI36" s="404"/>
      <c r="EJ36" s="404"/>
      <c r="EK36" s="404"/>
      <c r="EL36" s="404"/>
      <c r="EM36" s="404"/>
      <c r="EN36" s="404"/>
    </row>
    <row r="37" spans="2:144" hidden="1" outlineLevel="2">
      <c r="E37" s="387"/>
      <c r="F37" s="387"/>
      <c r="G37" s="405"/>
      <c r="H37" s="387"/>
      <c r="J37" s="387"/>
      <c r="K37" s="387"/>
      <c r="L37" s="405"/>
      <c r="M37" s="387"/>
      <c r="O37" s="75"/>
      <c r="P37" s="75"/>
      <c r="Q37" s="78"/>
      <c r="R37" s="75"/>
      <c r="T37" s="75"/>
      <c r="U37" s="75"/>
      <c r="V37" s="78"/>
      <c r="W37" s="75"/>
      <c r="Y37" s="75"/>
      <c r="Z37" s="75"/>
      <c r="AA37" s="78"/>
      <c r="AB37" s="75"/>
      <c r="AD37" s="75"/>
      <c r="AE37" s="75"/>
      <c r="AF37" s="78"/>
      <c r="AG37" s="75"/>
      <c r="AI37" s="75"/>
      <c r="AJ37" s="75"/>
      <c r="AK37" s="78"/>
      <c r="AL37" s="75"/>
      <c r="AN37" s="75"/>
      <c r="AO37" s="75"/>
      <c r="AP37" s="78"/>
      <c r="AQ37" s="75"/>
      <c r="AS37" s="75"/>
      <c r="AT37" s="75"/>
      <c r="AU37" s="78"/>
      <c r="AV37" s="75"/>
      <c r="AX37" s="387"/>
      <c r="AY37" s="387"/>
      <c r="AZ37" s="405"/>
      <c r="BA37" s="387"/>
      <c r="BC37" s="387"/>
      <c r="BD37" s="387"/>
      <c r="BE37" s="405"/>
      <c r="BF37" s="387"/>
      <c r="BH37" s="387"/>
      <c r="BI37" s="387"/>
      <c r="BJ37" s="387"/>
      <c r="BK37" s="387"/>
      <c r="BM37" s="387"/>
      <c r="BN37" s="387"/>
      <c r="BO37" s="387"/>
      <c r="BP37" s="387"/>
      <c r="BQ37" s="12"/>
      <c r="BR37" s="388"/>
      <c r="BS37" s="387"/>
      <c r="BT37" s="387"/>
      <c r="BU37" s="387"/>
      <c r="BW37" s="387"/>
      <c r="BX37" s="387"/>
      <c r="BY37" s="387"/>
      <c r="BZ37" s="387"/>
      <c r="CB37" s="387"/>
      <c r="CC37" s="387"/>
      <c r="CD37" s="387"/>
      <c r="CE37" s="387"/>
      <c r="CG37" s="387"/>
      <c r="CH37" s="387"/>
      <c r="CI37" s="387"/>
      <c r="CJ37" s="387"/>
      <c r="CL37" s="387"/>
      <c r="CM37" s="387"/>
      <c r="CN37" s="387"/>
      <c r="CO37" s="387"/>
      <c r="CQ37" s="387"/>
      <c r="CR37" s="387"/>
      <c r="CS37" s="387"/>
      <c r="CT37" s="387"/>
      <c r="CV37" s="387"/>
      <c r="CW37" s="387"/>
      <c r="CX37" s="387"/>
      <c r="CY37" s="387"/>
      <c r="DA37" s="387"/>
      <c r="DB37" s="387"/>
      <c r="DC37" s="387"/>
      <c r="DD37" s="387"/>
      <c r="DF37" s="387"/>
      <c r="DG37" s="387"/>
      <c r="DH37" s="387"/>
      <c r="DI37" s="387"/>
      <c r="DK37" s="387"/>
      <c r="DL37" s="387"/>
      <c r="DM37" s="387"/>
      <c r="DN37" s="387"/>
      <c r="DP37" s="387"/>
      <c r="DQ37" s="387"/>
      <c r="DR37" s="387"/>
      <c r="DS37" s="387"/>
      <c r="DU37" s="387"/>
      <c r="DV37" s="387"/>
      <c r="DW37" s="387"/>
      <c r="DX37" s="387"/>
      <c r="DZ37" s="387"/>
      <c r="EA37" s="387"/>
      <c r="EB37" s="387"/>
      <c r="EC37" s="387"/>
      <c r="EE37" s="387"/>
      <c r="EF37" s="387"/>
      <c r="EG37" s="387"/>
      <c r="EH37" s="387"/>
      <c r="EJ37" s="387"/>
      <c r="EK37" s="387"/>
      <c r="EL37" s="387"/>
      <c r="EM37" s="387"/>
    </row>
    <row r="38" spans="2:144" hidden="1" outlineLevel="2">
      <c r="B38" t="s">
        <v>201</v>
      </c>
      <c r="D38" s="89"/>
      <c r="E38" s="388"/>
      <c r="F38" s="388"/>
      <c r="G38" s="388"/>
      <c r="H38" s="388"/>
      <c r="I38" s="51"/>
      <c r="J38" s="388"/>
      <c r="K38" s="388"/>
      <c r="L38" s="388"/>
      <c r="M38" s="388"/>
      <c r="N38" s="51"/>
      <c r="O38" s="79"/>
      <c r="P38" s="79"/>
      <c r="Q38" s="79"/>
      <c r="R38" s="79"/>
      <c r="S38" s="51"/>
      <c r="T38" s="79">
        <f t="shared" ref="T38:Y38" si="30">T56+T61+T50</f>
        <v>14.782999999999999</v>
      </c>
      <c r="U38" s="79">
        <f t="shared" si="30"/>
        <v>20.716999999999999</v>
      </c>
      <c r="V38" s="79">
        <f t="shared" si="30"/>
        <v>23.193000000000001</v>
      </c>
      <c r="W38" s="79">
        <f t="shared" si="30"/>
        <v>17.945999999999998</v>
      </c>
      <c r="X38" s="51">
        <f t="shared" si="30"/>
        <v>76.638999999999996</v>
      </c>
      <c r="Y38" s="79">
        <f t="shared" si="30"/>
        <v>9.5739999999999981</v>
      </c>
      <c r="Z38" s="79">
        <v>16.981000000000002</v>
      </c>
      <c r="AA38" s="79">
        <f t="shared" ref="AA38:BF38" si="31">AA56+AA61+AA50</f>
        <v>15.076000000000001</v>
      </c>
      <c r="AB38" s="79">
        <f t="shared" si="31"/>
        <v>17.193999999999996</v>
      </c>
      <c r="AC38" s="51">
        <f>SUM(Y38:AB38)</f>
        <v>58.824999999999996</v>
      </c>
      <c r="AD38" s="79">
        <f t="shared" si="31"/>
        <v>21.275999999999996</v>
      </c>
      <c r="AE38" s="79">
        <f t="shared" si="31"/>
        <v>26.145</v>
      </c>
      <c r="AF38" s="79">
        <f t="shared" si="31"/>
        <v>28.228000000000002</v>
      </c>
      <c r="AG38" s="79">
        <f t="shared" si="31"/>
        <v>30.928000000000001</v>
      </c>
      <c r="AH38" s="51">
        <f t="shared" si="31"/>
        <v>106.57700000000001</v>
      </c>
      <c r="AI38" s="79">
        <f t="shared" si="31"/>
        <v>32.524000000000001</v>
      </c>
      <c r="AJ38" s="79">
        <f t="shared" si="31"/>
        <v>35.329000000000001</v>
      </c>
      <c r="AK38" s="79">
        <f t="shared" si="31"/>
        <v>36.655999999999999</v>
      </c>
      <c r="AL38" s="79">
        <f t="shared" si="31"/>
        <v>39.29</v>
      </c>
      <c r="AM38" s="51">
        <f t="shared" si="31"/>
        <v>143.79899999999998</v>
      </c>
      <c r="AN38" s="79">
        <f t="shared" si="31"/>
        <v>40.580000000000005</v>
      </c>
      <c r="AO38" s="79">
        <f t="shared" si="31"/>
        <v>43.809999999999995</v>
      </c>
      <c r="AP38" s="79">
        <f t="shared" si="31"/>
        <v>47.167999999999999</v>
      </c>
      <c r="AQ38" s="79">
        <f t="shared" si="31"/>
        <v>51.238999999999997</v>
      </c>
      <c r="AR38" s="51">
        <f t="shared" si="31"/>
        <v>182.79700000000003</v>
      </c>
      <c r="AS38" s="79">
        <f t="shared" si="31"/>
        <v>57.692999999999998</v>
      </c>
      <c r="AT38" s="79">
        <f t="shared" si="31"/>
        <v>50.912999999999997</v>
      </c>
      <c r="AU38" s="79">
        <f t="shared" si="31"/>
        <v>54.352000000000004</v>
      </c>
      <c r="AV38" s="79">
        <f t="shared" si="31"/>
        <v>54.244</v>
      </c>
      <c r="AW38" s="51">
        <f t="shared" si="31"/>
        <v>217.202</v>
      </c>
      <c r="AX38" s="388">
        <f t="shared" si="31"/>
        <v>54.719999999999992</v>
      </c>
      <c r="AY38" s="388">
        <f t="shared" si="31"/>
        <v>53.613999999999997</v>
      </c>
      <c r="AZ38" s="388">
        <f t="shared" si="31"/>
        <v>62.707000000000001</v>
      </c>
      <c r="BA38" s="388">
        <f t="shared" si="31"/>
        <v>60.002000000000002</v>
      </c>
      <c r="BB38" s="51">
        <f t="shared" si="31"/>
        <v>231.04300000000001</v>
      </c>
      <c r="BC38" s="388">
        <f t="shared" si="31"/>
        <v>65.599999999999994</v>
      </c>
      <c r="BD38" s="388">
        <f t="shared" si="31"/>
        <v>69.8</v>
      </c>
      <c r="BE38" s="388">
        <f>BE56+BE61+BE50</f>
        <v>92</v>
      </c>
      <c r="BF38" s="388">
        <f t="shared" si="31"/>
        <v>98.4</v>
      </c>
      <c r="BG38" s="51">
        <f t="shared" ref="BG38:CE38" si="32">BG56+BG61+BG50</f>
        <v>325.79999999999995</v>
      </c>
      <c r="BH38" s="388">
        <f t="shared" si="32"/>
        <v>104.39999999999999</v>
      </c>
      <c r="BI38" s="388">
        <f t="shared" si="32"/>
        <v>103.4</v>
      </c>
      <c r="BJ38" s="388">
        <f t="shared" si="32"/>
        <v>111.39999999999999</v>
      </c>
      <c r="BK38" s="388">
        <f t="shared" si="32"/>
        <v>128.4</v>
      </c>
      <c r="BL38" s="51">
        <f t="shared" si="32"/>
        <v>447.59999999999997</v>
      </c>
      <c r="BM38" s="388">
        <f t="shared" si="32"/>
        <v>128.80000000000001</v>
      </c>
      <c r="BN38" s="388">
        <f t="shared" si="32"/>
        <v>147.69999999999999</v>
      </c>
      <c r="BO38" s="388">
        <f t="shared" si="32"/>
        <v>149.9</v>
      </c>
      <c r="BP38" s="388">
        <f t="shared" si="32"/>
        <v>150.20000000000002</v>
      </c>
      <c r="BQ38" s="51">
        <f t="shared" si="32"/>
        <v>576.60000000000014</v>
      </c>
      <c r="BR38" s="388">
        <f t="shared" si="32"/>
        <v>146.5</v>
      </c>
      <c r="BS38" s="388">
        <f t="shared" si="32"/>
        <v>157.5</v>
      </c>
      <c r="BT38" s="388">
        <f t="shared" si="32"/>
        <v>147.70000000000002</v>
      </c>
      <c r="BU38" s="388">
        <f t="shared" si="32"/>
        <v>154.60000000000002</v>
      </c>
      <c r="BV38" s="51">
        <f>BV56+BV61+BV50</f>
        <v>606.29999999999995</v>
      </c>
      <c r="BW38" s="388">
        <f t="shared" si="32"/>
        <v>153</v>
      </c>
      <c r="BX38" s="388">
        <f t="shared" si="32"/>
        <v>170</v>
      </c>
      <c r="BY38" s="388">
        <f t="shared" si="32"/>
        <v>159</v>
      </c>
      <c r="BZ38" s="388">
        <f t="shared" si="32"/>
        <v>162</v>
      </c>
      <c r="CA38" s="51">
        <f>CA56+CA61+CA50</f>
        <v>644</v>
      </c>
      <c r="CB38" s="388">
        <f t="shared" si="32"/>
        <v>169</v>
      </c>
      <c r="CC38" s="388">
        <f t="shared" si="32"/>
        <v>180.92500000000001</v>
      </c>
      <c r="CD38" s="388">
        <f t="shared" si="32"/>
        <v>193.78812500000001</v>
      </c>
      <c r="CE38" s="388">
        <f t="shared" si="32"/>
        <v>164.68687500000004</v>
      </c>
      <c r="CF38" s="51">
        <f>CF56+CF61+CF50</f>
        <v>708.4</v>
      </c>
      <c r="CG38" s="388"/>
      <c r="CH38" s="388"/>
      <c r="CI38" s="388"/>
      <c r="CJ38" s="388"/>
      <c r="CK38" s="51">
        <f>CK56+CK61+CK50</f>
        <v>745.41500000000008</v>
      </c>
      <c r="CL38" s="388"/>
      <c r="CM38" s="388"/>
      <c r="CN38" s="388"/>
      <c r="CO38" s="388"/>
      <c r="CP38" s="51">
        <f>CP56+CP61+CP50</f>
        <v>766.68212500000016</v>
      </c>
      <c r="CQ38" s="388"/>
      <c r="CR38" s="388"/>
      <c r="CS38" s="388"/>
      <c r="CT38" s="388"/>
      <c r="CU38" s="51">
        <f>CU56+CU61+CU50</f>
        <v>781.46327187500003</v>
      </c>
      <c r="CV38" s="388"/>
      <c r="CW38" s="388"/>
      <c r="CX38" s="388"/>
      <c r="CY38" s="388"/>
      <c r="CZ38" s="51">
        <f>CZ56+CZ61+CZ50</f>
        <v>796.7942274531249</v>
      </c>
      <c r="DA38" s="388"/>
      <c r="DB38" s="388"/>
      <c r="DC38" s="388"/>
      <c r="DD38" s="388"/>
      <c r="DE38" s="51">
        <f>DE56+DE61+DE50</f>
        <v>812.71604801492174</v>
      </c>
      <c r="DF38" s="388"/>
      <c r="DG38" s="388"/>
      <c r="DH38" s="388"/>
      <c r="DI38" s="388"/>
      <c r="DJ38" s="51">
        <f>DJ56+DJ61+DJ50</f>
        <v>829.27368660014542</v>
      </c>
      <c r="DK38" s="388"/>
      <c r="DL38" s="388"/>
      <c r="DM38" s="388"/>
      <c r="DN38" s="388"/>
      <c r="DO38" s="51">
        <f>DO56+DO61+DO50</f>
        <v>846.51637955064768</v>
      </c>
      <c r="DP38" s="388"/>
      <c r="DQ38" s="388"/>
      <c r="DR38" s="388"/>
      <c r="DS38" s="388"/>
      <c r="DT38" s="51">
        <f>DT56+DT61+DT50</f>
        <v>864.49807166055723</v>
      </c>
      <c r="DU38" s="388"/>
      <c r="DV38" s="388"/>
      <c r="DW38" s="388"/>
      <c r="DX38" s="388"/>
      <c r="DY38" s="51">
        <f>DY56+DY61+DY50</f>
        <v>883.27788379378057</v>
      </c>
      <c r="DZ38" s="388"/>
      <c r="EA38" s="388"/>
      <c r="EB38" s="388"/>
      <c r="EC38" s="388"/>
      <c r="ED38" s="51">
        <f>ED56+ED61+ED50</f>
        <v>902.92062721483364</v>
      </c>
      <c r="EE38" s="388"/>
      <c r="EF38" s="388"/>
      <c r="EG38" s="388"/>
      <c r="EH38" s="388"/>
      <c r="EI38" s="51">
        <f>EI56+EI61+EI50</f>
        <v>180.58412544296675</v>
      </c>
      <c r="EJ38" s="388"/>
      <c r="EK38" s="388"/>
      <c r="EL38" s="388"/>
      <c r="EM38" s="388"/>
      <c r="EN38" s="51">
        <f>EN56+EN61+EN50</f>
        <v>180.58412544296675</v>
      </c>
    </row>
    <row r="39" spans="2:144" hidden="1" outlineLevel="2">
      <c r="B39" s="27" t="s">
        <v>346</v>
      </c>
      <c r="D39" s="89"/>
      <c r="E39" s="388"/>
      <c r="F39" s="388"/>
      <c r="G39" s="388"/>
      <c r="H39" s="388"/>
      <c r="I39" s="51"/>
      <c r="J39" s="388"/>
      <c r="K39" s="388"/>
      <c r="L39" s="388"/>
      <c r="M39" s="388"/>
      <c r="N39" s="51"/>
      <c r="O39" s="79"/>
      <c r="P39" s="79"/>
      <c r="Q39" s="79"/>
      <c r="R39" s="79"/>
      <c r="S39" s="51"/>
      <c r="T39" s="142">
        <f t="shared" ref="T39:CE39" si="33">T38/(T12+T13)</f>
        <v>0.14093543835564198</v>
      </c>
      <c r="U39" s="142">
        <f t="shared" si="33"/>
        <v>0.17625939065996238</v>
      </c>
      <c r="V39" s="142">
        <f t="shared" si="33"/>
        <v>0.17657403882755993</v>
      </c>
      <c r="W39" s="142">
        <f t="shared" si="33"/>
        <v>0.11175181209056714</v>
      </c>
      <c r="X39" s="143">
        <f t="shared" si="33"/>
        <v>0.14899672801715508</v>
      </c>
      <c r="Y39" s="142">
        <f t="shared" si="33"/>
        <v>5.4522571570129318E-2</v>
      </c>
      <c r="Z39" s="142">
        <f t="shared" si="33"/>
        <v>8.941933513425275E-2</v>
      </c>
      <c r="AA39" s="142">
        <f t="shared" si="33"/>
        <v>8.8671920950476421E-2</v>
      </c>
      <c r="AB39" s="142">
        <f t="shared" si="33"/>
        <v>8.0775338012421163E-2</v>
      </c>
      <c r="AC39" s="143">
        <f t="shared" si="33"/>
        <v>7.8602906002549489E-2</v>
      </c>
      <c r="AD39" s="142">
        <f t="shared" si="33"/>
        <v>9.187321875809655E-2</v>
      </c>
      <c r="AE39" s="142">
        <f t="shared" si="33"/>
        <v>8.8436754782079255E-2</v>
      </c>
      <c r="AF39" s="142">
        <f t="shared" si="33"/>
        <v>9.3483199650282497E-2</v>
      </c>
      <c r="AG39" s="142">
        <f t="shared" si="33"/>
        <v>9.2190294503398107E-2</v>
      </c>
      <c r="AH39" s="143">
        <f t="shared" si="33"/>
        <v>9.1509659958803211E-2</v>
      </c>
      <c r="AI39" s="142">
        <f t="shared" si="33"/>
        <v>0.10058730566182451</v>
      </c>
      <c r="AJ39" s="142">
        <f t="shared" si="33"/>
        <v>0.10837681719598875</v>
      </c>
      <c r="AK39" s="142">
        <f t="shared" si="33"/>
        <v>0.10457337338708067</v>
      </c>
      <c r="AL39" s="142">
        <f t="shared" si="33"/>
        <v>0.10473088241566085</v>
      </c>
      <c r="AM39" s="143">
        <f t="shared" si="33"/>
        <v>0.10458071061559773</v>
      </c>
      <c r="AN39" s="142">
        <f t="shared" si="33"/>
        <v>0.10862611256106539</v>
      </c>
      <c r="AO39" s="142">
        <f t="shared" si="33"/>
        <v>0.10989893111311234</v>
      </c>
      <c r="AP39" s="142">
        <f t="shared" si="33"/>
        <v>0.10807268694709782</v>
      </c>
      <c r="AQ39" s="142">
        <f t="shared" si="33"/>
        <v>9.3019245048044541E-2</v>
      </c>
      <c r="AR39" s="143">
        <f t="shared" si="33"/>
        <v>0.10389121025016142</v>
      </c>
      <c r="AS39" s="142">
        <f t="shared" si="33"/>
        <v>0.10527996554719375</v>
      </c>
      <c r="AT39" s="142">
        <f t="shared" si="33"/>
        <v>8.7788299721356239E-2</v>
      </c>
      <c r="AU39" s="142">
        <f t="shared" si="33"/>
        <v>9.3161495122699542E-2</v>
      </c>
      <c r="AV39" s="142">
        <f t="shared" si="33"/>
        <v>8.6418868002682864E-2</v>
      </c>
      <c r="AW39" s="143">
        <f t="shared" si="33"/>
        <v>9.2858987316228964E-2</v>
      </c>
      <c r="AX39" s="406">
        <f t="shared" si="33"/>
        <v>8.9145638754893466E-2</v>
      </c>
      <c r="AY39" s="406">
        <f t="shared" si="33"/>
        <v>8.3187741080599661E-2</v>
      </c>
      <c r="AZ39" s="406">
        <f t="shared" si="33"/>
        <v>9.637682050399296E-2</v>
      </c>
      <c r="BA39" s="406">
        <f t="shared" si="33"/>
        <v>9.1175563332234213E-2</v>
      </c>
      <c r="BB39" s="143">
        <f t="shared" si="33"/>
        <v>9.0003030706746798E-2</v>
      </c>
      <c r="BC39" s="406">
        <f t="shared" si="33"/>
        <v>9.8959119022476991E-2</v>
      </c>
      <c r="BD39" s="406">
        <f t="shared" si="33"/>
        <v>9.5839626527529864E-2</v>
      </c>
      <c r="BE39" s="406">
        <f t="shared" si="33"/>
        <v>0.11855670103092783</v>
      </c>
      <c r="BF39" s="406">
        <f t="shared" si="33"/>
        <v>0.11436541143654114</v>
      </c>
      <c r="BG39" s="143">
        <f t="shared" si="33"/>
        <v>0.10760998810939355</v>
      </c>
      <c r="BH39" s="406">
        <f>BH38/(BH12+BH13)</f>
        <v>0.1346228239845261</v>
      </c>
      <c r="BI39" s="406">
        <f t="shared" si="33"/>
        <v>0.12350692785475394</v>
      </c>
      <c r="BJ39" s="406">
        <f t="shared" si="33"/>
        <v>0.12948971289085201</v>
      </c>
      <c r="BK39" s="406">
        <f>BK38/(BK12+BK13)</f>
        <v>0.1342674892816062</v>
      </c>
      <c r="BL39" s="143">
        <f t="shared" si="33"/>
        <v>0.13052226401889597</v>
      </c>
      <c r="BM39" s="406">
        <f>BM38/(BM12+BM13)</f>
        <v>0.14405547477910746</v>
      </c>
      <c r="BN39" s="406">
        <f t="shared" si="33"/>
        <v>0.1451311781468016</v>
      </c>
      <c r="BO39" s="406">
        <f t="shared" si="33"/>
        <v>0.15588602329450915</v>
      </c>
      <c r="BP39" s="406">
        <f t="shared" si="33"/>
        <v>0.12706200829033079</v>
      </c>
      <c r="BQ39" s="143">
        <f>BQ38/(BQ12+BQ13)</f>
        <v>0.14217729009986441</v>
      </c>
      <c r="BR39" s="406">
        <f t="shared" si="33"/>
        <v>0.13837725512420893</v>
      </c>
      <c r="BS39" s="406">
        <f t="shared" si="33"/>
        <v>0.13720707378691521</v>
      </c>
      <c r="BT39" s="406">
        <f t="shared" si="33"/>
        <v>0.11966296686380944</v>
      </c>
      <c r="BU39" s="406">
        <f t="shared" si="33"/>
        <v>0.12814986737400533</v>
      </c>
      <c r="BV39" s="143">
        <f>BV38/(BV12+BV13)</f>
        <v>0.13046284939642372</v>
      </c>
      <c r="BW39" s="406">
        <f t="shared" si="33"/>
        <v>0.13492063492063491</v>
      </c>
      <c r="BX39" s="406">
        <f t="shared" si="33"/>
        <v>0.13911620294599017</v>
      </c>
      <c r="BY39" s="406">
        <f t="shared" si="33"/>
        <v>0.13043478260869565</v>
      </c>
      <c r="BZ39" s="406">
        <f t="shared" si="33"/>
        <v>0.11149346180316587</v>
      </c>
      <c r="CA39" s="143">
        <f>CA38/(CA12+CA13)</f>
        <v>0.12808273667462211</v>
      </c>
      <c r="CB39" s="406">
        <f t="shared" si="33"/>
        <v>0.12443072073717515</v>
      </c>
      <c r="CC39" s="406">
        <f t="shared" si="33"/>
        <v>0.12318717143814428</v>
      </c>
      <c r="CD39" s="406">
        <f t="shared" si="33"/>
        <v>0.13059784242508932</v>
      </c>
      <c r="CE39" s="406">
        <f t="shared" si="33"/>
        <v>0.10544371556318734</v>
      </c>
      <c r="CF39" s="143">
        <f>CF38/(CF12+CF13)</f>
        <v>0.12062829411255413</v>
      </c>
      <c r="CG39" s="406"/>
      <c r="CH39" s="406"/>
      <c r="CI39" s="406"/>
      <c r="CJ39" s="406"/>
      <c r="CK39" s="143">
        <f>CK38/(CK12+CK13)</f>
        <v>0.11541019712537225</v>
      </c>
      <c r="CL39" s="406"/>
      <c r="CM39" s="406"/>
      <c r="CN39" s="406"/>
      <c r="CO39" s="406"/>
      <c r="CP39" s="143">
        <f>CP38/(CP12+CP13)</f>
        <v>0.10572311018843369</v>
      </c>
      <c r="CQ39" s="406"/>
      <c r="CR39" s="406"/>
      <c r="CS39" s="406"/>
      <c r="CT39" s="406"/>
      <c r="CU39" s="143">
        <f>CU38/(CU12+CU13)</f>
        <v>9.5664654402790192E-2</v>
      </c>
      <c r="CV39" s="406"/>
      <c r="CW39" s="406"/>
      <c r="CX39" s="406"/>
      <c r="CY39" s="406"/>
      <c r="CZ39" s="143">
        <f>CZ38/(CZ12+CZ13)</f>
        <v>9.2886334142145227E-2</v>
      </c>
      <c r="DA39" s="406"/>
      <c r="DB39" s="406"/>
      <c r="DC39" s="406"/>
      <c r="DD39" s="406"/>
      <c r="DE39" s="143">
        <f>DE38/(DE12+DE13)</f>
        <v>9.5321456342610703E-2</v>
      </c>
      <c r="DF39" s="406"/>
      <c r="DG39" s="406"/>
      <c r="DH39" s="406"/>
      <c r="DI39" s="406"/>
      <c r="DJ39" s="143">
        <f>DJ38/(DJ12+DJ13)</f>
        <v>0.10065104648084711</v>
      </c>
      <c r="DK39" s="406"/>
      <c r="DL39" s="406"/>
      <c r="DM39" s="406"/>
      <c r="DN39" s="406"/>
      <c r="DO39" s="143">
        <f>DO38/(DO12+DO13)</f>
        <v>0.12774707724900805</v>
      </c>
      <c r="DP39" s="406"/>
      <c r="DQ39" s="406"/>
      <c r="DR39" s="406"/>
      <c r="DS39" s="406"/>
      <c r="DT39" s="143">
        <f>DT38/(DT12+DT13)</f>
        <v>0.20543775944741399</v>
      </c>
      <c r="DU39" s="406"/>
      <c r="DV39" s="406"/>
      <c r="DW39" s="406"/>
      <c r="DX39" s="406"/>
      <c r="DY39" s="143">
        <f>DY38/(DY12+DY13)</f>
        <v>0.26348452066542993</v>
      </c>
      <c r="DZ39" s="406"/>
      <c r="EA39" s="406"/>
      <c r="EB39" s="406"/>
      <c r="EC39" s="406"/>
      <c r="ED39" s="143">
        <f>ED38/(ED12+ED13)</f>
        <v>0.28216795338273792</v>
      </c>
      <c r="EE39" s="406"/>
      <c r="EF39" s="406"/>
      <c r="EG39" s="406"/>
      <c r="EH39" s="406"/>
      <c r="EI39" s="143">
        <f>EI38/(EI12+EI13)</f>
        <v>5.7416043309435956E-2</v>
      </c>
      <c r="EJ39" s="406"/>
      <c r="EK39" s="406"/>
      <c r="EL39" s="406"/>
      <c r="EM39" s="406"/>
      <c r="EN39" s="143">
        <f>EN38/(EN12+EN13)</f>
        <v>7.5754377099086459E-2</v>
      </c>
    </row>
    <row r="40" spans="2:144" hidden="1" outlineLevel="2">
      <c r="B40" t="s">
        <v>347</v>
      </c>
      <c r="D40" s="89"/>
      <c r="E40" s="388"/>
      <c r="F40" s="388"/>
      <c r="G40" s="388"/>
      <c r="H40" s="388"/>
      <c r="I40" s="51"/>
      <c r="J40" s="388"/>
      <c r="K40" s="388"/>
      <c r="L40" s="388"/>
      <c r="M40" s="388"/>
      <c r="N40" s="51"/>
      <c r="O40" s="79"/>
      <c r="P40" s="79"/>
      <c r="Q40" s="79"/>
      <c r="R40" s="79"/>
      <c r="S40" s="51"/>
      <c r="T40" s="79">
        <f t="shared" ref="T40:CE40" si="34">T38*T30</f>
        <v>5.026109867273119</v>
      </c>
      <c r="U40" s="79">
        <f t="shared" si="34"/>
        <v>6.2835528702885028</v>
      </c>
      <c r="V40" s="79">
        <f t="shared" si="34"/>
        <v>7.4217175477331745</v>
      </c>
      <c r="W40" s="79">
        <f t="shared" si="34"/>
        <v>4.0913478761236268</v>
      </c>
      <c r="X40" s="51">
        <f t="shared" si="34"/>
        <v>22.22607394279342</v>
      </c>
      <c r="Y40" s="79">
        <f t="shared" si="34"/>
        <v>2.6807457601466407</v>
      </c>
      <c r="Z40" s="79">
        <f t="shared" si="34"/>
        <v>4.7546844284205472</v>
      </c>
      <c r="AA40" s="79">
        <f t="shared" si="34"/>
        <v>4.2213079944989582</v>
      </c>
      <c r="AB40" s="79">
        <f t="shared" si="34"/>
        <v>4.8143274578586936</v>
      </c>
      <c r="AC40" s="51">
        <f t="shared" si="34"/>
        <v>16.471071066933945</v>
      </c>
      <c r="AD40" s="79">
        <f t="shared" si="34"/>
        <v>5.3190751423310711</v>
      </c>
      <c r="AE40" s="79">
        <f t="shared" si="34"/>
        <v>6.2748184066248358</v>
      </c>
      <c r="AF40" s="79">
        <f t="shared" si="34"/>
        <v>6.7746830656504526</v>
      </c>
      <c r="AG40" s="79">
        <f t="shared" si="34"/>
        <v>7.2989077910076565</v>
      </c>
      <c r="AH40" s="51">
        <f t="shared" si="34"/>
        <v>25.699047349516654</v>
      </c>
      <c r="AI40" s="79">
        <f t="shared" si="34"/>
        <v>7.480522441503453</v>
      </c>
      <c r="AJ40" s="79">
        <f t="shared" si="34"/>
        <v>8.2140119552627997</v>
      </c>
      <c r="AK40" s="79">
        <f t="shared" si="34"/>
        <v>7.5149634108280443</v>
      </c>
      <c r="AL40" s="79">
        <f t="shared" si="34"/>
        <v>7.5633687138406813</v>
      </c>
      <c r="AM40" s="51">
        <f t="shared" si="34"/>
        <v>30.633615510075099</v>
      </c>
      <c r="AN40" s="79">
        <f t="shared" si="34"/>
        <v>8.9316806595868101</v>
      </c>
      <c r="AO40" s="79">
        <f t="shared" si="34"/>
        <v>7.894581509527745</v>
      </c>
      <c r="AP40" s="79">
        <f t="shared" si="34"/>
        <v>8.7233791477585072</v>
      </c>
      <c r="AQ40" s="79">
        <f t="shared" si="34"/>
        <v>9.0886916834499676</v>
      </c>
      <c r="AR40" s="51">
        <f t="shared" si="34"/>
        <v>34.731479531648759</v>
      </c>
      <c r="AS40" s="79">
        <f t="shared" si="34"/>
        <v>11.134783322050591</v>
      </c>
      <c r="AT40" s="79">
        <f t="shared" si="34"/>
        <v>9.6718066899993573</v>
      </c>
      <c r="AU40" s="79">
        <f t="shared" si="34"/>
        <v>9.2398188500900318</v>
      </c>
      <c r="AV40" s="79">
        <f t="shared" si="34"/>
        <v>10.035178783028769</v>
      </c>
      <c r="AW40" s="51">
        <f t="shared" si="34"/>
        <v>39.978021981592171</v>
      </c>
      <c r="AX40" s="388">
        <f t="shared" si="34"/>
        <v>9.0287613288885353</v>
      </c>
      <c r="AY40" s="388">
        <f t="shared" si="34"/>
        <v>8.8463728906600974</v>
      </c>
      <c r="AZ40" s="388">
        <f t="shared" si="34"/>
        <v>10.346593431458306</v>
      </c>
      <c r="BA40" s="388">
        <f t="shared" si="34"/>
        <v>9.6532297898736346</v>
      </c>
      <c r="BB40" s="51">
        <f t="shared" si="34"/>
        <v>37.871206763737035</v>
      </c>
      <c r="BC40" s="388">
        <f t="shared" si="34"/>
        <v>10.822241038667794</v>
      </c>
      <c r="BD40" s="388">
        <f t="shared" si="34"/>
        <v>11.937607922803453</v>
      </c>
      <c r="BE40" s="388">
        <f t="shared" si="34"/>
        <v>15.457189014539576</v>
      </c>
      <c r="BF40" s="388">
        <f t="shared" si="34"/>
        <v>16.52615384615385</v>
      </c>
      <c r="BG40" s="51">
        <f t="shared" si="34"/>
        <v>55.166527141922799</v>
      </c>
      <c r="BH40" s="388">
        <f>BH38*BH30</f>
        <v>17.309396449704138</v>
      </c>
      <c r="BI40" s="388">
        <f t="shared" si="34"/>
        <v>16.548180592991915</v>
      </c>
      <c r="BJ40" s="388">
        <f t="shared" si="34"/>
        <v>18.10148664102298</v>
      </c>
      <c r="BK40" s="388">
        <f t="shared" si="34"/>
        <v>19.703093198992441</v>
      </c>
      <c r="BL40" s="51">
        <f t="shared" si="34"/>
        <v>71.716927746761357</v>
      </c>
      <c r="BM40" s="388">
        <f>BM38*BM30</f>
        <v>20.279148936170213</v>
      </c>
      <c r="BN40" s="388">
        <f t="shared" si="34"/>
        <v>24.600556282722501</v>
      </c>
      <c r="BO40" s="388">
        <f t="shared" si="34"/>
        <v>20.522328439740527</v>
      </c>
      <c r="BP40" s="388">
        <f t="shared" si="34"/>
        <v>22.353802567507753</v>
      </c>
      <c r="BQ40" s="51">
        <f>BQ38*BQ30</f>
        <v>87.931185330713831</v>
      </c>
      <c r="BR40" s="388">
        <f t="shared" si="34"/>
        <v>24.315257424966703</v>
      </c>
      <c r="BS40" s="388">
        <f t="shared" si="34"/>
        <v>25.603053435114507</v>
      </c>
      <c r="BT40" s="388">
        <f t="shared" si="34"/>
        <v>22.745898895212605</v>
      </c>
      <c r="BU40" s="388">
        <f t="shared" si="34"/>
        <v>22.48801748691794</v>
      </c>
      <c r="BV40" s="51">
        <f>BV38*BV30</f>
        <v>94.888501803777331</v>
      </c>
      <c r="BW40" s="388">
        <f t="shared" si="34"/>
        <v>25.281517747858015</v>
      </c>
      <c r="BX40" s="388">
        <f t="shared" si="34"/>
        <v>28.028328611898019</v>
      </c>
      <c r="BY40" s="388">
        <f t="shared" si="34"/>
        <v>26.216274089935759</v>
      </c>
      <c r="BZ40" s="388">
        <f t="shared" si="34"/>
        <v>22.667747163695299</v>
      </c>
      <c r="CA40" s="51">
        <f>CA38*CA30</f>
        <v>102.0556336049452</v>
      </c>
      <c r="CB40" s="388">
        <f t="shared" si="34"/>
        <v>30.419999999999998</v>
      </c>
      <c r="CC40" s="388">
        <f t="shared" si="34"/>
        <v>32.566499999999998</v>
      </c>
      <c r="CD40" s="388">
        <f t="shared" si="34"/>
        <v>34.881862499999997</v>
      </c>
      <c r="CE40" s="388">
        <f t="shared" si="34"/>
        <v>29.643637500000008</v>
      </c>
      <c r="CF40" s="51">
        <f>CF38*CF30</f>
        <v>127.51199999999999</v>
      </c>
      <c r="CG40" s="388"/>
      <c r="CH40" s="388"/>
      <c r="CI40" s="388"/>
      <c r="CJ40" s="388"/>
      <c r="CK40" s="51">
        <f>CK38*CK30</f>
        <v>122.99347500000002</v>
      </c>
      <c r="CL40" s="388"/>
      <c r="CM40" s="388"/>
      <c r="CN40" s="388"/>
      <c r="CO40" s="388"/>
      <c r="CP40" s="51">
        <f>CP38*CP30</f>
        <v>126.50255062500003</v>
      </c>
      <c r="CQ40" s="388"/>
      <c r="CR40" s="388"/>
      <c r="CS40" s="388"/>
      <c r="CT40" s="388"/>
      <c r="CU40" s="51">
        <f>CU38*CU30</f>
        <v>128.94143985937501</v>
      </c>
      <c r="CV40" s="388"/>
      <c r="CW40" s="388"/>
      <c r="CX40" s="388"/>
      <c r="CY40" s="388"/>
      <c r="CZ40" s="51">
        <f>CZ38*CZ30</f>
        <v>131.47104752976563</v>
      </c>
      <c r="DA40" s="388"/>
      <c r="DB40" s="388"/>
      <c r="DC40" s="388"/>
      <c r="DD40" s="388"/>
      <c r="DE40" s="51">
        <f>DE38*DE30</f>
        <v>134.09814792246209</v>
      </c>
      <c r="DF40" s="388"/>
      <c r="DG40" s="388"/>
      <c r="DH40" s="388"/>
      <c r="DI40" s="388"/>
      <c r="DJ40" s="51">
        <f>DJ38*DJ30</f>
        <v>136.83015828902401</v>
      </c>
      <c r="DK40" s="388"/>
      <c r="DL40" s="388"/>
      <c r="DM40" s="388"/>
      <c r="DN40" s="388"/>
      <c r="DO40" s="51">
        <f>DO38*DO30</f>
        <v>139.67520262585688</v>
      </c>
      <c r="DP40" s="388"/>
      <c r="DQ40" s="388"/>
      <c r="DR40" s="388"/>
      <c r="DS40" s="388"/>
      <c r="DT40" s="51">
        <f>DT38*DT30</f>
        <v>142.64218182399196</v>
      </c>
      <c r="DU40" s="388"/>
      <c r="DV40" s="388"/>
      <c r="DW40" s="388"/>
      <c r="DX40" s="388"/>
      <c r="DY40" s="51">
        <f>DY38*DY30</f>
        <v>145.74085082597381</v>
      </c>
      <c r="DZ40" s="388"/>
      <c r="EA40" s="388"/>
      <c r="EB40" s="388"/>
      <c r="EC40" s="388"/>
      <c r="ED40" s="51">
        <f>ED38*ED30</f>
        <v>148.98190349044756</v>
      </c>
      <c r="EE40" s="388"/>
      <c r="EF40" s="388"/>
      <c r="EG40" s="388"/>
      <c r="EH40" s="388"/>
      <c r="EI40" s="51">
        <f>EI38*EI30</f>
        <v>29.796380698089514</v>
      </c>
      <c r="EJ40" s="388"/>
      <c r="EK40" s="388"/>
      <c r="EL40" s="388"/>
      <c r="EM40" s="388"/>
      <c r="EN40" s="51">
        <f>EN38*EN30</f>
        <v>29.796380698089514</v>
      </c>
    </row>
    <row r="41" spans="2:144" hidden="1" outlineLevel="2">
      <c r="B41" t="s">
        <v>219</v>
      </c>
      <c r="D41" s="89"/>
      <c r="E41" s="388"/>
      <c r="F41" s="388"/>
      <c r="G41" s="388"/>
      <c r="H41" s="388"/>
      <c r="I41" s="51"/>
      <c r="J41" s="388"/>
      <c r="K41" s="388"/>
      <c r="L41" s="388"/>
      <c r="M41" s="388"/>
      <c r="N41" s="51"/>
      <c r="O41" s="79"/>
      <c r="P41" s="79"/>
      <c r="Q41" s="79"/>
      <c r="R41" s="79"/>
      <c r="S41" s="51"/>
      <c r="T41" s="79">
        <f t="shared" ref="T41:CE41" si="35">T32-T38+T40</f>
        <v>23.908109867273119</v>
      </c>
      <c r="U41" s="79">
        <f t="shared" si="35"/>
        <v>28.116552870288494</v>
      </c>
      <c r="V41" s="79">
        <f t="shared" si="35"/>
        <v>43.669717547733178</v>
      </c>
      <c r="W41" s="79">
        <f t="shared" si="35"/>
        <v>60.607347876123619</v>
      </c>
      <c r="X41" s="51">
        <f t="shared" si="35"/>
        <v>155.70507394279346</v>
      </c>
      <c r="Y41" s="79">
        <f t="shared" si="35"/>
        <v>78.736745760146576</v>
      </c>
      <c r="Z41" s="79">
        <f t="shared" si="35"/>
        <v>98.208684428420497</v>
      </c>
      <c r="AA41" s="79">
        <f t="shared" si="35"/>
        <v>113.22330799449894</v>
      </c>
      <c r="AB41" s="79">
        <f t="shared" si="35"/>
        <v>120.41632745785873</v>
      </c>
      <c r="AC41" s="51">
        <f t="shared" si="35"/>
        <v>410.58507106693355</v>
      </c>
      <c r="AD41" s="79">
        <f t="shared" si="35"/>
        <v>143.31007514233116</v>
      </c>
      <c r="AE41" s="79">
        <f t="shared" si="35"/>
        <v>152.8518184066248</v>
      </c>
      <c r="AF41" s="79">
        <f t="shared" si="35"/>
        <v>164.4186830656505</v>
      </c>
      <c r="AG41" s="79">
        <f t="shared" si="35"/>
        <v>177.27090779100763</v>
      </c>
      <c r="AH41" s="51">
        <f t="shared" si="35"/>
        <v>637.8830473495168</v>
      </c>
      <c r="AI41" s="79">
        <f t="shared" si="35"/>
        <v>180.1045224415036</v>
      </c>
      <c r="AJ41" s="79">
        <f t="shared" si="35"/>
        <v>188.91001195526292</v>
      </c>
      <c r="AK41" s="79">
        <f t="shared" si="35"/>
        <v>230.67496341082801</v>
      </c>
      <c r="AL41" s="79">
        <f t="shared" si="35"/>
        <v>258.58536871384047</v>
      </c>
      <c r="AM41" s="51">
        <f t="shared" si="35"/>
        <v>858.13561551007513</v>
      </c>
      <c r="AN41" s="79">
        <f t="shared" si="35"/>
        <v>262.91268065958661</v>
      </c>
      <c r="AO41" s="79">
        <f t="shared" si="35"/>
        <v>287.34958150952775</v>
      </c>
      <c r="AP41" s="79">
        <f t="shared" si="35"/>
        <v>311.43337914775867</v>
      </c>
      <c r="AQ41" s="79">
        <f t="shared" si="35"/>
        <v>305.44269168344999</v>
      </c>
      <c r="AR41" s="51">
        <f t="shared" si="35"/>
        <v>1167.2314795316483</v>
      </c>
      <c r="AS41" s="79">
        <f t="shared" si="35"/>
        <v>346.82978332205039</v>
      </c>
      <c r="AT41" s="79">
        <f t="shared" si="35"/>
        <v>376.05280668999939</v>
      </c>
      <c r="AU41" s="79">
        <f t="shared" si="35"/>
        <v>424.14181885008998</v>
      </c>
      <c r="AV41" s="79">
        <f t="shared" si="35"/>
        <v>428.85017878302858</v>
      </c>
      <c r="AW41" s="51">
        <f t="shared" si="35"/>
        <v>1575.7710219815922</v>
      </c>
      <c r="AX41" s="388">
        <f t="shared" si="35"/>
        <v>438.73776132888867</v>
      </c>
      <c r="AY41" s="388">
        <f t="shared" si="35"/>
        <v>499.78437289066028</v>
      </c>
      <c r="AZ41" s="388">
        <f t="shared" si="35"/>
        <v>508.93059343145848</v>
      </c>
      <c r="BA41" s="388">
        <f t="shared" si="35"/>
        <v>521.86522978987387</v>
      </c>
      <c r="BB41" s="51">
        <f t="shared" si="35"/>
        <v>1969.3142067637364</v>
      </c>
      <c r="BC41" s="388">
        <f t="shared" si="35"/>
        <v>536.92224103866783</v>
      </c>
      <c r="BD41" s="388">
        <f t="shared" si="35"/>
        <v>595.03760792280355</v>
      </c>
      <c r="BE41" s="388">
        <f t="shared" si="35"/>
        <v>592.95718901453984</v>
      </c>
      <c r="BF41" s="388">
        <f t="shared" si="35"/>
        <v>567.12615384615378</v>
      </c>
      <c r="BG41" s="51">
        <f t="shared" si="35"/>
        <v>2269.5665271419234</v>
      </c>
      <c r="BH41" s="388">
        <f>BH32-BH38+BH40</f>
        <v>617.80939644970408</v>
      </c>
      <c r="BI41" s="388">
        <f t="shared" si="35"/>
        <v>661.04818059299191</v>
      </c>
      <c r="BJ41" s="388">
        <f t="shared" si="35"/>
        <v>712.30148664102273</v>
      </c>
      <c r="BK41" s="388">
        <f t="shared" si="35"/>
        <v>731.50309319899247</v>
      </c>
      <c r="BL41" s="51">
        <f t="shared" si="35"/>
        <v>2722.716927746761</v>
      </c>
      <c r="BM41" s="388">
        <f>BM32-BM38+BM40</f>
        <v>782.47914893617053</v>
      </c>
      <c r="BN41" s="388">
        <f t="shared" si="35"/>
        <v>895.70055628272314</v>
      </c>
      <c r="BO41" s="388">
        <f t="shared" si="35"/>
        <v>881.82232843974043</v>
      </c>
      <c r="BP41" s="388">
        <f t="shared" si="35"/>
        <v>833.55380256750743</v>
      </c>
      <c r="BQ41" s="51">
        <f>BQ32-BQ38+BQ40</f>
        <v>3393.7311853307142</v>
      </c>
      <c r="BR41" s="388">
        <f t="shared" si="35"/>
        <v>942.11525742496644</v>
      </c>
      <c r="BS41" s="388">
        <f t="shared" si="35"/>
        <v>1020.0030534351146</v>
      </c>
      <c r="BT41" s="388">
        <f t="shared" si="35"/>
        <v>1138.5458988952116</v>
      </c>
      <c r="BU41" s="388">
        <f t="shared" si="35"/>
        <v>1157.9880174869174</v>
      </c>
      <c r="BV41" s="51">
        <f>BV32-BV38+BV40</f>
        <v>4258.3885018037763</v>
      </c>
      <c r="BW41" s="375">
        <f t="shared" si="35"/>
        <v>1236.2815177478581</v>
      </c>
      <c r="BX41" s="375">
        <f t="shared" si="35"/>
        <v>1332.0283286118979</v>
      </c>
      <c r="BY41" s="375">
        <f t="shared" si="35"/>
        <v>1427.2162740899357</v>
      </c>
      <c r="BZ41" s="375">
        <f t="shared" si="35"/>
        <v>1452.6677471636954</v>
      </c>
      <c r="CA41" s="51">
        <f>CA32-CA38+CA40</f>
        <v>5448.0556336049449</v>
      </c>
      <c r="CB41" s="388">
        <f t="shared" si="35"/>
        <v>1374.1432311828094</v>
      </c>
      <c r="CC41" s="388">
        <f t="shared" si="35"/>
        <v>1493.5451462470517</v>
      </c>
      <c r="CD41" s="388">
        <f t="shared" si="35"/>
        <v>1499.4066951053428</v>
      </c>
      <c r="CE41" s="388">
        <f t="shared" si="35"/>
        <v>1626.3154858718681</v>
      </c>
      <c r="CF41" s="51">
        <f>CF32-CF38+CF40</f>
        <v>5993.4105584070721</v>
      </c>
      <c r="CG41" s="388"/>
      <c r="CH41" s="388"/>
      <c r="CI41" s="388"/>
      <c r="CJ41" s="388"/>
      <c r="CK41" s="51">
        <f>CK32-CK38+CK40</f>
        <v>7114.8766975451817</v>
      </c>
      <c r="CL41" s="388"/>
      <c r="CM41" s="388"/>
      <c r="CN41" s="388"/>
      <c r="CO41" s="388"/>
      <c r="CP41" s="51">
        <f>CP32-CP38+CP40</f>
        <v>8446.7220581019155</v>
      </c>
      <c r="CQ41" s="388"/>
      <c r="CR41" s="388"/>
      <c r="CS41" s="388"/>
      <c r="CT41" s="388"/>
      <c r="CU41" s="51">
        <f>CU32-CU38+CU40</f>
        <v>9882.0343683054834</v>
      </c>
      <c r="CV41" s="388"/>
      <c r="CW41" s="388"/>
      <c r="CX41" s="388"/>
      <c r="CY41" s="388"/>
      <c r="CZ41" s="51">
        <f>CZ32-CZ38+CZ40</f>
        <v>10707.758209005131</v>
      </c>
      <c r="DA41" s="388"/>
      <c r="DB41" s="388"/>
      <c r="DC41" s="388"/>
      <c r="DD41" s="388"/>
      <c r="DE41" s="51">
        <f>DE32-DE38+DE40</f>
        <v>10916.943815962552</v>
      </c>
      <c r="DF41" s="388"/>
      <c r="DG41" s="388"/>
      <c r="DH41" s="388"/>
      <c r="DI41" s="388"/>
      <c r="DJ41" s="51">
        <f>DJ32-DJ38+DJ40</f>
        <v>10611.922872908935</v>
      </c>
      <c r="DK41" s="388"/>
      <c r="DL41" s="388"/>
      <c r="DM41" s="388"/>
      <c r="DN41" s="388"/>
      <c r="DO41" s="51">
        <f>DO32-DO38+DO40</f>
        <v>8443.7172247107374</v>
      </c>
      <c r="DP41" s="388"/>
      <c r="DQ41" s="388"/>
      <c r="DR41" s="388"/>
      <c r="DS41" s="388"/>
      <c r="DT41" s="51">
        <f>DT32-DT38+DT40</f>
        <v>4843.3222974233367</v>
      </c>
      <c r="DU41" s="388"/>
      <c r="DV41" s="388"/>
      <c r="DW41" s="388"/>
      <c r="DX41" s="388"/>
      <c r="DY41" s="51">
        <f>DY32-DY38+DY40</f>
        <v>3514.8308059746173</v>
      </c>
      <c r="DZ41" s="388"/>
      <c r="EA41" s="388"/>
      <c r="EB41" s="388"/>
      <c r="EC41" s="388"/>
      <c r="ED41" s="51">
        <f>ED32-ED38+ED40</f>
        <v>3276.2601917861921</v>
      </c>
      <c r="EE41" s="388"/>
      <c r="EF41" s="388"/>
      <c r="EG41" s="388"/>
      <c r="EH41" s="388"/>
      <c r="EI41" s="51">
        <f>EI32-EI38+EI40</f>
        <v>3822.1139431768006</v>
      </c>
      <c r="EJ41" s="388"/>
      <c r="EK41" s="388"/>
      <c r="EL41" s="388"/>
      <c r="EM41" s="388"/>
      <c r="EN41" s="51">
        <f>EN32-EN38+EN40</f>
        <v>2712.752041204034</v>
      </c>
    </row>
    <row r="42" spans="2:144" collapsed="1">
      <c r="B42" s="360" t="s">
        <v>780</v>
      </c>
      <c r="D42" s="90"/>
      <c r="E42" s="407"/>
      <c r="F42" s="407"/>
      <c r="G42" s="407"/>
      <c r="H42" s="407"/>
      <c r="I42" s="90"/>
      <c r="J42" s="407"/>
      <c r="K42" s="407"/>
      <c r="L42" s="407"/>
      <c r="M42" s="407"/>
      <c r="N42" s="90"/>
      <c r="O42" s="77"/>
      <c r="P42" s="77"/>
      <c r="Q42" s="77"/>
      <c r="R42" s="77"/>
      <c r="S42" s="90"/>
      <c r="T42" s="77">
        <f t="shared" ref="T42:BF42" si="36">T41/T87</f>
        <v>2.9833004159322982E-2</v>
      </c>
      <c r="U42" s="77">
        <f t="shared" si="36"/>
        <v>3.4851112063146873E-2</v>
      </c>
      <c r="V42" s="77">
        <f t="shared" si="36"/>
        <v>5.3932141081234876E-2</v>
      </c>
      <c r="W42" s="77">
        <f t="shared" si="36"/>
        <v>7.2266198157225056E-2</v>
      </c>
      <c r="X42" s="90">
        <f t="shared" si="36"/>
        <v>0.19119884516074359</v>
      </c>
      <c r="Y42" s="77">
        <f t="shared" si="36"/>
        <v>9.1702358877055731E-2</v>
      </c>
      <c r="Z42" s="77">
        <f t="shared" si="36"/>
        <v>0.1138316187794209</v>
      </c>
      <c r="AA42" s="77">
        <f t="shared" si="36"/>
        <v>0.13079812945713654</v>
      </c>
      <c r="AB42" s="77">
        <f t="shared" si="36"/>
        <v>0.13877645206621958</v>
      </c>
      <c r="AC42" s="90">
        <f t="shared" si="36"/>
        <v>0.47537045865415661</v>
      </c>
      <c r="AD42" s="77">
        <f t="shared" si="36"/>
        <v>0.16210116657391221</v>
      </c>
      <c r="AE42" s="77">
        <f t="shared" si="36"/>
        <v>0.16376267006218814</v>
      </c>
      <c r="AF42" s="77">
        <f t="shared" si="36"/>
        <v>0.17532719018455301</v>
      </c>
      <c r="AG42" s="77">
        <f t="shared" si="36"/>
        <v>0.18919915789996908</v>
      </c>
      <c r="AH42" s="90">
        <f t="shared" si="36"/>
        <v>0.69090892556909367</v>
      </c>
      <c r="AI42" s="77">
        <f t="shared" si="36"/>
        <v>0.19237620025582253</v>
      </c>
      <c r="AJ42" s="77">
        <f t="shared" si="36"/>
        <v>0.20222360522912777</v>
      </c>
      <c r="AK42" s="77">
        <f t="shared" si="36"/>
        <v>0.24694519449534855</v>
      </c>
      <c r="AL42" s="77">
        <f t="shared" si="36"/>
        <v>0.27687874756549258</v>
      </c>
      <c r="AM42" s="90">
        <f t="shared" si="36"/>
        <v>0.91807881767362121</v>
      </c>
      <c r="AN42" s="77">
        <f t="shared" si="36"/>
        <v>0.28109683490990861</v>
      </c>
      <c r="AO42" s="77">
        <f t="shared" si="36"/>
        <v>0.30737506713325963</v>
      </c>
      <c r="AP42" s="77">
        <f t="shared" si="36"/>
        <v>0.33391808748676766</v>
      </c>
      <c r="AQ42" s="77">
        <f t="shared" si="36"/>
        <v>0.32036597975227027</v>
      </c>
      <c r="AR42" s="90">
        <f t="shared" si="36"/>
        <v>1.2430130107447104</v>
      </c>
      <c r="AS42" s="77">
        <f t="shared" si="36"/>
        <v>0.36722159869773563</v>
      </c>
      <c r="AT42" s="77">
        <f t="shared" si="36"/>
        <v>0.40008852491265184</v>
      </c>
      <c r="AU42" s="77">
        <f t="shared" si="36"/>
        <v>0.46149524389059476</v>
      </c>
      <c r="AV42" s="77">
        <f t="shared" si="36"/>
        <v>0.47676824835188292</v>
      </c>
      <c r="AW42" s="90">
        <f t="shared" si="36"/>
        <v>1.7026232657748841</v>
      </c>
      <c r="AX42" s="407">
        <f t="shared" si="36"/>
        <v>0.48900993910905605</v>
      </c>
      <c r="AY42" s="407">
        <f t="shared" si="36"/>
        <v>0.56107761355010033</v>
      </c>
      <c r="AZ42" s="407">
        <f t="shared" si="36"/>
        <v>0.58327212545322471</v>
      </c>
      <c r="BA42" s="407">
        <f t="shared" si="36"/>
        <v>0.60357755984117167</v>
      </c>
      <c r="BB42" s="90">
        <f t="shared" si="36"/>
        <v>2.2338158771446843</v>
      </c>
      <c r="BC42" s="407">
        <f t="shared" si="36"/>
        <v>0.62115020943853294</v>
      </c>
      <c r="BD42" s="407">
        <f t="shared" si="36"/>
        <v>0.69303238751782381</v>
      </c>
      <c r="BE42" s="407">
        <f t="shared" si="36"/>
        <v>0.69141463271284964</v>
      </c>
      <c r="BF42" s="407">
        <f t="shared" si="36"/>
        <v>0.66160307261567164</v>
      </c>
      <c r="BG42" s="90">
        <f t="shared" ref="BG42:BQ42" si="37">BG41/BG87</f>
        <v>2.6371909448546633</v>
      </c>
      <c r="BH42" s="407">
        <f t="shared" si="37"/>
        <v>0.73113538041385095</v>
      </c>
      <c r="BI42" s="407">
        <f t="shared" si="37"/>
        <v>0.79548517520215634</v>
      </c>
      <c r="BJ42" s="407">
        <f t="shared" si="37"/>
        <v>0.85530918184560856</v>
      </c>
      <c r="BK42" s="407">
        <f t="shared" si="37"/>
        <v>0.87647147519649227</v>
      </c>
      <c r="BL42" s="90">
        <f t="shared" si="37"/>
        <v>3.256838430319092</v>
      </c>
      <c r="BM42" s="407">
        <f t="shared" si="37"/>
        <v>0.93811191576090458</v>
      </c>
      <c r="BN42" s="407">
        <f t="shared" si="37"/>
        <v>1.0853029883469323</v>
      </c>
      <c r="BO42" s="407">
        <f t="shared" si="37"/>
        <v>1.0706924823212001</v>
      </c>
      <c r="BP42" s="407">
        <f t="shared" si="37"/>
        <v>1.0208864697703703</v>
      </c>
      <c r="BQ42" s="90">
        <f t="shared" si="37"/>
        <v>4.1142369272080188</v>
      </c>
      <c r="BR42" s="407">
        <f t="shared" ref="BR42:BU42" si="38">BR41/BR87</f>
        <v>1.1664173052184801</v>
      </c>
      <c r="BS42" s="407">
        <f t="shared" si="38"/>
        <v>1.2726176586838609</v>
      </c>
      <c r="BT42" s="407">
        <f t="shared" si="38"/>
        <v>1.420518900680239</v>
      </c>
      <c r="BU42" s="407">
        <f t="shared" si="38"/>
        <v>1.443515354633405</v>
      </c>
      <c r="BV42" s="90">
        <f>BV41/BV87</f>
        <v>5.3016134978415472</v>
      </c>
      <c r="BW42" s="407">
        <f>BW41/BW87</f>
        <v>1.5240156776970637</v>
      </c>
      <c r="BX42" s="407">
        <f t="shared" ref="BX42:CE42" si="39">BX41/BX87</f>
        <v>1.641035269941971</v>
      </c>
      <c r="BY42" s="407">
        <f t="shared" si="39"/>
        <v>1.7507559790112066</v>
      </c>
      <c r="BZ42" s="407">
        <f t="shared" si="39"/>
        <v>1.8217553889687677</v>
      </c>
      <c r="CA42" s="90">
        <f>CA41/CA87</f>
        <v>6.7353492611404038</v>
      </c>
      <c r="CB42" s="407">
        <f t="shared" si="39"/>
        <v>1.7451653939329559</v>
      </c>
      <c r="CC42" s="407">
        <f t="shared" si="39"/>
        <v>1.9212054878403031</v>
      </c>
      <c r="CD42" s="407">
        <f t="shared" si="39"/>
        <v>1.9475343487535302</v>
      </c>
      <c r="CE42" s="407">
        <f t="shared" si="39"/>
        <v>2.126180528006103</v>
      </c>
      <c r="CF42" s="90">
        <f>CF41/CF87</f>
        <v>7.7344309696826326</v>
      </c>
      <c r="CG42" s="407"/>
      <c r="CH42" s="407"/>
      <c r="CI42" s="407"/>
      <c r="CJ42" s="407"/>
      <c r="CK42" s="90">
        <f>CK41/CK87</f>
        <v>9.1349265856498487</v>
      </c>
      <c r="CL42" s="407"/>
      <c r="CM42" s="407"/>
      <c r="CN42" s="407"/>
      <c r="CO42" s="407"/>
      <c r="CP42" s="90">
        <f>CP41/CP87</f>
        <v>11.25831483065636</v>
      </c>
      <c r="CQ42" s="407"/>
      <c r="CR42" s="407"/>
      <c r="CS42" s="407"/>
      <c r="CT42" s="407"/>
      <c r="CU42" s="90">
        <f>CU41/CU87</f>
        <v>13.702497286969759</v>
      </c>
      <c r="CV42" s="407"/>
      <c r="CW42" s="407"/>
      <c r="CX42" s="407"/>
      <c r="CY42" s="407"/>
      <c r="CZ42" s="90">
        <f>CZ41/CZ87</f>
        <v>15.336568171346979</v>
      </c>
      <c r="DA42" s="407"/>
      <c r="DB42" s="407"/>
      <c r="DC42" s="407"/>
      <c r="DD42" s="407"/>
      <c r="DE42" s="90">
        <f>DE41/DE87</f>
        <v>16.115368799880656</v>
      </c>
      <c r="DF42" s="407"/>
      <c r="DG42" s="407"/>
      <c r="DH42" s="407"/>
      <c r="DI42" s="407"/>
      <c r="DJ42" s="90">
        <f>DJ41/DJ87</f>
        <v>16.009023470305564</v>
      </c>
      <c r="DK42" s="407"/>
      <c r="DL42" s="407"/>
      <c r="DM42" s="407"/>
      <c r="DN42" s="407"/>
      <c r="DO42" s="90">
        <f>DO41/DO87</f>
        <v>12.924807991350951</v>
      </c>
      <c r="DP42" s="407"/>
      <c r="DQ42" s="407"/>
      <c r="DR42" s="407"/>
      <c r="DS42" s="407"/>
      <c r="DT42" s="90">
        <f>DT41/DT87</f>
        <v>7.510541423250495</v>
      </c>
      <c r="DU42" s="407"/>
      <c r="DV42" s="407"/>
      <c r="DW42" s="407"/>
      <c r="DX42" s="407"/>
      <c r="DY42" s="90">
        <f>DY41/DY87</f>
        <v>5.5119422683622901</v>
      </c>
      <c r="DZ42" s="407"/>
      <c r="EA42" s="407"/>
      <c r="EB42" s="407"/>
      <c r="EC42" s="407"/>
      <c r="ED42" s="90">
        <f>ED41/ED87</f>
        <v>5.1537817398740859</v>
      </c>
      <c r="EE42" s="407"/>
      <c r="EF42" s="407"/>
      <c r="EG42" s="407"/>
      <c r="EH42" s="407"/>
      <c r="EI42" s="90">
        <f>EI41/EI87</f>
        <v>5.9568132582357896</v>
      </c>
      <c r="EJ42" s="407"/>
      <c r="EK42" s="407"/>
      <c r="EL42" s="407"/>
      <c r="EM42" s="407"/>
      <c r="EN42" s="90">
        <f>EN41/EN87</f>
        <v>4.1543901330470367</v>
      </c>
    </row>
    <row r="43" spans="2:144" hidden="1" outlineLevel="1">
      <c r="E43" s="387"/>
      <c r="F43" s="387"/>
      <c r="G43" s="387"/>
      <c r="H43" s="387"/>
      <c r="I43" s="50"/>
      <c r="J43" s="387"/>
      <c r="K43" s="387"/>
      <c r="L43" s="387"/>
      <c r="M43" s="387"/>
      <c r="N43" s="50"/>
      <c r="O43" s="75"/>
      <c r="P43" s="75"/>
      <c r="Q43" s="75"/>
      <c r="R43" s="75"/>
      <c r="S43" s="50"/>
      <c r="T43" s="75"/>
      <c r="U43" s="75"/>
      <c r="V43" s="75"/>
      <c r="W43" s="75"/>
      <c r="X43" s="50"/>
      <c r="Y43" s="75"/>
      <c r="Z43" s="75"/>
      <c r="AA43" s="75"/>
      <c r="AB43" s="75"/>
      <c r="AC43" s="50"/>
      <c r="AD43" s="75"/>
      <c r="AE43" s="75"/>
      <c r="AF43" s="75"/>
      <c r="AG43" s="75"/>
      <c r="AH43" s="50"/>
      <c r="AI43" s="75"/>
      <c r="AJ43" s="75"/>
      <c r="AK43" s="75"/>
      <c r="AL43" s="75"/>
      <c r="AM43" s="50"/>
      <c r="AN43" s="75"/>
      <c r="AO43" s="75"/>
      <c r="AP43" s="75"/>
      <c r="AQ43" s="75"/>
      <c r="AR43" s="50"/>
      <c r="AS43" s="75"/>
      <c r="AT43" s="75"/>
      <c r="AU43" s="75"/>
      <c r="AV43" s="75"/>
      <c r="AW43" s="50"/>
      <c r="AX43" s="387"/>
      <c r="AY43" s="387"/>
      <c r="AZ43" s="387"/>
      <c r="BA43" s="387"/>
      <c r="BB43" s="50"/>
      <c r="BC43" s="387"/>
      <c r="BD43" s="387"/>
      <c r="BE43" s="387"/>
      <c r="BF43" s="387"/>
      <c r="BG43" s="50"/>
      <c r="BH43" s="387"/>
      <c r="BI43" s="387"/>
      <c r="BJ43" s="387"/>
      <c r="BK43" s="387"/>
      <c r="BM43" s="387"/>
      <c r="BN43" s="387"/>
      <c r="BO43" s="387"/>
      <c r="BP43" s="387"/>
      <c r="BR43" s="387"/>
      <c r="BS43" s="387"/>
      <c r="BT43" s="387"/>
      <c r="BU43" s="387"/>
      <c r="BW43" s="387"/>
      <c r="BX43" s="387"/>
      <c r="BY43" s="387"/>
      <c r="BZ43" s="387"/>
      <c r="CB43" s="387"/>
      <c r="CC43" s="387"/>
      <c r="CD43" s="387"/>
      <c r="CE43" s="387"/>
      <c r="CG43" s="387"/>
      <c r="CH43" s="387"/>
      <c r="CI43" s="387"/>
      <c r="CJ43" s="387"/>
      <c r="CL43" s="387"/>
      <c r="CM43" s="387"/>
      <c r="CN43" s="387"/>
      <c r="CO43" s="387"/>
      <c r="CQ43" s="387"/>
      <c r="CR43" s="387"/>
      <c r="CS43" s="387"/>
      <c r="CT43" s="387"/>
      <c r="CV43" s="387"/>
      <c r="CW43" s="387"/>
      <c r="CX43" s="387"/>
      <c r="CY43" s="387"/>
      <c r="DA43" s="387"/>
      <c r="DB43" s="387"/>
      <c r="DC43" s="387"/>
      <c r="DD43" s="387"/>
      <c r="DF43" s="387"/>
      <c r="DG43" s="387"/>
      <c r="DH43" s="387"/>
      <c r="DI43" s="387"/>
      <c r="DK43" s="387"/>
      <c r="DL43" s="387"/>
      <c r="DM43" s="387"/>
      <c r="DN43" s="387"/>
      <c r="DP43" s="387"/>
      <c r="DQ43" s="387"/>
      <c r="DR43" s="387"/>
      <c r="DS43" s="387"/>
      <c r="DU43" s="387"/>
      <c r="DV43" s="387"/>
      <c r="DW43" s="387"/>
      <c r="DX43" s="387"/>
      <c r="DZ43" s="387"/>
      <c r="EA43" s="387"/>
      <c r="EB43" s="387"/>
      <c r="EC43" s="387"/>
      <c r="EE43" s="387"/>
      <c r="EF43" s="387"/>
      <c r="EG43" s="387"/>
      <c r="EH43" s="387"/>
      <c r="EJ43" s="387"/>
      <c r="EK43" s="387"/>
      <c r="EL43" s="387"/>
      <c r="EM43" s="387"/>
    </row>
    <row r="44" spans="2:144" hidden="1" outlineLevel="1">
      <c r="B44" t="s">
        <v>199</v>
      </c>
      <c r="E44" s="387"/>
      <c r="F44" s="387"/>
      <c r="G44" s="387"/>
      <c r="H44" s="387"/>
      <c r="I44" s="91"/>
      <c r="J44" s="387"/>
      <c r="K44" s="387"/>
      <c r="L44" s="387"/>
      <c r="M44" s="387"/>
      <c r="N44" s="91"/>
      <c r="O44" s="75"/>
      <c r="P44" s="75"/>
      <c r="Q44" s="75"/>
      <c r="R44" s="75"/>
      <c r="S44" s="91"/>
      <c r="T44" s="75"/>
      <c r="U44" s="75"/>
      <c r="V44" s="75"/>
      <c r="W44" s="75"/>
      <c r="X44" s="91"/>
      <c r="Y44" s="75"/>
      <c r="Z44" s="75"/>
      <c r="AA44" s="75"/>
      <c r="AB44" s="75"/>
      <c r="AC44" s="91"/>
      <c r="AD44" s="75"/>
      <c r="AE44" s="75"/>
      <c r="AF44" s="75"/>
      <c r="AG44" s="75"/>
      <c r="AH44" s="91"/>
      <c r="AI44" s="75"/>
      <c r="AJ44" s="75"/>
      <c r="AK44" s="75"/>
      <c r="AL44" s="75"/>
      <c r="AM44" s="91"/>
      <c r="AN44" s="75"/>
      <c r="AO44" s="75"/>
      <c r="AP44" s="75"/>
      <c r="AQ44" s="75"/>
      <c r="AR44" s="91"/>
      <c r="AS44" s="75"/>
      <c r="AT44" s="75"/>
      <c r="AU44" s="75"/>
      <c r="AV44" s="75"/>
      <c r="AW44" s="91"/>
      <c r="AX44" s="387"/>
      <c r="AY44" s="387"/>
      <c r="AZ44" s="387"/>
      <c r="BA44" s="387"/>
      <c r="BB44" s="50"/>
      <c r="BC44" s="387"/>
      <c r="BD44" s="387"/>
      <c r="BE44" s="387"/>
      <c r="BF44" s="387"/>
      <c r="BG44" s="50"/>
      <c r="BH44" s="387"/>
      <c r="BI44" s="387"/>
      <c r="BJ44" s="387"/>
      <c r="BK44" s="387"/>
      <c r="BM44" s="387"/>
      <c r="BN44" s="387"/>
      <c r="BO44" s="387"/>
      <c r="BP44" s="387"/>
      <c r="BQ44" s="115"/>
      <c r="BR44" s="387"/>
      <c r="BS44" s="387"/>
      <c r="BT44" s="387"/>
      <c r="BU44" s="387"/>
      <c r="BW44" s="387"/>
      <c r="BX44" s="387"/>
      <c r="BY44" s="387"/>
      <c r="BZ44" s="387"/>
      <c r="CB44" s="387"/>
      <c r="CC44" s="387"/>
      <c r="CD44" s="387"/>
      <c r="CE44" s="387"/>
      <c r="CG44" s="387"/>
      <c r="CH44" s="387"/>
      <c r="CI44" s="387"/>
      <c r="CJ44" s="387"/>
      <c r="CL44" s="387"/>
      <c r="CM44" s="387"/>
      <c r="CN44" s="387"/>
      <c r="CO44" s="387"/>
      <c r="CQ44" s="387"/>
      <c r="CR44" s="387"/>
      <c r="CS44" s="387"/>
      <c r="CT44" s="387"/>
      <c r="CV44" s="387"/>
      <c r="CW44" s="387"/>
      <c r="CX44" s="387"/>
      <c r="CY44" s="387"/>
      <c r="DA44" s="387"/>
      <c r="DB44" s="387"/>
      <c r="DC44" s="387"/>
      <c r="DD44" s="387"/>
      <c r="DF44" s="387"/>
      <c r="DG44" s="387"/>
      <c r="DH44" s="387"/>
      <c r="DI44" s="387"/>
      <c r="DK44" s="387"/>
      <c r="DL44" s="387"/>
      <c r="DM44" s="387"/>
      <c r="DN44" s="387"/>
      <c r="DP44" s="387"/>
      <c r="DQ44" s="387"/>
      <c r="DR44" s="387"/>
      <c r="DS44" s="387"/>
      <c r="DU44" s="387"/>
      <c r="DV44" s="387"/>
      <c r="DW44" s="387"/>
      <c r="DX44" s="387"/>
      <c r="DZ44" s="387"/>
      <c r="EA44" s="387"/>
      <c r="EB44" s="387"/>
      <c r="EC44" s="387"/>
      <c r="EE44" s="387"/>
      <c r="EF44" s="387"/>
      <c r="EG44" s="387"/>
      <c r="EH44" s="387"/>
      <c r="EJ44" s="387"/>
      <c r="EK44" s="387"/>
      <c r="EL44" s="387"/>
      <c r="EM44" s="387"/>
    </row>
    <row r="45" spans="2:144" hidden="1" outlineLevel="1">
      <c r="E45" s="387"/>
      <c r="F45" s="387"/>
      <c r="G45" s="387"/>
      <c r="H45" s="387"/>
      <c r="I45" s="50"/>
      <c r="J45" s="387"/>
      <c r="K45" s="387"/>
      <c r="L45" s="387"/>
      <c r="M45" s="387"/>
      <c r="N45" s="50"/>
      <c r="O45" s="75"/>
      <c r="P45" s="75"/>
      <c r="Q45" s="75"/>
      <c r="R45" s="75"/>
      <c r="S45" s="50"/>
      <c r="T45" s="75"/>
      <c r="U45" s="75"/>
      <c r="V45" s="75"/>
      <c r="W45" s="75"/>
      <c r="X45" s="50"/>
      <c r="Y45" s="75"/>
      <c r="Z45" s="75"/>
      <c r="AA45" s="75"/>
      <c r="AB45" s="75"/>
      <c r="AC45" s="50"/>
      <c r="AD45" s="75"/>
      <c r="AE45" s="75"/>
      <c r="AF45" s="75"/>
      <c r="AG45" s="75"/>
      <c r="AH45" s="50"/>
      <c r="AI45" s="75"/>
      <c r="AJ45" s="75"/>
      <c r="AK45" s="75"/>
      <c r="AL45" s="75"/>
      <c r="AM45" s="50"/>
      <c r="AN45" s="75"/>
      <c r="AO45" s="75"/>
      <c r="AP45" s="75"/>
      <c r="AQ45" s="75"/>
      <c r="AR45" s="50"/>
      <c r="AS45" s="75"/>
      <c r="AT45" s="75"/>
      <c r="AU45" s="75"/>
      <c r="AV45" s="75"/>
      <c r="AW45" s="50"/>
      <c r="AX45" s="387"/>
      <c r="AY45" s="387"/>
      <c r="AZ45" s="387"/>
      <c r="BA45" s="387"/>
      <c r="BB45" s="50"/>
      <c r="BC45" s="387"/>
      <c r="BD45" s="387"/>
      <c r="BE45" s="387"/>
      <c r="BF45" s="622"/>
      <c r="BG45" s="50"/>
      <c r="BH45" s="387"/>
      <c r="BI45" s="387"/>
      <c r="BJ45" s="387"/>
      <c r="BK45" s="387"/>
      <c r="BM45" s="387"/>
      <c r="BN45" s="387"/>
      <c r="BO45" s="387"/>
      <c r="BP45" s="387"/>
      <c r="BR45" s="388"/>
      <c r="BS45" s="387"/>
      <c r="BT45" s="387"/>
      <c r="BU45" s="387"/>
      <c r="BW45" s="387"/>
      <c r="BX45" s="387"/>
      <c r="BY45" s="387"/>
      <c r="BZ45" s="387"/>
      <c r="CB45" s="387"/>
      <c r="CC45" s="387"/>
      <c r="CD45" s="387"/>
      <c r="CE45" s="387"/>
      <c r="CG45" s="387"/>
      <c r="CH45" s="387"/>
      <c r="CI45" s="387"/>
      <c r="CJ45" s="387"/>
      <c r="CL45" s="387"/>
      <c r="CM45" s="387"/>
      <c r="CN45" s="387"/>
      <c r="CO45" s="387"/>
      <c r="CQ45" s="387"/>
      <c r="CR45" s="387"/>
      <c r="CS45" s="387"/>
      <c r="CT45" s="387"/>
      <c r="CV45" s="387"/>
      <c r="CW45" s="387"/>
      <c r="CX45" s="387"/>
      <c r="CY45" s="387"/>
      <c r="DA45" s="387"/>
      <c r="DB45" s="387"/>
      <c r="DC45" s="387"/>
      <c r="DD45" s="387"/>
      <c r="DF45" s="387"/>
      <c r="DG45" s="387"/>
      <c r="DH45" s="387"/>
      <c r="DI45" s="387"/>
      <c r="DK45" s="387"/>
      <c r="DL45" s="387"/>
      <c r="DM45" s="387"/>
      <c r="DN45" s="387"/>
      <c r="DP45" s="387"/>
      <c r="DQ45" s="387"/>
      <c r="DR45" s="387"/>
      <c r="DS45" s="387"/>
      <c r="DU45" s="387"/>
      <c r="DV45" s="387"/>
      <c r="DW45" s="387"/>
      <c r="DX45" s="387"/>
      <c r="DZ45" s="387"/>
      <c r="EA45" s="387"/>
      <c r="EB45" s="387"/>
      <c r="EC45" s="387"/>
      <c r="EE45" s="387"/>
      <c r="EF45" s="387"/>
      <c r="EG45" s="387"/>
      <c r="EH45" s="387"/>
      <c r="EJ45" s="387"/>
      <c r="EK45" s="387"/>
      <c r="EL45" s="387"/>
      <c r="EM45" s="387"/>
    </row>
    <row r="46" spans="2:144" hidden="1" outlineLevel="1">
      <c r="B46" s="360" t="s">
        <v>786</v>
      </c>
      <c r="D46" s="51">
        <f t="shared" ref="D46:AI46" si="40">D32</f>
        <v>-90.492000000000004</v>
      </c>
      <c r="E46" s="375">
        <f t="shared" si="40"/>
        <v>0.95299999999999829</v>
      </c>
      <c r="F46" s="375">
        <f t="shared" si="40"/>
        <v>2.969000000000003</v>
      </c>
      <c r="G46" s="375">
        <f t="shared" si="40"/>
        <v>4.5360000000000138</v>
      </c>
      <c r="H46" s="375">
        <f t="shared" si="40"/>
        <v>8.1920000000000268</v>
      </c>
      <c r="I46" s="51">
        <f t="shared" si="40"/>
        <v>16.650000000000009</v>
      </c>
      <c r="J46" s="375">
        <f t="shared" si="40"/>
        <v>8.9140000000000068</v>
      </c>
      <c r="K46" s="375">
        <f t="shared" si="40"/>
        <v>12.416999999999993</v>
      </c>
      <c r="L46" s="375">
        <f t="shared" si="40"/>
        <v>21.206999999999987</v>
      </c>
      <c r="M46" s="375">
        <f t="shared" si="40"/>
        <v>19.300000000000018</v>
      </c>
      <c r="N46" s="51">
        <f t="shared" si="40"/>
        <v>61.838000000000008</v>
      </c>
      <c r="O46" s="43">
        <f t="shared" si="40"/>
        <v>19.071000000000019</v>
      </c>
      <c r="P46" s="43">
        <f t="shared" si="40"/>
        <v>30.586000000000023</v>
      </c>
      <c r="Q46" s="43">
        <f t="shared" si="40"/>
        <v>10.481999999999996</v>
      </c>
      <c r="R46" s="43">
        <f t="shared" si="40"/>
        <v>7.9809999999999288</v>
      </c>
      <c r="S46" s="51">
        <f t="shared" si="40"/>
        <v>68.12</v>
      </c>
      <c r="T46" s="43">
        <f t="shared" si="40"/>
        <v>33.664999999999999</v>
      </c>
      <c r="U46" s="43">
        <f t="shared" si="40"/>
        <v>42.54999999999999</v>
      </c>
      <c r="V46" s="43">
        <f t="shared" si="40"/>
        <v>59.44100000000001</v>
      </c>
      <c r="W46" s="43">
        <f t="shared" si="40"/>
        <v>74.461999999999989</v>
      </c>
      <c r="X46" s="51">
        <f t="shared" si="40"/>
        <v>210.11800000000005</v>
      </c>
      <c r="Y46" s="43">
        <f t="shared" si="40"/>
        <v>85.629999999999939</v>
      </c>
      <c r="Z46" s="43">
        <f t="shared" si="40"/>
        <v>110.43499999999995</v>
      </c>
      <c r="AA46" s="43">
        <f t="shared" si="40"/>
        <v>124.07799999999999</v>
      </c>
      <c r="AB46" s="43">
        <f t="shared" si="40"/>
        <v>132.79600000000002</v>
      </c>
      <c r="AC46" s="51">
        <f t="shared" si="40"/>
        <v>452.93899999999962</v>
      </c>
      <c r="AD46" s="43">
        <f t="shared" si="40"/>
        <v>159.26700000000008</v>
      </c>
      <c r="AE46" s="43">
        <f t="shared" si="40"/>
        <v>172.72199999999998</v>
      </c>
      <c r="AF46" s="43">
        <f t="shared" si="40"/>
        <v>185.87200000000004</v>
      </c>
      <c r="AG46" s="43">
        <f t="shared" si="40"/>
        <v>200.89999999999998</v>
      </c>
      <c r="AH46" s="51">
        <f t="shared" si="40"/>
        <v>718.76100000000019</v>
      </c>
      <c r="AI46" s="43">
        <f t="shared" si="40"/>
        <v>205.14800000000014</v>
      </c>
      <c r="AJ46" s="43">
        <f t="shared" ref="AJ46:BL46" si="41">AJ32</f>
        <v>216.02500000000012</v>
      </c>
      <c r="AK46" s="43">
        <f t="shared" si="41"/>
        <v>259.81599999999997</v>
      </c>
      <c r="AL46" s="43">
        <f t="shared" si="41"/>
        <v>290.31199999999978</v>
      </c>
      <c r="AM46" s="51">
        <f t="shared" si="41"/>
        <v>971.30100000000004</v>
      </c>
      <c r="AN46" s="43">
        <f t="shared" si="41"/>
        <v>294.56099999999981</v>
      </c>
      <c r="AO46" s="43">
        <f t="shared" si="41"/>
        <v>323.26499999999999</v>
      </c>
      <c r="AP46" s="43">
        <f t="shared" si="41"/>
        <v>349.87800000000016</v>
      </c>
      <c r="AQ46" s="43">
        <f t="shared" si="41"/>
        <v>347.59300000000002</v>
      </c>
      <c r="AR46" s="51">
        <f t="shared" si="41"/>
        <v>1315.2969999999996</v>
      </c>
      <c r="AS46" s="43">
        <f t="shared" si="41"/>
        <v>393.38799999999981</v>
      </c>
      <c r="AT46" s="43">
        <f t="shared" si="41"/>
        <v>417.29400000000004</v>
      </c>
      <c r="AU46" s="43">
        <f t="shared" si="41"/>
        <v>469.25399999999991</v>
      </c>
      <c r="AV46" s="43">
        <f t="shared" si="41"/>
        <v>473.0589999999998</v>
      </c>
      <c r="AW46" s="51">
        <f t="shared" si="41"/>
        <v>1752.9950000000001</v>
      </c>
      <c r="AX46" s="375">
        <f t="shared" si="41"/>
        <v>484.42900000000009</v>
      </c>
      <c r="AY46" s="375">
        <f t="shared" si="41"/>
        <v>544.55200000000013</v>
      </c>
      <c r="AZ46" s="375">
        <f t="shared" si="41"/>
        <v>561.29100000000017</v>
      </c>
      <c r="BA46" s="375">
        <f t="shared" si="41"/>
        <v>572.21400000000017</v>
      </c>
      <c r="BB46" s="51">
        <f t="shared" si="41"/>
        <v>2162.4859999999994</v>
      </c>
      <c r="BC46" s="387">
        <f t="shared" si="41"/>
        <v>591.70000000000005</v>
      </c>
      <c r="BD46" s="387">
        <f t="shared" si="41"/>
        <v>652.90000000000009</v>
      </c>
      <c r="BE46" s="387">
        <f t="shared" si="41"/>
        <v>669.50000000000023</v>
      </c>
      <c r="BF46" s="721">
        <f t="shared" si="41"/>
        <v>648.99999999999989</v>
      </c>
      <c r="BG46" s="51">
        <f t="shared" si="41"/>
        <v>2540.2000000000007</v>
      </c>
      <c r="BH46" s="388">
        <f t="shared" si="41"/>
        <v>704.9</v>
      </c>
      <c r="BI46" s="388">
        <f t="shared" si="41"/>
        <v>747.9</v>
      </c>
      <c r="BJ46" s="388">
        <f t="shared" si="41"/>
        <v>805.59999999999968</v>
      </c>
      <c r="BK46" s="388">
        <f t="shared" si="41"/>
        <v>840.2</v>
      </c>
      <c r="BL46" s="51">
        <f t="shared" si="41"/>
        <v>3098.5999999999995</v>
      </c>
      <c r="BM46" s="388">
        <f t="shared" ref="BM46:BR46" si="42">BM32</f>
        <v>891.00000000000023</v>
      </c>
      <c r="BN46" s="388">
        <f t="shared" si="42"/>
        <v>1018.8000000000005</v>
      </c>
      <c r="BO46" s="388">
        <f t="shared" si="42"/>
        <v>1011.1999999999999</v>
      </c>
      <c r="BP46" s="388">
        <f t="shared" si="42"/>
        <v>961.39999999999975</v>
      </c>
      <c r="BQ46" s="51">
        <f t="shared" si="42"/>
        <v>3882.4</v>
      </c>
      <c r="BR46" s="388">
        <f t="shared" si="42"/>
        <v>1064.2999999999997</v>
      </c>
      <c r="BS46" s="388">
        <f t="shared" ref="BS46:CE46" si="43">BS32</f>
        <v>1151.9000000000001</v>
      </c>
      <c r="BT46" s="388">
        <f t="shared" si="43"/>
        <v>1263.4999999999991</v>
      </c>
      <c r="BU46" s="388">
        <f t="shared" si="43"/>
        <v>1290.0999999999997</v>
      </c>
      <c r="BV46" s="51">
        <f>BV32</f>
        <v>4769.7999999999993</v>
      </c>
      <c r="BW46" s="375">
        <f t="shared" si="43"/>
        <v>1364</v>
      </c>
      <c r="BX46" s="375">
        <f t="shared" si="43"/>
        <v>1474</v>
      </c>
      <c r="BY46" s="375">
        <f t="shared" si="43"/>
        <v>1560</v>
      </c>
      <c r="BZ46" s="375">
        <f t="shared" si="43"/>
        <v>1592</v>
      </c>
      <c r="CA46" s="51">
        <f>CA32</f>
        <v>5990</v>
      </c>
      <c r="CB46" s="375">
        <f t="shared" si="43"/>
        <v>1512.7232311828093</v>
      </c>
      <c r="CC46" s="375">
        <f t="shared" si="43"/>
        <v>1641.9036462470517</v>
      </c>
      <c r="CD46" s="375">
        <f t="shared" si="43"/>
        <v>1658.3129576053429</v>
      </c>
      <c r="CE46" s="375">
        <f t="shared" si="43"/>
        <v>1761.3587233718681</v>
      </c>
      <c r="CF46" s="51">
        <f>CF32</f>
        <v>6574.2985584070721</v>
      </c>
      <c r="CG46" s="375"/>
      <c r="CH46" s="375"/>
      <c r="CI46" s="375"/>
      <c r="CJ46" s="375"/>
      <c r="CK46" s="51">
        <f>CK32</f>
        <v>7737.2982225451815</v>
      </c>
      <c r="CL46" s="375"/>
      <c r="CM46" s="375"/>
      <c r="CN46" s="375"/>
      <c r="CO46" s="375"/>
      <c r="CP46" s="51">
        <f>CP32</f>
        <v>9086.9016324769145</v>
      </c>
      <c r="CQ46" s="375"/>
      <c r="CR46" s="375"/>
      <c r="CS46" s="375"/>
      <c r="CT46" s="375"/>
      <c r="CU46" s="51">
        <f>CU32</f>
        <v>10534.556200321109</v>
      </c>
      <c r="CV46" s="375"/>
      <c r="CW46" s="375"/>
      <c r="CX46" s="375"/>
      <c r="CY46" s="375"/>
      <c r="CZ46" s="51">
        <f>CZ32</f>
        <v>11373.081388928491</v>
      </c>
      <c r="DA46" s="375"/>
      <c r="DB46" s="375"/>
      <c r="DC46" s="375"/>
      <c r="DD46" s="375"/>
      <c r="DE46" s="51">
        <f>DE32</f>
        <v>11595.56171605501</v>
      </c>
      <c r="DF46" s="375"/>
      <c r="DG46" s="375"/>
      <c r="DH46" s="375"/>
      <c r="DI46" s="375"/>
      <c r="DJ46" s="51">
        <f>DJ32</f>
        <v>11304.366401220057</v>
      </c>
      <c r="DK46" s="375"/>
      <c r="DL46" s="375"/>
      <c r="DM46" s="375"/>
      <c r="DN46" s="375"/>
      <c r="DO46" s="51">
        <f>DO32</f>
        <v>9150.5584016355278</v>
      </c>
      <c r="DP46" s="375"/>
      <c r="DQ46" s="375"/>
      <c r="DR46" s="375"/>
      <c r="DS46" s="375"/>
      <c r="DT46" s="51">
        <f>DT32</f>
        <v>5565.1781872599013</v>
      </c>
      <c r="DU46" s="375"/>
      <c r="DV46" s="375"/>
      <c r="DW46" s="375"/>
      <c r="DX46" s="375"/>
      <c r="DY46" s="51">
        <f>DY32</f>
        <v>4252.367838942424</v>
      </c>
      <c r="DZ46" s="375"/>
      <c r="EA46" s="375"/>
      <c r="EB46" s="375"/>
      <c r="EC46" s="375"/>
      <c r="ED46" s="51">
        <f>ED32</f>
        <v>4030.198915510578</v>
      </c>
      <c r="EE46" s="375"/>
      <c r="EF46" s="375"/>
      <c r="EG46" s="375"/>
      <c r="EH46" s="375"/>
      <c r="EI46" s="51">
        <f>EI32</f>
        <v>3972.9016879216779</v>
      </c>
      <c r="EJ46" s="375"/>
      <c r="EK46" s="375"/>
      <c r="EL46" s="375"/>
      <c r="EM46" s="375"/>
      <c r="EN46" s="51">
        <f>EN32</f>
        <v>2863.5397859489112</v>
      </c>
    </row>
    <row r="47" spans="2:144" hidden="1" outlineLevel="1">
      <c r="B47" t="s">
        <v>200</v>
      </c>
      <c r="D47" s="51"/>
      <c r="E47" s="375"/>
      <c r="F47" s="375"/>
      <c r="G47" s="375"/>
      <c r="H47" s="375"/>
      <c r="J47" s="375"/>
      <c r="K47" s="375"/>
      <c r="L47" s="375"/>
      <c r="M47" s="375"/>
      <c r="O47" s="43"/>
      <c r="P47" s="43"/>
      <c r="Q47" s="43"/>
      <c r="R47" s="43"/>
      <c r="T47" s="43"/>
      <c r="U47" s="43"/>
      <c r="V47" s="43"/>
      <c r="W47" s="43"/>
      <c r="Y47" s="43"/>
      <c r="Z47" s="43"/>
      <c r="AA47" s="43"/>
      <c r="AB47" s="43"/>
      <c r="AD47" s="43"/>
      <c r="AE47" s="43"/>
      <c r="AF47" s="43"/>
      <c r="AG47" s="43"/>
      <c r="AI47" s="43"/>
      <c r="AJ47" s="43"/>
      <c r="AK47" s="43"/>
      <c r="AL47" s="43"/>
      <c r="AN47" s="43"/>
      <c r="AO47" s="43"/>
      <c r="AP47" s="43"/>
      <c r="AQ47" s="43"/>
      <c r="AS47" s="43"/>
      <c r="AT47" s="43"/>
      <c r="AU47" s="43"/>
      <c r="AV47" s="43"/>
      <c r="AX47" s="375"/>
      <c r="AY47" s="375"/>
      <c r="AZ47" s="375"/>
      <c r="BA47" s="375"/>
      <c r="BC47" s="387"/>
      <c r="BD47" s="387"/>
      <c r="BE47" s="387"/>
      <c r="BF47" s="622"/>
      <c r="BH47" s="387"/>
      <c r="BI47" s="387"/>
      <c r="BJ47" s="387"/>
      <c r="BK47" s="387"/>
      <c r="BM47" s="387"/>
      <c r="BN47" s="387"/>
      <c r="BO47" s="387"/>
      <c r="BP47" s="387"/>
      <c r="BR47" s="387"/>
      <c r="BS47" s="387"/>
      <c r="BT47" s="387"/>
      <c r="BU47" s="387"/>
      <c r="BW47" s="387"/>
      <c r="BX47" s="387"/>
      <c r="BY47" s="387"/>
      <c r="BZ47" s="387"/>
      <c r="CB47" s="387"/>
      <c r="CC47" s="387"/>
      <c r="CD47" s="387"/>
      <c r="CE47" s="387"/>
      <c r="CG47" s="387"/>
      <c r="CH47" s="387"/>
      <c r="CI47" s="387"/>
      <c r="CJ47" s="387"/>
      <c r="CL47" s="387"/>
      <c r="CM47" s="387"/>
      <c r="CN47" s="387"/>
      <c r="CO47" s="387"/>
      <c r="CQ47" s="387"/>
      <c r="CR47" s="387"/>
      <c r="CS47" s="387"/>
      <c r="CT47" s="387"/>
      <c r="CV47" s="387"/>
      <c r="CW47" s="387"/>
      <c r="CX47" s="387"/>
      <c r="CY47" s="387"/>
      <c r="DA47" s="387"/>
      <c r="DB47" s="387"/>
      <c r="DC47" s="387"/>
      <c r="DD47" s="387"/>
      <c r="DF47" s="387"/>
      <c r="DG47" s="387"/>
      <c r="DH47" s="387"/>
      <c r="DI47" s="387"/>
      <c r="DK47" s="387"/>
      <c r="DL47" s="387"/>
      <c r="DM47" s="387"/>
      <c r="DN47" s="387"/>
      <c r="DP47" s="387"/>
      <c r="DQ47" s="387"/>
      <c r="DR47" s="387"/>
      <c r="DS47" s="387"/>
      <c r="DU47" s="387"/>
      <c r="DV47" s="387"/>
      <c r="DW47" s="387"/>
      <c r="DX47" s="387"/>
      <c r="DZ47" s="387"/>
      <c r="EA47" s="387"/>
      <c r="EB47" s="387"/>
      <c r="EC47" s="387"/>
      <c r="EE47" s="387"/>
      <c r="EF47" s="387"/>
      <c r="EG47" s="387"/>
      <c r="EH47" s="387"/>
      <c r="EJ47" s="387"/>
      <c r="EK47" s="387"/>
      <c r="EL47" s="387"/>
      <c r="EM47" s="387"/>
    </row>
    <row r="48" spans="2:144" hidden="1" outlineLevel="1">
      <c r="B48" s="10" t="s">
        <v>5</v>
      </c>
      <c r="D48" s="51"/>
      <c r="E48" s="375"/>
      <c r="F48" s="375"/>
      <c r="G48" s="375"/>
      <c r="H48" s="375"/>
      <c r="I48" s="42">
        <f>SUM(E48:H48)</f>
        <v>0</v>
      </c>
      <c r="J48" s="375"/>
      <c r="K48" s="375"/>
      <c r="L48" s="375"/>
      <c r="M48" s="375"/>
      <c r="N48" s="42">
        <f>SUM(J48:M48)</f>
        <v>0</v>
      </c>
      <c r="O48" s="43"/>
      <c r="P48" s="43"/>
      <c r="Q48" s="43"/>
      <c r="R48" s="43"/>
      <c r="S48" s="42">
        <f>SUM(O48:R48)</f>
        <v>0</v>
      </c>
      <c r="T48" s="43"/>
      <c r="U48" s="43"/>
      <c r="V48" s="43"/>
      <c r="W48" s="43"/>
      <c r="X48" s="42">
        <f>SUM(T48:W48)</f>
        <v>0</v>
      </c>
      <c r="Y48" s="43"/>
      <c r="Z48" s="43"/>
      <c r="AA48" s="43"/>
      <c r="AB48" s="43"/>
      <c r="AC48" s="42">
        <f>SUM(Y48:AB48)</f>
        <v>0</v>
      </c>
      <c r="AD48" s="43">
        <v>2.5179999999999998</v>
      </c>
      <c r="AE48" s="43">
        <v>8.6050000000000004</v>
      </c>
      <c r="AF48" s="43">
        <v>7.5449999999999999</v>
      </c>
      <c r="AG48" s="43">
        <v>5.9770000000000003</v>
      </c>
      <c r="AH48" s="42">
        <f>SUM(AD48:AG48)</f>
        <v>24.645</v>
      </c>
      <c r="AI48" s="43">
        <v>0.35399999999999998</v>
      </c>
      <c r="AJ48" s="43"/>
      <c r="AK48" s="43"/>
      <c r="AL48" s="43"/>
      <c r="AM48" s="42">
        <f>SUM(AI48:AL48)</f>
        <v>0.35399999999999998</v>
      </c>
      <c r="AN48" s="43"/>
      <c r="AO48" s="43"/>
      <c r="AP48" s="43"/>
      <c r="AQ48" s="43">
        <v>34.722000000000001</v>
      </c>
      <c r="AR48" s="42">
        <f>SUM(AN48:AQ48)</f>
        <v>34.722000000000001</v>
      </c>
      <c r="AS48" s="43">
        <v>41.667000000000002</v>
      </c>
      <c r="AT48" s="43">
        <v>41.665999999999997</v>
      </c>
      <c r="AU48" s="43">
        <v>6.9450000000000003</v>
      </c>
      <c r="AV48" s="43"/>
      <c r="AW48" s="42">
        <f>SUM(AS48:AV48)</f>
        <v>90.277999999999992</v>
      </c>
      <c r="AX48" s="375"/>
      <c r="AY48" s="375"/>
      <c r="AZ48" s="375"/>
      <c r="BA48" s="375"/>
      <c r="BC48" s="387"/>
      <c r="BD48" s="387"/>
      <c r="BE48" s="387"/>
      <c r="BF48" s="622"/>
      <c r="BH48" s="387"/>
      <c r="BI48" s="387"/>
      <c r="BJ48" s="387"/>
      <c r="BK48" s="387"/>
      <c r="BM48" s="387"/>
      <c r="BN48" s="387"/>
      <c r="BO48" s="387"/>
      <c r="BP48" s="387"/>
      <c r="BR48" s="387"/>
      <c r="BS48" s="387"/>
      <c r="BT48" s="387"/>
      <c r="BU48" s="387"/>
      <c r="BW48" s="387"/>
      <c r="BX48" s="387"/>
      <c r="BY48" s="387"/>
      <c r="BZ48" s="387"/>
      <c r="CB48" s="387"/>
      <c r="CC48" s="387"/>
      <c r="CD48" s="387"/>
      <c r="CE48" s="387"/>
      <c r="CG48" s="387"/>
      <c r="CH48" s="387"/>
      <c r="CI48" s="387"/>
      <c r="CJ48" s="387"/>
      <c r="CL48" s="387"/>
      <c r="CM48" s="387"/>
      <c r="CN48" s="387"/>
      <c r="CO48" s="387"/>
      <c r="CQ48" s="387"/>
      <c r="CR48" s="387"/>
      <c r="CS48" s="387"/>
      <c r="CT48" s="387"/>
      <c r="CV48" s="387"/>
      <c r="CW48" s="387"/>
      <c r="CX48" s="387"/>
      <c r="CY48" s="387"/>
      <c r="DA48" s="387"/>
      <c r="DB48" s="387"/>
      <c r="DC48" s="387"/>
      <c r="DD48" s="387"/>
      <c r="DF48" s="387"/>
      <c r="DG48" s="387"/>
      <c r="DH48" s="387"/>
      <c r="DI48" s="387"/>
      <c r="DK48" s="387"/>
      <c r="DL48" s="387"/>
      <c r="DM48" s="387"/>
      <c r="DN48" s="387"/>
      <c r="DP48" s="387"/>
      <c r="DQ48" s="387"/>
      <c r="DR48" s="387"/>
      <c r="DS48" s="387"/>
      <c r="DU48" s="387"/>
      <c r="DV48" s="387"/>
      <c r="DW48" s="387"/>
      <c r="DX48" s="387"/>
      <c r="DZ48" s="387"/>
      <c r="EA48" s="387"/>
      <c r="EB48" s="387"/>
      <c r="EC48" s="387"/>
      <c r="EE48" s="387"/>
      <c r="EF48" s="387"/>
      <c r="EG48" s="387"/>
      <c r="EH48" s="387"/>
      <c r="EJ48" s="387"/>
      <c r="EK48" s="387"/>
      <c r="EL48" s="387"/>
      <c r="EM48" s="387"/>
    </row>
    <row r="49" spans="2:144" hidden="1" outlineLevel="1">
      <c r="B49" s="10" t="s">
        <v>225</v>
      </c>
      <c r="C49" s="10"/>
      <c r="D49" s="51"/>
      <c r="E49" s="375"/>
      <c r="F49" s="375"/>
      <c r="G49" s="375"/>
      <c r="H49" s="375"/>
      <c r="I49" s="12">
        <f>SUM(E49:H49)</f>
        <v>0</v>
      </c>
      <c r="J49" s="375"/>
      <c r="K49" s="375"/>
      <c r="L49" s="375"/>
      <c r="M49" s="375"/>
      <c r="N49" s="12">
        <f>SUM(J49:M49)</f>
        <v>0</v>
      </c>
      <c r="O49" s="43"/>
      <c r="P49" s="43"/>
      <c r="Q49" s="43">
        <v>-0.17599999999999999</v>
      </c>
      <c r="R49" s="43">
        <v>-0.51100000000000001</v>
      </c>
      <c r="S49" s="12">
        <f>SUM(O49:R49)</f>
        <v>-0.68700000000000006</v>
      </c>
      <c r="T49" s="43"/>
      <c r="U49" s="43"/>
      <c r="V49" s="43">
        <f>0.076-V50</f>
        <v>-0.33599999999999902</v>
      </c>
      <c r="W49" s="43">
        <f>-0.19-W50</f>
        <v>-0.49500000000000149</v>
      </c>
      <c r="X49" s="12">
        <f>SUM(T49:W49)</f>
        <v>-0.83100000000000052</v>
      </c>
      <c r="Y49" s="43"/>
      <c r="Z49" s="43"/>
      <c r="AA49" s="43">
        <f>0.155-AA50</f>
        <v>-0.42699999999999361</v>
      </c>
      <c r="AB49" s="43">
        <f>0.199-AB50</f>
        <v>-0.48199999999999915</v>
      </c>
      <c r="AC49" s="12">
        <f>SUM(Y49:AB49)</f>
        <v>-0.9089999999999927</v>
      </c>
      <c r="AD49" s="43">
        <v>0.59899999999999998</v>
      </c>
      <c r="AE49" s="43">
        <v>1.9650000000000001</v>
      </c>
      <c r="AF49" s="43">
        <f>2.45-0.398</f>
        <v>2.052</v>
      </c>
      <c r="AG49" s="43">
        <f>1.934-0.444</f>
        <v>1.49</v>
      </c>
      <c r="AH49" s="12">
        <f>SUM(AD49:AG49)</f>
        <v>6.1059999999999999</v>
      </c>
      <c r="AI49" s="43">
        <v>2.2669999999999999</v>
      </c>
      <c r="AJ49" s="43">
        <v>2</v>
      </c>
      <c r="AK49" s="43">
        <f>1.127-0.197</f>
        <v>0.92999999999999994</v>
      </c>
      <c r="AL49" s="43">
        <f>2.866-0.388</f>
        <v>2.4780000000000002</v>
      </c>
      <c r="AM49" s="12">
        <f>SUM(AI49:AL49)</f>
        <v>7.6749999999999989</v>
      </c>
      <c r="AN49" s="43">
        <v>4.2859999999999996</v>
      </c>
      <c r="AO49" s="43">
        <v>4.3970000000000002</v>
      </c>
      <c r="AP49" s="43">
        <f>-0.468-0.081</f>
        <v>-0.54900000000000004</v>
      </c>
      <c r="AQ49" s="43">
        <f>1.569+9.298-0.202</f>
        <v>10.665000000000001</v>
      </c>
      <c r="AR49" s="12">
        <f>SUM(AN49:AQ49)</f>
        <v>18.798999999999999</v>
      </c>
      <c r="AS49" s="43">
        <f>1.001+9.549</f>
        <v>10.549999999999999</v>
      </c>
      <c r="AT49" s="43">
        <f>1.128+3.602</f>
        <v>4.7299999999999995</v>
      </c>
      <c r="AU49" s="43">
        <v>4.008</v>
      </c>
      <c r="AV49" s="43">
        <v>3.7440000000000002</v>
      </c>
      <c r="AW49" s="12">
        <f>SUM(AS49:AV49)</f>
        <v>23.031999999999996</v>
      </c>
      <c r="AX49" s="375">
        <v>-1.409</v>
      </c>
      <c r="AY49" s="375">
        <v>-0.57199999999999995</v>
      </c>
      <c r="AZ49" s="375">
        <v>-1.2999999999999999E-2</v>
      </c>
      <c r="BA49" s="375">
        <v>0.441</v>
      </c>
      <c r="BB49" s="12">
        <f>SUM(AX49:BA49)</f>
        <v>-1.5529999999999997</v>
      </c>
      <c r="BC49" s="387"/>
      <c r="BD49" s="387"/>
      <c r="BE49" s="387"/>
      <c r="BF49" s="622"/>
      <c r="BG49" s="12"/>
      <c r="BH49" s="387"/>
      <c r="BI49" s="387"/>
      <c r="BJ49" s="387"/>
      <c r="BK49" s="387"/>
      <c r="BM49" s="387"/>
      <c r="BN49" s="387"/>
      <c r="BO49" s="387"/>
      <c r="BP49" s="387"/>
      <c r="BR49" s="387"/>
      <c r="BS49" s="387"/>
      <c r="BT49" s="387"/>
      <c r="BU49" s="387"/>
      <c r="BW49" s="387"/>
      <c r="BX49" s="387"/>
      <c r="BY49" s="387"/>
      <c r="BZ49" s="387"/>
      <c r="CB49" s="387"/>
      <c r="CC49" s="387"/>
      <c r="CD49" s="387"/>
      <c r="CE49" s="387"/>
      <c r="CG49" s="387"/>
      <c r="CH49" s="387"/>
      <c r="CI49" s="387"/>
      <c r="CJ49" s="387"/>
      <c r="CL49" s="387"/>
      <c r="CM49" s="387"/>
      <c r="CN49" s="387"/>
      <c r="CO49" s="387"/>
      <c r="CQ49" s="387"/>
      <c r="CR49" s="387"/>
      <c r="CS49" s="387"/>
      <c r="CT49" s="387"/>
      <c r="CV49" s="387"/>
      <c r="CW49" s="387"/>
      <c r="CX49" s="387"/>
      <c r="CY49" s="387"/>
      <c r="DA49" s="387"/>
      <c r="DB49" s="387"/>
      <c r="DC49" s="387"/>
      <c r="DD49" s="387"/>
      <c r="DF49" s="387"/>
      <c r="DG49" s="387"/>
      <c r="DH49" s="387"/>
      <c r="DI49" s="387"/>
      <c r="DK49" s="387"/>
      <c r="DL49" s="387"/>
      <c r="DM49" s="387"/>
      <c r="DN49" s="387"/>
      <c r="DP49" s="387"/>
      <c r="DQ49" s="387"/>
      <c r="DR49" s="387"/>
      <c r="DS49" s="387"/>
      <c r="DU49" s="387"/>
      <c r="DV49" s="387"/>
      <c r="DW49" s="387"/>
      <c r="DX49" s="387"/>
      <c r="DZ49" s="387"/>
      <c r="EA49" s="387"/>
      <c r="EB49" s="387"/>
      <c r="EC49" s="387"/>
      <c r="EE49" s="387"/>
      <c r="EF49" s="387"/>
      <c r="EG49" s="387"/>
      <c r="EH49" s="387"/>
      <c r="EJ49" s="387"/>
      <c r="EK49" s="387"/>
      <c r="EL49" s="387"/>
      <c r="EM49" s="387"/>
    </row>
    <row r="50" spans="2:144" hidden="1" outlineLevel="1">
      <c r="B50" s="10" t="s">
        <v>201</v>
      </c>
      <c r="C50" s="10"/>
      <c r="D50" s="51"/>
      <c r="E50" s="375"/>
      <c r="F50" s="375"/>
      <c r="G50" s="375"/>
      <c r="H50" s="375"/>
      <c r="I50" s="12">
        <f>SUM(E50:H50)</f>
        <v>0</v>
      </c>
      <c r="J50" s="375"/>
      <c r="K50" s="375"/>
      <c r="L50" s="375"/>
      <c r="M50" s="375"/>
      <c r="N50" s="12">
        <f>SUM(J50:M50)</f>
        <v>0</v>
      </c>
      <c r="O50" s="43"/>
      <c r="P50" s="43"/>
      <c r="Q50" s="43"/>
      <c r="R50" s="43"/>
      <c r="S50" s="12">
        <f>SUM(O50:R50)</f>
        <v>0</v>
      </c>
      <c r="T50" s="43">
        <v>0.45800000000000002</v>
      </c>
      <c r="U50" s="43">
        <v>0.46100000000000002</v>
      </c>
      <c r="V50" s="43">
        <f>23.193-V56-V61</f>
        <v>0.41199999999999903</v>
      </c>
      <c r="W50" s="43">
        <f>17.946-W56-W61</f>
        <v>0.30500000000000149</v>
      </c>
      <c r="X50" s="12">
        <f>SUM(T50:W50)</f>
        <v>1.6360000000000006</v>
      </c>
      <c r="Y50" s="43">
        <v>0.38900000000000001</v>
      </c>
      <c r="Z50" s="43">
        <v>0.40799999999999997</v>
      </c>
      <c r="AA50" s="43">
        <f>15.076-AA56-AA61</f>
        <v>0.58199999999999363</v>
      </c>
      <c r="AB50" s="43">
        <f>17.194-AB56-AB61</f>
        <v>0.68099999999999916</v>
      </c>
      <c r="AC50" s="12">
        <f>SUM(Y50:AB50)</f>
        <v>2.0599999999999925</v>
      </c>
      <c r="AD50" s="43">
        <v>0.52800000000000002</v>
      </c>
      <c r="AE50" s="43">
        <v>0.63200000000000001</v>
      </c>
      <c r="AF50" s="43">
        <v>0.66800000000000004</v>
      </c>
      <c r="AG50" s="43">
        <v>0.70599999999999996</v>
      </c>
      <c r="AH50" s="12">
        <f>SUM(AD50:AG50)</f>
        <v>2.5340000000000003</v>
      </c>
      <c r="AI50" s="43">
        <v>1.177</v>
      </c>
      <c r="AJ50" s="43">
        <v>1.0009999999999999</v>
      </c>
      <c r="AK50" s="43">
        <v>1.3109999999999999</v>
      </c>
      <c r="AL50" s="43">
        <v>1.1399999999999999</v>
      </c>
      <c r="AM50" s="12">
        <f>SUM(AI50:AL50)</f>
        <v>4.6289999999999996</v>
      </c>
      <c r="AN50" s="43">
        <v>1.52</v>
      </c>
      <c r="AO50" s="43">
        <v>1.6020000000000001</v>
      </c>
      <c r="AP50" s="43">
        <v>1.7869999999999999</v>
      </c>
      <c r="AQ50" s="43">
        <v>1.867</v>
      </c>
      <c r="AR50" s="12">
        <f>SUM(AN50:AQ50)</f>
        <v>6.7759999999999998</v>
      </c>
      <c r="AS50" s="43">
        <v>2.0070000000000001</v>
      </c>
      <c r="AT50" s="43">
        <v>2.42</v>
      </c>
      <c r="AU50" s="43">
        <v>2.6269999999999998</v>
      </c>
      <c r="AV50" s="43">
        <v>2.7080000000000002</v>
      </c>
      <c r="AW50" s="12">
        <f>SUM(AS50:AV50)</f>
        <v>9.7620000000000005</v>
      </c>
      <c r="AX50" s="375">
        <v>2.8759999999999999</v>
      </c>
      <c r="AY50" s="375">
        <v>2.9830000000000001</v>
      </c>
      <c r="AZ50" s="375">
        <v>3.3140000000000001</v>
      </c>
      <c r="BA50" s="375">
        <v>3.24</v>
      </c>
      <c r="BB50" s="12">
        <f>SUM(AX50:BA50)</f>
        <v>12.413</v>
      </c>
      <c r="BC50" s="387">
        <v>2.8</v>
      </c>
      <c r="BD50" s="387">
        <v>3.7</v>
      </c>
      <c r="BE50" s="387">
        <v>6.1</v>
      </c>
      <c r="BF50" s="721">
        <v>5.9</v>
      </c>
      <c r="BG50" s="12">
        <f>SUM(BC50:BF50)</f>
        <v>18.5</v>
      </c>
      <c r="BH50" s="391">
        <v>6.1</v>
      </c>
      <c r="BI50" s="391">
        <v>5.9</v>
      </c>
      <c r="BJ50" s="391">
        <v>6.8</v>
      </c>
      <c r="BK50" s="391">
        <v>7.4</v>
      </c>
      <c r="BL50" s="12">
        <f>SUM(BH50:BK50)</f>
        <v>26.200000000000003</v>
      </c>
      <c r="BM50" s="391">
        <v>6.7</v>
      </c>
      <c r="BN50" s="391">
        <v>8.1</v>
      </c>
      <c r="BO50" s="391">
        <v>8.5</v>
      </c>
      <c r="BP50" s="391">
        <v>8.4</v>
      </c>
      <c r="BQ50" s="12">
        <f>SUM(BM50:BP50)</f>
        <v>31.700000000000003</v>
      </c>
      <c r="BR50" s="391">
        <v>9</v>
      </c>
      <c r="BS50" s="391">
        <v>8.6</v>
      </c>
      <c r="BT50" s="391">
        <v>7.4</v>
      </c>
      <c r="BU50" s="391">
        <v>7.8</v>
      </c>
      <c r="BV50" s="12">
        <f>SUM(BR50:BU50)</f>
        <v>32.799999999999997</v>
      </c>
      <c r="BW50" s="391">
        <v>7</v>
      </c>
      <c r="BX50" s="391">
        <v>8</v>
      </c>
      <c r="BY50" s="391">
        <v>7</v>
      </c>
      <c r="BZ50" s="391">
        <v>7</v>
      </c>
      <c r="CA50" s="12">
        <f>SUM(BW50:BZ50)</f>
        <v>29</v>
      </c>
      <c r="CB50" s="388">
        <v>9</v>
      </c>
      <c r="CC50" s="388">
        <f>CB50*1.075</f>
        <v>9.6749999999999989</v>
      </c>
      <c r="CD50" s="388">
        <f>CC50*1.075</f>
        <v>10.400624999999998</v>
      </c>
      <c r="CE50" s="388">
        <f>CF50-SUM(CB50:CD50)</f>
        <v>2.824375000000007</v>
      </c>
      <c r="CF50" s="12">
        <f>CA50*1.1</f>
        <v>31.900000000000002</v>
      </c>
      <c r="CG50" s="388"/>
      <c r="CH50" s="388"/>
      <c r="CI50" s="388"/>
      <c r="CJ50" s="388"/>
      <c r="CK50" s="12">
        <f>CF50*1.1</f>
        <v>35.090000000000003</v>
      </c>
      <c r="CL50" s="388"/>
      <c r="CM50" s="388"/>
      <c r="CN50" s="388"/>
      <c r="CO50" s="388"/>
      <c r="CP50" s="12">
        <f>CK50*1.1</f>
        <v>38.599000000000004</v>
      </c>
      <c r="CQ50" s="388"/>
      <c r="CR50" s="388"/>
      <c r="CS50" s="388"/>
      <c r="CT50" s="388"/>
      <c r="CU50" s="12">
        <f>CP50*1.1</f>
        <v>42.458900000000007</v>
      </c>
      <c r="CV50" s="388"/>
      <c r="CW50" s="388"/>
      <c r="CX50" s="388"/>
      <c r="CY50" s="388"/>
      <c r="CZ50" s="12">
        <f>CU50*1.1</f>
        <v>46.70479000000001</v>
      </c>
      <c r="DA50" s="388"/>
      <c r="DB50" s="388"/>
      <c r="DC50" s="388"/>
      <c r="DD50" s="388"/>
      <c r="DE50" s="12">
        <f>CZ50*1.1</f>
        <v>51.375269000000017</v>
      </c>
      <c r="DF50" s="388"/>
      <c r="DG50" s="388"/>
      <c r="DH50" s="388"/>
      <c r="DI50" s="388"/>
      <c r="DJ50" s="12">
        <f>DE50*1.1</f>
        <v>56.512795900000022</v>
      </c>
      <c r="DK50" s="388"/>
      <c r="DL50" s="388"/>
      <c r="DM50" s="388"/>
      <c r="DN50" s="388"/>
      <c r="DO50" s="12">
        <f>DJ50*1.1</f>
        <v>62.16407549000003</v>
      </c>
      <c r="DP50" s="388"/>
      <c r="DQ50" s="388"/>
      <c r="DR50" s="388"/>
      <c r="DS50" s="388"/>
      <c r="DT50" s="12">
        <f>DO50*1.1</f>
        <v>68.38048303900004</v>
      </c>
      <c r="DU50" s="388"/>
      <c r="DV50" s="388"/>
      <c r="DW50" s="388"/>
      <c r="DX50" s="388"/>
      <c r="DY50" s="12">
        <f>DT50*1.1</f>
        <v>75.21853134290005</v>
      </c>
      <c r="DZ50" s="388"/>
      <c r="EA50" s="388"/>
      <c r="EB50" s="388"/>
      <c r="EC50" s="388"/>
      <c r="ED50" s="12">
        <f>DY50*1.1</f>
        <v>82.740384477190062</v>
      </c>
      <c r="EE50" s="388"/>
      <c r="EF50" s="388"/>
      <c r="EG50" s="388"/>
      <c r="EH50" s="388"/>
      <c r="EI50" s="12">
        <f>ED50*0.2</f>
        <v>16.548076895438012</v>
      </c>
      <c r="EJ50" s="388"/>
      <c r="EK50" s="388"/>
      <c r="EL50" s="388"/>
      <c r="EM50" s="388"/>
      <c r="EN50" s="12">
        <f>EI50*1</f>
        <v>16.548076895438012</v>
      </c>
    </row>
    <row r="51" spans="2:144" hidden="1" outlineLevel="1">
      <c r="D51" s="51"/>
      <c r="E51" s="375"/>
      <c r="F51" s="375"/>
      <c r="G51" s="375"/>
      <c r="H51" s="375"/>
      <c r="J51" s="375"/>
      <c r="K51" s="375"/>
      <c r="L51" s="375"/>
      <c r="M51" s="375"/>
      <c r="O51" s="43"/>
      <c r="P51" s="43"/>
      <c r="Q51" s="43"/>
      <c r="R51" s="43"/>
      <c r="T51" s="43"/>
      <c r="U51" s="43"/>
      <c r="V51" s="43"/>
      <c r="W51" s="43"/>
      <c r="Y51" s="43"/>
      <c r="Z51" s="43"/>
      <c r="AA51" s="43"/>
      <c r="AB51" s="43"/>
      <c r="AD51" s="43"/>
      <c r="AE51" s="43"/>
      <c r="AF51" s="43"/>
      <c r="AG51" s="43"/>
      <c r="AI51" s="43"/>
      <c r="AJ51" s="43"/>
      <c r="AK51" s="43"/>
      <c r="AL51" s="43"/>
      <c r="AN51" s="43"/>
      <c r="AO51" s="43"/>
      <c r="AP51" s="43"/>
      <c r="AQ51" s="43"/>
      <c r="AS51" s="43"/>
      <c r="AT51" s="43"/>
      <c r="AU51" s="43"/>
      <c r="AV51" s="43"/>
      <c r="AX51" s="375"/>
      <c r="AY51" s="375"/>
      <c r="AZ51" s="375"/>
      <c r="BA51" s="375"/>
      <c r="BC51" s="392"/>
      <c r="BD51" s="392"/>
      <c r="BE51" s="392"/>
      <c r="BF51" s="393"/>
      <c r="BH51" s="393">
        <f>BH50/BH9</f>
        <v>7.6249999999999998E-2</v>
      </c>
      <c r="BI51" s="393">
        <f>BI50/BI9</f>
        <v>6.3440860215053768E-2</v>
      </c>
      <c r="BJ51" s="393">
        <f>BJ50/BJ9</f>
        <v>7.4807480748074806E-2</v>
      </c>
      <c r="BK51" s="393">
        <f>BK50/BK9</f>
        <v>7.7244258872651364E-2</v>
      </c>
      <c r="BM51" s="393">
        <f>BM50/BM9</f>
        <v>6.8859198355601239E-2</v>
      </c>
      <c r="BN51" s="393">
        <f>BN50/BN9</f>
        <v>8.7378640776699018E-2</v>
      </c>
      <c r="BO51" s="393">
        <f>BO50/BO9</f>
        <v>8.3826429980276132E-2</v>
      </c>
      <c r="BP51" s="393">
        <f>BP50/BP9</f>
        <v>8.6597938144329895E-2</v>
      </c>
      <c r="BR51" s="393">
        <f>BR50/BR9</f>
        <v>9.2879256965944262E-2</v>
      </c>
      <c r="BS51" s="393">
        <f t="shared" ref="BS51:BU51" si="44">BS50/BS9</f>
        <v>8.4066471163245338E-2</v>
      </c>
      <c r="BT51" s="393">
        <f t="shared" si="44"/>
        <v>7.3778664007976072E-2</v>
      </c>
      <c r="BU51" s="393">
        <f t="shared" si="44"/>
        <v>7.3793755912961209E-2</v>
      </c>
      <c r="BW51" s="393">
        <f t="shared" ref="BW51:CE51" si="45">BW50/BW9</f>
        <v>6.6037735849056603E-2</v>
      </c>
      <c r="BX51" s="393">
        <f t="shared" si="45"/>
        <v>7.7669902912621352E-2</v>
      </c>
      <c r="BY51" s="393">
        <f t="shared" si="45"/>
        <v>6.3063063063063057E-2</v>
      </c>
      <c r="BZ51" s="393">
        <f t="shared" si="45"/>
        <v>6.25E-2</v>
      </c>
      <c r="CB51" s="393">
        <f t="shared" si="45"/>
        <v>7.735352508191011E-2</v>
      </c>
      <c r="CC51" s="393">
        <f t="shared" si="45"/>
        <v>7.8097401305491407E-2</v>
      </c>
      <c r="CD51" s="393">
        <f t="shared" si="45"/>
        <v>8.3644530638733616E-2</v>
      </c>
      <c r="CE51" s="393">
        <f t="shared" si="45"/>
        <v>2.173666312933006E-2</v>
      </c>
      <c r="CG51" s="393"/>
      <c r="CH51" s="393"/>
      <c r="CI51" s="393"/>
      <c r="CJ51" s="393"/>
      <c r="CL51" s="393"/>
      <c r="CM51" s="393"/>
      <c r="CN51" s="393"/>
      <c r="CO51" s="393"/>
      <c r="CQ51" s="393"/>
      <c r="CR51" s="393"/>
      <c r="CS51" s="393"/>
      <c r="CT51" s="393"/>
      <c r="CV51" s="393"/>
      <c r="CW51" s="393"/>
      <c r="CX51" s="393"/>
      <c r="CY51" s="393"/>
      <c r="DA51" s="393"/>
      <c r="DB51" s="393"/>
      <c r="DC51" s="393"/>
      <c r="DD51" s="393"/>
      <c r="DF51" s="393"/>
      <c r="DG51" s="393"/>
      <c r="DH51" s="393"/>
      <c r="DI51" s="393"/>
      <c r="DK51" s="393"/>
      <c r="DL51" s="393"/>
      <c r="DM51" s="393"/>
      <c r="DN51" s="393"/>
      <c r="DP51" s="393"/>
      <c r="DQ51" s="393"/>
      <c r="DR51" s="393"/>
      <c r="DS51" s="393"/>
      <c r="DU51" s="393"/>
      <c r="DV51" s="393"/>
      <c r="DW51" s="393"/>
      <c r="DX51" s="393"/>
      <c r="DZ51" s="393"/>
      <c r="EA51" s="393"/>
      <c r="EB51" s="393"/>
      <c r="EC51" s="393"/>
      <c r="EE51" s="393"/>
      <c r="EF51" s="393"/>
      <c r="EG51" s="393"/>
      <c r="EH51" s="393"/>
      <c r="EJ51" s="393"/>
      <c r="EK51" s="393"/>
      <c r="EL51" s="393"/>
      <c r="EM51" s="393"/>
    </row>
    <row r="52" spans="2:144" hidden="1" outlineLevel="1">
      <c r="B52" t="s">
        <v>178</v>
      </c>
      <c r="D52" s="51"/>
      <c r="E52" s="375"/>
      <c r="F52" s="375"/>
      <c r="G52" s="375"/>
      <c r="H52" s="375"/>
      <c r="J52" s="375"/>
      <c r="K52" s="375"/>
      <c r="L52" s="375"/>
      <c r="M52" s="375"/>
      <c r="O52" s="43"/>
      <c r="P52" s="43"/>
      <c r="Q52" s="43"/>
      <c r="R52" s="43"/>
      <c r="T52" s="43"/>
      <c r="U52" s="43"/>
      <c r="V52" s="43"/>
      <c r="W52" s="43"/>
      <c r="Y52" s="43"/>
      <c r="Z52" s="43"/>
      <c r="AA52" s="43"/>
      <c r="AB52" s="43"/>
      <c r="AD52" s="43"/>
      <c r="AE52" s="43"/>
      <c r="AF52" s="43"/>
      <c r="AG52" s="43"/>
      <c r="AI52" s="43"/>
      <c r="AJ52" s="43"/>
      <c r="AK52" s="43"/>
      <c r="AL52" s="43"/>
      <c r="AN52" s="43"/>
      <c r="AO52" s="43"/>
      <c r="AP52" s="43"/>
      <c r="AQ52" s="43"/>
      <c r="AS52" s="43"/>
      <c r="AT52" s="43"/>
      <c r="AU52" s="43"/>
      <c r="AV52" s="43"/>
      <c r="AX52" s="375"/>
      <c r="AY52" s="375"/>
      <c r="AZ52" s="375"/>
      <c r="BA52" s="375"/>
      <c r="BC52" s="387"/>
      <c r="BD52" s="387"/>
      <c r="BE52" s="387"/>
      <c r="BF52" s="622"/>
      <c r="BH52" s="387"/>
      <c r="BI52" s="387"/>
      <c r="BJ52" s="387"/>
      <c r="BK52" s="387"/>
      <c r="BM52" s="387"/>
      <c r="BN52" s="387"/>
      <c r="BO52" s="387"/>
      <c r="BP52" s="387"/>
      <c r="BR52" s="387"/>
      <c r="BS52" s="387"/>
      <c r="BT52" s="387"/>
      <c r="BU52" s="387"/>
      <c r="BW52" s="387"/>
      <c r="BX52" s="387"/>
      <c r="BY52" s="387"/>
      <c r="BZ52" s="387"/>
      <c r="CB52" s="387"/>
      <c r="CC52" s="387"/>
      <c r="CD52" s="387"/>
      <c r="CE52" s="387"/>
      <c r="CG52" s="387"/>
      <c r="CH52" s="387"/>
      <c r="CI52" s="387"/>
      <c r="CJ52" s="387"/>
      <c r="CL52" s="387"/>
      <c r="CM52" s="387"/>
      <c r="CN52" s="387"/>
      <c r="CO52" s="387"/>
      <c r="CQ52" s="387"/>
      <c r="CR52" s="387"/>
      <c r="CS52" s="387"/>
      <c r="CT52" s="387"/>
      <c r="CV52" s="387"/>
      <c r="CW52" s="387"/>
      <c r="CX52" s="387"/>
      <c r="CY52" s="387"/>
      <c r="DA52" s="387"/>
      <c r="DB52" s="387"/>
      <c r="DC52" s="387"/>
      <c r="DD52" s="387"/>
      <c r="DF52" s="387"/>
      <c r="DG52" s="387"/>
      <c r="DH52" s="387"/>
      <c r="DI52" s="387"/>
      <c r="DK52" s="387"/>
      <c r="DL52" s="387"/>
      <c r="DM52" s="387"/>
      <c r="DN52" s="387"/>
      <c r="DP52" s="387"/>
      <c r="DQ52" s="387"/>
      <c r="DR52" s="387"/>
      <c r="DS52" s="387"/>
      <c r="DU52" s="387"/>
      <c r="DV52" s="387"/>
      <c r="DW52" s="387"/>
      <c r="DX52" s="387"/>
      <c r="DZ52" s="387"/>
      <c r="EA52" s="387"/>
      <c r="EB52" s="387"/>
      <c r="EC52" s="387"/>
      <c r="EE52" s="387"/>
      <c r="EF52" s="387"/>
      <c r="EG52" s="387"/>
      <c r="EH52" s="387"/>
      <c r="EJ52" s="387"/>
      <c r="EK52" s="387"/>
      <c r="EL52" s="387"/>
      <c r="EM52" s="387"/>
    </row>
    <row r="53" spans="2:144" hidden="1" outlineLevel="1">
      <c r="B53" s="10" t="s">
        <v>14</v>
      </c>
      <c r="D53" s="51"/>
      <c r="E53" s="375"/>
      <c r="F53" s="375"/>
      <c r="G53" s="375"/>
      <c r="H53" s="375"/>
      <c r="I53" s="42">
        <f>SUM(E53:H53)</f>
        <v>0</v>
      </c>
      <c r="J53" s="375"/>
      <c r="K53" s="375"/>
      <c r="L53" s="375"/>
      <c r="M53" s="375"/>
      <c r="N53" s="42">
        <f>SUM(J53:M53)</f>
        <v>0</v>
      </c>
      <c r="O53" s="43"/>
      <c r="P53" s="43"/>
      <c r="Q53" s="43"/>
      <c r="R53" s="43"/>
      <c r="S53" s="42">
        <f>SUM(O53:R53)</f>
        <v>0</v>
      </c>
      <c r="T53" s="43"/>
      <c r="U53" s="43"/>
      <c r="V53" s="43"/>
      <c r="W53" s="43"/>
      <c r="X53" s="42">
        <f>SUM(T53:W53)</f>
        <v>0</v>
      </c>
      <c r="Y53" s="43"/>
      <c r="Z53" s="43"/>
      <c r="AA53" s="43"/>
      <c r="AB53" s="43"/>
      <c r="AC53" s="42">
        <f>SUM(Y53:AB53)</f>
        <v>0</v>
      </c>
      <c r="AD53" s="43"/>
      <c r="AE53" s="43"/>
      <c r="AF53" s="43"/>
      <c r="AG53" s="43">
        <v>303.06900000000002</v>
      </c>
      <c r="AH53" s="42">
        <f>SUM(AD53:AG53)</f>
        <v>303.06900000000002</v>
      </c>
      <c r="AI53" s="43"/>
      <c r="AJ53" s="43"/>
      <c r="AK53" s="43"/>
      <c r="AL53" s="43"/>
      <c r="AM53" s="42">
        <f>SUM(AI53:AL53)</f>
        <v>0</v>
      </c>
      <c r="AN53" s="43"/>
      <c r="AO53" s="43"/>
      <c r="AP53" s="43"/>
      <c r="AQ53" s="43">
        <v>7.3380000000000001</v>
      </c>
      <c r="AR53" s="42">
        <f>SUM(AN53:AQ53)</f>
        <v>7.3380000000000001</v>
      </c>
      <c r="AS53" s="43">
        <v>6.8490000000000002</v>
      </c>
      <c r="AT53" s="43">
        <v>1.879</v>
      </c>
      <c r="AU53" s="43"/>
      <c r="AV53" s="43"/>
      <c r="AW53" s="42">
        <f>SUM(AS53:AV53)</f>
        <v>8.7279999999999998</v>
      </c>
      <c r="AX53" s="375"/>
      <c r="AY53" s="375"/>
      <c r="AZ53" s="375"/>
      <c r="BA53" s="375"/>
      <c r="BC53" s="387"/>
      <c r="BD53" s="387"/>
      <c r="BE53" s="387"/>
      <c r="BF53" s="622"/>
      <c r="BH53" s="387"/>
      <c r="BI53" s="387"/>
      <c r="BJ53" s="387"/>
      <c r="BK53" s="387"/>
      <c r="BM53" s="387"/>
      <c r="BN53" s="387"/>
      <c r="BO53" s="387"/>
      <c r="BP53" s="387"/>
      <c r="BR53" s="387"/>
      <c r="BS53" s="387"/>
      <c r="BT53" s="728">
        <v>623.29999999999995</v>
      </c>
      <c r="BU53" s="728">
        <v>269.60000000000002</v>
      </c>
      <c r="BV53">
        <f>SUM(BR53:BU53)</f>
        <v>892.9</v>
      </c>
      <c r="BW53" s="728">
        <v>325</v>
      </c>
      <c r="BX53" s="391">
        <v>0</v>
      </c>
      <c r="BY53" s="387"/>
      <c r="BZ53" s="728">
        <v>188</v>
      </c>
      <c r="CA53">
        <f>SUM(BW53:BZ53)</f>
        <v>513</v>
      </c>
      <c r="CB53" s="387"/>
      <c r="CC53" s="387"/>
      <c r="CD53" s="387"/>
      <c r="CE53" s="387"/>
      <c r="CG53" s="387"/>
      <c r="CH53" s="387"/>
      <c r="CI53" s="387"/>
      <c r="CJ53" s="387"/>
      <c r="CL53" s="387"/>
      <c r="CM53" s="387"/>
      <c r="CN53" s="387"/>
      <c r="CO53" s="387"/>
      <c r="CQ53" s="387"/>
      <c r="CR53" s="387"/>
      <c r="CS53" s="387"/>
      <c r="CT53" s="387"/>
      <c r="CV53" s="387"/>
      <c r="CW53" s="387"/>
      <c r="CX53" s="387"/>
      <c r="CY53" s="387"/>
      <c r="DA53" s="387"/>
      <c r="DB53" s="387"/>
      <c r="DC53" s="387"/>
      <c r="DD53" s="387"/>
      <c r="DF53" s="387"/>
      <c r="DG53" s="387"/>
      <c r="DH53" s="387"/>
      <c r="DI53" s="387"/>
      <c r="DK53" s="387"/>
      <c r="DL53" s="387"/>
      <c r="DM53" s="387"/>
      <c r="DN53" s="387"/>
      <c r="DP53" s="387"/>
      <c r="DQ53" s="387"/>
      <c r="DR53" s="387"/>
      <c r="DS53" s="387"/>
      <c r="DU53" s="387"/>
      <c r="DV53" s="387"/>
      <c r="DW53" s="387"/>
      <c r="DX53" s="387"/>
      <c r="DZ53" s="387"/>
      <c r="EA53" s="387"/>
      <c r="EB53" s="387"/>
      <c r="EC53" s="387"/>
      <c r="EE53" s="387"/>
      <c r="EF53" s="387"/>
      <c r="EG53" s="387"/>
      <c r="EH53" s="387"/>
      <c r="EJ53" s="387"/>
      <c r="EK53" s="387"/>
      <c r="EL53" s="387"/>
      <c r="EM53" s="387"/>
    </row>
    <row r="54" spans="2:144" hidden="1" outlineLevel="1">
      <c r="B54" s="10" t="s">
        <v>202</v>
      </c>
      <c r="C54" s="10"/>
      <c r="D54" s="51"/>
      <c r="E54" s="375"/>
      <c r="F54" s="375"/>
      <c r="G54" s="375"/>
      <c r="H54" s="375"/>
      <c r="I54" s="12">
        <f>SUM(E54:H54)</f>
        <v>0</v>
      </c>
      <c r="J54" s="375"/>
      <c r="K54" s="375"/>
      <c r="L54" s="375"/>
      <c r="M54" s="375"/>
      <c r="N54" s="12">
        <f>SUM(J54:M54)</f>
        <v>0</v>
      </c>
      <c r="O54" s="43"/>
      <c r="P54" s="43"/>
      <c r="Q54" s="43"/>
      <c r="R54" s="43"/>
      <c r="S54" s="12">
        <f>SUM(O54:R54)</f>
        <v>0</v>
      </c>
      <c r="T54" s="43"/>
      <c r="U54" s="43"/>
      <c r="V54" s="43"/>
      <c r="W54" s="43"/>
      <c r="X54" s="12">
        <f>SUM(T54:W54)</f>
        <v>0</v>
      </c>
      <c r="Y54" s="43"/>
      <c r="Z54" s="43"/>
      <c r="AA54" s="43"/>
      <c r="AB54" s="43"/>
      <c r="AC54" s="12">
        <f>SUM(Y54:AB54)</f>
        <v>0</v>
      </c>
      <c r="AD54" s="43"/>
      <c r="AE54" s="43"/>
      <c r="AF54" s="43"/>
      <c r="AG54" s="43"/>
      <c r="AH54" s="12">
        <f>SUM(AD54:AG54)</f>
        <v>0</v>
      </c>
      <c r="AI54" s="43"/>
      <c r="AJ54" s="43"/>
      <c r="AK54" s="43"/>
      <c r="AL54" s="43"/>
      <c r="AM54" s="12">
        <f>SUM(AI54:AL54)</f>
        <v>0</v>
      </c>
      <c r="AN54" s="43"/>
      <c r="AO54" s="43"/>
      <c r="AP54" s="43"/>
      <c r="AQ54" s="43"/>
      <c r="AR54" s="12">
        <f>SUM(AN54:AQ54)</f>
        <v>0</v>
      </c>
      <c r="AS54" s="43">
        <v>118</v>
      </c>
      <c r="AT54" s="43"/>
      <c r="AU54" s="43"/>
      <c r="AV54" s="43"/>
      <c r="AW54" s="12">
        <f>SUM(AS54:AV54)</f>
        <v>118</v>
      </c>
      <c r="AX54" s="375">
        <v>22.151</v>
      </c>
      <c r="AY54" s="375"/>
      <c r="AZ54" s="375">
        <v>31.202000000000002</v>
      </c>
      <c r="BA54" s="375">
        <v>69.156000000000006</v>
      </c>
      <c r="BB54" s="12">
        <f>SUM(AX54:BA54)</f>
        <v>122.50900000000001</v>
      </c>
      <c r="BC54" s="387"/>
      <c r="BD54" s="387"/>
      <c r="BE54" s="387"/>
      <c r="BF54" s="622"/>
      <c r="BG54" s="12"/>
      <c r="BH54" s="387"/>
      <c r="BI54" s="387"/>
      <c r="BJ54" s="728">
        <v>129.19999999999999</v>
      </c>
      <c r="BK54" s="728">
        <v>0</v>
      </c>
      <c r="BL54" s="12">
        <f>SUM(BH54:BK54)</f>
        <v>129.19999999999999</v>
      </c>
      <c r="BM54" s="387"/>
      <c r="BN54" s="387"/>
      <c r="BO54" s="387"/>
      <c r="BP54" s="387"/>
      <c r="BQ54" s="12"/>
      <c r="BR54" s="387"/>
      <c r="BS54" s="387"/>
      <c r="BT54" s="387"/>
      <c r="BU54" s="387"/>
      <c r="BV54" s="12"/>
      <c r="BW54" s="387"/>
      <c r="BX54" s="387"/>
      <c r="BY54" s="387"/>
      <c r="BZ54" s="1016">
        <v>1620</v>
      </c>
      <c r="CA54" s="42">
        <f>SUM(BW54:BZ54)</f>
        <v>1620</v>
      </c>
      <c r="CB54" s="387"/>
      <c r="CC54" s="387"/>
      <c r="CD54" s="387"/>
      <c r="CE54" s="387"/>
      <c r="CF54" s="12"/>
      <c r="CG54" s="387"/>
      <c r="CH54" s="387"/>
      <c r="CI54" s="387"/>
      <c r="CJ54" s="387"/>
      <c r="CK54" s="12"/>
      <c r="CL54" s="387"/>
      <c r="CM54" s="387"/>
      <c r="CN54" s="387"/>
      <c r="CO54" s="387"/>
      <c r="CP54" s="12"/>
      <c r="CQ54" s="387"/>
      <c r="CR54" s="387"/>
      <c r="CS54" s="387"/>
      <c r="CT54" s="387"/>
      <c r="CU54" s="12"/>
      <c r="CV54" s="387"/>
      <c r="CW54" s="387"/>
      <c r="CX54" s="387"/>
      <c r="CY54" s="387"/>
      <c r="CZ54" s="12"/>
      <c r="DA54" s="387"/>
      <c r="DB54" s="387"/>
      <c r="DC54" s="387"/>
      <c r="DD54" s="387"/>
      <c r="DE54" s="12"/>
      <c r="DF54" s="387"/>
      <c r="DG54" s="387"/>
      <c r="DH54" s="387"/>
      <c r="DI54" s="387"/>
      <c r="DJ54" s="12"/>
      <c r="DK54" s="387"/>
      <c r="DL54" s="387"/>
      <c r="DM54" s="387"/>
      <c r="DN54" s="387"/>
      <c r="DO54" s="12"/>
      <c r="DP54" s="387"/>
      <c r="DQ54" s="387"/>
      <c r="DR54" s="387"/>
      <c r="DS54" s="387"/>
      <c r="DT54" s="12"/>
      <c r="DU54" s="387"/>
      <c r="DV54" s="387"/>
      <c r="DW54" s="387"/>
      <c r="DX54" s="387"/>
      <c r="DY54" s="12"/>
      <c r="DZ54" s="387"/>
      <c r="EA54" s="387"/>
      <c r="EB54" s="387"/>
      <c r="EC54" s="387"/>
      <c r="ED54" s="12"/>
      <c r="EE54" s="387"/>
      <c r="EF54" s="387"/>
      <c r="EG54" s="387"/>
      <c r="EH54" s="387"/>
      <c r="EI54" s="12"/>
      <c r="EJ54" s="387"/>
      <c r="EK54" s="387"/>
      <c r="EL54" s="387"/>
      <c r="EM54" s="387"/>
      <c r="EN54" s="12"/>
    </row>
    <row r="55" spans="2:144" hidden="1" outlineLevel="1">
      <c r="B55" s="10" t="s">
        <v>203</v>
      </c>
      <c r="C55" s="10"/>
      <c r="D55" s="51"/>
      <c r="E55" s="375"/>
      <c r="F55" s="375"/>
      <c r="G55" s="375"/>
      <c r="H55" s="375"/>
      <c r="I55" s="12">
        <f>SUM(E55:H55)</f>
        <v>0</v>
      </c>
      <c r="J55" s="375"/>
      <c r="K55" s="375"/>
      <c r="L55" s="375"/>
      <c r="M55" s="375"/>
      <c r="N55" s="12">
        <f>SUM(J55:M55)</f>
        <v>0</v>
      </c>
      <c r="O55" s="43"/>
      <c r="P55" s="43"/>
      <c r="Q55" s="43"/>
      <c r="R55" s="43"/>
      <c r="S55" s="12">
        <f>SUM(O55:R55)</f>
        <v>0</v>
      </c>
      <c r="T55" s="43"/>
      <c r="U55" s="43"/>
      <c r="V55" s="43"/>
      <c r="W55" s="43"/>
      <c r="X55" s="12">
        <f>SUM(T55:W55)</f>
        <v>0</v>
      </c>
      <c r="Y55" s="43"/>
      <c r="Z55" s="43"/>
      <c r="AA55" s="43">
        <v>41.05</v>
      </c>
      <c r="AB55" s="43"/>
      <c r="AC55" s="12">
        <f>SUM(Y55:AB55)</f>
        <v>41.05</v>
      </c>
      <c r="AD55" s="43">
        <v>45</v>
      </c>
      <c r="AE55" s="43"/>
      <c r="AF55" s="43"/>
      <c r="AG55" s="43"/>
      <c r="AH55" s="12">
        <f>SUM(AD55:AG55)</f>
        <v>45</v>
      </c>
      <c r="AI55" s="43"/>
      <c r="AJ55" s="43">
        <v>34.5</v>
      </c>
      <c r="AK55" s="43"/>
      <c r="AL55" s="43"/>
      <c r="AM55" s="12">
        <f>SUM(AI55:AL55)</f>
        <v>34.5</v>
      </c>
      <c r="AN55" s="43"/>
      <c r="AO55" s="43">
        <v>121.176</v>
      </c>
      <c r="AP55" s="43"/>
      <c r="AQ55" s="43"/>
      <c r="AR55" s="12">
        <f>SUM(AN55:AQ55)</f>
        <v>121.176</v>
      </c>
      <c r="AS55" s="43"/>
      <c r="AT55" s="43">
        <v>40.981999999999999</v>
      </c>
      <c r="AU55" s="43">
        <v>25</v>
      </c>
      <c r="AV55" s="43">
        <v>62.497</v>
      </c>
      <c r="AW55" s="12">
        <f>SUM(AS55:AV55)</f>
        <v>128.47899999999998</v>
      </c>
      <c r="AX55" s="375"/>
      <c r="AY55" s="375">
        <v>75</v>
      </c>
      <c r="AZ55" s="375">
        <v>55</v>
      </c>
      <c r="BA55" s="375">
        <v>59.5</v>
      </c>
      <c r="BB55" s="12">
        <f>SUM(AX55:BA55)</f>
        <v>189.5</v>
      </c>
      <c r="BC55" s="387">
        <v>95.7</v>
      </c>
      <c r="BD55" s="387">
        <v>81.8</v>
      </c>
      <c r="BE55" s="387">
        <v>171.3</v>
      </c>
      <c r="BF55" s="721">
        <v>227</v>
      </c>
      <c r="BG55" s="12">
        <f>SUM(BC55:BF55)</f>
        <v>575.79999999999995</v>
      </c>
      <c r="BH55" s="391">
        <v>309</v>
      </c>
      <c r="BI55" s="391">
        <v>14</v>
      </c>
      <c r="BJ55" s="391">
        <v>78.599999999999994</v>
      </c>
      <c r="BK55" s="391">
        <v>52</v>
      </c>
      <c r="BL55" s="356">
        <f>SUM(BH55:BK55)</f>
        <v>453.6</v>
      </c>
      <c r="BM55" s="391">
        <v>19</v>
      </c>
      <c r="BN55" s="391">
        <v>569.5</v>
      </c>
      <c r="BO55" s="391">
        <v>751.8</v>
      </c>
      <c r="BP55" s="391">
        <v>62</v>
      </c>
      <c r="BQ55" s="12">
        <f>SUM(BM55:BP55)</f>
        <v>1402.3</v>
      </c>
      <c r="BR55" s="391">
        <v>80</v>
      </c>
      <c r="BS55" s="391">
        <v>284</v>
      </c>
      <c r="BT55" s="391">
        <v>323.60000000000002</v>
      </c>
      <c r="BU55" s="391">
        <v>128</v>
      </c>
      <c r="BV55" s="12">
        <f>SUM(BR55:BU55)</f>
        <v>815.6</v>
      </c>
      <c r="BW55" s="391">
        <v>10</v>
      </c>
      <c r="BX55" s="391">
        <v>75</v>
      </c>
      <c r="BY55" s="391">
        <v>584</v>
      </c>
      <c r="BZ55" s="391">
        <v>96</v>
      </c>
      <c r="CA55" s="358">
        <f>SUM(BW55:BZ55)</f>
        <v>765</v>
      </c>
      <c r="CB55" s="387">
        <f>CF55/4</f>
        <v>37.5</v>
      </c>
      <c r="CC55" s="387">
        <f>CB55</f>
        <v>37.5</v>
      </c>
      <c r="CD55" s="387">
        <f t="shared" ref="CD55" si="46">CC55</f>
        <v>37.5</v>
      </c>
      <c r="CE55" s="388">
        <f>CF55-SUM(CB55:CD55)</f>
        <v>37.5</v>
      </c>
      <c r="CF55" s="356">
        <v>150</v>
      </c>
      <c r="CG55" s="387"/>
      <c r="CH55" s="387"/>
      <c r="CI55" s="387"/>
      <c r="CJ55" s="387"/>
      <c r="CK55" s="12">
        <f>CF55</f>
        <v>150</v>
      </c>
      <c r="CL55" s="387"/>
      <c r="CM55" s="387"/>
      <c r="CN55" s="387"/>
      <c r="CO55" s="387"/>
      <c r="CP55" s="12">
        <f>CK55</f>
        <v>150</v>
      </c>
      <c r="CQ55" s="387"/>
      <c r="CR55" s="387"/>
      <c r="CS55" s="387"/>
      <c r="CT55" s="387"/>
      <c r="CU55" s="12">
        <f>CP55</f>
        <v>150</v>
      </c>
      <c r="CV55" s="387"/>
      <c r="CW55" s="387"/>
      <c r="CX55" s="387"/>
      <c r="CY55" s="387"/>
      <c r="CZ55" s="12">
        <f>CU55</f>
        <v>150</v>
      </c>
      <c r="DA55" s="387"/>
      <c r="DB55" s="387"/>
      <c r="DC55" s="387"/>
      <c r="DD55" s="387"/>
      <c r="DE55" s="12">
        <f>CZ55</f>
        <v>150</v>
      </c>
      <c r="DF55" s="387"/>
      <c r="DG55" s="387"/>
      <c r="DH55" s="387"/>
      <c r="DI55" s="387"/>
      <c r="DJ55" s="12">
        <f>DE55</f>
        <v>150</v>
      </c>
      <c r="DK55" s="387"/>
      <c r="DL55" s="387"/>
      <c r="DM55" s="387"/>
      <c r="DN55" s="387"/>
      <c r="DO55" s="12">
        <v>0</v>
      </c>
      <c r="DP55" s="387"/>
      <c r="DQ55" s="387"/>
      <c r="DR55" s="387"/>
      <c r="DS55" s="387"/>
      <c r="DT55" s="12">
        <f>DO55</f>
        <v>0</v>
      </c>
      <c r="DU55" s="387"/>
      <c r="DV55" s="387"/>
      <c r="DW55" s="387"/>
      <c r="DX55" s="387"/>
      <c r="DY55" s="12">
        <f>DT55</f>
        <v>0</v>
      </c>
      <c r="DZ55" s="387"/>
      <c r="EA55" s="387"/>
      <c r="EB55" s="387"/>
      <c r="EC55" s="387"/>
      <c r="ED55" s="12">
        <f>DY55</f>
        <v>0</v>
      </c>
      <c r="EE55" s="387"/>
      <c r="EF55" s="387"/>
      <c r="EG55" s="387"/>
      <c r="EH55" s="387"/>
      <c r="EI55" s="12">
        <f>ED55</f>
        <v>0</v>
      </c>
      <c r="EJ55" s="387"/>
      <c r="EK55" s="387"/>
      <c r="EL55" s="387"/>
      <c r="EM55" s="387"/>
      <c r="EN55" s="12">
        <f>EI55</f>
        <v>0</v>
      </c>
    </row>
    <row r="56" spans="2:144" hidden="1" outlineLevel="1">
      <c r="B56" s="10" t="s">
        <v>201</v>
      </c>
      <c r="C56" s="10"/>
      <c r="D56" s="51"/>
      <c r="E56" s="375"/>
      <c r="F56" s="375"/>
      <c r="G56" s="375"/>
      <c r="H56" s="375"/>
      <c r="I56" s="12">
        <f>SUM(E56:H56)</f>
        <v>0</v>
      </c>
      <c r="J56" s="375"/>
      <c r="K56" s="375"/>
      <c r="L56" s="375"/>
      <c r="M56" s="375"/>
      <c r="N56" s="12">
        <f>SUM(J56:M56)</f>
        <v>0</v>
      </c>
      <c r="O56" s="43"/>
      <c r="P56" s="43"/>
      <c r="Q56" s="43"/>
      <c r="R56" s="43"/>
      <c r="S56" s="12">
        <f>SUM(O56:R56)</f>
        <v>0</v>
      </c>
      <c r="T56" s="43">
        <v>3.948</v>
      </c>
      <c r="U56" s="43">
        <v>3.4009999999999998</v>
      </c>
      <c r="V56" s="43">
        <v>2.6890000000000001</v>
      </c>
      <c r="W56" s="43">
        <v>2.702</v>
      </c>
      <c r="X56" s="12">
        <f>SUM(T56:W56)</f>
        <v>12.74</v>
      </c>
      <c r="Y56" s="43">
        <v>2.6019999999999999</v>
      </c>
      <c r="Z56" s="43">
        <v>3.343</v>
      </c>
      <c r="AA56" s="43">
        <f>46.27-AA55</f>
        <v>5.220000000000006</v>
      </c>
      <c r="AB56" s="43">
        <v>5.52</v>
      </c>
      <c r="AC56" s="12">
        <f>SUM(Y56:AB56)</f>
        <v>16.685000000000006</v>
      </c>
      <c r="AD56" s="43">
        <v>9.6159999999999997</v>
      </c>
      <c r="AE56" s="43">
        <v>11.685</v>
      </c>
      <c r="AF56" s="43">
        <v>10.964</v>
      </c>
      <c r="AG56" s="43">
        <v>11.742000000000001</v>
      </c>
      <c r="AH56" s="12">
        <f>SUM(AD56:AG56)</f>
        <v>44.007000000000005</v>
      </c>
      <c r="AI56" s="43">
        <v>13.722</v>
      </c>
      <c r="AJ56" s="43">
        <v>14.965</v>
      </c>
      <c r="AK56" s="43">
        <v>15.178000000000001</v>
      </c>
      <c r="AL56" s="43">
        <v>19.91</v>
      </c>
      <c r="AM56" s="12">
        <f>SUM(AI56:AL56)</f>
        <v>63.774999999999991</v>
      </c>
      <c r="AN56" s="43">
        <v>19.129000000000001</v>
      </c>
      <c r="AO56" s="43">
        <v>20.023</v>
      </c>
      <c r="AP56" s="43">
        <v>21.22</v>
      </c>
      <c r="AQ56" s="43">
        <v>21.725000000000001</v>
      </c>
      <c r="AR56" s="12">
        <f>SUM(AN56:AQ56)</f>
        <v>82.097000000000008</v>
      </c>
      <c r="AS56" s="43">
        <v>32.591999999999999</v>
      </c>
      <c r="AT56" s="43">
        <v>22.88</v>
      </c>
      <c r="AU56" s="43">
        <v>24.527000000000001</v>
      </c>
      <c r="AV56" s="43">
        <v>24.704999999999998</v>
      </c>
      <c r="AW56" s="12">
        <f>SUM(AS56:AV56)</f>
        <v>104.70399999999999</v>
      </c>
      <c r="AX56" s="375">
        <v>25.027999999999999</v>
      </c>
      <c r="AY56" s="375">
        <v>23.556000000000001</v>
      </c>
      <c r="AZ56" s="375">
        <v>27.274000000000001</v>
      </c>
      <c r="BA56" s="375">
        <v>26.555</v>
      </c>
      <c r="BB56" s="12">
        <f>SUM(AX56:BA56)</f>
        <v>102.41300000000001</v>
      </c>
      <c r="BC56" s="387">
        <v>27</v>
      </c>
      <c r="BD56" s="387">
        <v>31.8</v>
      </c>
      <c r="BE56" s="387">
        <v>41.7</v>
      </c>
      <c r="BF56" s="721">
        <v>44.2</v>
      </c>
      <c r="BG56" s="12">
        <f>SUM(BC56:BF56)</f>
        <v>144.69999999999999</v>
      </c>
      <c r="BH56" s="391">
        <v>47</v>
      </c>
      <c r="BI56" s="391">
        <v>45.8</v>
      </c>
      <c r="BJ56" s="391">
        <v>48.4</v>
      </c>
      <c r="BK56" s="391">
        <v>55.3</v>
      </c>
      <c r="BL56" s="12">
        <f>SUM(BH56:BK56)</f>
        <v>196.5</v>
      </c>
      <c r="BM56" s="391">
        <v>56.2</v>
      </c>
      <c r="BN56" s="391">
        <v>63.6</v>
      </c>
      <c r="BO56" s="391">
        <v>65.2</v>
      </c>
      <c r="BP56" s="391">
        <v>65.7</v>
      </c>
      <c r="BQ56" s="12">
        <f>SUM(BM56:BP56)</f>
        <v>250.7</v>
      </c>
      <c r="BR56" s="391">
        <v>62.2</v>
      </c>
      <c r="BS56" s="391">
        <v>63.9</v>
      </c>
      <c r="BT56" s="391">
        <v>63</v>
      </c>
      <c r="BU56" s="391">
        <v>64.3</v>
      </c>
      <c r="BV56" s="12">
        <f>SUM(BR56:BU56)</f>
        <v>253.39999999999998</v>
      </c>
      <c r="BW56" s="391">
        <v>65</v>
      </c>
      <c r="BX56" s="391">
        <v>70</v>
      </c>
      <c r="BY56" s="391">
        <v>65</v>
      </c>
      <c r="BZ56" s="391">
        <v>68</v>
      </c>
      <c r="CA56" s="356">
        <f>SUM(BW56:BZ56)</f>
        <v>268</v>
      </c>
      <c r="CB56" s="388">
        <v>65</v>
      </c>
      <c r="CC56" s="388">
        <f>CB56*1.1</f>
        <v>71.5</v>
      </c>
      <c r="CD56" s="388">
        <f>CC56*1.1</f>
        <v>78.650000000000006</v>
      </c>
      <c r="CE56" s="388">
        <f>CF56-SUM(CB56:CD56)</f>
        <v>79.650000000000006</v>
      </c>
      <c r="CF56" s="12">
        <f>CA56*1.1</f>
        <v>294.8</v>
      </c>
      <c r="CG56" s="388"/>
      <c r="CH56" s="388"/>
      <c r="CI56" s="388"/>
      <c r="CJ56" s="388"/>
      <c r="CK56" s="12">
        <f>CF56*1.05</f>
        <v>309.54000000000002</v>
      </c>
      <c r="CL56" s="388"/>
      <c r="CM56" s="388"/>
      <c r="CN56" s="388"/>
      <c r="CO56" s="388"/>
      <c r="CP56" s="12">
        <f>CK56*1.025</f>
        <v>317.27850000000001</v>
      </c>
      <c r="CQ56" s="388"/>
      <c r="CR56" s="388"/>
      <c r="CS56" s="388"/>
      <c r="CT56" s="388"/>
      <c r="CU56" s="12">
        <f>CP56*1.015</f>
        <v>322.03767749999997</v>
      </c>
      <c r="CV56" s="388"/>
      <c r="CW56" s="388"/>
      <c r="CX56" s="388"/>
      <c r="CY56" s="388"/>
      <c r="CZ56" s="12">
        <f>CU56*1.015</f>
        <v>326.86824266249994</v>
      </c>
      <c r="DA56" s="388"/>
      <c r="DB56" s="388"/>
      <c r="DC56" s="388"/>
      <c r="DD56" s="388"/>
      <c r="DE56" s="12">
        <f>CZ56*1.015</f>
        <v>331.77126630243743</v>
      </c>
      <c r="DF56" s="388"/>
      <c r="DG56" s="388"/>
      <c r="DH56" s="388"/>
      <c r="DI56" s="388"/>
      <c r="DJ56" s="12">
        <f>DE56*1.015</f>
        <v>336.74783529697396</v>
      </c>
      <c r="DK56" s="388"/>
      <c r="DL56" s="388"/>
      <c r="DM56" s="388"/>
      <c r="DN56" s="388"/>
      <c r="DO56" s="12">
        <f>DJ56*1.015</f>
        <v>341.79905282642852</v>
      </c>
      <c r="DP56" s="388"/>
      <c r="DQ56" s="388"/>
      <c r="DR56" s="388"/>
      <c r="DS56" s="388"/>
      <c r="DT56" s="12">
        <f>DO56*1.015</f>
        <v>346.92603861882492</v>
      </c>
      <c r="DU56" s="388"/>
      <c r="DV56" s="388"/>
      <c r="DW56" s="388"/>
      <c r="DX56" s="388"/>
      <c r="DY56" s="12">
        <f>DT56*1.015</f>
        <v>352.12992919810728</v>
      </c>
      <c r="DZ56" s="388"/>
      <c r="EA56" s="388"/>
      <c r="EB56" s="388"/>
      <c r="EC56" s="388"/>
      <c r="ED56" s="12">
        <f>DY56*1.015</f>
        <v>357.41187813607883</v>
      </c>
      <c r="EE56" s="388"/>
      <c r="EF56" s="388"/>
      <c r="EG56" s="388"/>
      <c r="EH56" s="388"/>
      <c r="EI56" s="12">
        <f>ED56*0.2</f>
        <v>71.482375627215774</v>
      </c>
      <c r="EJ56" s="388"/>
      <c r="EK56" s="388"/>
      <c r="EL56" s="388"/>
      <c r="EM56" s="388"/>
      <c r="EN56" s="12">
        <f>EI56</f>
        <v>71.482375627215774</v>
      </c>
    </row>
    <row r="57" spans="2:144" hidden="1" outlineLevel="1">
      <c r="D57" s="51"/>
      <c r="E57" s="375"/>
      <c r="F57" s="375"/>
      <c r="G57" s="375"/>
      <c r="H57" s="375"/>
      <c r="J57" s="375"/>
      <c r="K57" s="375"/>
      <c r="L57" s="375"/>
      <c r="M57" s="375"/>
      <c r="O57" s="43"/>
      <c r="P57" s="43"/>
      <c r="Q57" s="43"/>
      <c r="R57" s="43"/>
      <c r="T57" s="43"/>
      <c r="U57" s="43"/>
      <c r="V57" s="43"/>
      <c r="W57" s="43"/>
      <c r="Y57" s="43"/>
      <c r="Z57" s="43"/>
      <c r="AA57" s="43"/>
      <c r="AB57" s="43"/>
      <c r="AD57" s="43"/>
      <c r="AE57" s="43"/>
      <c r="AF57" s="43"/>
      <c r="AG57" s="43"/>
      <c r="AI57" s="43"/>
      <c r="AJ57" s="43"/>
      <c r="AK57" s="43"/>
      <c r="AL57" s="43"/>
      <c r="AN57" s="43"/>
      <c r="AO57" s="43"/>
      <c r="AP57" s="43"/>
      <c r="AQ57" s="43"/>
      <c r="AS57" s="43"/>
      <c r="AT57" s="43"/>
      <c r="AU57" s="43"/>
      <c r="AV57" s="43"/>
      <c r="AX57" s="375"/>
      <c r="AY57" s="375"/>
      <c r="AZ57" s="375"/>
      <c r="BA57" s="375"/>
      <c r="BC57" s="392"/>
      <c r="BD57" s="392"/>
      <c r="BE57" s="392"/>
      <c r="BF57" s="393"/>
      <c r="BH57" s="393">
        <f>BH56/BH13</f>
        <v>0.1313950237629298</v>
      </c>
      <c r="BI57" s="393">
        <f>BI56/BI13</f>
        <v>0.11533618735834802</v>
      </c>
      <c r="BJ57" s="393">
        <f>BJ56/BJ13</f>
        <v>0.11554070183814752</v>
      </c>
      <c r="BK57" s="393">
        <f>BK56/BK13</f>
        <v>0.11578726968174205</v>
      </c>
      <c r="BM57" s="393">
        <f>BM56/BM13</f>
        <v>0.13045496750232127</v>
      </c>
      <c r="BN57" s="393">
        <f>BN56/BN13</f>
        <v>0.13336129167540367</v>
      </c>
      <c r="BO57" s="393">
        <f>BO56/BO13</f>
        <v>0.13374358974358974</v>
      </c>
      <c r="BP57" s="393">
        <f>BP56/BP13</f>
        <v>0.10121706978893855</v>
      </c>
      <c r="BR57" s="393">
        <f>BR56/BR13</f>
        <v>0.10524534686971236</v>
      </c>
      <c r="BS57" s="393">
        <f t="shared" ref="BS57:BU57" si="47">BS56/BS13</f>
        <v>0.10635818908122502</v>
      </c>
      <c r="BT57" s="393">
        <f t="shared" si="47"/>
        <v>9.7886886264760706E-2</v>
      </c>
      <c r="BU57" s="393">
        <f t="shared" si="47"/>
        <v>9.5570749108204511E-2</v>
      </c>
      <c r="BW57" s="393">
        <f t="shared" ref="BW57:BZ57" si="48">BW56/BW13</f>
        <v>0.1092436974789916</v>
      </c>
      <c r="BX57" s="393">
        <f t="shared" si="48"/>
        <v>0.10144927536231885</v>
      </c>
      <c r="BY57" s="393">
        <f t="shared" si="48"/>
        <v>9.3123209169054436E-2</v>
      </c>
      <c r="BZ57" s="393">
        <f t="shared" si="48"/>
        <v>8.877284595300261E-2</v>
      </c>
      <c r="CB57" s="393"/>
      <c r="CC57" s="393"/>
      <c r="CD57" s="393"/>
      <c r="CE57" s="393"/>
      <c r="CG57" s="393"/>
      <c r="CH57" s="393"/>
      <c r="CI57" s="393"/>
      <c r="CJ57" s="393"/>
      <c r="CL57" s="393"/>
      <c r="CM57" s="393"/>
      <c r="CN57" s="393"/>
      <c r="CO57" s="393"/>
      <c r="CQ57" s="393"/>
      <c r="CR57" s="393"/>
      <c r="CS57" s="393"/>
      <c r="CT57" s="393"/>
      <c r="CV57" s="393"/>
      <c r="CW57" s="393"/>
      <c r="CX57" s="393"/>
      <c r="CY57" s="393"/>
      <c r="DA57" s="393"/>
      <c r="DB57" s="393"/>
      <c r="DC57" s="393"/>
      <c r="DD57" s="393"/>
      <c r="DF57" s="393"/>
      <c r="DG57" s="393"/>
      <c r="DH57" s="393"/>
      <c r="DI57" s="393"/>
      <c r="DK57" s="393"/>
      <c r="DL57" s="393"/>
      <c r="DM57" s="393"/>
      <c r="DN57" s="393"/>
      <c r="DP57" s="393"/>
      <c r="DQ57" s="393"/>
      <c r="DR57" s="393"/>
      <c r="DS57" s="393"/>
      <c r="DU57" s="393"/>
      <c r="DV57" s="393"/>
      <c r="DW57" s="393"/>
      <c r="DX57" s="393"/>
      <c r="DZ57" s="393"/>
      <c r="EA57" s="393"/>
      <c r="EB57" s="393"/>
      <c r="EC57" s="393"/>
      <c r="EE57" s="393"/>
      <c r="EF57" s="393"/>
      <c r="EG57" s="393"/>
      <c r="EH57" s="393"/>
      <c r="EJ57" s="393"/>
      <c r="EK57" s="393"/>
      <c r="EL57" s="393"/>
      <c r="EM57" s="393"/>
    </row>
    <row r="58" spans="2:144" hidden="1" outlineLevel="1">
      <c r="B58" s="14" t="s">
        <v>179</v>
      </c>
      <c r="C58" s="14"/>
      <c r="D58" s="51"/>
      <c r="E58" s="375"/>
      <c r="F58" s="375"/>
      <c r="G58" s="375"/>
      <c r="H58" s="375"/>
      <c r="J58" s="375"/>
      <c r="K58" s="375"/>
      <c r="L58" s="375"/>
      <c r="M58" s="375"/>
      <c r="O58" s="43"/>
      <c r="P58" s="43"/>
      <c r="Q58" s="43"/>
      <c r="R58" s="43"/>
      <c r="T58" s="43"/>
      <c r="U58" s="43"/>
      <c r="V58" s="43"/>
      <c r="W58" s="43"/>
      <c r="Y58" s="43"/>
      <c r="Z58" s="43"/>
      <c r="AA58" s="43"/>
      <c r="AB58" s="43"/>
      <c r="AD58" s="43"/>
      <c r="AE58" s="43"/>
      <c r="AF58" s="43"/>
      <c r="AG58" s="43"/>
      <c r="AI58" s="43"/>
      <c r="AJ58" s="43"/>
      <c r="AK58" s="43"/>
      <c r="AL58" s="43"/>
      <c r="AN58" s="43"/>
      <c r="AO58" s="43"/>
      <c r="AP58" s="43"/>
      <c r="AQ58" s="43"/>
      <c r="AS58" s="43"/>
      <c r="AT58" s="43"/>
      <c r="AU58" s="43"/>
      <c r="AV58" s="43"/>
      <c r="AX58" s="375"/>
      <c r="AY58" s="375"/>
      <c r="AZ58" s="375"/>
      <c r="BA58" s="375"/>
      <c r="BC58" s="387"/>
      <c r="BD58" s="387"/>
      <c r="BE58" s="387"/>
      <c r="BF58" s="622"/>
      <c r="BH58" s="387"/>
      <c r="BI58" s="387"/>
      <c r="BJ58" s="387"/>
      <c r="BK58" s="387"/>
      <c r="BM58" s="387"/>
      <c r="BN58" s="387"/>
      <c r="BO58" s="387"/>
      <c r="BP58" s="387"/>
      <c r="BR58" s="387"/>
      <c r="BS58" s="387"/>
      <c r="BT58" s="387"/>
      <c r="BU58" s="387"/>
      <c r="BW58" s="387"/>
      <c r="BX58" s="387"/>
      <c r="BY58" s="387"/>
      <c r="BZ58" s="387"/>
      <c r="CB58" s="387"/>
      <c r="CC58" s="387"/>
      <c r="CD58" s="387"/>
      <c r="CE58" s="387"/>
      <c r="CG58" s="387"/>
      <c r="CH58" s="387"/>
      <c r="CI58" s="387"/>
      <c r="CJ58" s="387"/>
      <c r="CL58" s="387"/>
      <c r="CM58" s="387"/>
      <c r="CN58" s="387"/>
      <c r="CO58" s="387"/>
      <c r="CQ58" s="387"/>
      <c r="CR58" s="387"/>
      <c r="CS58" s="387"/>
      <c r="CT58" s="387"/>
      <c r="CV58" s="387"/>
      <c r="CW58" s="387"/>
      <c r="CX58" s="387"/>
      <c r="CY58" s="387"/>
      <c r="DA58" s="387"/>
      <c r="DB58" s="387"/>
      <c r="DC58" s="387"/>
      <c r="DD58" s="387"/>
      <c r="DF58" s="387"/>
      <c r="DG58" s="387"/>
      <c r="DH58" s="387"/>
      <c r="DI58" s="387"/>
      <c r="DK58" s="387"/>
      <c r="DL58" s="387"/>
      <c r="DM58" s="387"/>
      <c r="DN58" s="387"/>
      <c r="DP58" s="387"/>
      <c r="DQ58" s="387"/>
      <c r="DR58" s="387"/>
      <c r="DS58" s="387"/>
      <c r="DU58" s="387"/>
      <c r="DV58" s="387"/>
      <c r="DW58" s="387"/>
      <c r="DX58" s="387"/>
      <c r="DZ58" s="387"/>
      <c r="EA58" s="387"/>
      <c r="EB58" s="387"/>
      <c r="EC58" s="387"/>
      <c r="EE58" s="387"/>
      <c r="EF58" s="387"/>
      <c r="EG58" s="387"/>
      <c r="EH58" s="387"/>
      <c r="EJ58" s="387"/>
      <c r="EK58" s="387"/>
      <c r="EL58" s="387"/>
      <c r="EM58" s="387"/>
    </row>
    <row r="59" spans="2:144" hidden="1" outlineLevel="1">
      <c r="B59" s="10" t="s">
        <v>0</v>
      </c>
      <c r="C59" s="14"/>
      <c r="D59" s="51"/>
      <c r="E59" s="375"/>
      <c r="F59" s="375"/>
      <c r="G59" s="375"/>
      <c r="H59" s="375"/>
      <c r="I59" s="42">
        <f>SUM(E59:H59)</f>
        <v>0</v>
      </c>
      <c r="J59" s="375"/>
      <c r="K59" s="375"/>
      <c r="L59" s="375"/>
      <c r="M59" s="375"/>
      <c r="N59" s="42">
        <f>SUM(J59:M59)</f>
        <v>0</v>
      </c>
      <c r="O59" s="43"/>
      <c r="P59" s="43"/>
      <c r="Q59" s="43"/>
      <c r="R59" s="43"/>
      <c r="S59" s="42">
        <f>SUM(O59:R59)</f>
        <v>0</v>
      </c>
      <c r="T59" s="43"/>
      <c r="U59" s="43"/>
      <c r="V59" s="43"/>
      <c r="W59" s="43"/>
      <c r="X59" s="42">
        <f>SUM(T59:W59)</f>
        <v>0</v>
      </c>
      <c r="Y59" s="43"/>
      <c r="Z59" s="43"/>
      <c r="AA59" s="43"/>
      <c r="AB59" s="43"/>
      <c r="AC59" s="42">
        <f>SUM(Y59:AB59)</f>
        <v>0</v>
      </c>
      <c r="AD59" s="43"/>
      <c r="AE59" s="43"/>
      <c r="AF59" s="43"/>
      <c r="AG59" s="43"/>
      <c r="AH59" s="42">
        <f>SUM(AD59:AG59)</f>
        <v>0</v>
      </c>
      <c r="AI59" s="43"/>
      <c r="AJ59" s="43"/>
      <c r="AK59" s="43"/>
      <c r="AL59" s="43"/>
      <c r="AM59" s="42">
        <f>SUM(AI59:AL59)</f>
        <v>0</v>
      </c>
      <c r="AN59" s="43"/>
      <c r="AO59" s="43"/>
      <c r="AP59" s="43"/>
      <c r="AQ59" s="43"/>
      <c r="AR59" s="42">
        <f>SUM(AN59:AQ59)</f>
        <v>0</v>
      </c>
      <c r="AS59" s="43"/>
      <c r="AT59" s="43"/>
      <c r="AU59" s="43"/>
      <c r="AV59" s="43">
        <v>9.8140000000000001</v>
      </c>
      <c r="AW59" s="42">
        <f>SUM(AS59:AV59)</f>
        <v>9.8140000000000001</v>
      </c>
      <c r="AX59" s="375"/>
      <c r="AY59" s="375"/>
      <c r="AZ59" s="375"/>
      <c r="BA59" s="375"/>
      <c r="BC59" s="387"/>
      <c r="BD59" s="387"/>
      <c r="BE59" s="387"/>
      <c r="BF59" s="622"/>
      <c r="BH59" s="387"/>
      <c r="BI59" s="387"/>
      <c r="BJ59" s="387"/>
      <c r="BK59" s="387"/>
      <c r="BM59" s="387"/>
      <c r="BN59" s="387"/>
      <c r="BO59" s="387"/>
      <c r="BP59" s="387"/>
      <c r="BR59" s="387"/>
      <c r="BS59" s="387"/>
      <c r="BT59" s="387"/>
      <c r="BU59" s="387"/>
      <c r="BW59" s="387"/>
      <c r="BX59" s="387"/>
      <c r="BY59" s="387"/>
      <c r="BZ59" s="387"/>
      <c r="CB59" s="387"/>
      <c r="CC59" s="387"/>
      <c r="CD59" s="387"/>
      <c r="CE59" s="387"/>
      <c r="CG59" s="387"/>
      <c r="CH59" s="387"/>
      <c r="CI59" s="387"/>
      <c r="CJ59" s="387"/>
      <c r="CL59" s="387"/>
      <c r="CM59" s="387"/>
      <c r="CN59" s="387"/>
      <c r="CO59" s="387"/>
      <c r="CQ59" s="387"/>
      <c r="CR59" s="387"/>
      <c r="CS59" s="387"/>
      <c r="CT59" s="387"/>
      <c r="CV59" s="387"/>
      <c r="CW59" s="387"/>
      <c r="CX59" s="387"/>
      <c r="CY59" s="387"/>
      <c r="DA59" s="387"/>
      <c r="DB59" s="387"/>
      <c r="DC59" s="387"/>
      <c r="DD59" s="387"/>
      <c r="DF59" s="387"/>
      <c r="DG59" s="387"/>
      <c r="DH59" s="387"/>
      <c r="DI59" s="387"/>
      <c r="DK59" s="387"/>
      <c r="DL59" s="387"/>
      <c r="DM59" s="387"/>
      <c r="DN59" s="387"/>
      <c r="DP59" s="387"/>
      <c r="DQ59" s="387"/>
      <c r="DR59" s="387"/>
      <c r="DS59" s="387"/>
      <c r="DU59" s="387"/>
      <c r="DV59" s="387"/>
      <c r="DW59" s="387"/>
      <c r="DX59" s="387"/>
      <c r="DZ59" s="387"/>
      <c r="EA59" s="387"/>
      <c r="EB59" s="387"/>
      <c r="EC59" s="387"/>
      <c r="EE59" s="387"/>
      <c r="EF59" s="387"/>
      <c r="EG59" s="387"/>
      <c r="EH59" s="387"/>
      <c r="EJ59" s="387"/>
      <c r="EK59" s="387"/>
      <c r="EL59" s="387"/>
      <c r="EM59" s="387"/>
    </row>
    <row r="60" spans="2:144" hidden="1" outlineLevel="1">
      <c r="B60" s="10" t="s">
        <v>14</v>
      </c>
      <c r="C60" s="14"/>
      <c r="D60" s="51"/>
      <c r="E60" s="375"/>
      <c r="F60" s="375"/>
      <c r="G60" s="375"/>
      <c r="H60" s="375"/>
      <c r="I60" s="42">
        <f>SUM(E60:H60)</f>
        <v>0</v>
      </c>
      <c r="J60" s="375"/>
      <c r="K60" s="375"/>
      <c r="L60" s="375"/>
      <c r="M60" s="375"/>
      <c r="N60" s="42">
        <f>SUM(J60:M60)</f>
        <v>0</v>
      </c>
      <c r="O60" s="43">
        <v>1.216</v>
      </c>
      <c r="P60" s="43">
        <v>1.028</v>
      </c>
      <c r="Q60" s="43">
        <v>0.111</v>
      </c>
      <c r="R60" s="43">
        <v>0.10100000000000001</v>
      </c>
      <c r="S60" s="42">
        <f>SUM(O60:R60)</f>
        <v>2.456</v>
      </c>
      <c r="T60" s="43"/>
      <c r="U60" s="43"/>
      <c r="V60" s="43"/>
      <c r="W60" s="43"/>
      <c r="X60" s="42">
        <f>SUM(T60:W60)</f>
        <v>0</v>
      </c>
      <c r="Y60" s="43"/>
      <c r="Z60" s="43"/>
      <c r="AA60" s="43"/>
      <c r="AB60" s="43"/>
      <c r="AC60" s="42">
        <f>SUM(Y60:AB60)</f>
        <v>0</v>
      </c>
      <c r="AD60" s="43"/>
      <c r="AE60" s="43"/>
      <c r="AF60" s="43"/>
      <c r="AG60" s="43"/>
      <c r="AH60" s="42">
        <f>SUM(AD60:AG60)</f>
        <v>0</v>
      </c>
      <c r="AI60" s="43"/>
      <c r="AJ60" s="43"/>
      <c r="AK60" s="43"/>
      <c r="AL60" s="43"/>
      <c r="AM60" s="42">
        <f>SUM(AI60:AL60)</f>
        <v>0</v>
      </c>
      <c r="AN60" s="43"/>
      <c r="AO60" s="43"/>
      <c r="AP60" s="43"/>
      <c r="AQ60" s="43">
        <v>15.089</v>
      </c>
      <c r="AR60" s="42">
        <f>SUM(AN60:AQ60)</f>
        <v>15.089</v>
      </c>
      <c r="AS60" s="43">
        <v>9.2080000000000002</v>
      </c>
      <c r="AT60" s="43">
        <v>5.8570000000000002</v>
      </c>
      <c r="AU60" s="43"/>
      <c r="AV60" s="43"/>
      <c r="AW60" s="42">
        <f>SUM(AS60:AV60)</f>
        <v>15.065000000000001</v>
      </c>
      <c r="AX60" s="375"/>
      <c r="AY60" s="375"/>
      <c r="AZ60" s="375"/>
      <c r="BA60" s="375"/>
      <c r="BC60" s="387"/>
      <c r="BD60" s="387"/>
      <c r="BE60" s="387"/>
      <c r="BF60" s="622"/>
      <c r="BH60" s="728">
        <v>25</v>
      </c>
      <c r="BI60" s="391">
        <v>0</v>
      </c>
      <c r="BJ60" s="391">
        <v>0</v>
      </c>
      <c r="BK60" s="391">
        <v>0</v>
      </c>
      <c r="BL60" s="356">
        <f>SUM(BH60:BK60)</f>
        <v>25</v>
      </c>
      <c r="BM60" s="728">
        <v>0</v>
      </c>
      <c r="BN60" s="728"/>
      <c r="BO60" s="728"/>
      <c r="BP60" s="728"/>
      <c r="BR60" s="728"/>
      <c r="BS60" s="391">
        <v>100</v>
      </c>
      <c r="BT60" s="391">
        <v>30</v>
      </c>
      <c r="BU60" s="728">
        <v>68.5</v>
      </c>
      <c r="BV60" s="12">
        <f>SUM(BR60:BU60)</f>
        <v>198.5</v>
      </c>
      <c r="BW60" s="387"/>
      <c r="BX60" s="391">
        <v>315</v>
      </c>
      <c r="BY60" s="387"/>
      <c r="BZ60" s="728">
        <v>0</v>
      </c>
      <c r="CA60">
        <f>SUM(BW60:BZ60)</f>
        <v>315</v>
      </c>
      <c r="CB60" s="387"/>
      <c r="CC60" s="387"/>
      <c r="CD60" s="387"/>
      <c r="CE60" s="387"/>
      <c r="CG60" s="387"/>
      <c r="CH60" s="387"/>
      <c r="CI60" s="387"/>
      <c r="CJ60" s="387"/>
      <c r="CL60" s="387"/>
      <c r="CM60" s="387"/>
      <c r="CN60" s="387"/>
      <c r="CO60" s="387"/>
      <c r="CQ60" s="387"/>
      <c r="CR60" s="387"/>
      <c r="CS60" s="387"/>
      <c r="CT60" s="387"/>
      <c r="CV60" s="387"/>
      <c r="CW60" s="387"/>
      <c r="CX60" s="387"/>
      <c r="CY60" s="387"/>
      <c r="DA60" s="387"/>
      <c r="DB60" s="387"/>
      <c r="DC60" s="387"/>
      <c r="DD60" s="387"/>
      <c r="DF60" s="387"/>
      <c r="DG60" s="387"/>
      <c r="DH60" s="387"/>
      <c r="DI60" s="387"/>
      <c r="DK60" s="387"/>
      <c r="DL60" s="387"/>
      <c r="DM60" s="387"/>
      <c r="DN60" s="387"/>
      <c r="DP60" s="387"/>
      <c r="DQ60" s="387"/>
      <c r="DR60" s="387"/>
      <c r="DS60" s="387"/>
      <c r="DU60" s="387"/>
      <c r="DV60" s="387"/>
      <c r="DW60" s="387"/>
      <c r="DX60" s="387"/>
      <c r="DZ60" s="387"/>
      <c r="EA60" s="387"/>
      <c r="EB60" s="387"/>
      <c r="EC60" s="387"/>
      <c r="EE60" s="387"/>
      <c r="EF60" s="387"/>
      <c r="EG60" s="387"/>
      <c r="EH60" s="387"/>
      <c r="EJ60" s="387"/>
      <c r="EK60" s="387"/>
      <c r="EL60" s="387"/>
      <c r="EM60" s="387"/>
    </row>
    <row r="61" spans="2:144" hidden="1" outlineLevel="1">
      <c r="B61" s="10" t="s">
        <v>201</v>
      </c>
      <c r="C61" s="10"/>
      <c r="D61" s="51"/>
      <c r="E61" s="375"/>
      <c r="F61" s="375"/>
      <c r="G61" s="375"/>
      <c r="H61" s="375"/>
      <c r="I61" s="12">
        <f>SUM(E61:H61)</f>
        <v>0</v>
      </c>
      <c r="J61" s="375"/>
      <c r="K61" s="375"/>
      <c r="L61" s="375"/>
      <c r="M61" s="375"/>
      <c r="N61" s="12">
        <f>SUM(J61:M61)</f>
        <v>0</v>
      </c>
      <c r="O61" s="43"/>
      <c r="P61" s="43"/>
      <c r="Q61" s="43"/>
      <c r="R61" s="43"/>
      <c r="S61" s="12">
        <f>SUM(O61:R61)</f>
        <v>0</v>
      </c>
      <c r="T61" s="43">
        <f>14.783-T56-T50</f>
        <v>10.376999999999999</v>
      </c>
      <c r="U61" s="43">
        <f>19.116-U63</f>
        <v>16.855</v>
      </c>
      <c r="V61" s="43">
        <f>22.309-V63</f>
        <v>20.092000000000002</v>
      </c>
      <c r="W61" s="43">
        <f>17.207-W63</f>
        <v>14.939</v>
      </c>
      <c r="X61" s="12">
        <f>SUM(T61:W61)</f>
        <v>62.262999999999998</v>
      </c>
      <c r="Y61" s="43">
        <f>9.574-Y56-Y50</f>
        <v>6.5829999999999993</v>
      </c>
      <c r="Z61" s="43">
        <f>10.674-Z63</f>
        <v>8.4239999999999995</v>
      </c>
      <c r="AA61" s="43">
        <f>11.564-AA63</f>
        <v>9.2740000000000009</v>
      </c>
      <c r="AB61" s="43">
        <f>13.308-AB63</f>
        <v>10.993</v>
      </c>
      <c r="AC61" s="12">
        <f>SUM(Y61:AB61)</f>
        <v>35.274000000000001</v>
      </c>
      <c r="AD61" s="43">
        <v>11.132</v>
      </c>
      <c r="AE61" s="43">
        <v>13.827999999999999</v>
      </c>
      <c r="AF61" s="43">
        <v>16.596</v>
      </c>
      <c r="AG61" s="43">
        <v>18.48</v>
      </c>
      <c r="AH61" s="12">
        <f>SUM(AD61:AG61)</f>
        <v>60.036000000000001</v>
      </c>
      <c r="AI61" s="43">
        <v>17.625</v>
      </c>
      <c r="AJ61" s="43">
        <v>19.363</v>
      </c>
      <c r="AK61" s="43">
        <v>20.167000000000002</v>
      </c>
      <c r="AL61" s="43">
        <v>18.239999999999998</v>
      </c>
      <c r="AM61" s="12">
        <f>SUM(AI61:AL61)</f>
        <v>75.394999999999996</v>
      </c>
      <c r="AN61" s="43">
        <v>19.931000000000001</v>
      </c>
      <c r="AO61" s="43">
        <v>22.184999999999999</v>
      </c>
      <c r="AP61" s="43">
        <v>24.161000000000001</v>
      </c>
      <c r="AQ61" s="43">
        <v>27.646999999999998</v>
      </c>
      <c r="AR61" s="12">
        <f>SUM(AN61:AQ61)</f>
        <v>93.924000000000007</v>
      </c>
      <c r="AS61" s="43">
        <v>23.094000000000001</v>
      </c>
      <c r="AT61" s="43">
        <v>25.613</v>
      </c>
      <c r="AU61" s="43">
        <v>27.198</v>
      </c>
      <c r="AV61" s="43">
        <v>26.831</v>
      </c>
      <c r="AW61" s="12">
        <f>SUM(AS61:AV61)</f>
        <v>102.736</v>
      </c>
      <c r="AX61" s="375">
        <v>26.815999999999999</v>
      </c>
      <c r="AY61" s="375">
        <v>27.074999999999999</v>
      </c>
      <c r="AZ61" s="375">
        <v>32.119</v>
      </c>
      <c r="BA61" s="375">
        <v>30.207000000000001</v>
      </c>
      <c r="BB61" s="12">
        <f>SUM(AX61:BA61)</f>
        <v>116.21699999999998</v>
      </c>
      <c r="BC61" s="387">
        <v>35.799999999999997</v>
      </c>
      <c r="BD61" s="387">
        <v>34.299999999999997</v>
      </c>
      <c r="BE61" s="387">
        <v>44.2</v>
      </c>
      <c r="BF61" s="721">
        <v>48.3</v>
      </c>
      <c r="BG61" s="12">
        <f>SUM(BC61:BF61)</f>
        <v>162.6</v>
      </c>
      <c r="BH61" s="391">
        <v>51.3</v>
      </c>
      <c r="BI61" s="391">
        <v>51.7</v>
      </c>
      <c r="BJ61" s="391">
        <v>56.2</v>
      </c>
      <c r="BK61" s="391">
        <v>65.7</v>
      </c>
      <c r="BL61" s="12">
        <f>SUM(BH61:BK61)</f>
        <v>224.89999999999998</v>
      </c>
      <c r="BM61" s="391">
        <v>65.900000000000006</v>
      </c>
      <c r="BN61" s="391">
        <v>76</v>
      </c>
      <c r="BO61" s="391">
        <v>76.2</v>
      </c>
      <c r="BP61" s="391">
        <v>76.099999999999994</v>
      </c>
      <c r="BQ61" s="12">
        <f>SUM(BM61:BP61)</f>
        <v>294.20000000000005</v>
      </c>
      <c r="BR61" s="391">
        <v>75.3</v>
      </c>
      <c r="BS61" s="391">
        <v>85</v>
      </c>
      <c r="BT61" s="391">
        <v>77.3</v>
      </c>
      <c r="BU61" s="391">
        <v>82.5</v>
      </c>
      <c r="BV61" s="12">
        <f>SUM(BR61:BU61)</f>
        <v>320.10000000000002</v>
      </c>
      <c r="BW61" s="391">
        <v>81</v>
      </c>
      <c r="BX61" s="391">
        <v>92</v>
      </c>
      <c r="BY61" s="391">
        <v>87</v>
      </c>
      <c r="BZ61" s="391">
        <v>87</v>
      </c>
      <c r="CA61" s="12">
        <f>SUM(BW61:BZ61)</f>
        <v>347</v>
      </c>
      <c r="CB61" s="388">
        <v>95</v>
      </c>
      <c r="CC61" s="388">
        <f>CB61*1.05</f>
        <v>99.75</v>
      </c>
      <c r="CD61" s="388">
        <f>CC61*1.05</f>
        <v>104.73750000000001</v>
      </c>
      <c r="CE61" s="388">
        <f>CF61-SUM(CB61:CD61)</f>
        <v>82.212500000000034</v>
      </c>
      <c r="CF61" s="12">
        <f>CA61*1.1</f>
        <v>381.70000000000005</v>
      </c>
      <c r="CG61" s="388"/>
      <c r="CH61" s="388"/>
      <c r="CI61" s="388"/>
      <c r="CJ61" s="388"/>
      <c r="CK61" s="12">
        <f>CF61*1.05</f>
        <v>400.78500000000008</v>
      </c>
      <c r="CL61" s="388"/>
      <c r="CM61" s="388"/>
      <c r="CN61" s="388"/>
      <c r="CO61" s="388"/>
      <c r="CP61" s="12">
        <f>CK61*1.025</f>
        <v>410.80462500000004</v>
      </c>
      <c r="CQ61" s="388"/>
      <c r="CR61" s="388"/>
      <c r="CS61" s="388"/>
      <c r="CT61" s="388"/>
      <c r="CU61" s="12">
        <f>CP61*1.015</f>
        <v>416.96669437500003</v>
      </c>
      <c r="CV61" s="388"/>
      <c r="CW61" s="388"/>
      <c r="CX61" s="388"/>
      <c r="CY61" s="388"/>
      <c r="CZ61" s="12">
        <f>CU61*1.015</f>
        <v>423.22119479062496</v>
      </c>
      <c r="DA61" s="388"/>
      <c r="DB61" s="388"/>
      <c r="DC61" s="388"/>
      <c r="DD61" s="388"/>
      <c r="DE61" s="12">
        <f>CZ61*1.015</f>
        <v>429.56951271248431</v>
      </c>
      <c r="DF61" s="388"/>
      <c r="DG61" s="388"/>
      <c r="DH61" s="388"/>
      <c r="DI61" s="388"/>
      <c r="DJ61" s="12">
        <f>DE61*1.015</f>
        <v>436.01305540317151</v>
      </c>
      <c r="DK61" s="388"/>
      <c r="DL61" s="388"/>
      <c r="DM61" s="388"/>
      <c r="DN61" s="388"/>
      <c r="DO61" s="12">
        <f>DJ61*1.015</f>
        <v>442.55325123421903</v>
      </c>
      <c r="DP61" s="388"/>
      <c r="DQ61" s="388"/>
      <c r="DR61" s="388"/>
      <c r="DS61" s="388"/>
      <c r="DT61" s="12">
        <f>DO61*1.015</f>
        <v>449.1915500027323</v>
      </c>
      <c r="DU61" s="388"/>
      <c r="DV61" s="388"/>
      <c r="DW61" s="388"/>
      <c r="DX61" s="388"/>
      <c r="DY61" s="12">
        <f>DT61*1.015</f>
        <v>455.92942325277323</v>
      </c>
      <c r="DZ61" s="388"/>
      <c r="EA61" s="388"/>
      <c r="EB61" s="388"/>
      <c r="EC61" s="388"/>
      <c r="ED61" s="12">
        <f>DY61*1.015</f>
        <v>462.76836460156477</v>
      </c>
      <c r="EE61" s="388"/>
      <c r="EF61" s="388"/>
      <c r="EG61" s="388"/>
      <c r="EH61" s="388"/>
      <c r="EI61" s="12">
        <f>ED61*0.2</f>
        <v>92.553672920312962</v>
      </c>
      <c r="EJ61" s="388"/>
      <c r="EK61" s="388"/>
      <c r="EL61" s="388"/>
      <c r="EM61" s="388"/>
      <c r="EN61" s="12">
        <f>EI61</f>
        <v>92.553672920312962</v>
      </c>
    </row>
    <row r="62" spans="2:144" hidden="1" outlineLevel="1">
      <c r="D62" s="51"/>
      <c r="E62" s="375"/>
      <c r="F62" s="375"/>
      <c r="G62" s="375"/>
      <c r="H62" s="375"/>
      <c r="J62" s="375"/>
      <c r="K62" s="375"/>
      <c r="L62" s="375"/>
      <c r="M62" s="375"/>
      <c r="O62" s="43"/>
      <c r="P62" s="43"/>
      <c r="Q62" s="43"/>
      <c r="R62" s="43"/>
      <c r="T62" s="43"/>
      <c r="U62" s="43"/>
      <c r="V62" s="43"/>
      <c r="W62" s="43"/>
      <c r="Y62" s="43"/>
      <c r="Z62" s="43"/>
      <c r="AA62" s="43"/>
      <c r="AB62" s="43"/>
      <c r="AD62" s="43"/>
      <c r="AE62" s="43"/>
      <c r="AF62" s="43"/>
      <c r="AG62" s="43"/>
      <c r="AI62" s="43"/>
      <c r="AJ62" s="43"/>
      <c r="AK62" s="43"/>
      <c r="AL62" s="43"/>
      <c r="AN62" s="43"/>
      <c r="AO62" s="43"/>
      <c r="AP62" s="43"/>
      <c r="AQ62" s="43"/>
      <c r="AS62" s="43"/>
      <c r="AT62" s="43"/>
      <c r="AU62" s="43"/>
      <c r="AV62" s="43"/>
      <c r="AX62" s="375"/>
      <c r="AY62" s="375"/>
      <c r="AZ62" s="375"/>
      <c r="BA62" s="375"/>
      <c r="BC62" s="392"/>
      <c r="BD62" s="392"/>
      <c r="BE62" s="392"/>
      <c r="BF62" s="393"/>
      <c r="BH62" s="393">
        <f>BH61/BH12</f>
        <v>0.1227860220201053</v>
      </c>
      <c r="BI62" s="393">
        <f>BI61/BI12</f>
        <v>0.11747330152238128</v>
      </c>
      <c r="BJ62" s="393">
        <f>BJ61/BJ12</f>
        <v>0.12732215677390121</v>
      </c>
      <c r="BK62" s="393">
        <f>BK61/BK12</f>
        <v>0.13724670983914769</v>
      </c>
      <c r="BM62" s="393">
        <f>BM61/BM12</f>
        <v>0.1422404489531621</v>
      </c>
      <c r="BN62" s="393">
        <f>BN61/BN12</f>
        <v>0.14053254437869825</v>
      </c>
      <c r="BO62" s="393">
        <f>BO61/BO12</f>
        <v>0.16072558531955286</v>
      </c>
      <c r="BP62" s="393">
        <f>BP61/BP12</f>
        <v>0.14277673545966227</v>
      </c>
      <c r="BR62" s="393">
        <f>BR61/BR12</f>
        <v>0.16100064143681847</v>
      </c>
      <c r="BS62" s="393">
        <f t="shared" ref="BS62:BU62" si="49">BS61/BS12</f>
        <v>0.1553646499725827</v>
      </c>
      <c r="BT62" s="393">
        <f t="shared" si="49"/>
        <v>0.13086168952090738</v>
      </c>
      <c r="BU62" s="393">
        <f t="shared" si="49"/>
        <v>0.15461019490254871</v>
      </c>
      <c r="BW62" s="393">
        <f t="shared" ref="BW62:BZ62" si="50">BW61/BW12</f>
        <v>0.150278293135436</v>
      </c>
      <c r="BX62" s="393">
        <f t="shared" si="50"/>
        <v>0.17293233082706766</v>
      </c>
      <c r="BY62" s="393">
        <f t="shared" si="50"/>
        <v>0.16698656429942418</v>
      </c>
      <c r="BZ62" s="393">
        <f t="shared" si="50"/>
        <v>0.12663755458515283</v>
      </c>
      <c r="CB62" s="393"/>
      <c r="CC62" s="393"/>
      <c r="CD62" s="393"/>
      <c r="CE62" s="393"/>
      <c r="CG62" s="393"/>
      <c r="CH62" s="393"/>
      <c r="CI62" s="393"/>
      <c r="CJ62" s="393"/>
      <c r="CL62" s="393"/>
      <c r="CM62" s="393"/>
      <c r="CN62" s="393"/>
      <c r="CO62" s="393"/>
      <c r="CQ62" s="393"/>
      <c r="CR62" s="393"/>
      <c r="CS62" s="393"/>
      <c r="CT62" s="393"/>
      <c r="CV62" s="393"/>
      <c r="CW62" s="393"/>
      <c r="CX62" s="393"/>
      <c r="CY62" s="393"/>
      <c r="DA62" s="393"/>
      <c r="DB62" s="393"/>
      <c r="DC62" s="393"/>
      <c r="DD62" s="393"/>
      <c r="DF62" s="393"/>
      <c r="DG62" s="393"/>
      <c r="DH62" s="393"/>
      <c r="DI62" s="393"/>
      <c r="DK62" s="393"/>
      <c r="DL62" s="393"/>
      <c r="DM62" s="393"/>
      <c r="DN62" s="393"/>
      <c r="DP62" s="393"/>
      <c r="DQ62" s="393"/>
      <c r="DR62" s="393"/>
      <c r="DS62" s="393"/>
      <c r="DU62" s="393"/>
      <c r="DV62" s="393"/>
      <c r="DW62" s="393"/>
      <c r="DX62" s="393"/>
      <c r="DZ62" s="393"/>
      <c r="EA62" s="393"/>
      <c r="EB62" s="393"/>
      <c r="EC62" s="393"/>
      <c r="EE62" s="393"/>
      <c r="EF62" s="393"/>
      <c r="EG62" s="393"/>
      <c r="EH62" s="393"/>
      <c r="EJ62" s="393"/>
      <c r="EK62" s="393"/>
      <c r="EL62" s="393"/>
      <c r="EM62" s="393"/>
    </row>
    <row r="63" spans="2:144" hidden="1" outlineLevel="1">
      <c r="B63" t="s">
        <v>204</v>
      </c>
      <c r="D63" s="51"/>
      <c r="E63" s="375"/>
      <c r="F63" s="375"/>
      <c r="G63" s="375"/>
      <c r="H63" s="375"/>
      <c r="I63" s="12">
        <f>SUM(E63:H63)</f>
        <v>0</v>
      </c>
      <c r="J63" s="375"/>
      <c r="K63" s="375"/>
      <c r="L63" s="375"/>
      <c r="M63" s="375"/>
      <c r="N63" s="12">
        <f>SUM(J63:M63)</f>
        <v>0</v>
      </c>
      <c r="O63" s="43"/>
      <c r="P63" s="43"/>
      <c r="Q63" s="43"/>
      <c r="R63" s="43"/>
      <c r="S63" s="12">
        <f>SUM(O63:R63)</f>
        <v>0</v>
      </c>
      <c r="T63" s="43">
        <f>12.551-T61</f>
        <v>2.1740000000000013</v>
      </c>
      <c r="U63" s="43">
        <f>2.16+0.101</f>
        <v>2.2610000000000001</v>
      </c>
      <c r="V63" s="43">
        <v>2.2170000000000001</v>
      </c>
      <c r="W63" s="43">
        <v>2.2679999999999998</v>
      </c>
      <c r="X63" s="12">
        <f>SUM(T63:W63)</f>
        <v>8.9200000000000017</v>
      </c>
      <c r="Y63" s="43">
        <f>8.797-Y61</f>
        <v>2.2140000000000013</v>
      </c>
      <c r="Z63" s="43">
        <f>2.25</f>
        <v>2.25</v>
      </c>
      <c r="AA63" s="43">
        <f>2.29</f>
        <v>2.29</v>
      </c>
      <c r="AB63" s="43">
        <v>2.3149999999999999</v>
      </c>
      <c r="AC63" s="12">
        <f>SUM(Y63:AB63)</f>
        <v>9.0690000000000008</v>
      </c>
      <c r="AD63" s="43">
        <f>9.842+1740</f>
        <v>1749.8420000000001</v>
      </c>
      <c r="AE63" s="43">
        <v>35.167000000000002</v>
      </c>
      <c r="AF63" s="43">
        <v>32.832999999999998</v>
      </c>
      <c r="AG63" s="43">
        <v>26.125</v>
      </c>
      <c r="AH63" s="12">
        <f>SUM(AD63:AG63)</f>
        <v>1843.9670000000001</v>
      </c>
      <c r="AI63" s="43">
        <v>23.625</v>
      </c>
      <c r="AJ63" s="43">
        <v>22.667000000000002</v>
      </c>
      <c r="AK63" s="43">
        <v>21.111000000000001</v>
      </c>
      <c r="AL63" s="43">
        <v>16</v>
      </c>
      <c r="AM63" s="12">
        <f>SUM(AI63:AL63)</f>
        <v>83.403000000000006</v>
      </c>
      <c r="AN63" s="43">
        <f>39.937+1.656</f>
        <v>41.592999999999996</v>
      </c>
      <c r="AO63" s="43">
        <f>39.991+7.077</f>
        <v>47.067999999999998</v>
      </c>
      <c r="AP63" s="43">
        <f>39.99+6.55</f>
        <v>46.54</v>
      </c>
      <c r="AQ63" s="43">
        <f>39.832+6.55+21.648</f>
        <v>68.03</v>
      </c>
      <c r="AR63" s="12">
        <f>SUM(AN63:AQ63)</f>
        <v>203.23099999999999</v>
      </c>
      <c r="AS63" s="43">
        <f>39.937+6.55+22.563</f>
        <v>69.05</v>
      </c>
      <c r="AT63" s="43">
        <f>39.938+7.917+22.232</f>
        <v>70.087000000000003</v>
      </c>
      <c r="AU63" s="43">
        <f>39.937+12.875+22.232</f>
        <v>75.043999999999997</v>
      </c>
      <c r="AV63" s="43">
        <f>39.938+12.875+22.232</f>
        <v>75.045000000000002</v>
      </c>
      <c r="AW63" s="12">
        <f>SUM(AS63:AV63)</f>
        <v>289.226</v>
      </c>
      <c r="AX63" s="375">
        <f>1+12.875+21.938+5.947</f>
        <v>41.760000000000005</v>
      </c>
      <c r="AY63" s="375">
        <v>44.148000000000003</v>
      </c>
      <c r="AZ63" s="375">
        <v>46.156999999999996</v>
      </c>
      <c r="BA63" s="375">
        <v>62.433999999999997</v>
      </c>
      <c r="BB63" s="12">
        <f>SUM(AX63:BA63)</f>
        <v>194.499</v>
      </c>
      <c r="BC63" s="387">
        <v>65.7</v>
      </c>
      <c r="BD63" s="387">
        <v>65.7</v>
      </c>
      <c r="BE63" s="387">
        <v>65.7</v>
      </c>
      <c r="BF63" s="622">
        <v>65.7</v>
      </c>
      <c r="BG63" s="12">
        <f>SUM(BC63:BF63)</f>
        <v>262.8</v>
      </c>
      <c r="BH63" s="391">
        <v>65.7</v>
      </c>
      <c r="BI63" s="391">
        <v>65.3</v>
      </c>
      <c r="BJ63" s="391">
        <v>63.7</v>
      </c>
      <c r="BK63" s="391">
        <v>63.6</v>
      </c>
      <c r="BL63" s="356">
        <f>SUM(BH63:BK63)</f>
        <v>258.3</v>
      </c>
      <c r="BM63" s="391">
        <v>63.6</v>
      </c>
      <c r="BN63" s="391">
        <v>63.7</v>
      </c>
      <c r="BO63" s="391">
        <v>63.6</v>
      </c>
      <c r="BP63" s="391">
        <v>88.1</v>
      </c>
      <c r="BQ63" s="12">
        <f>SUM(BM63:BP63)</f>
        <v>279</v>
      </c>
      <c r="BR63" s="391">
        <v>91.8</v>
      </c>
      <c r="BS63" s="391">
        <v>174.8</v>
      </c>
      <c r="BT63" s="391">
        <v>87.1</v>
      </c>
      <c r="BU63" s="391">
        <v>105.3</v>
      </c>
      <c r="BV63" s="12">
        <f>SUM(BR63:BU63)</f>
        <v>459.00000000000006</v>
      </c>
      <c r="BW63" s="391">
        <v>82</v>
      </c>
      <c r="BX63" s="391">
        <v>88</v>
      </c>
      <c r="BY63" s="391">
        <v>80</v>
      </c>
      <c r="BZ63" s="391">
        <v>79</v>
      </c>
      <c r="CA63" s="12">
        <f>SUM(BW63:BZ63)</f>
        <v>329</v>
      </c>
      <c r="CB63" s="388">
        <f>CF63/4</f>
        <v>82.564999999999998</v>
      </c>
      <c r="CC63" s="388">
        <f>CF63/4</f>
        <v>82.564999999999998</v>
      </c>
      <c r="CD63" s="388">
        <f>CF63/4</f>
        <v>82.564999999999998</v>
      </c>
      <c r="CE63" s="388">
        <f>CF63-SUM(CB63:CD63)</f>
        <v>82.564999999999998</v>
      </c>
      <c r="CF63" s="12">
        <f>BS!S156</f>
        <v>330.26</v>
      </c>
      <c r="CG63" s="387"/>
      <c r="CH63" s="387"/>
      <c r="CI63" s="387"/>
      <c r="CJ63" s="387"/>
      <c r="CK63" s="12">
        <f>BS!T156</f>
        <v>323.65479999999997</v>
      </c>
      <c r="CL63" s="387"/>
      <c r="CM63" s="387"/>
      <c r="CN63" s="387"/>
      <c r="CO63" s="387"/>
      <c r="CP63" s="12">
        <f>BS!U156</f>
        <v>317.18170399999997</v>
      </c>
      <c r="CQ63" s="387"/>
      <c r="CR63" s="387"/>
      <c r="CS63" s="387"/>
      <c r="CT63" s="387"/>
      <c r="CU63" s="12">
        <f>BS!V156</f>
        <v>310.83806991999995</v>
      </c>
      <c r="CV63" s="387"/>
      <c r="CW63" s="387"/>
      <c r="CX63" s="387"/>
      <c r="CY63" s="387"/>
      <c r="CZ63" s="12">
        <f>BS!W156</f>
        <v>304.62130852159993</v>
      </c>
      <c r="DA63" s="387"/>
      <c r="DB63" s="387"/>
      <c r="DC63" s="387"/>
      <c r="DD63" s="387"/>
      <c r="DE63" s="12">
        <f>BS!X156</f>
        <v>298.52888235116791</v>
      </c>
      <c r="DF63" s="387"/>
      <c r="DG63" s="387"/>
      <c r="DH63" s="387"/>
      <c r="DI63" s="387"/>
      <c r="DJ63" s="12">
        <f>BS!Y156</f>
        <v>292.55830470414452</v>
      </c>
      <c r="DK63" s="387"/>
      <c r="DL63" s="387"/>
      <c r="DM63" s="387"/>
      <c r="DN63" s="387"/>
      <c r="DO63" s="12">
        <f>BS!Z156</f>
        <v>286.70713861006163</v>
      </c>
      <c r="DP63" s="387"/>
      <c r="DQ63" s="387"/>
      <c r="DR63" s="387"/>
      <c r="DS63" s="387"/>
      <c r="DT63" s="12">
        <f>BS!AA156</f>
        <v>280.97299583786042</v>
      </c>
      <c r="DU63" s="387"/>
      <c r="DV63" s="387"/>
      <c r="DW63" s="387"/>
      <c r="DX63" s="387"/>
      <c r="DY63" s="12">
        <f>BS!AB156</f>
        <v>275.35353592110323</v>
      </c>
      <c r="DZ63" s="387"/>
      <c r="EA63" s="387"/>
      <c r="EB63" s="387"/>
      <c r="EC63" s="387"/>
      <c r="ED63" s="12">
        <f>BS!AC156</f>
        <v>269.84646520268115</v>
      </c>
      <c r="EE63" s="387"/>
      <c r="EF63" s="387"/>
      <c r="EG63" s="387"/>
      <c r="EH63" s="387"/>
      <c r="EI63" s="12">
        <f>BS!AD156</f>
        <v>264.44953589862752</v>
      </c>
      <c r="EJ63" s="387"/>
      <c r="EK63" s="387"/>
      <c r="EL63" s="387"/>
      <c r="EM63" s="387"/>
      <c r="EN63" s="12">
        <f>BS!AE156</f>
        <v>259.16054518065494</v>
      </c>
    </row>
    <row r="64" spans="2:144" hidden="1" outlineLevel="1">
      <c r="D64" s="51"/>
      <c r="E64" s="375"/>
      <c r="F64" s="375"/>
      <c r="G64" s="375"/>
      <c r="H64" s="375"/>
      <c r="J64" s="375"/>
      <c r="K64" s="375"/>
      <c r="L64" s="375"/>
      <c r="M64" s="375"/>
      <c r="O64" s="43"/>
      <c r="P64" s="43"/>
      <c r="Q64" s="43"/>
      <c r="R64" s="43"/>
      <c r="T64" s="43"/>
      <c r="U64" s="43"/>
      <c r="V64" s="43"/>
      <c r="W64" s="43"/>
      <c r="Y64" s="43"/>
      <c r="Z64" s="43"/>
      <c r="AA64" s="43"/>
      <c r="AB64" s="43"/>
      <c r="AD64" s="43"/>
      <c r="AE64" s="43"/>
      <c r="AF64" s="43"/>
      <c r="AG64" s="43"/>
      <c r="AI64" s="43"/>
      <c r="AJ64" s="43"/>
      <c r="AK64" s="43"/>
      <c r="AL64" s="43"/>
      <c r="AN64" s="43"/>
      <c r="AO64" s="43"/>
      <c r="AP64" s="43"/>
      <c r="AQ64" s="43"/>
      <c r="AS64" s="43"/>
      <c r="AT64" s="43"/>
      <c r="AU64" s="43"/>
      <c r="AV64" s="43"/>
      <c r="AX64" s="375"/>
      <c r="AY64" s="375"/>
      <c r="AZ64" s="375"/>
      <c r="BA64" s="375"/>
      <c r="BC64" s="387"/>
      <c r="BD64" s="387"/>
      <c r="BE64" s="387"/>
      <c r="BF64" s="622"/>
      <c r="BH64" s="387"/>
      <c r="BI64" s="387"/>
      <c r="BJ64" s="387"/>
      <c r="BK64" s="387"/>
      <c r="BM64" s="387"/>
      <c r="BN64" s="387"/>
      <c r="BO64" s="387"/>
      <c r="BP64" s="387"/>
      <c r="BR64" s="387"/>
      <c r="BS64" s="387"/>
      <c r="BT64" s="387"/>
      <c r="BU64" s="387"/>
      <c r="BW64" s="387"/>
      <c r="BX64" s="387"/>
      <c r="BY64" s="387"/>
      <c r="BZ64" s="387"/>
      <c r="CB64" s="387"/>
      <c r="CC64" s="387"/>
      <c r="CD64" s="387"/>
      <c r="CE64" s="387"/>
      <c r="CG64" s="387"/>
      <c r="CH64" s="387"/>
      <c r="CI64" s="387"/>
      <c r="CJ64" s="387"/>
      <c r="CL64" s="387"/>
      <c r="CM64" s="387"/>
      <c r="CN64" s="387"/>
      <c r="CO64" s="387"/>
      <c r="CQ64" s="387"/>
      <c r="CR64" s="387"/>
      <c r="CS64" s="387"/>
      <c r="CT64" s="387"/>
      <c r="CV64" s="387"/>
      <c r="CW64" s="387"/>
      <c r="CX64" s="387"/>
      <c r="CY64" s="387"/>
      <c r="DA64" s="387"/>
      <c r="DB64" s="387"/>
      <c r="DC64" s="387"/>
      <c r="DD64" s="387"/>
      <c r="DF64" s="387"/>
      <c r="DG64" s="387"/>
      <c r="DH64" s="387"/>
      <c r="DI64" s="387"/>
      <c r="DK64" s="387"/>
      <c r="DL64" s="387"/>
      <c r="DM64" s="387"/>
      <c r="DN64" s="387"/>
      <c r="DP64" s="387"/>
      <c r="DQ64" s="387"/>
      <c r="DR64" s="387"/>
      <c r="DS64" s="387"/>
      <c r="DU64" s="387"/>
      <c r="DV64" s="387"/>
      <c r="DW64" s="387"/>
      <c r="DX64" s="387"/>
      <c r="DZ64" s="387"/>
      <c r="EA64" s="387"/>
      <c r="EB64" s="387"/>
      <c r="EC64" s="387"/>
      <c r="EE64" s="387"/>
      <c r="EF64" s="387"/>
      <c r="EG64" s="387"/>
      <c r="EH64" s="387"/>
      <c r="EJ64" s="387"/>
      <c r="EK64" s="387"/>
      <c r="EL64" s="387"/>
      <c r="EM64" s="387"/>
    </row>
    <row r="65" spans="2:144" hidden="1" outlineLevel="1">
      <c r="B65" t="s">
        <v>205</v>
      </c>
      <c r="D65" s="51"/>
      <c r="E65" s="375"/>
      <c r="F65" s="375"/>
      <c r="G65" s="375"/>
      <c r="H65" s="375"/>
      <c r="J65" s="375"/>
      <c r="K65" s="375"/>
      <c r="L65" s="375"/>
      <c r="M65" s="375"/>
      <c r="O65" s="43"/>
      <c r="P65" s="43"/>
      <c r="Q65" s="43"/>
      <c r="R65" s="43"/>
      <c r="T65" s="43"/>
      <c r="U65" s="43"/>
      <c r="V65" s="43"/>
      <c r="W65" s="43"/>
      <c r="Y65" s="43"/>
      <c r="Z65" s="43"/>
      <c r="AA65" s="43"/>
      <c r="AB65" s="43"/>
      <c r="AD65" s="43"/>
      <c r="AE65" s="43"/>
      <c r="AF65" s="43"/>
      <c r="AG65" s="43"/>
      <c r="AI65" s="43"/>
      <c r="AJ65" s="43"/>
      <c r="AK65" s="43"/>
      <c r="AL65" s="43"/>
      <c r="AN65" s="43"/>
      <c r="AO65" s="43"/>
      <c r="AP65" s="43"/>
      <c r="AQ65" s="43"/>
      <c r="AS65" s="43"/>
      <c r="AT65" s="43"/>
      <c r="AU65" s="43"/>
      <c r="AV65" s="43"/>
      <c r="AX65" s="375"/>
      <c r="AY65" s="375"/>
      <c r="AZ65" s="375"/>
      <c r="BA65" s="375"/>
      <c r="BC65" s="387"/>
      <c r="BD65" s="387"/>
      <c r="BE65" s="387"/>
      <c r="BF65" s="622"/>
      <c r="BH65" s="387"/>
      <c r="BI65" s="387"/>
      <c r="BJ65" s="387"/>
      <c r="BK65" s="387"/>
      <c r="BM65" s="387"/>
      <c r="BN65" s="387"/>
      <c r="BO65" s="387"/>
      <c r="BP65" s="387"/>
      <c r="BR65" s="387"/>
      <c r="BS65" s="387"/>
      <c r="BT65" s="387"/>
      <c r="BU65" s="387"/>
      <c r="BW65" s="387"/>
      <c r="BX65" s="387"/>
      <c r="BY65" s="387"/>
      <c r="BZ65" s="387"/>
      <c r="CB65" s="387"/>
      <c r="CC65" s="387"/>
      <c r="CD65" s="387"/>
      <c r="CE65" s="387"/>
      <c r="CG65" s="387"/>
      <c r="CH65" s="387"/>
      <c r="CI65" s="387"/>
      <c r="CJ65" s="387"/>
      <c r="CL65" s="387"/>
      <c r="CM65" s="387"/>
      <c r="CN65" s="387"/>
      <c r="CO65" s="387"/>
      <c r="CQ65" s="387"/>
      <c r="CR65" s="387"/>
      <c r="CS65" s="387"/>
      <c r="CT65" s="387"/>
      <c r="CV65" s="387"/>
      <c r="CW65" s="387"/>
      <c r="CX65" s="387"/>
      <c r="CY65" s="387"/>
      <c r="DA65" s="387"/>
      <c r="DB65" s="387"/>
      <c r="DC65" s="387"/>
      <c r="DD65" s="387"/>
      <c r="DF65" s="387"/>
      <c r="DG65" s="387"/>
      <c r="DH65" s="387"/>
      <c r="DI65" s="387"/>
      <c r="DK65" s="387"/>
      <c r="DL65" s="387"/>
      <c r="DM65" s="387"/>
      <c r="DN65" s="387"/>
      <c r="DP65" s="387"/>
      <c r="DQ65" s="387"/>
      <c r="DR65" s="387"/>
      <c r="DS65" s="387"/>
      <c r="DU65" s="387"/>
      <c r="DV65" s="387"/>
      <c r="DW65" s="387"/>
      <c r="DX65" s="387"/>
      <c r="DZ65" s="387"/>
      <c r="EA65" s="387"/>
      <c r="EB65" s="387"/>
      <c r="EC65" s="387"/>
      <c r="EE65" s="387"/>
      <c r="EF65" s="387"/>
      <c r="EG65" s="387"/>
      <c r="EH65" s="387"/>
      <c r="EJ65" s="387"/>
      <c r="EK65" s="387"/>
      <c r="EL65" s="387"/>
      <c r="EM65" s="387"/>
    </row>
    <row r="66" spans="2:144" hidden="1" outlineLevel="1">
      <c r="B66" s="10" t="s">
        <v>206</v>
      </c>
      <c r="D66" s="51"/>
      <c r="E66" s="375"/>
      <c r="F66" s="375"/>
      <c r="G66" s="375"/>
      <c r="H66" s="375"/>
      <c r="I66" s="12">
        <f>SUM(E66:H66)</f>
        <v>0</v>
      </c>
      <c r="J66" s="375"/>
      <c r="K66" s="375"/>
      <c r="L66" s="375"/>
      <c r="M66" s="375"/>
      <c r="N66" s="12">
        <f>SUM(J66:M66)</f>
        <v>0</v>
      </c>
      <c r="O66" s="43"/>
      <c r="P66" s="43"/>
      <c r="Q66" s="43"/>
      <c r="R66" s="43"/>
      <c r="S66" s="12">
        <f>SUM(O66:R66)</f>
        <v>0</v>
      </c>
      <c r="T66" s="43"/>
      <c r="U66" s="43"/>
      <c r="V66" s="43"/>
      <c r="W66" s="43"/>
      <c r="X66" s="12">
        <f>SUM(T66:W66)</f>
        <v>0</v>
      </c>
      <c r="Y66" s="43"/>
      <c r="Z66" s="43"/>
      <c r="AA66" s="43"/>
      <c r="AB66" s="43"/>
      <c r="AC66" s="12">
        <f>SUM(Y66:AB66)</f>
        <v>0</v>
      </c>
      <c r="AD66" s="43"/>
      <c r="AE66" s="43"/>
      <c r="AF66" s="43"/>
      <c r="AG66" s="43"/>
      <c r="AH66" s="12">
        <f>SUM(AD66:AG66)</f>
        <v>0</v>
      </c>
      <c r="AI66" s="43"/>
      <c r="AJ66" s="43"/>
      <c r="AK66" s="43"/>
      <c r="AL66" s="43"/>
      <c r="AM66" s="12">
        <f>SUM(AI66:AL66)</f>
        <v>0</v>
      </c>
      <c r="AN66" s="43"/>
      <c r="AO66" s="43">
        <v>5.8920000000000003</v>
      </c>
      <c r="AP66" s="43">
        <v>5.9429999999999996</v>
      </c>
      <c r="AQ66" s="43">
        <v>-12.981999999999999</v>
      </c>
      <c r="AR66" s="12">
        <f>SUM(AN66:AQ66)</f>
        <v>-1.1469999999999985</v>
      </c>
      <c r="AS66" s="43">
        <f>-105.588+6.053</f>
        <v>-99.534999999999997</v>
      </c>
      <c r="AT66" s="43">
        <f>6.108-17.743</f>
        <v>-11.634999999999998</v>
      </c>
      <c r="AU66" s="43">
        <f>2.037-13.414</f>
        <v>-11.376999999999999</v>
      </c>
      <c r="AV66" s="43">
        <f>-10.203-14.713</f>
        <v>-24.915999999999997</v>
      </c>
      <c r="AW66" s="12">
        <f>SUM(AS66:AV66)</f>
        <v>-147.46299999999997</v>
      </c>
      <c r="AX66" s="375">
        <v>-12.433</v>
      </c>
      <c r="AY66" s="375">
        <v>38.070999999999998</v>
      </c>
      <c r="AZ66" s="375">
        <v>0.64900000000000002</v>
      </c>
      <c r="BA66" s="375">
        <v>140.08699999999999</v>
      </c>
      <c r="BB66" s="12">
        <f>SUM(AX66:BA66)</f>
        <v>166.374</v>
      </c>
      <c r="BC66" s="387">
        <v>33.200000000000003</v>
      </c>
      <c r="BD66" s="387">
        <v>12.5</v>
      </c>
      <c r="BE66" s="387">
        <v>33.700000000000003</v>
      </c>
      <c r="BF66" s="622">
        <v>91.7</v>
      </c>
      <c r="BG66" s="12">
        <f>SUM(BC66:BF66)</f>
        <v>171.10000000000002</v>
      </c>
      <c r="BH66" s="391">
        <v>8.6</v>
      </c>
      <c r="BI66" s="391">
        <v>0.9</v>
      </c>
      <c r="BJ66" s="391">
        <v>1.5</v>
      </c>
      <c r="BK66" s="391">
        <v>37.700000000000003</v>
      </c>
      <c r="BL66" s="356">
        <f>SUM(BH66:BK66)</f>
        <v>48.7</v>
      </c>
      <c r="BM66" s="391">
        <v>19</v>
      </c>
      <c r="BN66" s="391">
        <v>-29.3</v>
      </c>
      <c r="BO66" s="391">
        <v>-6.9</v>
      </c>
      <c r="BP66" s="391">
        <v>9.3000000000000007</v>
      </c>
      <c r="BQ66" s="12">
        <f>SUM(BM66:BP66)</f>
        <v>-7.9000000000000021</v>
      </c>
      <c r="BR66" s="391">
        <v>33</v>
      </c>
      <c r="BS66" s="391">
        <v>-43.7</v>
      </c>
      <c r="BT66" s="391">
        <v>22.9</v>
      </c>
      <c r="BU66" s="391">
        <v>9.1</v>
      </c>
      <c r="BV66" s="12">
        <f>SUM(BR66:BU66)</f>
        <v>21.299999999999997</v>
      </c>
      <c r="BW66" s="391">
        <v>39</v>
      </c>
      <c r="BX66" s="391">
        <v>-13</v>
      </c>
      <c r="BY66" s="728">
        <v>49</v>
      </c>
      <c r="BZ66" s="376">
        <v>-1425</v>
      </c>
      <c r="CA66" s="358">
        <f>SUM(BW66:BZ66)</f>
        <v>-1350</v>
      </c>
      <c r="CB66" s="387"/>
      <c r="CC66" s="387"/>
      <c r="CD66" s="387"/>
      <c r="CE66" s="387"/>
      <c r="CF66" s="12">
        <f>SUM(CB66:CE66)</f>
        <v>0</v>
      </c>
      <c r="CG66" s="387"/>
      <c r="CH66" s="387"/>
      <c r="CI66" s="387"/>
      <c r="CJ66" s="387"/>
      <c r="CK66" s="12">
        <f>SUM(CG66:CJ66)</f>
        <v>0</v>
      </c>
      <c r="CL66" s="387"/>
      <c r="CM66" s="387"/>
      <c r="CN66" s="387"/>
      <c r="CO66" s="387"/>
      <c r="CP66" s="12">
        <f>SUM(CL66:CO66)</f>
        <v>0</v>
      </c>
      <c r="CQ66" s="387"/>
      <c r="CR66" s="387"/>
      <c r="CS66" s="387"/>
      <c r="CT66" s="387"/>
      <c r="CU66" s="12">
        <f>SUM(CQ66:CT66)</f>
        <v>0</v>
      </c>
      <c r="CV66" s="387"/>
      <c r="CW66" s="387"/>
      <c r="CX66" s="387"/>
      <c r="CY66" s="387"/>
      <c r="CZ66" s="12">
        <f>SUM(CV66:CY66)</f>
        <v>0</v>
      </c>
      <c r="DA66" s="387"/>
      <c r="DB66" s="387"/>
      <c r="DC66" s="387"/>
      <c r="DD66" s="387"/>
      <c r="DE66" s="12">
        <f>SUM(DA66:DD66)</f>
        <v>0</v>
      </c>
      <c r="DF66" s="387"/>
      <c r="DG66" s="387"/>
      <c r="DH66" s="387"/>
      <c r="DI66" s="387"/>
      <c r="DJ66" s="12">
        <f>SUM(DF66:DI66)</f>
        <v>0</v>
      </c>
      <c r="DK66" s="387"/>
      <c r="DL66" s="387"/>
      <c r="DM66" s="387"/>
      <c r="DN66" s="387"/>
      <c r="DO66" s="12">
        <f>SUM(DK66:DN66)</f>
        <v>0</v>
      </c>
      <c r="DP66" s="387"/>
      <c r="DQ66" s="387"/>
      <c r="DR66" s="387"/>
      <c r="DS66" s="387"/>
      <c r="DT66" s="12">
        <f>SUM(DP66:DS66)</f>
        <v>0</v>
      </c>
      <c r="DU66" s="387"/>
      <c r="DV66" s="387"/>
      <c r="DW66" s="387"/>
      <c r="DX66" s="387"/>
      <c r="DY66" s="12">
        <f>SUM(DU66:DX66)</f>
        <v>0</v>
      </c>
      <c r="DZ66" s="387"/>
      <c r="EA66" s="387"/>
      <c r="EB66" s="387"/>
      <c r="EC66" s="387"/>
      <c r="ED66" s="12">
        <f>SUM(DZ66:EC66)</f>
        <v>0</v>
      </c>
      <c r="EE66" s="387"/>
      <c r="EF66" s="387"/>
      <c r="EG66" s="387"/>
      <c r="EH66" s="387"/>
      <c r="EI66" s="12">
        <f>SUM(EE66:EH66)</f>
        <v>0</v>
      </c>
      <c r="EJ66" s="387"/>
      <c r="EK66" s="387"/>
      <c r="EL66" s="387"/>
      <c r="EM66" s="387"/>
      <c r="EN66" s="12">
        <f>SUM(EJ66:EM66)</f>
        <v>0</v>
      </c>
    </row>
    <row r="67" spans="2:144" hidden="1" outlineLevel="1">
      <c r="B67" s="10" t="s">
        <v>207</v>
      </c>
      <c r="D67" s="51"/>
      <c r="E67" s="375"/>
      <c r="F67" s="375"/>
      <c r="G67" s="375"/>
      <c r="H67" s="375"/>
      <c r="I67" s="12">
        <f>SUM(E67:H67)</f>
        <v>0</v>
      </c>
      <c r="J67" s="375"/>
      <c r="K67" s="375"/>
      <c r="L67" s="375"/>
      <c r="M67" s="375"/>
      <c r="N67" s="12">
        <f>SUM(J67:M67)</f>
        <v>0</v>
      </c>
      <c r="O67" s="43"/>
      <c r="P67" s="43"/>
      <c r="Q67" s="43"/>
      <c r="R67" s="43"/>
      <c r="S67" s="12">
        <f>SUM(O67:R67)</f>
        <v>0</v>
      </c>
      <c r="T67" s="43"/>
      <c r="U67" s="43"/>
      <c r="V67" s="43"/>
      <c r="W67" s="43"/>
      <c r="X67" s="12">
        <f>SUM(T67:W67)</f>
        <v>0</v>
      </c>
      <c r="Y67" s="43"/>
      <c r="Z67" s="43"/>
      <c r="AA67" s="43"/>
      <c r="AB67" s="43"/>
      <c r="AC67" s="12">
        <f>SUM(Y67:AB67)</f>
        <v>0</v>
      </c>
      <c r="AD67" s="43"/>
      <c r="AE67" s="43"/>
      <c r="AF67" s="43"/>
      <c r="AG67" s="43"/>
      <c r="AH67" s="12">
        <f>SUM(AD67:AG67)</f>
        <v>0</v>
      </c>
      <c r="AI67" s="43"/>
      <c r="AJ67" s="43"/>
      <c r="AK67" s="43"/>
      <c r="AL67" s="43"/>
      <c r="AM67" s="12">
        <f>SUM(AI67:AL67)</f>
        <v>0</v>
      </c>
      <c r="AN67" s="43">
        <v>4.8620000000000001</v>
      </c>
      <c r="AO67" s="43">
        <v>1.944</v>
      </c>
      <c r="AP67" s="43">
        <v>1.552</v>
      </c>
      <c r="AQ67" s="43">
        <f>5.997+16.907+18.614</f>
        <v>41.518000000000001</v>
      </c>
      <c r="AR67" s="12">
        <f>SUM(AN67:AQ67)</f>
        <v>49.876000000000005</v>
      </c>
      <c r="AS67" s="43">
        <f>2.742+0.049</f>
        <v>2.7909999999999999</v>
      </c>
      <c r="AT67" s="43">
        <f>-0.375+2.533</f>
        <v>2.1579999999999999</v>
      </c>
      <c r="AU67" s="43">
        <f>0.199-0.031</f>
        <v>0.16800000000000001</v>
      </c>
      <c r="AV67" s="43"/>
      <c r="AW67" s="12">
        <f>SUM(AS67:AV67)</f>
        <v>5.117</v>
      </c>
      <c r="AX67" s="375">
        <v>1.363</v>
      </c>
      <c r="AY67" s="375">
        <v>1.214</v>
      </c>
      <c r="AZ67" s="375"/>
      <c r="BA67" s="375"/>
      <c r="BB67" s="12">
        <f>SUM(AX67:BA67)</f>
        <v>2.577</v>
      </c>
      <c r="BC67" s="387"/>
      <c r="BD67" s="387"/>
      <c r="BE67" s="387"/>
      <c r="BF67" s="387"/>
      <c r="BG67" s="12"/>
      <c r="BH67" s="387"/>
      <c r="BI67" s="387"/>
      <c r="BJ67" s="387"/>
      <c r="BK67" s="387"/>
      <c r="BM67" s="387"/>
      <c r="BN67" s="387"/>
      <c r="BO67" s="728">
        <f>231.6+1.5</f>
        <v>233.1</v>
      </c>
      <c r="BP67" s="728">
        <f>66+8.4</f>
        <v>74.400000000000006</v>
      </c>
      <c r="BQ67">
        <f>SUM(BM67:BP67)</f>
        <v>307.5</v>
      </c>
      <c r="BR67" s="728">
        <v>3.2</v>
      </c>
      <c r="BS67" s="728">
        <v>7.8</v>
      </c>
      <c r="BT67" s="728">
        <v>2.1</v>
      </c>
      <c r="BU67" s="728">
        <v>3.4</v>
      </c>
      <c r="BV67">
        <f>SUM(BR67:BU67)</f>
        <v>16.5</v>
      </c>
      <c r="BW67" s="387"/>
      <c r="BX67" s="387"/>
      <c r="BY67" s="387"/>
      <c r="BZ67" s="387"/>
      <c r="CB67" s="387"/>
      <c r="CC67" s="387"/>
      <c r="CD67" s="387"/>
      <c r="CE67" s="387"/>
      <c r="CG67" s="387"/>
      <c r="CH67" s="387"/>
      <c r="CI67" s="387"/>
      <c r="CJ67" s="387"/>
      <c r="CL67" s="387"/>
      <c r="CM67" s="387"/>
      <c r="CN67" s="387"/>
      <c r="CO67" s="387"/>
      <c r="CQ67" s="387"/>
      <c r="CR67" s="387"/>
      <c r="CS67" s="387"/>
      <c r="CT67" s="387"/>
      <c r="CV67" s="387"/>
      <c r="CW67" s="387"/>
      <c r="CX67" s="387"/>
      <c r="CY67" s="387"/>
      <c r="DA67" s="387"/>
      <c r="DB67" s="387"/>
      <c r="DC67" s="387"/>
      <c r="DD67" s="387"/>
      <c r="DF67" s="387"/>
      <c r="DG67" s="387"/>
      <c r="DH67" s="387"/>
      <c r="DI67" s="387"/>
      <c r="DK67" s="387"/>
      <c r="DL67" s="387"/>
      <c r="DM67" s="387"/>
      <c r="DN67" s="387"/>
      <c r="DP67" s="387"/>
      <c r="DQ67" s="387"/>
      <c r="DR67" s="387"/>
      <c r="DS67" s="387"/>
      <c r="DU67" s="387"/>
      <c r="DV67" s="387"/>
      <c r="DW67" s="387"/>
      <c r="DX67" s="387"/>
      <c r="DZ67" s="387"/>
      <c r="EA67" s="387"/>
      <c r="EB67" s="387"/>
      <c r="EC67" s="387"/>
      <c r="EE67" s="387"/>
      <c r="EF67" s="387"/>
      <c r="EG67" s="387"/>
      <c r="EH67" s="387"/>
      <c r="EJ67" s="387"/>
      <c r="EK67" s="387"/>
      <c r="EL67" s="387"/>
      <c r="EM67" s="387"/>
    </row>
    <row r="68" spans="2:144" hidden="1" outlineLevel="1">
      <c r="B68" s="10"/>
      <c r="D68" s="51"/>
      <c r="E68" s="375"/>
      <c r="F68" s="375"/>
      <c r="G68" s="375"/>
      <c r="H68" s="375"/>
      <c r="I68" s="12"/>
      <c r="J68" s="375"/>
      <c r="K68" s="375"/>
      <c r="L68" s="375"/>
      <c r="M68" s="375"/>
      <c r="N68" s="12"/>
      <c r="O68" s="43"/>
      <c r="P68" s="43"/>
      <c r="Q68" s="43"/>
      <c r="R68" s="43"/>
      <c r="S68" s="12"/>
      <c r="T68" s="43"/>
      <c r="U68" s="43"/>
      <c r="V68" s="43"/>
      <c r="W68" s="43"/>
      <c r="X68" s="12"/>
      <c r="Y68" s="43"/>
      <c r="Z68" s="43"/>
      <c r="AA68" s="43"/>
      <c r="AB68" s="43"/>
      <c r="AC68" s="12"/>
      <c r="AD68" s="43"/>
      <c r="AE68" s="43"/>
      <c r="AF68" s="43"/>
      <c r="AG68" s="43"/>
      <c r="AH68" s="12"/>
      <c r="AI68" s="43"/>
      <c r="AJ68" s="43"/>
      <c r="AK68" s="43"/>
      <c r="AL68" s="43"/>
      <c r="AM68" s="12"/>
      <c r="AN68" s="43"/>
      <c r="AO68" s="43"/>
      <c r="AP68" s="43"/>
      <c r="AQ68" s="43"/>
      <c r="AR68" s="12"/>
      <c r="AS68" s="43"/>
      <c r="AT68" s="43"/>
      <c r="AU68" s="43"/>
      <c r="AV68" s="43"/>
      <c r="AW68" s="12"/>
      <c r="AX68" s="375"/>
      <c r="AY68" s="375"/>
      <c r="AZ68" s="375"/>
      <c r="BA68" s="375"/>
      <c r="BB68" s="12"/>
      <c r="BC68" s="387"/>
      <c r="BD68" s="387"/>
      <c r="BE68" s="387"/>
      <c r="BF68" s="387"/>
      <c r="BG68" s="12"/>
      <c r="BH68" s="387"/>
      <c r="BI68" s="387"/>
      <c r="BJ68" s="387"/>
      <c r="BK68" s="387"/>
      <c r="BM68" s="387"/>
      <c r="BN68" s="387"/>
      <c r="BO68" s="387"/>
      <c r="BP68" s="387"/>
      <c r="BR68" s="387"/>
      <c r="BS68" s="387"/>
      <c r="BT68" s="387"/>
      <c r="BU68" s="387"/>
      <c r="BW68" s="387"/>
      <c r="BX68" s="387"/>
      <c r="BY68" s="387"/>
      <c r="BZ68" s="387"/>
      <c r="CB68" s="387"/>
      <c r="CC68" s="387"/>
      <c r="CD68" s="387"/>
      <c r="CE68" s="387"/>
      <c r="CG68" s="387"/>
      <c r="CH68" s="387"/>
      <c r="CI68" s="387"/>
      <c r="CJ68" s="387"/>
      <c r="CL68" s="387"/>
      <c r="CM68" s="387"/>
      <c r="CN68" s="387"/>
      <c r="CO68" s="387"/>
      <c r="CQ68" s="387"/>
      <c r="CR68" s="387"/>
      <c r="CS68" s="387"/>
      <c r="CT68" s="387"/>
      <c r="CV68" s="387"/>
      <c r="CW68" s="387"/>
      <c r="CX68" s="387"/>
      <c r="CY68" s="387"/>
      <c r="DA68" s="387"/>
      <c r="DB68" s="387"/>
      <c r="DC68" s="387"/>
      <c r="DD68" s="387"/>
      <c r="DF68" s="387"/>
      <c r="DG68" s="387"/>
      <c r="DH68" s="387"/>
      <c r="DI68" s="387"/>
      <c r="DK68" s="387"/>
      <c r="DL68" s="387"/>
      <c r="DM68" s="387"/>
      <c r="DN68" s="387"/>
      <c r="DP68" s="387"/>
      <c r="DQ68" s="387"/>
      <c r="DR68" s="387"/>
      <c r="DS68" s="387"/>
      <c r="DU68" s="387"/>
      <c r="DV68" s="387"/>
      <c r="DW68" s="387"/>
      <c r="DX68" s="387"/>
      <c r="DZ68" s="387"/>
      <c r="EA68" s="387"/>
      <c r="EB68" s="387"/>
      <c r="EC68" s="387"/>
      <c r="EE68" s="387"/>
      <c r="EF68" s="387"/>
      <c r="EG68" s="387"/>
      <c r="EH68" s="387"/>
      <c r="EJ68" s="387"/>
      <c r="EK68" s="387"/>
      <c r="EL68" s="387"/>
      <c r="EM68" s="387"/>
    </row>
    <row r="69" spans="2:144" hidden="1" outlineLevel="1">
      <c r="B69" s="14" t="s">
        <v>231</v>
      </c>
      <c r="D69" s="51"/>
      <c r="E69" s="375"/>
      <c r="F69" s="375"/>
      <c r="G69" s="375"/>
      <c r="H69" s="375"/>
      <c r="I69" s="12"/>
      <c r="J69" s="375"/>
      <c r="K69" s="375"/>
      <c r="L69" s="375"/>
      <c r="M69" s="375"/>
      <c r="N69" s="12"/>
      <c r="O69" s="43"/>
      <c r="P69" s="43"/>
      <c r="Q69" s="43"/>
      <c r="R69" s="43"/>
      <c r="S69" s="12"/>
      <c r="T69" s="43"/>
      <c r="U69" s="43"/>
      <c r="V69" s="43"/>
      <c r="W69" s="43"/>
      <c r="X69" s="12"/>
      <c r="Y69" s="43"/>
      <c r="Z69" s="43"/>
      <c r="AA69" s="43"/>
      <c r="AB69" s="43"/>
      <c r="AC69" s="12"/>
      <c r="AD69" s="43"/>
      <c r="AE69" s="43"/>
      <c r="AF69" s="43"/>
      <c r="AG69" s="43"/>
      <c r="AH69" s="12"/>
      <c r="AI69" s="43"/>
      <c r="AJ69" s="43"/>
      <c r="AK69" s="43"/>
      <c r="AL69" s="43"/>
      <c r="AM69" s="12"/>
      <c r="AN69" s="43"/>
      <c r="AO69" s="43"/>
      <c r="AP69" s="43"/>
      <c r="AQ69" s="43"/>
      <c r="AR69" s="12"/>
      <c r="AS69" s="43"/>
      <c r="AT69" s="43"/>
      <c r="AU69" s="43"/>
      <c r="AV69" s="43"/>
      <c r="AW69" s="12"/>
      <c r="AX69" s="375"/>
      <c r="AY69" s="375"/>
      <c r="AZ69" s="375"/>
      <c r="BA69" s="375"/>
      <c r="BB69" s="12"/>
      <c r="BC69" s="387"/>
      <c r="BD69" s="387"/>
      <c r="BE69" s="387"/>
      <c r="BF69" s="387"/>
      <c r="BG69" s="12"/>
      <c r="BH69" s="387"/>
      <c r="BI69" s="387"/>
      <c r="BJ69" s="387"/>
      <c r="BK69" s="387"/>
      <c r="BM69" s="387"/>
      <c r="BN69" s="387"/>
      <c r="BO69" s="387"/>
      <c r="BP69" s="387"/>
      <c r="BR69" s="387"/>
      <c r="BS69" s="387"/>
      <c r="BT69" s="387"/>
      <c r="BU69" s="387"/>
      <c r="BW69" s="387"/>
      <c r="BX69" s="387"/>
      <c r="BY69" s="387"/>
      <c r="BZ69" s="387"/>
      <c r="CB69" s="387"/>
      <c r="CC69" s="387"/>
      <c r="CD69" s="387"/>
      <c r="CE69" s="387"/>
      <c r="CG69" s="387"/>
      <c r="CH69" s="387"/>
      <c r="CI69" s="387"/>
      <c r="CJ69" s="387"/>
      <c r="CL69" s="387"/>
      <c r="CM69" s="387"/>
      <c r="CN69" s="387"/>
      <c r="CO69" s="387"/>
      <c r="CQ69" s="387"/>
      <c r="CR69" s="387"/>
      <c r="CS69" s="387"/>
      <c r="CT69" s="387"/>
      <c r="CV69" s="387"/>
      <c r="CW69" s="387"/>
      <c r="CX69" s="387"/>
      <c r="CY69" s="387"/>
      <c r="DA69" s="387"/>
      <c r="DB69" s="387"/>
      <c r="DC69" s="387"/>
      <c r="DD69" s="387"/>
      <c r="DF69" s="387"/>
      <c r="DG69" s="387"/>
      <c r="DH69" s="387"/>
      <c r="DI69" s="387"/>
      <c r="DK69" s="387"/>
      <c r="DL69" s="387"/>
      <c r="DM69" s="387"/>
      <c r="DN69" s="387"/>
      <c r="DP69" s="387"/>
      <c r="DQ69" s="387"/>
      <c r="DR69" s="387"/>
      <c r="DS69" s="387"/>
      <c r="DU69" s="387"/>
      <c r="DV69" s="387"/>
      <c r="DW69" s="387"/>
      <c r="DX69" s="387"/>
      <c r="DZ69" s="387"/>
      <c r="EA69" s="387"/>
      <c r="EB69" s="387"/>
      <c r="EC69" s="387"/>
      <c r="EE69" s="387"/>
      <c r="EF69" s="387"/>
      <c r="EG69" s="387"/>
      <c r="EH69" s="387"/>
      <c r="EJ69" s="387"/>
      <c r="EK69" s="387"/>
      <c r="EL69" s="387"/>
      <c r="EM69" s="387"/>
    </row>
    <row r="70" spans="2:144" hidden="1" outlineLevel="1">
      <c r="B70" s="10" t="s">
        <v>232</v>
      </c>
      <c r="D70" s="51"/>
      <c r="E70" s="375"/>
      <c r="F70" s="375"/>
      <c r="G70" s="375"/>
      <c r="H70" s="375"/>
      <c r="I70" s="12">
        <f>SUM(E70:H70)</f>
        <v>0</v>
      </c>
      <c r="J70" s="375"/>
      <c r="K70" s="375"/>
      <c r="L70" s="375"/>
      <c r="M70" s="375"/>
      <c r="N70" s="12">
        <f>SUM(J70:M70)</f>
        <v>0</v>
      </c>
      <c r="O70" s="43">
        <v>4.3550000000000004</v>
      </c>
      <c r="P70" s="43">
        <v>0.64</v>
      </c>
      <c r="Q70" s="43">
        <v>0.98</v>
      </c>
      <c r="R70" s="43">
        <v>0.94799999999999995</v>
      </c>
      <c r="S70" s="12">
        <f>SUM(O70:R70)</f>
        <v>6.923</v>
      </c>
      <c r="T70" s="43">
        <v>3.0910000000000002</v>
      </c>
      <c r="U70" s="43">
        <v>1.375</v>
      </c>
      <c r="V70" s="43">
        <v>0.73599999999999999</v>
      </c>
      <c r="W70" s="43">
        <v>2.71</v>
      </c>
      <c r="X70" s="12">
        <f>SUM(T70:W70)</f>
        <v>7.9119999999999999</v>
      </c>
      <c r="Y70" s="43">
        <v>0.98299999999999998</v>
      </c>
      <c r="Z70" s="43">
        <v>1.06</v>
      </c>
      <c r="AA70" s="43">
        <v>0.98799999999999999</v>
      </c>
      <c r="AB70" s="43">
        <v>0.94699999999999995</v>
      </c>
      <c r="AC70" s="12">
        <f>SUM(Y70:AB70)</f>
        <v>3.9780000000000002</v>
      </c>
      <c r="AD70" s="43">
        <v>0.74099999999999999</v>
      </c>
      <c r="AE70" s="43">
        <v>1.3169999999999999</v>
      </c>
      <c r="AF70" s="43">
        <v>0.76300000000000001</v>
      </c>
      <c r="AG70" s="43">
        <v>0.75</v>
      </c>
      <c r="AH70" s="12">
        <f>SUM(AD70:AG70)</f>
        <v>3.5709999999999997</v>
      </c>
      <c r="AI70" s="43">
        <v>0.33800000000000002</v>
      </c>
      <c r="AJ70" s="43">
        <v>0.32100000000000001</v>
      </c>
      <c r="AK70" s="43">
        <v>0.32100000000000001</v>
      </c>
      <c r="AL70" s="43">
        <v>0.46899999999999997</v>
      </c>
      <c r="AM70" s="12">
        <f>SUM(AI70:AL70)</f>
        <v>1.4489999999999998</v>
      </c>
      <c r="AN70" s="43">
        <v>0.38500000000000001</v>
      </c>
      <c r="AO70" s="43">
        <v>5.6000000000000001E-2</v>
      </c>
      <c r="AP70" s="43">
        <v>0.501</v>
      </c>
      <c r="AQ70" s="43">
        <v>0.35199999999999998</v>
      </c>
      <c r="AR70" s="12">
        <f>SUM(AN70:AQ70)</f>
        <v>1.294</v>
      </c>
      <c r="AS70" s="43">
        <v>0.255</v>
      </c>
      <c r="AT70" s="43">
        <f>0.234+0.087</f>
        <v>0.32100000000000001</v>
      </c>
      <c r="AU70" s="43">
        <v>5.2999999999999999E-2</v>
      </c>
      <c r="AV70" s="43">
        <v>0.10199999999999999</v>
      </c>
      <c r="AW70" s="12">
        <f>SUM(AS70:AV70)</f>
        <v>0.73100000000000009</v>
      </c>
      <c r="AX70" s="375"/>
      <c r="AY70" s="375"/>
      <c r="AZ70" s="375"/>
      <c r="BA70" s="375"/>
      <c r="BB70" s="12"/>
      <c r="BC70" s="387"/>
      <c r="BD70" s="387"/>
      <c r="BE70" s="387"/>
      <c r="BF70" s="387"/>
      <c r="BG70" s="12"/>
      <c r="BH70" s="387"/>
      <c r="BI70" s="387"/>
      <c r="BJ70" s="387"/>
      <c r="BK70" s="387"/>
      <c r="BM70" s="387"/>
      <c r="BN70" s="387"/>
      <c r="BO70" s="387"/>
      <c r="BP70" s="387"/>
      <c r="BR70" s="387"/>
      <c r="BS70" s="387"/>
      <c r="BT70" s="387"/>
      <c r="BU70" s="387"/>
      <c r="BW70" s="387"/>
      <c r="BX70" s="387"/>
      <c r="BY70" s="387"/>
      <c r="BZ70" s="387"/>
      <c r="CB70" s="387"/>
      <c r="CC70" s="387"/>
      <c r="CD70" s="387"/>
      <c r="CE70" s="387"/>
      <c r="CG70" s="387"/>
      <c r="CH70" s="387"/>
      <c r="CI70" s="387"/>
      <c r="CJ70" s="387"/>
      <c r="CL70" s="387"/>
      <c r="CM70" s="387"/>
      <c r="CN70" s="387"/>
      <c r="CO70" s="387"/>
      <c r="CQ70" s="387"/>
      <c r="CR70" s="387"/>
      <c r="CS70" s="387"/>
      <c r="CT70" s="387"/>
      <c r="CV70" s="387"/>
      <c r="CW70" s="387"/>
      <c r="CX70" s="387"/>
      <c r="CY70" s="387"/>
      <c r="DA70" s="387"/>
      <c r="DB70" s="387"/>
      <c r="DC70" s="387"/>
      <c r="DD70" s="387"/>
      <c r="DF70" s="387"/>
      <c r="DG70" s="387"/>
      <c r="DH70" s="387"/>
      <c r="DI70" s="387"/>
      <c r="DK70" s="387"/>
      <c r="DL70" s="387"/>
      <c r="DM70" s="387"/>
      <c r="DN70" s="387"/>
      <c r="DP70" s="387"/>
      <c r="DQ70" s="387"/>
      <c r="DR70" s="387"/>
      <c r="DS70" s="387"/>
      <c r="DU70" s="387"/>
      <c r="DV70" s="387"/>
      <c r="DW70" s="387"/>
      <c r="DX70" s="387"/>
      <c r="DZ70" s="387"/>
      <c r="EA70" s="387"/>
      <c r="EB70" s="387"/>
      <c r="EC70" s="387"/>
      <c r="EE70" s="387"/>
      <c r="EF70" s="387"/>
      <c r="EG70" s="387"/>
      <c r="EH70" s="387"/>
      <c r="EJ70" s="387"/>
      <c r="EK70" s="387"/>
      <c r="EL70" s="387"/>
      <c r="EM70" s="387"/>
    </row>
    <row r="71" spans="2:144" hidden="1" outlineLevel="1">
      <c r="B71" s="10" t="s">
        <v>233</v>
      </c>
      <c r="D71" s="51"/>
      <c r="E71" s="375"/>
      <c r="F71" s="375"/>
      <c r="G71" s="375"/>
      <c r="H71" s="375"/>
      <c r="I71" s="12">
        <f>SUM(E71:H71)</f>
        <v>0</v>
      </c>
      <c r="J71" s="375"/>
      <c r="K71" s="375"/>
      <c r="L71" s="375"/>
      <c r="M71" s="375"/>
      <c r="N71" s="12">
        <f>SUM(J71:M71)</f>
        <v>0</v>
      </c>
      <c r="O71" s="43"/>
      <c r="P71" s="43"/>
      <c r="Q71" s="43"/>
      <c r="R71" s="43"/>
      <c r="S71" s="12">
        <f>SUM(O71:R71)</f>
        <v>0</v>
      </c>
      <c r="T71" s="43"/>
      <c r="U71" s="43"/>
      <c r="V71" s="43"/>
      <c r="W71" s="43"/>
      <c r="X71" s="12">
        <f>SUM(T71:W71)</f>
        <v>0</v>
      </c>
      <c r="Y71" s="43"/>
      <c r="Z71" s="43"/>
      <c r="AA71" s="43"/>
      <c r="AB71" s="43"/>
      <c r="AC71" s="12">
        <f>SUM(Y71:AB71)</f>
        <v>0</v>
      </c>
      <c r="AD71" s="43"/>
      <c r="AE71" s="43"/>
      <c r="AF71" s="43"/>
      <c r="AG71" s="43"/>
      <c r="AH71" s="12">
        <f>SUM(AD71:AG71)</f>
        <v>0</v>
      </c>
      <c r="AI71" s="43"/>
      <c r="AJ71" s="43"/>
      <c r="AK71" s="43"/>
      <c r="AL71" s="43"/>
      <c r="AM71" s="12">
        <f>SUM(AI71:AL71)</f>
        <v>0</v>
      </c>
      <c r="AN71" s="43"/>
      <c r="AO71" s="43"/>
      <c r="AP71" s="43"/>
      <c r="AQ71" s="43">
        <v>1.3069999999999999</v>
      </c>
      <c r="AR71" s="12">
        <f>SUM(AN71:AQ71)</f>
        <v>1.3069999999999999</v>
      </c>
      <c r="AS71" s="43">
        <v>1.845</v>
      </c>
      <c r="AT71" s="43">
        <v>8.6999999999999994E-2</v>
      </c>
      <c r="AU71" s="43"/>
      <c r="AV71" s="43"/>
      <c r="AW71" s="12">
        <f>SUM(AS71:AV71)</f>
        <v>1.9319999999999999</v>
      </c>
      <c r="AX71" s="375"/>
      <c r="AY71" s="375"/>
      <c r="AZ71" s="375"/>
      <c r="BA71" s="375"/>
      <c r="BB71" s="12"/>
      <c r="BC71" s="387"/>
      <c r="BD71" s="387"/>
      <c r="BE71" s="387"/>
      <c r="BF71" s="387"/>
      <c r="BG71" s="12"/>
      <c r="BH71" s="387"/>
      <c r="BI71" s="387"/>
      <c r="BJ71" s="387"/>
      <c r="BK71" s="387"/>
      <c r="BM71" s="387"/>
      <c r="BN71" s="387"/>
      <c r="BO71" s="387"/>
      <c r="BP71" s="387"/>
      <c r="BR71" s="387"/>
      <c r="BS71" s="387"/>
      <c r="BT71" s="387"/>
      <c r="BU71" s="387"/>
      <c r="BW71" s="387"/>
      <c r="BX71" s="387"/>
      <c r="BY71" s="387"/>
      <c r="BZ71" s="387"/>
      <c r="CB71" s="387"/>
      <c r="CC71" s="387"/>
      <c r="CD71" s="387"/>
      <c r="CE71" s="387"/>
      <c r="CG71" s="387"/>
      <c r="CH71" s="387"/>
      <c r="CI71" s="387"/>
      <c r="CJ71" s="387"/>
      <c r="CL71" s="387"/>
      <c r="CM71" s="387"/>
      <c r="CN71" s="387"/>
      <c r="CO71" s="387"/>
      <c r="CQ71" s="387"/>
      <c r="CR71" s="387"/>
      <c r="CS71" s="387"/>
      <c r="CT71" s="387"/>
      <c r="CV71" s="387"/>
      <c r="CW71" s="387"/>
      <c r="CX71" s="387"/>
      <c r="CY71" s="387"/>
      <c r="DA71" s="387"/>
      <c r="DB71" s="387"/>
      <c r="DC71" s="387"/>
      <c r="DD71" s="387"/>
      <c r="DF71" s="387"/>
      <c r="DG71" s="387"/>
      <c r="DH71" s="387"/>
      <c r="DI71" s="387"/>
      <c r="DK71" s="387"/>
      <c r="DL71" s="387"/>
      <c r="DM71" s="387"/>
      <c r="DN71" s="387"/>
      <c r="DP71" s="387"/>
      <c r="DQ71" s="387"/>
      <c r="DR71" s="387"/>
      <c r="DS71" s="387"/>
      <c r="DU71" s="387"/>
      <c r="DV71" s="387"/>
      <c r="DW71" s="387"/>
      <c r="DX71" s="387"/>
      <c r="DZ71" s="387"/>
      <c r="EA71" s="387"/>
      <c r="EB71" s="387"/>
      <c r="EC71" s="387"/>
      <c r="EE71" s="387"/>
      <c r="EF71" s="387"/>
      <c r="EG71" s="387"/>
      <c r="EH71" s="387"/>
      <c r="EJ71" s="387"/>
      <c r="EK71" s="387"/>
      <c r="EL71" s="387"/>
      <c r="EM71" s="387"/>
    </row>
    <row r="72" spans="2:144" hidden="1" outlineLevel="1">
      <c r="B72" s="10"/>
      <c r="D72" s="51"/>
      <c r="E72" s="375"/>
      <c r="F72" s="375"/>
      <c r="G72" s="375"/>
      <c r="H72" s="375"/>
      <c r="I72" s="12"/>
      <c r="J72" s="375"/>
      <c r="K72" s="375"/>
      <c r="L72" s="375"/>
      <c r="M72" s="375"/>
      <c r="N72" s="12"/>
      <c r="O72" s="43"/>
      <c r="P72" s="43"/>
      <c r="Q72" s="43"/>
      <c r="R72" s="43"/>
      <c r="S72" s="12"/>
      <c r="T72" s="43"/>
      <c r="U72" s="43"/>
      <c r="V72" s="43"/>
      <c r="W72" s="43"/>
      <c r="X72" s="12"/>
      <c r="Y72" s="43"/>
      <c r="Z72" s="43"/>
      <c r="AA72" s="43"/>
      <c r="AB72" s="43"/>
      <c r="AC72" s="12"/>
      <c r="AD72" s="43"/>
      <c r="AE72" s="43"/>
      <c r="AF72" s="43"/>
      <c r="AG72" s="43"/>
      <c r="AH72" s="12"/>
      <c r="AI72" s="43"/>
      <c r="AJ72" s="43"/>
      <c r="AK72" s="43"/>
      <c r="AL72" s="43"/>
      <c r="AM72" s="12"/>
      <c r="AN72" s="43"/>
      <c r="AO72" s="43"/>
      <c r="AP72" s="43"/>
      <c r="AQ72" s="43"/>
      <c r="AR72" s="12"/>
      <c r="AS72" s="43"/>
      <c r="AT72" s="43"/>
      <c r="AU72" s="43"/>
      <c r="AV72" s="43"/>
      <c r="AW72" s="12"/>
      <c r="AX72" s="375"/>
      <c r="AY72" s="375"/>
      <c r="AZ72" s="375"/>
      <c r="BA72" s="375"/>
      <c r="BB72" s="12"/>
      <c r="BC72" s="387"/>
      <c r="BD72" s="387"/>
      <c r="BE72" s="387"/>
      <c r="BF72" s="387"/>
      <c r="BG72" s="12"/>
      <c r="BH72" s="387"/>
      <c r="BI72" s="387"/>
      <c r="BJ72" s="387"/>
      <c r="BK72" s="387"/>
      <c r="BL72" s="12"/>
      <c r="BM72" s="387"/>
      <c r="BN72" s="387"/>
      <c r="BO72" s="387"/>
      <c r="BP72" s="387"/>
      <c r="BR72" s="387"/>
      <c r="BS72" s="387"/>
      <c r="BT72" s="387"/>
      <c r="BU72" s="387"/>
      <c r="BW72" s="388"/>
      <c r="BX72" s="387"/>
      <c r="BY72" s="387"/>
      <c r="BZ72" s="387"/>
      <c r="CB72" s="387"/>
      <c r="CC72" s="387"/>
      <c r="CD72" s="387"/>
      <c r="CE72" s="387"/>
      <c r="CG72" s="387"/>
      <c r="CH72" s="387"/>
      <c r="CI72" s="387"/>
      <c r="CJ72" s="387"/>
      <c r="CL72" s="387"/>
      <c r="CM72" s="387"/>
      <c r="CN72" s="387"/>
      <c r="CO72" s="387"/>
      <c r="CQ72" s="387"/>
      <c r="CR72" s="387"/>
      <c r="CS72" s="387"/>
      <c r="CT72" s="387"/>
      <c r="CV72" s="387"/>
      <c r="CW72" s="387"/>
      <c r="CX72" s="387"/>
      <c r="CY72" s="387"/>
      <c r="DA72" s="387"/>
      <c r="DB72" s="387"/>
      <c r="DC72" s="387"/>
      <c r="DD72" s="387"/>
      <c r="DF72" s="387"/>
      <c r="DG72" s="387"/>
      <c r="DH72" s="387"/>
      <c r="DI72" s="387"/>
      <c r="DK72" s="387"/>
      <c r="DL72" s="387"/>
      <c r="DM72" s="387"/>
      <c r="DN72" s="387"/>
      <c r="DP72" s="387"/>
      <c r="DQ72" s="387"/>
      <c r="DR72" s="387"/>
      <c r="DS72" s="387"/>
      <c r="DU72" s="387"/>
      <c r="DV72" s="387"/>
      <c r="DW72" s="387"/>
      <c r="DX72" s="387"/>
      <c r="DZ72" s="387"/>
      <c r="EA72" s="387"/>
      <c r="EB72" s="387"/>
      <c r="EC72" s="387"/>
      <c r="EE72" s="387"/>
      <c r="EF72" s="387"/>
      <c r="EG72" s="387"/>
      <c r="EH72" s="387"/>
      <c r="EJ72" s="387"/>
      <c r="EK72" s="387"/>
      <c r="EL72" s="387"/>
      <c r="EM72" s="387"/>
    </row>
    <row r="73" spans="2:144" hidden="1" outlineLevel="1">
      <c r="B73" s="14" t="s">
        <v>234</v>
      </c>
      <c r="D73" s="51"/>
      <c r="E73" s="375"/>
      <c r="F73" s="375"/>
      <c r="G73" s="375"/>
      <c r="H73" s="375"/>
      <c r="I73" s="12"/>
      <c r="J73" s="375"/>
      <c r="K73" s="375"/>
      <c r="L73" s="375"/>
      <c r="M73" s="375"/>
      <c r="N73" s="12"/>
      <c r="O73" s="43"/>
      <c r="P73" s="43"/>
      <c r="Q73" s="43"/>
      <c r="R73" s="43"/>
      <c r="S73" s="12"/>
      <c r="T73" s="43"/>
      <c r="U73" s="43"/>
      <c r="V73" s="43"/>
      <c r="W73" s="43"/>
      <c r="X73" s="12"/>
      <c r="Y73" s="43"/>
      <c r="Z73" s="43"/>
      <c r="AA73" s="43"/>
      <c r="AB73" s="43"/>
      <c r="AC73" s="12"/>
      <c r="AD73" s="43"/>
      <c r="AE73" s="43"/>
      <c r="AF73" s="43"/>
      <c r="AG73" s="43"/>
      <c r="AH73" s="12"/>
      <c r="AI73" s="43"/>
      <c r="AJ73" s="43"/>
      <c r="AK73" s="43"/>
      <c r="AL73" s="43"/>
      <c r="AM73" s="12"/>
      <c r="AN73" s="43"/>
      <c r="AO73" s="43"/>
      <c r="AP73" s="43"/>
      <c r="AQ73" s="43"/>
      <c r="AR73" s="12"/>
      <c r="AS73" s="43"/>
      <c r="AT73" s="43"/>
      <c r="AU73" s="43"/>
      <c r="AV73" s="43"/>
      <c r="AW73" s="12"/>
      <c r="AX73" s="375"/>
      <c r="AY73" s="375"/>
      <c r="AZ73" s="375"/>
      <c r="BA73" s="375"/>
      <c r="BB73" s="12"/>
      <c r="BC73" s="387"/>
      <c r="BD73" s="387"/>
      <c r="BE73" s="387"/>
      <c r="BF73" s="622"/>
      <c r="BG73" s="12"/>
      <c r="BH73" s="387"/>
      <c r="BI73" s="387"/>
      <c r="BJ73" s="387"/>
      <c r="BK73" s="387"/>
      <c r="BL73" s="12"/>
      <c r="BM73" s="387"/>
      <c r="BN73" s="387"/>
      <c r="BO73" s="387"/>
      <c r="BP73" s="387"/>
      <c r="BR73" s="387"/>
      <c r="BS73" s="387"/>
      <c r="BT73" s="387"/>
      <c r="BU73" s="387"/>
      <c r="BW73" s="388"/>
      <c r="BX73" s="387"/>
      <c r="BY73" s="387"/>
      <c r="BZ73" s="387"/>
      <c r="CB73" s="387"/>
      <c r="CC73" s="387"/>
      <c r="CD73" s="387"/>
      <c r="CE73" s="387"/>
      <c r="CG73" s="387"/>
      <c r="CH73" s="387"/>
      <c r="CI73" s="387"/>
      <c r="CJ73" s="387"/>
      <c r="CL73" s="387"/>
      <c r="CM73" s="387"/>
      <c r="CN73" s="387"/>
      <c r="CO73" s="387"/>
      <c r="CQ73" s="387"/>
      <c r="CR73" s="387"/>
      <c r="CS73" s="387"/>
      <c r="CT73" s="387"/>
      <c r="CV73" s="387"/>
      <c r="CW73" s="387"/>
      <c r="CX73" s="387"/>
      <c r="CY73" s="387"/>
      <c r="DA73" s="387"/>
      <c r="DB73" s="387"/>
      <c r="DC73" s="387"/>
      <c r="DD73" s="387"/>
      <c r="DF73" s="387"/>
      <c r="DG73" s="387"/>
      <c r="DH73" s="387"/>
      <c r="DI73" s="387"/>
      <c r="DK73" s="387"/>
      <c r="DL73" s="387"/>
      <c r="DM73" s="387"/>
      <c r="DN73" s="387"/>
      <c r="DP73" s="387"/>
      <c r="DQ73" s="387"/>
      <c r="DR73" s="387"/>
      <c r="DS73" s="387"/>
      <c r="DU73" s="387"/>
      <c r="DV73" s="387"/>
      <c r="DW73" s="387"/>
      <c r="DX73" s="387"/>
      <c r="DZ73" s="387"/>
      <c r="EA73" s="387"/>
      <c r="EB73" s="387"/>
      <c r="EC73" s="387"/>
      <c r="EE73" s="387"/>
      <c r="EF73" s="387"/>
      <c r="EG73" s="387"/>
      <c r="EH73" s="387"/>
      <c r="EJ73" s="387"/>
      <c r="EK73" s="387"/>
      <c r="EL73" s="387"/>
      <c r="EM73" s="387"/>
    </row>
    <row r="74" spans="2:144" hidden="1" outlineLevel="1">
      <c r="B74" s="10" t="s">
        <v>233</v>
      </c>
      <c r="D74" s="51"/>
      <c r="E74" s="375"/>
      <c r="F74" s="375"/>
      <c r="G74" s="375"/>
      <c r="H74" s="375"/>
      <c r="I74" s="12">
        <f>SUM(E74:H74)</f>
        <v>0</v>
      </c>
      <c r="J74" s="375"/>
      <c r="K74" s="375">
        <v>9.8490000000000002</v>
      </c>
      <c r="L74" s="375">
        <v>2.246</v>
      </c>
      <c r="M74" s="375">
        <v>-9.8789999999999996</v>
      </c>
      <c r="N74" s="12">
        <f>SUM(J74:M74)</f>
        <v>2.2160000000000011</v>
      </c>
      <c r="O74" s="43">
        <v>6.875</v>
      </c>
      <c r="P74" s="43"/>
      <c r="Q74" s="43"/>
      <c r="R74" s="43"/>
      <c r="S74" s="12">
        <f>SUM(O74:R74)</f>
        <v>6.875</v>
      </c>
      <c r="T74" s="43">
        <f>-0.107</f>
        <v>-0.107</v>
      </c>
      <c r="U74" s="43">
        <v>0.378</v>
      </c>
      <c r="V74" s="43">
        <v>2.7E-2</v>
      </c>
      <c r="W74" s="43">
        <v>0.12</v>
      </c>
      <c r="X74" s="12">
        <f>SUM(T74:W74)</f>
        <v>0.41800000000000004</v>
      </c>
      <c r="Y74" s="43">
        <v>6.2E-2</v>
      </c>
      <c r="Z74" s="43">
        <v>4.8029999999999999</v>
      </c>
      <c r="AA74" s="43">
        <v>7.0999999999999994E-2</v>
      </c>
      <c r="AB74" s="43">
        <v>-2.9000000000000001E-2</v>
      </c>
      <c r="AC74" s="12">
        <f>SUM(Y74:AB74)</f>
        <v>4.907</v>
      </c>
      <c r="AD74" s="43"/>
      <c r="AE74" s="43"/>
      <c r="AF74" s="43"/>
      <c r="AG74" s="43"/>
      <c r="AH74" s="12">
        <f>SUM(AD74:AG74)</f>
        <v>0</v>
      </c>
      <c r="AI74" s="43"/>
      <c r="AJ74" s="43"/>
      <c r="AK74" s="43"/>
      <c r="AL74" s="43"/>
      <c r="AM74" s="12">
        <f>SUM(AI74:AL74)</f>
        <v>0</v>
      </c>
      <c r="AN74" s="43"/>
      <c r="AO74" s="43"/>
      <c r="AP74" s="43"/>
      <c r="AQ74" s="43">
        <f>-2.774</f>
        <v>-2.774</v>
      </c>
      <c r="AR74" s="12">
        <f>SUM(AN74:AQ74)</f>
        <v>-2.774</v>
      </c>
      <c r="AS74" s="43">
        <v>9.8000000000000004E-2</v>
      </c>
      <c r="AT74" s="43">
        <f>0.006-2.931</f>
        <v>-2.9250000000000003</v>
      </c>
      <c r="AU74" s="43"/>
      <c r="AV74" s="43"/>
      <c r="AW74" s="12">
        <f>SUM(AS74:AV74)</f>
        <v>-2.8270000000000004</v>
      </c>
      <c r="AX74" s="375"/>
      <c r="AY74" s="375"/>
      <c r="AZ74" s="375"/>
      <c r="BA74" s="375"/>
      <c r="BB74" s="12"/>
      <c r="BC74" s="387"/>
      <c r="BD74" s="387"/>
      <c r="BE74" s="387"/>
      <c r="BF74" s="622"/>
      <c r="BG74" s="12"/>
      <c r="BH74" s="387"/>
      <c r="BI74" s="387"/>
      <c r="BJ74" s="387"/>
      <c r="BK74" s="387"/>
      <c r="BM74" s="387"/>
      <c r="BN74" s="387"/>
      <c r="BO74" s="387"/>
      <c r="BP74" s="387"/>
      <c r="BR74" s="387"/>
      <c r="BS74" s="387"/>
      <c r="BT74" s="387"/>
      <c r="BU74" s="387"/>
      <c r="BW74" s="388"/>
      <c r="BX74" s="387"/>
      <c r="BY74" s="387"/>
      <c r="BZ74" s="387"/>
      <c r="CB74" s="387"/>
      <c r="CC74" s="387"/>
      <c r="CD74" s="387"/>
      <c r="CE74" s="387"/>
      <c r="CG74" s="387"/>
      <c r="CH74" s="387"/>
      <c r="CI74" s="387"/>
      <c r="CJ74" s="387"/>
      <c r="CL74" s="387"/>
      <c r="CM74" s="387"/>
      <c r="CN74" s="387"/>
      <c r="CO74" s="387"/>
      <c r="CQ74" s="387"/>
      <c r="CR74" s="387"/>
      <c r="CS74" s="387"/>
      <c r="CT74" s="387"/>
      <c r="CV74" s="387"/>
      <c r="CW74" s="387"/>
      <c r="CX74" s="387"/>
      <c r="CY74" s="387"/>
      <c r="DA74" s="387"/>
      <c r="DB74" s="387"/>
      <c r="DC74" s="387"/>
      <c r="DD74" s="387"/>
      <c r="DF74" s="387"/>
      <c r="DG74" s="387"/>
      <c r="DH74" s="387"/>
      <c r="DI74" s="387"/>
      <c r="DK74" s="387"/>
      <c r="DL74" s="387"/>
      <c r="DM74" s="387"/>
      <c r="DN74" s="387"/>
      <c r="DP74" s="387"/>
      <c r="DQ74" s="387"/>
      <c r="DR74" s="387"/>
      <c r="DS74" s="387"/>
      <c r="DU74" s="387"/>
      <c r="DV74" s="387"/>
      <c r="DW74" s="387"/>
      <c r="DX74" s="387"/>
      <c r="DZ74" s="387"/>
      <c r="EA74" s="387"/>
      <c r="EB74" s="387"/>
      <c r="EC74" s="387"/>
      <c r="EE74" s="387"/>
      <c r="EF74" s="387"/>
      <c r="EG74" s="387"/>
      <c r="EH74" s="387"/>
      <c r="EJ74" s="387"/>
      <c r="EK74" s="387"/>
      <c r="EL74" s="387"/>
      <c r="EM74" s="387"/>
    </row>
    <row r="75" spans="2:144" hidden="1" outlineLevel="1">
      <c r="B75" s="359" t="s">
        <v>111</v>
      </c>
      <c r="D75" s="51"/>
      <c r="E75" s="375"/>
      <c r="F75" s="375"/>
      <c r="G75" s="375"/>
      <c r="H75" s="375"/>
      <c r="I75" s="12"/>
      <c r="J75" s="375"/>
      <c r="K75" s="375"/>
      <c r="L75" s="375"/>
      <c r="M75" s="375"/>
      <c r="N75" s="12"/>
      <c r="O75" s="43"/>
      <c r="P75" s="43"/>
      <c r="Q75" s="43"/>
      <c r="R75" s="43"/>
      <c r="S75" s="12"/>
      <c r="T75" s="43"/>
      <c r="U75" s="43"/>
      <c r="V75" s="43"/>
      <c r="W75" s="43"/>
      <c r="X75" s="12"/>
      <c r="Y75" s="43"/>
      <c r="Z75" s="43"/>
      <c r="AA75" s="43"/>
      <c r="AB75" s="43"/>
      <c r="AC75" s="12"/>
      <c r="AD75" s="43"/>
      <c r="AE75" s="43"/>
      <c r="AF75" s="43"/>
      <c r="AG75" s="43"/>
      <c r="AH75" s="12"/>
      <c r="AI75" s="43"/>
      <c r="AJ75" s="43"/>
      <c r="AK75" s="43"/>
      <c r="AL75" s="43"/>
      <c r="AM75" s="12"/>
      <c r="AN75" s="43"/>
      <c r="AO75" s="43"/>
      <c r="AP75" s="43"/>
      <c r="AQ75" s="43"/>
      <c r="AR75" s="12"/>
      <c r="AS75" s="43"/>
      <c r="AT75" s="43"/>
      <c r="AU75" s="43"/>
      <c r="AV75" s="43"/>
      <c r="AW75" s="12"/>
      <c r="AX75" s="375"/>
      <c r="AY75" s="375"/>
      <c r="AZ75" s="375"/>
      <c r="BA75" s="375"/>
      <c r="BB75" s="12"/>
      <c r="BC75" s="387"/>
      <c r="BD75" s="387"/>
      <c r="BE75" s="387"/>
      <c r="BF75" s="721">
        <v>80</v>
      </c>
      <c r="BG75" s="12"/>
      <c r="BH75" s="387"/>
      <c r="BI75" s="387"/>
      <c r="BJ75" s="387"/>
      <c r="BK75" s="387"/>
      <c r="BM75" s="387"/>
      <c r="BN75" s="387"/>
      <c r="BO75" s="387"/>
      <c r="BP75" s="387"/>
      <c r="BR75" s="387"/>
      <c r="BS75" s="387"/>
      <c r="BT75" s="387"/>
      <c r="BU75" s="387"/>
      <c r="BV75" s="12"/>
      <c r="BW75" s="388"/>
      <c r="BX75" s="387"/>
      <c r="BY75" s="387"/>
      <c r="BZ75" s="387"/>
      <c r="CB75" s="387"/>
      <c r="CC75" s="387"/>
      <c r="CD75" s="387"/>
      <c r="CE75" s="387"/>
      <c r="CG75" s="387"/>
      <c r="CH75" s="387"/>
      <c r="CI75" s="387"/>
      <c r="CJ75" s="387"/>
      <c r="CL75" s="387"/>
      <c r="CM75" s="387"/>
      <c r="CN75" s="387"/>
      <c r="CO75" s="387"/>
      <c r="CQ75" s="387"/>
      <c r="CR75" s="387"/>
      <c r="CS75" s="387"/>
      <c r="CT75" s="387"/>
      <c r="CV75" s="387"/>
      <c r="CW75" s="387"/>
      <c r="CX75" s="387"/>
      <c r="CY75" s="387"/>
      <c r="DA75" s="387"/>
      <c r="DB75" s="387"/>
      <c r="DC75" s="387"/>
      <c r="DD75" s="387"/>
      <c r="DF75" s="387"/>
      <c r="DG75" s="387"/>
      <c r="DH75" s="387"/>
      <c r="DI75" s="387"/>
      <c r="DK75" s="387"/>
      <c r="DL75" s="387"/>
      <c r="DM75" s="387"/>
      <c r="DN75" s="387"/>
      <c r="DP75" s="387"/>
      <c r="DQ75" s="387"/>
      <c r="DR75" s="387"/>
      <c r="DS75" s="387"/>
      <c r="DU75" s="387"/>
      <c r="DV75" s="387"/>
      <c r="DW75" s="387"/>
      <c r="DX75" s="387"/>
      <c r="DZ75" s="387"/>
      <c r="EA75" s="387"/>
      <c r="EB75" s="387"/>
      <c r="EC75" s="387"/>
      <c r="EE75" s="387"/>
      <c r="EF75" s="387"/>
      <c r="EG75" s="387"/>
      <c r="EH75" s="387"/>
      <c r="EJ75" s="387"/>
      <c r="EK75" s="387"/>
      <c r="EL75" s="387"/>
      <c r="EM75" s="387"/>
    </row>
    <row r="76" spans="2:144" hidden="1" outlineLevel="1">
      <c r="D76" s="51"/>
      <c r="E76" s="375"/>
      <c r="F76" s="375"/>
      <c r="G76" s="375"/>
      <c r="H76" s="375"/>
      <c r="J76" s="375"/>
      <c r="K76" s="375"/>
      <c r="L76" s="375"/>
      <c r="M76" s="375"/>
      <c r="O76" s="43"/>
      <c r="P76" s="43"/>
      <c r="Q76" s="43"/>
      <c r="R76" s="43"/>
      <c r="T76" s="43"/>
      <c r="U76" s="43"/>
      <c r="V76" s="43"/>
      <c r="W76" s="43"/>
      <c r="Y76" s="43"/>
      <c r="Z76" s="43"/>
      <c r="AA76" s="43"/>
      <c r="AB76" s="43"/>
      <c r="AD76" s="43"/>
      <c r="AE76" s="43"/>
      <c r="AF76" s="43"/>
      <c r="AG76" s="43"/>
      <c r="AI76" s="43"/>
      <c r="AJ76" s="43"/>
      <c r="AK76" s="43"/>
      <c r="AL76" s="43"/>
      <c r="AN76" s="43"/>
      <c r="AO76" s="43"/>
      <c r="AP76" s="43"/>
      <c r="AQ76" s="43"/>
      <c r="AS76" s="43"/>
      <c r="AT76" s="43"/>
      <c r="AU76" s="43"/>
      <c r="AV76" s="43"/>
      <c r="AX76" s="375"/>
      <c r="AY76" s="375"/>
      <c r="AZ76" s="375"/>
      <c r="BA76" s="375"/>
      <c r="BC76" s="387"/>
      <c r="BD76" s="387"/>
      <c r="BE76" s="387"/>
      <c r="BF76" s="622"/>
      <c r="BH76" s="387"/>
      <c r="BI76" s="387"/>
      <c r="BJ76" s="387"/>
      <c r="BK76" s="387"/>
      <c r="BM76" s="387"/>
      <c r="BN76" s="387"/>
      <c r="BO76" s="387"/>
      <c r="BP76" s="387"/>
      <c r="BQ76" s="115"/>
      <c r="BR76" s="387"/>
      <c r="BS76" s="387"/>
      <c r="BT76" s="387"/>
      <c r="BU76" s="387"/>
      <c r="BV76" s="12"/>
      <c r="BW76" s="387"/>
      <c r="BX76" s="387"/>
      <c r="BY76" s="387"/>
      <c r="BZ76" s="387"/>
      <c r="CB76" s="387"/>
      <c r="CC76" s="387"/>
      <c r="CD76" s="387"/>
      <c r="CE76" s="387"/>
      <c r="CG76" s="387"/>
      <c r="CH76" s="387"/>
      <c r="CI76" s="387"/>
      <c r="CJ76" s="387"/>
      <c r="CL76" s="387"/>
      <c r="CM76" s="387"/>
      <c r="CN76" s="387"/>
      <c r="CO76" s="387"/>
      <c r="CQ76" s="387"/>
      <c r="CR76" s="387"/>
      <c r="CS76" s="387"/>
      <c r="CT76" s="387"/>
      <c r="CV76" s="387"/>
      <c r="CW76" s="387"/>
      <c r="CX76" s="387"/>
      <c r="CY76" s="387"/>
      <c r="DA76" s="387"/>
      <c r="DB76" s="387"/>
      <c r="DC76" s="387"/>
      <c r="DD76" s="387"/>
      <c r="DF76" s="387"/>
      <c r="DG76" s="387"/>
      <c r="DH76" s="387"/>
      <c r="DI76" s="387"/>
      <c r="DK76" s="387"/>
      <c r="DL76" s="387"/>
      <c r="DM76" s="387"/>
      <c r="DN76" s="387"/>
      <c r="DP76" s="387"/>
      <c r="DQ76" s="387"/>
      <c r="DR76" s="387"/>
      <c r="DS76" s="387"/>
      <c r="DU76" s="387"/>
      <c r="DV76" s="387"/>
      <c r="DW76" s="387"/>
      <c r="DX76" s="387"/>
      <c r="DZ76" s="387"/>
      <c r="EA76" s="387"/>
      <c r="EB76" s="387"/>
      <c r="EC76" s="387"/>
      <c r="EE76" s="387"/>
      <c r="EF76" s="387"/>
      <c r="EG76" s="387"/>
      <c r="EH76" s="387"/>
      <c r="EJ76" s="387"/>
      <c r="EK76" s="387"/>
      <c r="EL76" s="387"/>
      <c r="EM76" s="387"/>
    </row>
    <row r="77" spans="2:144" hidden="1" outlineLevel="1">
      <c r="B77" s="497" t="s">
        <v>1017</v>
      </c>
      <c r="D77" s="51"/>
      <c r="E77" s="375"/>
      <c r="F77" s="375"/>
      <c r="G77" s="375"/>
      <c r="H77" s="375"/>
      <c r="J77" s="375"/>
      <c r="K77" s="375"/>
      <c r="L77" s="375"/>
      <c r="M77" s="375"/>
      <c r="O77" s="43"/>
      <c r="P77" s="43"/>
      <c r="Q77" s="43"/>
      <c r="R77" s="43"/>
      <c r="T77" s="43"/>
      <c r="U77" s="43"/>
      <c r="V77" s="43"/>
      <c r="W77" s="43"/>
      <c r="Y77" s="43"/>
      <c r="Z77" s="43"/>
      <c r="AA77" s="43"/>
      <c r="AB77" s="43"/>
      <c r="AD77" s="43"/>
      <c r="AE77" s="43"/>
      <c r="AF77" s="43"/>
      <c r="AG77" s="43"/>
      <c r="AI77" s="43"/>
      <c r="AJ77" s="43"/>
      <c r="AK77" s="43"/>
      <c r="AL77" s="43"/>
      <c r="AN77" s="43"/>
      <c r="AO77" s="43"/>
      <c r="AP77" s="43"/>
      <c r="AQ77" s="43"/>
      <c r="AS77" s="43"/>
      <c r="AT77" s="43"/>
      <c r="AU77" s="43"/>
      <c r="AV77" s="43"/>
      <c r="AX77" s="375"/>
      <c r="AY77" s="375"/>
      <c r="AZ77" s="375"/>
      <c r="BA77" s="375"/>
      <c r="BC77" s="387"/>
      <c r="BD77" s="387"/>
      <c r="BE77" s="387"/>
      <c r="BF77" s="622"/>
      <c r="BH77" s="387"/>
      <c r="BI77" s="387"/>
      <c r="BJ77" s="387"/>
      <c r="BK77" s="387"/>
      <c r="BM77" s="387"/>
      <c r="BN77" s="387"/>
      <c r="BO77" s="387"/>
      <c r="BP77" s="387"/>
      <c r="BQ77" s="115"/>
      <c r="BR77" s="387"/>
      <c r="BS77" s="387"/>
      <c r="BT77" s="387"/>
      <c r="BU77" s="387"/>
      <c r="BV77" s="12"/>
      <c r="BW77" s="387"/>
      <c r="BX77" s="387"/>
      <c r="BY77" s="387"/>
      <c r="BZ77" s="387"/>
      <c r="CB77" s="387"/>
      <c r="CC77" s="387"/>
      <c r="CD77" s="387"/>
      <c r="CE77" s="387"/>
      <c r="CG77" s="387"/>
      <c r="CH77" s="387"/>
      <c r="CI77" s="387"/>
      <c r="CJ77" s="387"/>
      <c r="CL77" s="387"/>
      <c r="CM77" s="387"/>
      <c r="CN77" s="387"/>
      <c r="CO77" s="387"/>
      <c r="CQ77" s="387"/>
      <c r="CR77" s="387"/>
      <c r="CS77" s="387"/>
      <c r="CT77" s="387"/>
      <c r="CV77" s="387"/>
      <c r="CW77" s="387"/>
      <c r="CX77" s="387"/>
      <c r="CY77" s="387"/>
      <c r="DA77" s="387"/>
      <c r="DB77" s="387"/>
      <c r="DC77" s="387"/>
      <c r="DD77" s="387"/>
      <c r="DF77" s="387"/>
      <c r="DG77" s="387"/>
      <c r="DH77" s="387"/>
      <c r="DI77" s="387"/>
      <c r="DK77" s="387"/>
      <c r="DL77" s="387"/>
      <c r="DM77" s="387"/>
      <c r="DN77" s="387"/>
      <c r="DP77" s="387"/>
      <c r="DQ77" s="387"/>
      <c r="DR77" s="387"/>
      <c r="DS77" s="387"/>
      <c r="DU77" s="387"/>
      <c r="DV77" s="387"/>
      <c r="DW77" s="387"/>
      <c r="DX77" s="387"/>
      <c r="DZ77" s="387"/>
      <c r="EA77" s="387"/>
      <c r="EB77" s="387"/>
      <c r="EC77" s="387"/>
      <c r="EE77" s="387"/>
      <c r="EF77" s="387"/>
      <c r="EG77" s="387"/>
      <c r="EH77" s="387"/>
      <c r="EJ77" s="387"/>
      <c r="EK77" s="387"/>
      <c r="EL77" s="387"/>
      <c r="EM77" s="387"/>
    </row>
    <row r="78" spans="2:144" hidden="1" outlineLevel="1">
      <c r="B78" s="359" t="s">
        <v>1018</v>
      </c>
      <c r="D78" s="51"/>
      <c r="E78" s="375"/>
      <c r="F78" s="375"/>
      <c r="G78" s="375"/>
      <c r="H78" s="375"/>
      <c r="J78" s="375"/>
      <c r="K78" s="375"/>
      <c r="L78" s="375"/>
      <c r="M78" s="375"/>
      <c r="O78" s="43"/>
      <c r="P78" s="43"/>
      <c r="Q78" s="43"/>
      <c r="R78" s="43"/>
      <c r="T78" s="43"/>
      <c r="U78" s="43"/>
      <c r="V78" s="43"/>
      <c r="W78" s="43"/>
      <c r="Y78" s="43"/>
      <c r="Z78" s="43"/>
      <c r="AA78" s="43"/>
      <c r="AB78" s="43"/>
      <c r="AD78" s="43"/>
      <c r="AE78" s="43"/>
      <c r="AF78" s="43"/>
      <c r="AG78" s="43"/>
      <c r="AI78" s="43"/>
      <c r="AJ78" s="43"/>
      <c r="AK78" s="43"/>
      <c r="AL78" s="43"/>
      <c r="AN78" s="43"/>
      <c r="AO78" s="43"/>
      <c r="AP78" s="43"/>
      <c r="AQ78" s="43"/>
      <c r="AS78" s="43"/>
      <c r="AT78" s="43"/>
      <c r="AU78" s="43"/>
      <c r="AV78" s="43"/>
      <c r="AX78" s="375"/>
      <c r="AY78" s="375"/>
      <c r="AZ78" s="375"/>
      <c r="BA78" s="375"/>
      <c r="BC78" s="387"/>
      <c r="BD78" s="387"/>
      <c r="BE78" s="387"/>
      <c r="BF78" s="622"/>
      <c r="BH78" s="387"/>
      <c r="BI78" s="387"/>
      <c r="BJ78" s="387"/>
      <c r="BK78" s="387"/>
      <c r="BM78" s="387"/>
      <c r="BN78" s="387"/>
      <c r="BO78" s="387"/>
      <c r="BP78" s="387"/>
      <c r="BQ78" s="115"/>
      <c r="BR78" s="387"/>
      <c r="BS78" s="387"/>
      <c r="BT78" s="387"/>
      <c r="BU78" s="728">
        <v>272.2</v>
      </c>
      <c r="BV78" s="12">
        <f>SUM(BR78:BU78)</f>
        <v>272.2</v>
      </c>
      <c r="BW78" s="387"/>
      <c r="BX78" s="387"/>
      <c r="BY78" s="387"/>
      <c r="BZ78" s="387"/>
      <c r="CB78" s="387"/>
      <c r="CC78" s="387"/>
      <c r="CD78" s="387"/>
      <c r="CE78" s="387"/>
      <c r="CG78" s="387"/>
      <c r="CH78" s="387"/>
      <c r="CI78" s="387"/>
      <c r="CJ78" s="387"/>
      <c r="CL78" s="387"/>
      <c r="CM78" s="387"/>
      <c r="CN78" s="387"/>
      <c r="CO78" s="387"/>
      <c r="CQ78" s="387"/>
      <c r="CR78" s="387"/>
      <c r="CS78" s="387"/>
      <c r="CT78" s="387"/>
      <c r="CV78" s="387"/>
      <c r="CW78" s="387"/>
      <c r="CX78" s="387"/>
      <c r="CY78" s="387"/>
      <c r="DA78" s="387"/>
      <c r="DB78" s="387"/>
      <c r="DC78" s="387"/>
      <c r="DD78" s="387"/>
      <c r="DF78" s="387"/>
      <c r="DG78" s="387"/>
      <c r="DH78" s="387"/>
      <c r="DI78" s="387"/>
      <c r="DK78" s="387"/>
      <c r="DL78" s="387"/>
      <c r="DM78" s="387"/>
      <c r="DN78" s="387"/>
      <c r="DP78" s="387"/>
      <c r="DQ78" s="387"/>
      <c r="DR78" s="387"/>
      <c r="DS78" s="387"/>
      <c r="DU78" s="387"/>
      <c r="DV78" s="387"/>
      <c r="DW78" s="387"/>
      <c r="DX78" s="387"/>
      <c r="DZ78" s="387"/>
      <c r="EA78" s="387"/>
      <c r="EB78" s="387"/>
      <c r="EC78" s="387"/>
      <c r="EE78" s="387"/>
      <c r="EF78" s="387"/>
      <c r="EG78" s="387"/>
      <c r="EH78" s="387"/>
      <c r="EJ78" s="387"/>
      <c r="EK78" s="387"/>
      <c r="EL78" s="387"/>
      <c r="EM78" s="387"/>
    </row>
    <row r="79" spans="2:144" hidden="1" outlineLevel="1">
      <c r="D79" s="51"/>
      <c r="E79" s="375"/>
      <c r="F79" s="375"/>
      <c r="G79" s="375"/>
      <c r="H79" s="375"/>
      <c r="J79" s="375"/>
      <c r="K79" s="375"/>
      <c r="L79" s="375"/>
      <c r="M79" s="375"/>
      <c r="O79" s="43"/>
      <c r="P79" s="43"/>
      <c r="Q79" s="43"/>
      <c r="R79" s="43"/>
      <c r="T79" s="43"/>
      <c r="U79" s="43"/>
      <c r="V79" s="43"/>
      <c r="W79" s="43"/>
      <c r="Y79" s="43"/>
      <c r="Z79" s="43"/>
      <c r="AA79" s="43"/>
      <c r="AB79" s="43"/>
      <c r="AD79" s="43"/>
      <c r="AE79" s="43"/>
      <c r="AF79" s="43"/>
      <c r="AG79" s="43"/>
      <c r="AI79" s="43"/>
      <c r="AJ79" s="43"/>
      <c r="AK79" s="43"/>
      <c r="AL79" s="43"/>
      <c r="AN79" s="43"/>
      <c r="AO79" s="43"/>
      <c r="AP79" s="43"/>
      <c r="AQ79" s="43"/>
      <c r="AS79" s="43"/>
      <c r="AT79" s="43"/>
      <c r="AU79" s="43"/>
      <c r="AV79" s="43"/>
      <c r="AX79" s="375"/>
      <c r="AY79" s="375"/>
      <c r="AZ79" s="375"/>
      <c r="BA79" s="375"/>
      <c r="BC79" s="387"/>
      <c r="BD79" s="387"/>
      <c r="BE79" s="387"/>
      <c r="BF79" s="622"/>
      <c r="BH79" s="387"/>
      <c r="BI79" s="387"/>
      <c r="BJ79" s="387"/>
      <c r="BK79" s="387"/>
      <c r="BM79" s="387"/>
      <c r="BN79" s="387"/>
      <c r="BO79" s="387"/>
      <c r="BP79" s="387"/>
      <c r="BQ79" s="115"/>
      <c r="BR79" s="387"/>
      <c r="BS79" s="387"/>
      <c r="BT79" s="387"/>
      <c r="BU79" s="387"/>
      <c r="BV79" s="12"/>
      <c r="BW79" s="387"/>
      <c r="BX79" s="387"/>
      <c r="BY79" s="387"/>
      <c r="BZ79" s="375"/>
      <c r="CB79" s="387"/>
      <c r="CC79" s="387"/>
      <c r="CD79" s="387"/>
      <c r="CE79" s="387"/>
      <c r="CG79" s="387"/>
      <c r="CH79" s="387"/>
      <c r="CI79" s="387"/>
      <c r="CJ79" s="387"/>
      <c r="CL79" s="387"/>
      <c r="CM79" s="387"/>
      <c r="CN79" s="387"/>
      <c r="CO79" s="387"/>
      <c r="CQ79" s="387"/>
      <c r="CR79" s="387"/>
      <c r="CS79" s="387"/>
      <c r="CT79" s="387"/>
      <c r="CV79" s="387"/>
      <c r="CW79" s="387"/>
      <c r="CX79" s="387"/>
      <c r="CY79" s="387"/>
      <c r="DA79" s="387"/>
      <c r="DB79" s="387"/>
      <c r="DC79" s="387"/>
      <c r="DD79" s="387"/>
      <c r="DF79" s="387"/>
      <c r="DG79" s="387"/>
      <c r="DH79" s="387"/>
      <c r="DI79" s="387"/>
      <c r="DK79" s="387"/>
      <c r="DL79" s="387"/>
      <c r="DM79" s="387"/>
      <c r="DN79" s="387"/>
      <c r="DP79" s="387"/>
      <c r="DQ79" s="387"/>
      <c r="DR79" s="387"/>
      <c r="DS79" s="387"/>
      <c r="DU79" s="387"/>
      <c r="DV79" s="387"/>
      <c r="DW79" s="387"/>
      <c r="DX79" s="387"/>
      <c r="DZ79" s="387"/>
      <c r="EA79" s="387"/>
      <c r="EB79" s="387"/>
      <c r="EC79" s="387"/>
      <c r="EE79" s="387"/>
      <c r="EF79" s="387"/>
      <c r="EG79" s="387"/>
      <c r="EH79" s="387"/>
      <c r="EJ79" s="387"/>
      <c r="EK79" s="387"/>
      <c r="EL79" s="387"/>
      <c r="EM79" s="387"/>
    </row>
    <row r="80" spans="2:144" hidden="1" outlineLevel="1">
      <c r="B80" t="s">
        <v>208</v>
      </c>
      <c r="D80" s="51"/>
      <c r="E80" s="375"/>
      <c r="F80" s="375"/>
      <c r="G80" s="375"/>
      <c r="H80" s="375"/>
      <c r="I80" s="12">
        <f>SUM(E80:H80)</f>
        <v>0</v>
      </c>
      <c r="J80" s="375"/>
      <c r="K80" s="375">
        <f>-0.027</f>
        <v>-2.7E-2</v>
      </c>
      <c r="L80" s="375">
        <v>-4.7E-2</v>
      </c>
      <c r="M80" s="375">
        <v>5.0179999999999998</v>
      </c>
      <c r="N80" s="12">
        <f>SUM(J80:M80)</f>
        <v>4.944</v>
      </c>
      <c r="O80" s="43">
        <v>-41.588999999999999</v>
      </c>
      <c r="P80" s="43">
        <v>18.073</v>
      </c>
      <c r="Q80" s="43">
        <v>8.8989999999999991</v>
      </c>
      <c r="R80" s="43">
        <v>3.5150000000000001</v>
      </c>
      <c r="S80" s="12">
        <f>SUM(O80:R80)</f>
        <v>-11.101999999999999</v>
      </c>
      <c r="T80" s="43">
        <f>-2.3</f>
        <v>-2.2999999999999998</v>
      </c>
      <c r="U80" s="43">
        <f>8.211</f>
        <v>8.2110000000000003</v>
      </c>
      <c r="V80" s="43">
        <v>13.167</v>
      </c>
      <c r="W80" s="43">
        <v>29.009</v>
      </c>
      <c r="X80" s="12">
        <f>SUM(T80:W80)</f>
        <v>48.087000000000003</v>
      </c>
      <c r="Y80" s="43">
        <v>15.388</v>
      </c>
      <c r="Z80" s="43">
        <v>35.277000000000001</v>
      </c>
      <c r="AA80" s="43">
        <v>26.196999999999999</v>
      </c>
      <c r="AB80" s="43">
        <v>37.529000000000003</v>
      </c>
      <c r="AC80" s="12">
        <f>SUM(Y80:AB80)</f>
        <v>114.39099999999999</v>
      </c>
      <c r="AD80" s="43">
        <v>-18.042999999999999</v>
      </c>
      <c r="AE80" s="43">
        <v>-15.510999999999999</v>
      </c>
      <c r="AF80" s="43">
        <f>-16.638</f>
        <v>-16.638000000000002</v>
      </c>
      <c r="AG80" s="43">
        <v>-13.367000000000001</v>
      </c>
      <c r="AH80" s="12">
        <f>SUM(AD80:AG80)</f>
        <v>-63.559000000000012</v>
      </c>
      <c r="AI80" s="43">
        <v>-12.891999999999999</v>
      </c>
      <c r="AJ80" s="43">
        <f>-19.112</f>
        <v>-19.111999999999998</v>
      </c>
      <c r="AK80" s="43">
        <f>-13.115</f>
        <v>-13.115</v>
      </c>
      <c r="AL80" s="43">
        <v>-18.853999999999999</v>
      </c>
      <c r="AM80" s="12">
        <f>SUM(AI80:AL80)</f>
        <v>-63.972999999999999</v>
      </c>
      <c r="AN80" s="43">
        <v>-29.213000000000001</v>
      </c>
      <c r="AO80" s="43">
        <v>-54.13</v>
      </c>
      <c r="AP80" s="43">
        <f>-30.379</f>
        <v>-30.379000000000001</v>
      </c>
      <c r="AQ80" s="43">
        <v>-61.83</v>
      </c>
      <c r="AR80" s="12">
        <f>SUM(AN80:AQ80)</f>
        <v>-175.55200000000002</v>
      </c>
      <c r="AS80" s="43">
        <v>-62.36</v>
      </c>
      <c r="AT80" s="43">
        <v>-58.66</v>
      </c>
      <c r="AU80" s="43">
        <v>-56.454999999999998</v>
      </c>
      <c r="AV80" s="43">
        <f>-115.898</f>
        <v>-115.898</v>
      </c>
      <c r="AW80" s="12">
        <f>SUM(AS80:AV80)</f>
        <v>-293.37299999999999</v>
      </c>
      <c r="AX80" s="375">
        <v>-23.26</v>
      </c>
      <c r="AY80" s="375">
        <v>-34.295999999999999</v>
      </c>
      <c r="AZ80" s="375">
        <v>-58.566000000000003</v>
      </c>
      <c r="BA80" s="375">
        <v>-82.521000000000001</v>
      </c>
      <c r="BB80" s="12">
        <f>SUM(AX80:BA80)</f>
        <v>-198.643</v>
      </c>
      <c r="BC80" s="387">
        <v>-53.4</v>
      </c>
      <c r="BD80" s="388">
        <v>-55</v>
      </c>
      <c r="BE80" s="387">
        <v>-65.7</v>
      </c>
      <c r="BF80" s="622">
        <v>-128.19999999999999</v>
      </c>
      <c r="BG80" s="12">
        <f>SUM(BC80:BF80)</f>
        <v>-302.3</v>
      </c>
      <c r="BH80" s="391">
        <v>-87.5</v>
      </c>
      <c r="BI80" s="391">
        <v>-33.5</v>
      </c>
      <c r="BJ80" s="391">
        <v>-87.3</v>
      </c>
      <c r="BK80" s="391">
        <v>-55.4</v>
      </c>
      <c r="BL80" s="12">
        <f>SUM(BH80:BK80)</f>
        <v>-263.7</v>
      </c>
      <c r="BM80" s="391">
        <v>-58.3</v>
      </c>
      <c r="BN80" s="391">
        <v>-89</v>
      </c>
      <c r="BO80" s="391">
        <v>-146.19999999999999</v>
      </c>
      <c r="BP80" s="391">
        <v>16.399999999999999</v>
      </c>
      <c r="BQ80" s="12">
        <f>SUM(BM80:BP80)</f>
        <v>-277.10000000000002</v>
      </c>
      <c r="BR80" s="391">
        <v>-90.9</v>
      </c>
      <c r="BS80" s="391">
        <v>-126.7</v>
      </c>
      <c r="BT80" s="391">
        <v>-144.6</v>
      </c>
      <c r="BU80" s="391">
        <f>-(73.6+75.9)</f>
        <v>-149.5</v>
      </c>
      <c r="BV80" s="12">
        <f>SUM(BR80:BU80)</f>
        <v>-511.70000000000005</v>
      </c>
      <c r="BW80" s="391">
        <f>-(111+75)</f>
        <v>-186</v>
      </c>
      <c r="BX80" s="391">
        <f>-(127+95)</f>
        <v>-222</v>
      </c>
      <c r="BY80" s="391">
        <f>-149-156</f>
        <v>-305</v>
      </c>
      <c r="BZ80" s="391">
        <f>-299+1252</f>
        <v>953</v>
      </c>
      <c r="CA80" s="12">
        <f>SUM(BW80:BZ80)</f>
        <v>240</v>
      </c>
      <c r="CB80" s="388">
        <f t="shared" ref="CB80:CE80" si="51">-(CB66+CB63+CB61+CB56+CB55+CB50)*CB81</f>
        <v>57.052302631578947</v>
      </c>
      <c r="CC80" s="388">
        <f t="shared" si="51"/>
        <v>59.405921052631584</v>
      </c>
      <c r="CD80" s="388">
        <f t="shared" si="51"/>
        <v>61.944695723684205</v>
      </c>
      <c r="CE80" s="388">
        <f t="shared" si="51"/>
        <v>56.201027960526325</v>
      </c>
      <c r="CF80" s="12">
        <f>-(CF66+CF63+CF61+CF56+CF55+CF50)*CF81</f>
        <v>234.60394736842107</v>
      </c>
      <c r="CG80" s="387"/>
      <c r="CH80" s="387"/>
      <c r="CI80" s="387"/>
      <c r="CJ80" s="387"/>
      <c r="CK80" s="12">
        <f>-(CK66+CK63+CK61+CK56+CK55+CK50)*CK81</f>
        <v>240.60588157894736</v>
      </c>
      <c r="CL80" s="387"/>
      <c r="CM80" s="387"/>
      <c r="CN80" s="387"/>
      <c r="CO80" s="387"/>
      <c r="CP80" s="12">
        <f>-(CP66+CP63+CP61+CP56+CP55+CP50)*CP81</f>
        <v>243.52575572368423</v>
      </c>
      <c r="CQ80" s="387"/>
      <c r="CR80" s="387"/>
      <c r="CS80" s="387"/>
      <c r="CT80" s="387"/>
      <c r="CU80" s="12">
        <f>-(CU66+CU63+CU61+CU56+CU55+CU50)*CU81</f>
        <v>245.19105430164475</v>
      </c>
      <c r="CV80" s="387"/>
      <c r="CW80" s="387"/>
      <c r="CX80" s="387"/>
      <c r="CY80" s="387"/>
      <c r="CZ80" s="12">
        <f>-(CZ66+CZ63+CZ61+CZ56+CZ55+CZ50)*CZ81</f>
        <v>246.98990841606414</v>
      </c>
      <c r="DA80" s="387"/>
      <c r="DB80" s="387"/>
      <c r="DC80" s="387"/>
      <c r="DD80" s="387"/>
      <c r="DE80" s="12">
        <f>-(DE66+DE63+DE61+DE56+DE55+DE50)*DE81</f>
        <v>248.92992046699138</v>
      </c>
      <c r="DF80" s="387"/>
      <c r="DG80" s="387"/>
      <c r="DH80" s="387"/>
      <c r="DI80" s="387"/>
      <c r="DJ80" s="12">
        <f>-(DJ66+DJ63+DJ61+DJ56+DJ55+DJ50)*DJ81</f>
        <v>251.019471967952</v>
      </c>
      <c r="DK80" s="387"/>
      <c r="DL80" s="387"/>
      <c r="DM80" s="387"/>
      <c r="DN80" s="387"/>
      <c r="DO80" s="12">
        <f>-(DO66+DO63+DO61+DO56+DO55+DO50)*DO81</f>
        <v>223.66253647908732</v>
      </c>
      <c r="DP80" s="387"/>
      <c r="DQ80" s="387"/>
      <c r="DR80" s="387"/>
      <c r="DS80" s="387"/>
      <c r="DT80" s="12">
        <f>-(DT66+DT63+DT61+DT56+DT55+DT50)*DT81</f>
        <v>226.07981595363506</v>
      </c>
      <c r="DU80" s="387"/>
      <c r="DV80" s="387"/>
      <c r="DW80" s="387"/>
      <c r="DX80" s="387"/>
      <c r="DY80" s="12">
        <f>-(DY66+DY63+DY61+DY56+DY55+DY50)*DY81</f>
        <v>228.67725389109543</v>
      </c>
      <c r="DZ80" s="387"/>
      <c r="EA80" s="387"/>
      <c r="EB80" s="387"/>
      <c r="EC80" s="387"/>
      <c r="ED80" s="12">
        <f>-(ED66+ED63+ED61+ED56+ED55+ED50)*ED81</f>
        <v>231.46718929293056</v>
      </c>
      <c r="EE80" s="387"/>
      <c r="EF80" s="387"/>
      <c r="EG80" s="387"/>
      <c r="EH80" s="387"/>
      <c r="EI80" s="12">
        <f>-(EI66+EI63+EI61+EI56+EI55+EI50)*EI81</f>
        <v>87.835591054262025</v>
      </c>
      <c r="EJ80" s="387"/>
      <c r="EK80" s="387"/>
      <c r="EL80" s="387"/>
      <c r="EM80" s="387"/>
      <c r="EN80" s="12">
        <f>-(EN66+EN63+EN61+EN56+EN55+EN50)*EN81</f>
        <v>86.791711307293752</v>
      </c>
    </row>
    <row r="81" spans="1:154" hidden="1" outlineLevel="1">
      <c r="D81" s="51"/>
      <c r="E81" s="375"/>
      <c r="F81" s="375"/>
      <c r="G81" s="375"/>
      <c r="H81" s="375"/>
      <c r="J81" s="375"/>
      <c r="K81" s="375"/>
      <c r="L81" s="375"/>
      <c r="M81" s="375"/>
      <c r="O81" s="43"/>
      <c r="P81" s="43"/>
      <c r="Q81" s="43"/>
      <c r="R81" s="43"/>
      <c r="T81" s="43"/>
      <c r="U81" s="43"/>
      <c r="V81" s="43"/>
      <c r="W81" s="43"/>
      <c r="Y81" s="43"/>
      <c r="Z81" s="43"/>
      <c r="AA81" s="43"/>
      <c r="AB81" s="43"/>
      <c r="AD81" s="43"/>
      <c r="AE81" s="43"/>
      <c r="AF81" s="43"/>
      <c r="AG81" s="43"/>
      <c r="AI81" s="43"/>
      <c r="AJ81" s="43"/>
      <c r="AK81" s="43"/>
      <c r="AL81" s="43"/>
      <c r="AN81" s="43"/>
      <c r="AO81" s="43"/>
      <c r="AP81" s="43"/>
      <c r="AQ81" s="43"/>
      <c r="AS81" s="43"/>
      <c r="AT81" s="43"/>
      <c r="AU81" s="43"/>
      <c r="AV81" s="43"/>
      <c r="AW81" s="409"/>
      <c r="AX81" s="375"/>
      <c r="AY81" s="375"/>
      <c r="AZ81" s="375"/>
      <c r="BA81" s="375"/>
      <c r="BB81" s="409">
        <f>-BB80/(BB66+BB63+BB61+BB60+BB56+BB55+BB50)</f>
        <v>0.25420902566622644</v>
      </c>
      <c r="BC81" s="387"/>
      <c r="BD81" s="387"/>
      <c r="BE81" s="387"/>
      <c r="BF81" s="622"/>
      <c r="BG81" s="409">
        <f>-BG80/(BG66+BG63+BG61+BG60+BG56+BG55+BG50)</f>
        <v>0.22635716959940097</v>
      </c>
      <c r="BH81" s="387"/>
      <c r="BI81" s="387"/>
      <c r="BJ81" s="387"/>
      <c r="BK81" s="387"/>
      <c r="BL81" s="409">
        <f t="shared" ref="BL81:BT81" si="52">-BL80/(BL66+BL63+BL61+BL60+BL56+BL55+BL50)</f>
        <v>0.21383392799221534</v>
      </c>
      <c r="BM81" s="939">
        <f t="shared" si="52"/>
        <v>0.25303819444444448</v>
      </c>
      <c r="BN81" s="939">
        <f t="shared" si="52"/>
        <v>0.1184140500266099</v>
      </c>
      <c r="BO81" s="939">
        <f t="shared" si="52"/>
        <v>0.15254590984974958</v>
      </c>
      <c r="BP81" s="939">
        <f t="shared" si="52"/>
        <v>-5.2971576227390182E-2</v>
      </c>
      <c r="BQ81" s="409">
        <f t="shared" si="52"/>
        <v>0.12315555555555556</v>
      </c>
      <c r="BR81" s="787">
        <f t="shared" si="52"/>
        <v>0.25875320239111871</v>
      </c>
      <c r="BS81" s="787">
        <f t="shared" si="52"/>
        <v>0.18837347606303895</v>
      </c>
      <c r="BT81" s="787">
        <f t="shared" si="52"/>
        <v>0.23654506788810728</v>
      </c>
      <c r="BU81" s="787">
        <f>-BU80/(BU66+BU63+BU61+BU60+BU56+BU55+BU50+BU78)</f>
        <v>0.20265690660159955</v>
      </c>
      <c r="BV81" s="409">
        <f>-BV80/(BV66+BV63+BV61+BV60+BV56+BV55+BV50+BV78)</f>
        <v>0.21564330565974127</v>
      </c>
      <c r="BW81" s="974">
        <f>-BW80/(BW66+BW63+BW61+BW60+BW56+BW55+BW50+BW78+BW53)</f>
        <v>0.30541871921182268</v>
      </c>
      <c r="BX81" s="974">
        <f>-BX80/(BX66+BX63+BX61+BX60+BX56+BX55+BX50+BX78+BX53)</f>
        <v>0.34960629921259845</v>
      </c>
      <c r="BY81" s="974">
        <f>-BY80/(BY66+BY63+BY61+BY60+BY56+BY55+BY50+BY78+BY53)</f>
        <v>0.34977064220183485</v>
      </c>
      <c r="BZ81" s="974">
        <f>-BZ80/(BZ66+BZ63+BZ61+BZ60+BZ56+BZ55+BZ50+BZ78+BZ53)</f>
        <v>1.058888888888889</v>
      </c>
      <c r="CA81" s="409">
        <f>-CA80/(CA66+CA63+CA61+CA60+CA56+CA55+CA50+CA78+CA53)</f>
        <v>-0.19736842105263158</v>
      </c>
      <c r="CB81" s="415">
        <f>CF81</f>
        <v>-0.19736842105263158</v>
      </c>
      <c r="CC81" s="415">
        <f>CB81</f>
        <v>-0.19736842105263158</v>
      </c>
      <c r="CD81" s="974">
        <f t="shared" ref="CD81:CE81" si="53">CC81</f>
        <v>-0.19736842105263158</v>
      </c>
      <c r="CE81" s="974">
        <f t="shared" si="53"/>
        <v>-0.19736842105263158</v>
      </c>
      <c r="CF81" s="409">
        <f>CA81</f>
        <v>-0.19736842105263158</v>
      </c>
      <c r="CG81" s="387"/>
      <c r="CH81" s="387"/>
      <c r="CI81" s="387"/>
      <c r="CJ81" s="387"/>
      <c r="CK81" s="409">
        <f>CF81</f>
        <v>-0.19736842105263158</v>
      </c>
      <c r="CL81" s="387"/>
      <c r="CM81" s="387"/>
      <c r="CN81" s="387"/>
      <c r="CO81" s="387"/>
      <c r="CP81" s="409">
        <f>CK81</f>
        <v>-0.19736842105263158</v>
      </c>
      <c r="CQ81" s="387"/>
      <c r="CR81" s="387"/>
      <c r="CS81" s="387"/>
      <c r="CT81" s="387"/>
      <c r="CU81" s="409">
        <f>CP81</f>
        <v>-0.19736842105263158</v>
      </c>
      <c r="CV81" s="387"/>
      <c r="CW81" s="387"/>
      <c r="CX81" s="387"/>
      <c r="CY81" s="387"/>
      <c r="CZ81" s="409">
        <f>CU81</f>
        <v>-0.19736842105263158</v>
      </c>
      <c r="DA81" s="387"/>
      <c r="DB81" s="387"/>
      <c r="DC81" s="387"/>
      <c r="DD81" s="387"/>
      <c r="DE81" s="409">
        <f>CZ81</f>
        <v>-0.19736842105263158</v>
      </c>
      <c r="DF81" s="387"/>
      <c r="DG81" s="387"/>
      <c r="DH81" s="387"/>
      <c r="DI81" s="387"/>
      <c r="DJ81" s="409">
        <f>DE81</f>
        <v>-0.19736842105263158</v>
      </c>
      <c r="DK81" s="387"/>
      <c r="DL81" s="387"/>
      <c r="DM81" s="387"/>
      <c r="DN81" s="387"/>
      <c r="DO81" s="409">
        <f>DJ81</f>
        <v>-0.19736842105263158</v>
      </c>
      <c r="DP81" s="387"/>
      <c r="DQ81" s="387"/>
      <c r="DR81" s="387"/>
      <c r="DS81" s="387"/>
      <c r="DT81" s="409">
        <f>DO81</f>
        <v>-0.19736842105263158</v>
      </c>
      <c r="DU81" s="387"/>
      <c r="DV81" s="387"/>
      <c r="DW81" s="387"/>
      <c r="DX81" s="387"/>
      <c r="DY81" s="409">
        <f>DT81</f>
        <v>-0.19736842105263158</v>
      </c>
      <c r="DZ81" s="387"/>
      <c r="EA81" s="387"/>
      <c r="EB81" s="387"/>
      <c r="EC81" s="387"/>
      <c r="ED81" s="409">
        <f>DY81</f>
        <v>-0.19736842105263158</v>
      </c>
      <c r="EE81" s="387"/>
      <c r="EF81" s="387"/>
      <c r="EG81" s="387"/>
      <c r="EH81" s="387"/>
      <c r="EI81" s="409">
        <f>ED81</f>
        <v>-0.19736842105263158</v>
      </c>
      <c r="EJ81" s="387"/>
      <c r="EK81" s="387"/>
      <c r="EL81" s="387"/>
      <c r="EM81" s="387"/>
      <c r="EN81" s="409">
        <f>EI81</f>
        <v>-0.19736842105263158</v>
      </c>
      <c r="EO81" s="409"/>
      <c r="EP81" s="409"/>
    </row>
    <row r="82" spans="1:154" hidden="1" outlineLevel="1">
      <c r="B82" t="s">
        <v>175</v>
      </c>
      <c r="D82" s="51">
        <f>D46-D49-D50-D54-D55-D56-D61-D63-D66-D67-D80-D70-D71-D74-D48-D53-D60-D59</f>
        <v>-90.492000000000004</v>
      </c>
      <c r="E82" s="410">
        <f>E46-E49-E50-E54-E55-E56-E61-E63-E66-E67-E80-E70-E71-E74-E48-E53-E60+REVS!D67+REVS!D68+REVS!D69</f>
        <v>0.95299999999999829</v>
      </c>
      <c r="F82" s="375">
        <f>F46-F49-F50-F54-F55-F56-F61-F63-F66-F67-F80-F70-F71-F74-F48-F53-F60+REVS!E67+REVS!E68+REVS!E69</f>
        <v>2.969000000000003</v>
      </c>
      <c r="G82" s="375">
        <f>G46-G49-G50-G54-G55-G56-G61-G63-G66-G67-G80-G70-G71-G74-G48-G53-G60+REVS!F67+REVS!F68+REVS!F69</f>
        <v>4.5360000000000138</v>
      </c>
      <c r="H82" s="375">
        <f>H46-H49-H50-H54-H55-H56-H61-H63-H66-H67-H80-H70-H71-H74-H48-H53-H60-H59+REVS!G67+REVS!G68+REVS!G69</f>
        <v>8.1920000000000268</v>
      </c>
      <c r="I82" s="51">
        <f>I46-I49-I50-I54-I55-I56-I61-I63-I66-I67-I80-I48-I53-I59-I60-I70-I71-I74+SUM(REVS!D67:G69)+I74-1.922</f>
        <v>14.728000000000009</v>
      </c>
      <c r="J82" s="410">
        <f>J46-J49-J50-J54-J55-J56-J61-J63-J66-J67-J80-J70-J71-J74-J48-J53-J60+REVS!I67+REVS!I68+REVS!I69</f>
        <v>8.9140000000000068</v>
      </c>
      <c r="K82" s="375">
        <f>K46-K49-K50-K54-K55-K56-K61-K63-K66-K67-K80-K70-K71-K74-K48-K53-K60+REVS!J67+REVS!J68+REVS!J69</f>
        <v>2.5949999999999918</v>
      </c>
      <c r="L82" s="375">
        <f>L46-L49-L50-L54-L55-L56-L61-L63-L66-L67-L80-L70-L71-L74-L48-L53-L60+REVS!K67+REVS!K68+REVS!K69</f>
        <v>19.007999999999988</v>
      </c>
      <c r="M82" s="375">
        <f>M46-M49-M50-M54-M55-M56-M61-M63-M66-M67-M80-M70-M71-M74-M48-M53-M60-M59+REVS!L67+REVS!L68+REVS!L69</f>
        <v>24.161000000000016</v>
      </c>
      <c r="N82" s="51">
        <f>N46-N49-N50-N54-N55-N56-N61-N63-N66-N67-N80-N48-N53-N59-N60-N70-N71-N74+SUM(REVS!I67:L69)-1.922</f>
        <v>52.756000000000007</v>
      </c>
      <c r="O82" s="43">
        <f>O46-O49-O50-O54-O55-O56-O61-O63-O66-O67-O80-O70-O71-O74-O48-O53-O60+REVS!N67+REVS!N68+REVS!N69</f>
        <v>48.21400000000002</v>
      </c>
      <c r="P82" s="43">
        <f>P46-P49-P50-P54-P55-P56-P61-P63-P66-P67-P80-P70-P71-P74-P48-P53-P60+REVS!O67+REVS!O68+REVS!O69</f>
        <v>10.845000000000022</v>
      </c>
      <c r="Q82" s="43">
        <f>Q46-Q49-Q50-Q54-Q55-Q56-Q61-Q63-Q66-Q67-Q80-Q70-Q71-Q74-Q48-Q53-Q60+REVS!P67+REVS!P68+REVS!P69</f>
        <v>0.66799999999999682</v>
      </c>
      <c r="R82" s="43">
        <f>R46-R49-R50-R54-R55-R56-R61-R63-R66-R67-R80-R70-R71-R74-R48-R53-R60-R59+REVS!Q67+REVS!Q68+REVS!Q69</f>
        <v>3.9279999999999271</v>
      </c>
      <c r="S82" s="51">
        <f>S46-S49-S50-S54-S55-S56-S61-S63-S66-S67-S80-S48-S53-S59-S60-S70-S71-S74+SUM(REVS!N67:Q69)</f>
        <v>63.655000000000001</v>
      </c>
      <c r="T82" s="84">
        <f>T46-T49-T50-T54-T55-T56-T61-T63-T66-T67-T80-T70-T71-T74-T48-T53-T60+REVS!S67+REVS!S68+REVS!S69</f>
        <v>16.023999999999997</v>
      </c>
      <c r="U82" s="43">
        <f>U46-U49-U50-U54-U55-U56-U61-U63-U66-U67-U80-U70-U71-U74-U48-U53-U60+REVS!T67+REVS!T68+REVS!T69</f>
        <v>9.6079999999999881</v>
      </c>
      <c r="V82" s="43">
        <f>V46-V49-V50-V54-V55-V56-V61-V63-V66-V67-V80-V70-V71-V74-V48-V53-V60+REVS!U67+REVS!U68+REVS!U69</f>
        <v>20.437000000000001</v>
      </c>
      <c r="W82" s="43">
        <f>W46-W49-W50-W54-W55-W56-W61-W63-W66-W67-W80-W70-W71-W74-W48-W53-W60-W59+REVS!V67+REVS!V68+REVS!V69</f>
        <v>22.903999999999986</v>
      </c>
      <c r="X82" s="51">
        <f>X46-X49-X50-X54-X55-X56-X61-X63-X66-X67-X80-X48-X53-X59-X60-X70-X71-X74+SUM(REVS!S67:V69)</f>
        <v>68.973000000000013</v>
      </c>
      <c r="Y82" s="43">
        <f>Y46-Y49-Y50-Y54-Y55-Y56-Y61-Y66-Y67-Y80-Y70-Y71-Y74-Y48-Y53-Y63+REVS!X67+REVS!X68+REVS!X69</f>
        <v>57.408999999999949</v>
      </c>
      <c r="Z82" s="43">
        <f>Z46-Z49-Z50-Z54-Z55-Z56-Z61-Z63-Z66-Z67-Z80-Z70-Z71-Z74-Z48-Z53-Z60+REVS!Y67+REVS!Y68+REVS!Y69</f>
        <v>54.869999999999933</v>
      </c>
      <c r="AA82" s="43">
        <f>AA46-AA49-AA50-AA54-AA55-AA56-AA61-AA63-AA66-AA67-AA80-AA70-AA71-AA74-AA48-AA53-AA60+REVS!Z67+REVS!Z68+REVS!Z69</f>
        <v>38.832999999999984</v>
      </c>
      <c r="AB82" s="43">
        <f>AB46-AB49-AB50-AB54-AB55-AB56-AB61-AB63-AB66-AB67-AB80-AB70-AB71-AB74-AB48-AB53-AB60-AB59+REVS!AA67+REVS!AA68+REVS!AA69</f>
        <v>75.322000000000003</v>
      </c>
      <c r="AC82" s="51">
        <f>AC46-AC49-AC50-AC54-AC55-AC56-AC61-AC63-AC66-AC67-AC80-AC48-AC53-AC59-AC60-AC70-AC71-AC74+SUM(REVS!X67:AA69)</f>
        <v>226.43399999999957</v>
      </c>
      <c r="AD82" s="43">
        <f>AD46-AD49-AD50-AD54-AD55-AD56-AD61-AD63-AD66-AD67-AD80-AD70-AD71-AD74-AD48-AD53-AD60+REVS!AC67+REVS!AC68+REVS!AC69</f>
        <v>-1641.0880000000002</v>
      </c>
      <c r="AE82" s="43">
        <f>AE46-AE49-AE50-AE54-AE55-AE56-AE61-AE63-AE66-AE67-AE80-AE70-AE71-AE74-AE48-AE53-AE60+REVS!AD67+REVS!AD68+REVS!AD69</f>
        <v>119.88299999999997</v>
      </c>
      <c r="AF82" s="43">
        <f>AF46-AF49-AF50-AF54-AF55-AF56-AF61-AF63-AF66-AF67-AF80-AF70-AF71-AF74-AF48-AF53-AF60+REVS!AE67+REVS!AE68+REVS!AE69</f>
        <v>136.81400000000005</v>
      </c>
      <c r="AG82" s="43">
        <f>AG46-AG49-AG50-AG54-AG55-AG56-AG61-AG63-AG66-AG67-AG80-AG70-AG71-AG74-AG48-AG53-AG60-AG59+REVS!AF67+REVS!AF68+REVS!AF69</f>
        <v>-149.26000000000002</v>
      </c>
      <c r="AH82" s="51">
        <f>AH46-AH49-AH50-AH54-AH55-AH56-AH61-AH63-AH66-AH67-AH80-AH48-AH53-AH59-AH60-AH70-AH71-AH74+SUM(REVS!AC67:AF69)</f>
        <v>-1533.6509999999998</v>
      </c>
      <c r="AI82" s="43">
        <f>AI46-AI49-AI50-AI54-AI55-AI56-AI61-AI63-AI66-AI67-AI80-AI70-AI71-AI74-AI48-AI53-AI60+REVS!AH67+REVS!AH68+REVS!AH69</f>
        <v>162.88300000000012</v>
      </c>
      <c r="AJ82" s="43">
        <f>AJ46-AJ49-AJ50-AJ54-AJ55-AJ56-AJ61-AJ63-AJ66-AJ67-AJ80-AJ70-AJ71-AJ74-AJ48-AJ53-AJ60+REVS!AI67+REVS!AI68+REVS!AI69</f>
        <v>142.83500000000009</v>
      </c>
      <c r="AK82" s="43">
        <f>AK46-AK49-AK50-AK54-AK55-AK56-AK61-AK63-AK66-AK67-AK80-AK70-AK71-AK74-AK48-AK53-AK60+REVS!AJ67+REVS!AJ68+REVS!AJ69</f>
        <v>216.815</v>
      </c>
      <c r="AL82" s="43">
        <f>AL46-AL49-AL50-AL54-AL55-AL56-AL61-AL63-AL66-AL67-AL80-AL70-AL71-AL74-AL48-AL53-AL60-AL59+REVS!AK67+REVS!AK68+REVS!AK69</f>
        <v>254.21499999999975</v>
      </c>
      <c r="AM82" s="51">
        <f>AM46-AM49-AM50-AM54-AM55-AM56-AM61-AM63-AM66-AM67-AM80-AM48-AM53-AM59-AM60-AM70-AM71-AM74+SUM(REVS!AH67:AK69)</f>
        <v>776.74800000000005</v>
      </c>
      <c r="AN82" s="43">
        <f>AN46-AN49-AN50-AN54-AN55-AN56-AN61-AN63-AN66-AN67-AN80-AN70-AN71-AN74-AN48-AN53-AN60+REVS!AM67+REVS!AM68+REVS!AM69</f>
        <v>234.44199999999981</v>
      </c>
      <c r="AO82" s="43">
        <f>AO46-AO49-AO50-AO54-AO55-AO56-AO61-AO63-AO66-AO67-AO80-AO70-AO71-AO74-AO48-AO53-AO60+REVS!AN67+REVS!AN68+REVS!AN69</f>
        <v>155.35200000000003</v>
      </c>
      <c r="AP82" s="43">
        <f>AP46-AP49-AP50-AP54-AP55-AP56-AP61-AP63-AP66-AP67-AP80-AP70-AP71-AP74-AP48-AP53-AP60+REVS!AO67+REVS!AO68+REVS!AO69</f>
        <v>281.15100000000018</v>
      </c>
      <c r="AQ82" s="43">
        <f>AQ46-AQ49-AQ50-AQ54-AQ55-AQ56-AQ61-AQ63-AQ66-AQ67-AQ80-AQ70-AQ71-AQ74-AQ48-AQ53-AQ60-AQ59+REVS!AP67+REVS!AP68+REVS!AP69+0.32</f>
        <v>213.55699999999999</v>
      </c>
      <c r="AR82" s="51">
        <f>AR46-AR49-AR50-AR54-AR55-AR56-AR61-AR63-AR66-AR67-AR80-AR48-AR53-AR59-AR60-AR70-AR71-AR74+SUM(REVS!AM67:AP69)+0.32</f>
        <v>884.50199999999984</v>
      </c>
      <c r="AS82" s="43">
        <f>AS46-AS49-AS50-AS54-AS55-AS56-AS61-AS63-AS66-AS67-AS80-AS70-AS71-AS74-AS48-AS53-AS60+REVS!AR67+REVS!AR68+REVS!AR69+0.504</f>
        <v>255.58899999999974</v>
      </c>
      <c r="AT82" s="43">
        <f>AT46-AT49-AT50-AT54-AT55-AT56-AT61-AT63-AT66-AT67-AT80-AT70-AT71-AT74-AT48-AT53-AT60+REVS!AS67+REVS!AS68+REVS!AS69+0.19</f>
        <v>279.39800000000002</v>
      </c>
      <c r="AU82" s="43">
        <f>AU46-AU49-AU50-AU54-AU55-AU56-AU61-AU63-AU66-AU67-AU80-AU70-AU71-AU74-AU48-AU53-AU60+REVS!AT67+REVS!AT68+REVS!AT69</f>
        <v>372.98399999999998</v>
      </c>
      <c r="AV82" s="43">
        <f>AV46-AV49-AV50-AV54-AV55-AV56-AV61-AV63-AV66-AV67-AV80-AV70-AV71-AV74-AV48-AV53-AV60-AV59+REVS!AU67+REVS!AU68+REVS!AU69</f>
        <v>410.17899999999975</v>
      </c>
      <c r="AW82" s="51">
        <f>AW46-AW49-AW50-AW54-AW55-AW56-AW61-AW63-AW66-AW67-AW80-AW48-AW53-AW59-AW60-AW70-AW71-AW74+REVS!AR67+REVS!AR68+REVS!AR69+REVS!AS67+REVS!AS68+REVS!AS69+REVS!AT68+REVS!AU68+0.504+0.19</f>
        <v>1318.1499999999999</v>
      </c>
      <c r="AX82" s="375">
        <f t="shared" ref="AX82:BE82" si="54">AX46-AX49-AX50-AX54-AX55-AX56-AX61-AX63-AX66-AX67-AX80</f>
        <v>401.53700000000009</v>
      </c>
      <c r="AY82" s="375">
        <f t="shared" si="54"/>
        <v>367.37300000000016</v>
      </c>
      <c r="AZ82" s="375">
        <f t="shared" si="54"/>
        <v>424.1550000000002</v>
      </c>
      <c r="BA82" s="375">
        <f t="shared" si="54"/>
        <v>263.11500000000018</v>
      </c>
      <c r="BB82" s="51">
        <f t="shared" si="54"/>
        <v>1456.1799999999992</v>
      </c>
      <c r="BC82" s="387">
        <f>BC46-BC49-BC50-BC54-BC55-BC56-BC61-BC63-BC66-BC67-BC80</f>
        <v>384.90000000000009</v>
      </c>
      <c r="BD82" s="387">
        <f t="shared" si="54"/>
        <v>478.10000000000014</v>
      </c>
      <c r="BE82" s="387">
        <f t="shared" si="54"/>
        <v>372.50000000000023</v>
      </c>
      <c r="BF82" s="721">
        <f>BF46-BF49-BF50-BF54-BF55-BF56-BF61-BF63-BF66-BF75-BF80</f>
        <v>214.39999999999992</v>
      </c>
      <c r="BG82" s="51">
        <f>BG46-BG49-BG50-BG54-BG55-BG56-BG61-BG63-BG66-BG67-BG80</f>
        <v>1507.0000000000007</v>
      </c>
      <c r="BH82" s="375">
        <f t="shared" ref="BH82:BQ82" si="55">BH46-BH49-BH50-BH54-BH55-BH56-BH61-BH63-BH66-BH67-BH80-BH60</f>
        <v>279.69999999999993</v>
      </c>
      <c r="BI82" s="375">
        <f t="shared" si="55"/>
        <v>597.80000000000007</v>
      </c>
      <c r="BJ82" s="375">
        <f t="shared" si="55"/>
        <v>508.49999999999972</v>
      </c>
      <c r="BK82" s="375">
        <f>BK46-BK49-BK50-BK54-BK55-BK56-BK61-BK63-BK66-BK67-BK80-BK60</f>
        <v>613.9</v>
      </c>
      <c r="BL82" s="51">
        <f t="shared" si="55"/>
        <v>1999.8999999999999</v>
      </c>
      <c r="BM82" s="375">
        <f>BM46-BM49-BM50-BM54-BM55-BM56-BM61-BM63-BM66-BM67-BM80-BM60</f>
        <v>718.90000000000009</v>
      </c>
      <c r="BN82" s="375">
        <f t="shared" si="55"/>
        <v>356.2000000000005</v>
      </c>
      <c r="BO82" s="375">
        <f>BO46-BO49-BO50-BO54-BO55-BO56-BO61-BO63-BO66-BO67-BO80-BO60</f>
        <v>-34.100000000000023</v>
      </c>
      <c r="BP82" s="375">
        <f>BP46-BP49-BP50-BP54-BP55-BP56-BP61-BP63-BP66-BP67-BP80-BP60</f>
        <v>560.99999999999977</v>
      </c>
      <c r="BQ82" s="51">
        <f t="shared" si="55"/>
        <v>1602.0000000000009</v>
      </c>
      <c r="BR82" s="375">
        <f>BR46-BR49-BR50-BR54-BR55-BR56-BR61-BR63-BR66-BR67-BR80-BR60</f>
        <v>800.6999999999997</v>
      </c>
      <c r="BS82" s="375">
        <f t="shared" ref="BS82" si="56">BS46-BS49-BS50-BS54-BS55-BS56-BS61-BS63-BS66-BS67-BS80-BS60</f>
        <v>598.20000000000027</v>
      </c>
      <c r="BT82" s="375">
        <f>BT46-BT49-BT50-BT54-BT55-BT56-BT61-BT63-BT66-BT67-BT80-BT60-BT53</f>
        <v>171.39999999999907</v>
      </c>
      <c r="BU82" s="375">
        <f>BU46-BU49-BU50-BU54-BU55-BU56-BU61-BU63-BU66-BU67-BU80-BU60-BU53-BU78</f>
        <v>428.89999999999981</v>
      </c>
      <c r="BV82" s="51">
        <f>BV46-BV49-BV50-BV54-BV55-BV56-BV61-BV63-BV66-BV67-BV80-BV60-BV53-BV78</f>
        <v>1999.1999999999991</v>
      </c>
      <c r="BW82" s="375">
        <f>BW46-BW49-BW50-BW54-BW55-BW56-BW61-BW63-BW66-BW67-BW80-BW60-BW53</f>
        <v>941</v>
      </c>
      <c r="BX82" s="375">
        <f t="shared" ref="BX82:CE82" si="57">BX46-BX49-BX50-BX54-BX55-BX56-BX61-BX63-BX66-BX67-BX80-BX60</f>
        <v>1061</v>
      </c>
      <c r="BY82" s="375">
        <f t="shared" si="57"/>
        <v>993</v>
      </c>
      <c r="BZ82" s="375">
        <f>BZ46-BZ49-BZ50-BZ54-BZ55-BZ56-BZ61-BZ63-BZ66-BZ67-BZ80-BZ60-BZ53</f>
        <v>-81</v>
      </c>
      <c r="CA82" s="51">
        <f>CA46-CA49-CA50-CA54-CA55-CA56-CA61-CA63-CA66-CA67-CA80-CA60-CA53</f>
        <v>2914</v>
      </c>
      <c r="CB82" s="375">
        <f t="shared" si="57"/>
        <v>1166.6059285512304</v>
      </c>
      <c r="CC82" s="375">
        <f t="shared" si="57"/>
        <v>1281.5077251944201</v>
      </c>
      <c r="CD82" s="375">
        <f t="shared" si="57"/>
        <v>1282.5151368816587</v>
      </c>
      <c r="CE82" s="375">
        <f t="shared" si="57"/>
        <v>1420.4058204113417</v>
      </c>
      <c r="CF82" s="51">
        <f>CF46-CF49-CF50-CF54-CF55-CF56-CF61-CF63-CF66-CF67-CF80</f>
        <v>5151.0346110386508</v>
      </c>
      <c r="CG82" s="375"/>
      <c r="CH82" s="375"/>
      <c r="CI82" s="375"/>
      <c r="CJ82" s="375"/>
      <c r="CK82" s="51">
        <f>CK46-CK49-CK50-CK54-CK55-CK56-CK61-CK63-CK66-CK67-CK80</f>
        <v>6277.6225409662338</v>
      </c>
      <c r="CL82" s="375"/>
      <c r="CM82" s="375"/>
      <c r="CN82" s="375"/>
      <c r="CO82" s="375"/>
      <c r="CP82" s="51">
        <f>CP46-CP49-CP50-CP54-CP55-CP56-CP61-CP63-CP66-CP67-CP80</f>
        <v>7609.51204775323</v>
      </c>
      <c r="CQ82" s="375"/>
      <c r="CR82" s="375"/>
      <c r="CS82" s="375"/>
      <c r="CT82" s="375"/>
      <c r="CU82" s="51">
        <f>CU46-CU49-CU50-CU54-CU55-CU56-CU61-CU63-CU66-CU67-CU80</f>
        <v>9047.0638042244627</v>
      </c>
      <c r="CV82" s="375"/>
      <c r="CW82" s="375"/>
      <c r="CX82" s="375"/>
      <c r="CY82" s="375"/>
      <c r="CZ82" s="51">
        <f>CZ46-CZ49-CZ50-CZ54-CZ55-CZ56-CZ61-CZ63-CZ66-CZ67-CZ80</f>
        <v>9874.6759445377011</v>
      </c>
      <c r="DA82" s="375"/>
      <c r="DB82" s="375"/>
      <c r="DC82" s="375"/>
      <c r="DD82" s="375"/>
      <c r="DE82" s="51">
        <f>DE46-DE49-DE50-DE54-DE55-DE56-DE61-DE63-DE66-DE67-DE80</f>
        <v>10085.38686522193</v>
      </c>
      <c r="DF82" s="375"/>
      <c r="DG82" s="375"/>
      <c r="DH82" s="375"/>
      <c r="DI82" s="375"/>
      <c r="DJ82" s="51">
        <f>DJ46-DJ49-DJ50-DJ54-DJ55-DJ56-DJ61-DJ63-DJ66-DJ67-DJ80</f>
        <v>9781.5149379478171</v>
      </c>
      <c r="DK82" s="375"/>
      <c r="DL82" s="375"/>
      <c r="DM82" s="375"/>
      <c r="DN82" s="375"/>
      <c r="DO82" s="51">
        <f>DO46-DO49-DO50-DO54-DO55-DO56-DO61-DO63-DO66-DO67-DO80</f>
        <v>7793.6723469957305</v>
      </c>
      <c r="DP82" s="375"/>
      <c r="DQ82" s="375"/>
      <c r="DR82" s="375"/>
      <c r="DS82" s="375"/>
      <c r="DT82" s="51">
        <f>DT46-DT49-DT50-DT54-DT55-DT56-DT61-DT63-DT66-DT67-DT80</f>
        <v>4193.627303807848</v>
      </c>
      <c r="DU82" s="375"/>
      <c r="DV82" s="375"/>
      <c r="DW82" s="375"/>
      <c r="DX82" s="375"/>
      <c r="DY82" s="51">
        <f>DY46-DY49-DY50-DY54-DY55-DY56-DY61-DY63-DY66-DY67-DY80</f>
        <v>2865.0591653364449</v>
      </c>
      <c r="DZ82" s="375"/>
      <c r="EA82" s="375"/>
      <c r="EB82" s="375"/>
      <c r="EC82" s="375"/>
      <c r="ED82" s="51">
        <f>ED46-ED49-ED50-ED54-ED55-ED56-ED61-ED63-ED66-ED67-ED80</f>
        <v>2625.9646338001326</v>
      </c>
      <c r="EE82" s="375"/>
      <c r="EF82" s="375"/>
      <c r="EG82" s="375"/>
      <c r="EH82" s="375"/>
      <c r="EI82" s="51">
        <f>EI46-EI49-EI50-EI54-EI55-EI56-EI61-EI63-EI66-EI67-EI80</f>
        <v>3440.0324355258217</v>
      </c>
      <c r="EJ82" s="375"/>
      <c r="EK82" s="375"/>
      <c r="EL82" s="375"/>
      <c r="EM82" s="375"/>
      <c r="EN82" s="51">
        <f>EN46-EN49-EN50-EN54-EN55-EN56-EN61-EN63-EN66-EN67-EN80</f>
        <v>2337.0034040179958</v>
      </c>
    </row>
    <row r="83" spans="1:154" hidden="1" outlineLevel="1">
      <c r="E83" s="387"/>
      <c r="F83" s="387"/>
      <c r="G83" s="387"/>
      <c r="H83" s="387"/>
      <c r="I83" s="50"/>
      <c r="J83" s="387"/>
      <c r="K83" s="387"/>
      <c r="L83" s="387"/>
      <c r="M83" s="387"/>
      <c r="N83" s="50"/>
      <c r="O83" s="75"/>
      <c r="P83" s="75"/>
      <c r="Q83" s="75"/>
      <c r="R83" s="75"/>
      <c r="S83" s="714">
        <f>(S29+S80)/(S29+S80+S82)</f>
        <v>0.24411010307319622</v>
      </c>
      <c r="T83" s="75"/>
      <c r="U83" s="75"/>
      <c r="V83" s="75"/>
      <c r="W83" s="75"/>
      <c r="X83" s="714">
        <f>(X29+X80)/(X29+X80+X82)</f>
        <v>0.66004228955034072</v>
      </c>
      <c r="Y83" s="75"/>
      <c r="Z83" s="75"/>
      <c r="AA83" s="75"/>
      <c r="AB83" s="75"/>
      <c r="AC83" s="714">
        <f>(AC29+AC80)/(AC29+AC80+AC82)</f>
        <v>0.56199694759260266</v>
      </c>
      <c r="AD83" s="75"/>
      <c r="AE83" s="75"/>
      <c r="AF83" s="75"/>
      <c r="AG83" s="75"/>
      <c r="AH83" s="50"/>
      <c r="AI83" s="75"/>
      <c r="AJ83" s="75"/>
      <c r="AK83" s="75"/>
      <c r="AL83" s="75"/>
      <c r="AM83" s="714">
        <f>(AM29+AM80)/(AM29+AM80+AM82)</f>
        <v>0.20391020227446024</v>
      </c>
      <c r="AN83" s="75"/>
      <c r="AO83" s="75"/>
      <c r="AP83" s="75"/>
      <c r="AQ83" s="75"/>
      <c r="AR83" s="714">
        <f>(AR29+AR80)/(AR29+AR80+AR82)</f>
        <v>0.1306909148806312</v>
      </c>
      <c r="AS83" s="75"/>
      <c r="AT83" s="75"/>
      <c r="AU83" s="75"/>
      <c r="AV83" s="75"/>
      <c r="AW83" s="714">
        <f>(AW29+AW80)/(AW29+AW80+AW82)</f>
        <v>7.1866532978082237E-2</v>
      </c>
      <c r="AX83" s="387"/>
      <c r="AY83" s="387"/>
      <c r="AZ83" s="387"/>
      <c r="BA83" s="387"/>
      <c r="BB83" s="714">
        <f>(BB29+BB80)/(BB29+BB80+BB82)</f>
        <v>0.13399477011771108</v>
      </c>
      <c r="BC83" s="387"/>
      <c r="BD83" s="387"/>
      <c r="BE83" s="387"/>
      <c r="BF83" s="622"/>
      <c r="BG83" s="714">
        <f>(BG29+BG80)/(BG29+BG80+BG82)</f>
        <v>0.12510885341074013</v>
      </c>
      <c r="BH83" s="387"/>
      <c r="BI83" s="387"/>
      <c r="BJ83" s="387"/>
      <c r="BK83" s="387"/>
      <c r="BL83" s="714">
        <f>(BL29+BL80)/(BL29+BL80+BL82)</f>
        <v>0.14071496090057578</v>
      </c>
      <c r="BM83" s="387"/>
      <c r="BN83" s="387"/>
      <c r="BO83" s="387"/>
      <c r="BP83" s="387"/>
      <c r="BQ83" s="714">
        <f>(BQ29+BQ80)/(BQ29+BQ80+BQ82)</f>
        <v>0.2083024462564862</v>
      </c>
      <c r="BR83" s="387"/>
      <c r="BS83" s="387"/>
      <c r="BT83" s="387"/>
      <c r="BU83" s="387"/>
      <c r="BW83" s="387"/>
      <c r="BX83" s="387"/>
      <c r="BY83" s="387"/>
      <c r="BZ83" s="387"/>
      <c r="CB83" s="387"/>
      <c r="CC83" s="387"/>
      <c r="CD83" s="387"/>
      <c r="CE83" s="387"/>
      <c r="CG83" s="387"/>
      <c r="CH83" s="387"/>
      <c r="CI83" s="387"/>
      <c r="CJ83" s="387"/>
      <c r="CL83" s="387"/>
      <c r="CM83" s="387"/>
      <c r="CN83" s="387"/>
      <c r="CO83" s="387"/>
      <c r="CQ83" s="387"/>
      <c r="CR83" s="387"/>
      <c r="CS83" s="387"/>
      <c r="CT83" s="387"/>
      <c r="CV83" s="387"/>
      <c r="CW83" s="387"/>
      <c r="CX83" s="387"/>
      <c r="CY83" s="387"/>
      <c r="DA83" s="387"/>
      <c r="DB83" s="387"/>
      <c r="DC83" s="387"/>
      <c r="DD83" s="387"/>
      <c r="DF83" s="387"/>
      <c r="DG83" s="387"/>
      <c r="DH83" s="387"/>
      <c r="DI83" s="387"/>
      <c r="DK83" s="387"/>
      <c r="DL83" s="387"/>
      <c r="DM83" s="387"/>
      <c r="DN83" s="387"/>
      <c r="DP83" s="387"/>
      <c r="DQ83" s="387"/>
      <c r="DR83" s="387"/>
      <c r="DS83" s="387"/>
      <c r="DU83" s="387"/>
      <c r="DV83" s="387"/>
      <c r="DW83" s="387"/>
      <c r="DX83" s="387"/>
      <c r="DZ83" s="387"/>
      <c r="EA83" s="387"/>
      <c r="EB83" s="387"/>
      <c r="EC83" s="387"/>
      <c r="EE83" s="387"/>
      <c r="EF83" s="387"/>
      <c r="EG83" s="387"/>
      <c r="EH83" s="387"/>
      <c r="EJ83" s="387"/>
      <c r="EK83" s="387"/>
      <c r="EL83" s="387"/>
      <c r="EM83" s="387"/>
    </row>
    <row r="84" spans="1:154" collapsed="1">
      <c r="B84" t="s">
        <v>209</v>
      </c>
      <c r="D84" s="90">
        <f t="shared" ref="D84:AC84" si="58">D82/D87</f>
        <v>-0.14626246169362658</v>
      </c>
      <c r="E84" s="407">
        <f t="shared" si="58"/>
        <v>1.4191684536573718E-3</v>
      </c>
      <c r="F84" s="407">
        <f t="shared" si="58"/>
        <v>4.3593041558014469E-3</v>
      </c>
      <c r="G84" s="407">
        <f t="shared" si="58"/>
        <v>6.5679352705074415E-3</v>
      </c>
      <c r="H84" s="407">
        <f t="shared" si="58"/>
        <v>1.1753632836711776E-2</v>
      </c>
      <c r="I84" s="90">
        <f t="shared" si="58"/>
        <v>2.1557881917609326E-2</v>
      </c>
      <c r="J84" s="407">
        <f t="shared" si="58"/>
        <v>1.2768871113759564E-2</v>
      </c>
      <c r="K84" s="407">
        <f t="shared" si="58"/>
        <v>3.6682800502108965E-3</v>
      </c>
      <c r="L84" s="407">
        <f t="shared" si="58"/>
        <v>2.6837753580626199E-2</v>
      </c>
      <c r="M84" s="407">
        <f t="shared" si="58"/>
        <v>3.4780242875815506E-2</v>
      </c>
      <c r="N84" s="90">
        <f t="shared" si="58"/>
        <v>7.6300945879494389E-2</v>
      </c>
      <c r="O84" s="77">
        <f t="shared" si="58"/>
        <v>6.3071666282939517E-2</v>
      </c>
      <c r="P84" s="77">
        <f t="shared" si="58"/>
        <v>1.4082732972164393E-2</v>
      </c>
      <c r="Q84" s="77">
        <f t="shared" si="58"/>
        <v>9.2848961981963508E-4</v>
      </c>
      <c r="R84" s="77">
        <f t="shared" si="58"/>
        <v>5.4555858643658122E-3</v>
      </c>
      <c r="S84" s="90">
        <f t="shared" si="58"/>
        <v>8.1486952870573295E-2</v>
      </c>
      <c r="T84" s="77">
        <f t="shared" si="58"/>
        <v>1.999505863503527E-2</v>
      </c>
      <c r="U84" s="77">
        <f t="shared" si="58"/>
        <v>1.1909336334631513E-2</v>
      </c>
      <c r="V84" s="77">
        <f t="shared" si="58"/>
        <v>2.5239713677388122E-2</v>
      </c>
      <c r="W84" s="77">
        <f t="shared" si="58"/>
        <v>2.7309972480170922E-2</v>
      </c>
      <c r="X84" s="90">
        <f t="shared" si="58"/>
        <v>8.4695749556094241E-2</v>
      </c>
      <c r="Y84" s="77">
        <f t="shared" si="58"/>
        <v>6.686256423157369E-2</v>
      </c>
      <c r="Z84" s="77">
        <f t="shared" si="58"/>
        <v>6.3598661959260616E-2</v>
      </c>
      <c r="AA84" s="77">
        <f t="shared" si="58"/>
        <v>4.4860761014470299E-2</v>
      </c>
      <c r="AB84" s="77">
        <f t="shared" si="58"/>
        <v>8.6806499942376394E-2</v>
      </c>
      <c r="AC84" s="90">
        <f t="shared" si="58"/>
        <v>0.26216256269421845</v>
      </c>
      <c r="AD84" s="77">
        <f>AD82/AD86</f>
        <v>-1.9903411171994581</v>
      </c>
      <c r="AE84" s="77">
        <f t="shared" ref="AE84:CK84" si="59">AE82/AE87</f>
        <v>0.12844047509358517</v>
      </c>
      <c r="AF84" s="77">
        <f t="shared" si="59"/>
        <v>0.14589104930570224</v>
      </c>
      <c r="AG84" s="77">
        <f>AG82/AG86</f>
        <v>-0.1626840359068932</v>
      </c>
      <c r="AH84" s="90">
        <f>AH82/AH86</f>
        <v>-1.7324691609055169</v>
      </c>
      <c r="AI84" s="77">
        <f t="shared" si="59"/>
        <v>0.17398126488715152</v>
      </c>
      <c r="AJ84" s="77">
        <f t="shared" si="59"/>
        <v>0.15290141773821309</v>
      </c>
      <c r="AK84" s="77">
        <f t="shared" si="59"/>
        <v>0.23210764424898886</v>
      </c>
      <c r="AL84" s="77">
        <f t="shared" si="59"/>
        <v>0.27219920122493096</v>
      </c>
      <c r="AM84" s="90">
        <f t="shared" si="59"/>
        <v>0.83100604680820112</v>
      </c>
      <c r="AN84" s="77">
        <f t="shared" si="59"/>
        <v>0.25065700142198827</v>
      </c>
      <c r="AO84" s="77">
        <f t="shared" si="59"/>
        <v>0.16617853131518429</v>
      </c>
      <c r="AP84" s="77">
        <f t="shared" si="59"/>
        <v>0.30144939656725273</v>
      </c>
      <c r="AQ84" s="77">
        <f t="shared" si="59"/>
        <v>0.22399094625861898</v>
      </c>
      <c r="AR84" s="90">
        <f t="shared" si="59"/>
        <v>0.94192755533878414</v>
      </c>
      <c r="AS84" s="77">
        <f t="shared" si="59"/>
        <v>0.27061632449945444</v>
      </c>
      <c r="AT84" s="77">
        <f t="shared" si="59"/>
        <v>0.29725594835327113</v>
      </c>
      <c r="AU84" s="77">
        <f t="shared" si="59"/>
        <v>0.4058320457859117</v>
      </c>
      <c r="AV84" s="77">
        <f t="shared" si="59"/>
        <v>0.45601082386319391</v>
      </c>
      <c r="AW84" s="90">
        <f t="shared" si="59"/>
        <v>1.4242633139419294</v>
      </c>
      <c r="AX84" s="407">
        <f t="shared" si="59"/>
        <v>0.44754657845108547</v>
      </c>
      <c r="AY84" s="407">
        <f t="shared" si="59"/>
        <v>0.41242739329874123</v>
      </c>
      <c r="AZ84" s="407">
        <f t="shared" si="59"/>
        <v>0.48611302123445949</v>
      </c>
      <c r="BA84" s="407">
        <f t="shared" si="59"/>
        <v>0.30431287733339524</v>
      </c>
      <c r="BB84" s="90">
        <f t="shared" si="59"/>
        <v>1.6517618127206226</v>
      </c>
      <c r="BC84" s="407">
        <f t="shared" si="59"/>
        <v>0.44527996298010192</v>
      </c>
      <c r="BD84" s="407">
        <f t="shared" si="59"/>
        <v>0.55683671092476139</v>
      </c>
      <c r="BE84" s="407">
        <f t="shared" si="59"/>
        <v>0.43435167910447786</v>
      </c>
      <c r="BF84" s="727">
        <f t="shared" si="59"/>
        <v>0.25011665888940726</v>
      </c>
      <c r="BG84" s="90">
        <f t="shared" si="59"/>
        <v>1.7511038810132473</v>
      </c>
      <c r="BH84" s="407">
        <f>BH82/BH87</f>
        <v>0.33100591715976324</v>
      </c>
      <c r="BI84" s="407">
        <f t="shared" si="59"/>
        <v>0.71937424789410354</v>
      </c>
      <c r="BJ84" s="407">
        <f t="shared" si="59"/>
        <v>0.61059077809798246</v>
      </c>
      <c r="BK84" s="407">
        <f>BK82/BK87</f>
        <v>0.7355619458423196</v>
      </c>
      <c r="BL84" s="90">
        <f t="shared" si="59"/>
        <v>2.3922248803827748</v>
      </c>
      <c r="BM84" s="407">
        <f>BM82/BM87</f>
        <v>0.86188706390121095</v>
      </c>
      <c r="BN84" s="407">
        <f>BN82/BN87</f>
        <v>0.43160063007391314</v>
      </c>
      <c r="BO84" s="407">
        <f>BO82/BO87</f>
        <v>-4.1403593977659081E-2</v>
      </c>
      <c r="BP84" s="407">
        <f>BP82/BP87</f>
        <v>0.68707899571341058</v>
      </c>
      <c r="BQ84" s="90">
        <f t="shared" si="59"/>
        <v>1.9421124412789827</v>
      </c>
      <c r="BR84" s="407">
        <f>BR82/BR87</f>
        <v>0.99133341587222934</v>
      </c>
      <c r="BS84" s="407">
        <f t="shared" ref="BS84:BU84" si="60">BS82/BS87</f>
        <v>0.74635059263880255</v>
      </c>
      <c r="BT84" s="407">
        <f t="shared" si="60"/>
        <v>0.21384903306300571</v>
      </c>
      <c r="BU84" s="407">
        <f t="shared" si="60"/>
        <v>0.53465469957616529</v>
      </c>
      <c r="BV84" s="90">
        <f t="shared" si="59"/>
        <v>2.4889663543838894</v>
      </c>
      <c r="BW84" s="407">
        <f t="shared" si="59"/>
        <v>1.1600098619329389</v>
      </c>
      <c r="BX84" s="407">
        <f t="shared" si="59"/>
        <v>1.307133177282247</v>
      </c>
      <c r="BY84" s="407">
        <f t="shared" si="59"/>
        <v>1.2181059862610402</v>
      </c>
      <c r="BZ84" s="407">
        <f>BZ82/BZ87</f>
        <v>-0.10158013544018059</v>
      </c>
      <c r="CA84" s="90">
        <f t="shared" si="59"/>
        <v>3.6025343841755522</v>
      </c>
      <c r="CB84" s="407">
        <f t="shared" si="59"/>
        <v>1.4815924924450474</v>
      </c>
      <c r="CC84" s="407">
        <f t="shared" si="59"/>
        <v>1.6484534669339082</v>
      </c>
      <c r="CD84" s="407">
        <f t="shared" si="59"/>
        <v>1.6658204141858146</v>
      </c>
      <c r="CE84" s="407">
        <f t="shared" si="59"/>
        <v>1.8569823773190506</v>
      </c>
      <c r="CF84" s="90">
        <f t="shared" si="59"/>
        <v>6.6473539954041181</v>
      </c>
      <c r="CG84" s="407"/>
      <c r="CH84" s="407"/>
      <c r="CI84" s="407"/>
      <c r="CJ84" s="407"/>
      <c r="CK84" s="90">
        <f t="shared" si="59"/>
        <v>8.0599599236811699</v>
      </c>
      <c r="CL84" s="407"/>
      <c r="CM84" s="407"/>
      <c r="CN84" s="407"/>
      <c r="CO84" s="407"/>
      <c r="CP84" s="90">
        <f>CP82/CP87</f>
        <v>10.14242942433572</v>
      </c>
      <c r="CQ84" s="407"/>
      <c r="CR84" s="407"/>
      <c r="CS84" s="407"/>
      <c r="CT84" s="407"/>
      <c r="CU84" s="90">
        <f>CU82/CU87</f>
        <v>12.544721320746151</v>
      </c>
      <c r="CV84" s="407"/>
      <c r="CW84" s="407"/>
      <c r="CX84" s="407"/>
      <c r="CY84" s="407"/>
      <c r="CZ84" s="90">
        <f>CZ82/CZ87</f>
        <v>14.143356418526503</v>
      </c>
      <c r="DA84" s="407"/>
      <c r="DB84" s="407"/>
      <c r="DC84" s="407"/>
      <c r="DD84" s="407"/>
      <c r="DE84" s="90">
        <f>DE82/DE87</f>
        <v>14.88784146574756</v>
      </c>
      <c r="DF84" s="407"/>
      <c r="DG84" s="407"/>
      <c r="DH84" s="407"/>
      <c r="DI84" s="407"/>
      <c r="DJ84" s="90">
        <f>DJ82/DJ87</f>
        <v>14.756279714067126</v>
      </c>
      <c r="DK84" s="407"/>
      <c r="DL84" s="407"/>
      <c r="DM84" s="407"/>
      <c r="DN84" s="407"/>
      <c r="DO84" s="90">
        <f>DO82/DO87</f>
        <v>11.929783524444375</v>
      </c>
      <c r="DP84" s="407"/>
      <c r="DQ84" s="407"/>
      <c r="DR84" s="407"/>
      <c r="DS84" s="407"/>
      <c r="DT84" s="90">
        <f>DT82/DT87</f>
        <v>6.5030591905228619</v>
      </c>
      <c r="DU84" s="407"/>
      <c r="DV84" s="407"/>
      <c r="DW84" s="407"/>
      <c r="DX84" s="407"/>
      <c r="DY84" s="90">
        <f>DY82/DY87</f>
        <v>4.4929732287349191</v>
      </c>
      <c r="DZ84" s="407"/>
      <c r="EA84" s="407"/>
      <c r="EB84" s="407"/>
      <c r="EC84" s="407"/>
      <c r="ED84" s="90">
        <f>ED82/ED87</f>
        <v>4.1308222750940367</v>
      </c>
      <c r="EE84" s="407"/>
      <c r="EF84" s="407"/>
      <c r="EG84" s="407"/>
      <c r="EH84" s="407"/>
      <c r="EI84" s="90">
        <f>EI82/EI87</f>
        <v>5.3613343624364784</v>
      </c>
      <c r="EJ84" s="407"/>
      <c r="EK84" s="407"/>
      <c r="EL84" s="407"/>
      <c r="EM84" s="407"/>
      <c r="EN84" s="90">
        <f>EN82/EN87</f>
        <v>3.5789573595677817</v>
      </c>
    </row>
    <row r="85" spans="1:154">
      <c r="E85" s="387"/>
      <c r="F85" s="387"/>
      <c r="G85" s="387"/>
      <c r="H85" s="387"/>
      <c r="J85" s="387"/>
      <c r="K85" s="387"/>
      <c r="L85" s="387"/>
      <c r="M85" s="387"/>
      <c r="O85" s="75"/>
      <c r="P85" s="75"/>
      <c r="Q85" s="75"/>
      <c r="R85" s="75"/>
      <c r="T85" s="75"/>
      <c r="U85" s="75"/>
      <c r="V85" s="75"/>
      <c r="W85" s="75"/>
      <c r="Y85" s="75"/>
      <c r="Z85" s="75"/>
      <c r="AA85" s="75"/>
      <c r="AB85" s="75"/>
      <c r="AD85" s="75"/>
      <c r="AE85" s="75"/>
      <c r="AF85" s="75"/>
      <c r="AG85" s="75"/>
      <c r="AI85" s="75"/>
      <c r="AJ85" s="75"/>
      <c r="AK85" s="75"/>
      <c r="AL85" s="75"/>
      <c r="AN85" s="75"/>
      <c r="AO85" s="75"/>
      <c r="AP85" s="75"/>
      <c r="AQ85" s="75"/>
      <c r="AS85" s="75"/>
      <c r="AT85" s="75"/>
      <c r="AU85" s="75"/>
      <c r="AV85" s="75"/>
      <c r="AX85" s="387"/>
      <c r="AY85" s="387"/>
      <c r="AZ85" s="387"/>
      <c r="BA85" s="387"/>
      <c r="BC85" s="388"/>
      <c r="BD85" s="388"/>
      <c r="BE85" s="388"/>
      <c r="BF85" s="721"/>
      <c r="BH85" s="411"/>
      <c r="BI85" s="411"/>
      <c r="BJ85" s="778"/>
      <c r="BK85" s="778"/>
      <c r="BL85" s="524"/>
      <c r="BM85" s="411"/>
      <c r="BN85" s="411"/>
      <c r="BO85" s="387"/>
      <c r="BP85" s="387"/>
      <c r="BQ85" s="50"/>
      <c r="BR85" s="411"/>
      <c r="BS85" s="411"/>
      <c r="BT85" s="411"/>
      <c r="BU85" s="411"/>
      <c r="BV85" s="962"/>
      <c r="BW85" s="411"/>
      <c r="BX85" s="411"/>
      <c r="BY85" s="411"/>
      <c r="BZ85" s="1011"/>
      <c r="CA85" s="962"/>
      <c r="CB85" s="411"/>
      <c r="CC85" s="411"/>
      <c r="CD85" s="411"/>
      <c r="CE85" s="411"/>
      <c r="CF85" s="356"/>
      <c r="CG85" s="411"/>
      <c r="CH85" s="411"/>
      <c r="CI85" s="411"/>
      <c r="CJ85" s="411"/>
      <c r="CK85" s="356"/>
      <c r="CL85" s="411"/>
      <c r="CM85" s="411"/>
      <c r="CN85" s="411"/>
      <c r="CO85" s="411"/>
      <c r="CP85" s="356"/>
      <c r="CQ85" s="411"/>
      <c r="CR85" s="411"/>
      <c r="CS85" s="411"/>
      <c r="CT85" s="411"/>
      <c r="CU85" s="356"/>
      <c r="CV85" s="411"/>
      <c r="CW85" s="411"/>
      <c r="CX85" s="411"/>
      <c r="CY85" s="411"/>
      <c r="CZ85" s="356"/>
      <c r="DA85" s="411"/>
      <c r="DB85" s="411"/>
      <c r="DC85" s="411"/>
      <c r="DD85" s="411"/>
      <c r="DE85" s="356"/>
      <c r="DF85" s="411"/>
      <c r="DG85" s="411"/>
      <c r="DH85" s="411"/>
      <c r="DI85" s="411"/>
      <c r="DJ85" s="356"/>
      <c r="DK85" s="411"/>
      <c r="DL85" s="411"/>
      <c r="DM85" s="411"/>
      <c r="DN85" s="411"/>
      <c r="DO85" s="356"/>
      <c r="DP85" s="411"/>
      <c r="DQ85" s="411"/>
      <c r="DR85" s="411"/>
      <c r="DS85" s="411"/>
      <c r="DT85" s="356"/>
      <c r="DU85" s="411"/>
      <c r="DV85" s="411"/>
      <c r="DW85" s="411"/>
      <c r="DX85" s="411"/>
      <c r="DY85" s="356"/>
      <c r="DZ85" s="411"/>
      <c r="EA85" s="411"/>
      <c r="EB85" s="411"/>
      <c r="EC85" s="411"/>
      <c r="ED85" s="356"/>
      <c r="EE85" s="411"/>
      <c r="EF85" s="411"/>
      <c r="EG85" s="411"/>
      <c r="EH85" s="411"/>
      <c r="EI85" s="356"/>
      <c r="EJ85" s="411"/>
      <c r="EK85" s="411"/>
      <c r="EL85" s="411"/>
      <c r="EM85" s="411"/>
      <c r="EN85" s="356"/>
    </row>
    <row r="86" spans="1:154">
      <c r="A86" s="360"/>
      <c r="B86" s="360" t="s">
        <v>210</v>
      </c>
      <c r="C86" s="360"/>
      <c r="D86" s="730">
        <f>2*2*2*77.337</f>
        <v>618.69600000000003</v>
      </c>
      <c r="E86" s="721">
        <f>80.384*2*2*2</f>
        <v>643.072</v>
      </c>
      <c r="F86" s="721">
        <f>80.839*2*2*2</f>
        <v>646.71199999999999</v>
      </c>
      <c r="G86" s="721">
        <f>162.094*2*2</f>
        <v>648.37599999999998</v>
      </c>
      <c r="H86" s="721">
        <f>162.524*2*2</f>
        <v>650.096</v>
      </c>
      <c r="I86" s="730">
        <f>161.774*2*2</f>
        <v>647.096</v>
      </c>
      <c r="J86" s="721">
        <f>162.95*2*2</f>
        <v>651.79999999999995</v>
      </c>
      <c r="K86" s="721">
        <f>163.674*2*2</f>
        <v>654.69600000000003</v>
      </c>
      <c r="L86" s="721">
        <f>164.091*2*2</f>
        <v>656.36400000000003</v>
      </c>
      <c r="M86" s="721">
        <f>164.749*2*2</f>
        <v>658.99599999999998</v>
      </c>
      <c r="N86" s="730">
        <f>327.738*2</f>
        <v>655.476</v>
      </c>
      <c r="O86" s="731">
        <f>2*165.613*2</f>
        <v>662.452</v>
      </c>
      <c r="P86" s="731">
        <f>2*167.141*2</f>
        <v>668.56399999999996</v>
      </c>
      <c r="Q86" s="731">
        <f>2*168.298*2</f>
        <v>673.19200000000001</v>
      </c>
      <c r="R86" s="731">
        <f>2*169.919*2</f>
        <v>679.67600000000004</v>
      </c>
      <c r="S86" s="730">
        <f>2*167.756*2</f>
        <v>671.024</v>
      </c>
      <c r="T86" s="731">
        <f>343.966*2</f>
        <v>687.93200000000002</v>
      </c>
      <c r="U86" s="731">
        <f>2*347.696</f>
        <v>695.39200000000005</v>
      </c>
      <c r="V86" s="731">
        <f>2*351.2</f>
        <v>702.4</v>
      </c>
      <c r="W86" s="731">
        <f>2*365.82</f>
        <v>731.64</v>
      </c>
      <c r="X86" s="730">
        <f>2*352.217</f>
        <v>704.43399999999997</v>
      </c>
      <c r="Y86" s="731">
        <f>2*377.599</f>
        <v>755.19799999999998</v>
      </c>
      <c r="Z86" s="731">
        <f>2*381.086</f>
        <v>762.17200000000003</v>
      </c>
      <c r="AA86" s="731">
        <f>2*383.774</f>
        <v>767.548</v>
      </c>
      <c r="AB86" s="731">
        <f>2*290.301</f>
        <v>580.60199999999998</v>
      </c>
      <c r="AC86" s="730">
        <f>2*383.225</f>
        <v>766.45</v>
      </c>
      <c r="AD86" s="731">
        <f>2*412.263</f>
        <v>824.52599999999995</v>
      </c>
      <c r="AE86" s="731">
        <f>2*442.64</f>
        <v>885.28</v>
      </c>
      <c r="AF86" s="731">
        <f>2*456.509</f>
        <v>913.01800000000003</v>
      </c>
      <c r="AG86" s="731">
        <f>2*458.742</f>
        <v>917.48400000000004</v>
      </c>
      <c r="AH86" s="730">
        <f>2*442.62</f>
        <v>885.24</v>
      </c>
      <c r="AI86" s="731">
        <f>2*459.583</f>
        <v>919.16600000000005</v>
      </c>
      <c r="AJ86" s="731">
        <f>2*459.586</f>
        <v>919.17200000000003</v>
      </c>
      <c r="AK86" s="731">
        <f>2*458.834</f>
        <v>917.66800000000001</v>
      </c>
      <c r="AL86" s="731">
        <f>2*459.223</f>
        <v>918.44600000000003</v>
      </c>
      <c r="AM86" s="730">
        <f>2*459.304</f>
        <v>918.60799999999995</v>
      </c>
      <c r="AN86" s="731">
        <f>2*459.914</f>
        <v>919.82799999999997</v>
      </c>
      <c r="AO86" s="731">
        <f>2*460.309</f>
        <v>920.61800000000005</v>
      </c>
      <c r="AP86" s="731">
        <f>2*459.653</f>
        <v>919.30600000000004</v>
      </c>
      <c r="AQ86" s="731">
        <f>2*469.244</f>
        <v>938.48800000000006</v>
      </c>
      <c r="AR86" s="730">
        <f>2*462.298</f>
        <v>924.596</v>
      </c>
      <c r="AS86" s="731">
        <f>2*465.993</f>
        <v>931.98599999999999</v>
      </c>
      <c r="AT86" s="731">
        <f>2*462.625</f>
        <v>925.25</v>
      </c>
      <c r="AU86" s="731">
        <f>2*452.019</f>
        <v>904.03800000000001</v>
      </c>
      <c r="AV86" s="731">
        <f>2*441.064</f>
        <v>882.12800000000004</v>
      </c>
      <c r="AW86" s="730">
        <f>2*455.348</f>
        <v>910.69600000000003</v>
      </c>
      <c r="AX86" s="721">
        <f>2*438.349</f>
        <v>876.69799999999998</v>
      </c>
      <c r="AY86" s="721">
        <f>2*436.703</f>
        <v>873.40599999999995</v>
      </c>
      <c r="AZ86" s="721">
        <f>2*427.209</f>
        <v>854.41800000000001</v>
      </c>
      <c r="BA86" s="721">
        <f>2*421.592</f>
        <v>843.18399999999997</v>
      </c>
      <c r="BB86" s="730">
        <f>2*430.927</f>
        <v>861.85400000000004</v>
      </c>
      <c r="BC86" s="622">
        <f>2*417.9</f>
        <v>835.8</v>
      </c>
      <c r="BD86" s="622">
        <f>2*414.1</f>
        <v>828.2</v>
      </c>
      <c r="BE86" s="622">
        <f>2*412.3</f>
        <v>824.6</v>
      </c>
      <c r="BF86" s="721">
        <f>2*411.2</f>
        <v>822.4</v>
      </c>
      <c r="BG86" s="730">
        <f>2*413.8</f>
        <v>827.6</v>
      </c>
      <c r="BH86" s="391">
        <f>2*405.7</f>
        <v>811.4</v>
      </c>
      <c r="BI86" s="391">
        <v>799.6</v>
      </c>
      <c r="BJ86" s="391">
        <v>799.6</v>
      </c>
      <c r="BK86" s="391">
        <v>800.2</v>
      </c>
      <c r="BL86" s="767">
        <v>802.7</v>
      </c>
      <c r="BM86" s="391">
        <v>798.9</v>
      </c>
      <c r="BN86" s="391">
        <v>793</v>
      </c>
      <c r="BO86" s="391">
        <v>791.1</v>
      </c>
      <c r="BP86" s="391">
        <v>785.8</v>
      </c>
      <c r="BQ86" s="730">
        <f>AVERAGE(BM86:BP86)</f>
        <v>792.2</v>
      </c>
      <c r="BR86" s="391">
        <v>780.6</v>
      </c>
      <c r="BS86" s="391">
        <v>775.6</v>
      </c>
      <c r="BT86" s="391">
        <v>775.8</v>
      </c>
      <c r="BU86" s="391">
        <v>776.8</v>
      </c>
      <c r="BV86" s="730">
        <f>AVERAGE(BR86:BU86)</f>
        <v>777.2</v>
      </c>
      <c r="BW86" s="391">
        <v>779</v>
      </c>
      <c r="BX86" s="391">
        <v>780.4</v>
      </c>
      <c r="BY86" s="391">
        <v>784.1</v>
      </c>
      <c r="BZ86" s="391">
        <v>773.5</v>
      </c>
      <c r="CA86" s="730">
        <f>AVERAGE(BW86:BZ86)</f>
        <v>779.25</v>
      </c>
      <c r="CB86" s="721">
        <f>BZ86-10</f>
        <v>763.5</v>
      </c>
      <c r="CC86" s="721">
        <f>CB86-15</f>
        <v>748.5</v>
      </c>
      <c r="CD86" s="721">
        <f>CC86-10</f>
        <v>738.5</v>
      </c>
      <c r="CE86" s="721">
        <f>CD86-10</f>
        <v>728.5</v>
      </c>
      <c r="CF86" s="730">
        <f>AVERAGE(CB86:CE86)</f>
        <v>744.75</v>
      </c>
      <c r="CG86" s="721"/>
      <c r="CH86" s="721"/>
      <c r="CI86" s="721"/>
      <c r="CJ86" s="721"/>
      <c r="CK86" s="730">
        <f>AVERAGE(CF!T91,CF!T92)</f>
        <v>748.56095000000005</v>
      </c>
      <c r="CL86" s="721"/>
      <c r="CM86" s="721"/>
      <c r="CN86" s="721"/>
      <c r="CO86" s="721"/>
      <c r="CP86" s="730">
        <f>AVERAGE(CF!U91,CF!U92)</f>
        <v>721.07371650000005</v>
      </c>
      <c r="CQ86" s="721"/>
      <c r="CR86" s="721"/>
      <c r="CS86" s="721"/>
      <c r="CT86" s="721"/>
      <c r="CU86" s="730">
        <f>AVERAGE(CF!V91,CF!V92)</f>
        <v>693.12487665499998</v>
      </c>
      <c r="CV86" s="721"/>
      <c r="CW86" s="721"/>
      <c r="CX86" s="721"/>
      <c r="CY86" s="721"/>
      <c r="CZ86" s="730">
        <f>AVERAGE(CF!W91,CF!W92)</f>
        <v>671.01961802084998</v>
      </c>
      <c r="DA86" s="721"/>
      <c r="DB86" s="721"/>
      <c r="DC86" s="721"/>
      <c r="DD86" s="721"/>
      <c r="DE86" s="730">
        <f>AVERAGE(CF!X91,CF!X92)</f>
        <v>651.06699128230957</v>
      </c>
      <c r="DF86" s="721"/>
      <c r="DG86" s="721"/>
      <c r="DH86" s="721"/>
      <c r="DI86" s="721"/>
      <c r="DJ86" s="730">
        <f>AVERAGE(CF!Y91,CF!Y92)</f>
        <v>637.08018067207126</v>
      </c>
      <c r="DK86" s="721"/>
      <c r="DL86" s="721"/>
      <c r="DM86" s="721"/>
      <c r="DN86" s="721"/>
      <c r="DO86" s="730">
        <f>AVERAGE(CF!Z91,CF!Z92)</f>
        <v>627.87679331911613</v>
      </c>
      <c r="DP86" s="721"/>
      <c r="DQ86" s="721"/>
      <c r="DR86" s="721"/>
      <c r="DS86" s="721"/>
      <c r="DT86" s="730">
        <f>AVERAGE(CF!AA91,CF!AA92)</f>
        <v>619.7791688514543</v>
      </c>
      <c r="DU86" s="721"/>
      <c r="DV86" s="721"/>
      <c r="DW86" s="721"/>
      <c r="DX86" s="721"/>
      <c r="DY86" s="730">
        <f>AVERAGE(CF!AB91,CF!AB92)</f>
        <v>612.86471067105606</v>
      </c>
      <c r="DZ86" s="721"/>
      <c r="EA86" s="721"/>
      <c r="EB86" s="721"/>
      <c r="EC86" s="721"/>
      <c r="ED86" s="730">
        <f>AVERAGE(CF!AC91,CF!AC92)</f>
        <v>610.96624041802988</v>
      </c>
      <c r="EE86" s="721"/>
      <c r="EF86" s="721"/>
      <c r="EG86" s="721"/>
      <c r="EH86" s="721"/>
      <c r="EI86" s="730">
        <f>AVERAGE(CF!AD91,CF!AD92)</f>
        <v>616.67237724729205</v>
      </c>
      <c r="EJ86" s="721"/>
      <c r="EK86" s="721"/>
      <c r="EL86" s="721"/>
      <c r="EM86" s="721"/>
      <c r="EN86" s="730">
        <f>AVERAGE(CF!AE91,CF!AE92)</f>
        <v>627.57794365460245</v>
      </c>
    </row>
    <row r="87" spans="1:154">
      <c r="A87" s="360"/>
      <c r="B87" s="360" t="s">
        <v>211</v>
      </c>
      <c r="C87" s="360"/>
      <c r="D87" s="730">
        <f>2*2*77.337*2</f>
        <v>618.69600000000003</v>
      </c>
      <c r="E87" s="721">
        <f>83.94*2*2*2</f>
        <v>671.52</v>
      </c>
      <c r="F87" s="721">
        <f>85.134*2*2*2</f>
        <v>681.072</v>
      </c>
      <c r="G87" s="721">
        <f>172.657*2*2</f>
        <v>690.62800000000004</v>
      </c>
      <c r="H87" s="721">
        <f>174.244*2*2</f>
        <v>696.976</v>
      </c>
      <c r="I87" s="730">
        <f>170.796*2*2</f>
        <v>683.18399999999997</v>
      </c>
      <c r="J87" s="721">
        <f>174.526*2*2</f>
        <v>698.10400000000004</v>
      </c>
      <c r="K87" s="721">
        <f>176.854*2*2</f>
        <v>707.41600000000005</v>
      </c>
      <c r="L87" s="721">
        <f>177.064*2*2</f>
        <v>708.25599999999997</v>
      </c>
      <c r="M87" s="721">
        <f>173.669*2*2</f>
        <v>694.67600000000004</v>
      </c>
      <c r="N87" s="730">
        <f>2*345.71</f>
        <v>691.42</v>
      </c>
      <c r="O87" s="731">
        <f>2*191.108*2</f>
        <v>764.43200000000002</v>
      </c>
      <c r="P87" s="731">
        <f>2*192.523*2</f>
        <v>770.09199999999998</v>
      </c>
      <c r="Q87" s="731">
        <f>2*179.862*2</f>
        <v>719.44799999999998</v>
      </c>
      <c r="R87" s="731">
        <f>2*179.999*2</f>
        <v>719.99599999999998</v>
      </c>
      <c r="S87" s="730">
        <f>2*195.292*2</f>
        <v>781.16800000000001</v>
      </c>
      <c r="T87" s="731">
        <f>2*400.699</f>
        <v>801.39800000000002</v>
      </c>
      <c r="U87" s="731">
        <f>2*403.381</f>
        <v>806.76199999999994</v>
      </c>
      <c r="V87" s="731">
        <f>2*404.858</f>
        <v>809.71600000000001</v>
      </c>
      <c r="W87" s="731">
        <f>2*419.334</f>
        <v>838.66800000000001</v>
      </c>
      <c r="X87" s="730">
        <f>2*407.181</f>
        <v>814.36199999999997</v>
      </c>
      <c r="Y87" s="731">
        <f>2*429.306</f>
        <v>858.61199999999997</v>
      </c>
      <c r="Z87" s="731">
        <f>2*431.377</f>
        <v>862.75400000000002</v>
      </c>
      <c r="AA87" s="731">
        <f>2*432.817</f>
        <v>865.63400000000001</v>
      </c>
      <c r="AB87" s="731">
        <f>2*433.85</f>
        <v>867.7</v>
      </c>
      <c r="AC87" s="730">
        <f>2*431.858</f>
        <v>863.71600000000001</v>
      </c>
      <c r="AD87" s="731">
        <f>2*442.039</f>
        <v>884.07799999999997</v>
      </c>
      <c r="AE87" s="731">
        <f>2*466.687</f>
        <v>933.37400000000002</v>
      </c>
      <c r="AF87" s="731">
        <f>2*468.891</f>
        <v>937.78200000000004</v>
      </c>
      <c r="AG87" s="731">
        <f>2*468.477</f>
        <v>936.95399999999995</v>
      </c>
      <c r="AH87" s="730">
        <f>2*461.626</f>
        <v>923.25199999999995</v>
      </c>
      <c r="AI87" s="731">
        <f>2*468.105</f>
        <v>936.21</v>
      </c>
      <c r="AJ87" s="731">
        <f>2*467.082</f>
        <v>934.16399999999999</v>
      </c>
      <c r="AK87" s="731">
        <f>2*467.057</f>
        <v>934.11400000000003</v>
      </c>
      <c r="AL87" s="731">
        <f>2*466.965</f>
        <v>933.93</v>
      </c>
      <c r="AM87" s="730">
        <f>2*467.354</f>
        <v>934.70799999999997</v>
      </c>
      <c r="AN87" s="731">
        <f>2*467.655</f>
        <v>935.31</v>
      </c>
      <c r="AO87" s="731">
        <f>2*467.425</f>
        <v>934.85</v>
      </c>
      <c r="AP87" s="731">
        <f>2*466.332</f>
        <v>932.66399999999999</v>
      </c>
      <c r="AQ87" s="731">
        <f>2*476.709</f>
        <v>953.41800000000001</v>
      </c>
      <c r="AR87" s="730">
        <f>2*469.517</f>
        <v>939.03399999999999</v>
      </c>
      <c r="AS87" s="731">
        <f>2*472.235</f>
        <v>944.47</v>
      </c>
      <c r="AT87" s="731">
        <f>2*469.962</f>
        <v>939.92399999999998</v>
      </c>
      <c r="AU87" s="731">
        <f>2*459.53</f>
        <v>919.06</v>
      </c>
      <c r="AV87" s="731">
        <f>2*449.747</f>
        <v>899.49400000000003</v>
      </c>
      <c r="AW87" s="730">
        <f>2*462.748</f>
        <v>925.49599999999998</v>
      </c>
      <c r="AX87" s="721">
        <f>2*448.598</f>
        <v>897.19600000000003</v>
      </c>
      <c r="AY87" s="721">
        <f>2*445.379</f>
        <v>890.75800000000004</v>
      </c>
      <c r="AZ87" s="721">
        <f>2*436.272</f>
        <v>872.54399999999998</v>
      </c>
      <c r="BA87" s="721">
        <f>2*432.31</f>
        <v>864.62</v>
      </c>
      <c r="BB87" s="730">
        <f>2*440.796</f>
        <v>881.59199999999998</v>
      </c>
      <c r="BC87" s="622">
        <f>2*432.2</f>
        <v>864.4</v>
      </c>
      <c r="BD87" s="622">
        <f>2*429.3</f>
        <v>858.6</v>
      </c>
      <c r="BE87" s="622">
        <f>2*428.8</f>
        <v>857.6</v>
      </c>
      <c r="BF87" s="721">
        <f>2*428.6</f>
        <v>857.2</v>
      </c>
      <c r="BG87" s="730">
        <f>2*430.3</f>
        <v>860.6</v>
      </c>
      <c r="BH87" s="391">
        <f>2*422.5</f>
        <v>845</v>
      </c>
      <c r="BI87" s="391">
        <v>831</v>
      </c>
      <c r="BJ87" s="391">
        <v>832.8</v>
      </c>
      <c r="BK87" s="391">
        <v>834.6</v>
      </c>
      <c r="BL87" s="767">
        <v>836</v>
      </c>
      <c r="BM87" s="391">
        <v>834.1</v>
      </c>
      <c r="BN87" s="391">
        <v>825.3</v>
      </c>
      <c r="BO87" s="391">
        <v>823.6</v>
      </c>
      <c r="BP87" s="391">
        <v>816.5</v>
      </c>
      <c r="BQ87" s="730">
        <f>AVERAGE(BM87:BP87)</f>
        <v>824.875</v>
      </c>
      <c r="BR87" s="391">
        <v>807.7</v>
      </c>
      <c r="BS87" s="391">
        <v>801.5</v>
      </c>
      <c r="BT87" s="391">
        <v>801.5</v>
      </c>
      <c r="BU87" s="391">
        <v>802.2</v>
      </c>
      <c r="BV87" s="730">
        <f>AVERAGE(BR87:BU87)</f>
        <v>803.22499999999991</v>
      </c>
      <c r="BW87" s="391">
        <v>811.2</v>
      </c>
      <c r="BX87" s="391">
        <v>811.7</v>
      </c>
      <c r="BY87" s="391">
        <v>815.2</v>
      </c>
      <c r="BZ87" s="391">
        <v>797.4</v>
      </c>
      <c r="CA87" s="730">
        <f>AVERAGE(BW87:BZ87)</f>
        <v>808.87500000000011</v>
      </c>
      <c r="CB87" s="721">
        <f>BZ87-10</f>
        <v>787.4</v>
      </c>
      <c r="CC87" s="721">
        <f>CB87-10</f>
        <v>777.4</v>
      </c>
      <c r="CD87" s="721">
        <f>CC87-7.5</f>
        <v>769.9</v>
      </c>
      <c r="CE87" s="721">
        <f>CD87-5</f>
        <v>764.9</v>
      </c>
      <c r="CF87" s="730">
        <f>AVERAGE(CB87:CE87)</f>
        <v>774.9</v>
      </c>
      <c r="CG87" s="721"/>
      <c r="CH87" s="721"/>
      <c r="CI87" s="721"/>
      <c r="CJ87" s="721"/>
      <c r="CK87" s="730">
        <f>(CF87/CF86)*CK86</f>
        <v>778.8652301510574</v>
      </c>
      <c r="CL87" s="721"/>
      <c r="CM87" s="721"/>
      <c r="CN87" s="721"/>
      <c r="CO87" s="721"/>
      <c r="CP87" s="730">
        <f>(CK87/CK86)*CP86</f>
        <v>750.2652204308157</v>
      </c>
      <c r="CQ87" s="721"/>
      <c r="CR87" s="721"/>
      <c r="CS87" s="721"/>
      <c r="CT87" s="721"/>
      <c r="CU87" s="730">
        <f>(CP87/CP86)*CU86</f>
        <v>721.18491697879745</v>
      </c>
      <c r="CV87" s="721"/>
      <c r="CW87" s="721"/>
      <c r="CX87" s="721"/>
      <c r="CY87" s="721"/>
      <c r="CZ87" s="730">
        <f>(CU87/CU86)*CZ86</f>
        <v>698.18476267788731</v>
      </c>
      <c r="DA87" s="721"/>
      <c r="DB87" s="721"/>
      <c r="DC87" s="721"/>
      <c r="DD87" s="721"/>
      <c r="DE87" s="730">
        <f>(CZ87/CZ86)*DE86</f>
        <v>677.42438609555109</v>
      </c>
      <c r="DF87" s="721"/>
      <c r="DG87" s="721"/>
      <c r="DH87" s="721"/>
      <c r="DI87" s="721"/>
      <c r="DJ87" s="730">
        <f>(DE87/DE86)*DJ86</f>
        <v>662.87134206483779</v>
      </c>
      <c r="DK87" s="721"/>
      <c r="DL87" s="721"/>
      <c r="DM87" s="721"/>
      <c r="DN87" s="721"/>
      <c r="DO87" s="730">
        <f>(DJ87/DJ86)*DO86</f>
        <v>653.29537045046402</v>
      </c>
      <c r="DP87" s="721"/>
      <c r="DQ87" s="721"/>
      <c r="DR87" s="721"/>
      <c r="DS87" s="721"/>
      <c r="DT87" s="730">
        <f>(DO87/DO86)*DT86</f>
        <v>644.86992674453427</v>
      </c>
      <c r="DU87" s="721"/>
      <c r="DV87" s="721"/>
      <c r="DW87" s="721"/>
      <c r="DX87" s="721"/>
      <c r="DY87" s="730">
        <f>(DT87/DT86)*DY86</f>
        <v>637.67554790063957</v>
      </c>
      <c r="DZ87" s="721"/>
      <c r="EA87" s="721"/>
      <c r="EB87" s="721"/>
      <c r="EC87" s="721"/>
      <c r="ED87" s="730">
        <f>(DY87/DY86)*ED86</f>
        <v>635.70022114794403</v>
      </c>
      <c r="EE87" s="721"/>
      <c r="EF87" s="721"/>
      <c r="EG87" s="721"/>
      <c r="EH87" s="721"/>
      <c r="EI87" s="730">
        <f>(ED87/ED86)*EI86</f>
        <v>641.6373617038289</v>
      </c>
      <c r="EJ87" s="721"/>
      <c r="EK87" s="721"/>
      <c r="EL87" s="721"/>
      <c r="EM87" s="721"/>
      <c r="EN87" s="730">
        <f>(EI87/EI86)*EN86</f>
        <v>652.98442234031745</v>
      </c>
    </row>
    <row r="88" spans="1:154" ht="13.5" thickBot="1">
      <c r="A88" s="360"/>
      <c r="B88" s="360" t="s">
        <v>761</v>
      </c>
      <c r="C88" s="360"/>
      <c r="D88" s="730">
        <f>IF(D82&lt;0,D86,D87)</f>
        <v>618.69600000000003</v>
      </c>
      <c r="E88" s="721">
        <f t="shared" ref="E88:BO88" si="61">IF(E82&lt;0,E86,E87)</f>
        <v>671.52</v>
      </c>
      <c r="F88" s="721">
        <f t="shared" si="61"/>
        <v>681.072</v>
      </c>
      <c r="G88" s="721">
        <f t="shared" si="61"/>
        <v>690.62800000000004</v>
      </c>
      <c r="H88" s="721">
        <f t="shared" si="61"/>
        <v>696.976</v>
      </c>
      <c r="I88" s="730">
        <f t="shared" si="61"/>
        <v>683.18399999999997</v>
      </c>
      <c r="J88" s="721">
        <f t="shared" si="61"/>
        <v>698.10400000000004</v>
      </c>
      <c r="K88" s="721">
        <f t="shared" si="61"/>
        <v>707.41600000000005</v>
      </c>
      <c r="L88" s="721">
        <f t="shared" si="61"/>
        <v>708.25599999999997</v>
      </c>
      <c r="M88" s="721">
        <f t="shared" si="61"/>
        <v>694.67600000000004</v>
      </c>
      <c r="N88" s="730">
        <f t="shared" si="61"/>
        <v>691.42</v>
      </c>
      <c r="O88" s="731">
        <f t="shared" si="61"/>
        <v>764.43200000000002</v>
      </c>
      <c r="P88" s="731">
        <f t="shared" si="61"/>
        <v>770.09199999999998</v>
      </c>
      <c r="Q88" s="731">
        <f t="shared" si="61"/>
        <v>719.44799999999998</v>
      </c>
      <c r="R88" s="731">
        <f t="shared" si="61"/>
        <v>719.99599999999998</v>
      </c>
      <c r="S88" s="730">
        <f t="shared" si="61"/>
        <v>781.16800000000001</v>
      </c>
      <c r="T88" s="731">
        <f t="shared" si="61"/>
        <v>801.39800000000002</v>
      </c>
      <c r="U88" s="731">
        <f t="shared" si="61"/>
        <v>806.76199999999994</v>
      </c>
      <c r="V88" s="731">
        <f t="shared" si="61"/>
        <v>809.71600000000001</v>
      </c>
      <c r="W88" s="731">
        <f t="shared" si="61"/>
        <v>838.66800000000001</v>
      </c>
      <c r="X88" s="730">
        <f t="shared" si="61"/>
        <v>814.36199999999997</v>
      </c>
      <c r="Y88" s="731">
        <f t="shared" si="61"/>
        <v>858.61199999999997</v>
      </c>
      <c r="Z88" s="731">
        <f t="shared" si="61"/>
        <v>862.75400000000002</v>
      </c>
      <c r="AA88" s="731">
        <f t="shared" si="61"/>
        <v>865.63400000000001</v>
      </c>
      <c r="AB88" s="731">
        <f t="shared" si="61"/>
        <v>867.7</v>
      </c>
      <c r="AC88" s="730">
        <f t="shared" si="61"/>
        <v>863.71600000000001</v>
      </c>
      <c r="AD88" s="731">
        <f t="shared" si="61"/>
        <v>824.52599999999995</v>
      </c>
      <c r="AE88" s="731">
        <f t="shared" si="61"/>
        <v>933.37400000000002</v>
      </c>
      <c r="AF88" s="731">
        <f t="shared" si="61"/>
        <v>937.78200000000004</v>
      </c>
      <c r="AG88" s="731">
        <f t="shared" si="61"/>
        <v>917.48400000000004</v>
      </c>
      <c r="AH88" s="730">
        <f t="shared" si="61"/>
        <v>885.24</v>
      </c>
      <c r="AI88" s="731">
        <f t="shared" si="61"/>
        <v>936.21</v>
      </c>
      <c r="AJ88" s="731">
        <f t="shared" si="61"/>
        <v>934.16399999999999</v>
      </c>
      <c r="AK88" s="731">
        <f t="shared" si="61"/>
        <v>934.11400000000003</v>
      </c>
      <c r="AL88" s="731">
        <f t="shared" si="61"/>
        <v>933.93</v>
      </c>
      <c r="AM88" s="730">
        <f t="shared" si="61"/>
        <v>934.70799999999997</v>
      </c>
      <c r="AN88" s="731">
        <f t="shared" si="61"/>
        <v>935.31</v>
      </c>
      <c r="AO88" s="731">
        <f t="shared" si="61"/>
        <v>934.85</v>
      </c>
      <c r="AP88" s="731">
        <f t="shared" si="61"/>
        <v>932.66399999999999</v>
      </c>
      <c r="AQ88" s="731">
        <f t="shared" si="61"/>
        <v>953.41800000000001</v>
      </c>
      <c r="AR88" s="730">
        <f t="shared" si="61"/>
        <v>939.03399999999999</v>
      </c>
      <c r="AS88" s="731">
        <f t="shared" si="61"/>
        <v>944.47</v>
      </c>
      <c r="AT88" s="731">
        <f t="shared" si="61"/>
        <v>939.92399999999998</v>
      </c>
      <c r="AU88" s="731">
        <f t="shared" si="61"/>
        <v>919.06</v>
      </c>
      <c r="AV88" s="731">
        <f t="shared" si="61"/>
        <v>899.49400000000003</v>
      </c>
      <c r="AW88" s="730">
        <f t="shared" si="61"/>
        <v>925.49599999999998</v>
      </c>
      <c r="AX88" s="721">
        <f t="shared" si="61"/>
        <v>897.19600000000003</v>
      </c>
      <c r="AY88" s="721">
        <f t="shared" si="61"/>
        <v>890.75800000000004</v>
      </c>
      <c r="AZ88" s="721">
        <f t="shared" si="61"/>
        <v>872.54399999999998</v>
      </c>
      <c r="BA88" s="721">
        <f t="shared" si="61"/>
        <v>864.62</v>
      </c>
      <c r="BB88" s="730">
        <f t="shared" si="61"/>
        <v>881.59199999999998</v>
      </c>
      <c r="BC88" s="622">
        <f t="shared" si="61"/>
        <v>864.4</v>
      </c>
      <c r="BD88" s="622">
        <f t="shared" si="61"/>
        <v>858.6</v>
      </c>
      <c r="BE88" s="622">
        <f t="shared" si="61"/>
        <v>857.6</v>
      </c>
      <c r="BF88" s="721">
        <f t="shared" si="61"/>
        <v>857.2</v>
      </c>
      <c r="BG88" s="730">
        <f t="shared" si="61"/>
        <v>860.6</v>
      </c>
      <c r="BH88" s="721">
        <f>IF(BH82&lt;0,BH86,BH87)</f>
        <v>845</v>
      </c>
      <c r="BI88" s="721">
        <f t="shared" si="61"/>
        <v>831</v>
      </c>
      <c r="BJ88" s="721">
        <f>IF(BJ82&lt;0,BJ86,BJ87)</f>
        <v>832.8</v>
      </c>
      <c r="BK88" s="721">
        <f>IF(BK82&lt;0,BK86,BK87)</f>
        <v>834.6</v>
      </c>
      <c r="BL88" s="356">
        <f t="shared" si="61"/>
        <v>836</v>
      </c>
      <c r="BM88" s="721">
        <f>IF(BM82&lt;0,BM86,BM87)</f>
        <v>834.1</v>
      </c>
      <c r="BN88" s="721">
        <f t="shared" si="61"/>
        <v>825.3</v>
      </c>
      <c r="BO88" s="721">
        <f t="shared" si="61"/>
        <v>791.1</v>
      </c>
      <c r="BP88" s="721">
        <f>IF(BP82&lt;0,BP86,BP87)</f>
        <v>816.5</v>
      </c>
      <c r="BQ88" s="356">
        <f>IF(BQ82&lt;0,BQ86,BQ87)</f>
        <v>824.875</v>
      </c>
      <c r="BR88" s="721">
        <f>IF(BR82&lt;0,BR86,BR87)</f>
        <v>807.7</v>
      </c>
      <c r="BS88" s="721">
        <f t="shared" ref="BS88:BU88" si="62">IF(BS82&lt;0,BS86,BS87)</f>
        <v>801.5</v>
      </c>
      <c r="BT88" s="721">
        <f t="shared" si="62"/>
        <v>801.5</v>
      </c>
      <c r="BU88" s="721">
        <f t="shared" si="62"/>
        <v>802.2</v>
      </c>
      <c r="BV88" s="356">
        <f>IF(BV82&lt;0,BV86,BV87)</f>
        <v>803.22499999999991</v>
      </c>
      <c r="BW88" s="721">
        <f>IF(BW82&lt;0,BW86,BW87)</f>
        <v>811.2</v>
      </c>
      <c r="BX88" s="721">
        <f t="shared" ref="BX88:CE88" si="63">IF(BX82&lt;0,BX86,BX87)</f>
        <v>811.7</v>
      </c>
      <c r="BY88" s="721">
        <f t="shared" si="63"/>
        <v>815.2</v>
      </c>
      <c r="BZ88" s="721">
        <f t="shared" si="63"/>
        <v>773.5</v>
      </c>
      <c r="CA88" s="356">
        <f>IF(CA82&lt;0,CA86,CA87)</f>
        <v>808.87500000000011</v>
      </c>
      <c r="CB88" s="721">
        <f t="shared" si="63"/>
        <v>787.4</v>
      </c>
      <c r="CC88" s="721">
        <f t="shared" si="63"/>
        <v>777.4</v>
      </c>
      <c r="CD88" s="721">
        <f t="shared" si="63"/>
        <v>769.9</v>
      </c>
      <c r="CE88" s="721">
        <f t="shared" si="63"/>
        <v>764.9</v>
      </c>
      <c r="CF88" s="356">
        <f>IF(CF82&lt;0,CF86,CF87)</f>
        <v>774.9</v>
      </c>
      <c r="CG88" s="622"/>
      <c r="CH88" s="622"/>
      <c r="CI88" s="622"/>
      <c r="CJ88" s="622"/>
      <c r="CK88" s="356">
        <f>IF(CK82&lt;0,CK86,CK87)</f>
        <v>778.8652301510574</v>
      </c>
      <c r="CL88" s="622"/>
      <c r="CM88" s="622"/>
      <c r="CN88" s="622"/>
      <c r="CO88" s="622"/>
      <c r="CP88" s="356">
        <f>IF(CP82&lt;0,CP86,CP87)</f>
        <v>750.2652204308157</v>
      </c>
      <c r="CQ88" s="622"/>
      <c r="CR88" s="622"/>
      <c r="CS88" s="622"/>
      <c r="CT88" s="622"/>
      <c r="CU88" s="356">
        <f>IF(CU82&lt;0,CU86,CU87)</f>
        <v>721.18491697879745</v>
      </c>
      <c r="CV88" s="622"/>
      <c r="CW88" s="622"/>
      <c r="CX88" s="622"/>
      <c r="CY88" s="622"/>
      <c r="CZ88" s="356">
        <f>IF(CZ82&lt;0,CZ86,CZ87)</f>
        <v>698.18476267788731</v>
      </c>
      <c r="DA88" s="622"/>
      <c r="DB88" s="622"/>
      <c r="DC88" s="622"/>
      <c r="DD88" s="622"/>
      <c r="DE88" s="356">
        <f>IF(DE82&lt;0,DE86,DE87)</f>
        <v>677.42438609555109</v>
      </c>
      <c r="DF88" s="622"/>
      <c r="DG88" s="622"/>
      <c r="DH88" s="622"/>
      <c r="DI88" s="622"/>
      <c r="DJ88" s="356">
        <f>IF(DJ82&lt;0,DJ86,DJ87)</f>
        <v>662.87134206483779</v>
      </c>
      <c r="DK88" s="622"/>
      <c r="DL88" s="622"/>
      <c r="DM88" s="622"/>
      <c r="DN88" s="622"/>
      <c r="DO88" s="356">
        <f>IF(DO82&lt;0,DO86,DO87)</f>
        <v>653.29537045046402</v>
      </c>
      <c r="DP88" s="622"/>
      <c r="DQ88" s="622"/>
      <c r="DR88" s="622"/>
      <c r="DS88" s="622"/>
      <c r="DT88" s="356">
        <f>IF(DT82&lt;0,DT86,DT87)</f>
        <v>644.86992674453427</v>
      </c>
      <c r="DU88" s="622"/>
      <c r="DV88" s="622"/>
      <c r="DW88" s="622"/>
      <c r="DX88" s="622"/>
      <c r="DY88" s="356">
        <f>IF(DY82&lt;0,DY86,DY87)</f>
        <v>637.67554790063957</v>
      </c>
      <c r="DZ88" s="622"/>
      <c r="EA88" s="622"/>
      <c r="EB88" s="622"/>
      <c r="EC88" s="622"/>
      <c r="ED88" s="356">
        <f>IF(ED82&lt;0,ED86,ED87)</f>
        <v>635.70022114794403</v>
      </c>
      <c r="EE88" s="622"/>
      <c r="EF88" s="622"/>
      <c r="EG88" s="622"/>
      <c r="EH88" s="622"/>
      <c r="EI88" s="356">
        <f>IF(EI82&lt;0,EI86,EI87)</f>
        <v>641.6373617038289</v>
      </c>
      <c r="EJ88" s="622"/>
      <c r="EK88" s="622"/>
      <c r="EL88" s="622"/>
      <c r="EM88" s="622"/>
      <c r="EN88" s="356">
        <f>IF(EN82&lt;0,EN86,EN87)</f>
        <v>652.98442234031745</v>
      </c>
      <c r="EQ88" s="115"/>
    </row>
    <row r="89" spans="1:154" s="417" customFormat="1" ht="13.5" thickBot="1">
      <c r="D89" s="418"/>
      <c r="E89" s="419"/>
      <c r="F89" s="419"/>
      <c r="G89" s="419"/>
      <c r="H89" s="419"/>
      <c r="I89" s="418"/>
      <c r="J89" s="419"/>
      <c r="K89" s="419"/>
      <c r="L89" s="419"/>
      <c r="M89" s="419"/>
      <c r="N89" s="418"/>
      <c r="O89" s="420"/>
      <c r="P89" s="420"/>
      <c r="Q89" s="420"/>
      <c r="R89" s="420"/>
      <c r="S89" s="418"/>
      <c r="T89" s="420"/>
      <c r="U89" s="420"/>
      <c r="V89" s="420"/>
      <c r="W89" s="420"/>
      <c r="X89" s="418"/>
      <c r="Y89" s="420"/>
      <c r="Z89" s="420"/>
      <c r="AA89" s="420"/>
      <c r="AB89" s="420"/>
      <c r="AC89" s="418"/>
      <c r="AD89" s="420"/>
      <c r="AE89" s="420"/>
      <c r="AF89" s="420"/>
      <c r="AG89" s="420"/>
      <c r="AH89" s="418"/>
      <c r="AI89" s="420"/>
      <c r="AJ89" s="420"/>
      <c r="AK89" s="420"/>
      <c r="AL89" s="420"/>
      <c r="AM89" s="418"/>
      <c r="AN89" s="420"/>
      <c r="AO89" s="420"/>
      <c r="AP89" s="420"/>
      <c r="AQ89" s="420"/>
      <c r="AR89" s="418"/>
      <c r="AS89" s="420"/>
      <c r="AT89" s="420"/>
      <c r="AU89" s="420"/>
      <c r="AV89" s="420"/>
      <c r="AW89" s="418"/>
      <c r="AX89" s="419"/>
      <c r="AY89" s="419"/>
      <c r="AZ89" s="419"/>
      <c r="BA89" s="419"/>
      <c r="BB89" s="418"/>
      <c r="BC89" s="419"/>
      <c r="BD89" s="419"/>
      <c r="BE89" s="419"/>
      <c r="BF89" s="721"/>
      <c r="BG89" s="418"/>
      <c r="BH89" s="419"/>
      <c r="BI89" s="419"/>
      <c r="BJ89" s="419"/>
      <c r="BK89" s="419"/>
      <c r="BL89" s="412">
        <f>(BF86-BL86)*2/5</f>
        <v>7.8799999999999724</v>
      </c>
      <c r="BM89" s="419"/>
      <c r="BN89" s="419"/>
      <c r="BO89" s="419"/>
      <c r="BP89" s="419"/>
      <c r="BQ89" s="418">
        <f>CF!P86-CF!P76</f>
        <v>16.600000000000001</v>
      </c>
      <c r="BR89" s="419"/>
      <c r="BS89" s="419"/>
      <c r="BT89" s="419"/>
      <c r="BU89" s="419"/>
      <c r="BV89" s="962"/>
      <c r="BW89" s="411"/>
      <c r="BX89" s="411"/>
      <c r="BY89" s="411"/>
      <c r="BZ89" s="411"/>
      <c r="CA89" s="975"/>
      <c r="CB89" s="419"/>
      <c r="CC89" s="419"/>
      <c r="CD89" s="377" t="s">
        <v>432</v>
      </c>
      <c r="CE89" s="378"/>
      <c r="CF89" s="379" t="s">
        <v>1050</v>
      </c>
      <c r="CG89" s="419"/>
      <c r="CH89" s="419"/>
      <c r="CI89" s="419"/>
      <c r="CJ89" s="419"/>
      <c r="CL89" s="378"/>
      <c r="CM89" s="785"/>
      <c r="CN89" s="785"/>
      <c r="CO89" s="378"/>
      <c r="CQ89" s="419"/>
      <c r="CR89" s="419"/>
      <c r="CS89" s="419"/>
      <c r="CT89" s="419"/>
      <c r="CU89" s="412"/>
      <c r="CV89" s="419"/>
      <c r="CW89" s="419"/>
      <c r="CX89" s="419"/>
      <c r="CY89" s="419"/>
      <c r="CZ89" s="412"/>
      <c r="DA89" s="419"/>
      <c r="DB89" s="419"/>
      <c r="DC89" s="419"/>
      <c r="DD89" s="419"/>
      <c r="DE89" s="412"/>
      <c r="DF89" s="419"/>
      <c r="DG89" s="419"/>
      <c r="DH89" s="419"/>
      <c r="DI89" s="419"/>
      <c r="DJ89" s="412"/>
      <c r="DK89" s="419"/>
      <c r="DL89" s="419"/>
      <c r="DM89" s="419"/>
      <c r="DN89" s="419"/>
      <c r="DO89" s="412"/>
      <c r="DP89" s="419"/>
      <c r="DQ89" s="419"/>
      <c r="DR89" s="419"/>
      <c r="DS89" s="419"/>
      <c r="DT89" s="412"/>
      <c r="DU89" s="419"/>
      <c r="DV89" s="419"/>
      <c r="DW89" s="419"/>
      <c r="DX89" s="419"/>
      <c r="DY89" s="412"/>
      <c r="DZ89" s="419"/>
      <c r="EA89" s="419"/>
      <c r="EB89" s="419"/>
      <c r="EC89" s="419"/>
      <c r="ED89" s="412"/>
      <c r="EE89" s="419"/>
      <c r="EF89" s="419"/>
      <c r="EG89" s="419"/>
      <c r="EH89" s="419"/>
      <c r="EI89" s="412"/>
      <c r="EJ89" s="419"/>
      <c r="EK89" s="419"/>
      <c r="EL89" s="419"/>
      <c r="EM89" s="419"/>
      <c r="EN89" s="412"/>
      <c r="EQ89" s="360"/>
      <c r="ES89"/>
      <c r="ET89"/>
      <c r="EU89"/>
      <c r="EV89"/>
      <c r="EW89"/>
      <c r="EX89"/>
    </row>
    <row r="90" spans="1:154">
      <c r="B90" t="s">
        <v>697</v>
      </c>
      <c r="D90" s="89">
        <v>5.1820000000000004</v>
      </c>
      <c r="E90" s="388">
        <v>2.0129999999999999</v>
      </c>
      <c r="F90" s="388">
        <f>4.184-E90</f>
        <v>2.1710000000000003</v>
      </c>
      <c r="G90" s="388">
        <f>6.142-F90-E90</f>
        <v>1.9580000000000002</v>
      </c>
      <c r="H90" s="388">
        <f>8.027-G90-F90-E90</f>
        <v>1.8849999999999989</v>
      </c>
      <c r="I90" s="89">
        <f>+H90+G90+F90+E90</f>
        <v>8.0269999999999992</v>
      </c>
      <c r="J90" s="388">
        <v>2.008</v>
      </c>
      <c r="K90" s="388">
        <f>4.062-J90</f>
        <v>2.0540000000000003</v>
      </c>
      <c r="L90" s="388">
        <f>6.26-K90-J90</f>
        <v>2.1979999999999995</v>
      </c>
      <c r="M90" s="388">
        <f>9.69-L90-K90-J90</f>
        <v>3.4299999999999997</v>
      </c>
      <c r="N90" s="89">
        <f>+M90+L90+K90+J90</f>
        <v>9.69</v>
      </c>
      <c r="O90" s="79">
        <v>3.1909999999999998</v>
      </c>
      <c r="P90" s="79">
        <f>5.381-O90</f>
        <v>2.1900000000000004</v>
      </c>
      <c r="Q90" s="79">
        <f>9.771-P90-O90</f>
        <v>4.3900000000000006</v>
      </c>
      <c r="R90" s="79">
        <f>14.286-Q90-P90-O90</f>
        <v>4.5149999999999988</v>
      </c>
      <c r="S90" s="89">
        <f>+R90+Q90+P90+O90</f>
        <v>14.285999999999998</v>
      </c>
      <c r="T90" s="79">
        <v>5.5919999999999996</v>
      </c>
      <c r="U90" s="79">
        <f>12.101-T90</f>
        <v>6.5090000000000012</v>
      </c>
      <c r="V90" s="79">
        <f>18.647-U90-T90</f>
        <v>6.5459999999999985</v>
      </c>
      <c r="W90" s="79">
        <f>25.714-V90-U90-T90</f>
        <v>7.0669999999999993</v>
      </c>
      <c r="X90" s="89">
        <f>+W90+V90+U90+T90</f>
        <v>25.713999999999999</v>
      </c>
      <c r="Y90" s="79">
        <f>4.698+2.215</f>
        <v>6.9130000000000003</v>
      </c>
      <c r="Z90" s="79">
        <f>10.321+4.664-Y90</f>
        <v>8.0719999999999992</v>
      </c>
      <c r="AA90" s="79">
        <f>15.455+7.047-Z90-Y90</f>
        <v>7.5169999999999995</v>
      </c>
      <c r="AB90" s="79">
        <f>22.057+9.478-AA90-Z90-Y90</f>
        <v>9.0329999999999977</v>
      </c>
      <c r="AC90" s="89">
        <f>+AB90+AA90+Z90+Y90</f>
        <v>31.534999999999997</v>
      </c>
      <c r="AD90" s="79">
        <f>7.497+9.942</f>
        <v>17.439</v>
      </c>
      <c r="AE90" s="79">
        <f>15.622+45.209-AD90</f>
        <v>43.392000000000003</v>
      </c>
      <c r="AF90" s="79">
        <f>25.47+78.138-AE90-AD90</f>
        <v>42.777000000000001</v>
      </c>
      <c r="AG90" s="79">
        <f>33.797+104.365-AF90-AE90-AD90</f>
        <v>34.553999999999974</v>
      </c>
      <c r="AH90" s="89">
        <f>+AG90+AF90+AE90+AD90</f>
        <v>138.16199999999998</v>
      </c>
      <c r="AI90" s="79">
        <f>9.521+23.762</f>
        <v>33.283000000000001</v>
      </c>
      <c r="AJ90" s="79">
        <f>19.262+46.527-AI90</f>
        <v>32.506</v>
      </c>
      <c r="AK90" s="79">
        <f>29.671+68.104-AJ90-AI90</f>
        <v>31.986000000000004</v>
      </c>
      <c r="AL90" s="79">
        <f>41.682+84.386-AK90-AJ90-AI90</f>
        <v>28.292999999999992</v>
      </c>
      <c r="AM90" s="89">
        <f>+AL90+AK90+AJ90+AI90</f>
        <v>126.068</v>
      </c>
      <c r="AN90" s="79">
        <f>11.951+41.875</f>
        <v>53.826000000000001</v>
      </c>
      <c r="AO90" s="79">
        <f>25.47+89.224-AN90</f>
        <v>60.868000000000002</v>
      </c>
      <c r="AP90" s="79">
        <f>38.88+136.048-AO90-AN90</f>
        <v>60.234000000000002</v>
      </c>
      <c r="AQ90" s="79">
        <f>54.234+204.855-AP90-AO90-AN90</f>
        <v>84.161000000000001</v>
      </c>
      <c r="AR90" s="89">
        <f>+AQ90+AP90+AO90+AN90</f>
        <v>259.089</v>
      </c>
      <c r="AS90" s="79">
        <f>17.281+69.677</f>
        <v>86.957999999999998</v>
      </c>
      <c r="AT90" s="79">
        <f>35.019+140.249-AS90</f>
        <v>88.31</v>
      </c>
      <c r="AU90" s="79">
        <f>53.051+215.961-AT90-AS90</f>
        <v>93.744</v>
      </c>
      <c r="AV90" s="79">
        <f>(+AW90-AS90-AT90)/2</f>
        <v>93.791500000000013</v>
      </c>
      <c r="AW90" s="89">
        <f>+CF!L6</f>
        <v>362.851</v>
      </c>
      <c r="AX90" s="388">
        <f>18.574+42.016</f>
        <v>60.59</v>
      </c>
      <c r="AY90" s="388">
        <f>38.489+86.568-AX90</f>
        <v>64.466999999999985</v>
      </c>
      <c r="AZ90" s="388">
        <f>59.853+133.022-AX90-AY90</f>
        <v>67.818000000000012</v>
      </c>
      <c r="BA90" s="388">
        <f>+BB90-SUM(AX90:AZ90)</f>
        <v>90.572000000000003</v>
      </c>
      <c r="BB90" s="89">
        <f>+CF!M6</f>
        <v>283.447</v>
      </c>
      <c r="BC90" s="388">
        <f>+BG90/4</f>
        <v>93.525000000000006</v>
      </c>
      <c r="BD90" s="388">
        <f>+BG90/4</f>
        <v>93.525000000000006</v>
      </c>
      <c r="BE90" s="388">
        <f>+BG90/4</f>
        <v>93.525000000000006</v>
      </c>
      <c r="BF90" s="388">
        <f>+BG90/4</f>
        <v>93.525000000000006</v>
      </c>
      <c r="BG90" s="89">
        <f>+CF!N6</f>
        <v>374.1</v>
      </c>
      <c r="BH90" s="388">
        <f>+BL90/4</f>
        <v>93.4</v>
      </c>
      <c r="BI90" s="388">
        <f>+BL90/4</f>
        <v>93.4</v>
      </c>
      <c r="BJ90" s="388">
        <f>+BL90/4</f>
        <v>93.4</v>
      </c>
      <c r="BK90" s="388">
        <f>+BL90/4</f>
        <v>93.4</v>
      </c>
      <c r="BL90" s="12">
        <f>+CF!O6</f>
        <v>373.6</v>
      </c>
      <c r="BM90" s="388">
        <f>+BQ90/4</f>
        <v>102.22499999999999</v>
      </c>
      <c r="BN90" s="388">
        <f>+BQ90/4</f>
        <v>102.22499999999999</v>
      </c>
      <c r="BO90" s="388">
        <f>+BQ90/4</f>
        <v>102.22499999999999</v>
      </c>
      <c r="BP90" s="388">
        <f>+BQ90/4</f>
        <v>102.22499999999999</v>
      </c>
      <c r="BQ90" s="12">
        <f>+CF!P6</f>
        <v>408.9</v>
      </c>
      <c r="BR90" s="388">
        <f>BV90/4</f>
        <v>126.17500000000001</v>
      </c>
      <c r="BS90" s="388">
        <f>BV90/4</f>
        <v>126.17500000000001</v>
      </c>
      <c r="BT90" s="388">
        <f>BV90/4</f>
        <v>126.17500000000001</v>
      </c>
      <c r="BU90" s="388">
        <f>BV90-SUM(BR90:BT90)</f>
        <v>126.17500000000001</v>
      </c>
      <c r="BV90" s="12">
        <f>+CF!Q6</f>
        <v>504.70000000000005</v>
      </c>
      <c r="BW90" s="388">
        <f>CA90/4</f>
        <v>117.75</v>
      </c>
      <c r="BX90" s="388">
        <f>CA90/4</f>
        <v>117.75</v>
      </c>
      <c r="BY90" s="388">
        <f>CA90/4</f>
        <v>117.75</v>
      </c>
      <c r="BZ90" s="388">
        <f>CA90-BW90-BX90-BY90</f>
        <v>117.75</v>
      </c>
      <c r="CA90" s="12">
        <f>+CF!R6</f>
        <v>471</v>
      </c>
      <c r="CB90" s="388">
        <f>CF90/4</f>
        <v>138.28422927581212</v>
      </c>
      <c r="CC90" s="388">
        <f>CF90/4</f>
        <v>138.28422927581212</v>
      </c>
      <c r="CD90" s="388">
        <f>CF90/4</f>
        <v>138.28422927581212</v>
      </c>
      <c r="CE90" s="388">
        <f>CF90-CB90-CC90-CD90</f>
        <v>138.28422927581218</v>
      </c>
      <c r="CF90" s="12">
        <f>+CF!S6</f>
        <v>553.13691710324849</v>
      </c>
      <c r="CG90" s="388"/>
      <c r="CH90" s="388"/>
      <c r="CI90" s="388"/>
      <c r="CJ90" s="388"/>
      <c r="CK90" s="12">
        <f>+CF!T6</f>
        <v>582.32910891205211</v>
      </c>
      <c r="CL90" s="388"/>
      <c r="CM90" s="388"/>
      <c r="CN90" s="388"/>
      <c r="CO90" s="388"/>
      <c r="CP90" s="12">
        <f>+CF!U6</f>
        <v>623.89389255436026</v>
      </c>
      <c r="CQ90" s="388"/>
      <c r="CR90" s="388"/>
      <c r="CS90" s="388"/>
      <c r="CT90" s="388"/>
      <c r="CU90" s="12">
        <f>+CF!V6</f>
        <v>672.74686786654729</v>
      </c>
      <c r="CV90" s="388"/>
      <c r="CW90" s="388"/>
      <c r="CX90" s="388"/>
      <c r="CY90" s="388"/>
      <c r="CZ90" s="12">
        <f>+CF!W6</f>
        <v>725.64325174832231</v>
      </c>
      <c r="DA90" s="388"/>
      <c r="DB90" s="388"/>
      <c r="DC90" s="388"/>
      <c r="DD90" s="388"/>
      <c r="DE90" s="12">
        <f>+CF!X6</f>
        <v>779.46384528836302</v>
      </c>
      <c r="DF90" s="388"/>
      <c r="DG90" s="388"/>
      <c r="DH90" s="388"/>
      <c r="DI90" s="388"/>
      <c r="DJ90" s="12">
        <f>+CF!Y6</f>
        <v>832.15173187221285</v>
      </c>
      <c r="DK90" s="388"/>
      <c r="DL90" s="388"/>
      <c r="DM90" s="388"/>
      <c r="DN90" s="388"/>
      <c r="DO90" s="12">
        <f>+CF!Z6</f>
        <v>883.65785495545515</v>
      </c>
      <c r="DP90" s="388"/>
      <c r="DQ90" s="388"/>
      <c r="DR90" s="388"/>
      <c r="DS90" s="388"/>
      <c r="DT90" s="12">
        <f>+CF!AA6</f>
        <v>914.81039369180212</v>
      </c>
      <c r="DU90" s="388"/>
      <c r="DV90" s="388"/>
      <c r="DW90" s="388"/>
      <c r="DX90" s="388"/>
      <c r="DY90" s="12">
        <f>+CF!AB6</f>
        <v>938.86853693744695</v>
      </c>
      <c r="DZ90" s="388"/>
      <c r="EA90" s="388"/>
      <c r="EB90" s="388"/>
      <c r="EC90" s="388"/>
      <c r="ED90" s="12">
        <f>+CF!AC6</f>
        <v>961.97908769948231</v>
      </c>
      <c r="EE90" s="388"/>
      <c r="EF90" s="388"/>
      <c r="EG90" s="388"/>
      <c r="EH90" s="388"/>
      <c r="EI90" s="12">
        <f>+CF!AD6</f>
        <v>984.99767396496031</v>
      </c>
      <c r="EJ90" s="388"/>
      <c r="EK90" s="388"/>
      <c r="EL90" s="388"/>
      <c r="EM90" s="388"/>
      <c r="EN90" s="12">
        <f>+CF!AF6</f>
        <v>0</v>
      </c>
    </row>
    <row r="91" spans="1:154" s="362" customFormat="1">
      <c r="B91" s="362" t="s">
        <v>696</v>
      </c>
      <c r="D91" s="363">
        <f t="shared" ref="D91:AI91" si="64">D20+D90</f>
        <v>-31.034999999999997</v>
      </c>
      <c r="E91" s="413">
        <f t="shared" si="64"/>
        <v>-1.6540000000000017</v>
      </c>
      <c r="F91" s="413">
        <f t="shared" si="64"/>
        <v>1.4060000000000032</v>
      </c>
      <c r="G91" s="413">
        <f t="shared" si="64"/>
        <v>2.8640000000000132</v>
      </c>
      <c r="H91" s="413">
        <f t="shared" si="64"/>
        <v>6.6510000000000256</v>
      </c>
      <c r="I91" s="363">
        <f t="shared" si="64"/>
        <v>9.2670000000000083</v>
      </c>
      <c r="J91" s="413">
        <f t="shared" si="64"/>
        <v>6.8220000000000072</v>
      </c>
      <c r="K91" s="413">
        <f t="shared" si="64"/>
        <v>11.352999999999993</v>
      </c>
      <c r="L91" s="413">
        <f t="shared" si="64"/>
        <v>20.595999999999989</v>
      </c>
      <c r="M91" s="413">
        <f t="shared" si="64"/>
        <v>13.64700000000002</v>
      </c>
      <c r="N91" s="363">
        <f t="shared" si="64"/>
        <v>52.418000000000006</v>
      </c>
      <c r="O91" s="364">
        <f t="shared" si="64"/>
        <v>26.356000000000019</v>
      </c>
      <c r="P91" s="364">
        <f t="shared" si="64"/>
        <v>40.328000000000024</v>
      </c>
      <c r="Q91" s="364">
        <f t="shared" si="64"/>
        <v>14.342999999999996</v>
      </c>
      <c r="R91" s="364">
        <f t="shared" si="64"/>
        <v>18.611999999999931</v>
      </c>
      <c r="S91" s="363">
        <f t="shared" si="64"/>
        <v>99.63900000000001</v>
      </c>
      <c r="T91" s="364">
        <f t="shared" si="64"/>
        <v>52.854999999999997</v>
      </c>
      <c r="U91" s="364">
        <f t="shared" si="64"/>
        <v>59.87299999999999</v>
      </c>
      <c r="V91" s="364">
        <f t="shared" si="64"/>
        <v>85.906000000000006</v>
      </c>
      <c r="W91" s="364">
        <f t="shared" si="64"/>
        <v>86.498999999999995</v>
      </c>
      <c r="X91" s="363">
        <f t="shared" si="64"/>
        <v>285.13300000000004</v>
      </c>
      <c r="Y91" s="364">
        <f t="shared" si="64"/>
        <v>103.06499999999994</v>
      </c>
      <c r="Z91" s="364">
        <f t="shared" si="64"/>
        <v>137.78299999999996</v>
      </c>
      <c r="AA91" s="364">
        <f t="shared" si="64"/>
        <v>153.48099999999999</v>
      </c>
      <c r="AB91" s="364">
        <f t="shared" si="64"/>
        <v>165.55600000000001</v>
      </c>
      <c r="AC91" s="363">
        <f t="shared" si="64"/>
        <v>559.88499999999965</v>
      </c>
      <c r="AD91" s="364">
        <f t="shared" si="64"/>
        <v>205.79900000000006</v>
      </c>
      <c r="AE91" s="364">
        <f t="shared" si="64"/>
        <v>250.38</v>
      </c>
      <c r="AF91" s="364">
        <f t="shared" si="64"/>
        <v>267.29000000000002</v>
      </c>
      <c r="AG91" s="364">
        <f t="shared" si="64"/>
        <v>262.87599999999998</v>
      </c>
      <c r="AH91" s="363">
        <f t="shared" si="64"/>
        <v>986.34500000000003</v>
      </c>
      <c r="AI91" s="364">
        <f t="shared" si="64"/>
        <v>250.54300000000012</v>
      </c>
      <c r="AJ91" s="364">
        <f t="shared" ref="AJ91:BL91" si="65">AJ20+AJ90</f>
        <v>284.77300000000014</v>
      </c>
      <c r="AK91" s="364">
        <f t="shared" si="65"/>
        <v>323.875</v>
      </c>
      <c r="AL91" s="364">
        <f t="shared" si="65"/>
        <v>365.47999999999979</v>
      </c>
      <c r="AM91" s="363">
        <f t="shared" si="65"/>
        <v>1224.671</v>
      </c>
      <c r="AN91" s="364">
        <f t="shared" si="65"/>
        <v>413.02199999999982</v>
      </c>
      <c r="AO91" s="364">
        <f t="shared" si="65"/>
        <v>450.62700000000001</v>
      </c>
      <c r="AP91" s="364">
        <f t="shared" si="65"/>
        <v>469.54500000000013</v>
      </c>
      <c r="AQ91" s="364">
        <f t="shared" si="65"/>
        <v>519.62099999999998</v>
      </c>
      <c r="AR91" s="363">
        <f t="shared" si="65"/>
        <v>1852.8149999999996</v>
      </c>
      <c r="AS91" s="364">
        <f t="shared" si="65"/>
        <v>573.38999999999976</v>
      </c>
      <c r="AT91" s="364">
        <f t="shared" si="65"/>
        <v>606.51199999999994</v>
      </c>
      <c r="AU91" s="364">
        <f t="shared" si="65"/>
        <v>677.53099999999995</v>
      </c>
      <c r="AV91" s="364">
        <f t="shared" si="65"/>
        <v>677.19949999999983</v>
      </c>
      <c r="AW91" s="363">
        <f t="shared" si="65"/>
        <v>2534.6800000000003</v>
      </c>
      <c r="AX91" s="413">
        <f t="shared" si="65"/>
        <v>648.99800000000016</v>
      </c>
      <c r="AY91" s="413">
        <f t="shared" si="65"/>
        <v>717.29600000000005</v>
      </c>
      <c r="AZ91" s="413">
        <f t="shared" si="65"/>
        <v>765.10400000000016</v>
      </c>
      <c r="BA91" s="413">
        <f t="shared" si="65"/>
        <v>803.44000000000028</v>
      </c>
      <c r="BB91" s="363">
        <f t="shared" si="65"/>
        <v>2934.8379999999997</v>
      </c>
      <c r="BC91" s="413">
        <f t="shared" si="65"/>
        <v>817.52499999999998</v>
      </c>
      <c r="BD91" s="413">
        <f t="shared" si="65"/>
        <v>887.02499999999998</v>
      </c>
      <c r="BE91" s="413">
        <f t="shared" si="65"/>
        <v>911.82500000000016</v>
      </c>
      <c r="BF91" s="413">
        <f t="shared" si="65"/>
        <v>902.12499999999989</v>
      </c>
      <c r="BG91" s="363">
        <f t="shared" si="65"/>
        <v>3495.6000000000008</v>
      </c>
      <c r="BH91" s="413">
        <f>BH20+BH90</f>
        <v>967.9</v>
      </c>
      <c r="BI91" s="413">
        <f>BI20+BI90</f>
        <v>1035.9000000000001</v>
      </c>
      <c r="BJ91" s="413">
        <f>BJ20+BJ90</f>
        <v>1124.3999999999999</v>
      </c>
      <c r="BK91" s="413">
        <f>BK20+BK90</f>
        <v>1126.8000000000002</v>
      </c>
      <c r="BL91" s="362">
        <f t="shared" si="65"/>
        <v>4255</v>
      </c>
      <c r="BM91" s="413">
        <f t="shared" ref="BM91:BR91" si="66">BM20+BM90</f>
        <v>1191.6250000000002</v>
      </c>
      <c r="BN91" s="413">
        <f t="shared" si="66"/>
        <v>1269.6250000000005</v>
      </c>
      <c r="BO91" s="413">
        <f t="shared" si="66"/>
        <v>1373.3249999999998</v>
      </c>
      <c r="BP91" s="413">
        <f t="shared" si="66"/>
        <v>1386.4249999999997</v>
      </c>
      <c r="BQ91" s="362">
        <f t="shared" si="66"/>
        <v>5221</v>
      </c>
      <c r="BR91" s="413">
        <f t="shared" si="66"/>
        <v>1482.1749999999997</v>
      </c>
      <c r="BS91" s="413">
        <f t="shared" ref="BS91:CE91" si="67">BS20+BS90</f>
        <v>1630.2749999999999</v>
      </c>
      <c r="BT91" s="413">
        <f t="shared" si="67"/>
        <v>1774.3749999999991</v>
      </c>
      <c r="BU91" s="413">
        <f t="shared" si="67"/>
        <v>1794.5749999999996</v>
      </c>
      <c r="BV91" s="362">
        <f>BV20+BV90</f>
        <v>6681.3999999999987</v>
      </c>
      <c r="BW91" s="413">
        <f t="shared" si="67"/>
        <v>1837.75</v>
      </c>
      <c r="BX91" s="413">
        <f t="shared" si="67"/>
        <v>2060.75</v>
      </c>
      <c r="BY91" s="413">
        <f t="shared" si="67"/>
        <v>2079.75</v>
      </c>
      <c r="BZ91" s="413">
        <f t="shared" si="67"/>
        <v>2035.75</v>
      </c>
      <c r="CA91" s="362">
        <f>CA20+CA90</f>
        <v>8014</v>
      </c>
      <c r="CB91" s="413">
        <f t="shared" si="67"/>
        <v>2080.5686575475311</v>
      </c>
      <c r="CC91" s="413">
        <f t="shared" si="67"/>
        <v>2240.5432490892899</v>
      </c>
      <c r="CD91" s="413">
        <f t="shared" si="67"/>
        <v>2263.0530419042793</v>
      </c>
      <c r="CE91" s="413">
        <f t="shared" si="67"/>
        <v>2375.6749849122371</v>
      </c>
      <c r="CF91" s="362">
        <f>CF20+CF90</f>
        <v>8959.8399334533369</v>
      </c>
      <c r="CG91" s="413"/>
      <c r="CH91" s="413"/>
      <c r="CI91" s="413"/>
      <c r="CJ91" s="413"/>
      <c r="CK91" s="362">
        <f>CK20+CK90</f>
        <v>10269.134261264417</v>
      </c>
      <c r="CL91" s="413"/>
      <c r="CM91" s="413"/>
      <c r="CN91" s="413"/>
      <c r="CO91" s="413"/>
      <c r="CP91" s="362">
        <f>CP20+CP90</f>
        <v>11877.148325040051</v>
      </c>
      <c r="CQ91" s="413"/>
      <c r="CR91" s="413"/>
      <c r="CS91" s="413"/>
      <c r="CT91" s="413"/>
      <c r="CU91" s="362">
        <f>CU20+CU90</f>
        <v>13628.856860221462</v>
      </c>
      <c r="CV91" s="413"/>
      <c r="CW91" s="413"/>
      <c r="CX91" s="413"/>
      <c r="CY91" s="413"/>
      <c r="CZ91" s="362">
        <f>CZ20+CZ90</f>
        <v>14649.191406576489</v>
      </c>
      <c r="DA91" s="413"/>
      <c r="DB91" s="413"/>
      <c r="DC91" s="413"/>
      <c r="DD91" s="413"/>
      <c r="DE91" s="362">
        <f>DE20+DE90</f>
        <v>14923.852584960634</v>
      </c>
      <c r="DF91" s="413"/>
      <c r="DG91" s="413"/>
      <c r="DH91" s="413"/>
      <c r="DI91" s="413"/>
      <c r="DJ91" s="362">
        <f>DJ20+DJ90</f>
        <v>14576.816388477975</v>
      </c>
      <c r="DK91" s="413"/>
      <c r="DL91" s="413"/>
      <c r="DM91" s="413"/>
      <c r="DN91" s="413"/>
      <c r="DO91" s="362">
        <f>DO20+DO90</f>
        <v>11956.848250057436</v>
      </c>
      <c r="DP91" s="413"/>
      <c r="DQ91" s="413"/>
      <c r="DR91" s="413"/>
      <c r="DS91" s="413"/>
      <c r="DT91" s="362">
        <f>DT20+DT90</f>
        <v>7638.7567292637741</v>
      </c>
      <c r="DU91" s="413"/>
      <c r="DV91" s="413"/>
      <c r="DW91" s="413"/>
      <c r="DX91" s="413"/>
      <c r="DY91" s="362">
        <f>DY20+DY90</f>
        <v>6089.3970793785929</v>
      </c>
      <c r="DZ91" s="413"/>
      <c r="EA91" s="413"/>
      <c r="EB91" s="413"/>
      <c r="EC91" s="413"/>
      <c r="ED91" s="362">
        <f>ED20+ED90</f>
        <v>5858.6390729714385</v>
      </c>
      <c r="EE91" s="413"/>
      <c r="EF91" s="413"/>
      <c r="EG91" s="413"/>
      <c r="EH91" s="413"/>
      <c r="EI91" s="362">
        <f>EI20+EI90</f>
        <v>5810.5441729703043</v>
      </c>
      <c r="EJ91" s="413"/>
      <c r="EK91" s="413"/>
      <c r="EL91" s="413"/>
      <c r="EM91" s="413"/>
      <c r="EN91" s="362">
        <f>EN20+EN90</f>
        <v>3484.846831170079</v>
      </c>
      <c r="ES91"/>
      <c r="ET91"/>
      <c r="EU91"/>
      <c r="EV91"/>
      <c r="EW91"/>
      <c r="EX91"/>
    </row>
    <row r="92" spans="1:154">
      <c r="D92" s="89"/>
      <c r="E92" s="388"/>
      <c r="F92" s="388"/>
      <c r="G92" s="388"/>
      <c r="H92" s="388"/>
      <c r="I92" s="89"/>
      <c r="J92" s="388"/>
      <c r="K92" s="388"/>
      <c r="L92" s="388"/>
      <c r="M92" s="388"/>
      <c r="N92" s="89"/>
      <c r="O92" s="79"/>
      <c r="P92" s="79"/>
      <c r="Q92" s="79"/>
      <c r="R92" s="79"/>
      <c r="S92" s="89"/>
      <c r="T92" s="79"/>
      <c r="U92" s="79"/>
      <c r="V92" s="79"/>
      <c r="W92" s="79"/>
      <c r="X92" s="89"/>
      <c r="Y92" s="79"/>
      <c r="Z92" s="79"/>
      <c r="AA92" s="79"/>
      <c r="AB92" s="79"/>
      <c r="AC92" s="89"/>
      <c r="AD92" s="79"/>
      <c r="AE92" s="79"/>
      <c r="AF92" s="79"/>
      <c r="AG92" s="79"/>
      <c r="AH92" s="89"/>
      <c r="AI92" s="79"/>
      <c r="AJ92" s="79"/>
      <c r="AK92" s="79"/>
      <c r="AL92" s="79"/>
      <c r="AM92" s="89"/>
      <c r="AN92" s="79"/>
      <c r="AO92" s="79"/>
      <c r="AP92" s="79"/>
      <c r="AQ92" s="79"/>
      <c r="AR92" s="89"/>
      <c r="AS92" s="79"/>
      <c r="AT92" s="79"/>
      <c r="AU92" s="79"/>
      <c r="AV92" s="79"/>
      <c r="AW92" s="89"/>
      <c r="AX92" s="388"/>
      <c r="AY92" s="388"/>
      <c r="AZ92" s="388"/>
      <c r="BA92" s="388"/>
      <c r="BB92" s="89"/>
      <c r="BC92" s="387"/>
      <c r="BD92" s="387"/>
      <c r="BE92" s="387"/>
      <c r="BF92" s="388"/>
      <c r="BG92" s="89"/>
      <c r="BH92" s="387"/>
      <c r="BI92" s="387"/>
      <c r="BJ92" s="387"/>
      <c r="BK92" s="387"/>
      <c r="BM92" s="387"/>
      <c r="BN92" s="387"/>
      <c r="BO92" s="387"/>
      <c r="BP92" s="387"/>
      <c r="BR92" s="375"/>
      <c r="BS92" s="387"/>
      <c r="BT92" s="387"/>
      <c r="BU92" s="387"/>
      <c r="BW92" s="387"/>
      <c r="BX92" s="387"/>
      <c r="BY92" s="387"/>
      <c r="BZ92" s="387"/>
      <c r="CB92" s="387"/>
      <c r="CC92" s="387"/>
      <c r="CD92" s="387"/>
      <c r="CE92" s="387"/>
      <c r="CG92" s="387"/>
      <c r="CH92" s="387"/>
      <c r="CI92" s="387"/>
      <c r="CJ92" s="387"/>
      <c r="CL92" s="387"/>
      <c r="CM92" s="387"/>
      <c r="CN92" s="387"/>
      <c r="CO92" s="387"/>
      <c r="CQ92" s="387"/>
      <c r="CR92" s="387"/>
      <c r="CS92" s="387"/>
      <c r="CT92" s="387"/>
      <c r="CV92" s="387"/>
      <c r="CW92" s="387"/>
      <c r="CX92" s="387"/>
      <c r="CY92" s="387"/>
      <c r="DA92" s="387"/>
      <c r="DB92" s="387"/>
      <c r="DC92" s="387"/>
      <c r="DD92" s="387"/>
      <c r="DF92" s="387"/>
      <c r="DG92" s="387"/>
      <c r="DH92" s="387"/>
      <c r="DI92" s="387"/>
      <c r="DK92" s="387"/>
      <c r="DL92" s="387"/>
      <c r="DM92" s="387"/>
      <c r="DN92" s="387"/>
      <c r="DP92" s="387"/>
      <c r="DQ92" s="387"/>
      <c r="DR92" s="387"/>
      <c r="DS92" s="387"/>
      <c r="DU92" s="387"/>
      <c r="DV92" s="387"/>
      <c r="DW92" s="387"/>
      <c r="DX92" s="387"/>
      <c r="DZ92" s="387"/>
      <c r="EA92" s="387"/>
      <c r="EB92" s="387"/>
      <c r="EC92" s="387"/>
      <c r="EE92" s="387"/>
      <c r="EF92" s="387"/>
      <c r="EG92" s="387"/>
      <c r="EH92" s="387"/>
      <c r="EJ92" s="387"/>
      <c r="EK92" s="387"/>
      <c r="EL92" s="387"/>
      <c r="EM92" s="387"/>
    </row>
    <row r="93" spans="1:154" ht="13.5" thickBot="1">
      <c r="BM93" s="387"/>
      <c r="BN93" s="387"/>
      <c r="BO93" s="387"/>
      <c r="BP93" s="387"/>
      <c r="BR93" s="387"/>
      <c r="BS93" s="387"/>
      <c r="BT93" s="387"/>
      <c r="BU93" s="387"/>
    </row>
    <row r="94" spans="1:154" ht="13.5" thickBot="1">
      <c r="B94" s="114" t="s">
        <v>781</v>
      </c>
      <c r="C94" s="114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  <c r="AZ94" s="114"/>
      <c r="BA94" s="114"/>
      <c r="BB94" s="114"/>
      <c r="BC94" s="114"/>
      <c r="BD94" s="114"/>
      <c r="BE94" s="114"/>
      <c r="BF94" s="114"/>
      <c r="BG94" s="114"/>
      <c r="BH94" s="114"/>
      <c r="BI94" s="114"/>
      <c r="BJ94" s="114"/>
      <c r="BK94" s="114"/>
      <c r="BL94" s="114"/>
      <c r="BM94" s="114"/>
      <c r="BN94" s="114"/>
      <c r="BO94" s="114"/>
      <c r="BP94" s="114"/>
      <c r="BQ94" s="114"/>
      <c r="BR94" s="114"/>
      <c r="BS94" s="114"/>
      <c r="BT94" s="114"/>
      <c r="BU94" s="114"/>
      <c r="BV94" s="114"/>
      <c r="BW94" s="114"/>
      <c r="BX94" s="114"/>
      <c r="BY94" s="114"/>
      <c r="BZ94" s="114"/>
      <c r="CA94" s="114"/>
      <c r="CB94" s="114"/>
      <c r="CC94" s="114"/>
      <c r="CD94" s="114"/>
      <c r="CE94" s="114"/>
      <c r="CF94" s="114"/>
      <c r="CG94" s="114"/>
      <c r="CH94" s="114"/>
      <c r="CI94" s="114"/>
      <c r="CJ94" s="114"/>
      <c r="CK94" s="114"/>
      <c r="CL94" s="114"/>
      <c r="CM94" s="114"/>
      <c r="CN94" s="114"/>
      <c r="CO94" s="114"/>
      <c r="CP94" s="114"/>
      <c r="CQ94" s="114"/>
      <c r="CR94" s="114"/>
      <c r="CS94" s="114"/>
      <c r="CT94" s="114"/>
      <c r="CU94" s="114"/>
      <c r="CV94" s="114"/>
      <c r="CW94" s="114"/>
      <c r="CX94" s="114"/>
      <c r="CY94" s="114"/>
      <c r="CZ94" s="114"/>
      <c r="DA94" s="114"/>
      <c r="DB94" s="114"/>
      <c r="DC94" s="114"/>
      <c r="DD94" s="114"/>
      <c r="DE94" s="114"/>
      <c r="DF94" s="114"/>
      <c r="DG94" s="114"/>
      <c r="DH94" s="114"/>
      <c r="DI94" s="114"/>
      <c r="DJ94" s="114"/>
      <c r="DK94" s="114"/>
      <c r="DL94" s="114"/>
      <c r="DM94" s="114"/>
      <c r="DN94" s="114"/>
      <c r="DO94" s="114"/>
      <c r="DP94" s="114"/>
      <c r="DQ94" s="114"/>
      <c r="DR94" s="114"/>
      <c r="DS94" s="114"/>
      <c r="DT94" s="114"/>
      <c r="DU94" s="114"/>
      <c r="DV94" s="114"/>
      <c r="DW94" s="114"/>
      <c r="DX94" s="114"/>
      <c r="DY94" s="114"/>
      <c r="DZ94" s="114"/>
      <c r="EA94" s="114"/>
      <c r="EB94" s="114"/>
      <c r="EC94" s="114"/>
      <c r="ED94" s="114"/>
      <c r="EE94" s="114"/>
      <c r="EF94" s="114"/>
      <c r="EG94" s="114"/>
      <c r="EH94" s="114"/>
      <c r="EI94" s="114"/>
      <c r="EJ94" s="114"/>
      <c r="EK94" s="114"/>
      <c r="EL94" s="114"/>
      <c r="EM94" s="114"/>
      <c r="EN94" s="114"/>
    </row>
    <row r="95" spans="1:154">
      <c r="B95" s="110" t="s">
        <v>253</v>
      </c>
      <c r="C95" s="41"/>
      <c r="D95" s="111">
        <f t="shared" ref="D95:AI95" si="68">D9/D3</f>
        <v>0.16975943898926954</v>
      </c>
      <c r="E95" s="414">
        <f t="shared" si="68"/>
        <v>0.10178150379879486</v>
      </c>
      <c r="F95" s="414">
        <f t="shared" si="68"/>
        <v>0.18607293150071202</v>
      </c>
      <c r="G95" s="414">
        <f t="shared" si="68"/>
        <v>0.20840400336160131</v>
      </c>
      <c r="H95" s="414">
        <f t="shared" si="68"/>
        <v>0.21590507304793013</v>
      </c>
      <c r="I95" s="111">
        <f t="shared" si="68"/>
        <v>0.18488625625375837</v>
      </c>
      <c r="J95" s="414">
        <f t="shared" si="68"/>
        <v>0.18910930110352073</v>
      </c>
      <c r="K95" s="414">
        <f t="shared" si="68"/>
        <v>0.17838248322997091</v>
      </c>
      <c r="L95" s="414">
        <f t="shared" si="68"/>
        <v>0.18097204157369068</v>
      </c>
      <c r="M95" s="414">
        <f t="shared" si="68"/>
        <v>0.17537484449682447</v>
      </c>
      <c r="N95" s="111">
        <f t="shared" si="68"/>
        <v>0.18067525584518906</v>
      </c>
      <c r="O95" s="111">
        <f t="shared" si="68"/>
        <v>0.12907982999641557</v>
      </c>
      <c r="P95" s="111">
        <f t="shared" si="68"/>
        <v>0.17266542041885313</v>
      </c>
      <c r="Q95" s="111">
        <f t="shared" si="68"/>
        <v>0.20522388059701491</v>
      </c>
      <c r="R95" s="111">
        <f t="shared" si="68"/>
        <v>0.21165217526438077</v>
      </c>
      <c r="S95" s="111">
        <f t="shared" si="68"/>
        <v>0.18269621318373072</v>
      </c>
      <c r="T95" s="111">
        <f t="shared" si="68"/>
        <v>0.18525614223398215</v>
      </c>
      <c r="U95" s="111">
        <f t="shared" si="68"/>
        <v>0.14930754360802945</v>
      </c>
      <c r="V95" s="111">
        <f t="shared" si="68"/>
        <v>0.15297281549046413</v>
      </c>
      <c r="W95" s="111">
        <f t="shared" si="68"/>
        <v>0.13870624483832034</v>
      </c>
      <c r="X95" s="111">
        <f t="shared" si="68"/>
        <v>0.1541230031850469</v>
      </c>
      <c r="Y95" s="111">
        <f t="shared" si="68"/>
        <v>8.0305119423564469E-2</v>
      </c>
      <c r="Z95" s="111">
        <f t="shared" si="68"/>
        <v>8.8708084465973752E-2</v>
      </c>
      <c r="AA95" s="111">
        <f t="shared" si="68"/>
        <v>0.10243712424774058</v>
      </c>
      <c r="AB95" s="111">
        <f t="shared" si="68"/>
        <v>0.11879452659573071</v>
      </c>
      <c r="AC95" s="111">
        <f t="shared" si="68"/>
        <v>9.9264787868115545E-2</v>
      </c>
      <c r="AD95" s="111">
        <f t="shared" si="68"/>
        <v>9.5577902074472532E-2</v>
      </c>
      <c r="AE95" s="111">
        <f t="shared" si="68"/>
        <v>0.11887441577066257</v>
      </c>
      <c r="AF95" s="111">
        <f t="shared" si="68"/>
        <v>0.107375483705451</v>
      </c>
      <c r="AG95" s="111">
        <f t="shared" si="68"/>
        <v>0.10086249175559349</v>
      </c>
      <c r="AH95" s="111">
        <f t="shared" si="68"/>
        <v>0.10608738377735046</v>
      </c>
      <c r="AI95" s="111">
        <f t="shared" si="68"/>
        <v>0.10571904361668481</v>
      </c>
      <c r="AJ95" s="111">
        <f t="shared" ref="AJ95:CE95" si="69">AJ9/AJ3</f>
        <v>8.0419515847686265E-2</v>
      </c>
      <c r="AK95" s="111">
        <f t="shared" si="69"/>
        <v>7.4905460368535404E-2</v>
      </c>
      <c r="AL95" s="111">
        <f t="shared" si="69"/>
        <v>6.2922344692849685E-2</v>
      </c>
      <c r="AM95" s="111">
        <f t="shared" si="69"/>
        <v>7.9708380631776737E-2</v>
      </c>
      <c r="AN95" s="111">
        <f t="shared" si="69"/>
        <v>7.4116588753257773E-2</v>
      </c>
      <c r="AO95" s="111">
        <f t="shared" si="69"/>
        <v>7.5529028493037859E-2</v>
      </c>
      <c r="AP95" s="111">
        <f t="shared" si="69"/>
        <v>7.0510985087261654E-2</v>
      </c>
      <c r="AQ95" s="111">
        <f t="shared" si="69"/>
        <v>6.5565613027288111E-2</v>
      </c>
      <c r="AR95" s="111">
        <f t="shared" si="69"/>
        <v>7.1024641682499404E-2</v>
      </c>
      <c r="AS95" s="111">
        <f t="shared" si="69"/>
        <v>6.8476289133359278E-2</v>
      </c>
      <c r="AT95" s="111">
        <f t="shared" si="69"/>
        <v>6.7633300602999047E-2</v>
      </c>
      <c r="AU95" s="111">
        <f t="shared" si="69"/>
        <v>6.657495996386481E-2</v>
      </c>
      <c r="AV95" s="111">
        <f t="shared" si="69"/>
        <v>5.7258373868951502E-2</v>
      </c>
      <c r="AW95" s="111">
        <f t="shared" si="69"/>
        <v>6.4794964778529932E-2</v>
      </c>
      <c r="AX95" s="414">
        <f t="shared" si="69"/>
        <v>5.7047817782270395E-2</v>
      </c>
      <c r="AY95" s="414">
        <f t="shared" si="69"/>
        <v>5.1953852714744231E-2</v>
      </c>
      <c r="AZ95" s="414">
        <f t="shared" si="69"/>
        <v>5.1383524505894396E-2</v>
      </c>
      <c r="BA95" s="414">
        <f t="shared" si="69"/>
        <v>5.4008592035165018E-2</v>
      </c>
      <c r="BB95" s="111">
        <f t="shared" si="69"/>
        <v>5.3524965375253523E-2</v>
      </c>
      <c r="BC95" s="414">
        <f t="shared" si="69"/>
        <v>5.4362275239627784E-2</v>
      </c>
      <c r="BD95" s="414">
        <f t="shared" si="69"/>
        <v>4.9357457963045845E-2</v>
      </c>
      <c r="BE95" s="414">
        <f t="shared" si="69"/>
        <v>4.8722627737226284E-2</v>
      </c>
      <c r="BF95" s="414">
        <f t="shared" si="69"/>
        <v>5.0379732158385988E-2</v>
      </c>
      <c r="BG95" s="111">
        <f t="shared" si="69"/>
        <v>5.0777676120768521E-2</v>
      </c>
      <c r="BH95" s="414">
        <f t="shared" si="69"/>
        <v>4.6852122986822842E-2</v>
      </c>
      <c r="BI95" s="415">
        <f t="shared" si="69"/>
        <v>5.0417434674184108E-2</v>
      </c>
      <c r="BJ95" s="415">
        <f t="shared" si="69"/>
        <v>4.6453393295175803E-2</v>
      </c>
      <c r="BK95" s="415">
        <f t="shared" si="69"/>
        <v>4.6620273492627373E-2</v>
      </c>
      <c r="BL95" s="111">
        <f t="shared" si="69"/>
        <v>4.7555461540495524E-2</v>
      </c>
      <c r="BM95" s="414">
        <f t="shared" si="69"/>
        <v>4.734332425068119E-2</v>
      </c>
      <c r="BN95" s="415">
        <f t="shared" si="69"/>
        <v>4.112506099995563E-2</v>
      </c>
      <c r="BO95" s="415">
        <f t="shared" si="69"/>
        <v>4.3846752572861719E-2</v>
      </c>
      <c r="BP95" s="415">
        <f t="shared" si="69"/>
        <v>3.8201008191556397E-2</v>
      </c>
      <c r="BQ95" s="111">
        <f t="shared" si="69"/>
        <v>4.2396655423475343E-2</v>
      </c>
      <c r="BR95" s="415">
        <f t="shared" si="69"/>
        <v>3.8842345773038849E-2</v>
      </c>
      <c r="BS95" s="415">
        <f t="shared" si="69"/>
        <v>3.7274549098196399E-2</v>
      </c>
      <c r="BT95" s="415">
        <f t="shared" si="69"/>
        <v>3.378697028902513E-2</v>
      </c>
      <c r="BU95" s="415">
        <f t="shared" si="69"/>
        <v>3.5507927976350447E-2</v>
      </c>
      <c r="BV95" s="111">
        <f>BV9/BV3</f>
        <v>3.622838545857697E-2</v>
      </c>
      <c r="BW95" s="415">
        <f t="shared" si="69"/>
        <v>3.5932203389830511E-2</v>
      </c>
      <c r="BX95" s="415">
        <f t="shared" si="69"/>
        <v>3.1633906633906632E-2</v>
      </c>
      <c r="BY95" s="415">
        <f t="shared" si="69"/>
        <v>3.3759124087591241E-2</v>
      </c>
      <c r="BZ95" s="415">
        <f t="shared" si="69"/>
        <v>3.2193158953722337E-2</v>
      </c>
      <c r="CA95" s="111">
        <f>CA9/CA3</f>
        <v>3.3299930625144532E-2</v>
      </c>
      <c r="CB95" s="415">
        <f t="shared" si="69"/>
        <v>3.414556697306112E-2</v>
      </c>
      <c r="CC95" s="415">
        <f t="shared" si="69"/>
        <v>3.363059284005282E-2</v>
      </c>
      <c r="CD95" s="415">
        <f t="shared" si="69"/>
        <v>3.3345032523597218E-2</v>
      </c>
      <c r="CE95" s="415">
        <f t="shared" si="69"/>
        <v>3.3103084639140988E-2</v>
      </c>
      <c r="CF95" s="111">
        <f>CF9/CF3</f>
        <v>3.3536957521536251E-2</v>
      </c>
      <c r="CG95" s="415"/>
      <c r="CH95" s="415"/>
      <c r="CI95" s="415"/>
      <c r="CJ95" s="415"/>
      <c r="CK95" s="111">
        <f>CK9/CK3</f>
        <v>3.4892903769123032E-2</v>
      </c>
      <c r="CL95" s="415"/>
      <c r="CM95" s="415"/>
      <c r="CN95" s="415"/>
      <c r="CO95" s="415"/>
      <c r="CP95" s="111">
        <f>CP9/CP3</f>
        <v>3.8737160022584344E-2</v>
      </c>
      <c r="CQ95" s="415"/>
      <c r="CR95" s="415"/>
      <c r="CS95" s="415"/>
      <c r="CT95" s="415"/>
      <c r="CU95" s="111">
        <f>CU9/CU3</f>
        <v>4.4594740148951491E-2</v>
      </c>
      <c r="CV95" s="415"/>
      <c r="CW95" s="415"/>
      <c r="CX95" s="415"/>
      <c r="CY95" s="415"/>
      <c r="CZ95" s="111">
        <f>CZ9/CZ3</f>
        <v>4.9538262926550065E-2</v>
      </c>
      <c r="DA95" s="415"/>
      <c r="DB95" s="415"/>
      <c r="DC95" s="415"/>
      <c r="DD95" s="415"/>
      <c r="DE95" s="111">
        <f>DE9/DE3</f>
        <v>5.5073432049055154E-2</v>
      </c>
      <c r="DF95" s="415"/>
      <c r="DG95" s="415"/>
      <c r="DH95" s="415"/>
      <c r="DI95" s="415"/>
      <c r="DJ95" s="111">
        <f>DJ9/DJ3</f>
        <v>6.4026530273807017E-2</v>
      </c>
      <c r="DK95" s="415"/>
      <c r="DL95" s="415"/>
      <c r="DM95" s="415"/>
      <c r="DN95" s="415"/>
      <c r="DO95" s="111">
        <f>DO9/DO3</f>
        <v>7.5147697994630114E-2</v>
      </c>
      <c r="DP95" s="415"/>
      <c r="DQ95" s="415"/>
      <c r="DR95" s="415"/>
      <c r="DS95" s="415"/>
      <c r="DT95" s="111">
        <f>DT9/DT3</f>
        <v>0.11219306912064657</v>
      </c>
      <c r="DU95" s="415"/>
      <c r="DV95" s="415"/>
      <c r="DW95" s="415"/>
      <c r="DX95" s="415"/>
      <c r="DY95" s="111">
        <f>DY9/DY3</f>
        <v>0.14196801366561065</v>
      </c>
      <c r="DZ95" s="415"/>
      <c r="EA95" s="415"/>
      <c r="EB95" s="415"/>
      <c r="EC95" s="415"/>
      <c r="ED95" s="111">
        <f>ED9/ED3</f>
        <v>0.15264828237363873</v>
      </c>
      <c r="EE95" s="415"/>
      <c r="EF95" s="415"/>
      <c r="EG95" s="415"/>
      <c r="EH95" s="415"/>
      <c r="EI95" s="111">
        <f>EI9/EI3</f>
        <v>0.15979792104401233</v>
      </c>
      <c r="EJ95" s="415"/>
      <c r="EK95" s="415"/>
      <c r="EL95" s="415"/>
      <c r="EM95" s="415"/>
      <c r="EN95" s="111">
        <f>EN9/EN3</f>
        <v>0.19214568200947363</v>
      </c>
    </row>
    <row r="96" spans="1:154">
      <c r="B96" s="110"/>
      <c r="C96" s="41"/>
      <c r="D96" s="111"/>
      <c r="E96" s="414"/>
      <c r="F96" s="414"/>
      <c r="G96" s="414"/>
      <c r="H96" s="414"/>
      <c r="I96" s="111"/>
      <c r="J96" s="414"/>
      <c r="K96" s="414"/>
      <c r="L96" s="414"/>
      <c r="M96" s="414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1"/>
      <c r="Z96" s="111"/>
      <c r="AA96" s="111"/>
      <c r="AB96" s="111"/>
      <c r="AC96" s="111"/>
      <c r="AD96" s="111"/>
      <c r="AE96" s="111"/>
      <c r="AF96" s="111"/>
      <c r="AG96" s="111"/>
      <c r="AH96" s="111"/>
      <c r="AI96" s="111"/>
      <c r="AJ96" s="111"/>
      <c r="AK96" s="111"/>
      <c r="AL96" s="111"/>
      <c r="AM96" s="111"/>
      <c r="AN96" s="111"/>
      <c r="AO96" s="111"/>
      <c r="AP96" s="111"/>
      <c r="AQ96" s="111"/>
      <c r="AR96" s="111"/>
      <c r="AS96" s="111"/>
      <c r="AT96" s="111"/>
      <c r="AU96" s="111"/>
      <c r="AV96" s="111"/>
      <c r="AW96" s="111"/>
      <c r="AX96" s="414"/>
      <c r="AY96" s="414"/>
      <c r="AZ96" s="414"/>
      <c r="BA96" s="414"/>
      <c r="BB96" s="111"/>
      <c r="BC96" s="414"/>
      <c r="BD96" s="414"/>
      <c r="BE96" s="414"/>
      <c r="BF96" s="414"/>
      <c r="BG96" s="111"/>
      <c r="BH96" s="414"/>
      <c r="BI96" s="415"/>
      <c r="BJ96" s="778"/>
      <c r="BK96" s="778"/>
      <c r="BL96" s="524"/>
      <c r="BM96" s="415"/>
      <c r="BN96" s="415"/>
      <c r="BO96" s="415"/>
      <c r="BP96" s="415"/>
      <c r="BQ96" s="111"/>
      <c r="BR96" s="415"/>
      <c r="BS96" s="415"/>
      <c r="BT96" s="415"/>
      <c r="BU96" s="415"/>
      <c r="BV96" s="111"/>
      <c r="BW96" s="415"/>
      <c r="BX96" s="415"/>
      <c r="BY96" s="415"/>
      <c r="BZ96" s="415"/>
      <c r="CA96" s="111"/>
      <c r="CB96" s="415"/>
      <c r="CC96" s="415"/>
      <c r="CD96" s="415"/>
      <c r="CE96" s="415"/>
      <c r="CF96" s="111"/>
      <c r="CG96" s="415"/>
      <c r="CH96" s="415"/>
      <c r="CI96" s="415"/>
      <c r="CJ96" s="415"/>
      <c r="CK96" s="111"/>
      <c r="CL96" s="415"/>
      <c r="CM96" s="415"/>
      <c r="CN96" s="415"/>
      <c r="CO96" s="415"/>
      <c r="CP96" s="111"/>
      <c r="CQ96" s="415"/>
      <c r="CR96" s="415"/>
      <c r="CS96" s="415"/>
      <c r="CT96" s="415"/>
      <c r="CU96" s="111"/>
      <c r="CV96" s="415"/>
      <c r="CW96" s="415"/>
      <c r="CX96" s="415"/>
      <c r="CY96" s="415"/>
      <c r="CZ96" s="111"/>
      <c r="DA96" s="415"/>
      <c r="DB96" s="415"/>
      <c r="DC96" s="415"/>
      <c r="DD96" s="415"/>
      <c r="DE96" s="111"/>
      <c r="DF96" s="415"/>
      <c r="DG96" s="415"/>
      <c r="DH96" s="415"/>
      <c r="DI96" s="415"/>
      <c r="DJ96" s="111"/>
      <c r="DK96" s="415"/>
      <c r="DL96" s="415"/>
      <c r="DM96" s="415"/>
      <c r="DN96" s="415"/>
      <c r="DO96" s="111"/>
      <c r="DP96" s="415"/>
      <c r="DQ96" s="415"/>
      <c r="DR96" s="415"/>
      <c r="DS96" s="415"/>
      <c r="DT96" s="111"/>
      <c r="DU96" s="415"/>
      <c r="DV96" s="415"/>
      <c r="DW96" s="415"/>
      <c r="DX96" s="415"/>
      <c r="DY96" s="111"/>
      <c r="DZ96" s="415"/>
      <c r="EA96" s="415"/>
      <c r="EB96" s="415"/>
      <c r="EC96" s="415"/>
      <c r="ED96" s="111"/>
      <c r="EE96" s="415"/>
      <c r="EF96" s="415"/>
      <c r="EG96" s="415"/>
      <c r="EH96" s="415"/>
      <c r="EI96" s="111"/>
      <c r="EJ96" s="415"/>
      <c r="EK96" s="415"/>
      <c r="EL96" s="415"/>
      <c r="EM96" s="415"/>
      <c r="EN96" s="111"/>
    </row>
    <row r="97" spans="2:154">
      <c r="B97" s="110" t="s">
        <v>252</v>
      </c>
      <c r="C97" s="41"/>
      <c r="D97" s="111">
        <f t="shared" ref="D97:AI97" si="70">D10/D6</f>
        <v>0.8462790800465575</v>
      </c>
      <c r="E97" s="414">
        <f t="shared" si="70"/>
        <v>0.90502964004155717</v>
      </c>
      <c r="F97" s="414">
        <f t="shared" si="70"/>
        <v>0.82717058526290765</v>
      </c>
      <c r="G97" s="414">
        <f t="shared" si="70"/>
        <v>0.81651240380993384</v>
      </c>
      <c r="H97" s="414">
        <f t="shared" si="70"/>
        <v>0.81098950079239307</v>
      </c>
      <c r="I97" s="111">
        <f t="shared" si="70"/>
        <v>0.83351689842526944</v>
      </c>
      <c r="J97" s="414">
        <f t="shared" si="70"/>
        <v>0.82630048387291399</v>
      </c>
      <c r="K97" s="414">
        <f t="shared" si="70"/>
        <v>0.83939010632115141</v>
      </c>
      <c r="L97" s="414">
        <f t="shared" si="70"/>
        <v>0.85053415855245007</v>
      </c>
      <c r="M97" s="414">
        <f t="shared" si="70"/>
        <v>0.84753529143897999</v>
      </c>
      <c r="N97" s="111">
        <f t="shared" si="70"/>
        <v>0.84178626868202022</v>
      </c>
      <c r="O97" s="111">
        <f t="shared" si="70"/>
        <v>0.88786077796362861</v>
      </c>
      <c r="P97" s="111">
        <f t="shared" si="70"/>
        <v>0.87511410354081309</v>
      </c>
      <c r="Q97" s="111">
        <f t="shared" si="70"/>
        <v>0.81950643213441843</v>
      </c>
      <c r="R97" s="111">
        <f t="shared" si="70"/>
        <v>0.81760168209029171</v>
      </c>
      <c r="S97" s="111">
        <f t="shared" si="70"/>
        <v>0.84837440240175366</v>
      </c>
      <c r="T97" s="111">
        <f t="shared" si="70"/>
        <v>0.83674748819023215</v>
      </c>
      <c r="U97" s="111">
        <f t="shared" si="70"/>
        <v>0.8664665710128322</v>
      </c>
      <c r="V97" s="111">
        <f t="shared" si="70"/>
        <v>0.86060635764727034</v>
      </c>
      <c r="W97" s="111">
        <f t="shared" si="70"/>
        <v>0.87294602006153754</v>
      </c>
      <c r="X97" s="111">
        <f t="shared" si="70"/>
        <v>0.86084018543220231</v>
      </c>
      <c r="Y97" s="111">
        <f t="shared" si="70"/>
        <v>0.92615919431521909</v>
      </c>
      <c r="Z97" s="111">
        <f t="shared" si="70"/>
        <v>0.91867654286921507</v>
      </c>
      <c r="AA97" s="111">
        <f t="shared" si="70"/>
        <v>0.90304880139922494</v>
      </c>
      <c r="AB97" s="111">
        <f t="shared" si="70"/>
        <v>0.89096456740394125</v>
      </c>
      <c r="AC97" s="111">
        <f t="shared" si="70"/>
        <v>0.90817601115363278</v>
      </c>
      <c r="AD97" s="111">
        <f t="shared" si="70"/>
        <v>0.91089521256173822</v>
      </c>
      <c r="AE97" s="111">
        <f t="shared" si="70"/>
        <v>0.88706264394694812</v>
      </c>
      <c r="AF97" s="111">
        <f t="shared" si="70"/>
        <v>0.89728158980127481</v>
      </c>
      <c r="AG97" s="111">
        <f t="shared" si="70"/>
        <v>0.90433608204759708</v>
      </c>
      <c r="AH97" s="111">
        <f t="shared" si="70"/>
        <v>0.89946407592756694</v>
      </c>
      <c r="AI97" s="111">
        <f t="shared" si="70"/>
        <v>0.8993498607557453</v>
      </c>
      <c r="AJ97" s="111">
        <f t="shared" ref="AJ97:CE97" si="71">AJ10/AJ6</f>
        <v>0.92349928371910295</v>
      </c>
      <c r="AK97" s="111">
        <f t="shared" si="71"/>
        <v>0.9280345547393587</v>
      </c>
      <c r="AL97" s="111">
        <f t="shared" si="71"/>
        <v>0.94007002300227904</v>
      </c>
      <c r="AM97" s="111">
        <f t="shared" si="71"/>
        <v>0.92393992467613095</v>
      </c>
      <c r="AN97" s="111">
        <f t="shared" si="71"/>
        <v>0.92887511408579249</v>
      </c>
      <c r="AO97" s="111">
        <f t="shared" si="71"/>
        <v>0.92709950234715277</v>
      </c>
      <c r="AP97" s="111">
        <f t="shared" si="71"/>
        <v>0.93138794487601073</v>
      </c>
      <c r="AQ97" s="111">
        <f t="shared" si="71"/>
        <v>0.93633101379382366</v>
      </c>
      <c r="AR97" s="111">
        <f t="shared" si="71"/>
        <v>0.93127066262597535</v>
      </c>
      <c r="AS97" s="111">
        <f t="shared" si="71"/>
        <v>0.93404438216045182</v>
      </c>
      <c r="AT97" s="111">
        <f t="shared" si="71"/>
        <v>0.93397835141067942</v>
      </c>
      <c r="AU97" s="111">
        <f t="shared" si="71"/>
        <v>0.93505806841313843</v>
      </c>
      <c r="AV97" s="111">
        <f t="shared" si="71"/>
        <v>0.94458431411087351</v>
      </c>
      <c r="AW97" s="111">
        <f t="shared" si="71"/>
        <v>0.93709848705810206</v>
      </c>
      <c r="AX97" s="414">
        <f t="shared" si="71"/>
        <v>0.94419722796413708</v>
      </c>
      <c r="AY97" s="414">
        <f t="shared" si="71"/>
        <v>0.9491931306355742</v>
      </c>
      <c r="AZ97" s="414">
        <f t="shared" si="71"/>
        <v>0.94974743720455368</v>
      </c>
      <c r="BA97" s="414">
        <f t="shared" si="71"/>
        <v>0.94718220822020016</v>
      </c>
      <c r="BB97" s="111">
        <f t="shared" si="71"/>
        <v>0.94765225643682538</v>
      </c>
      <c r="BC97" s="414">
        <f t="shared" si="71"/>
        <v>0.94694797214256454</v>
      </c>
      <c r="BD97" s="414">
        <f t="shared" si="71"/>
        <v>0.95171982489055662</v>
      </c>
      <c r="BE97" s="414">
        <f t="shared" si="71"/>
        <v>0.9521619684663164</v>
      </c>
      <c r="BF97" s="414">
        <f t="shared" si="71"/>
        <v>0.95050971012016627</v>
      </c>
      <c r="BG97" s="111">
        <f t="shared" si="71"/>
        <v>0.95025498377375994</v>
      </c>
      <c r="BH97" s="414">
        <f t="shared" si="71"/>
        <v>0.95375722543352603</v>
      </c>
      <c r="BI97" s="414">
        <f t="shared" si="71"/>
        <v>0.95033908260799915</v>
      </c>
      <c r="BJ97" s="414">
        <f t="shared" si="71"/>
        <v>0.95414186257693467</v>
      </c>
      <c r="BK97" s="414">
        <f t="shared" si="71"/>
        <v>0.95406377367537765</v>
      </c>
      <c r="BL97" s="111">
        <f t="shared" si="71"/>
        <v>0.9531054443053818</v>
      </c>
      <c r="BM97" s="414">
        <f t="shared" si="71"/>
        <v>0.953239138792772</v>
      </c>
      <c r="BN97" s="414">
        <f t="shared" si="71"/>
        <v>0.95930283606989208</v>
      </c>
      <c r="BO97" s="414">
        <f t="shared" si="71"/>
        <v>0.95655713122831065</v>
      </c>
      <c r="BP97" s="414">
        <f t="shared" si="71"/>
        <v>0.96215815550267236</v>
      </c>
      <c r="BQ97" s="111">
        <f>BQ10/BQ6</f>
        <v>0.95803802938634408</v>
      </c>
      <c r="BR97" s="414">
        <f t="shared" si="71"/>
        <v>0.96141901576684186</v>
      </c>
      <c r="BS97" s="414">
        <f t="shared" si="71"/>
        <v>0.96285807646225896</v>
      </c>
      <c r="BT97" s="414">
        <f t="shared" si="71"/>
        <v>0.9663738768941933</v>
      </c>
      <c r="BU97" s="414">
        <f t="shared" si="71"/>
        <v>0.96453615165240736</v>
      </c>
      <c r="BV97" s="111">
        <f>BV10/BV6</f>
        <v>0.96391550600220843</v>
      </c>
      <c r="BW97" s="414">
        <f t="shared" si="71"/>
        <v>0.96418918918918917</v>
      </c>
      <c r="BX97" s="414">
        <f t="shared" si="71"/>
        <v>0.96848225214198291</v>
      </c>
      <c r="BY97" s="414">
        <f t="shared" si="71"/>
        <v>0.9662818955042527</v>
      </c>
      <c r="BZ97" s="414">
        <f t="shared" si="71"/>
        <v>0.96784381280505316</v>
      </c>
      <c r="CA97" s="111">
        <f>CA10/CA6</f>
        <v>0.96677689763900643</v>
      </c>
      <c r="CB97" s="414">
        <f t="shared" si="71"/>
        <v>0.96594817092521157</v>
      </c>
      <c r="CC97" s="414">
        <f t="shared" si="71"/>
        <v>0.9664711679245892</v>
      </c>
      <c r="CD97" s="414">
        <f t="shared" si="71"/>
        <v>0.96669051916161108</v>
      </c>
      <c r="CE97" s="414">
        <f t="shared" si="71"/>
        <v>0.96693044666012506</v>
      </c>
      <c r="CF97" s="111">
        <f>CF10/CF6</f>
        <v>0.96652778370883219</v>
      </c>
      <c r="CG97" s="414"/>
      <c r="CH97" s="414"/>
      <c r="CI97" s="414"/>
      <c r="CJ97" s="414"/>
      <c r="CK97" s="111">
        <f>CK10/CK6</f>
        <v>0.96516380630704379</v>
      </c>
      <c r="CL97" s="414"/>
      <c r="CM97" s="414"/>
      <c r="CN97" s="414"/>
      <c r="CO97" s="414"/>
      <c r="CP97" s="111">
        <f>CP10/CP6</f>
        <v>0.96131513932424095</v>
      </c>
      <c r="CQ97" s="414"/>
      <c r="CR97" s="414"/>
      <c r="CS97" s="414"/>
      <c r="CT97" s="414"/>
      <c r="CU97" s="111">
        <f>CU10/CU6</f>
        <v>0.95545550316875616</v>
      </c>
      <c r="CV97" s="414"/>
      <c r="CW97" s="414"/>
      <c r="CX97" s="414"/>
      <c r="CY97" s="414"/>
      <c r="CZ97" s="111">
        <f>CZ10/CZ6</f>
        <v>0.95051183194976407</v>
      </c>
      <c r="DA97" s="414"/>
      <c r="DB97" s="414"/>
      <c r="DC97" s="414"/>
      <c r="DD97" s="414"/>
      <c r="DE97" s="111">
        <f>DE10/DE6</f>
        <v>0.94497951772540001</v>
      </c>
      <c r="DF97" s="414"/>
      <c r="DG97" s="414"/>
      <c r="DH97" s="414"/>
      <c r="DI97" s="414"/>
      <c r="DJ97" s="111">
        <f>DJ10/DJ6</f>
        <v>0.93603420505251456</v>
      </c>
      <c r="DK97" s="414"/>
      <c r="DL97" s="414"/>
      <c r="DM97" s="414"/>
      <c r="DN97" s="414"/>
      <c r="DO97" s="111">
        <f>DO10/DO6</f>
        <v>0.92493701122088723</v>
      </c>
      <c r="DP97" s="414"/>
      <c r="DQ97" s="414"/>
      <c r="DR97" s="414"/>
      <c r="DS97" s="414"/>
      <c r="DT97" s="111">
        <f>DT10/DT6</f>
        <v>0.88799770780453069</v>
      </c>
      <c r="DU97" s="414"/>
      <c r="DV97" s="414"/>
      <c r="DW97" s="414"/>
      <c r="DX97" s="414"/>
      <c r="DY97" s="111">
        <f>DY10/DY6</f>
        <v>0.85832377314126185</v>
      </c>
      <c r="DZ97" s="414"/>
      <c r="EA97" s="414"/>
      <c r="EB97" s="414"/>
      <c r="EC97" s="414"/>
      <c r="ED97" s="111">
        <f>ED10/ED6</f>
        <v>0.84766885932650193</v>
      </c>
      <c r="EE97" s="414"/>
      <c r="EF97" s="414"/>
      <c r="EG97" s="414"/>
      <c r="EH97" s="414"/>
      <c r="EI97" s="111">
        <f>EI10/EI6</f>
        <v>0.84052865042058611</v>
      </c>
      <c r="EJ97" s="414"/>
      <c r="EK97" s="414"/>
      <c r="EL97" s="414"/>
      <c r="EM97" s="414"/>
      <c r="EN97" s="111">
        <f>EN10/EN6</f>
        <v>0.80835617252218084</v>
      </c>
    </row>
    <row r="98" spans="2:154">
      <c r="B98" s="110" t="s">
        <v>250</v>
      </c>
      <c r="C98" s="41"/>
      <c r="D98" s="111">
        <f t="shared" ref="D98:AI98" si="72">D12/D6</f>
        <v>0.48746924402928993</v>
      </c>
      <c r="E98" s="414">
        <f t="shared" si="72"/>
        <v>0.47613518303489583</v>
      </c>
      <c r="F98" s="414">
        <f t="shared" si="72"/>
        <v>0.38499836518740899</v>
      </c>
      <c r="G98" s="414">
        <f t="shared" si="72"/>
        <v>0.35673734058010004</v>
      </c>
      <c r="H98" s="414">
        <f t="shared" si="72"/>
        <v>0.32864500792393014</v>
      </c>
      <c r="I98" s="111">
        <f t="shared" si="72"/>
        <v>0.37697393866838563</v>
      </c>
      <c r="J98" s="414">
        <f t="shared" si="72"/>
        <v>0.31296079543397726</v>
      </c>
      <c r="K98" s="414">
        <f t="shared" si="72"/>
        <v>0.2931181839937097</v>
      </c>
      <c r="L98" s="414">
        <f t="shared" si="72"/>
        <v>0.27348523672487879</v>
      </c>
      <c r="M98" s="414">
        <f t="shared" si="72"/>
        <v>0.33003187613843343</v>
      </c>
      <c r="N98" s="111">
        <f t="shared" si="72"/>
        <v>0.30250435759280742</v>
      </c>
      <c r="O98" s="111">
        <f t="shared" si="72"/>
        <v>0.32554539307448654</v>
      </c>
      <c r="P98" s="111">
        <f t="shared" si="72"/>
        <v>0.27686151776583545</v>
      </c>
      <c r="Q98" s="111">
        <f t="shared" si="72"/>
        <v>0.36160486772813621</v>
      </c>
      <c r="R98" s="111">
        <f t="shared" si="72"/>
        <v>0.37218256572339276</v>
      </c>
      <c r="S98" s="111">
        <f t="shared" si="72"/>
        <v>0.33400317725783657</v>
      </c>
      <c r="T98" s="111">
        <f t="shared" si="72"/>
        <v>0.2987005130856078</v>
      </c>
      <c r="U98" s="111">
        <f t="shared" si="72"/>
        <v>0.32407383935225792</v>
      </c>
      <c r="V98" s="111">
        <f t="shared" si="72"/>
        <v>0.27480507598871096</v>
      </c>
      <c r="W98" s="111">
        <f t="shared" si="72"/>
        <v>0.30174865613884511</v>
      </c>
      <c r="X98" s="111">
        <f t="shared" si="72"/>
        <v>0.2986918062952163</v>
      </c>
      <c r="Y98" s="111">
        <f t="shared" si="72"/>
        <v>0.3361246016733978</v>
      </c>
      <c r="Z98" s="111">
        <f t="shared" si="72"/>
        <v>0.29695292132667644</v>
      </c>
      <c r="AA98" s="111">
        <f t="shared" si="72"/>
        <v>0.24505012746207575</v>
      </c>
      <c r="AB98" s="111">
        <f t="shared" si="72"/>
        <v>0.28907113051448419</v>
      </c>
      <c r="AC98" s="111">
        <f t="shared" si="72"/>
        <v>0.28988561835796911</v>
      </c>
      <c r="AD98" s="111">
        <f t="shared" si="72"/>
        <v>0.2805068771569067</v>
      </c>
      <c r="AE98" s="111">
        <f t="shared" si="72"/>
        <v>0.28671849492159579</v>
      </c>
      <c r="AF98" s="111">
        <f t="shared" si="72"/>
        <v>0.25907727443160511</v>
      </c>
      <c r="AG98" s="111">
        <f t="shared" si="72"/>
        <v>0.29148294230587241</v>
      </c>
      <c r="AH98" s="111">
        <f t="shared" si="72"/>
        <v>0.27951883465001826</v>
      </c>
      <c r="AI98" s="111">
        <f t="shared" si="72"/>
        <v>0.2592155740623055</v>
      </c>
      <c r="AJ98" s="111">
        <f t="shared" ref="AJ98:BP98" si="73">AJ12/AJ6</f>
        <v>0.25065519339584219</v>
      </c>
      <c r="AK98" s="111">
        <f t="shared" si="73"/>
        <v>0.24896891951432679</v>
      </c>
      <c r="AL98" s="111">
        <f t="shared" si="73"/>
        <v>0.25512866363752745</v>
      </c>
      <c r="AM98" s="111">
        <f t="shared" si="73"/>
        <v>0.25340733494469492</v>
      </c>
      <c r="AN98" s="111">
        <f t="shared" si="73"/>
        <v>0.2383721225027888</v>
      </c>
      <c r="AO98" s="111">
        <f t="shared" si="73"/>
        <v>0.2317484172005381</v>
      </c>
      <c r="AP98" s="111">
        <f t="shared" si="73"/>
        <v>0.22478641326253052</v>
      </c>
      <c r="AQ98" s="111">
        <f t="shared" si="73"/>
        <v>0.23958912822654913</v>
      </c>
      <c r="AR98" s="111">
        <f t="shared" si="73"/>
        <v>0.2337376246422922</v>
      </c>
      <c r="AS98" s="111">
        <f t="shared" si="73"/>
        <v>0.24376146755854777</v>
      </c>
      <c r="AT98" s="111">
        <f t="shared" si="73"/>
        <v>0.23318373064371678</v>
      </c>
      <c r="AU98" s="111">
        <f t="shared" si="73"/>
        <v>0.22119030433344097</v>
      </c>
      <c r="AV98" s="111">
        <f t="shared" si="73"/>
        <v>0.21718431442285047</v>
      </c>
      <c r="AW98" s="111">
        <f t="shared" si="73"/>
        <v>0.22824569538239861</v>
      </c>
      <c r="AX98" s="414">
        <f t="shared" si="73"/>
        <v>0.23479527019810134</v>
      </c>
      <c r="AY98" s="414">
        <f t="shared" si="73"/>
        <v>0.21653482239801455</v>
      </c>
      <c r="AZ98" s="414">
        <f t="shared" si="73"/>
        <v>0.2272501481415197</v>
      </c>
      <c r="BA98" s="414">
        <f t="shared" si="73"/>
        <v>0.23482289054241709</v>
      </c>
      <c r="BB98" s="111">
        <f t="shared" si="73"/>
        <v>0.22832568176333143</v>
      </c>
      <c r="BC98" s="414">
        <f t="shared" si="73"/>
        <v>0.22750238973098455</v>
      </c>
      <c r="BD98" s="414">
        <f t="shared" si="73"/>
        <v>0.24002501563477174</v>
      </c>
      <c r="BE98" s="414">
        <f t="shared" si="73"/>
        <v>0.24157907310081222</v>
      </c>
      <c r="BF98" s="414">
        <f t="shared" si="73"/>
        <v>0.22803120906657551</v>
      </c>
      <c r="BG98" s="111">
        <f t="shared" si="73"/>
        <v>0.2351877607788595</v>
      </c>
      <c r="BH98" s="414">
        <f t="shared" si="73"/>
        <v>0.24150289017341042</v>
      </c>
      <c r="BI98" s="414">
        <f t="shared" si="73"/>
        <v>0.23500827681956538</v>
      </c>
      <c r="BJ98" s="414">
        <f t="shared" si="73"/>
        <v>0.22268186863081427</v>
      </c>
      <c r="BK98" s="414">
        <f t="shared" si="73"/>
        <v>0.22953728122752337</v>
      </c>
      <c r="BL98" s="111">
        <f t="shared" si="73"/>
        <v>0.23180016687526078</v>
      </c>
      <c r="BM98" s="414">
        <f t="shared" si="73"/>
        <v>0.22265474817377934</v>
      </c>
      <c r="BN98" s="938">
        <f t="shared" si="73"/>
        <v>0.23742207393098599</v>
      </c>
      <c r="BO98" s="938">
        <f t="shared" si="73"/>
        <v>0.20311897519386488</v>
      </c>
      <c r="BP98" s="938">
        <f t="shared" si="73"/>
        <v>0.20793508368119223</v>
      </c>
      <c r="BQ98" s="111">
        <f t="shared" ref="BQ98:BZ98" si="74">BQ12/BQ6</f>
        <v>0.21728608470181504</v>
      </c>
      <c r="BR98" s="415">
        <f t="shared" si="74"/>
        <v>0.18621595795508838</v>
      </c>
      <c r="BS98" s="415">
        <f t="shared" si="74"/>
        <v>0.19863486185237628</v>
      </c>
      <c r="BT98" s="415">
        <f t="shared" si="74"/>
        <v>0.19803540297706856</v>
      </c>
      <c r="BU98" s="415">
        <f t="shared" si="74"/>
        <v>0.17903036403288042</v>
      </c>
      <c r="BV98" s="111">
        <f t="shared" si="74"/>
        <v>0.19049442524845936</v>
      </c>
      <c r="BW98" s="415">
        <f t="shared" si="74"/>
        <v>0.18209459459459459</v>
      </c>
      <c r="BX98" s="415">
        <f t="shared" si="74"/>
        <v>0.16279069767441862</v>
      </c>
      <c r="BY98" s="415">
        <f t="shared" si="74"/>
        <v>0.15826245443499393</v>
      </c>
      <c r="BZ98" s="415">
        <f t="shared" si="74"/>
        <v>0.19724375538329025</v>
      </c>
      <c r="CA98" s="111">
        <f t="shared" ref="CA98" si="75">CA12/CA6</f>
        <v>0.1752672460201492</v>
      </c>
      <c r="CB98" s="415">
        <f>CF98</f>
        <v>0.17249999999999999</v>
      </c>
      <c r="CC98" s="415">
        <f>CB98</f>
        <v>0.17249999999999999</v>
      </c>
      <c r="CD98" s="415">
        <f t="shared" ref="CD98:CE98" si="76">CC98</f>
        <v>0.17249999999999999</v>
      </c>
      <c r="CE98" s="415">
        <f t="shared" si="76"/>
        <v>0.17249999999999999</v>
      </c>
      <c r="CF98" s="111">
        <v>0.17249999999999999</v>
      </c>
      <c r="CG98" s="361"/>
      <c r="CH98" s="361"/>
      <c r="CI98" s="361"/>
      <c r="CJ98" s="361"/>
      <c r="CK98" s="111">
        <f>CF98*0.96</f>
        <v>0.16559999999999997</v>
      </c>
      <c r="CL98" s="361"/>
      <c r="CM98" s="361"/>
      <c r="CN98" s="361"/>
      <c r="CO98" s="361"/>
      <c r="CP98" s="111">
        <f>CK98*0.97</f>
        <v>0.16063199999999997</v>
      </c>
      <c r="CQ98" s="361"/>
      <c r="CR98" s="361"/>
      <c r="CS98" s="361"/>
      <c r="CT98" s="361"/>
      <c r="CU98" s="111">
        <f>CP98*0.975</f>
        <v>0.15661619999999996</v>
      </c>
      <c r="CV98" s="361"/>
      <c r="CW98" s="361"/>
      <c r="CX98" s="361"/>
      <c r="CY98" s="361"/>
      <c r="CZ98" s="111">
        <f>CU98*0.975</f>
        <v>0.15270079499999994</v>
      </c>
      <c r="DA98" s="415"/>
      <c r="DB98" s="415"/>
      <c r="DC98" s="415"/>
      <c r="DD98" s="415"/>
      <c r="DE98" s="111">
        <f>CZ98*0.975</f>
        <v>0.14888327512499994</v>
      </c>
      <c r="DF98" s="415"/>
      <c r="DG98" s="415"/>
      <c r="DH98" s="415"/>
      <c r="DI98" s="415"/>
      <c r="DJ98" s="111">
        <f>DE98*0.99</f>
        <v>0.14739444237374993</v>
      </c>
      <c r="DK98" s="415"/>
      <c r="DL98" s="415"/>
      <c r="DM98" s="415"/>
      <c r="DN98" s="415"/>
      <c r="DO98" s="111">
        <f>DJ98*0.99</f>
        <v>0.14592049795001244</v>
      </c>
      <c r="DP98" s="415"/>
      <c r="DQ98" s="415"/>
      <c r="DR98" s="415"/>
      <c r="DS98" s="415"/>
      <c r="DT98" s="111">
        <f>DO98*0.99</f>
        <v>0.1444612929705123</v>
      </c>
      <c r="DU98" s="415"/>
      <c r="DV98" s="415"/>
      <c r="DW98" s="415"/>
      <c r="DX98" s="415"/>
      <c r="DY98" s="111">
        <f>DT98*0.99</f>
        <v>0.14301668004080717</v>
      </c>
      <c r="DZ98" s="415"/>
      <c r="EA98" s="415"/>
      <c r="EB98" s="415"/>
      <c r="EC98" s="415"/>
      <c r="ED98" s="111">
        <f>DY98*0.99</f>
        <v>0.14158651324039909</v>
      </c>
      <c r="EE98" s="415"/>
      <c r="EF98" s="415"/>
      <c r="EG98" s="415"/>
      <c r="EH98" s="415"/>
      <c r="EI98" s="111">
        <f>ED98*0.99</f>
        <v>0.14017064810799509</v>
      </c>
      <c r="EJ98" s="415"/>
      <c r="EK98" s="415"/>
      <c r="EL98" s="415"/>
      <c r="EM98" s="415"/>
      <c r="EN98" s="111">
        <f>EI98*0.99</f>
        <v>0.13876894162691514</v>
      </c>
    </row>
    <row r="99" spans="2:154">
      <c r="B99" s="110"/>
      <c r="C99" s="41"/>
      <c r="D99" s="111"/>
      <c r="E99" s="414"/>
      <c r="F99" s="414"/>
      <c r="G99" s="414"/>
      <c r="H99" s="414"/>
      <c r="I99" s="111"/>
      <c r="J99" s="414"/>
      <c r="K99" s="414"/>
      <c r="L99" s="414"/>
      <c r="M99" s="414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1"/>
      <c r="Z99" s="111"/>
      <c r="AA99" s="111"/>
      <c r="AB99" s="111"/>
      <c r="AC99" s="111"/>
      <c r="AD99" s="111"/>
      <c r="AE99" s="111"/>
      <c r="AF99" s="111"/>
      <c r="AG99" s="111"/>
      <c r="AH99" s="111"/>
      <c r="AI99" s="111"/>
      <c r="AJ99" s="111"/>
      <c r="AK99" s="111"/>
      <c r="AL99" s="111"/>
      <c r="AM99" s="111"/>
      <c r="AN99" s="111"/>
      <c r="AO99" s="111"/>
      <c r="AP99" s="111"/>
      <c r="AQ99" s="111"/>
      <c r="AR99" s="111"/>
      <c r="AS99" s="111"/>
      <c r="AT99" s="111"/>
      <c r="AU99" s="111"/>
      <c r="AV99" s="111"/>
      <c r="AW99" s="111"/>
      <c r="AX99" s="414"/>
      <c r="AY99" s="414"/>
      <c r="AZ99" s="414"/>
      <c r="BA99" s="414"/>
      <c r="BB99" s="111"/>
      <c r="BC99" s="414"/>
      <c r="BD99" s="414"/>
      <c r="BE99" s="414"/>
      <c r="BF99" s="414"/>
      <c r="BG99" s="111"/>
      <c r="BH99" s="414"/>
      <c r="BI99" s="415"/>
      <c r="BJ99" s="778"/>
      <c r="BK99" s="778"/>
      <c r="BL99" s="786"/>
      <c r="BM99" s="415"/>
      <c r="BN99" s="415"/>
      <c r="BO99" s="387"/>
      <c r="BP99" s="387"/>
      <c r="BQ99" s="50"/>
      <c r="BR99" s="414"/>
      <c r="BS99" s="414"/>
      <c r="BT99" s="414"/>
      <c r="BU99" s="414"/>
      <c r="BV99" s="961"/>
      <c r="BW99" s="415"/>
      <c r="BX99" s="415"/>
      <c r="BY99" s="415"/>
      <c r="BZ99" s="415"/>
      <c r="CA99" s="962"/>
      <c r="CB99" s="415"/>
      <c r="CC99" s="415"/>
      <c r="CD99" s="415"/>
      <c r="CE99" s="415"/>
      <c r="CF99" s="111"/>
      <c r="CG99" s="415"/>
      <c r="CH99" s="415"/>
      <c r="CI99" s="415"/>
      <c r="CJ99" s="415"/>
      <c r="CK99" s="111"/>
      <c r="CL99" s="415"/>
      <c r="CM99" s="415"/>
      <c r="CN99" s="415"/>
      <c r="CO99" s="415"/>
      <c r="CP99" s="111"/>
      <c r="CQ99" s="415"/>
      <c r="CR99" s="415"/>
      <c r="CS99" s="415"/>
      <c r="CT99" s="415"/>
      <c r="CU99" s="111"/>
      <c r="CV99" s="415"/>
      <c r="CW99" s="415"/>
      <c r="CX99" s="415"/>
      <c r="CY99" s="415"/>
      <c r="CZ99" s="111"/>
      <c r="DA99" s="415"/>
      <c r="DB99" s="415"/>
      <c r="DC99" s="415"/>
      <c r="DD99" s="415"/>
      <c r="DE99" s="111"/>
      <c r="DF99" s="415"/>
      <c r="DG99" s="415"/>
      <c r="DH99" s="415"/>
      <c r="DI99" s="415"/>
      <c r="DJ99" s="111"/>
      <c r="DK99" s="415"/>
      <c r="DL99" s="415"/>
      <c r="DM99" s="415"/>
      <c r="DN99" s="415"/>
      <c r="DO99" s="111"/>
      <c r="DP99" s="415"/>
      <c r="DQ99" s="415"/>
      <c r="DR99" s="415"/>
      <c r="DS99" s="415"/>
      <c r="DT99" s="111"/>
      <c r="DU99" s="415"/>
      <c r="DV99" s="415"/>
      <c r="DW99" s="415"/>
      <c r="DX99" s="415"/>
      <c r="DY99" s="111"/>
      <c r="DZ99" s="415"/>
      <c r="EA99" s="415"/>
      <c r="EB99" s="415"/>
      <c r="EC99" s="415"/>
      <c r="ED99" s="111"/>
      <c r="EE99" s="415"/>
      <c r="EF99" s="415"/>
      <c r="EG99" s="415"/>
      <c r="EH99" s="415"/>
      <c r="EI99" s="111"/>
      <c r="EJ99" s="415"/>
      <c r="EK99" s="415"/>
      <c r="EL99" s="415"/>
      <c r="EM99" s="415"/>
      <c r="EN99" s="111"/>
    </row>
    <row r="100" spans="2:154">
      <c r="B100" s="110" t="s">
        <v>251</v>
      </c>
      <c r="C100" s="41"/>
      <c r="D100" s="111">
        <f t="shared" ref="D100:AI100" si="77">D13/D6</f>
        <v>0.62560959438952157</v>
      </c>
      <c r="E100" s="414">
        <f t="shared" si="77"/>
        <v>0.50359551019576687</v>
      </c>
      <c r="F100" s="414">
        <f t="shared" si="77"/>
        <v>0.45354159854947534</v>
      </c>
      <c r="G100" s="414">
        <f t="shared" si="77"/>
        <v>0.44758650379379</v>
      </c>
      <c r="H100" s="414">
        <f t="shared" si="77"/>
        <v>0.42333597464342299</v>
      </c>
      <c r="I100" s="111">
        <f t="shared" si="77"/>
        <v>0.45197532001105079</v>
      </c>
      <c r="J100" s="414">
        <f t="shared" si="77"/>
        <v>0.45525080544930191</v>
      </c>
      <c r="K100" s="414">
        <f t="shared" si="77"/>
        <v>0.4403040351896802</v>
      </c>
      <c r="L100" s="414">
        <f t="shared" si="77"/>
        <v>0.3957306737099382</v>
      </c>
      <c r="M100" s="414">
        <f t="shared" si="77"/>
        <v>0.42057528840315722</v>
      </c>
      <c r="N100" s="111">
        <f t="shared" si="77"/>
        <v>0.42609575578407533</v>
      </c>
      <c r="O100" s="111">
        <f t="shared" si="77"/>
        <v>0.35621374426136154</v>
      </c>
      <c r="P100" s="111">
        <f t="shared" si="77"/>
        <v>0.33649734730715636</v>
      </c>
      <c r="Q100" s="111">
        <f t="shared" si="77"/>
        <v>0.38104798233286485</v>
      </c>
      <c r="R100" s="111">
        <f t="shared" si="77"/>
        <v>0.35102251268933576</v>
      </c>
      <c r="S100" s="111">
        <f t="shared" si="77"/>
        <v>0.35540962601105147</v>
      </c>
      <c r="T100" s="111">
        <f t="shared" si="77"/>
        <v>0.27813309429666577</v>
      </c>
      <c r="U100" s="111">
        <f t="shared" si="77"/>
        <v>0.27183771972074494</v>
      </c>
      <c r="V100" s="111">
        <f t="shared" si="77"/>
        <v>0.2616699136983896</v>
      </c>
      <c r="W100" s="111">
        <f t="shared" si="77"/>
        <v>0.2823054038130014</v>
      </c>
      <c r="X100" s="111">
        <f t="shared" si="77"/>
        <v>0.27354364854656887</v>
      </c>
      <c r="Y100" s="111">
        <f t="shared" si="77"/>
        <v>0.26233491811938725</v>
      </c>
      <c r="Z100" s="111">
        <f t="shared" si="77"/>
        <v>0.24889122667839395</v>
      </c>
      <c r="AA100" s="111">
        <f t="shared" si="77"/>
        <v>0.24084902317180512</v>
      </c>
      <c r="AB100" s="111">
        <f t="shared" si="77"/>
        <v>0.22435659326081189</v>
      </c>
      <c r="AC100" s="111">
        <f t="shared" si="77"/>
        <v>0.2424599166322858</v>
      </c>
      <c r="AD100" s="111">
        <f t="shared" si="77"/>
        <v>0.22181515295465046</v>
      </c>
      <c r="AE100" s="111">
        <f t="shared" si="77"/>
        <v>0.23503790051445864</v>
      </c>
      <c r="AF100" s="111">
        <f t="shared" si="77"/>
        <v>0.25555953233118589</v>
      </c>
      <c r="AG100" s="111">
        <f t="shared" si="77"/>
        <v>0.24662559367897302</v>
      </c>
      <c r="AH100" s="111">
        <f t="shared" si="77"/>
        <v>0.24092273854385768</v>
      </c>
      <c r="AI100" s="111">
        <f t="shared" si="77"/>
        <v>0.27869812444476971</v>
      </c>
      <c r="AJ100" s="111">
        <f t="shared" ref="AJ100:BP100" si="78">AJ13/AJ6</f>
        <v>0.26995884379327029</v>
      </c>
      <c r="AK100" s="111">
        <f t="shared" si="78"/>
        <v>0.2574039163001004</v>
      </c>
      <c r="AL100" s="111">
        <f t="shared" si="78"/>
        <v>0.23995745304196242</v>
      </c>
      <c r="AM100" s="111">
        <f t="shared" si="78"/>
        <v>0.26018334560343698</v>
      </c>
      <c r="AN100" s="111">
        <f t="shared" si="78"/>
        <v>0.23517898793225844</v>
      </c>
      <c r="AO100" s="111">
        <f t="shared" si="78"/>
        <v>0.23702245552639256</v>
      </c>
      <c r="AP100" s="111">
        <f t="shared" si="78"/>
        <v>0.25584927020401688</v>
      </c>
      <c r="AQ100" s="111">
        <f t="shared" si="78"/>
        <v>0.28334488356417969</v>
      </c>
      <c r="AR100" s="111">
        <f t="shared" si="78"/>
        <v>0.25491792716091077</v>
      </c>
      <c r="AS100" s="111">
        <f t="shared" si="78"/>
        <v>0.25105555716081313</v>
      </c>
      <c r="AT100" s="111">
        <f t="shared" si="78"/>
        <v>0.2600645868575866</v>
      </c>
      <c r="AU100" s="111">
        <f t="shared" si="78"/>
        <v>0.24619052463851943</v>
      </c>
      <c r="AV100" s="111">
        <f t="shared" si="78"/>
        <v>0.27237537690715419</v>
      </c>
      <c r="AW100" s="111">
        <f t="shared" si="78"/>
        <v>0.25767315070337216</v>
      </c>
      <c r="AX100" s="414">
        <f t="shared" si="78"/>
        <v>0.24728498187370018</v>
      </c>
      <c r="AY100" s="414">
        <f t="shared" si="78"/>
        <v>0.25501256983648968</v>
      </c>
      <c r="AZ100" s="414">
        <f t="shared" si="78"/>
        <v>0.23119166377194733</v>
      </c>
      <c r="BA100" s="414">
        <f t="shared" si="78"/>
        <v>0.21984648441008414</v>
      </c>
      <c r="BB100" s="111">
        <f t="shared" si="78"/>
        <v>0.23784315616230589</v>
      </c>
      <c r="BC100" s="414">
        <f t="shared" si="78"/>
        <v>0.22511265874641537</v>
      </c>
      <c r="BD100" s="414">
        <f t="shared" si="78"/>
        <v>0.21544715447154472</v>
      </c>
      <c r="BE100" s="414">
        <f t="shared" si="78"/>
        <v>0.22187052078356426</v>
      </c>
      <c r="BF100" s="414">
        <f t="shared" si="78"/>
        <v>0.26197391651005186</v>
      </c>
      <c r="BG100" s="111">
        <f t="shared" si="78"/>
        <v>0.23268428372739913</v>
      </c>
      <c r="BH100" s="414">
        <f t="shared" si="78"/>
        <v>0.20676300578034684</v>
      </c>
      <c r="BI100" s="414">
        <f t="shared" si="78"/>
        <v>0.21204677738025313</v>
      </c>
      <c r="BJ100" s="414">
        <f t="shared" si="78"/>
        <v>0.21133084451619413</v>
      </c>
      <c r="BK100" s="414">
        <f t="shared" si="78"/>
        <v>0.22900982977703188</v>
      </c>
      <c r="BL100" s="111">
        <f t="shared" si="78"/>
        <v>0.21528212348769296</v>
      </c>
      <c r="BM100" s="414">
        <f t="shared" si="78"/>
        <v>0.20703575547866204</v>
      </c>
      <c r="BN100" s="938">
        <f t="shared" si="78"/>
        <v>0.2093686890859601</v>
      </c>
      <c r="BO100" s="938">
        <f t="shared" si="78"/>
        <v>0.20885994601773705</v>
      </c>
      <c r="BP100" s="938">
        <f t="shared" si="78"/>
        <v>0.25322826044551944</v>
      </c>
      <c r="BQ100" s="111">
        <f>BQ13/BQ6</f>
        <v>0.22086214347450303</v>
      </c>
      <c r="BR100" s="415">
        <f>BR13/BR6</f>
        <v>0.23530817009077878</v>
      </c>
      <c r="BS100" s="415">
        <f t="shared" ref="BS100:BZ100" si="79">BS13/BS6</f>
        <v>0.2181316486947682</v>
      </c>
      <c r="BT100" s="415">
        <f t="shared" si="79"/>
        <v>0.21577041705779812</v>
      </c>
      <c r="BU100" s="415">
        <f t="shared" si="79"/>
        <v>0.22573393725884924</v>
      </c>
      <c r="BV100" s="976">
        <f t="shared" si="79"/>
        <v>0.22336408648879708</v>
      </c>
      <c r="BW100" s="415">
        <f t="shared" si="79"/>
        <v>0.20101351351351351</v>
      </c>
      <c r="BX100" s="415">
        <f t="shared" si="79"/>
        <v>0.21113831089351284</v>
      </c>
      <c r="BY100" s="415">
        <f t="shared" si="79"/>
        <v>0.21202916160388821</v>
      </c>
      <c r="BZ100" s="415">
        <f t="shared" si="79"/>
        <v>0.21992535170829744</v>
      </c>
      <c r="CA100" s="111">
        <f t="shared" ref="CA100" si="80">CA13/CA6</f>
        <v>0.21141275090363762</v>
      </c>
      <c r="CB100" s="415">
        <f>CF100</f>
        <v>0.22500000000000001</v>
      </c>
      <c r="CC100" s="415">
        <f>CB100</f>
        <v>0.22500000000000001</v>
      </c>
      <c r="CD100" s="415">
        <f t="shared" ref="CD100:CE100" si="81">CC100</f>
        <v>0.22500000000000001</v>
      </c>
      <c r="CE100" s="415">
        <f t="shared" si="81"/>
        <v>0.22500000000000001</v>
      </c>
      <c r="CF100" s="111">
        <v>0.22500000000000001</v>
      </c>
      <c r="CG100" s="361"/>
      <c r="CH100" s="361"/>
      <c r="CI100" s="361"/>
      <c r="CJ100" s="361"/>
      <c r="CK100" s="111">
        <f>CF100*0.98</f>
        <v>0.2205</v>
      </c>
      <c r="CL100" s="361"/>
      <c r="CM100" s="361"/>
      <c r="CN100" s="361"/>
      <c r="CO100" s="361"/>
      <c r="CP100" s="111">
        <f>CK100*0.98</f>
        <v>0.21609</v>
      </c>
      <c r="CQ100" s="361"/>
      <c r="CR100" s="361"/>
      <c r="CS100" s="361"/>
      <c r="CT100" s="361"/>
      <c r="CU100" s="111">
        <f>CP100*0.985</f>
        <v>0.21284865</v>
      </c>
      <c r="CV100" s="361"/>
      <c r="CW100" s="361"/>
      <c r="CX100" s="361"/>
      <c r="CY100" s="361"/>
      <c r="CZ100" s="111">
        <f>CU100*0.985</f>
        <v>0.20965592024999999</v>
      </c>
      <c r="DA100" s="415"/>
      <c r="DB100" s="415"/>
      <c r="DC100" s="415"/>
      <c r="DD100" s="415"/>
      <c r="DE100" s="111">
        <f>CZ100*0.985</f>
        <v>0.20651108144624999</v>
      </c>
      <c r="DF100" s="415"/>
      <c r="DG100" s="415"/>
      <c r="DH100" s="415"/>
      <c r="DI100" s="415"/>
      <c r="DJ100" s="111">
        <f>DE100*0.985</f>
        <v>0.20341341522455625</v>
      </c>
      <c r="DK100" s="415"/>
      <c r="DL100" s="415"/>
      <c r="DM100" s="415"/>
      <c r="DN100" s="415"/>
      <c r="DO100" s="111">
        <f>DJ100*0.985</f>
        <v>0.20036221399618789</v>
      </c>
      <c r="DP100" s="415"/>
      <c r="DQ100" s="415"/>
      <c r="DR100" s="415"/>
      <c r="DS100" s="415"/>
      <c r="DT100" s="111">
        <f>DO100*0.985</f>
        <v>0.19735678078624508</v>
      </c>
      <c r="DU100" s="415"/>
      <c r="DV100" s="415"/>
      <c r="DW100" s="415"/>
      <c r="DX100" s="415"/>
      <c r="DY100" s="111">
        <f>DT100*0.99</f>
        <v>0.19538321297838263</v>
      </c>
      <c r="DZ100" s="415"/>
      <c r="EA100" s="415"/>
      <c r="EB100" s="415"/>
      <c r="EC100" s="415"/>
      <c r="ED100" s="111">
        <f>DY100*0.99</f>
        <v>0.19342938084859879</v>
      </c>
      <c r="EE100" s="415"/>
      <c r="EF100" s="415"/>
      <c r="EG100" s="415"/>
      <c r="EH100" s="415"/>
      <c r="EI100" s="111">
        <f>ED100*0.99</f>
        <v>0.19149508704011281</v>
      </c>
      <c r="EJ100" s="415"/>
      <c r="EK100" s="415"/>
      <c r="EL100" s="415"/>
      <c r="EM100" s="415"/>
      <c r="EN100" s="111">
        <f>EI100*0.99</f>
        <v>0.18958013616971167</v>
      </c>
    </row>
    <row r="101" spans="2:154">
      <c r="B101" s="110"/>
      <c r="C101" s="41"/>
      <c r="D101" s="111"/>
      <c r="E101" s="414"/>
      <c r="F101" s="414"/>
      <c r="G101" s="414"/>
      <c r="H101" s="414"/>
      <c r="I101" s="111"/>
      <c r="J101" s="414"/>
      <c r="K101" s="414"/>
      <c r="L101" s="414"/>
      <c r="M101" s="414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  <c r="AA101" s="111"/>
      <c r="AB101" s="111"/>
      <c r="AC101" s="111"/>
      <c r="AD101" s="111"/>
      <c r="AE101" s="111"/>
      <c r="AF101" s="111"/>
      <c r="AG101" s="111"/>
      <c r="AH101" s="111"/>
      <c r="AI101" s="111"/>
      <c r="AJ101" s="111"/>
      <c r="AK101" s="111"/>
      <c r="AL101" s="111"/>
      <c r="AM101" s="111"/>
      <c r="AN101" s="111"/>
      <c r="AO101" s="111"/>
      <c r="AP101" s="111"/>
      <c r="AQ101" s="111"/>
      <c r="AR101" s="111"/>
      <c r="AS101" s="111"/>
      <c r="AT101" s="111"/>
      <c r="AU101" s="111"/>
      <c r="AV101" s="111"/>
      <c r="AW101" s="111"/>
      <c r="AX101" s="414"/>
      <c r="AY101" s="414"/>
      <c r="AZ101" s="414"/>
      <c r="BA101" s="414"/>
      <c r="BB101" s="111"/>
      <c r="BC101" s="414"/>
      <c r="BD101" s="414"/>
      <c r="BE101" s="414"/>
      <c r="BF101" s="414"/>
      <c r="BG101" s="111"/>
      <c r="BH101" s="414"/>
      <c r="BI101" s="415"/>
      <c r="BJ101" s="778"/>
      <c r="BK101" s="778"/>
      <c r="BL101" s="524"/>
      <c r="BM101" s="415"/>
      <c r="BN101" s="415"/>
      <c r="BO101" s="387"/>
      <c r="BP101" s="387"/>
      <c r="BQ101" s="50"/>
      <c r="BR101" s="414"/>
      <c r="BS101" s="414"/>
      <c r="BT101" s="414"/>
      <c r="BU101" s="414"/>
      <c r="BV101" s="961"/>
      <c r="BW101" s="415"/>
      <c r="BX101" s="415"/>
      <c r="BY101" s="415"/>
      <c r="BZ101" s="415"/>
      <c r="CA101" s="962"/>
      <c r="CB101" s="415"/>
      <c r="CC101" s="415"/>
      <c r="CD101" s="415"/>
      <c r="CE101" s="415"/>
      <c r="CF101" s="111"/>
      <c r="CG101" s="415"/>
      <c r="CH101" s="415"/>
      <c r="CI101" s="415"/>
      <c r="CJ101" s="415"/>
      <c r="CK101" s="111"/>
      <c r="CL101" s="415"/>
      <c r="CM101" s="415"/>
      <c r="CN101" s="415"/>
      <c r="CO101" s="415"/>
      <c r="CP101" s="111"/>
      <c r="CQ101" s="415"/>
      <c r="CR101" s="415"/>
      <c r="CS101" s="415"/>
      <c r="CT101" s="415"/>
      <c r="CU101" s="111"/>
      <c r="CV101" s="415"/>
      <c r="CW101" s="415"/>
      <c r="CX101" s="415"/>
      <c r="CY101" s="415"/>
      <c r="CZ101" s="111"/>
      <c r="DA101" s="415"/>
      <c r="DB101" s="415"/>
      <c r="DC101" s="415"/>
      <c r="DD101" s="415"/>
      <c r="DE101" s="111"/>
      <c r="DF101" s="415"/>
      <c r="DG101" s="415"/>
      <c r="DH101" s="415"/>
      <c r="DI101" s="415"/>
      <c r="DJ101" s="111"/>
      <c r="DK101" s="415"/>
      <c r="DL101" s="415"/>
      <c r="DM101" s="415"/>
      <c r="DN101" s="415"/>
      <c r="DO101" s="111"/>
      <c r="DP101" s="415"/>
      <c r="DQ101" s="415"/>
      <c r="DR101" s="415"/>
      <c r="DS101" s="415"/>
      <c r="DT101" s="111"/>
      <c r="DU101" s="415"/>
      <c r="DV101" s="415"/>
      <c r="DW101" s="415"/>
      <c r="DX101" s="415"/>
      <c r="DY101" s="111"/>
      <c r="DZ101" s="415"/>
      <c r="EA101" s="415"/>
      <c r="EB101" s="415"/>
      <c r="EC101" s="415"/>
      <c r="ED101" s="111"/>
      <c r="EE101" s="415"/>
      <c r="EF101" s="415"/>
      <c r="EG101" s="415"/>
      <c r="EH101" s="415"/>
      <c r="EI101" s="111"/>
      <c r="EJ101" s="415"/>
      <c r="EK101" s="415"/>
      <c r="EL101" s="415"/>
      <c r="EM101" s="415"/>
      <c r="EN101" s="111"/>
    </row>
    <row r="102" spans="2:154" ht="13.5" thickBot="1">
      <c r="B102" s="110" t="s">
        <v>174</v>
      </c>
      <c r="C102" s="41"/>
      <c r="D102" s="111">
        <f t="shared" ref="D102:AI102" si="82">D20/D6</f>
        <v>-0.26679975837225406</v>
      </c>
      <c r="E102" s="414">
        <f t="shared" si="82"/>
        <v>-7.470105318910554E-2</v>
      </c>
      <c r="F102" s="414">
        <f t="shared" si="82"/>
        <v>-1.1369378473976711E-2</v>
      </c>
      <c r="G102" s="414">
        <f t="shared" si="82"/>
        <v>1.2188559436043869E-2</v>
      </c>
      <c r="H102" s="414">
        <f t="shared" si="82"/>
        <v>5.9008518225039927E-2</v>
      </c>
      <c r="I102" s="111">
        <f t="shared" si="82"/>
        <v>4.5676397458329831E-3</v>
      </c>
      <c r="J102" s="414">
        <f t="shared" si="82"/>
        <v>5.8088882989634827E-2</v>
      </c>
      <c r="K102" s="414">
        <f t="shared" si="82"/>
        <v>0.1059678871377616</v>
      </c>
      <c r="L102" s="414">
        <f t="shared" si="82"/>
        <v>0.18131824811763306</v>
      </c>
      <c r="M102" s="414">
        <f t="shared" si="82"/>
        <v>9.6928126897389374E-2</v>
      </c>
      <c r="N102" s="111">
        <f t="shared" si="82"/>
        <v>0.11318615530513748</v>
      </c>
      <c r="O102" s="111">
        <f t="shared" si="82"/>
        <v>0.2061016406277805</v>
      </c>
      <c r="P102" s="111">
        <f t="shared" si="82"/>
        <v>0.26175523846782123</v>
      </c>
      <c r="Q102" s="111">
        <f t="shared" si="82"/>
        <v>7.6853582073417415E-2</v>
      </c>
      <c r="R102" s="111">
        <f t="shared" si="82"/>
        <v>9.4396603677563223E-2</v>
      </c>
      <c r="S102" s="111">
        <f t="shared" si="82"/>
        <v>0.15896159913286562</v>
      </c>
      <c r="T102" s="111">
        <f t="shared" si="82"/>
        <v>0.25991388080795857</v>
      </c>
      <c r="U102" s="111">
        <f t="shared" si="82"/>
        <v>0.27055501193982934</v>
      </c>
      <c r="V102" s="111">
        <f t="shared" si="82"/>
        <v>0.32413136796016978</v>
      </c>
      <c r="W102" s="111">
        <f t="shared" si="82"/>
        <v>0.28889196010969109</v>
      </c>
      <c r="X102" s="111">
        <f t="shared" si="82"/>
        <v>0.28860473059041714</v>
      </c>
      <c r="Y102" s="111">
        <f t="shared" si="82"/>
        <v>0.32769967452243393</v>
      </c>
      <c r="Z102" s="111">
        <f t="shared" si="82"/>
        <v>0.3728323948641446</v>
      </c>
      <c r="AA102" s="111">
        <f t="shared" si="82"/>
        <v>0.4171496507653441</v>
      </c>
      <c r="AB102" s="111">
        <f t="shared" si="82"/>
        <v>0.3775368436286452</v>
      </c>
      <c r="AC102" s="111">
        <f t="shared" si="82"/>
        <v>0.37583047616337784</v>
      </c>
      <c r="AD102" s="111">
        <f t="shared" si="82"/>
        <v>0.40857318245018109</v>
      </c>
      <c r="AE102" s="111">
        <f t="shared" si="82"/>
        <v>0.36530624851089366</v>
      </c>
      <c r="AF102" s="111">
        <f t="shared" si="82"/>
        <v>0.38264478303848387</v>
      </c>
      <c r="AG102" s="111">
        <f t="shared" si="82"/>
        <v>0.3662275460627516</v>
      </c>
      <c r="AH102" s="111">
        <f t="shared" si="82"/>
        <v>0.37902250273369098</v>
      </c>
      <c r="AI102" s="111">
        <f t="shared" si="82"/>
        <v>0.36143616224867009</v>
      </c>
      <c r="AJ102" s="111">
        <f t="shared" ref="AJ102:CE102" si="83">AJ20/AJ6</f>
        <v>0.40288524652999053</v>
      </c>
      <c r="AK102" s="111">
        <f t="shared" si="83"/>
        <v>0.42166171892493159</v>
      </c>
      <c r="AL102" s="111">
        <f t="shared" si="83"/>
        <v>0.44498390632278928</v>
      </c>
      <c r="AM102" s="111">
        <f t="shared" si="83"/>
        <v>0.41034924412799906</v>
      </c>
      <c r="AN102" s="111">
        <f t="shared" si="83"/>
        <v>0.45532400365074516</v>
      </c>
      <c r="AO102" s="111">
        <f t="shared" si="83"/>
        <v>0.45832862962022219</v>
      </c>
      <c r="AP102" s="111">
        <f t="shared" si="83"/>
        <v>0.45075226140946334</v>
      </c>
      <c r="AQ102" s="111">
        <f t="shared" si="83"/>
        <v>0.41339700200309487</v>
      </c>
      <c r="AR102" s="111">
        <f t="shared" si="83"/>
        <v>0.44261511082277233</v>
      </c>
      <c r="AS102" s="111">
        <f t="shared" si="83"/>
        <v>0.43922735744109087</v>
      </c>
      <c r="AT102" s="111">
        <f t="shared" si="83"/>
        <v>0.44073003390937598</v>
      </c>
      <c r="AU102" s="111">
        <f t="shared" si="83"/>
        <v>0.46767723944117806</v>
      </c>
      <c r="AV102" s="111">
        <f t="shared" si="83"/>
        <v>0.45502462278086886</v>
      </c>
      <c r="AW102" s="111">
        <f t="shared" si="83"/>
        <v>0.45117964097233126</v>
      </c>
      <c r="AX102" s="414">
        <f t="shared" si="83"/>
        <v>0.46211697589233552</v>
      </c>
      <c r="AY102" s="414">
        <f t="shared" si="83"/>
        <v>0.47764573840107</v>
      </c>
      <c r="AZ102" s="414">
        <f t="shared" si="83"/>
        <v>0.49130562529108679</v>
      </c>
      <c r="BA102" s="414">
        <f t="shared" si="83"/>
        <v>0.49251283326769896</v>
      </c>
      <c r="BB102" s="111">
        <f t="shared" si="83"/>
        <v>0.48148341851118803</v>
      </c>
      <c r="BC102" s="414">
        <f t="shared" si="83"/>
        <v>0.49433292366516451</v>
      </c>
      <c r="BD102" s="414">
        <f t="shared" si="83"/>
        <v>0.49624765478424016</v>
      </c>
      <c r="BE102" s="414">
        <f t="shared" si="83"/>
        <v>0.48871237458193989</v>
      </c>
      <c r="BF102" s="414">
        <f t="shared" si="83"/>
        <v>0.46050458454353888</v>
      </c>
      <c r="BG102" s="111">
        <f t="shared" si="83"/>
        <v>0.48238293926750125</v>
      </c>
      <c r="BH102" s="414">
        <f t="shared" si="83"/>
        <v>0.50549132947976883</v>
      </c>
      <c r="BI102" s="414">
        <f t="shared" si="83"/>
        <v>0.50328402840818076</v>
      </c>
      <c r="BJ102" s="414">
        <f t="shared" si="83"/>
        <v>0.52012914942992616</v>
      </c>
      <c r="BK102" s="414">
        <f t="shared" si="83"/>
        <v>0.49551666267082239</v>
      </c>
      <c r="BL102" s="111">
        <f t="shared" si="83"/>
        <v>0.50602315394242803</v>
      </c>
      <c r="BM102" s="414">
        <f t="shared" si="83"/>
        <v>0.52354863514033079</v>
      </c>
      <c r="BN102" s="414">
        <f t="shared" si="83"/>
        <v>0.51251207305294599</v>
      </c>
      <c r="BO102" s="414">
        <f t="shared" si="83"/>
        <v>0.54457821001670881</v>
      </c>
      <c r="BP102" s="414">
        <f t="shared" si="83"/>
        <v>0.50099481137596069</v>
      </c>
      <c r="BQ102" s="111">
        <f t="shared" si="83"/>
        <v>0.51988980121002593</v>
      </c>
      <c r="BR102" s="414">
        <f t="shared" si="83"/>
        <v>0.5398948877209746</v>
      </c>
      <c r="BS102" s="414">
        <f t="shared" si="83"/>
        <v>0.54609156591511443</v>
      </c>
      <c r="BT102" s="414">
        <f t="shared" si="83"/>
        <v>0.55256805685932653</v>
      </c>
      <c r="BU102" s="414">
        <f t="shared" si="83"/>
        <v>0.55977185036067767</v>
      </c>
      <c r="BV102" s="111">
        <f>BV20/BV6</f>
        <v>0.55005699426495192</v>
      </c>
      <c r="BW102" s="414">
        <f t="shared" si="83"/>
        <v>0.58108108108108103</v>
      </c>
      <c r="BX102" s="414">
        <f t="shared" si="83"/>
        <v>0.59455324357405137</v>
      </c>
      <c r="BY102" s="414">
        <f t="shared" si="83"/>
        <v>0.59599027946537064</v>
      </c>
      <c r="BZ102" s="414">
        <f t="shared" si="83"/>
        <v>0.55067470571346544</v>
      </c>
      <c r="CA102" s="111">
        <f>CA20/CA6</f>
        <v>0.58009690071521958</v>
      </c>
      <c r="CB102" s="414">
        <f t="shared" si="83"/>
        <v>0.56844817092521149</v>
      </c>
      <c r="CC102" s="414">
        <f t="shared" si="83"/>
        <v>0.56897116792458924</v>
      </c>
      <c r="CD102" s="414">
        <f t="shared" si="83"/>
        <v>0.56919051916161101</v>
      </c>
      <c r="CE102" s="414">
        <f t="shared" si="83"/>
        <v>0.56943044666012499</v>
      </c>
      <c r="CF102" s="111">
        <f>CF20/CF6</f>
        <v>0.56902778370883222</v>
      </c>
      <c r="CG102" s="414"/>
      <c r="CH102" s="414"/>
      <c r="CI102" s="414"/>
      <c r="CJ102" s="414"/>
      <c r="CK102" s="111">
        <f>CK20/CK6</f>
        <v>0.57906380630704379</v>
      </c>
      <c r="CL102" s="414"/>
      <c r="CM102" s="414"/>
      <c r="CN102" s="414"/>
      <c r="CO102" s="414"/>
      <c r="CP102" s="111">
        <f>CP20/CP6</f>
        <v>0.58459313932424106</v>
      </c>
      <c r="CQ102" s="414"/>
      <c r="CR102" s="414"/>
      <c r="CS102" s="414"/>
      <c r="CT102" s="414"/>
      <c r="CU102" s="111">
        <f>CU20/CU6</f>
        <v>0.58599065316875609</v>
      </c>
      <c r="CV102" s="414"/>
      <c r="CW102" s="414"/>
      <c r="CX102" s="414"/>
      <c r="CY102" s="414"/>
      <c r="CZ102" s="111">
        <f>CZ20/CZ6</f>
        <v>0.58815511669976428</v>
      </c>
      <c r="DA102" s="414"/>
      <c r="DB102" s="414"/>
      <c r="DC102" s="414"/>
      <c r="DD102" s="414"/>
      <c r="DE102" s="111">
        <f>DE20/DE6</f>
        <v>0.58958516115415005</v>
      </c>
      <c r="DF102" s="414"/>
      <c r="DG102" s="414"/>
      <c r="DH102" s="414"/>
      <c r="DI102" s="414"/>
      <c r="DJ102" s="111">
        <f>DJ20/DJ6</f>
        <v>0.58522634745420832</v>
      </c>
      <c r="DK102" s="414"/>
      <c r="DL102" s="414"/>
      <c r="DM102" s="414"/>
      <c r="DN102" s="414"/>
      <c r="DO102" s="111">
        <f>DO20/DO6</f>
        <v>0.57865429927468692</v>
      </c>
      <c r="DP102" s="414"/>
      <c r="DQ102" s="414"/>
      <c r="DR102" s="414"/>
      <c r="DS102" s="414"/>
      <c r="DT102" s="111">
        <f>DT20/DT6</f>
        <v>0.54617963404777325</v>
      </c>
      <c r="DU102" s="414"/>
      <c r="DV102" s="414"/>
      <c r="DW102" s="414"/>
      <c r="DX102" s="414"/>
      <c r="DY102" s="111">
        <f>DY20/DY6</f>
        <v>0.51992388012207202</v>
      </c>
      <c r="DZ102" s="414"/>
      <c r="EA102" s="414"/>
      <c r="EB102" s="414"/>
      <c r="EC102" s="414"/>
      <c r="ED102" s="111">
        <f>ED20/ED6</f>
        <v>0.51265296523750414</v>
      </c>
      <c r="EE102" s="414"/>
      <c r="EF102" s="414"/>
      <c r="EG102" s="414"/>
      <c r="EH102" s="414"/>
      <c r="EI102" s="111">
        <f>EI20/EI6</f>
        <v>0.50886291527247829</v>
      </c>
      <c r="EJ102" s="414"/>
      <c r="EK102" s="414"/>
      <c r="EL102" s="414"/>
      <c r="EM102" s="414"/>
      <c r="EN102" s="111">
        <f>EN20/EN6</f>
        <v>0.48000709472555403</v>
      </c>
    </row>
    <row r="103" spans="2:154" ht="13.5" thickBot="1">
      <c r="B103" s="110"/>
      <c r="C103" s="41"/>
      <c r="D103" s="111"/>
      <c r="E103" s="414"/>
      <c r="F103" s="414"/>
      <c r="G103" s="414"/>
      <c r="H103" s="414"/>
      <c r="I103" s="111"/>
      <c r="J103" s="414"/>
      <c r="K103" s="414"/>
      <c r="L103" s="414"/>
      <c r="M103" s="414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  <c r="AA103" s="111"/>
      <c r="AB103" s="111"/>
      <c r="AC103" s="111"/>
      <c r="AD103" s="111"/>
      <c r="AE103" s="111"/>
      <c r="AF103" s="111"/>
      <c r="AG103" s="111"/>
      <c r="AH103" s="111"/>
      <c r="AI103" s="111"/>
      <c r="AJ103" s="111"/>
      <c r="AK103" s="111"/>
      <c r="AL103" s="111"/>
      <c r="AM103" s="111"/>
      <c r="AN103" s="111"/>
      <c r="AO103" s="111"/>
      <c r="AP103" s="111"/>
      <c r="AQ103" s="111"/>
      <c r="AR103" s="111"/>
      <c r="AS103" s="111"/>
      <c r="AT103" s="111"/>
      <c r="AU103" s="111"/>
      <c r="AV103" s="111"/>
      <c r="AW103" s="111"/>
      <c r="AX103" s="414"/>
      <c r="AY103" s="414"/>
      <c r="AZ103" s="414"/>
      <c r="BA103" s="414"/>
      <c r="BB103" s="111"/>
      <c r="BC103" s="414"/>
      <c r="BD103" s="414"/>
      <c r="BE103" s="414"/>
      <c r="BF103" s="414"/>
      <c r="BG103" s="111"/>
      <c r="BH103" s="414"/>
      <c r="BI103" s="414"/>
      <c r="BJ103" s="778"/>
      <c r="BK103" s="778"/>
      <c r="BL103" s="524"/>
      <c r="BM103" s="414"/>
      <c r="BN103" s="414"/>
      <c r="BO103" s="387"/>
      <c r="BP103" s="387"/>
      <c r="BQ103" s="50"/>
      <c r="BR103" s="414"/>
      <c r="BS103" s="414"/>
      <c r="BT103" s="414"/>
      <c r="BU103" s="414"/>
      <c r="BV103" s="962"/>
      <c r="BW103" s="414"/>
      <c r="BX103" s="414"/>
      <c r="BY103" s="414"/>
      <c r="BZ103" s="414"/>
      <c r="CA103" s="962"/>
      <c r="CB103" s="414"/>
      <c r="CC103" s="414"/>
      <c r="CD103" s="377" t="s">
        <v>432</v>
      </c>
      <c r="CE103" s="378"/>
      <c r="CF103" s="379" t="s">
        <v>1051</v>
      </c>
      <c r="CG103" s="414"/>
      <c r="CH103" s="414"/>
      <c r="CI103" s="414"/>
      <c r="CJ103" s="414"/>
      <c r="CK103" s="111"/>
      <c r="CL103" s="414"/>
      <c r="CM103" s="414"/>
      <c r="CN103" s="414"/>
      <c r="CO103" s="414"/>
      <c r="CP103" s="111"/>
      <c r="CQ103" s="414"/>
      <c r="CR103" s="414"/>
      <c r="CS103" s="414"/>
      <c r="CT103" s="414"/>
      <c r="CU103" s="111"/>
      <c r="CV103" s="414"/>
      <c r="CW103" s="414"/>
      <c r="CX103" s="414"/>
      <c r="CY103" s="414"/>
      <c r="CZ103" s="111"/>
      <c r="DA103" s="414"/>
      <c r="DB103" s="414"/>
      <c r="DC103" s="414"/>
      <c r="DD103" s="414"/>
      <c r="DE103" s="111"/>
      <c r="DF103" s="414"/>
      <c r="DG103" s="414"/>
      <c r="DH103" s="414"/>
      <c r="DI103" s="414"/>
      <c r="DJ103" s="111"/>
      <c r="DK103" s="414"/>
      <c r="DL103" s="414"/>
      <c r="DM103" s="414"/>
      <c r="DN103" s="414"/>
      <c r="DO103" s="111"/>
      <c r="DP103" s="414"/>
      <c r="DQ103" s="414"/>
      <c r="DR103" s="414"/>
      <c r="DS103" s="414"/>
      <c r="DT103" s="111"/>
      <c r="DU103" s="414"/>
      <c r="DV103" s="414"/>
      <c r="DW103" s="414"/>
      <c r="DX103" s="414"/>
      <c r="DY103" s="111"/>
      <c r="DZ103" s="414"/>
      <c r="EA103" s="414"/>
      <c r="EB103" s="414"/>
      <c r="EC103" s="414"/>
      <c r="ED103" s="111"/>
      <c r="EE103" s="414"/>
      <c r="EF103" s="414"/>
      <c r="EG103" s="414"/>
      <c r="EH103" s="414"/>
      <c r="EI103" s="111"/>
      <c r="EJ103" s="414"/>
      <c r="EK103" s="414"/>
      <c r="EL103" s="414"/>
      <c r="EM103" s="414"/>
      <c r="EN103" s="111"/>
    </row>
    <row r="104" spans="2:154" s="50" customFormat="1">
      <c r="B104" s="188" t="s">
        <v>255</v>
      </c>
      <c r="C104" s="97"/>
      <c r="D104" s="111">
        <f t="shared" ref="D104:AI104" si="84">D91/D6</f>
        <v>-0.22862552119399462</v>
      </c>
      <c r="E104" s="414">
        <f t="shared" si="84"/>
        <v>-3.3693902911039166E-2</v>
      </c>
      <c r="F104" s="414">
        <f t="shared" si="84"/>
        <v>2.0895877299884125E-2</v>
      </c>
      <c r="G104" s="414">
        <f t="shared" si="84"/>
        <v>3.8529839100253094E-2</v>
      </c>
      <c r="H104" s="414">
        <f t="shared" si="84"/>
        <v>8.2346969096672232E-2</v>
      </c>
      <c r="I104" s="111">
        <f t="shared" si="84"/>
        <v>3.4135739939220949E-2</v>
      </c>
      <c r="J104" s="414">
        <f t="shared" si="84"/>
        <v>8.2318728657101908E-2</v>
      </c>
      <c r="K104" s="414">
        <f t="shared" si="84"/>
        <v>0.12937449431928247</v>
      </c>
      <c r="L104" s="414">
        <f t="shared" si="84"/>
        <v>0.20298024993101266</v>
      </c>
      <c r="M104" s="414">
        <f t="shared" si="84"/>
        <v>0.12946835154826974</v>
      </c>
      <c r="N104" s="111">
        <f t="shared" si="84"/>
        <v>0.13885489348400804</v>
      </c>
      <c r="O104" s="111">
        <f t="shared" si="84"/>
        <v>0.23449233068792497</v>
      </c>
      <c r="P104" s="111">
        <f t="shared" si="84"/>
        <v>0.27678602068619995</v>
      </c>
      <c r="Q104" s="111">
        <f t="shared" si="84"/>
        <v>0.11075162540731701</v>
      </c>
      <c r="R104" s="111">
        <f t="shared" si="84"/>
        <v>0.12463003388286932</v>
      </c>
      <c r="S104" s="111">
        <f t="shared" si="84"/>
        <v>0.18556787431021285</v>
      </c>
      <c r="T104" s="111">
        <f t="shared" si="84"/>
        <v>0.29066602141431247</v>
      </c>
      <c r="U104" s="111">
        <f t="shared" si="84"/>
        <v>0.30355558484883821</v>
      </c>
      <c r="V104" s="111">
        <f t="shared" si="84"/>
        <v>0.35086730463692473</v>
      </c>
      <c r="W104" s="111">
        <f t="shared" si="84"/>
        <v>0.31459444125199121</v>
      </c>
      <c r="X104" s="111">
        <f t="shared" si="84"/>
        <v>0.31721166393917721</v>
      </c>
      <c r="Y104" s="111">
        <f t="shared" si="84"/>
        <v>0.35126016052349046</v>
      </c>
      <c r="Z104" s="111">
        <f t="shared" si="84"/>
        <v>0.39603399759131025</v>
      </c>
      <c r="AA104" s="111">
        <f t="shared" si="84"/>
        <v>0.43863244052722433</v>
      </c>
      <c r="AB104" s="111">
        <f t="shared" si="84"/>
        <v>0.39932463397573509</v>
      </c>
      <c r="AC104" s="111">
        <f t="shared" si="84"/>
        <v>0.3982622241823276</v>
      </c>
      <c r="AD104" s="111">
        <f t="shared" si="84"/>
        <v>0.44640025682238699</v>
      </c>
      <c r="AE104" s="111">
        <f t="shared" si="84"/>
        <v>0.441887348552368</v>
      </c>
      <c r="AF104" s="111">
        <f t="shared" si="84"/>
        <v>0.45555101066912096</v>
      </c>
      <c r="AG104" s="111">
        <f t="shared" si="84"/>
        <v>0.42165201951100578</v>
      </c>
      <c r="AH104" s="111">
        <f t="shared" si="84"/>
        <v>0.44076213559911287</v>
      </c>
      <c r="AI104" s="111">
        <f t="shared" si="84"/>
        <v>0.41680613273620798</v>
      </c>
      <c r="AJ104" s="111">
        <f t="shared" ref="AJ104:BQ104" si="85">AJ91/AJ6</f>
        <v>0.45479924171645514</v>
      </c>
      <c r="AK104" s="111">
        <f t="shared" si="85"/>
        <v>0.4678685706443621</v>
      </c>
      <c r="AL104" s="111">
        <f t="shared" si="85"/>
        <v>0.48232202926818957</v>
      </c>
      <c r="AM104" s="111">
        <f t="shared" si="85"/>
        <v>0.45743805465257303</v>
      </c>
      <c r="AN104" s="111">
        <f t="shared" si="85"/>
        <v>0.52355491329479753</v>
      </c>
      <c r="AO104" s="111">
        <f t="shared" si="85"/>
        <v>0.52990503203228623</v>
      </c>
      <c r="AP104" s="111">
        <f t="shared" si="85"/>
        <v>0.51708473650477615</v>
      </c>
      <c r="AQ104" s="111">
        <f t="shared" si="85"/>
        <v>0.49329390432611525</v>
      </c>
      <c r="AR104" s="111">
        <f t="shared" si="85"/>
        <v>0.51457020627077354</v>
      </c>
      <c r="AS104" s="111">
        <f t="shared" si="85"/>
        <v>0.51774672407067612</v>
      </c>
      <c r="AT104" s="111">
        <f t="shared" si="85"/>
        <v>0.51583755818472998</v>
      </c>
      <c r="AU104" s="111">
        <f t="shared" si="85"/>
        <v>0.54277643680969401</v>
      </c>
      <c r="AV104" s="111">
        <f t="shared" si="85"/>
        <v>0.52817658831365533</v>
      </c>
      <c r="AW104" s="111">
        <f t="shared" si="85"/>
        <v>0.52655895670411834</v>
      </c>
      <c r="AX104" s="414">
        <f t="shared" si="85"/>
        <v>0.50970243966800921</v>
      </c>
      <c r="AY104" s="414">
        <f t="shared" si="85"/>
        <v>0.52481335475619784</v>
      </c>
      <c r="AZ104" s="414">
        <f t="shared" si="85"/>
        <v>0.53908998478775083</v>
      </c>
      <c r="BA104" s="414">
        <f t="shared" si="85"/>
        <v>0.55508805383408988</v>
      </c>
      <c r="BB104" s="111">
        <f t="shared" si="85"/>
        <v>0.53295641156530216</v>
      </c>
      <c r="BC104" s="414">
        <f t="shared" si="85"/>
        <v>0.55818994947425915</v>
      </c>
      <c r="BD104" s="414">
        <f t="shared" si="85"/>
        <v>0.55473733583489682</v>
      </c>
      <c r="BE104" s="414">
        <f t="shared" si="85"/>
        <v>0.54456820353559487</v>
      </c>
      <c r="BF104" s="414">
        <f t="shared" si="85"/>
        <v>0.51376786832963139</v>
      </c>
      <c r="BG104" s="111">
        <f t="shared" si="85"/>
        <v>0.54019471488178028</v>
      </c>
      <c r="BH104" s="414">
        <f t="shared" si="85"/>
        <v>0.55947976878612715</v>
      </c>
      <c r="BI104" s="414">
        <f t="shared" si="85"/>
        <v>0.55315854114380314</v>
      </c>
      <c r="BJ104" s="414">
        <f t="shared" si="85"/>
        <v>0.56724851175461599</v>
      </c>
      <c r="BK104" s="414">
        <f t="shared" si="85"/>
        <v>0.54030208583073613</v>
      </c>
      <c r="BL104" s="111">
        <f t="shared" si="85"/>
        <v>0.5547298706716729</v>
      </c>
      <c r="BM104" s="414">
        <f t="shared" si="85"/>
        <v>0.57267637447135722</v>
      </c>
      <c r="BN104" s="414">
        <f t="shared" si="85"/>
        <v>0.55739090350338061</v>
      </c>
      <c r="BO104" s="414">
        <f t="shared" si="85"/>
        <v>0.58837453408165885</v>
      </c>
      <c r="BP104" s="414">
        <f t="shared" si="85"/>
        <v>0.54087504388873708</v>
      </c>
      <c r="BQ104" s="111">
        <f t="shared" si="85"/>
        <v>0.56406655142610196</v>
      </c>
      <c r="BR104" s="414">
        <f t="shared" ref="BR104:CE104" si="86">BR91/BR6</f>
        <v>0.59013178850135362</v>
      </c>
      <c r="BS104" s="414">
        <f t="shared" si="86"/>
        <v>0.59190175362160979</v>
      </c>
      <c r="BT104" s="414">
        <f t="shared" si="86"/>
        <v>0.59486891511331608</v>
      </c>
      <c r="BU104" s="414">
        <f t="shared" si="86"/>
        <v>0.60210535145109878</v>
      </c>
      <c r="BV104" s="111">
        <f>BV91/BV6</f>
        <v>0.59500231539201354</v>
      </c>
      <c r="BW104" s="414">
        <f t="shared" si="86"/>
        <v>0.62086148648648654</v>
      </c>
      <c r="BX104" s="414">
        <f t="shared" si="86"/>
        <v>0.63058445532435736</v>
      </c>
      <c r="BY104" s="414">
        <f t="shared" si="86"/>
        <v>0.63175880923450789</v>
      </c>
      <c r="BZ104" s="414">
        <f t="shared" si="86"/>
        <v>0.58448176859029577</v>
      </c>
      <c r="CA104" s="111">
        <f>CA91/CA6</f>
        <v>0.61631931092824732</v>
      </c>
      <c r="CB104" s="414">
        <f t="shared" si="86"/>
        <v>0.60891980116403521</v>
      </c>
      <c r="CC104" s="414">
        <f t="shared" si="86"/>
        <v>0.60639745017385815</v>
      </c>
      <c r="CD104" s="414">
        <f t="shared" si="86"/>
        <v>0.60623458333723013</v>
      </c>
      <c r="CE104" s="414">
        <f t="shared" si="86"/>
        <v>0.60462467915805029</v>
      </c>
      <c r="CF104" s="111">
        <f>CF91/CF6</f>
        <v>0.60646817781037765</v>
      </c>
      <c r="CG104" s="414"/>
      <c r="CH104" s="414"/>
      <c r="CI104" s="414"/>
      <c r="CJ104" s="414"/>
      <c r="CK104" s="111">
        <f>CK91/CK6</f>
        <v>0.6138746345446815</v>
      </c>
      <c r="CL104" s="414"/>
      <c r="CM104" s="414"/>
      <c r="CN104" s="414"/>
      <c r="CO104" s="414"/>
      <c r="CP104" s="111">
        <f>CP91/CP6</f>
        <v>0.6170036825534686</v>
      </c>
      <c r="CQ104" s="414"/>
      <c r="CR104" s="414"/>
      <c r="CS104" s="414"/>
      <c r="CT104" s="414"/>
      <c r="CU104" s="111">
        <f>CU91/CU6</f>
        <v>0.6164182565737113</v>
      </c>
      <c r="CV104" s="414"/>
      <c r="CW104" s="414"/>
      <c r="CX104" s="414"/>
      <c r="CY104" s="414"/>
      <c r="CZ104" s="111">
        <f>CZ91/CZ6</f>
        <v>0.61880756151257843</v>
      </c>
      <c r="DA104" s="414"/>
      <c r="DB104" s="414"/>
      <c r="DC104" s="414"/>
      <c r="DD104" s="414"/>
      <c r="DE104" s="111">
        <f>DE91/DE6</f>
        <v>0.62207580640552063</v>
      </c>
      <c r="DF104" s="414"/>
      <c r="DG104" s="414"/>
      <c r="DH104" s="414"/>
      <c r="DI104" s="414"/>
      <c r="DJ104" s="111">
        <f>DJ91/DJ6</f>
        <v>0.62065806810642632</v>
      </c>
      <c r="DK104" s="414"/>
      <c r="DL104" s="414"/>
      <c r="DM104" s="414"/>
      <c r="DN104" s="414"/>
      <c r="DO104" s="111">
        <f>DO91/DO6</f>
        <v>0.6248318143911975</v>
      </c>
      <c r="DP104" s="414"/>
      <c r="DQ104" s="414"/>
      <c r="DR104" s="414"/>
      <c r="DS104" s="414"/>
      <c r="DT104" s="111">
        <f>DT91/DT6</f>
        <v>0.62048879434049675</v>
      </c>
      <c r="DU104" s="414"/>
      <c r="DV104" s="414"/>
      <c r="DW104" s="414"/>
      <c r="DX104" s="414"/>
      <c r="DY104" s="111">
        <f>DY91/DY6</f>
        <v>0.61469865296852855</v>
      </c>
      <c r="DZ104" s="414"/>
      <c r="EA104" s="414"/>
      <c r="EB104" s="414"/>
      <c r="EC104" s="414"/>
      <c r="ED104" s="111">
        <f>ED91/ED6</f>
        <v>0.6133668055468019</v>
      </c>
      <c r="EE104" s="414"/>
      <c r="EF104" s="414"/>
      <c r="EG104" s="414"/>
      <c r="EH104" s="414"/>
      <c r="EI104" s="111">
        <f>EI91/EI6</f>
        <v>0.61273276462813864</v>
      </c>
      <c r="EJ104" s="414"/>
      <c r="EK104" s="414"/>
      <c r="EL104" s="414"/>
      <c r="EM104" s="414"/>
      <c r="EN104" s="111">
        <f>EN91/EN6</f>
        <v>0.48000709472555403</v>
      </c>
      <c r="ES104"/>
      <c r="ET104"/>
      <c r="EU104"/>
      <c r="EV104"/>
      <c r="EW104"/>
      <c r="EX104"/>
    </row>
    <row r="105" spans="2:154" ht="13.5" thickBot="1">
      <c r="B105" s="112" t="s">
        <v>254</v>
      </c>
      <c r="C105" s="73"/>
      <c r="D105" s="113">
        <f t="shared" ref="D105:AI105" si="87">D32/D6</f>
        <v>-0.66662737760228663</v>
      </c>
      <c r="E105" s="416">
        <f t="shared" si="87"/>
        <v>1.9413717940882851E-2</v>
      </c>
      <c r="F105" s="416">
        <f t="shared" si="87"/>
        <v>4.4125078025146432E-2</v>
      </c>
      <c r="G105" s="416">
        <f t="shared" si="87"/>
        <v>6.1023516116881199E-2</v>
      </c>
      <c r="H105" s="416">
        <f t="shared" si="87"/>
        <v>0.10142630744849475</v>
      </c>
      <c r="I105" s="113">
        <f t="shared" si="87"/>
        <v>6.133161432912794E-2</v>
      </c>
      <c r="J105" s="416">
        <f t="shared" si="87"/>
        <v>0.10756217344611642</v>
      </c>
      <c r="K105" s="416">
        <f t="shared" si="87"/>
        <v>0.14149943591672073</v>
      </c>
      <c r="L105" s="416">
        <f t="shared" si="87"/>
        <v>0.20900185280088293</v>
      </c>
      <c r="M105" s="416">
        <f t="shared" si="87"/>
        <v>0.18309805707346705</v>
      </c>
      <c r="N105" s="113">
        <f t="shared" si="87"/>
        <v>0.16380840366408655</v>
      </c>
      <c r="O105" s="113">
        <f t="shared" si="87"/>
        <v>0.16967685682764527</v>
      </c>
      <c r="P105" s="113">
        <f t="shared" si="87"/>
        <v>0.20992306161248048</v>
      </c>
      <c r="Q105" s="113">
        <f t="shared" si="87"/>
        <v>8.0938334903402132E-2</v>
      </c>
      <c r="R105" s="113">
        <f t="shared" si="87"/>
        <v>5.344252634962255E-2</v>
      </c>
      <c r="S105" s="113">
        <f t="shared" si="87"/>
        <v>0.12686682521915815</v>
      </c>
      <c r="T105" s="113">
        <f t="shared" si="87"/>
        <v>0.18513426564966096</v>
      </c>
      <c r="U105" s="113">
        <f t="shared" si="87"/>
        <v>0.21572812679034062</v>
      </c>
      <c r="V105" s="113">
        <f t="shared" si="87"/>
        <v>0.24277586495615491</v>
      </c>
      <c r="W105" s="113">
        <f t="shared" si="87"/>
        <v>0.27081620925682109</v>
      </c>
      <c r="X105" s="113">
        <f t="shared" si="87"/>
        <v>0.23375716035524488</v>
      </c>
      <c r="Y105" s="113">
        <f t="shared" si="87"/>
        <v>0.29183920385801665</v>
      </c>
      <c r="Z105" s="113">
        <f t="shared" si="87"/>
        <v>0.31742678359446619</v>
      </c>
      <c r="AA105" s="113">
        <f t="shared" si="87"/>
        <v>0.35460178103958756</v>
      </c>
      <c r="AB105" s="113">
        <f t="shared" si="87"/>
        <v>0.32030680913673754</v>
      </c>
      <c r="AC105" s="113">
        <f t="shared" si="87"/>
        <v>0.32218847363104786</v>
      </c>
      <c r="AD105" s="113">
        <f t="shared" si="87"/>
        <v>0.34546732347256853</v>
      </c>
      <c r="AE105" s="113">
        <f t="shared" si="87"/>
        <v>0.30483132285590742</v>
      </c>
      <c r="AF105" s="113">
        <f t="shared" si="87"/>
        <v>0.31678767426798932</v>
      </c>
      <c r="AG105" s="113">
        <f t="shared" si="87"/>
        <v>0.32224277119159245</v>
      </c>
      <c r="AH105" s="113">
        <f t="shared" si="87"/>
        <v>0.32118846179111171</v>
      </c>
      <c r="AI105" s="113">
        <f t="shared" si="87"/>
        <v>0.34128650378804282</v>
      </c>
      <c r="AJ105" s="113">
        <f t="shared" ref="AJ105:BQ105" si="88">AJ32/AJ6</f>
        <v>0.34500463945597803</v>
      </c>
      <c r="AK105" s="113">
        <f t="shared" si="88"/>
        <v>0.37532918734244869</v>
      </c>
      <c r="AL105" s="113">
        <f t="shared" si="88"/>
        <v>0.38312321593768911</v>
      </c>
      <c r="AM105" s="113">
        <f t="shared" si="88"/>
        <v>0.36279951098874624</v>
      </c>
      <c r="AN105" s="113">
        <f t="shared" si="88"/>
        <v>0.3733913903255246</v>
      </c>
      <c r="AO105" s="113">
        <f t="shared" si="88"/>
        <v>0.38013645471735386</v>
      </c>
      <c r="AP105" s="113">
        <f t="shared" si="88"/>
        <v>0.38530188467307308</v>
      </c>
      <c r="AQ105" s="113">
        <f t="shared" si="88"/>
        <v>0.3299818677197946</v>
      </c>
      <c r="AR105" s="113">
        <f t="shared" si="88"/>
        <v>0.36528884351504581</v>
      </c>
      <c r="AS105" s="113">
        <f t="shared" si="88"/>
        <v>0.35521259228224261</v>
      </c>
      <c r="AT105" s="113">
        <f t="shared" si="88"/>
        <v>0.35490792928274911</v>
      </c>
      <c r="AU105" s="113">
        <f t="shared" si="88"/>
        <v>0.37592377924950465</v>
      </c>
      <c r="AV105" s="113">
        <f t="shared" si="88"/>
        <v>0.36895876132671312</v>
      </c>
      <c r="AW105" s="113">
        <f t="shared" si="88"/>
        <v>0.36417031668989219</v>
      </c>
      <c r="AX105" s="416">
        <f t="shared" si="88"/>
        <v>0.38045516803739615</v>
      </c>
      <c r="AY105" s="416">
        <f t="shared" si="88"/>
        <v>0.39842430734201373</v>
      </c>
      <c r="AZ105" s="416">
        <f t="shared" si="88"/>
        <v>0.39548395597396102</v>
      </c>
      <c r="BA105" s="416">
        <f t="shared" si="88"/>
        <v>0.39533649760606882</v>
      </c>
      <c r="BB105" s="113">
        <f t="shared" si="88"/>
        <v>0.39269996457051592</v>
      </c>
      <c r="BC105" s="416">
        <f t="shared" si="88"/>
        <v>0.40400109244845006</v>
      </c>
      <c r="BD105" s="416">
        <f t="shared" si="88"/>
        <v>0.40831769856160105</v>
      </c>
      <c r="BE105" s="416">
        <f t="shared" si="88"/>
        <v>0.39984472049689451</v>
      </c>
      <c r="BF105" s="416">
        <f t="shared" si="88"/>
        <v>0.36961102568483389</v>
      </c>
      <c r="BG105" s="113">
        <f t="shared" si="88"/>
        <v>0.39255138309380316</v>
      </c>
      <c r="BH105" s="416">
        <f t="shared" si="88"/>
        <v>0.40745664739884391</v>
      </c>
      <c r="BI105" s="416">
        <f t="shared" si="88"/>
        <v>0.39936989373631659</v>
      </c>
      <c r="BJ105" s="416">
        <f t="shared" si="88"/>
        <v>0.40641711229946509</v>
      </c>
      <c r="BK105" s="416">
        <f t="shared" si="88"/>
        <v>0.40287700791177178</v>
      </c>
      <c r="BL105" s="113">
        <f t="shared" si="88"/>
        <v>0.40396850229453479</v>
      </c>
      <c r="BM105" s="416">
        <f t="shared" si="88"/>
        <v>0.42820069204152256</v>
      </c>
      <c r="BN105" s="416">
        <f t="shared" si="88"/>
        <v>0.44727368513477939</v>
      </c>
      <c r="BO105" s="416">
        <f t="shared" si="88"/>
        <v>0.43322908187309883</v>
      </c>
      <c r="BP105" s="416">
        <f t="shared" si="88"/>
        <v>0.37506339484258566</v>
      </c>
      <c r="BQ105" s="113">
        <f t="shared" si="88"/>
        <v>0.4194468452895419</v>
      </c>
      <c r="BR105" s="416">
        <f t="shared" ref="BR105:CE105" si="89">BR32/BR6</f>
        <v>0.42375378244943451</v>
      </c>
      <c r="BS105" s="416">
        <f t="shared" si="89"/>
        <v>0.41821878517227606</v>
      </c>
      <c r="BT105" s="416">
        <f t="shared" si="89"/>
        <v>0.42359527960305726</v>
      </c>
      <c r="BU105" s="416">
        <f t="shared" si="89"/>
        <v>0.4328468377788961</v>
      </c>
      <c r="BV105" s="113">
        <f>BV32/BV6</f>
        <v>0.42476757026324219</v>
      </c>
      <c r="BW105" s="416">
        <f t="shared" si="89"/>
        <v>0.46081081081081082</v>
      </c>
      <c r="BX105" s="416">
        <f t="shared" si="89"/>
        <v>0.4510403916768666</v>
      </c>
      <c r="BY105" s="416">
        <f t="shared" si="89"/>
        <v>0.47387606318347508</v>
      </c>
      <c r="BZ105" s="416">
        <f t="shared" si="89"/>
        <v>0.4570772322710307</v>
      </c>
      <c r="CA105" s="113">
        <f>CA32/CA6</f>
        <v>0.46066292394062908</v>
      </c>
      <c r="CB105" s="416">
        <f t="shared" si="89"/>
        <v>0.4427285424138952</v>
      </c>
      <c r="CC105" s="416">
        <f t="shared" si="89"/>
        <v>0.44437713260838474</v>
      </c>
      <c r="CD105" s="416">
        <f t="shared" si="89"/>
        <v>0.4442346892809273</v>
      </c>
      <c r="CE105" s="416">
        <f t="shared" si="89"/>
        <v>0.44827720953600514</v>
      </c>
      <c r="CF105" s="113">
        <f>CF32/CF6</f>
        <v>0.44499710895636552</v>
      </c>
      <c r="CG105" s="416"/>
      <c r="CH105" s="416"/>
      <c r="CI105" s="416"/>
      <c r="CJ105" s="416"/>
      <c r="CK105" s="113">
        <f>CK32/CK6</f>
        <v>0.4625249799921608</v>
      </c>
      <c r="CL105" s="416"/>
      <c r="CM105" s="416"/>
      <c r="CN105" s="416"/>
      <c r="CO105" s="416"/>
      <c r="CP105" s="113">
        <f>CP32/CP6</f>
        <v>0.47205369646004453</v>
      </c>
      <c r="CQ105" s="416"/>
      <c r="CR105" s="416"/>
      <c r="CS105" s="416"/>
      <c r="CT105" s="416"/>
      <c r="CU105" s="113">
        <f>CU32/CU6</f>
        <v>0.47646642953106777</v>
      </c>
      <c r="CV105" s="416"/>
      <c r="CW105" s="416"/>
      <c r="CX105" s="416"/>
      <c r="CY105" s="416"/>
      <c r="CZ105" s="113">
        <f>CZ32/CZ6</f>
        <v>0.48041892319104101</v>
      </c>
      <c r="DA105" s="416"/>
      <c r="DB105" s="416"/>
      <c r="DC105" s="416"/>
      <c r="DD105" s="416"/>
      <c r="DE105" s="113">
        <f>DE32/DE6</f>
        <v>0.48334157444767673</v>
      </c>
      <c r="DF105" s="416"/>
      <c r="DG105" s="416"/>
      <c r="DH105" s="416"/>
      <c r="DI105" s="416"/>
      <c r="DJ105" s="113">
        <f>DJ32/DJ6</f>
        <v>0.48132226027723329</v>
      </c>
      <c r="DK105" s="416"/>
      <c r="DL105" s="416"/>
      <c r="DM105" s="416"/>
      <c r="DN105" s="416"/>
      <c r="DO105" s="113">
        <f>DO32/DO6</f>
        <v>0.47818286970055662</v>
      </c>
      <c r="DP105" s="416"/>
      <c r="DQ105" s="416"/>
      <c r="DR105" s="416"/>
      <c r="DS105" s="416"/>
      <c r="DT105" s="113">
        <f>DT32/DT6</f>
        <v>0.45205402215181439</v>
      </c>
      <c r="DU105" s="416"/>
      <c r="DV105" s="416"/>
      <c r="DW105" s="416"/>
      <c r="DX105" s="416"/>
      <c r="DY105" s="113">
        <f>DY32/DY6</f>
        <v>0.42925838936937</v>
      </c>
      <c r="DZ105" s="416"/>
      <c r="EA105" s="416"/>
      <c r="EB105" s="416"/>
      <c r="EC105" s="416"/>
      <c r="ED105" s="113">
        <f>ED32/ED6</f>
        <v>0.42193932818447921</v>
      </c>
      <c r="EE105" s="416"/>
      <c r="EF105" s="416"/>
      <c r="EG105" s="416"/>
      <c r="EH105" s="416"/>
      <c r="EI105" s="113">
        <f>EI32/EI6</f>
        <v>0.41894992316901009</v>
      </c>
      <c r="EJ105" s="416"/>
      <c r="EK105" s="416"/>
      <c r="EL105" s="416"/>
      <c r="EM105" s="416"/>
      <c r="EN105" s="113">
        <f>EN32/EN6</f>
        <v>0.39442749706817398</v>
      </c>
    </row>
    <row r="106" spans="2:154" ht="13.5" thickBot="1"/>
    <row r="107" spans="2:154" ht="13.5" thickBot="1">
      <c r="B107" s="114" t="s">
        <v>782</v>
      </c>
      <c r="C107" s="114"/>
      <c r="D107" s="114"/>
      <c r="E107" s="114"/>
      <c r="F107" s="114"/>
      <c r="G107" s="114"/>
      <c r="H107" s="114"/>
      <c r="I107" s="114"/>
      <c r="J107" s="114"/>
      <c r="K107" s="114"/>
      <c r="L107" s="114"/>
      <c r="M107" s="114"/>
      <c r="N107" s="114"/>
      <c r="O107" s="114"/>
      <c r="P107" s="114"/>
      <c r="Q107" s="114"/>
      <c r="R107" s="114"/>
      <c r="S107" s="114"/>
      <c r="T107" s="114"/>
      <c r="U107" s="114"/>
      <c r="V107" s="114"/>
      <c r="W107" s="114"/>
      <c r="X107" s="114"/>
      <c r="Y107" s="114"/>
      <c r="Z107" s="114"/>
      <c r="AA107" s="114"/>
      <c r="AB107" s="114"/>
      <c r="AC107" s="114"/>
      <c r="AD107" s="114"/>
      <c r="AE107" s="114"/>
      <c r="AF107" s="114"/>
      <c r="AG107" s="114"/>
      <c r="AH107" s="114"/>
      <c r="AI107" s="114"/>
      <c r="AJ107" s="114"/>
      <c r="AK107" s="114"/>
      <c r="AL107" s="114"/>
      <c r="AM107" s="114"/>
      <c r="AN107" s="114"/>
      <c r="AO107" s="114"/>
      <c r="AP107" s="114"/>
      <c r="AQ107" s="114"/>
      <c r="AR107" s="114"/>
      <c r="AS107" s="114"/>
      <c r="AT107" s="114"/>
      <c r="AU107" s="114"/>
      <c r="AV107" s="114"/>
      <c r="AW107" s="114"/>
      <c r="AX107" s="114"/>
      <c r="AY107" s="114"/>
      <c r="AZ107" s="114"/>
      <c r="BA107" s="114"/>
      <c r="BB107" s="114"/>
      <c r="BC107" s="114"/>
      <c r="BD107" s="114"/>
      <c r="BE107" s="114"/>
      <c r="BF107" s="114"/>
      <c r="BG107" s="114"/>
      <c r="BH107" s="114"/>
      <c r="BI107" s="114"/>
      <c r="BJ107" s="114"/>
      <c r="BK107" s="114"/>
      <c r="BL107" s="114"/>
      <c r="BM107" s="114"/>
      <c r="BN107" s="114"/>
      <c r="BO107" s="114"/>
      <c r="BP107" s="114"/>
      <c r="BQ107" s="114"/>
      <c r="BR107" s="114"/>
      <c r="BS107" s="114"/>
      <c r="BT107" s="114"/>
      <c r="BU107" s="114"/>
      <c r="BV107" s="114"/>
      <c r="BW107" s="114"/>
      <c r="BX107" s="114"/>
      <c r="BY107" s="114"/>
      <c r="BZ107" s="114"/>
      <c r="CA107" s="114"/>
      <c r="CB107" s="114"/>
      <c r="CC107" s="114"/>
      <c r="CD107" s="114"/>
      <c r="CE107" s="114"/>
      <c r="CF107" s="114"/>
      <c r="CG107" s="114"/>
      <c r="CH107" s="114"/>
      <c r="CI107" s="114"/>
      <c r="CJ107" s="114"/>
      <c r="CK107" s="114"/>
      <c r="CL107" s="114"/>
      <c r="CM107" s="114"/>
      <c r="CN107" s="114"/>
      <c r="CO107" s="114"/>
      <c r="CP107" s="114"/>
      <c r="CQ107" s="114"/>
      <c r="CR107" s="114"/>
      <c r="CS107" s="114"/>
      <c r="CT107" s="114"/>
      <c r="CU107" s="114"/>
      <c r="CV107" s="114"/>
      <c r="CW107" s="114"/>
      <c r="CX107" s="114"/>
      <c r="CY107" s="114"/>
      <c r="CZ107" s="114"/>
      <c r="DA107" s="114"/>
      <c r="DB107" s="114"/>
      <c r="DC107" s="114"/>
      <c r="DD107" s="114"/>
      <c r="DE107" s="114"/>
      <c r="DF107" s="114"/>
      <c r="DG107" s="114"/>
      <c r="DH107" s="114"/>
      <c r="DI107" s="114"/>
      <c r="DJ107" s="114"/>
      <c r="DK107" s="114"/>
      <c r="DL107" s="114"/>
      <c r="DM107" s="114"/>
      <c r="DN107" s="114"/>
      <c r="DO107" s="114"/>
      <c r="DP107" s="114"/>
      <c r="DQ107" s="114"/>
      <c r="DR107" s="114"/>
      <c r="DS107" s="114"/>
      <c r="DT107" s="114"/>
      <c r="DU107" s="114"/>
      <c r="DV107" s="114"/>
      <c r="DW107" s="114"/>
      <c r="DX107" s="114"/>
      <c r="DY107" s="114"/>
      <c r="DZ107" s="114"/>
      <c r="EA107" s="114"/>
      <c r="EB107" s="114"/>
      <c r="EC107" s="114"/>
      <c r="ED107" s="114"/>
      <c r="EE107" s="114"/>
      <c r="EF107" s="114"/>
      <c r="EG107" s="114"/>
      <c r="EH107" s="114"/>
      <c r="EI107" s="114"/>
      <c r="EJ107" s="114"/>
      <c r="EK107" s="114"/>
      <c r="EL107" s="114"/>
      <c r="EM107" s="114"/>
      <c r="EN107" s="114"/>
    </row>
    <row r="108" spans="2:154">
      <c r="B108" s="110" t="s">
        <v>190</v>
      </c>
      <c r="C108" s="41"/>
      <c r="D108" s="111"/>
      <c r="E108" s="414"/>
      <c r="F108" s="414"/>
      <c r="G108" s="414"/>
      <c r="H108" s="414"/>
      <c r="I108" s="111">
        <f t="shared" ref="I108:AN108" si="90">I3/D3-1</f>
        <v>0.98870005938773686</v>
      </c>
      <c r="J108" s="414">
        <f t="shared" si="90"/>
        <v>0.66186359269932749</v>
      </c>
      <c r="K108" s="414">
        <f t="shared" si="90"/>
        <v>0.26422068259276421</v>
      </c>
      <c r="L108" s="414">
        <f t="shared" si="90"/>
        <v>0.28051035220414078</v>
      </c>
      <c r="M108" s="414">
        <f t="shared" si="90"/>
        <v>0.29602443888158136</v>
      </c>
      <c r="N108" s="111">
        <f t="shared" si="90"/>
        <v>0.35228857899064447</v>
      </c>
      <c r="O108" s="111">
        <f t="shared" si="90"/>
        <v>0.28277719390436151</v>
      </c>
      <c r="P108" s="111">
        <f t="shared" si="90"/>
        <v>0.33379319073535019</v>
      </c>
      <c r="Q108" s="111">
        <f t="shared" si="90"/>
        <v>0.359139887593523</v>
      </c>
      <c r="R108" s="111">
        <f t="shared" si="90"/>
        <v>0.40440646893210164</v>
      </c>
      <c r="S108" s="111">
        <f t="shared" si="90"/>
        <v>0.34804625935124367</v>
      </c>
      <c r="T108" s="111">
        <f t="shared" si="90"/>
        <v>0.64107737211326721</v>
      </c>
      <c r="U108" s="111">
        <f t="shared" si="90"/>
        <v>0.67390376056859225</v>
      </c>
      <c r="V108" s="111">
        <f t="shared" si="90"/>
        <v>0.95877963125548704</v>
      </c>
      <c r="W108" s="111">
        <f t="shared" si="90"/>
        <v>0.95696869390894967</v>
      </c>
      <c r="X108" s="111">
        <f t="shared" si="90"/>
        <v>0.82127349228611513</v>
      </c>
      <c r="Y108" s="111">
        <f t="shared" si="90"/>
        <v>0.68366792933232645</v>
      </c>
      <c r="Z108" s="111">
        <f t="shared" si="90"/>
        <v>0.80806798147402814</v>
      </c>
      <c r="AA108" s="111">
        <f t="shared" si="90"/>
        <v>0.48436386454808278</v>
      </c>
      <c r="AB108" s="111">
        <f t="shared" si="90"/>
        <v>0.51090702623721507</v>
      </c>
      <c r="AC108" s="111">
        <f t="shared" si="90"/>
        <v>0.60230777286980719</v>
      </c>
      <c r="AD108" s="111">
        <f t="shared" si="90"/>
        <v>0.59304066776379205</v>
      </c>
      <c r="AE108" s="111">
        <f t="shared" si="90"/>
        <v>0.68780197212685579</v>
      </c>
      <c r="AF108" s="111">
        <f t="shared" si="90"/>
        <v>0.69488086143328642</v>
      </c>
      <c r="AG108" s="111">
        <f t="shared" si="90"/>
        <v>0.55390756600644875</v>
      </c>
      <c r="AH108" s="111">
        <f t="shared" si="90"/>
        <v>0.6307652557863066</v>
      </c>
      <c r="AI108" s="111">
        <f t="shared" si="90"/>
        <v>0.33151774330147332</v>
      </c>
      <c r="AJ108" s="111">
        <f t="shared" si="90"/>
        <v>0.10648578158553712</v>
      </c>
      <c r="AK108" s="111">
        <f t="shared" si="90"/>
        <v>0.18488237851243206</v>
      </c>
      <c r="AL108" s="111">
        <f t="shared" si="90"/>
        <v>0.22053575958465088</v>
      </c>
      <c r="AM108" s="111">
        <f t="shared" si="90"/>
        <v>0.20464145566068792</v>
      </c>
      <c r="AN108" s="111">
        <f t="shared" si="90"/>
        <v>0.32284140133955153</v>
      </c>
      <c r="AO108" s="111">
        <f t="shared" ref="AO108:BR108" si="91">AO3/AJ3-1</f>
        <v>0.37801084213760361</v>
      </c>
      <c r="AP108" s="111">
        <f t="shared" si="91"/>
        <v>0.3286024674279957</v>
      </c>
      <c r="AQ108" s="111">
        <f t="shared" si="91"/>
        <v>0.4173170849989265</v>
      </c>
      <c r="AR108" s="111">
        <f t="shared" si="91"/>
        <v>0.36389399929541644</v>
      </c>
      <c r="AS108" s="111">
        <f t="shared" si="91"/>
        <v>0.4090526618910304</v>
      </c>
      <c r="AT108" s="111">
        <f t="shared" si="91"/>
        <v>0.39835184582789651</v>
      </c>
      <c r="AU108" s="111">
        <f t="shared" si="91"/>
        <v>0.37804476424473776</v>
      </c>
      <c r="AV108" s="111">
        <f t="shared" si="91"/>
        <v>0.21310510617372769</v>
      </c>
      <c r="AW108" s="111">
        <f t="shared" si="91"/>
        <v>0.34114409041597549</v>
      </c>
      <c r="AX108" s="414">
        <f t="shared" si="91"/>
        <v>0.1676133513951843</v>
      </c>
      <c r="AY108" s="414">
        <f t="shared" si="91"/>
        <v>0.16451741343814041</v>
      </c>
      <c r="AZ108" s="414">
        <f t="shared" si="91"/>
        <v>0.13991130456206613</v>
      </c>
      <c r="BA108" s="414">
        <f t="shared" si="91"/>
        <v>0.14071661815286562</v>
      </c>
      <c r="BB108" s="111">
        <f t="shared" si="91"/>
        <v>0.15249233790184546</v>
      </c>
      <c r="BC108" s="414">
        <f t="shared" si="91"/>
        <v>0.14757217789817578</v>
      </c>
      <c r="BD108" s="414">
        <f t="shared" si="91"/>
        <v>0.17021674559887456</v>
      </c>
      <c r="BE108" s="414">
        <f t="shared" si="91"/>
        <v>0.18442694700986229</v>
      </c>
      <c r="BF108" s="414">
        <f t="shared" si="91"/>
        <v>0.2185825897193705</v>
      </c>
      <c r="BG108" s="111">
        <f t="shared" si="91"/>
        <v>0.17710211993132052</v>
      </c>
      <c r="BH108" s="414">
        <f t="shared" si="91"/>
        <v>0.19464073322605446</v>
      </c>
      <c r="BI108" s="414">
        <f t="shared" si="91"/>
        <v>0.17933635956780258</v>
      </c>
      <c r="BJ108" s="414">
        <f t="shared" si="91"/>
        <v>0.19026763990267637</v>
      </c>
      <c r="BK108" s="414">
        <f t="shared" si="91"/>
        <v>0.1913154385761493</v>
      </c>
      <c r="BL108" s="111">
        <f t="shared" si="91"/>
        <v>0.19314130674827257</v>
      </c>
      <c r="BM108" s="414">
        <f t="shared" si="91"/>
        <v>0.20363103953147887</v>
      </c>
      <c r="BN108" s="414">
        <f t="shared" si="91"/>
        <v>0.22199934945245614</v>
      </c>
      <c r="BO108" s="414">
        <f t="shared" si="91"/>
        <v>0.1818274734260017</v>
      </c>
      <c r="BP108" s="414">
        <f t="shared" si="91"/>
        <v>0.23568056839748874</v>
      </c>
      <c r="BQ108" s="111">
        <f t="shared" si="91"/>
        <v>0.21117692165313739</v>
      </c>
      <c r="BR108" s="414">
        <f t="shared" si="91"/>
        <v>0.21384780070066145</v>
      </c>
      <c r="BS108" s="414">
        <f t="shared" ref="BS108" si="92">BS3/BN3-1</f>
        <v>0.21755911450246201</v>
      </c>
      <c r="BT108" s="414">
        <f t="shared" ref="BT108" si="93">BT3/BO3-1</f>
        <v>0.28366340914987465</v>
      </c>
      <c r="BU108" s="414">
        <f t="shared" ref="BU108:BZ108" si="94">BU3/BP3-1</f>
        <v>0.17233774417139247</v>
      </c>
      <c r="BV108" s="111">
        <f>BV3/BQ3-1</f>
        <v>0.2208795886956807</v>
      </c>
      <c r="BW108" s="414">
        <f t="shared" si="94"/>
        <v>0.18250691465907742</v>
      </c>
      <c r="BX108" s="414">
        <f t="shared" si="94"/>
        <v>0.18637274549098204</v>
      </c>
      <c r="BY108" s="414">
        <f t="shared" si="94"/>
        <v>0.10759280468907906</v>
      </c>
      <c r="BZ108" s="414">
        <f t="shared" si="94"/>
        <v>0.16870464928782591</v>
      </c>
      <c r="CA108" s="111">
        <f>CA3/BV3-1</f>
        <v>0.15989843177225826</v>
      </c>
      <c r="CB108" s="414">
        <f t="shared" ref="CB108" si="95">CB3/BW3-1</f>
        <v>0.15506401850344886</v>
      </c>
      <c r="CC108" s="414">
        <f t="shared" ref="CC108" si="96">CC3/BX3-1</f>
        <v>0.13134606696062856</v>
      </c>
      <c r="CD108" s="414">
        <f t="shared" ref="CD108" si="97">CD3/BY3-1</f>
        <v>0.13411980674797208</v>
      </c>
      <c r="CE108" s="414">
        <f t="shared" ref="CE108" si="98">CE3/BZ3-1</f>
        <v>0.12825324340063782</v>
      </c>
      <c r="CF108" s="111">
        <f>CF3/CA3-1</f>
        <v>0.13661301217814925</v>
      </c>
      <c r="CG108" s="414"/>
      <c r="CH108" s="414"/>
      <c r="CI108" s="414"/>
      <c r="CJ108" s="414"/>
      <c r="CK108" s="111">
        <f>CK3/CF3-1</f>
        <v>0.13264727784272101</v>
      </c>
      <c r="CL108" s="414"/>
      <c r="CM108" s="414"/>
      <c r="CN108" s="414"/>
      <c r="CO108" s="414"/>
      <c r="CP108" s="111">
        <f>CP3/CK3-1</f>
        <v>0.15103878077765631</v>
      </c>
      <c r="CQ108" s="414"/>
      <c r="CR108" s="414"/>
      <c r="CS108" s="414"/>
      <c r="CT108" s="414"/>
      <c r="CU108" s="111">
        <f>CU3/CP3-1</f>
        <v>0.14883239658292835</v>
      </c>
      <c r="CV108" s="414"/>
      <c r="CW108" s="414"/>
      <c r="CX108" s="414"/>
      <c r="CY108" s="414"/>
      <c r="CZ108" s="111">
        <f>CZ3/CU3-1</f>
        <v>7.0839266248651445E-2</v>
      </c>
      <c r="DA108" s="414"/>
      <c r="DB108" s="414"/>
      <c r="DC108" s="414"/>
      <c r="DD108" s="414"/>
      <c r="DE108" s="111">
        <f>DE3/CZ3-1</f>
        <v>1.3447475914628138E-2</v>
      </c>
      <c r="DF108" s="414"/>
      <c r="DG108" s="414"/>
      <c r="DH108" s="414"/>
      <c r="DI108" s="414"/>
      <c r="DJ108" s="111">
        <f>DJ3/DE3-1</f>
        <v>-2.1010076117455312E-2</v>
      </c>
      <c r="DK108" s="414"/>
      <c r="DL108" s="414"/>
      <c r="DM108" s="414"/>
      <c r="DN108" s="414"/>
      <c r="DO108" s="111">
        <f>DO3/DJ3-1</f>
        <v>-0.18536016641949371</v>
      </c>
      <c r="DP108" s="414"/>
      <c r="DQ108" s="414"/>
      <c r="DR108" s="414"/>
      <c r="DS108" s="414"/>
      <c r="DT108" s="111">
        <f>DT3/DO3-1</f>
        <v>-0.35703717388875111</v>
      </c>
      <c r="DU108" s="414"/>
      <c r="DV108" s="414"/>
      <c r="DW108" s="414"/>
      <c r="DX108" s="414"/>
      <c r="DY108" s="111">
        <f>DY3/DT3-1</f>
        <v>-0.1956058739423272</v>
      </c>
      <c r="DZ108" s="414"/>
      <c r="EA108" s="414"/>
      <c r="EB108" s="414"/>
      <c r="EC108" s="414"/>
      <c r="ED108" s="111">
        <f>ED3/DY3-1</f>
        <v>-3.5827506132400488E-2</v>
      </c>
      <c r="EE108" s="414"/>
      <c r="EF108" s="414"/>
      <c r="EG108" s="414"/>
      <c r="EH108" s="414"/>
      <c r="EI108" s="111">
        <f>EI3/ED3-1</f>
        <v>-7.1491752991679203E-3</v>
      </c>
      <c r="EJ108" s="414"/>
      <c r="EK108" s="414"/>
      <c r="EL108" s="414"/>
      <c r="EM108" s="414"/>
      <c r="EN108" s="111">
        <f>EN3/EI3-1</f>
        <v>-0.23485631768430493</v>
      </c>
    </row>
    <row r="109" spans="2:154">
      <c r="B109" s="110" t="s">
        <v>180</v>
      </c>
      <c r="C109" s="41"/>
      <c r="D109" s="111"/>
      <c r="E109" s="414"/>
      <c r="F109" s="414"/>
      <c r="G109" s="414"/>
      <c r="H109" s="414"/>
      <c r="I109" s="111">
        <f t="shared" ref="I109:AN109" si="99">I6/D6-1</f>
        <v>0.99987476610728865</v>
      </c>
      <c r="J109" s="414">
        <f t="shared" si="99"/>
        <v>0.68821935667868583</v>
      </c>
      <c r="K109" s="414">
        <f t="shared" si="99"/>
        <v>0.30417917545997653</v>
      </c>
      <c r="L109" s="414">
        <f t="shared" si="99"/>
        <v>0.365064844212452</v>
      </c>
      <c r="M109" s="414">
        <f t="shared" si="99"/>
        <v>0.30507131537242449</v>
      </c>
      <c r="N109" s="111">
        <f t="shared" si="99"/>
        <v>0.39055898333179839</v>
      </c>
      <c r="O109" s="111">
        <f t="shared" si="99"/>
        <v>0.35624389125529432</v>
      </c>
      <c r="P109" s="111">
        <f t="shared" si="99"/>
        <v>0.66035349218830186</v>
      </c>
      <c r="Q109" s="111">
        <f t="shared" si="99"/>
        <v>0.27632356999251018</v>
      </c>
      <c r="R109" s="111">
        <f t="shared" si="99"/>
        <v>0.41676153612628952</v>
      </c>
      <c r="S109" s="111">
        <f t="shared" si="99"/>
        <v>0.42235272925706369</v>
      </c>
      <c r="T109" s="111">
        <f t="shared" si="99"/>
        <v>0.61786006619452638</v>
      </c>
      <c r="U109" s="111">
        <f t="shared" si="99"/>
        <v>0.35372440820584594</v>
      </c>
      <c r="V109" s="111">
        <f t="shared" si="99"/>
        <v>0.89056105508625083</v>
      </c>
      <c r="W109" s="111">
        <f t="shared" si="99"/>
        <v>0.84115228541965292</v>
      </c>
      <c r="X109" s="111">
        <f t="shared" si="99"/>
        <v>0.67406288586641727</v>
      </c>
      <c r="Y109" s="111">
        <f t="shared" si="99"/>
        <v>0.61357999571053812</v>
      </c>
      <c r="Z109" s="111">
        <f t="shared" si="99"/>
        <v>0.76388543847819146</v>
      </c>
      <c r="AA109" s="111">
        <f t="shared" si="99"/>
        <v>0.42913506426672199</v>
      </c>
      <c r="AB109" s="111">
        <f t="shared" si="99"/>
        <v>0.50785222255359086</v>
      </c>
      <c r="AC109" s="111">
        <f t="shared" si="99"/>
        <v>0.56398067357680071</v>
      </c>
      <c r="AD109" s="111">
        <f t="shared" si="99"/>
        <v>0.57121824037625935</v>
      </c>
      <c r="AE109" s="111">
        <f t="shared" si="99"/>
        <v>0.62863926279149318</v>
      </c>
      <c r="AF109" s="111">
        <f t="shared" si="99"/>
        <v>0.67684076957371664</v>
      </c>
      <c r="AG109" s="111">
        <f t="shared" si="99"/>
        <v>0.50375792952073106</v>
      </c>
      <c r="AH109" s="111">
        <f t="shared" si="99"/>
        <v>0.59182327751774788</v>
      </c>
      <c r="AI109" s="111">
        <f t="shared" si="99"/>
        <v>0.30385515564434429</v>
      </c>
      <c r="AJ109" s="111">
        <f t="shared" si="99"/>
        <v>0.10507310960705252</v>
      </c>
      <c r="AK109" s="111">
        <f t="shared" si="99"/>
        <v>0.17979854790878402</v>
      </c>
      <c r="AL109" s="111">
        <f t="shared" si="99"/>
        <v>0.21542947791538247</v>
      </c>
      <c r="AM109" s="111">
        <f t="shared" si="99"/>
        <v>0.19636190090610617</v>
      </c>
      <c r="AN109" s="111">
        <f t="shared" si="99"/>
        <v>0.31238957780875753</v>
      </c>
      <c r="AO109" s="111">
        <f t="shared" ref="AO109:BR109" si="100">AO6/AJ6-1</f>
        <v>0.35812607502024263</v>
      </c>
      <c r="AP109" s="111">
        <f t="shared" si="100"/>
        <v>0.31178284831018388</v>
      </c>
      <c r="AQ109" s="111">
        <f t="shared" si="100"/>
        <v>0.39012683586032915</v>
      </c>
      <c r="AR109" s="111">
        <f t="shared" si="100"/>
        <v>0.34493184956591483</v>
      </c>
      <c r="AS109" s="111">
        <f t="shared" si="100"/>
        <v>0.40385356454720633</v>
      </c>
      <c r="AT109" s="111">
        <f t="shared" si="100"/>
        <v>0.38263412637936378</v>
      </c>
      <c r="AU109" s="111">
        <f t="shared" si="100"/>
        <v>0.37465173082895209</v>
      </c>
      <c r="AV109" s="111">
        <f t="shared" si="100"/>
        <v>0.2171848448313507</v>
      </c>
      <c r="AW109" s="111">
        <f t="shared" si="100"/>
        <v>0.33686856792449493</v>
      </c>
      <c r="AX109" s="414">
        <f t="shared" si="100"/>
        <v>0.14972477859485389</v>
      </c>
      <c r="AY109" s="414">
        <f t="shared" si="100"/>
        <v>0.16243075878926438</v>
      </c>
      <c r="AZ109" s="414">
        <f t="shared" si="100"/>
        <v>0.13697528337241405</v>
      </c>
      <c r="BA109" s="414">
        <f t="shared" si="100"/>
        <v>0.12889639713418011</v>
      </c>
      <c r="BB109" s="111">
        <f t="shared" si="100"/>
        <v>0.14397440787357985</v>
      </c>
      <c r="BC109" s="414">
        <f t="shared" si="100"/>
        <v>0.15025037540603559</v>
      </c>
      <c r="BD109" s="414">
        <f t="shared" si="100"/>
        <v>0.16991667910480501</v>
      </c>
      <c r="BE109" s="414">
        <f t="shared" si="100"/>
        <v>0.17977722051983758</v>
      </c>
      <c r="BF109" s="414">
        <f t="shared" si="100"/>
        <v>0.21313242274131006</v>
      </c>
      <c r="BG109" s="111">
        <f t="shared" si="100"/>
        <v>0.17511117793863629</v>
      </c>
      <c r="BH109" s="414">
        <f t="shared" si="100"/>
        <v>0.18120988665847326</v>
      </c>
      <c r="BI109" s="414">
        <f t="shared" si="100"/>
        <v>0.17116948092557838</v>
      </c>
      <c r="BJ109" s="414">
        <f t="shared" si="100"/>
        <v>0.18382704252269466</v>
      </c>
      <c r="BK109" s="414">
        <f t="shared" si="100"/>
        <v>0.18771000626459355</v>
      </c>
      <c r="BL109" s="111">
        <f t="shared" si="100"/>
        <v>0.18535002318034288</v>
      </c>
      <c r="BM109" s="414">
        <f t="shared" si="100"/>
        <v>0.20277456647398862</v>
      </c>
      <c r="BN109" s="414">
        <f t="shared" si="100"/>
        <v>0.21631868425268341</v>
      </c>
      <c r="BO109" s="414">
        <f t="shared" si="100"/>
        <v>0.17753001715265859</v>
      </c>
      <c r="BP109" s="414">
        <f t="shared" si="100"/>
        <v>0.22910573004075752</v>
      </c>
      <c r="BQ109" s="111">
        <f t="shared" si="100"/>
        <v>0.20671672924488949</v>
      </c>
      <c r="BR109" s="414">
        <f t="shared" si="100"/>
        <v>0.20703575547866193</v>
      </c>
      <c r="BS109" s="414">
        <f t="shared" ref="BS109" si="101">BS6/BN6-1</f>
        <v>0.20919308104311174</v>
      </c>
      <c r="BT109" s="414">
        <f t="shared" ref="BT109" si="102">BT6/BO6-1</f>
        <v>0.27792296816760209</v>
      </c>
      <c r="BU109" s="414">
        <f t="shared" ref="BU109:BZ109" si="103">BU6/BP6-1</f>
        <v>0.16275894354933085</v>
      </c>
      <c r="BV109" s="111">
        <f>BV6/BQ6-1</f>
        <v>0.21318063958513411</v>
      </c>
      <c r="BW109" s="414">
        <f t="shared" si="103"/>
        <v>0.17853161331422207</v>
      </c>
      <c r="BX109" s="414">
        <f t="shared" si="103"/>
        <v>0.1865083687325273</v>
      </c>
      <c r="BY109" s="414">
        <f t="shared" si="103"/>
        <v>0.10366098967413184</v>
      </c>
      <c r="BZ109" s="414">
        <f t="shared" si="103"/>
        <v>0.16859587317564184</v>
      </c>
      <c r="CA109" s="111">
        <f>CA6/BV6-1</f>
        <v>0.1579631674562747</v>
      </c>
      <c r="CB109" s="414">
        <f t="shared" ref="CB109" si="104">CB6/BW6-1</f>
        <v>0.15433069411661293</v>
      </c>
      <c r="CC109" s="414">
        <f t="shared" ref="CC109" si="105">CC6/BX6-1</f>
        <v>0.13061285006848422</v>
      </c>
      <c r="CD109" s="414">
        <f t="shared" ref="CD109" si="106">CD6/BY6-1</f>
        <v>0.13395076688558083</v>
      </c>
      <c r="CE109" s="414">
        <f t="shared" ref="CE109" si="107">CE6/BZ6-1</f>
        <v>0.12810021067781197</v>
      </c>
      <c r="CF109" s="111">
        <f>CF6/CA6-1</f>
        <v>0.13618400422880339</v>
      </c>
      <c r="CG109" s="414"/>
      <c r="CH109" s="414"/>
      <c r="CI109" s="414"/>
      <c r="CJ109" s="414"/>
      <c r="CK109" s="111">
        <f>CK6/CF6-1</f>
        <v>0.13230105005068915</v>
      </c>
      <c r="CL109" s="414"/>
      <c r="CM109" s="414"/>
      <c r="CN109" s="414"/>
      <c r="CO109" s="414"/>
      <c r="CP109" s="111">
        <f>CP6/CK6-1</f>
        <v>0.15072164073066796</v>
      </c>
      <c r="CQ109" s="414"/>
      <c r="CR109" s="414"/>
      <c r="CS109" s="414"/>
      <c r="CT109" s="414"/>
      <c r="CU109" s="111">
        <f>CU6/CP6-1</f>
        <v>0.1485754081779409</v>
      </c>
      <c r="CV109" s="414"/>
      <c r="CW109" s="414"/>
      <c r="CX109" s="414"/>
      <c r="CY109" s="414"/>
      <c r="CZ109" s="111">
        <f>CZ6/CU6-1</f>
        <v>7.0715535618840697E-2</v>
      </c>
      <c r="DA109" s="414"/>
      <c r="DB109" s="414"/>
      <c r="DC109" s="414"/>
      <c r="DD109" s="414"/>
      <c r="DE109" s="111">
        <f>DE6/CZ6-1</f>
        <v>1.3396961207861935E-2</v>
      </c>
      <c r="DF109" s="414"/>
      <c r="DG109" s="414"/>
      <c r="DH109" s="414"/>
      <c r="DI109" s="414"/>
      <c r="DJ109" s="111">
        <f>DJ6/DE6-1</f>
        <v>-2.1022661497602457E-2</v>
      </c>
      <c r="DK109" s="414"/>
      <c r="DL109" s="414"/>
      <c r="DM109" s="414"/>
      <c r="DN109" s="414"/>
      <c r="DO109" s="111">
        <f>DO6/DJ6-1</f>
        <v>-0.18521447486072407</v>
      </c>
      <c r="DP109" s="414"/>
      <c r="DQ109" s="414"/>
      <c r="DR109" s="414"/>
      <c r="DS109" s="414"/>
      <c r="DT109" s="111">
        <f>DT6/DO6-1</f>
        <v>-0.35666800125206377</v>
      </c>
      <c r="DU109" s="414"/>
      <c r="DV109" s="414"/>
      <c r="DW109" s="414"/>
      <c r="DX109" s="414"/>
      <c r="DY109" s="111">
        <f>DY6/DT6-1</f>
        <v>-0.19531983432557498</v>
      </c>
      <c r="DZ109" s="414"/>
      <c r="EA109" s="414"/>
      <c r="EB109" s="414"/>
      <c r="EC109" s="414"/>
      <c r="ED109" s="111">
        <f>ED6/DY6-1</f>
        <v>-3.5805962321240559E-2</v>
      </c>
      <c r="EE109" s="414"/>
      <c r="EF109" s="414"/>
      <c r="EG109" s="414"/>
      <c r="EH109" s="414"/>
      <c r="EI109" s="111">
        <f>EI6/ED6-1</f>
        <v>-7.18294643198647E-3</v>
      </c>
      <c r="EJ109" s="414"/>
      <c r="EK109" s="414"/>
      <c r="EL109" s="414"/>
      <c r="EM109" s="414"/>
      <c r="EN109" s="111">
        <f>EN6/EI6-1</f>
        <v>-0.23442043135004542</v>
      </c>
    </row>
    <row r="110" spans="2:154">
      <c r="B110" s="110" t="s">
        <v>184</v>
      </c>
      <c r="C110" s="41"/>
      <c r="D110" s="111"/>
      <c r="E110" s="414"/>
      <c r="F110" s="414"/>
      <c r="G110" s="414"/>
      <c r="H110" s="414"/>
      <c r="I110" s="111">
        <f t="shared" ref="I110:AN110" si="108">I9/D9-1</f>
        <v>1.1659078928451621</v>
      </c>
      <c r="J110" s="414">
        <f t="shared" si="108"/>
        <v>2.0877305877305878</v>
      </c>
      <c r="K110" s="414">
        <f t="shared" si="108"/>
        <v>0.21197007481296759</v>
      </c>
      <c r="L110" s="414">
        <f t="shared" si="108"/>
        <v>0.11195835471808802</v>
      </c>
      <c r="M110" s="414">
        <f t="shared" si="108"/>
        <v>5.2731560330145477E-2</v>
      </c>
      <c r="N110" s="111">
        <f t="shared" si="108"/>
        <v>0.32148862731215155</v>
      </c>
      <c r="O110" s="111">
        <f t="shared" si="108"/>
        <v>-0.12441820076415422</v>
      </c>
      <c r="P110" s="111">
        <f t="shared" si="108"/>
        <v>0.29104583510713788</v>
      </c>
      <c r="Q110" s="111">
        <f t="shared" si="108"/>
        <v>0.54127653962811539</v>
      </c>
      <c r="R110" s="111">
        <f t="shared" si="108"/>
        <v>0.69491630887934774</v>
      </c>
      <c r="S110" s="111">
        <f t="shared" si="108"/>
        <v>0.3631249372132741</v>
      </c>
      <c r="T110" s="111">
        <f t="shared" si="108"/>
        <v>1.35528403681371</v>
      </c>
      <c r="U110" s="111">
        <f t="shared" si="108"/>
        <v>0.4474609804352605</v>
      </c>
      <c r="V110" s="111">
        <f t="shared" si="108"/>
        <v>0.46006417112299447</v>
      </c>
      <c r="W110" s="111">
        <f t="shared" si="108"/>
        <v>0.28249935753882305</v>
      </c>
      <c r="X110" s="111">
        <f t="shared" si="108"/>
        <v>0.53643108064951961</v>
      </c>
      <c r="Y110" s="111">
        <f t="shared" si="108"/>
        <v>-0.27016101866199549</v>
      </c>
      <c r="Z110" s="111">
        <f t="shared" si="108"/>
        <v>7.4227352114815126E-2</v>
      </c>
      <c r="AA110" s="111">
        <f t="shared" si="108"/>
        <v>-6.0066219344252492E-3</v>
      </c>
      <c r="AB110" s="111">
        <f t="shared" si="108"/>
        <v>0.2940115646647965</v>
      </c>
      <c r="AC110" s="111">
        <f t="shared" si="108"/>
        <v>3.1985737926403468E-2</v>
      </c>
      <c r="AD110" s="111">
        <f t="shared" si="108"/>
        <v>0.89601218499030733</v>
      </c>
      <c r="AE110" s="111">
        <f t="shared" si="108"/>
        <v>1.2617608595765737</v>
      </c>
      <c r="AF110" s="111">
        <f t="shared" si="108"/>
        <v>0.77658884565499364</v>
      </c>
      <c r="AG110" s="111">
        <f t="shared" si="108"/>
        <v>0.31934520517641807</v>
      </c>
      <c r="AH110" s="111">
        <f t="shared" si="108"/>
        <v>0.74284983886960809</v>
      </c>
      <c r="AI110" s="111">
        <f t="shared" si="108"/>
        <v>0.4727963192872271</v>
      </c>
      <c r="AJ110" s="111">
        <f t="shared" si="108"/>
        <v>-0.25145330666333288</v>
      </c>
      <c r="AK110" s="111">
        <f t="shared" si="108"/>
        <v>-0.17342248917353875</v>
      </c>
      <c r="AL110" s="111">
        <f t="shared" si="108"/>
        <v>-0.23857748864036465</v>
      </c>
      <c r="AM110" s="111">
        <f t="shared" si="108"/>
        <v>-9.4896902405091854E-2</v>
      </c>
      <c r="AN110" s="111">
        <f t="shared" si="108"/>
        <v>-7.2593841424108851E-2</v>
      </c>
      <c r="AO110" s="111">
        <f t="shared" ref="AO110:BL110" si="109">AO9/AJ9-1</f>
        <v>0.29421097680632968</v>
      </c>
      <c r="AP110" s="111">
        <f t="shared" si="109"/>
        <v>0.25065740610634935</v>
      </c>
      <c r="AQ110" s="111">
        <f t="shared" si="109"/>
        <v>0.47685633753192946</v>
      </c>
      <c r="AR110" s="111">
        <f t="shared" si="109"/>
        <v>0.2153061174379145</v>
      </c>
      <c r="AS110" s="111">
        <f t="shared" si="109"/>
        <v>0.30182323691386426</v>
      </c>
      <c r="AT110" s="111">
        <f t="shared" si="109"/>
        <v>0.25216956479659314</v>
      </c>
      <c r="AU110" s="111">
        <f t="shared" si="109"/>
        <v>0.30112031330251643</v>
      </c>
      <c r="AV110" s="111">
        <f t="shared" si="109"/>
        <v>5.940328328388067E-2</v>
      </c>
      <c r="AW110" s="111">
        <f t="shared" si="109"/>
        <v>0.22351034856186902</v>
      </c>
      <c r="AX110" s="414">
        <f t="shared" si="109"/>
        <v>-2.7257543398499506E-2</v>
      </c>
      <c r="AY110" s="414">
        <f t="shared" si="109"/>
        <v>-0.10545299960065435</v>
      </c>
      <c r="AZ110" s="414">
        <f t="shared" si="109"/>
        <v>-0.12019983963486092</v>
      </c>
      <c r="BA110" s="414">
        <f t="shared" si="109"/>
        <v>7.597359643073287E-2</v>
      </c>
      <c r="BB110" s="111">
        <f t="shared" si="109"/>
        <v>-4.7964410625290999E-2</v>
      </c>
      <c r="BC110" s="414">
        <f t="shared" si="109"/>
        <v>9.3549885296891233E-2</v>
      </c>
      <c r="BD110" s="414">
        <f t="shared" si="109"/>
        <v>0.11173514206304636</v>
      </c>
      <c r="BE110" s="414">
        <f t="shared" si="109"/>
        <v>0.12309137561167138</v>
      </c>
      <c r="BF110" s="414">
        <f t="shared" si="109"/>
        <v>0.13670551609569781</v>
      </c>
      <c r="BG110" s="111">
        <f t="shared" si="109"/>
        <v>0.11668470568645395</v>
      </c>
      <c r="BH110" s="414">
        <f t="shared" si="109"/>
        <v>2.9601029601029616E-2</v>
      </c>
      <c r="BI110" s="414">
        <f t="shared" si="109"/>
        <v>0.20466321243523322</v>
      </c>
      <c r="BJ110" s="414">
        <f t="shared" si="109"/>
        <v>0.13483146067415719</v>
      </c>
      <c r="BK110" s="414">
        <f t="shared" si="109"/>
        <v>0.10241657077100119</v>
      </c>
      <c r="BL110" s="111">
        <f t="shared" si="109"/>
        <v>0.11742777260018644</v>
      </c>
      <c r="BM110" s="414">
        <f t="shared" ref="BM110:BR110" si="110">BM9/BH9-1</f>
        <v>0.21625000000000005</v>
      </c>
      <c r="BN110" s="414">
        <f t="shared" si="110"/>
        <v>-3.225806451612856E-3</v>
      </c>
      <c r="BO110" s="414">
        <f t="shared" si="110"/>
        <v>0.11551155115511547</v>
      </c>
      <c r="BP110" s="414">
        <f t="shared" si="110"/>
        <v>1.2526096033403045E-2</v>
      </c>
      <c r="BQ110" s="111">
        <f t="shared" si="110"/>
        <v>7.9788712816235785E-2</v>
      </c>
      <c r="BR110" s="414">
        <f t="shared" si="110"/>
        <v>-4.1109969167522076E-3</v>
      </c>
      <c r="BS110" s="414">
        <f t="shared" ref="BS110:BZ110" si="111">BS9/BN9-1</f>
        <v>0.10355987055016191</v>
      </c>
      <c r="BT110" s="414">
        <f t="shared" si="111"/>
        <v>-1.0848126232741673E-2</v>
      </c>
      <c r="BU110" s="414">
        <f t="shared" si="111"/>
        <v>8.9690721649484662E-2</v>
      </c>
      <c r="BV110" s="111">
        <f>BV9/BQ9-1</f>
        <v>4.3254376930998983E-2</v>
      </c>
      <c r="BW110" s="414">
        <f t="shared" si="111"/>
        <v>9.391124871001022E-2</v>
      </c>
      <c r="BX110" s="414">
        <f t="shared" si="111"/>
        <v>6.8426197458455462E-3</v>
      </c>
      <c r="BY110" s="414">
        <f t="shared" si="111"/>
        <v>0.10667996011964109</v>
      </c>
      <c r="BZ110" s="414">
        <f t="shared" si="111"/>
        <v>5.9602649006622599E-2</v>
      </c>
      <c r="CA110" s="111">
        <f>CA9/BV9-1</f>
        <v>6.6140177690029667E-2</v>
      </c>
      <c r="CB110" s="414">
        <f t="shared" ref="CB110" si="112">CB9/BW9-1</f>
        <v>9.7631430338195768E-2</v>
      </c>
      <c r="CC110" s="414">
        <f t="shared" ref="CC110" si="113">CC9/BX9-1</f>
        <v>0.20275498627054356</v>
      </c>
      <c r="CD110" s="414">
        <f t="shared" ref="CD110" si="114">CD9/BY9-1</f>
        <v>0.12020862103964713</v>
      </c>
      <c r="CE110" s="414">
        <f t="shared" ref="CE110" si="115">CE9/BZ9-1</f>
        <v>0.16014283234414362</v>
      </c>
      <c r="CF110" s="111">
        <f>CF9/CA9-1</f>
        <v>0.14470335499921227</v>
      </c>
      <c r="CG110" s="414"/>
      <c r="CH110" s="414"/>
      <c r="CI110" s="414"/>
      <c r="CJ110" s="414"/>
      <c r="CK110" s="111">
        <f>CK9/CF9-1</f>
        <v>0.1784417964791829</v>
      </c>
      <c r="CL110" s="414"/>
      <c r="CM110" s="414"/>
      <c r="CN110" s="414"/>
      <c r="CO110" s="414"/>
      <c r="CP110" s="111">
        <f>CP9/CK9-1</f>
        <v>0.27785218846247628</v>
      </c>
      <c r="CQ110" s="414"/>
      <c r="CR110" s="414"/>
      <c r="CS110" s="414"/>
      <c r="CT110" s="414"/>
      <c r="CU110" s="111">
        <f>CU9/CP9-1</f>
        <v>0.32255132204952353</v>
      </c>
      <c r="CV110" s="414"/>
      <c r="CW110" s="414"/>
      <c r="CX110" s="414"/>
      <c r="CY110" s="414"/>
      <c r="CZ110" s="111">
        <f>CZ9/CU9-1</f>
        <v>0.18954650136574225</v>
      </c>
      <c r="DA110" s="414"/>
      <c r="DB110" s="414"/>
      <c r="DC110" s="414"/>
      <c r="DD110" s="414"/>
      <c r="DE110" s="111">
        <f>DE9/CZ9-1</f>
        <v>0.1266852611046474</v>
      </c>
      <c r="DF110" s="414"/>
      <c r="DG110" s="414"/>
      <c r="DH110" s="414"/>
      <c r="DI110" s="414"/>
      <c r="DJ110" s="111">
        <f>DJ9/DE9-1</f>
        <v>0.13814094504562746</v>
      </c>
      <c r="DK110" s="414"/>
      <c r="DL110" s="414"/>
      <c r="DM110" s="414"/>
      <c r="DN110" s="414"/>
      <c r="DO110" s="111">
        <f>DO9/DJ9-1</f>
        <v>-4.3860288438154371E-2</v>
      </c>
      <c r="DP110" s="414"/>
      <c r="DQ110" s="414"/>
      <c r="DR110" s="414"/>
      <c r="DS110" s="414"/>
      <c r="DT110" s="111">
        <f>DT9/DO9-1</f>
        <v>-4.0077411325889378E-2</v>
      </c>
      <c r="DU110" s="414"/>
      <c r="DV110" s="414"/>
      <c r="DW110" s="414"/>
      <c r="DX110" s="414"/>
      <c r="DY110" s="111">
        <f>DY9/DT9-1</f>
        <v>1.7872469090669085E-2</v>
      </c>
      <c r="DZ110" s="414"/>
      <c r="EA110" s="414"/>
      <c r="EB110" s="414"/>
      <c r="EC110" s="414"/>
      <c r="ED110" s="111">
        <f>ED9/DY9-1</f>
        <v>3.670729272482931E-2</v>
      </c>
      <c r="EE110" s="414"/>
      <c r="EF110" s="414"/>
      <c r="EG110" s="414"/>
      <c r="EH110" s="414"/>
      <c r="EI110" s="111">
        <f>EI9/ED9-1</f>
        <v>3.9353310937907837E-2</v>
      </c>
      <c r="EJ110" s="414"/>
      <c r="EK110" s="414"/>
      <c r="EL110" s="414"/>
      <c r="EM110" s="414"/>
      <c r="EN110" s="111">
        <f>EN9/EI9-1</f>
        <v>-7.9968915031775945E-2</v>
      </c>
    </row>
    <row r="111" spans="2:154">
      <c r="B111" s="110" t="s">
        <v>179</v>
      </c>
      <c r="C111" s="41"/>
      <c r="D111" s="111"/>
      <c r="E111" s="414"/>
      <c r="F111" s="414"/>
      <c r="G111" s="414"/>
      <c r="H111" s="414"/>
      <c r="I111" s="111">
        <f t="shared" ref="I111:R112" si="116">I12/D12-1</f>
        <v>0.54656047875234237</v>
      </c>
      <c r="J111" s="414">
        <f t="shared" si="116"/>
        <v>0.10965644119282936</v>
      </c>
      <c r="K111" s="414">
        <f t="shared" si="116"/>
        <v>-7.0642733063115415E-3</v>
      </c>
      <c r="L111" s="414">
        <f t="shared" si="116"/>
        <v>4.6498472677904745E-2</v>
      </c>
      <c r="M111" s="414">
        <f t="shared" si="116"/>
        <v>0.31057866184448457</v>
      </c>
      <c r="N111" s="111">
        <f t="shared" si="116"/>
        <v>0.11586003380920284</v>
      </c>
      <c r="O111" s="111">
        <f t="shared" si="116"/>
        <v>0.41078038247995052</v>
      </c>
      <c r="P111" s="111">
        <f t="shared" si="116"/>
        <v>0.56826840836637893</v>
      </c>
      <c r="Q111" s="111">
        <f t="shared" si="116"/>
        <v>0.68756756756756787</v>
      </c>
      <c r="R111" s="111">
        <f t="shared" si="116"/>
        <v>0.59770610555363946</v>
      </c>
      <c r="S111" s="111">
        <f t="shared" ref="S111:AB112" si="117">S12/N12-1</f>
        <v>0.57045780938036383</v>
      </c>
      <c r="T111" s="111">
        <f t="shared" si="117"/>
        <v>0.48444930308827594</v>
      </c>
      <c r="U111" s="111">
        <f t="shared" si="117"/>
        <v>0.58457076278539377</v>
      </c>
      <c r="V111" s="111">
        <f t="shared" si="117"/>
        <v>0.43674994661541744</v>
      </c>
      <c r="W111" s="111">
        <f t="shared" si="117"/>
        <v>0.49272233317140768</v>
      </c>
      <c r="X111" s="111">
        <f t="shared" si="117"/>
        <v>0.49707817553250777</v>
      </c>
      <c r="Y111" s="111">
        <f t="shared" si="117"/>
        <v>0.81574490021356483</v>
      </c>
      <c r="Z111" s="111">
        <f t="shared" si="117"/>
        <v>0.61627033792240327</v>
      </c>
      <c r="AA111" s="111">
        <f t="shared" si="117"/>
        <v>0.27439323454661646</v>
      </c>
      <c r="AB111" s="111">
        <f t="shared" si="117"/>
        <v>0.44450203092795904</v>
      </c>
      <c r="AC111" s="111">
        <f t="shared" ref="AC111:AL112" si="118">AC12/X12-1</f>
        <v>0.51787057798171987</v>
      </c>
      <c r="AD111" s="111">
        <f t="shared" si="118"/>
        <v>0.31123256002595689</v>
      </c>
      <c r="AE111" s="111">
        <f t="shared" si="118"/>
        <v>0.57250851788756374</v>
      </c>
      <c r="AF111" s="111">
        <f t="shared" si="118"/>
        <v>0.77282640387194612</v>
      </c>
      <c r="AG111" s="111">
        <f t="shared" si="118"/>
        <v>0.51630425712998362</v>
      </c>
      <c r="AH111" s="111">
        <f t="shared" si="118"/>
        <v>0.53489707430427891</v>
      </c>
      <c r="AI111" s="111">
        <f t="shared" si="118"/>
        <v>0.20488868611727606</v>
      </c>
      <c r="AJ111" s="111">
        <f t="shared" si="118"/>
        <v>-3.3922405037578707E-2</v>
      </c>
      <c r="AK111" s="111">
        <f t="shared" si="118"/>
        <v>0.13376663530928679</v>
      </c>
      <c r="AL111" s="111">
        <f t="shared" si="118"/>
        <v>6.3838919674449324E-2</v>
      </c>
      <c r="AM111" s="111">
        <f t="shared" ref="AM111:AV112" si="119">AM12/AH12-1</f>
        <v>8.4602693473506685E-2</v>
      </c>
      <c r="AN111" s="111">
        <f t="shared" si="119"/>
        <v>0.20686070018932701</v>
      </c>
      <c r="AO111" s="111">
        <f t="shared" si="119"/>
        <v>0.2556834110660855</v>
      </c>
      <c r="AP111" s="111">
        <f t="shared" si="119"/>
        <v>0.18436856305665961</v>
      </c>
      <c r="AQ111" s="111">
        <f t="shared" si="119"/>
        <v>0.30545612546812628</v>
      </c>
      <c r="AR111" s="111">
        <f t="shared" si="119"/>
        <v>0.24053700297155811</v>
      </c>
      <c r="AS111" s="111">
        <f t="shared" si="119"/>
        <v>0.43559322935223643</v>
      </c>
      <c r="AT111" s="111">
        <f t="shared" si="119"/>
        <v>0.39119734925942629</v>
      </c>
      <c r="AU111" s="111">
        <f t="shared" si="119"/>
        <v>0.35266019988242214</v>
      </c>
      <c r="AV111" s="111">
        <f t="shared" si="119"/>
        <v>0.10336165087013005</v>
      </c>
      <c r="AW111" s="111">
        <f t="shared" ref="AW111:BF112" si="120">AW12/AR12-1</f>
        <v>0.30545733228773075</v>
      </c>
      <c r="AX111" s="414">
        <f t="shared" si="120"/>
        <v>0.10743483269681708</v>
      </c>
      <c r="AY111" s="414">
        <f t="shared" si="120"/>
        <v>7.9435247088517347E-2</v>
      </c>
      <c r="AZ111" s="414">
        <f t="shared" si="120"/>
        <v>0.16812444541026039</v>
      </c>
      <c r="BA111" s="414">
        <f t="shared" si="120"/>
        <v>0.22057946865281441</v>
      </c>
      <c r="BB111" s="111">
        <f t="shared" si="120"/>
        <v>0.14437530206180216</v>
      </c>
      <c r="BC111" s="414">
        <f t="shared" si="120"/>
        <v>0.11452291595587383</v>
      </c>
      <c r="BD111" s="414">
        <f t="shared" si="120"/>
        <v>0.29683191868951719</v>
      </c>
      <c r="BE111" s="414">
        <f t="shared" si="120"/>
        <v>0.25416634369428737</v>
      </c>
      <c r="BF111" s="414">
        <f t="shared" si="120"/>
        <v>0.17804551539491298</v>
      </c>
      <c r="BG111" s="111">
        <f t="shared" ref="BG111:BP112" si="121">BG12/BB12-1</f>
        <v>0.21042786107638123</v>
      </c>
      <c r="BH111" s="414">
        <f t="shared" si="121"/>
        <v>0.25390156062424984</v>
      </c>
      <c r="BI111" s="414">
        <f t="shared" si="121"/>
        <v>0.14669098488796251</v>
      </c>
      <c r="BJ111" s="414">
        <f t="shared" si="121"/>
        <v>9.1223733003708452E-2</v>
      </c>
      <c r="BK111" s="414">
        <f t="shared" si="121"/>
        <v>0.19555444555444557</v>
      </c>
      <c r="BL111" s="111">
        <f t="shared" si="121"/>
        <v>0.16827649648465748</v>
      </c>
      <c r="BM111" s="414">
        <f t="shared" si="121"/>
        <v>0.10890378171373882</v>
      </c>
      <c r="BN111" s="414">
        <f t="shared" si="121"/>
        <v>0.22881163371960911</v>
      </c>
      <c r="BO111" s="414">
        <f t="shared" si="121"/>
        <v>7.4082464884458465E-2</v>
      </c>
      <c r="BP111" s="414">
        <f t="shared" si="121"/>
        <v>0.11343221224148747</v>
      </c>
      <c r="BQ111" s="111">
        <f t="shared" ref="BQ111:BZ112" si="122">BQ12/BL12-1</f>
        <v>0.13115860517435318</v>
      </c>
      <c r="BR111" s="414">
        <f t="shared" si="122"/>
        <v>9.4970861213035107E-3</v>
      </c>
      <c r="BS111" s="414">
        <f t="shared" si="122"/>
        <v>1.1649408284023721E-2</v>
      </c>
      <c r="BT111" s="414">
        <f t="shared" si="122"/>
        <v>0.24593967517401416</v>
      </c>
      <c r="BU111" s="414">
        <f t="shared" si="122"/>
        <v>1.1257035647280755E-3</v>
      </c>
      <c r="BV111" s="111">
        <f t="shared" si="122"/>
        <v>6.3593874303898179E-2</v>
      </c>
      <c r="BW111" s="414">
        <f t="shared" si="122"/>
        <v>0.1524481505238402</v>
      </c>
      <c r="BX111" s="414">
        <f t="shared" si="122"/>
        <v>-2.7600073112776458E-2</v>
      </c>
      <c r="BY111" s="414">
        <f t="shared" si="122"/>
        <v>-0.11799559844252594</v>
      </c>
      <c r="BZ111" s="414">
        <f t="shared" si="122"/>
        <v>0.28748125937031488</v>
      </c>
      <c r="CA111" s="111">
        <f t="shared" ref="CA111:CA112" si="123">CA12/BV12-1</f>
        <v>6.5401337010892568E-2</v>
      </c>
      <c r="CB111" s="414">
        <f t="shared" ref="CB111:CB112" si="124">CB12/BW12-1</f>
        <v>9.3508817098223673E-2</v>
      </c>
      <c r="CC111" s="414">
        <f t="shared" ref="CC111:CC112" si="125">CC12/BX12-1</f>
        <v>0.19804583076899718</v>
      </c>
      <c r="CD111" s="414">
        <f t="shared" ref="CD111:CD112" si="126">CD12/BY12-1</f>
        <v>0.23596280612536424</v>
      </c>
      <c r="CE111" s="414">
        <f t="shared" ref="CE111:CE112" si="127">CE12/BZ12-1</f>
        <v>-1.3417251340733127E-2</v>
      </c>
      <c r="CF111" s="111">
        <f>CF12/CA12-1</f>
        <v>0.11824510956791556</v>
      </c>
      <c r="CG111" s="414"/>
      <c r="CH111" s="414"/>
      <c r="CI111" s="414"/>
      <c r="CJ111" s="414"/>
      <c r="CK111" s="111">
        <f>CK12/CF12-1</f>
        <v>8.7009008048661407E-2</v>
      </c>
      <c r="CL111" s="414"/>
      <c r="CM111" s="414"/>
      <c r="CN111" s="414"/>
      <c r="CO111" s="414"/>
      <c r="CP111" s="111">
        <f>CP12/CK12-1</f>
        <v>0.11619999150874794</v>
      </c>
      <c r="CQ111" s="414"/>
      <c r="CR111" s="414"/>
      <c r="CS111" s="414"/>
      <c r="CT111" s="414"/>
      <c r="CU111" s="111">
        <f>CU12/CP12-1</f>
        <v>0.11986102297349222</v>
      </c>
      <c r="CV111" s="414"/>
      <c r="CW111" s="414"/>
      <c r="CX111" s="414"/>
      <c r="CY111" s="414"/>
      <c r="CZ111" s="111">
        <f>CZ12/CU12-1</f>
        <v>4.3947647228369524E-2</v>
      </c>
      <c r="DA111" s="414"/>
      <c r="DB111" s="414"/>
      <c r="DC111" s="414"/>
      <c r="DD111" s="414"/>
      <c r="DE111" s="111">
        <f>DE12/CZ12-1</f>
        <v>-1.1937962822334502E-2</v>
      </c>
      <c r="DF111" s="414"/>
      <c r="DG111" s="414"/>
      <c r="DH111" s="414"/>
      <c r="DI111" s="414"/>
      <c r="DJ111" s="111">
        <f>DJ12/DE12-1</f>
        <v>-3.0812434882626527E-2</v>
      </c>
      <c r="DK111" s="414"/>
      <c r="DL111" s="414"/>
      <c r="DM111" s="414"/>
      <c r="DN111" s="414"/>
      <c r="DO111" s="111">
        <f>DO12/DJ12-1</f>
        <v>-0.19336233011211668</v>
      </c>
      <c r="DP111" s="414"/>
      <c r="DQ111" s="414"/>
      <c r="DR111" s="414"/>
      <c r="DS111" s="414"/>
      <c r="DT111" s="111">
        <f>DT12/DO12-1</f>
        <v>-0.36310132123954331</v>
      </c>
      <c r="DU111" s="414"/>
      <c r="DV111" s="414"/>
      <c r="DW111" s="414"/>
      <c r="DX111" s="414"/>
      <c r="DY111" s="111">
        <f>DY12/DT12-1</f>
        <v>-0.2033666359823193</v>
      </c>
      <c r="DZ111" s="414"/>
      <c r="EA111" s="414"/>
      <c r="EB111" s="414"/>
      <c r="EC111" s="414"/>
      <c r="ED111" s="111">
        <f>ED12/DY12-1</f>
        <v>-4.5447902698028231E-2</v>
      </c>
      <c r="EE111" s="414"/>
      <c r="EF111" s="414"/>
      <c r="EG111" s="414"/>
      <c r="EH111" s="414"/>
      <c r="EI111" s="111">
        <f>EI12/ED12-1</f>
        <v>-1.7111116967666651E-2</v>
      </c>
      <c r="EJ111" s="414"/>
      <c r="EK111" s="414"/>
      <c r="EL111" s="414"/>
      <c r="EM111" s="414"/>
      <c r="EN111" s="111">
        <f>EN12/EI12-1</f>
        <v>-0.24207622703654497</v>
      </c>
    </row>
    <row r="112" spans="2:154">
      <c r="B112" s="110" t="s">
        <v>178</v>
      </c>
      <c r="C112" s="41"/>
      <c r="D112" s="111"/>
      <c r="E112" s="414"/>
      <c r="F112" s="414"/>
      <c r="G112" s="414"/>
      <c r="H112" s="414"/>
      <c r="I112" s="111">
        <f t="shared" si="116"/>
        <v>0.44482125194291378</v>
      </c>
      <c r="J112" s="414">
        <f t="shared" si="116"/>
        <v>0.52615185469843451</v>
      </c>
      <c r="K112" s="414">
        <f t="shared" si="116"/>
        <v>0.26611396926303366</v>
      </c>
      <c r="L112" s="414">
        <f t="shared" si="116"/>
        <v>0.20691313495641728</v>
      </c>
      <c r="M112" s="414">
        <f t="shared" si="116"/>
        <v>0.29656059897051934</v>
      </c>
      <c r="N112" s="111">
        <f t="shared" si="116"/>
        <v>0.31093724531377331</v>
      </c>
      <c r="O112" s="111">
        <f t="shared" si="116"/>
        <v>6.1201229855810002E-2</v>
      </c>
      <c r="P112" s="111">
        <f t="shared" si="116"/>
        <v>0.2689062580878927</v>
      </c>
      <c r="Q112" s="111">
        <f t="shared" si="116"/>
        <v>0.22896847138516696</v>
      </c>
      <c r="R112" s="111">
        <f t="shared" si="116"/>
        <v>0.18246413425967689</v>
      </c>
      <c r="S112" s="111">
        <f t="shared" si="117"/>
        <v>0.18639494690771641</v>
      </c>
      <c r="T112" s="111">
        <f t="shared" si="117"/>
        <v>0.26323151085246144</v>
      </c>
      <c r="U112" s="111">
        <f t="shared" si="117"/>
        <v>9.3599575752631337E-2</v>
      </c>
      <c r="V112" s="111">
        <f t="shared" si="117"/>
        <v>0.29826943341168866</v>
      </c>
      <c r="W112" s="111">
        <f t="shared" si="117"/>
        <v>0.48072337422025524</v>
      </c>
      <c r="X112" s="111">
        <f t="shared" si="117"/>
        <v>0.28845488749384285</v>
      </c>
      <c r="Y112" s="111">
        <f t="shared" si="117"/>
        <v>0.52192739639354624</v>
      </c>
      <c r="Z112" s="111">
        <f t="shared" si="117"/>
        <v>0.61499151388552109</v>
      </c>
      <c r="AA112" s="111">
        <f t="shared" si="117"/>
        <v>0.31541979490221128</v>
      </c>
      <c r="AB112" s="111">
        <f t="shared" si="117"/>
        <v>0.19833550199044092</v>
      </c>
      <c r="AC112" s="111">
        <f t="shared" si="118"/>
        <v>0.38626002009101934</v>
      </c>
      <c r="AD112" s="111">
        <f t="shared" si="118"/>
        <v>0.32853078352149478</v>
      </c>
      <c r="AE112" s="111">
        <f t="shared" si="118"/>
        <v>0.53798893649455493</v>
      </c>
      <c r="AF112" s="111">
        <f t="shared" si="118"/>
        <v>0.77925838030258143</v>
      </c>
      <c r="AG112" s="111">
        <f t="shared" si="118"/>
        <v>0.65301668530145318</v>
      </c>
      <c r="AH112" s="111">
        <f t="shared" si="118"/>
        <v>0.58173123468923738</v>
      </c>
      <c r="AI112" s="111">
        <f t="shared" si="118"/>
        <v>0.63821984920937558</v>
      </c>
      <c r="AJ112" s="111">
        <f t="shared" si="118"/>
        <v>0.26926022706794028</v>
      </c>
      <c r="AK112" s="111">
        <f t="shared" si="118"/>
        <v>0.18831320399874629</v>
      </c>
      <c r="AL112" s="111">
        <f t="shared" si="118"/>
        <v>0.18256729774904579</v>
      </c>
      <c r="AM112" s="111">
        <f t="shared" si="119"/>
        <v>0.29200524538107842</v>
      </c>
      <c r="AN112" s="111">
        <f t="shared" si="119"/>
        <v>0.1074579468261645</v>
      </c>
      <c r="AO112" s="111">
        <f t="shared" si="119"/>
        <v>0.19242760375070267</v>
      </c>
      <c r="AP112" s="111">
        <f t="shared" si="119"/>
        <v>0.30386005477483957</v>
      </c>
      <c r="AQ112" s="111">
        <f t="shared" si="119"/>
        <v>0.64147986008755487</v>
      </c>
      <c r="AR112" s="111">
        <f t="shared" si="119"/>
        <v>0.3177140084384551</v>
      </c>
      <c r="AS112" s="111">
        <f t="shared" si="119"/>
        <v>0.49862554439222118</v>
      </c>
      <c r="AT112" s="111">
        <f t="shared" si="119"/>
        <v>0.51704686399222033</v>
      </c>
      <c r="AU112" s="111">
        <f t="shared" si="119"/>
        <v>0.32275628747412055</v>
      </c>
      <c r="AV112" s="111">
        <f t="shared" si="119"/>
        <v>0.17006235195180741</v>
      </c>
      <c r="AW112" s="111">
        <f t="shared" si="120"/>
        <v>0.35131781357992953</v>
      </c>
      <c r="AX112" s="414">
        <f t="shared" si="120"/>
        <v>0.13245719094940567</v>
      </c>
      <c r="AY112" s="414">
        <f t="shared" si="120"/>
        <v>0.13984936833464712</v>
      </c>
      <c r="AZ112" s="414">
        <f t="shared" si="120"/>
        <v>6.7706435153850109E-2</v>
      </c>
      <c r="BA112" s="414">
        <f t="shared" si="120"/>
        <v>-8.8816665473548717E-2</v>
      </c>
      <c r="BB112" s="111">
        <f t="shared" si="120"/>
        <v>5.5936495497652672E-2</v>
      </c>
      <c r="BC112" s="414">
        <f t="shared" si="120"/>
        <v>4.7115430422562277E-2</v>
      </c>
      <c r="BD112" s="414">
        <f t="shared" si="120"/>
        <v>-1.1596880720257663E-2</v>
      </c>
      <c r="BE112" s="414">
        <f t="shared" si="120"/>
        <v>0.13221117948061512</v>
      </c>
      <c r="BF112" s="414">
        <f t="shared" si="120"/>
        <v>0.44559533386967054</v>
      </c>
      <c r="BG112" s="111">
        <f t="shared" si="121"/>
        <v>0.14962274782513107</v>
      </c>
      <c r="BH112" s="414">
        <f t="shared" si="121"/>
        <v>8.4925690021231626E-2</v>
      </c>
      <c r="BI112" s="414">
        <f t="shared" si="121"/>
        <v>0.15268505079825823</v>
      </c>
      <c r="BJ112" s="414">
        <f t="shared" si="121"/>
        <v>0.12759084791386277</v>
      </c>
      <c r="BK112" s="414">
        <f t="shared" si="121"/>
        <v>3.8260869565217126E-2</v>
      </c>
      <c r="BL112" s="111">
        <f t="shared" si="121"/>
        <v>9.6699209669920849E-2</v>
      </c>
      <c r="BM112" s="414">
        <f t="shared" si="121"/>
        <v>0.20436119653340779</v>
      </c>
      <c r="BN112" s="414">
        <f t="shared" si="121"/>
        <v>0.200956937799043</v>
      </c>
      <c r="BO112" s="414">
        <f t="shared" si="121"/>
        <v>0.16376223442349014</v>
      </c>
      <c r="BP112" s="414">
        <f t="shared" si="121"/>
        <v>0.35908710217755435</v>
      </c>
      <c r="BQ112" s="111">
        <f t="shared" si="122"/>
        <v>0.23799430751529105</v>
      </c>
      <c r="BR112" s="414">
        <f t="shared" si="122"/>
        <v>0.37186629526462389</v>
      </c>
      <c r="BS112" s="414">
        <f t="shared" si="122"/>
        <v>0.25980289368840448</v>
      </c>
      <c r="BT112" s="414">
        <f t="shared" si="122"/>
        <v>0.32020512820512836</v>
      </c>
      <c r="BU112" s="414">
        <f t="shared" si="122"/>
        <v>3.651209366815622E-2</v>
      </c>
      <c r="BV112" s="111">
        <f t="shared" si="122"/>
        <v>0.22692364134422549</v>
      </c>
      <c r="BW112" s="414">
        <f t="shared" si="122"/>
        <v>6.7681895093063549E-3</v>
      </c>
      <c r="BX112" s="414">
        <f t="shared" si="122"/>
        <v>0.14846870838881476</v>
      </c>
      <c r="BY112" s="414">
        <f t="shared" si="122"/>
        <v>8.4524549409570993E-2</v>
      </c>
      <c r="BZ112" s="414">
        <f t="shared" si="122"/>
        <v>0.13852556480380485</v>
      </c>
      <c r="CA112" s="111">
        <f t="shared" si="123"/>
        <v>9.6005103261302738E-2</v>
      </c>
      <c r="CB112" s="414">
        <f t="shared" si="124"/>
        <v>0.29207435677590632</v>
      </c>
      <c r="CC112" s="414">
        <f t="shared" si="125"/>
        <v>0.20484004152950197</v>
      </c>
      <c r="CD112" s="414">
        <f t="shared" si="126"/>
        <v>0.20331996136411123</v>
      </c>
      <c r="CE112" s="414">
        <f t="shared" si="127"/>
        <v>0.15413046031714672</v>
      </c>
      <c r="CF112" s="111">
        <f>CF13/CA13-1</f>
        <v>0.20920521519538182</v>
      </c>
      <c r="CG112" s="414"/>
      <c r="CH112" s="414"/>
      <c r="CI112" s="414"/>
      <c r="CJ112" s="414"/>
      <c r="CK112" s="111">
        <f>CK13/CF13-1</f>
        <v>0.10965502904967517</v>
      </c>
      <c r="CL112" s="414"/>
      <c r="CM112" s="414"/>
      <c r="CN112" s="414"/>
      <c r="CO112" s="414"/>
      <c r="CP112" s="111">
        <f>CP13/CK13-1</f>
        <v>0.12770720791605439</v>
      </c>
      <c r="CQ112" s="414"/>
      <c r="CR112" s="414"/>
      <c r="CS112" s="414"/>
      <c r="CT112" s="414"/>
      <c r="CU112" s="111">
        <f>CU13/CP13-1</f>
        <v>0.13134677705527187</v>
      </c>
      <c r="CV112" s="414"/>
      <c r="CW112" s="414"/>
      <c r="CX112" s="414"/>
      <c r="CY112" s="414"/>
      <c r="CZ112" s="111">
        <f>CZ13/CU13-1</f>
        <v>5.4654802584558126E-2</v>
      </c>
      <c r="DA112" s="414"/>
      <c r="DB112" s="414"/>
      <c r="DC112" s="414"/>
      <c r="DD112" s="414"/>
      <c r="DE112" s="111">
        <f>DE13/CZ13-1</f>
        <v>-1.8039932102559275E-3</v>
      </c>
      <c r="DF112" s="414"/>
      <c r="DG112" s="414"/>
      <c r="DH112" s="414"/>
      <c r="DI112" s="414"/>
      <c r="DJ112" s="111">
        <f>DJ13/DE13-1</f>
        <v>-3.5707321575138451E-2</v>
      </c>
      <c r="DK112" s="414"/>
      <c r="DL112" s="414"/>
      <c r="DM112" s="414"/>
      <c r="DN112" s="414"/>
      <c r="DO112" s="111">
        <f>DO13/DJ13-1</f>
        <v>-0.19743625773781326</v>
      </c>
      <c r="DP112" s="414"/>
      <c r="DQ112" s="414"/>
      <c r="DR112" s="414"/>
      <c r="DS112" s="414"/>
      <c r="DT112" s="111">
        <f>DT13/DO13-1</f>
        <v>-0.36631798123328274</v>
      </c>
      <c r="DU112" s="414"/>
      <c r="DV112" s="414"/>
      <c r="DW112" s="414"/>
      <c r="DX112" s="414"/>
      <c r="DY112" s="111">
        <f>DY13/DT13-1</f>
        <v>-0.20336663598231919</v>
      </c>
      <c r="DZ112" s="414"/>
      <c r="EA112" s="414"/>
      <c r="EB112" s="414"/>
      <c r="EC112" s="414"/>
      <c r="ED112" s="111">
        <f>ED13/DY13-1</f>
        <v>-4.5447902698028231E-2</v>
      </c>
      <c r="EE112" s="414"/>
      <c r="EF112" s="414"/>
      <c r="EG112" s="414"/>
      <c r="EH112" s="414"/>
      <c r="EI112" s="111">
        <f>EI13/ED13-1</f>
        <v>-1.711111696766654E-2</v>
      </c>
      <c r="EJ112" s="414"/>
      <c r="EK112" s="414"/>
      <c r="EL112" s="414"/>
      <c r="EM112" s="414"/>
      <c r="EN112" s="111">
        <f>EN13/EI13-1</f>
        <v>-0.24207622703654508</v>
      </c>
    </row>
    <row r="113" spans="2:144">
      <c r="B113" s="110" t="s">
        <v>256</v>
      </c>
      <c r="C113" s="41"/>
      <c r="D113" s="111"/>
      <c r="E113" s="414"/>
      <c r="F113" s="414"/>
      <c r="G113" s="414"/>
      <c r="H113" s="414"/>
      <c r="I113" s="111">
        <f t="shared" ref="I113:AN113" si="128">I102/D102-1</f>
        <v>-1.017120104507216</v>
      </c>
      <c r="J113" s="414">
        <f t="shared" si="128"/>
        <v>-1.7776179921129485</v>
      </c>
      <c r="K113" s="414">
        <f t="shared" si="128"/>
        <v>-10.320464384250268</v>
      </c>
      <c r="L113" s="414">
        <f t="shared" si="128"/>
        <v>13.876101566313144</v>
      </c>
      <c r="M113" s="414">
        <f t="shared" si="128"/>
        <v>0.64261245347215779</v>
      </c>
      <c r="N113" s="111">
        <f t="shared" si="128"/>
        <v>23.780009283437074</v>
      </c>
      <c r="O113" s="111">
        <f t="shared" si="128"/>
        <v>2.5480393152775296</v>
      </c>
      <c r="P113" s="111">
        <f t="shared" si="128"/>
        <v>1.4701373740473955</v>
      </c>
      <c r="Q113" s="111">
        <f t="shared" si="128"/>
        <v>-0.57613983770923349</v>
      </c>
      <c r="R113" s="111">
        <f t="shared" si="128"/>
        <v>-2.6117529564004593E-2</v>
      </c>
      <c r="S113" s="111">
        <f t="shared" si="128"/>
        <v>0.40442617477661069</v>
      </c>
      <c r="T113" s="111">
        <f t="shared" si="128"/>
        <v>0.26109564201559632</v>
      </c>
      <c r="U113" s="111">
        <f t="shared" si="128"/>
        <v>3.3618328036211897E-2</v>
      </c>
      <c r="V113" s="111">
        <f t="shared" si="128"/>
        <v>3.2175180286395824</v>
      </c>
      <c r="W113" s="111">
        <f t="shared" si="128"/>
        <v>2.0604062948755937</v>
      </c>
      <c r="X113" s="111">
        <f t="shared" si="128"/>
        <v>0.81556257715545066</v>
      </c>
      <c r="Y113" s="111">
        <f t="shared" si="128"/>
        <v>0.26080097570687255</v>
      </c>
      <c r="Z113" s="111">
        <f t="shared" si="128"/>
        <v>0.37802804757156538</v>
      </c>
      <c r="AA113" s="111">
        <f t="shared" si="128"/>
        <v>0.2869771086660291</v>
      </c>
      <c r="AB113" s="111">
        <f t="shared" si="128"/>
        <v>0.30684441161081821</v>
      </c>
      <c r="AC113" s="111">
        <f t="shared" si="128"/>
        <v>0.3022325565991848</v>
      </c>
      <c r="AD113" s="111">
        <f t="shared" si="128"/>
        <v>0.2467915418152502</v>
      </c>
      <c r="AE113" s="111">
        <f t="shared" si="128"/>
        <v>-2.018640669889582E-2</v>
      </c>
      <c r="AF113" s="111">
        <f t="shared" si="128"/>
        <v>-8.2715801544012257E-2</v>
      </c>
      <c r="AG113" s="111">
        <f t="shared" si="128"/>
        <v>-2.9955480522631417E-2</v>
      </c>
      <c r="AH113" s="111">
        <f t="shared" si="128"/>
        <v>8.4932616505679626E-3</v>
      </c>
      <c r="AI113" s="111">
        <f t="shared" si="128"/>
        <v>-0.11536983391527078</v>
      </c>
      <c r="AJ113" s="111">
        <f t="shared" si="128"/>
        <v>0.10286984734666049</v>
      </c>
      <c r="AK113" s="111">
        <f t="shared" si="128"/>
        <v>0.1019664650243608</v>
      </c>
      <c r="AL113" s="111">
        <f t="shared" si="128"/>
        <v>0.21504761481416002</v>
      </c>
      <c r="AM113" s="111">
        <f t="shared" si="128"/>
        <v>8.2651402405832686E-2</v>
      </c>
      <c r="AN113" s="111">
        <f t="shared" si="128"/>
        <v>0.25976327553378487</v>
      </c>
      <c r="AO113" s="111">
        <f t="shared" ref="AO113:BQ113" si="129">AO102/AJ102-1</f>
        <v>0.13761581881630036</v>
      </c>
      <c r="AP113" s="111">
        <f t="shared" si="129"/>
        <v>6.899023833299589E-2</v>
      </c>
      <c r="AQ113" s="111">
        <f t="shared" si="129"/>
        <v>-7.098437465012819E-2</v>
      </c>
      <c r="AR113" s="111">
        <f t="shared" si="129"/>
        <v>7.863025741241203E-2</v>
      </c>
      <c r="AS113" s="111">
        <f t="shared" si="129"/>
        <v>-3.5352070351206799E-2</v>
      </c>
      <c r="AT113" s="111">
        <f t="shared" si="129"/>
        <v>-3.8397330154628762E-2</v>
      </c>
      <c r="AU113" s="111">
        <f t="shared" si="129"/>
        <v>3.7548293110702957E-2</v>
      </c>
      <c r="AV113" s="111">
        <f t="shared" si="129"/>
        <v>0.10069647475929777</v>
      </c>
      <c r="AW113" s="111">
        <f t="shared" si="129"/>
        <v>1.9349836777236229E-2</v>
      </c>
      <c r="AX113" s="414">
        <f t="shared" si="129"/>
        <v>5.2113371499894701E-2</v>
      </c>
      <c r="AY113" s="414">
        <f t="shared" si="129"/>
        <v>8.3760355890074578E-2</v>
      </c>
      <c r="AZ113" s="414">
        <f t="shared" si="129"/>
        <v>5.0522847505134028E-2</v>
      </c>
      <c r="BA113" s="414">
        <f t="shared" si="129"/>
        <v>8.2387212933054288E-2</v>
      </c>
      <c r="BB113" s="111">
        <f t="shared" si="129"/>
        <v>6.7165658170101672E-2</v>
      </c>
      <c r="BC113" s="414">
        <f t="shared" si="129"/>
        <v>6.9713837520512856E-2</v>
      </c>
      <c r="BD113" s="414">
        <f t="shared" si="129"/>
        <v>3.8945006492553391E-2</v>
      </c>
      <c r="BE113" s="414">
        <f t="shared" si="129"/>
        <v>-5.2782841792426982E-3</v>
      </c>
      <c r="BF113" s="414">
        <f t="shared" si="129"/>
        <v>-6.4989674506130912E-2</v>
      </c>
      <c r="BG113" s="111">
        <f t="shared" si="129"/>
        <v>1.8682279009620828E-3</v>
      </c>
      <c r="BH113" s="414">
        <f t="shared" si="129"/>
        <v>2.2572653530482656E-2</v>
      </c>
      <c r="BI113" s="414">
        <f t="shared" si="129"/>
        <v>1.4179157435010747E-2</v>
      </c>
      <c r="BJ113" s="414">
        <f t="shared" si="129"/>
        <v>6.4284795069617706E-2</v>
      </c>
      <c r="BK113" s="414">
        <f t="shared" si="129"/>
        <v>7.6029814474025681E-2</v>
      </c>
      <c r="BL113" s="111">
        <f t="shared" si="129"/>
        <v>4.9007153343408882E-2</v>
      </c>
      <c r="BM113" s="414">
        <f>BM102/BH102-1</f>
        <v>3.5722285640677143E-2</v>
      </c>
      <c r="BN113" s="414">
        <f>BN102/BI102-1</f>
        <v>1.8335659635280388E-2</v>
      </c>
      <c r="BO113" s="414">
        <f>BO102/BJ102-1</f>
        <v>4.7005749655790963E-2</v>
      </c>
      <c r="BP113" s="414">
        <f>BP102/BK102-1</f>
        <v>1.1055427834880893E-2</v>
      </c>
      <c r="BQ113" s="111">
        <f t="shared" si="129"/>
        <v>2.7403187303906451E-2</v>
      </c>
      <c r="BR113" s="414">
        <f>BR102/BM102-1</f>
        <v>3.1222032650820353E-2</v>
      </c>
      <c r="BS113" s="414">
        <f t="shared" ref="BS113:BZ113" si="130">BS102/BN102-1</f>
        <v>6.5519418229781801E-2</v>
      </c>
      <c r="BT113" s="414">
        <f t="shared" si="130"/>
        <v>1.4671624195857103E-2</v>
      </c>
      <c r="BU113" s="414">
        <f t="shared" si="130"/>
        <v>0.11732065412671311</v>
      </c>
      <c r="BV113" s="111">
        <f>BV102/BQ102-1</f>
        <v>5.8026129738865562E-2</v>
      </c>
      <c r="BW113" s="414">
        <f t="shared" si="130"/>
        <v>7.6285577613011357E-2</v>
      </c>
      <c r="BX113" s="414">
        <f t="shared" si="130"/>
        <v>8.874276894887978E-2</v>
      </c>
      <c r="BY113" s="414">
        <f t="shared" si="130"/>
        <v>7.8582578321386043E-2</v>
      </c>
      <c r="BZ113" s="414">
        <f t="shared" si="130"/>
        <v>-1.6251522189532519E-2</v>
      </c>
      <c r="CA113" s="111">
        <f>CA102/BV102-1</f>
        <v>5.4612352471602232E-2</v>
      </c>
      <c r="CB113" s="414">
        <f t="shared" ref="CB113" si="131">CB102/BW102-1</f>
        <v>-2.1740357012426603E-2</v>
      </c>
      <c r="CC113" s="414">
        <f t="shared" ref="CC113" si="132">CC102/BX102-1</f>
        <v>-4.3027392291529742E-2</v>
      </c>
      <c r="CD113" s="414">
        <f t="shared" ref="CD113" si="133">CD102/BY102-1</f>
        <v>-4.496677416920325E-2</v>
      </c>
      <c r="CE113" s="414">
        <f t="shared" ref="CE113" si="134">CE102/BZ102-1</f>
        <v>3.4059565024616933E-2</v>
      </c>
      <c r="CF113" s="111">
        <f>CF102/CA102-1</f>
        <v>-1.9081496544352983E-2</v>
      </c>
      <c r="CG113" s="414"/>
      <c r="CH113" s="414"/>
      <c r="CI113" s="414"/>
      <c r="CJ113" s="414"/>
      <c r="CK113" s="111">
        <f>CK102/CF102-1</f>
        <v>1.7637139847194172E-2</v>
      </c>
      <c r="CL113" s="414"/>
      <c r="CM113" s="414"/>
      <c r="CN113" s="414"/>
      <c r="CO113" s="414"/>
      <c r="CP113" s="111">
        <f>CP102/CK102-1</f>
        <v>9.5487456770271262E-3</v>
      </c>
      <c r="CQ113" s="414"/>
      <c r="CR113" s="414"/>
      <c r="CS113" s="414"/>
      <c r="CT113" s="414"/>
      <c r="CU113" s="111">
        <f>CU102/CP102-1</f>
        <v>2.3905751718715784E-3</v>
      </c>
      <c r="CV113" s="414"/>
      <c r="CW113" s="414"/>
      <c r="CX113" s="414"/>
      <c r="CY113" s="414"/>
      <c r="CZ113" s="111">
        <f>CZ102/CU102-1</f>
        <v>3.6936826881175389E-3</v>
      </c>
      <c r="DA113" s="414"/>
      <c r="DB113" s="414"/>
      <c r="DC113" s="414"/>
      <c r="DD113" s="414"/>
      <c r="DE113" s="111">
        <f>DE102/CZ102-1</f>
        <v>2.4314069771422808E-3</v>
      </c>
      <c r="DF113" s="414"/>
      <c r="DG113" s="414"/>
      <c r="DH113" s="414"/>
      <c r="DI113" s="414"/>
      <c r="DJ113" s="111">
        <f>DJ102/DE102-1</f>
        <v>-7.3930179847285782E-3</v>
      </c>
      <c r="DK113" s="414"/>
      <c r="DL113" s="414"/>
      <c r="DM113" s="414"/>
      <c r="DN113" s="414"/>
      <c r="DO113" s="111">
        <f>DO102/DJ102-1</f>
        <v>-1.1229925323954504E-2</v>
      </c>
      <c r="DP113" s="414"/>
      <c r="DQ113" s="414"/>
      <c r="DR113" s="414"/>
      <c r="DS113" s="414"/>
      <c r="DT113" s="111">
        <f>DT102/DO102-1</f>
        <v>-5.612101261084379E-2</v>
      </c>
      <c r="DU113" s="414"/>
      <c r="DV113" s="414"/>
      <c r="DW113" s="414"/>
      <c r="DX113" s="414"/>
      <c r="DY113" s="111">
        <f>DY102/DT102-1</f>
        <v>-4.8071645826700093E-2</v>
      </c>
      <c r="DZ113" s="414"/>
      <c r="EA113" s="414"/>
      <c r="EB113" s="414"/>
      <c r="EC113" s="414"/>
      <c r="ED113" s="111">
        <f>ED102/DY102-1</f>
        <v>-1.3984575747628236E-2</v>
      </c>
      <c r="EE113" s="414"/>
      <c r="EF113" s="414"/>
      <c r="EG113" s="414"/>
      <c r="EH113" s="414"/>
      <c r="EI113" s="111">
        <f>EI102/ED102-1</f>
        <v>-7.3930128606004564E-3</v>
      </c>
      <c r="EJ113" s="414"/>
      <c r="EK113" s="414"/>
      <c r="EL113" s="414"/>
      <c r="EM113" s="414"/>
      <c r="EN113" s="111">
        <f>EN102/EI102-1</f>
        <v>-5.6706471784199408E-2</v>
      </c>
    </row>
    <row r="114" spans="2:144" ht="13.5" thickBot="1">
      <c r="B114" s="112" t="s">
        <v>257</v>
      </c>
      <c r="C114" s="73"/>
      <c r="D114" s="113"/>
      <c r="E114" s="416"/>
      <c r="F114" s="416"/>
      <c r="G114" s="416"/>
      <c r="H114" s="416"/>
      <c r="I114" s="113">
        <f t="shared" ref="I114:N114" si="135">I104/D104-1</f>
        <v>-1.1493085275910904</v>
      </c>
      <c r="J114" s="416">
        <f t="shared" si="135"/>
        <v>-3.4431342630280963</v>
      </c>
      <c r="K114" s="416">
        <f t="shared" si="135"/>
        <v>5.1913884955670131</v>
      </c>
      <c r="L114" s="416">
        <f t="shared" si="135"/>
        <v>4.2681312632234514</v>
      </c>
      <c r="M114" s="416">
        <f t="shared" si="135"/>
        <v>0.57222971250197197</v>
      </c>
      <c r="N114" s="113">
        <f t="shared" si="135"/>
        <v>3.0677276582034159</v>
      </c>
      <c r="O114" s="113">
        <f t="shared" ref="O114:BG114" si="136">O104/J104-1</f>
        <v>1.8485902845353839</v>
      </c>
      <c r="P114" s="113">
        <f t="shared" si="136"/>
        <v>1.1394172177641253</v>
      </c>
      <c r="Q114" s="113">
        <f t="shared" si="136"/>
        <v>-0.45437240596088335</v>
      </c>
      <c r="R114" s="113">
        <f t="shared" si="136"/>
        <v>-3.7370659373820447E-2</v>
      </c>
      <c r="S114" s="113">
        <f t="shared" si="136"/>
        <v>0.33641580540756943</v>
      </c>
      <c r="T114" s="113">
        <f t="shared" si="136"/>
        <v>0.23955449016857822</v>
      </c>
      <c r="U114" s="113">
        <f t="shared" si="136"/>
        <v>9.6715737652761202E-2</v>
      </c>
      <c r="V114" s="113">
        <f t="shared" si="136"/>
        <v>2.168055577934155</v>
      </c>
      <c r="W114" s="113">
        <f t="shared" si="136"/>
        <v>1.5242265563985611</v>
      </c>
      <c r="X114" s="113">
        <f t="shared" si="136"/>
        <v>0.70941045220411447</v>
      </c>
      <c r="Y114" s="113">
        <f t="shared" si="136"/>
        <v>0.20846653769278278</v>
      </c>
      <c r="Z114" s="113">
        <f t="shared" si="136"/>
        <v>0.30465067143641456</v>
      </c>
      <c r="AA114" s="113">
        <f t="shared" si="136"/>
        <v>0.25013768661379943</v>
      </c>
      <c r="AB114" s="113">
        <f t="shared" si="136"/>
        <v>0.26933149990363225</v>
      </c>
      <c r="AC114" s="113">
        <f t="shared" si="136"/>
        <v>0.25550939469455058</v>
      </c>
      <c r="AD114" s="113">
        <f t="shared" si="136"/>
        <v>0.27085364920720645</v>
      </c>
      <c r="AE114" s="113">
        <f t="shared" si="136"/>
        <v>0.11578135018695135</v>
      </c>
      <c r="AF114" s="113">
        <f t="shared" si="136"/>
        <v>3.8571178459944733E-2</v>
      </c>
      <c r="AG114" s="113">
        <f t="shared" si="136"/>
        <v>5.5912867966536162E-2</v>
      </c>
      <c r="AH114" s="113">
        <f t="shared" si="136"/>
        <v>0.10671338840644973</v>
      </c>
      <c r="AI114" s="113">
        <f t="shared" si="136"/>
        <v>-6.6295042697419149E-2</v>
      </c>
      <c r="AJ114" s="113">
        <f t="shared" si="136"/>
        <v>2.9219875170417797E-2</v>
      </c>
      <c r="AK114" s="113">
        <f t="shared" si="136"/>
        <v>2.7038816042025404E-2</v>
      </c>
      <c r="AL114" s="113">
        <f t="shared" si="136"/>
        <v>0.14388644415255847</v>
      </c>
      <c r="AM114" s="113">
        <f t="shared" si="136"/>
        <v>3.7834282272893427E-2</v>
      </c>
      <c r="AN114" s="113">
        <f t="shared" si="136"/>
        <v>0.25611134811720659</v>
      </c>
      <c r="AO114" s="113">
        <f t="shared" si="136"/>
        <v>0.16514053548632757</v>
      </c>
      <c r="AP114" s="113">
        <f t="shared" si="136"/>
        <v>0.10519228892129284</v>
      </c>
      <c r="AQ114" s="113">
        <f t="shared" si="136"/>
        <v>2.2748028064513148E-2</v>
      </c>
      <c r="AR114" s="113">
        <f t="shared" si="136"/>
        <v>0.12489593079787098</v>
      </c>
      <c r="AS114" s="113">
        <f t="shared" si="136"/>
        <v>-1.1093753638123149E-2</v>
      </c>
      <c r="AT114" s="113">
        <f t="shared" si="136"/>
        <v>-2.6547160334758124E-2</v>
      </c>
      <c r="AU114" s="113">
        <f t="shared" si="136"/>
        <v>4.9685667534068667E-2</v>
      </c>
      <c r="AV114" s="113">
        <f t="shared" si="136"/>
        <v>7.0713794923521256E-2</v>
      </c>
      <c r="AW114" s="113">
        <f t="shared" si="136"/>
        <v>2.329857089906251E-2</v>
      </c>
      <c r="AX114" s="416">
        <f t="shared" si="136"/>
        <v>-1.5537103430457999E-2</v>
      </c>
      <c r="AY114" s="416">
        <f t="shared" si="136"/>
        <v>1.7400432421117884E-2</v>
      </c>
      <c r="AZ114" s="416">
        <f t="shared" si="136"/>
        <v>-6.7918424086558238E-3</v>
      </c>
      <c r="BA114" s="416">
        <f t="shared" si="136"/>
        <v>5.0951644044573419E-2</v>
      </c>
      <c r="BB114" s="113">
        <f t="shared" si="136"/>
        <v>1.2149550928213904E-2</v>
      </c>
      <c r="BC114" s="416">
        <f t="shared" si="136"/>
        <v>9.5129051840191048E-2</v>
      </c>
      <c r="BD114" s="416">
        <f t="shared" si="136"/>
        <v>5.7018330054882327E-2</v>
      </c>
      <c r="BE114" s="416">
        <f t="shared" si="136"/>
        <v>1.0161974628411841E-2</v>
      </c>
      <c r="BF114" s="416">
        <f t="shared" si="136"/>
        <v>-7.4438974535756541E-2</v>
      </c>
      <c r="BG114" s="113">
        <f t="shared" si="136"/>
        <v>1.3581417090412939E-2</v>
      </c>
      <c r="BH114" s="416">
        <f t="shared" ref="BH114:BR114" si="137">BH104/BC104-1</f>
        <v>2.310717548896779E-3</v>
      </c>
      <c r="BI114" s="416">
        <f t="shared" si="137"/>
        <v>-2.8460220524323399E-3</v>
      </c>
      <c r="BJ114" s="416">
        <f t="shared" si="137"/>
        <v>4.164824180289961E-2</v>
      </c>
      <c r="BK114" s="416">
        <f t="shared" si="137"/>
        <v>5.164631565491451E-2</v>
      </c>
      <c r="BL114" s="113">
        <f t="shared" si="137"/>
        <v>2.6907252865429498E-2</v>
      </c>
      <c r="BM114" s="416">
        <f t="shared" si="137"/>
        <v>2.3587279507643277E-2</v>
      </c>
      <c r="BN114" s="416">
        <f t="shared" si="137"/>
        <v>7.6512645919304401E-3</v>
      </c>
      <c r="BO114" s="416">
        <f t="shared" si="137"/>
        <v>3.7242975326097882E-2</v>
      </c>
      <c r="BP114" s="416">
        <f t="shared" si="137"/>
        <v>1.0604402111829003E-3</v>
      </c>
      <c r="BQ114" s="113">
        <f t="shared" si="137"/>
        <v>1.6831040201826797E-2</v>
      </c>
      <c r="BR114" s="416">
        <f t="shared" si="137"/>
        <v>3.04804158301617E-2</v>
      </c>
      <c r="BS114" s="416">
        <f t="shared" ref="BS114" si="138">BS104/BN104-1</f>
        <v>6.1914986235543923E-2</v>
      </c>
      <c r="BT114" s="416">
        <f t="shared" ref="BT114" si="139">BT104/BO104-1</f>
        <v>1.1037835010642816E-2</v>
      </c>
      <c r="BU114" s="416">
        <f t="shared" ref="BU114:BZ114" si="140">BU104/BP104-1</f>
        <v>0.11320601357780036</v>
      </c>
      <c r="BV114" s="113">
        <f>BV104/BQ104-1</f>
        <v>5.4844173772931937E-2</v>
      </c>
      <c r="BW114" s="416">
        <f t="shared" si="140"/>
        <v>5.2072602398137713E-2</v>
      </c>
      <c r="BX114" s="416">
        <f t="shared" si="140"/>
        <v>6.5353247335497189E-2</v>
      </c>
      <c r="BY114" s="416">
        <f t="shared" si="140"/>
        <v>6.2013484288659937E-2</v>
      </c>
      <c r="BZ114" s="416">
        <f t="shared" si="140"/>
        <v>-2.9269932277348865E-2</v>
      </c>
      <c r="CA114" s="113">
        <f>CA104/BV104-1</f>
        <v>3.5826743837440667E-2</v>
      </c>
      <c r="CB114" s="416">
        <f t="shared" ref="CB114" si="141">CB104/BW104-1</f>
        <v>-1.923405716471549E-2</v>
      </c>
      <c r="CC114" s="416">
        <f t="shared" ref="CC114" si="142">CC104/BX104-1</f>
        <v>-3.8356488090176555E-2</v>
      </c>
      <c r="CD114" s="416">
        <f t="shared" ref="CD114" si="143">CD104/BY104-1</f>
        <v>-4.0401851979246728E-2</v>
      </c>
      <c r="CE114" s="416">
        <f t="shared" ref="CE114" si="144">CE104/BZ104-1</f>
        <v>3.4462855216745192E-2</v>
      </c>
      <c r="CF114" s="113">
        <f>CF104/CA104-1</f>
        <v>-1.5983813817277204E-2</v>
      </c>
      <c r="CG114" s="416"/>
      <c r="CH114" s="416"/>
      <c r="CI114" s="416"/>
      <c r="CJ114" s="416"/>
      <c r="CK114" s="113">
        <f>CK104/CF104-1</f>
        <v>1.2212440825905224E-2</v>
      </c>
      <c r="CL114" s="416"/>
      <c r="CM114" s="416"/>
      <c r="CN114" s="416"/>
      <c r="CO114" s="416"/>
      <c r="CP114" s="113">
        <f>CP104/CK104-1</f>
        <v>5.0972101349455734E-3</v>
      </c>
      <c r="CQ114" s="416"/>
      <c r="CR114" s="416"/>
      <c r="CS114" s="416"/>
      <c r="CT114" s="416"/>
      <c r="CU114" s="113">
        <f>CU104/CP104-1</f>
        <v>-9.4882088439818268E-4</v>
      </c>
      <c r="CV114" s="416"/>
      <c r="CW114" s="416"/>
      <c r="CX114" s="416"/>
      <c r="CY114" s="416"/>
      <c r="CZ114" s="113">
        <f>CZ104/CU104-1</f>
        <v>3.8761099519468711E-3</v>
      </c>
      <c r="DA114" s="416"/>
      <c r="DB114" s="416"/>
      <c r="DC114" s="416"/>
      <c r="DD114" s="416"/>
      <c r="DE114" s="113">
        <f>DE104/CZ104-1</f>
        <v>5.2815206151546334E-3</v>
      </c>
      <c r="DF114" s="416"/>
      <c r="DG114" s="416"/>
      <c r="DH114" s="416"/>
      <c r="DI114" s="416"/>
      <c r="DJ114" s="113">
        <f>DJ104/DE104-1</f>
        <v>-2.2790442651776655E-3</v>
      </c>
      <c r="DK114" s="416"/>
      <c r="DL114" s="416"/>
      <c r="DM114" s="416"/>
      <c r="DN114" s="416"/>
      <c r="DO114" s="113">
        <f>DO104/DJ104-1</f>
        <v>6.7247112367441186E-3</v>
      </c>
      <c r="DP114" s="416"/>
      <c r="DQ114" s="416"/>
      <c r="DR114" s="416"/>
      <c r="DS114" s="416"/>
      <c r="DT114" s="113">
        <f>DT104/DO104-1</f>
        <v>-6.950702494130101E-3</v>
      </c>
      <c r="DU114" s="416"/>
      <c r="DV114" s="416"/>
      <c r="DW114" s="416"/>
      <c r="DX114" s="416"/>
      <c r="DY114" s="113">
        <f>DY104/DT104-1</f>
        <v>-9.3315808839423697E-3</v>
      </c>
      <c r="DZ114" s="416"/>
      <c r="EA114" s="416"/>
      <c r="EB114" s="416"/>
      <c r="EC114" s="416"/>
      <c r="ED114" s="113">
        <f>ED104/DY104-1</f>
        <v>-2.166667220262819E-3</v>
      </c>
      <c r="EE114" s="416"/>
      <c r="EF114" s="416"/>
      <c r="EG114" s="416"/>
      <c r="EH114" s="416"/>
      <c r="EI114" s="113">
        <f>EI104/ED104-1</f>
        <v>-1.0337059536471571E-3</v>
      </c>
      <c r="EJ114" s="416"/>
      <c r="EK114" s="416"/>
      <c r="EL114" s="416"/>
      <c r="EM114" s="416"/>
      <c r="EN114" s="113">
        <f>EN104/EI104-1</f>
        <v>-0.21661265328798673</v>
      </c>
    </row>
    <row r="116" spans="2:144">
      <c r="BS116" s="42"/>
    </row>
    <row r="117" spans="2:144">
      <c r="BQ117" s="42"/>
    </row>
    <row r="118" spans="2:144">
      <c r="B118" s="360" t="s">
        <v>742</v>
      </c>
      <c r="D118" s="51">
        <f>D55+D13</f>
        <v>84.924000000000007</v>
      </c>
      <c r="I118" s="51">
        <f>I55+I13</f>
        <v>122.70000000000002</v>
      </c>
      <c r="N118" s="51">
        <f>N55+N13</f>
        <v>160.852</v>
      </c>
      <c r="S118" s="51">
        <f>S55+S13</f>
        <v>190.834</v>
      </c>
      <c r="X118" s="51">
        <f>X55+X13</f>
        <v>245.88100000000003</v>
      </c>
      <c r="AC118" s="51">
        <f>AC55+AC13</f>
        <v>381.90499999999997</v>
      </c>
      <c r="AH118" s="51">
        <f>AH55+AH13</f>
        <v>584.14099999999996</v>
      </c>
      <c r="AM118" s="51">
        <f>AM55+AM13</f>
        <v>731.07299999999998</v>
      </c>
      <c r="AR118" s="51">
        <f>AR55+AR13</f>
        <v>1039.06</v>
      </c>
      <c r="AW118" s="51">
        <f>AW55+AW13</f>
        <v>1368.8320000000001</v>
      </c>
      <c r="BB118" s="51">
        <f t="shared" ref="BB118:BU118" si="145">BB55+BB13</f>
        <v>1499.2339999999999</v>
      </c>
      <c r="BC118" s="51">
        <f t="shared" si="145"/>
        <v>425.4</v>
      </c>
      <c r="BD118" s="51">
        <f t="shared" si="145"/>
        <v>426.3</v>
      </c>
      <c r="BE118" s="51">
        <f t="shared" si="145"/>
        <v>542.79999999999995</v>
      </c>
      <c r="BF118" s="51">
        <f t="shared" si="145"/>
        <v>687</v>
      </c>
      <c r="BG118" s="51">
        <f t="shared" si="145"/>
        <v>2081.5</v>
      </c>
      <c r="BH118" s="51">
        <f>BH55+BH13</f>
        <v>666.7</v>
      </c>
      <c r="BI118" s="51">
        <f t="shared" si="145"/>
        <v>411.09999999999997</v>
      </c>
      <c r="BJ118" s="51">
        <f t="shared" si="145"/>
        <v>497.5</v>
      </c>
      <c r="BK118" s="51">
        <f>BK55+BK13</f>
        <v>529.59999999999991</v>
      </c>
      <c r="BL118" s="51">
        <f t="shared" si="145"/>
        <v>2104.9</v>
      </c>
      <c r="BM118" s="51">
        <f>BM55+BM13</f>
        <v>449.8</v>
      </c>
      <c r="BN118" s="51">
        <f t="shared" si="145"/>
        <v>1046.4000000000001</v>
      </c>
      <c r="BO118" s="51">
        <f t="shared" si="145"/>
        <v>1239.3</v>
      </c>
      <c r="BP118" s="51">
        <f t="shared" si="145"/>
        <v>711.09999999999991</v>
      </c>
      <c r="BQ118" s="51">
        <f t="shared" si="145"/>
        <v>3446.6</v>
      </c>
      <c r="BR118" s="51">
        <f t="shared" si="145"/>
        <v>671</v>
      </c>
      <c r="BS118" s="51">
        <f t="shared" si="145"/>
        <v>884.80000000000007</v>
      </c>
      <c r="BT118" s="51">
        <f>BT55+BT13</f>
        <v>967.20000000000016</v>
      </c>
      <c r="BU118" s="51">
        <f t="shared" si="145"/>
        <v>800.80000000000007</v>
      </c>
      <c r="BV118" s="51">
        <f>BV55+BV13</f>
        <v>3323.8</v>
      </c>
      <c r="BW118" s="51">
        <f t="shared" ref="BW118:CA118" si="146">BW55+BW13</f>
        <v>605</v>
      </c>
      <c r="BX118" s="51">
        <f t="shared" si="146"/>
        <v>765</v>
      </c>
      <c r="BY118" s="51">
        <f t="shared" si="146"/>
        <v>1282</v>
      </c>
      <c r="BZ118" s="51">
        <f t="shared" si="146"/>
        <v>862</v>
      </c>
      <c r="CA118" s="51">
        <f t="shared" si="146"/>
        <v>3514</v>
      </c>
    </row>
    <row r="119" spans="2:144">
      <c r="B119" s="360" t="s">
        <v>743</v>
      </c>
      <c r="D119" s="62">
        <f t="shared" ref="D119:AI119" si="147">D118/D6</f>
        <v>0.62560959438952157</v>
      </c>
      <c r="E119" s="62">
        <f t="shared" si="147"/>
        <v>0</v>
      </c>
      <c r="F119" s="62">
        <f t="shared" si="147"/>
        <v>0</v>
      </c>
      <c r="G119" s="62">
        <f t="shared" si="147"/>
        <v>0</v>
      </c>
      <c r="H119" s="62">
        <f t="shared" si="147"/>
        <v>0</v>
      </c>
      <c r="I119" s="62">
        <f t="shared" si="147"/>
        <v>0.45197532001105079</v>
      </c>
      <c r="J119" s="62">
        <f t="shared" si="147"/>
        <v>0</v>
      </c>
      <c r="K119" s="62">
        <f t="shared" si="147"/>
        <v>0</v>
      </c>
      <c r="L119" s="62">
        <f t="shared" si="147"/>
        <v>0</v>
      </c>
      <c r="M119" s="62">
        <f t="shared" si="147"/>
        <v>0</v>
      </c>
      <c r="N119" s="62">
        <f t="shared" si="147"/>
        <v>0.42609575578407533</v>
      </c>
      <c r="O119" s="62">
        <f t="shared" si="147"/>
        <v>0</v>
      </c>
      <c r="P119" s="62">
        <f t="shared" si="147"/>
        <v>0</v>
      </c>
      <c r="Q119" s="62">
        <f t="shared" si="147"/>
        <v>0</v>
      </c>
      <c r="R119" s="62">
        <f t="shared" si="147"/>
        <v>0</v>
      </c>
      <c r="S119" s="62">
        <f t="shared" si="147"/>
        <v>0.35540962601105147</v>
      </c>
      <c r="T119" s="62">
        <f t="shared" si="147"/>
        <v>0</v>
      </c>
      <c r="U119" s="62">
        <f t="shared" si="147"/>
        <v>0</v>
      </c>
      <c r="V119" s="62">
        <f t="shared" si="147"/>
        <v>0</v>
      </c>
      <c r="W119" s="62">
        <f t="shared" si="147"/>
        <v>0</v>
      </c>
      <c r="X119" s="62">
        <f t="shared" si="147"/>
        <v>0.27354364854656887</v>
      </c>
      <c r="Y119" s="62">
        <f t="shared" si="147"/>
        <v>0</v>
      </c>
      <c r="Z119" s="62">
        <f t="shared" si="147"/>
        <v>0</v>
      </c>
      <c r="AA119" s="62">
        <f t="shared" si="147"/>
        <v>0</v>
      </c>
      <c r="AB119" s="62">
        <f t="shared" si="147"/>
        <v>0</v>
      </c>
      <c r="AC119" s="62">
        <f t="shared" si="147"/>
        <v>0.2716599564666885</v>
      </c>
      <c r="AD119" s="62">
        <f t="shared" si="147"/>
        <v>0</v>
      </c>
      <c r="AE119" s="62">
        <f t="shared" si="147"/>
        <v>0</v>
      </c>
      <c r="AF119" s="62">
        <f t="shared" si="147"/>
        <v>0</v>
      </c>
      <c r="AG119" s="62">
        <f t="shared" si="147"/>
        <v>0</v>
      </c>
      <c r="AH119" s="62">
        <f t="shared" si="147"/>
        <v>0.26103162144178899</v>
      </c>
      <c r="AI119" s="62">
        <f t="shared" si="147"/>
        <v>0</v>
      </c>
      <c r="AJ119" s="62">
        <f t="shared" ref="AJ119:BO119" si="148">AJ118/AJ6</f>
        <v>0</v>
      </c>
      <c r="AK119" s="62">
        <f t="shared" si="148"/>
        <v>0</v>
      </c>
      <c r="AL119" s="62">
        <f t="shared" si="148"/>
        <v>0</v>
      </c>
      <c r="AM119" s="722">
        <f t="shared" si="148"/>
        <v>0.27306975581933474</v>
      </c>
      <c r="AN119" s="62">
        <f t="shared" si="148"/>
        <v>0</v>
      </c>
      <c r="AO119" s="62">
        <f t="shared" si="148"/>
        <v>0</v>
      </c>
      <c r="AP119" s="62">
        <f t="shared" si="148"/>
        <v>0</v>
      </c>
      <c r="AQ119" s="62">
        <f t="shared" si="148"/>
        <v>0</v>
      </c>
      <c r="AR119" s="722">
        <f t="shared" si="148"/>
        <v>0.28857134604788393</v>
      </c>
      <c r="AS119" s="722">
        <f t="shared" si="148"/>
        <v>0</v>
      </c>
      <c r="AT119" s="722">
        <f t="shared" si="148"/>
        <v>0</v>
      </c>
      <c r="AU119" s="722">
        <f t="shared" si="148"/>
        <v>0</v>
      </c>
      <c r="AV119" s="722">
        <f t="shared" si="148"/>
        <v>0</v>
      </c>
      <c r="AW119" s="722">
        <f t="shared" si="148"/>
        <v>0.28436360795966814</v>
      </c>
      <c r="AX119" s="722">
        <f t="shared" si="148"/>
        <v>0</v>
      </c>
      <c r="AY119" s="722">
        <f t="shared" si="148"/>
        <v>0</v>
      </c>
      <c r="AZ119" s="722">
        <f t="shared" si="148"/>
        <v>0</v>
      </c>
      <c r="BA119" s="722">
        <f t="shared" si="148"/>
        <v>0</v>
      </c>
      <c r="BB119" s="722">
        <f t="shared" si="148"/>
        <v>0.27225569954344814</v>
      </c>
      <c r="BC119" s="722">
        <f t="shared" si="148"/>
        <v>0.29045473166734942</v>
      </c>
      <c r="BD119" s="722">
        <f t="shared" si="148"/>
        <v>0.26660412757973734</v>
      </c>
      <c r="BE119" s="722">
        <f t="shared" si="148"/>
        <v>0.32417582417582413</v>
      </c>
      <c r="BF119" s="722">
        <f t="shared" si="148"/>
        <v>0.39125234922262087</v>
      </c>
      <c r="BG119" s="722">
        <f t="shared" si="148"/>
        <v>0.32166589398856432</v>
      </c>
      <c r="BH119" s="62">
        <f t="shared" si="148"/>
        <v>0.38537572254335262</v>
      </c>
      <c r="BI119" s="62">
        <f t="shared" si="148"/>
        <v>0.21952261440700593</v>
      </c>
      <c r="BJ119" s="62">
        <f t="shared" si="148"/>
        <v>0.25098375542326706</v>
      </c>
      <c r="BK119" s="62">
        <f t="shared" si="148"/>
        <v>0.2539438983457204</v>
      </c>
      <c r="BL119" s="62">
        <f t="shared" si="148"/>
        <v>0.27441854401335003</v>
      </c>
      <c r="BM119" s="62">
        <f t="shared" si="148"/>
        <v>0.21616685890042289</v>
      </c>
      <c r="BN119" s="62">
        <f t="shared" si="148"/>
        <v>0.45939064009131619</v>
      </c>
      <c r="BO119" s="62">
        <f t="shared" si="148"/>
        <v>0.53095411507647483</v>
      </c>
      <c r="BP119" s="62">
        <f>BP118/BP6</f>
        <v>0.27741583115515156</v>
      </c>
      <c r="BQ119" s="8">
        <f>AVERAGE(BG119,BB119,AW119,AR119,AM119,AH119,AC119,X119)+BQ121</f>
        <v>0.28077019122674318</v>
      </c>
      <c r="BR119" s="62">
        <f>BR118/BR6</f>
        <v>0.26716037585602803</v>
      </c>
      <c r="BS119" s="62">
        <f t="shared" ref="BS119:BT119" si="149">BS118/BS6</f>
        <v>0.32124314707911267</v>
      </c>
      <c r="BT119" s="62">
        <f t="shared" si="149"/>
        <v>0.32425908542309245</v>
      </c>
      <c r="BU119" s="62">
        <v>0.3</v>
      </c>
      <c r="BV119" s="8">
        <f>AVERAGE(BR119:BU119)</f>
        <v>0.30316565208955831</v>
      </c>
      <c r="BW119" s="2">
        <f t="shared" ref="BW119:CA119" si="150">BW118/BW6</f>
        <v>0.20439189189189189</v>
      </c>
      <c r="BX119" s="2">
        <f t="shared" si="150"/>
        <v>0.23408812729498163</v>
      </c>
      <c r="BY119" s="2">
        <f t="shared" si="150"/>
        <v>0.38942891859052248</v>
      </c>
      <c r="BZ119" s="2">
        <f t="shared" si="150"/>
        <v>0.24748779787539477</v>
      </c>
      <c r="CA119" s="2">
        <f t="shared" si="150"/>
        <v>0.27024532800123047</v>
      </c>
    </row>
    <row r="120" spans="2:144">
      <c r="B120" s="360" t="s">
        <v>744</v>
      </c>
      <c r="D120" s="361">
        <f>D100-D119</f>
        <v>0</v>
      </c>
      <c r="E120" s="361">
        <f t="shared" ref="E120:BS120" si="151">E100-E119</f>
        <v>0.50359551019576687</v>
      </c>
      <c r="F120" s="361">
        <f t="shared" si="151"/>
        <v>0.45354159854947534</v>
      </c>
      <c r="G120" s="361">
        <f t="shared" si="151"/>
        <v>0.44758650379379</v>
      </c>
      <c r="H120" s="361">
        <f t="shared" si="151"/>
        <v>0.42333597464342299</v>
      </c>
      <c r="I120" s="361">
        <f t="shared" si="151"/>
        <v>0</v>
      </c>
      <c r="J120" s="361">
        <f t="shared" si="151"/>
        <v>0.45525080544930191</v>
      </c>
      <c r="K120" s="361">
        <f t="shared" si="151"/>
        <v>0.4403040351896802</v>
      </c>
      <c r="L120" s="361">
        <f t="shared" si="151"/>
        <v>0.3957306737099382</v>
      </c>
      <c r="M120" s="361">
        <f t="shared" si="151"/>
        <v>0.42057528840315722</v>
      </c>
      <c r="N120" s="361">
        <f t="shared" si="151"/>
        <v>0</v>
      </c>
      <c r="O120" s="361">
        <f t="shared" si="151"/>
        <v>0.35621374426136154</v>
      </c>
      <c r="P120" s="361">
        <f t="shared" si="151"/>
        <v>0.33649734730715636</v>
      </c>
      <c r="Q120" s="361">
        <f t="shared" si="151"/>
        <v>0.38104798233286485</v>
      </c>
      <c r="R120" s="361">
        <f t="shared" si="151"/>
        <v>0.35102251268933576</v>
      </c>
      <c r="S120" s="361">
        <f t="shared" si="151"/>
        <v>0</v>
      </c>
      <c r="T120" s="361">
        <f t="shared" si="151"/>
        <v>0.27813309429666577</v>
      </c>
      <c r="U120" s="361">
        <f t="shared" si="151"/>
        <v>0.27183771972074494</v>
      </c>
      <c r="V120" s="361">
        <f t="shared" si="151"/>
        <v>0.2616699136983896</v>
      </c>
      <c r="W120" s="361">
        <f t="shared" si="151"/>
        <v>0.2823054038130014</v>
      </c>
      <c r="X120" s="361">
        <f t="shared" si="151"/>
        <v>0</v>
      </c>
      <c r="Y120" s="361">
        <f t="shared" si="151"/>
        <v>0.26233491811938725</v>
      </c>
      <c r="Z120" s="361">
        <f t="shared" si="151"/>
        <v>0.24889122667839395</v>
      </c>
      <c r="AA120" s="361">
        <f t="shared" si="151"/>
        <v>0.24084902317180512</v>
      </c>
      <c r="AB120" s="361">
        <f t="shared" si="151"/>
        <v>0.22435659326081189</v>
      </c>
      <c r="AC120" s="361">
        <f t="shared" si="151"/>
        <v>-2.9200039834402697E-2</v>
      </c>
      <c r="AD120" s="361">
        <f t="shared" si="151"/>
        <v>0.22181515295465046</v>
      </c>
      <c r="AE120" s="361">
        <f t="shared" si="151"/>
        <v>0.23503790051445864</v>
      </c>
      <c r="AF120" s="361">
        <f t="shared" si="151"/>
        <v>0.25555953233118589</v>
      </c>
      <c r="AG120" s="361">
        <f t="shared" si="151"/>
        <v>0.24662559367897302</v>
      </c>
      <c r="AH120" s="361">
        <f t="shared" si="151"/>
        <v>-2.0108882897931307E-2</v>
      </c>
      <c r="AI120" s="361">
        <f t="shared" si="151"/>
        <v>0.27869812444476971</v>
      </c>
      <c r="AJ120" s="361">
        <f t="shared" si="151"/>
        <v>0.26995884379327029</v>
      </c>
      <c r="AK120" s="361">
        <f t="shared" si="151"/>
        <v>0.2574039163001004</v>
      </c>
      <c r="AL120" s="361">
        <f t="shared" si="151"/>
        <v>0.23995745304196242</v>
      </c>
      <c r="AM120" s="361">
        <f t="shared" si="151"/>
        <v>-1.2886410215897759E-2</v>
      </c>
      <c r="AN120" s="361">
        <f t="shared" si="151"/>
        <v>0.23517898793225844</v>
      </c>
      <c r="AO120" s="361">
        <f t="shared" si="151"/>
        <v>0.23702245552639256</v>
      </c>
      <c r="AP120" s="361">
        <f t="shared" si="151"/>
        <v>0.25584927020401688</v>
      </c>
      <c r="AQ120" s="361">
        <f t="shared" si="151"/>
        <v>0.28334488356417969</v>
      </c>
      <c r="AR120" s="361">
        <f t="shared" si="151"/>
        <v>-3.3653418886973152E-2</v>
      </c>
      <c r="AS120" s="361">
        <f t="shared" si="151"/>
        <v>0.25105555716081313</v>
      </c>
      <c r="AT120" s="361">
        <f t="shared" si="151"/>
        <v>0.2600645868575866</v>
      </c>
      <c r="AU120" s="361">
        <f t="shared" si="151"/>
        <v>0.24619052463851943</v>
      </c>
      <c r="AV120" s="361">
        <f t="shared" si="151"/>
        <v>0.27237537690715419</v>
      </c>
      <c r="AW120" s="361">
        <f t="shared" si="151"/>
        <v>-2.6690457256295985E-2</v>
      </c>
      <c r="AX120" s="361">
        <f t="shared" si="151"/>
        <v>0.24728498187370018</v>
      </c>
      <c r="AY120" s="361">
        <f t="shared" si="151"/>
        <v>0.25501256983648968</v>
      </c>
      <c r="AZ120" s="361">
        <f t="shared" si="151"/>
        <v>0.23119166377194733</v>
      </c>
      <c r="BA120" s="361">
        <f t="shared" si="151"/>
        <v>0.21984648441008414</v>
      </c>
      <c r="BB120" s="361">
        <f t="shared" si="151"/>
        <v>-3.4412543381142247E-2</v>
      </c>
      <c r="BC120" s="361">
        <f t="shared" si="151"/>
        <v>-6.5342072920934052E-2</v>
      </c>
      <c r="BD120" s="361">
        <f t="shared" si="151"/>
        <v>-5.1156973108192616E-2</v>
      </c>
      <c r="BE120" s="361">
        <f t="shared" si="151"/>
        <v>-0.10230530339225988</v>
      </c>
      <c r="BF120" s="361">
        <f t="shared" si="151"/>
        <v>-0.129278432712569</v>
      </c>
      <c r="BG120" s="361">
        <f t="shared" si="151"/>
        <v>-8.8981610261165189E-2</v>
      </c>
      <c r="BH120" s="361">
        <f t="shared" si="151"/>
        <v>-0.17861271676300577</v>
      </c>
      <c r="BI120" s="361">
        <f t="shared" si="151"/>
        <v>-7.4758370267528074E-3</v>
      </c>
      <c r="BJ120" s="361">
        <f t="shared" si="151"/>
        <v>-3.965291090707293E-2</v>
      </c>
      <c r="BK120" s="361">
        <f t="shared" si="151"/>
        <v>-2.4934068568688517E-2</v>
      </c>
      <c r="BL120" s="361">
        <f t="shared" si="151"/>
        <v>-5.9136420525657069E-2</v>
      </c>
      <c r="BM120" s="361">
        <f t="shared" si="151"/>
        <v>-9.13110342176085E-3</v>
      </c>
      <c r="BN120" s="361">
        <f t="shared" si="151"/>
        <v>-0.25002195100535607</v>
      </c>
      <c r="BO120" s="361">
        <f t="shared" si="151"/>
        <v>-0.32209416905873778</v>
      </c>
      <c r="BP120" s="361">
        <f t="shared" si="151"/>
        <v>-2.4187570709632122E-2</v>
      </c>
      <c r="BQ120" s="361">
        <f t="shared" si="151"/>
        <v>-5.9908047752240151E-2</v>
      </c>
      <c r="BR120" s="361">
        <f t="shared" si="151"/>
        <v>-3.1852205765249247E-2</v>
      </c>
      <c r="BS120" s="361">
        <f t="shared" si="151"/>
        <v>-0.10311149838434447</v>
      </c>
      <c r="BT120" s="361">
        <f t="shared" ref="BT120:BU120" si="152">BT100-BT119</f>
        <v>-0.10848866836529433</v>
      </c>
      <c r="BU120" s="361">
        <f t="shared" si="152"/>
        <v>-7.4266062741150746E-2</v>
      </c>
      <c r="BV120" s="361">
        <f>BV100-BV119</f>
        <v>-7.9801565600761237E-2</v>
      </c>
      <c r="BW120" s="2">
        <f t="shared" ref="BW120:CA120" si="153">BW100-BW119</f>
        <v>-3.3783783783783716E-3</v>
      </c>
      <c r="BX120" s="2">
        <f t="shared" si="153"/>
        <v>-2.2949816401468787E-2</v>
      </c>
      <c r="BY120" s="2">
        <f t="shared" si="153"/>
        <v>-0.17739975698663427</v>
      </c>
      <c r="BZ120" s="2">
        <f t="shared" si="153"/>
        <v>-2.7562446167097326E-2</v>
      </c>
      <c r="CA120" s="2">
        <f t="shared" si="153"/>
        <v>-5.8832577097592847E-2</v>
      </c>
    </row>
    <row r="121" spans="2:144">
      <c r="BQ121" s="4"/>
      <c r="BV121" s="7"/>
    </row>
    <row r="122" spans="2:144">
      <c r="B122" s="25" t="s">
        <v>760</v>
      </c>
    </row>
    <row r="123" spans="2:144">
      <c r="B123" t="s">
        <v>80</v>
      </c>
      <c r="D123" s="370">
        <f>REVS!C67</f>
        <v>0</v>
      </c>
      <c r="E123" s="370">
        <f>REVS!D67</f>
        <v>0</v>
      </c>
      <c r="F123" s="370">
        <f>REVS!E67</f>
        <v>0</v>
      </c>
      <c r="G123" s="370">
        <f>REVS!F67</f>
        <v>0</v>
      </c>
      <c r="H123" s="370">
        <f>REVS!G67</f>
        <v>0</v>
      </c>
      <c r="I123" s="370">
        <f>SUM(E123:H123)</f>
        <v>0</v>
      </c>
      <c r="J123" s="370">
        <f>REVS!I67</f>
        <v>0</v>
      </c>
      <c r="K123" s="370">
        <f>REVS!J67</f>
        <v>0</v>
      </c>
      <c r="L123" s="370">
        <f>REVS!K67</f>
        <v>0</v>
      </c>
      <c r="M123" s="370">
        <f>REVS!L67</f>
        <v>0</v>
      </c>
      <c r="N123" s="370">
        <f>SUM(J123:M123)</f>
        <v>0</v>
      </c>
      <c r="O123" s="370">
        <f>REVS!N67</f>
        <v>0</v>
      </c>
      <c r="P123" s="370">
        <f>REVS!O67</f>
        <v>0</v>
      </c>
      <c r="Q123" s="370">
        <f>REVS!P67</f>
        <v>0</v>
      </c>
      <c r="R123" s="370">
        <f>REVS!Q67</f>
        <v>0</v>
      </c>
      <c r="S123" s="370">
        <f>SUM(O123:R123)</f>
        <v>0</v>
      </c>
      <c r="T123" s="370">
        <f>REVS!S67</f>
        <v>0</v>
      </c>
      <c r="U123" s="370">
        <f>REVS!T67</f>
        <v>0</v>
      </c>
      <c r="V123" s="370">
        <f>REVS!U67</f>
        <v>0</v>
      </c>
      <c r="W123" s="370">
        <f>REVS!V67</f>
        <v>0</v>
      </c>
      <c r="X123" s="370">
        <f>SUM(T123:W123)</f>
        <v>0</v>
      </c>
      <c r="Y123" s="370">
        <f>REVS!X67</f>
        <v>0</v>
      </c>
      <c r="Z123" s="370">
        <f>REVS!Y67</f>
        <v>0</v>
      </c>
      <c r="AA123" s="370">
        <f>REVS!Z67</f>
        <v>0</v>
      </c>
      <c r="AB123" s="370">
        <f>REVS!AA67</f>
        <v>0</v>
      </c>
      <c r="AC123" s="370">
        <f>SUM(Y123:AB123)</f>
        <v>0</v>
      </c>
      <c r="AD123" s="370">
        <f>REVS!AC67</f>
        <v>0</v>
      </c>
      <c r="AE123" s="370">
        <f>REVS!AD67</f>
        <v>0</v>
      </c>
      <c r="AF123" s="370">
        <f>REVS!AE67</f>
        <v>0</v>
      </c>
      <c r="AG123" s="370">
        <f>REVS!AF67</f>
        <v>0</v>
      </c>
      <c r="AH123" s="370">
        <f>SUM(AD123:AG123)</f>
        <v>0</v>
      </c>
      <c r="AI123" s="370">
        <f>REVS!AH67</f>
        <v>0</v>
      </c>
      <c r="AJ123" s="370">
        <f>REVS!AI67</f>
        <v>0</v>
      </c>
      <c r="AK123" s="370">
        <f>REVS!AJ67</f>
        <v>0</v>
      </c>
      <c r="AL123" s="370">
        <f>REVS!AK67</f>
        <v>0</v>
      </c>
      <c r="AM123" s="370">
        <f>SUM(AI123:AL123)</f>
        <v>0</v>
      </c>
      <c r="AN123" s="370">
        <f>REVS!AM67</f>
        <v>0</v>
      </c>
      <c r="AO123" s="370">
        <f>REVS!AN67</f>
        <v>0</v>
      </c>
      <c r="AP123" s="370">
        <f>REVS!AO67</f>
        <v>0</v>
      </c>
      <c r="AQ123" s="370">
        <f>REVS!AP67</f>
        <v>15.864000000000001</v>
      </c>
      <c r="AR123" s="370">
        <f>SUM(AN123:AQ123)</f>
        <v>15.864000000000001</v>
      </c>
      <c r="AS123" s="370">
        <f>REVS!AR67</f>
        <v>15.831</v>
      </c>
      <c r="AT123" s="370">
        <f>REVS!AS67</f>
        <v>5.4340000000000002</v>
      </c>
      <c r="AU123" s="370">
        <f>REVS!AT67</f>
        <v>0</v>
      </c>
      <c r="AV123" s="370">
        <f>REVS!AU67</f>
        <v>0</v>
      </c>
      <c r="AW123" s="370">
        <f>SUM(AS123:AV123)</f>
        <v>21.265000000000001</v>
      </c>
      <c r="AX123" s="370">
        <f>REVS!AW67</f>
        <v>0</v>
      </c>
      <c r="AY123" s="370">
        <f>REVS!AX67</f>
        <v>0</v>
      </c>
      <c r="AZ123" s="370">
        <f>REVS!AY67</f>
        <v>0</v>
      </c>
      <c r="BA123" s="370">
        <f>REVS!AZ67</f>
        <v>0</v>
      </c>
      <c r="BB123" s="370">
        <f>REVS!BA67</f>
        <v>0</v>
      </c>
      <c r="BC123" s="370">
        <f>REVS!BB67</f>
        <v>0</v>
      </c>
      <c r="BD123" s="370">
        <f>REVS!BC67</f>
        <v>0</v>
      </c>
      <c r="BE123" s="370">
        <f>REVS!BD67</f>
        <v>0</v>
      </c>
      <c r="BF123" s="370">
        <f>REVS!BE67</f>
        <v>0</v>
      </c>
      <c r="BG123" s="370">
        <f>REVS!BF67</f>
        <v>0</v>
      </c>
      <c r="BH123" s="370">
        <f>REVS!BG67</f>
        <v>0</v>
      </c>
      <c r="BI123" s="370">
        <f>REVS!BH67</f>
        <v>0</v>
      </c>
      <c r="BJ123" s="370">
        <f>REVS!BI67</f>
        <v>0</v>
      </c>
      <c r="BK123" s="370">
        <f>REVS!BJ67</f>
        <v>0</v>
      </c>
      <c r="BL123" s="370">
        <f>REVS!BK67</f>
        <v>0</v>
      </c>
      <c r="BM123" s="370">
        <f>REVS!BL67</f>
        <v>0</v>
      </c>
      <c r="BN123" s="370">
        <f>REVS!BM67</f>
        <v>0</v>
      </c>
      <c r="BO123" s="370">
        <f>REVS!BN67</f>
        <v>0</v>
      </c>
      <c r="BP123" s="370">
        <f>REVS!BO67</f>
        <v>0</v>
      </c>
      <c r="BQ123" s="370">
        <f>REVS!BP67</f>
        <v>0</v>
      </c>
      <c r="BR123" s="370">
        <f>REVS!BQ67</f>
        <v>0</v>
      </c>
      <c r="BS123" s="370">
        <f>REVS!BR67</f>
        <v>0</v>
      </c>
      <c r="BT123" s="370">
        <f>REVS!BS67</f>
        <v>0</v>
      </c>
      <c r="BU123" s="370">
        <f>REVS!BT67</f>
        <v>0</v>
      </c>
      <c r="BV123" s="370">
        <f>REVS!BU67</f>
        <v>0</v>
      </c>
      <c r="BW123" s="370">
        <f>REVS!BV67</f>
        <v>0</v>
      </c>
      <c r="BX123" s="370">
        <f>REVS!BW67</f>
        <v>0</v>
      </c>
      <c r="BY123" s="370">
        <f>REVS!BX67</f>
        <v>0</v>
      </c>
      <c r="BZ123" s="370">
        <f>REVS!BY67</f>
        <v>0</v>
      </c>
      <c r="CA123" s="370">
        <f>REVS!BZ67</f>
        <v>0</v>
      </c>
      <c r="CB123" s="370">
        <f>REVS!CA67</f>
        <v>0</v>
      </c>
      <c r="CC123" s="370">
        <f>REVS!CB67</f>
        <v>0</v>
      </c>
      <c r="CD123" s="370">
        <f>REVS!CC67</f>
        <v>0</v>
      </c>
      <c r="CE123" s="370">
        <f>REVS!CD67</f>
        <v>0</v>
      </c>
      <c r="CF123" s="370">
        <f>REVS!CE67</f>
        <v>0</v>
      </c>
      <c r="CG123" s="370">
        <f>REVS!CF67</f>
        <v>0</v>
      </c>
      <c r="CH123" s="370">
        <f>REVS!CG67</f>
        <v>0</v>
      </c>
      <c r="CI123" s="370">
        <f>REVS!CH67</f>
        <v>0</v>
      </c>
      <c r="CJ123" s="370">
        <f>REVS!CI67</f>
        <v>0</v>
      </c>
      <c r="CK123" s="370">
        <f>REVS!CJ67</f>
        <v>0</v>
      </c>
      <c r="CL123" s="370">
        <f>REVS!CK67</f>
        <v>0</v>
      </c>
      <c r="CM123" s="370">
        <f>REVS!CL67</f>
        <v>0</v>
      </c>
      <c r="CN123" s="370">
        <f>REVS!CM67</f>
        <v>0</v>
      </c>
      <c r="CO123" s="370">
        <f>REVS!CN67</f>
        <v>0</v>
      </c>
      <c r="CP123" s="370">
        <f>REVS!CO67</f>
        <v>0</v>
      </c>
      <c r="CQ123" s="370">
        <f>REVS!CP67</f>
        <v>0</v>
      </c>
      <c r="CR123" s="370">
        <f>REVS!CQ67</f>
        <v>0</v>
      </c>
      <c r="CS123" s="370">
        <f>REVS!CR67</f>
        <v>0</v>
      </c>
      <c r="CT123" s="370">
        <f>REVS!CS67</f>
        <v>0</v>
      </c>
      <c r="CU123" s="370">
        <f>REVS!CT67</f>
        <v>0</v>
      </c>
      <c r="CV123" s="370">
        <f>REVS!CU67</f>
        <v>0</v>
      </c>
      <c r="CW123" s="370">
        <f>REVS!CV67</f>
        <v>0</v>
      </c>
      <c r="CX123" s="370">
        <f>REVS!CW67</f>
        <v>0</v>
      </c>
      <c r="CY123" s="370">
        <f>REVS!CX67</f>
        <v>0</v>
      </c>
      <c r="CZ123" s="370">
        <f>REVS!CY67</f>
        <v>0</v>
      </c>
      <c r="DA123" s="370">
        <f>REVS!CZ67</f>
        <v>0</v>
      </c>
      <c r="DB123" s="370">
        <f>REVS!DA67</f>
        <v>0</v>
      </c>
      <c r="DC123" s="370">
        <f>REVS!DB67</f>
        <v>0</v>
      </c>
      <c r="DD123" s="370">
        <f>REVS!DC67</f>
        <v>0</v>
      </c>
      <c r="DE123" s="370">
        <f>REVS!DD67</f>
        <v>0</v>
      </c>
      <c r="DF123" s="370">
        <f>REVS!DE67</f>
        <v>0</v>
      </c>
      <c r="DG123" s="370">
        <f>REVS!DF67</f>
        <v>0</v>
      </c>
      <c r="DH123" s="370">
        <f>REVS!DG67</f>
        <v>0</v>
      </c>
      <c r="DI123" s="370">
        <f>REVS!DH67</f>
        <v>0</v>
      </c>
      <c r="DJ123" s="370">
        <f>REVS!DI67</f>
        <v>0</v>
      </c>
      <c r="DK123" s="370">
        <f>REVS!DJ67</f>
        <v>0</v>
      </c>
      <c r="DL123" s="370">
        <f>REVS!DK67</f>
        <v>0</v>
      </c>
      <c r="DM123" s="370">
        <f>REVS!DL67</f>
        <v>0</v>
      </c>
      <c r="DN123" s="370">
        <f>REVS!DM67</f>
        <v>0</v>
      </c>
      <c r="DO123" s="370">
        <f>REVS!DN67</f>
        <v>0</v>
      </c>
      <c r="DP123" s="370">
        <f>REVS!DO67</f>
        <v>0</v>
      </c>
      <c r="DQ123" s="370">
        <f>REVS!DP67</f>
        <v>0</v>
      </c>
      <c r="DR123" s="370">
        <f>REVS!DQ67</f>
        <v>0</v>
      </c>
      <c r="DS123" s="370">
        <f>REVS!DR67</f>
        <v>0</v>
      </c>
      <c r="DT123" s="370">
        <f>REVS!DS67</f>
        <v>0</v>
      </c>
      <c r="DU123" s="370">
        <f>REVS!DT67</f>
        <v>0</v>
      </c>
      <c r="DV123" s="370">
        <f>REVS!DU67</f>
        <v>0</v>
      </c>
      <c r="DW123" s="370">
        <f>REVS!DV67</f>
        <v>0</v>
      </c>
      <c r="DX123" s="370">
        <f>REVS!DW67</f>
        <v>0</v>
      </c>
      <c r="DY123" s="370">
        <f>REVS!DX67</f>
        <v>0</v>
      </c>
      <c r="DZ123" s="370"/>
      <c r="EA123" s="370"/>
      <c r="EB123" s="370"/>
      <c r="EC123" s="370"/>
      <c r="ED123" s="370">
        <f>REVS!EC67</f>
        <v>0</v>
      </c>
      <c r="EE123" s="370"/>
      <c r="EF123" s="370"/>
      <c r="EG123" s="370"/>
      <c r="EH123" s="370"/>
      <c r="EI123" s="370">
        <f>REVS!EH67</f>
        <v>0</v>
      </c>
      <c r="EJ123" s="370"/>
      <c r="EK123" s="370"/>
      <c r="EL123" s="370"/>
      <c r="EM123" s="370"/>
      <c r="EN123" s="370">
        <f>REVS!EM67</f>
        <v>0</v>
      </c>
    </row>
    <row r="124" spans="2:144">
      <c r="B124" t="s">
        <v>81</v>
      </c>
      <c r="D124" s="370">
        <f>REVS!C68</f>
        <v>0</v>
      </c>
      <c r="E124" s="370">
        <f>REVS!D68</f>
        <v>0</v>
      </c>
      <c r="F124" s="370">
        <f>REVS!E68</f>
        <v>0</v>
      </c>
      <c r="G124" s="370">
        <f>REVS!F68</f>
        <v>0</v>
      </c>
      <c r="H124" s="370">
        <f>REVS!G68</f>
        <v>0</v>
      </c>
      <c r="I124" s="370">
        <f>SUM(E124:H124)</f>
        <v>0</v>
      </c>
      <c r="J124" s="370">
        <f>REVS!I68</f>
        <v>0</v>
      </c>
      <c r="K124" s="370">
        <f>REVS!J68</f>
        <v>0</v>
      </c>
      <c r="L124" s="370">
        <f>REVS!K68</f>
        <v>0</v>
      </c>
      <c r="M124" s="370">
        <f>REVS!L68</f>
        <v>0</v>
      </c>
      <c r="N124" s="370">
        <f>SUM(J124:M124)</f>
        <v>0</v>
      </c>
      <c r="O124" s="370">
        <f>REVS!N68</f>
        <v>0</v>
      </c>
      <c r="P124" s="370">
        <f>REVS!O68</f>
        <v>0</v>
      </c>
      <c r="Q124" s="370">
        <f>REVS!P68</f>
        <v>0</v>
      </c>
      <c r="R124" s="370">
        <f>REVS!Q68</f>
        <v>0</v>
      </c>
      <c r="S124" s="370">
        <f>SUM(O124:R124)</f>
        <v>0</v>
      </c>
      <c r="T124" s="370">
        <f>REVS!S68</f>
        <v>0</v>
      </c>
      <c r="U124" s="370">
        <f>REVS!T68</f>
        <v>0</v>
      </c>
      <c r="V124" s="370">
        <f>REVS!U68</f>
        <v>0</v>
      </c>
      <c r="W124" s="370">
        <f>REVS!V68</f>
        <v>0</v>
      </c>
      <c r="X124" s="370">
        <f>SUM(T124:W124)</f>
        <v>0</v>
      </c>
      <c r="Y124" s="370">
        <f>REVS!X68</f>
        <v>0</v>
      </c>
      <c r="Z124" s="370">
        <f>REVS!Y68</f>
        <v>0</v>
      </c>
      <c r="AA124" s="370">
        <f>REVS!Z68</f>
        <v>0</v>
      </c>
      <c r="AB124" s="370">
        <f>REVS!AA68</f>
        <v>0</v>
      </c>
      <c r="AC124" s="370">
        <f>SUM(Y124:AB124)</f>
        <v>0</v>
      </c>
      <c r="AD124" s="370">
        <f>REVS!AC68</f>
        <v>1.5780000000000001</v>
      </c>
      <c r="AE124" s="370">
        <f>REVS!AD68</f>
        <v>4.8490000000000002</v>
      </c>
      <c r="AF124" s="370">
        <f>REVS!AE68</f>
        <v>5.7249999999999996</v>
      </c>
      <c r="AG124" s="370">
        <f>REVS!AF68</f>
        <v>4.8120000000000003</v>
      </c>
      <c r="AH124" s="370">
        <f>SUM(AD124:AG124)</f>
        <v>16.964000000000002</v>
      </c>
      <c r="AI124" s="370">
        <f>REVS!AH68</f>
        <v>3.9510000000000001</v>
      </c>
      <c r="AJ124" s="370">
        <f>REVS!AI68</f>
        <v>2.5150000000000001</v>
      </c>
      <c r="AK124" s="370">
        <f>REVS!AJ68</f>
        <v>2.9020000000000001</v>
      </c>
      <c r="AL124" s="370">
        <f>REVS!AK68</f>
        <v>3.286</v>
      </c>
      <c r="AM124" s="370">
        <f>SUM(AI124:AL124)</f>
        <v>12.654</v>
      </c>
      <c r="AN124" s="370">
        <f>REVS!AM68</f>
        <v>2.3740000000000001</v>
      </c>
      <c r="AO124" s="370">
        <f>REVS!AN68</f>
        <v>2.3000000000000003</v>
      </c>
      <c r="AP124" s="370">
        <f>REVS!AO68</f>
        <v>2.0489999999999999</v>
      </c>
      <c r="AQ124" s="370">
        <f>REVS!AP68</f>
        <v>1.5109999999999999</v>
      </c>
      <c r="AR124" s="370">
        <f>SUM(AN124:AQ124)</f>
        <v>8.234</v>
      </c>
      <c r="AS124" s="370">
        <f>REVS!AR68</f>
        <v>1.0720000000000001</v>
      </c>
      <c r="AT124" s="370">
        <f>REVS!AS68</f>
        <v>1.131</v>
      </c>
      <c r="AU124" s="370">
        <f>REVS!AT68</f>
        <v>1.468</v>
      </c>
      <c r="AV124" s="370">
        <f>REVS!AU68</f>
        <v>1.752</v>
      </c>
      <c r="AW124" s="370">
        <f>SUM(AS124:AV124)</f>
        <v>5.423</v>
      </c>
      <c r="AX124" s="370">
        <f>REVS!AW68</f>
        <v>0</v>
      </c>
      <c r="AY124" s="370">
        <f>REVS!AX68</f>
        <v>0</v>
      </c>
      <c r="AZ124" s="370">
        <f>REVS!AY68</f>
        <v>0</v>
      </c>
      <c r="BA124" s="370">
        <f>REVS!AZ68</f>
        <v>0</v>
      </c>
      <c r="BB124" s="370">
        <f>REVS!BA68</f>
        <v>0</v>
      </c>
      <c r="BC124" s="370">
        <f>REVS!BB68</f>
        <v>0</v>
      </c>
      <c r="BD124" s="370">
        <f>REVS!BC68</f>
        <v>0</v>
      </c>
      <c r="BE124" s="370">
        <f>REVS!BD68</f>
        <v>0</v>
      </c>
      <c r="BF124" s="370">
        <f>REVS!BE68</f>
        <v>0</v>
      </c>
      <c r="BG124" s="370">
        <f>REVS!BF68</f>
        <v>0</v>
      </c>
      <c r="BH124" s="370">
        <f>REVS!BG68</f>
        <v>0</v>
      </c>
      <c r="BI124" s="370">
        <f>REVS!BH68</f>
        <v>0</v>
      </c>
      <c r="BJ124" s="370">
        <f>REVS!BI68</f>
        <v>0</v>
      </c>
      <c r="BK124" s="370">
        <f>REVS!BJ68</f>
        <v>0</v>
      </c>
      <c r="BL124" s="370">
        <f>REVS!BK68</f>
        <v>0</v>
      </c>
      <c r="BM124" s="370">
        <f>REVS!BL68</f>
        <v>0</v>
      </c>
      <c r="BN124" s="370">
        <f>REVS!BM68</f>
        <v>0</v>
      </c>
      <c r="BO124" s="370">
        <f>REVS!BN68</f>
        <v>0</v>
      </c>
      <c r="BP124" s="370">
        <f>REVS!BO68</f>
        <v>0</v>
      </c>
      <c r="BQ124" s="370">
        <f>REVS!BP68</f>
        <v>0</v>
      </c>
      <c r="BR124" s="370">
        <f>REVS!BQ68</f>
        <v>0</v>
      </c>
      <c r="BS124" s="370">
        <f>REVS!BR68</f>
        <v>0</v>
      </c>
      <c r="BT124" s="370">
        <f>REVS!BS68</f>
        <v>0</v>
      </c>
      <c r="BU124" s="370">
        <f>REVS!BT68</f>
        <v>0</v>
      </c>
      <c r="BV124" s="370">
        <f>REVS!BU68</f>
        <v>0</v>
      </c>
      <c r="BW124" s="370">
        <f>REVS!BV68</f>
        <v>0</v>
      </c>
      <c r="BX124" s="370">
        <f>REVS!BW68</f>
        <v>0</v>
      </c>
      <c r="BY124" s="370">
        <f>REVS!BX68</f>
        <v>0</v>
      </c>
      <c r="BZ124" s="370">
        <f>REVS!BY68</f>
        <v>0</v>
      </c>
      <c r="CA124" s="370">
        <f>REVS!BZ68</f>
        <v>0</v>
      </c>
      <c r="CB124" s="370">
        <f>REVS!CA68</f>
        <v>0</v>
      </c>
      <c r="CC124" s="370">
        <f>REVS!CB68</f>
        <v>0</v>
      </c>
      <c r="CD124" s="370">
        <f>REVS!CC68</f>
        <v>0</v>
      </c>
      <c r="CE124" s="370">
        <f>REVS!CD68</f>
        <v>0</v>
      </c>
      <c r="CF124" s="370">
        <f>REVS!CE68</f>
        <v>0</v>
      </c>
      <c r="CG124" s="370">
        <f>REVS!CF68</f>
        <v>0</v>
      </c>
      <c r="CH124" s="370">
        <f>REVS!CG68</f>
        <v>0</v>
      </c>
      <c r="CI124" s="370">
        <f>REVS!CH68</f>
        <v>0</v>
      </c>
      <c r="CJ124" s="370">
        <f>REVS!CI68</f>
        <v>0</v>
      </c>
      <c r="CK124" s="370">
        <f>REVS!CJ68</f>
        <v>0</v>
      </c>
      <c r="CL124" s="370">
        <f>REVS!CK68</f>
        <v>0</v>
      </c>
      <c r="CM124" s="370">
        <f>REVS!CL68</f>
        <v>0</v>
      </c>
      <c r="CN124" s="370">
        <f>REVS!CM68</f>
        <v>0</v>
      </c>
      <c r="CO124" s="370">
        <f>REVS!CN68</f>
        <v>0</v>
      </c>
      <c r="CP124" s="370">
        <f>REVS!CO68</f>
        <v>0</v>
      </c>
      <c r="CQ124" s="370">
        <f>REVS!CP68</f>
        <v>0</v>
      </c>
      <c r="CR124" s="370">
        <f>REVS!CQ68</f>
        <v>0</v>
      </c>
      <c r="CS124" s="370">
        <f>REVS!CR68</f>
        <v>0</v>
      </c>
      <c r="CT124" s="370">
        <f>REVS!CS68</f>
        <v>0</v>
      </c>
      <c r="CU124" s="370">
        <f>REVS!CT68</f>
        <v>0</v>
      </c>
      <c r="CV124" s="370">
        <f>REVS!CU68</f>
        <v>0</v>
      </c>
      <c r="CW124" s="370">
        <f>REVS!CV68</f>
        <v>0</v>
      </c>
      <c r="CX124" s="370">
        <f>REVS!CW68</f>
        <v>0</v>
      </c>
      <c r="CY124" s="370">
        <f>REVS!CX68</f>
        <v>0</v>
      </c>
      <c r="CZ124" s="370">
        <f>REVS!CY68</f>
        <v>0</v>
      </c>
      <c r="DA124" s="370">
        <f>REVS!CZ68</f>
        <v>0</v>
      </c>
      <c r="DB124" s="370">
        <f>REVS!DA68</f>
        <v>0</v>
      </c>
      <c r="DC124" s="370">
        <f>REVS!DB68</f>
        <v>0</v>
      </c>
      <c r="DD124" s="370">
        <f>REVS!DC68</f>
        <v>0</v>
      </c>
      <c r="DE124" s="370">
        <f>REVS!DD68</f>
        <v>0</v>
      </c>
      <c r="DF124" s="370">
        <f>REVS!DE68</f>
        <v>0</v>
      </c>
      <c r="DG124" s="370">
        <f>REVS!DF68</f>
        <v>0</v>
      </c>
      <c r="DH124" s="370">
        <f>REVS!DG68</f>
        <v>0</v>
      </c>
      <c r="DI124" s="370">
        <f>REVS!DH68</f>
        <v>0</v>
      </c>
      <c r="DJ124" s="370">
        <f>REVS!DI68</f>
        <v>0</v>
      </c>
      <c r="DK124" s="370">
        <f>REVS!DJ68</f>
        <v>0</v>
      </c>
      <c r="DL124" s="370">
        <f>REVS!DK68</f>
        <v>0</v>
      </c>
      <c r="DM124" s="370">
        <f>REVS!DL68</f>
        <v>0</v>
      </c>
      <c r="DN124" s="370">
        <f>REVS!DM68</f>
        <v>0</v>
      </c>
      <c r="DO124" s="370">
        <f>REVS!DN68</f>
        <v>0</v>
      </c>
      <c r="DP124" s="370">
        <f>REVS!DO68</f>
        <v>0</v>
      </c>
      <c r="DQ124" s="370">
        <f>REVS!DP68</f>
        <v>0</v>
      </c>
      <c r="DR124" s="370">
        <f>REVS!DQ68</f>
        <v>0</v>
      </c>
      <c r="DS124" s="370">
        <f>REVS!DR68</f>
        <v>0</v>
      </c>
      <c r="DT124" s="370">
        <f>REVS!DS68</f>
        <v>0</v>
      </c>
      <c r="DU124" s="370">
        <f>REVS!DT68</f>
        <v>0</v>
      </c>
      <c r="DV124" s="370">
        <f>REVS!DU68</f>
        <v>0</v>
      </c>
      <c r="DW124" s="370">
        <f>REVS!DV68</f>
        <v>0</v>
      </c>
      <c r="DX124" s="370">
        <f>REVS!DW68</f>
        <v>0</v>
      </c>
      <c r="DY124" s="370">
        <f>REVS!DX68</f>
        <v>0</v>
      </c>
      <c r="DZ124" s="370"/>
      <c r="EA124" s="370"/>
      <c r="EB124" s="370"/>
      <c r="EC124" s="370"/>
      <c r="ED124" s="370">
        <f>REVS!EC68</f>
        <v>0</v>
      </c>
      <c r="EE124" s="370"/>
      <c r="EF124" s="370"/>
      <c r="EG124" s="370"/>
      <c r="EH124" s="370"/>
      <c r="EI124" s="370">
        <f>REVS!EH68</f>
        <v>0</v>
      </c>
      <c r="EJ124" s="370"/>
      <c r="EK124" s="370"/>
      <c r="EL124" s="370"/>
      <c r="EM124" s="370"/>
      <c r="EN124" s="370">
        <f>REVS!EM68</f>
        <v>0</v>
      </c>
    </row>
    <row r="125" spans="2:144">
      <c r="B125" t="s">
        <v>82</v>
      </c>
      <c r="D125" s="370">
        <f>REVS!C69</f>
        <v>0</v>
      </c>
      <c r="E125" s="370">
        <f>REVS!D69</f>
        <v>0</v>
      </c>
      <c r="F125" s="370">
        <f>REVS!E69</f>
        <v>0</v>
      </c>
      <c r="G125" s="370">
        <f>REVS!F69</f>
        <v>0</v>
      </c>
      <c r="H125" s="370">
        <f>REVS!G69</f>
        <v>0</v>
      </c>
      <c r="I125" s="370">
        <f>SUM(E125:H125)</f>
        <v>0</v>
      </c>
      <c r="J125" s="370">
        <f>REVS!I69</f>
        <v>0</v>
      </c>
      <c r="K125" s="370">
        <f>REVS!J69</f>
        <v>0</v>
      </c>
      <c r="L125" s="370">
        <f>REVS!K69</f>
        <v>0</v>
      </c>
      <c r="M125" s="370">
        <f>REVS!L69</f>
        <v>0</v>
      </c>
      <c r="N125" s="370">
        <f>SUM(J125:M125)</f>
        <v>0</v>
      </c>
      <c r="O125" s="370">
        <f>REVS!N69</f>
        <v>0</v>
      </c>
      <c r="P125" s="370">
        <f>REVS!O69</f>
        <v>0</v>
      </c>
      <c r="Q125" s="370">
        <f>REVS!P69</f>
        <v>0</v>
      </c>
      <c r="R125" s="370">
        <f>REVS!Q69</f>
        <v>0</v>
      </c>
      <c r="S125" s="370">
        <f>SUM(O125:R125)</f>
        <v>0</v>
      </c>
      <c r="T125" s="370">
        <f>REVS!S69</f>
        <v>0</v>
      </c>
      <c r="U125" s="370">
        <f>REVS!T69</f>
        <v>0</v>
      </c>
      <c r="V125" s="370">
        <f>REVS!U69</f>
        <v>0</v>
      </c>
      <c r="W125" s="370">
        <f>REVS!V69</f>
        <v>0</v>
      </c>
      <c r="X125" s="370">
        <f>SUM(T125:W125)</f>
        <v>0</v>
      </c>
      <c r="Y125" s="370">
        <f>REVS!X69</f>
        <v>0</v>
      </c>
      <c r="Z125" s="370">
        <f>REVS!Y69</f>
        <v>0</v>
      </c>
      <c r="AA125" s="370">
        <f>REVS!Z69</f>
        <v>0</v>
      </c>
      <c r="AB125" s="370">
        <f>REVS!AA69</f>
        <v>0</v>
      </c>
      <c r="AC125" s="370">
        <f>SUM(Y125:AB125)</f>
        <v>0</v>
      </c>
      <c r="AD125" s="370">
        <f>REVS!AC69</f>
        <v>0</v>
      </c>
      <c r="AE125" s="370">
        <f>REVS!AD69</f>
        <v>0</v>
      </c>
      <c r="AF125" s="370">
        <f>REVS!AE69</f>
        <v>0</v>
      </c>
      <c r="AG125" s="370">
        <f>REVS!AF69</f>
        <v>0</v>
      </c>
      <c r="AH125" s="370">
        <f>SUM(AD125:AG125)</f>
        <v>0</v>
      </c>
      <c r="AI125" s="370">
        <f>REVS!AH69</f>
        <v>0</v>
      </c>
      <c r="AJ125" s="370">
        <f>REVS!AI69</f>
        <v>0</v>
      </c>
      <c r="AK125" s="370">
        <f>REVS!AJ69</f>
        <v>0</v>
      </c>
      <c r="AL125" s="370">
        <f>REVS!AK69</f>
        <v>0</v>
      </c>
      <c r="AM125" s="370">
        <f>SUM(AI125:AL125)</f>
        <v>0</v>
      </c>
      <c r="AN125" s="370">
        <f>REVS!AM69</f>
        <v>0</v>
      </c>
      <c r="AO125" s="370">
        <f>REVS!AN69</f>
        <v>0</v>
      </c>
      <c r="AP125" s="370">
        <f>REVS!AO69</f>
        <v>0</v>
      </c>
      <c r="AQ125" s="370">
        <f>REVS!AP69</f>
        <v>0.94299999999999995</v>
      </c>
      <c r="AR125" s="370">
        <f>SUM(AN125:AQ125)</f>
        <v>0.94299999999999995</v>
      </c>
      <c r="AS125" s="370">
        <f>REVS!AR69</f>
        <v>0.90500000000000003</v>
      </c>
      <c r="AT125" s="370">
        <f>REVS!AS69</f>
        <v>0.80900000000000005</v>
      </c>
      <c r="AU125" s="370">
        <f>REVS!AT69</f>
        <v>0</v>
      </c>
      <c r="AV125" s="370">
        <f>REVS!AU69</f>
        <v>0</v>
      </c>
      <c r="AW125" s="370">
        <f>SUM(AS125:AV125)</f>
        <v>1.714</v>
      </c>
      <c r="AX125" s="370">
        <f>REVS!AW69</f>
        <v>0</v>
      </c>
      <c r="AY125" s="370">
        <f>REVS!AX69</f>
        <v>0</v>
      </c>
      <c r="AZ125" s="370">
        <f>REVS!AY69</f>
        <v>0</v>
      </c>
      <c r="BA125" s="370">
        <f>REVS!AZ69</f>
        <v>0</v>
      </c>
      <c r="BB125" s="370">
        <f>REVS!BA69</f>
        <v>0</v>
      </c>
      <c r="BC125" s="370">
        <f>REVS!BB69</f>
        <v>0</v>
      </c>
      <c r="BD125" s="370">
        <f>REVS!BC69</f>
        <v>0</v>
      </c>
      <c r="BE125" s="370">
        <f>REVS!BD69</f>
        <v>0</v>
      </c>
      <c r="BF125" s="370">
        <f>REVS!BE69</f>
        <v>0</v>
      </c>
      <c r="BG125" s="370">
        <f>REVS!BF69</f>
        <v>0</v>
      </c>
      <c r="BH125" s="370">
        <f>REVS!BG69</f>
        <v>0</v>
      </c>
      <c r="BI125" s="370">
        <f>REVS!BH69</f>
        <v>0</v>
      </c>
      <c r="BJ125" s="370">
        <f>REVS!BI69</f>
        <v>0</v>
      </c>
      <c r="BK125" s="370">
        <f>REVS!BJ69</f>
        <v>0</v>
      </c>
      <c r="BL125" s="370">
        <f>REVS!BK69</f>
        <v>0</v>
      </c>
      <c r="BM125" s="370">
        <f>REVS!BL69</f>
        <v>0</v>
      </c>
      <c r="BN125" s="370">
        <f>REVS!BM69</f>
        <v>0</v>
      </c>
      <c r="BO125" s="370">
        <f>REVS!BN69</f>
        <v>0</v>
      </c>
      <c r="BP125" s="370">
        <f>REVS!BO69</f>
        <v>0</v>
      </c>
      <c r="BQ125" s="370">
        <f>REVS!BP69</f>
        <v>0</v>
      </c>
      <c r="BR125" s="370">
        <f>REVS!BQ69</f>
        <v>0</v>
      </c>
      <c r="BS125" s="370">
        <f>REVS!BR69</f>
        <v>0</v>
      </c>
      <c r="BT125" s="370">
        <f>REVS!BS69</f>
        <v>0</v>
      </c>
      <c r="BU125" s="370">
        <f>REVS!BT69</f>
        <v>0</v>
      </c>
      <c r="BV125" s="370">
        <f>REVS!BU69</f>
        <v>0</v>
      </c>
      <c r="BW125" s="370">
        <f>REVS!BV69</f>
        <v>0</v>
      </c>
      <c r="BX125" s="370">
        <f>REVS!BW69</f>
        <v>0</v>
      </c>
      <c r="BY125" s="370">
        <f>REVS!BX69</f>
        <v>0</v>
      </c>
      <c r="BZ125" s="370">
        <f>REVS!BY69</f>
        <v>0</v>
      </c>
      <c r="CA125" s="370">
        <f>REVS!BZ69</f>
        <v>0</v>
      </c>
      <c r="CB125" s="370">
        <f>REVS!CA69</f>
        <v>0</v>
      </c>
      <c r="CC125" s="370">
        <f>REVS!CB69</f>
        <v>0</v>
      </c>
      <c r="CD125" s="370">
        <f>REVS!CC69</f>
        <v>0</v>
      </c>
      <c r="CE125" s="370">
        <f>REVS!CD69</f>
        <v>0</v>
      </c>
      <c r="CF125" s="370">
        <f>REVS!CE69</f>
        <v>0</v>
      </c>
      <c r="CG125" s="370">
        <f>REVS!CF69</f>
        <v>0</v>
      </c>
      <c r="CH125" s="370">
        <f>REVS!CG69</f>
        <v>0</v>
      </c>
      <c r="CI125" s="370">
        <f>REVS!CH69</f>
        <v>0</v>
      </c>
      <c r="CJ125" s="370">
        <f>REVS!CI69</f>
        <v>0</v>
      </c>
      <c r="CK125" s="370">
        <f>REVS!CJ69</f>
        <v>0</v>
      </c>
      <c r="CL125" s="370">
        <f>REVS!CK69</f>
        <v>0</v>
      </c>
      <c r="CM125" s="370">
        <f>REVS!CL69</f>
        <v>0</v>
      </c>
      <c r="CN125" s="370">
        <f>REVS!CM69</f>
        <v>0</v>
      </c>
      <c r="CO125" s="370">
        <f>REVS!CN69</f>
        <v>0</v>
      </c>
      <c r="CP125" s="370">
        <f>REVS!CO69</f>
        <v>0</v>
      </c>
      <c r="CQ125" s="370">
        <f>REVS!CP69</f>
        <v>0</v>
      </c>
      <c r="CR125" s="370">
        <f>REVS!CQ69</f>
        <v>0</v>
      </c>
      <c r="CS125" s="370">
        <f>REVS!CR69</f>
        <v>0</v>
      </c>
      <c r="CT125" s="370">
        <f>REVS!CS69</f>
        <v>0</v>
      </c>
      <c r="CU125" s="370">
        <f>REVS!CT69</f>
        <v>0</v>
      </c>
      <c r="CV125" s="370">
        <f>REVS!CU69</f>
        <v>0</v>
      </c>
      <c r="CW125" s="370">
        <f>REVS!CV69</f>
        <v>0</v>
      </c>
      <c r="CX125" s="370">
        <f>REVS!CW69</f>
        <v>0</v>
      </c>
      <c r="CY125" s="370">
        <f>REVS!CX69</f>
        <v>0</v>
      </c>
      <c r="CZ125" s="370">
        <f>REVS!CY69</f>
        <v>0</v>
      </c>
      <c r="DA125" s="370">
        <f>REVS!CZ69</f>
        <v>0</v>
      </c>
      <c r="DB125" s="370">
        <f>REVS!DA69</f>
        <v>0</v>
      </c>
      <c r="DC125" s="370">
        <f>REVS!DB69</f>
        <v>0</v>
      </c>
      <c r="DD125" s="370">
        <f>REVS!DC69</f>
        <v>0</v>
      </c>
      <c r="DE125" s="370">
        <f>REVS!DD69</f>
        <v>0</v>
      </c>
      <c r="DF125" s="370">
        <f>REVS!DE69</f>
        <v>0</v>
      </c>
      <c r="DG125" s="370">
        <f>REVS!DF69</f>
        <v>0</v>
      </c>
      <c r="DH125" s="370">
        <f>REVS!DG69</f>
        <v>0</v>
      </c>
      <c r="DI125" s="370">
        <f>REVS!DH69</f>
        <v>0</v>
      </c>
      <c r="DJ125" s="370">
        <f>REVS!DI69</f>
        <v>0</v>
      </c>
      <c r="DK125" s="370">
        <f>REVS!DJ69</f>
        <v>0</v>
      </c>
      <c r="DL125" s="370">
        <f>REVS!DK69</f>
        <v>0</v>
      </c>
      <c r="DM125" s="370">
        <f>REVS!DL69</f>
        <v>0</v>
      </c>
      <c r="DN125" s="370">
        <f>REVS!DM69</f>
        <v>0</v>
      </c>
      <c r="DO125" s="370">
        <f>REVS!DN69</f>
        <v>0</v>
      </c>
      <c r="DP125" s="370">
        <f>REVS!DO69</f>
        <v>0</v>
      </c>
      <c r="DQ125" s="370">
        <f>REVS!DP69</f>
        <v>0</v>
      </c>
      <c r="DR125" s="370">
        <f>REVS!DQ69</f>
        <v>0</v>
      </c>
      <c r="DS125" s="370">
        <f>REVS!DR69</f>
        <v>0</v>
      </c>
      <c r="DT125" s="370">
        <f>REVS!DS69</f>
        <v>0</v>
      </c>
      <c r="DU125" s="370">
        <f>REVS!DT69</f>
        <v>0</v>
      </c>
      <c r="DV125" s="370">
        <f>REVS!DU69</f>
        <v>0</v>
      </c>
      <c r="DW125" s="370">
        <f>REVS!DV69</f>
        <v>0</v>
      </c>
      <c r="DX125" s="370">
        <f>REVS!DW69</f>
        <v>0</v>
      </c>
      <c r="DY125" s="370">
        <f>REVS!DX69</f>
        <v>0</v>
      </c>
      <c r="DZ125" s="370"/>
      <c r="EA125" s="370"/>
      <c r="EB125" s="370"/>
      <c r="EC125" s="370"/>
      <c r="ED125" s="370">
        <f>REVS!EC69</f>
        <v>0</v>
      </c>
      <c r="EE125" s="370"/>
      <c r="EF125" s="370"/>
      <c r="EG125" s="370"/>
      <c r="EH125" s="370"/>
      <c r="EI125" s="370">
        <f>REVS!EH69</f>
        <v>0</v>
      </c>
      <c r="EJ125" s="370"/>
      <c r="EK125" s="370"/>
      <c r="EL125" s="370"/>
      <c r="EM125" s="370"/>
      <c r="EN125" s="370">
        <f>REVS!EM69</f>
        <v>0</v>
      </c>
    </row>
    <row r="126" spans="2:144">
      <c r="B126" t="s">
        <v>686</v>
      </c>
      <c r="D126" s="370">
        <v>0</v>
      </c>
      <c r="E126" s="370">
        <v>0</v>
      </c>
      <c r="F126" s="370">
        <v>0</v>
      </c>
      <c r="G126" s="370">
        <v>0</v>
      </c>
      <c r="H126" s="370">
        <v>0</v>
      </c>
      <c r="I126" s="370">
        <v>-1.9219999999999999</v>
      </c>
      <c r="J126" s="370">
        <v>0</v>
      </c>
      <c r="K126" s="370">
        <v>0</v>
      </c>
      <c r="L126" s="370">
        <v>0</v>
      </c>
      <c r="M126" s="370">
        <v>0</v>
      </c>
      <c r="N126" s="370">
        <v>-1.9219999999999999</v>
      </c>
      <c r="O126" s="370">
        <v>0</v>
      </c>
      <c r="P126" s="370">
        <v>0</v>
      </c>
      <c r="Q126" s="370">
        <v>0</v>
      </c>
      <c r="R126" s="370">
        <v>0</v>
      </c>
      <c r="S126" s="370">
        <f>SUM(O126:R126)</f>
        <v>0</v>
      </c>
      <c r="T126" s="370">
        <v>0</v>
      </c>
      <c r="U126" s="370">
        <v>0</v>
      </c>
      <c r="V126" s="370">
        <v>0</v>
      </c>
      <c r="W126" s="370">
        <v>0</v>
      </c>
      <c r="X126" s="370">
        <f>SUM(T126:W126)</f>
        <v>0</v>
      </c>
      <c r="Y126" s="370">
        <v>0</v>
      </c>
      <c r="Z126" s="370">
        <v>0</v>
      </c>
      <c r="AA126" s="370">
        <v>0</v>
      </c>
      <c r="AB126" s="370">
        <v>0</v>
      </c>
      <c r="AC126" s="370">
        <f>SUM(Y126:AB126)</f>
        <v>0</v>
      </c>
      <c r="AD126" s="370">
        <v>0</v>
      </c>
      <c r="AE126" s="370">
        <v>0</v>
      </c>
      <c r="AF126" s="370">
        <v>0</v>
      </c>
      <c r="AG126" s="370">
        <v>0</v>
      </c>
      <c r="AH126" s="370">
        <f>SUM(AD126:AG126)</f>
        <v>0</v>
      </c>
      <c r="AI126" s="370">
        <v>0</v>
      </c>
      <c r="AJ126" s="370">
        <v>0</v>
      </c>
      <c r="AK126" s="370">
        <v>0</v>
      </c>
      <c r="AL126" s="370">
        <v>0</v>
      </c>
      <c r="AM126" s="370">
        <f>SUM(AI126:AL126)</f>
        <v>0</v>
      </c>
      <c r="AN126" s="370">
        <v>0</v>
      </c>
      <c r="AO126" s="370">
        <v>0</v>
      </c>
      <c r="AP126" s="370">
        <v>0</v>
      </c>
      <c r="AQ126" s="370">
        <v>0.32</v>
      </c>
      <c r="AR126" s="370">
        <f>SUM(AN126:AQ126)</f>
        <v>0.32</v>
      </c>
      <c r="AS126" s="370">
        <v>0.504</v>
      </c>
      <c r="AT126" s="370">
        <v>0.19</v>
      </c>
      <c r="AU126" s="370">
        <v>0</v>
      </c>
      <c r="AV126" s="370">
        <v>0</v>
      </c>
      <c r="AW126" s="370">
        <f>SUM(AS126:AV126)</f>
        <v>0.69399999999999995</v>
      </c>
      <c r="AX126" s="370"/>
      <c r="AY126" s="370"/>
      <c r="AZ126" s="370"/>
      <c r="BA126" s="370"/>
      <c r="BB126" s="370"/>
      <c r="BC126" s="370"/>
      <c r="BD126" s="370"/>
      <c r="BE126" s="370"/>
      <c r="BF126" s="370"/>
      <c r="BG126" s="370"/>
      <c r="BH126" s="370"/>
      <c r="BI126" s="370"/>
      <c r="BJ126" s="370"/>
      <c r="BK126" s="370"/>
      <c r="BL126" s="370"/>
      <c r="BM126" s="370"/>
      <c r="BN126" s="370"/>
      <c r="BO126" s="370"/>
      <c r="BP126" s="370"/>
      <c r="BQ126" s="370"/>
      <c r="BR126" s="370"/>
      <c r="BS126" s="370"/>
      <c r="BT126" s="370"/>
      <c r="BU126" s="370"/>
      <c r="BV126" s="370"/>
      <c r="BW126" s="370"/>
      <c r="BX126" s="370"/>
      <c r="BY126" s="370"/>
      <c r="BZ126" s="370"/>
      <c r="CA126" s="370"/>
      <c r="CB126" s="370"/>
      <c r="CC126" s="370"/>
      <c r="CD126" s="370"/>
      <c r="CE126" s="370"/>
      <c r="CF126" s="370"/>
      <c r="CG126" s="370"/>
      <c r="CH126" s="370"/>
      <c r="CI126" s="370"/>
      <c r="CJ126" s="370"/>
      <c r="CK126" s="370"/>
      <c r="CL126" s="370"/>
      <c r="CM126" s="370"/>
      <c r="CN126" s="370"/>
      <c r="CO126" s="370"/>
      <c r="CP126" s="370"/>
      <c r="CQ126" s="370"/>
      <c r="CR126" s="370"/>
      <c r="CS126" s="370"/>
      <c r="CT126" s="370"/>
      <c r="CU126" s="370"/>
      <c r="CV126" s="370"/>
      <c r="CW126" s="370"/>
      <c r="CX126" s="370"/>
      <c r="CY126" s="370"/>
      <c r="CZ126" s="370"/>
      <c r="DA126" s="370"/>
      <c r="DB126" s="370"/>
      <c r="DC126" s="370"/>
      <c r="DD126" s="370"/>
      <c r="DE126" s="370"/>
      <c r="DF126" s="370"/>
      <c r="DG126" s="370"/>
      <c r="DH126" s="370"/>
      <c r="DI126" s="370"/>
      <c r="DJ126" s="370"/>
      <c r="DK126" s="370"/>
      <c r="DL126" s="370"/>
      <c r="DM126" s="370"/>
      <c r="DN126" s="370"/>
      <c r="DO126" s="370"/>
      <c r="DP126" s="370"/>
      <c r="DQ126" s="370"/>
      <c r="DR126" s="370"/>
      <c r="DS126" s="370"/>
      <c r="DT126" s="370"/>
      <c r="DU126" s="370"/>
      <c r="DV126" s="370"/>
      <c r="DW126" s="370"/>
      <c r="DX126" s="370"/>
      <c r="DY126" s="370"/>
      <c r="DZ126" s="370"/>
      <c r="EA126" s="370"/>
      <c r="EB126" s="370"/>
      <c r="EC126" s="370"/>
      <c r="ED126" s="370"/>
      <c r="EE126" s="370"/>
      <c r="EF126" s="370"/>
      <c r="EG126" s="370"/>
      <c r="EH126" s="370"/>
      <c r="EI126" s="370"/>
      <c r="EJ126" s="370"/>
      <c r="EK126" s="370"/>
      <c r="EL126" s="370"/>
      <c r="EM126" s="370"/>
      <c r="EN126" s="370"/>
    </row>
    <row r="129" spans="4:117">
      <c r="D129"/>
    </row>
    <row r="133" spans="4:117">
      <c r="CA133">
        <v>13.5</v>
      </c>
    </row>
    <row r="135" spans="4:117"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>
        <v>0.17803813999199022</v>
      </c>
      <c r="DL135" s="2">
        <v>0.17352164851891005</v>
      </c>
      <c r="DM135" s="2">
        <v>0.16976833347836567</v>
      </c>
    </row>
    <row r="144" spans="4:117">
      <c r="BK144">
        <v>1</v>
      </c>
    </row>
    <row r="145" spans="63:84">
      <c r="BK145">
        <f>BK144*410</f>
        <v>410</v>
      </c>
    </row>
    <row r="147" spans="63:84">
      <c r="BK147" s="2">
        <f>1/163</f>
        <v>6.1349693251533744E-3</v>
      </c>
      <c r="CF147" s="4">
        <v>3.5000000000000003E-2</v>
      </c>
    </row>
  </sheetData>
  <mergeCells count="28">
    <mergeCell ref="DZ1:ED1"/>
    <mergeCell ref="EE1:EI1"/>
    <mergeCell ref="EJ1:EN1"/>
    <mergeCell ref="DP1:DT1"/>
    <mergeCell ref="DU1:DY1"/>
    <mergeCell ref="CQ1:CU1"/>
    <mergeCell ref="CV1:CZ1"/>
    <mergeCell ref="DA1:DE1"/>
    <mergeCell ref="DF1:DJ1"/>
    <mergeCell ref="DK1:DO1"/>
    <mergeCell ref="E1:I1"/>
    <mergeCell ref="T1:X1"/>
    <mergeCell ref="AN1:AR1"/>
    <mergeCell ref="AI1:AM1"/>
    <mergeCell ref="AD1:AH1"/>
    <mergeCell ref="Y1:AC1"/>
    <mergeCell ref="O1:S1"/>
    <mergeCell ref="J1:N1"/>
    <mergeCell ref="CL1:CP1"/>
    <mergeCell ref="BC1:BG1"/>
    <mergeCell ref="AX1:BB1"/>
    <mergeCell ref="AS1:AW1"/>
    <mergeCell ref="BM1:BQ1"/>
    <mergeCell ref="BR1:BV1"/>
    <mergeCell ref="BW1:CA1"/>
    <mergeCell ref="CB1:CF1"/>
    <mergeCell ref="CG1:CK1"/>
    <mergeCell ref="BH1:BL1"/>
  </mergeCells>
  <phoneticPr fontId="9" type="noConversion"/>
  <pageMargins left="0" right="0" top="0" bottom="0" header="0" footer="0"/>
  <pageSetup paperSize="5" scale="43" orientation="landscape" r:id="rId1"/>
  <headerFooter alignWithMargins="0"/>
  <ignoredErrors>
    <ignoredError sqref="BT62:BU62 BT82 BV12:BV13 BX62:BZ62 CA29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EO163"/>
  <sheetViews>
    <sheetView showGridLines="0" zoomScaleNormal="100" workbookViewId="0">
      <pane xSplit="2" ySplit="3" topLeftCell="CC22" activePane="bottomRight" state="frozen"/>
      <selection activeCell="AB62" sqref="AB62"/>
      <selection pane="topRight" activeCell="AB62" sqref="AB62"/>
      <selection pane="bottomLeft" activeCell="AB62" sqref="AB62"/>
      <selection pane="bottomRight" activeCell="EM61" sqref="EM61"/>
    </sheetView>
  </sheetViews>
  <sheetFormatPr defaultRowHeight="12.75" outlineLevelRow="1" outlineLevelCol="3"/>
  <cols>
    <col min="1" max="1" width="2.140625" customWidth="1"/>
    <col min="2" max="2" width="26.7109375" customWidth="1"/>
    <col min="3" max="3" width="9.140625" style="50" hidden="1" customWidth="1" outlineLevel="2"/>
    <col min="4" max="7" width="9.140625" hidden="1" customWidth="1" outlineLevel="3"/>
    <col min="8" max="8" width="9.140625" style="50" hidden="1" customWidth="1" outlineLevel="2" collapsed="1"/>
    <col min="9" max="12" width="9.140625" hidden="1" customWidth="1" outlineLevel="3"/>
    <col min="13" max="13" width="9.140625" style="50" hidden="1" customWidth="1" outlineLevel="2" collapsed="1"/>
    <col min="14" max="17" width="9.140625" hidden="1" customWidth="1" outlineLevel="3"/>
    <col min="18" max="18" width="9.140625" style="50" hidden="1" customWidth="1" outlineLevel="2" collapsed="1"/>
    <col min="19" max="22" width="9.140625" hidden="1" customWidth="1" outlineLevel="3"/>
    <col min="23" max="23" width="9.140625" style="50" hidden="1" customWidth="1" outlineLevel="2" collapsed="1"/>
    <col min="24" max="27" width="9.140625" hidden="1" customWidth="1" outlineLevel="3"/>
    <col min="28" max="28" width="9.140625" style="50" hidden="1" customWidth="1" outlineLevel="2" collapsed="1"/>
    <col min="29" max="32" width="9.140625" hidden="1" customWidth="1" outlineLevel="3"/>
    <col min="33" max="33" width="9.140625" style="50" hidden="1" customWidth="1" outlineLevel="2" collapsed="1"/>
    <col min="34" max="37" width="9.140625" hidden="1" customWidth="1" outlineLevel="3"/>
    <col min="38" max="38" width="9.140625" hidden="1" customWidth="1" outlineLevel="2" collapsed="1"/>
    <col min="39" max="42" width="9.140625" hidden="1" customWidth="1" outlineLevel="3"/>
    <col min="43" max="43" width="9.140625" style="50" hidden="1" customWidth="1" outlineLevel="2" collapsed="1"/>
    <col min="44" max="47" width="9.140625" hidden="1" customWidth="1" outlineLevel="3"/>
    <col min="48" max="48" width="9.140625" style="50" hidden="1" customWidth="1" outlineLevel="2" collapsed="1"/>
    <col min="49" max="52" width="9.140625" hidden="1" customWidth="1" outlineLevel="3"/>
    <col min="53" max="53" width="9.140625" style="50" hidden="1" customWidth="1" outlineLevel="2" collapsed="1"/>
    <col min="54" max="54" width="9.140625" style="47" hidden="1" customWidth="1" outlineLevel="1" collapsed="1"/>
    <col min="55" max="57" width="9.140625" style="47" hidden="1" customWidth="1" outlineLevel="1"/>
    <col min="58" max="58" width="9.140625" style="50" collapsed="1"/>
    <col min="59" max="62" width="9.140625" hidden="1" customWidth="1" outlineLevel="1"/>
    <col min="63" max="63" width="9.140625" collapsed="1"/>
    <col min="64" max="67" width="9.140625" hidden="1" customWidth="1" outlineLevel="1"/>
    <col min="68" max="68" width="9.140625" collapsed="1"/>
    <col min="69" max="72" width="9.140625" hidden="1" customWidth="1" outlineLevel="1"/>
    <col min="73" max="73" width="10.42578125" customWidth="1" collapsed="1"/>
    <col min="74" max="77" width="9.140625" hidden="1" customWidth="1" outlineLevel="1"/>
    <col min="78" max="78" width="10" bestFit="1" customWidth="1" collapsed="1"/>
    <col min="79" max="82" width="9.140625" customWidth="1" outlineLevel="1"/>
    <col min="84" max="87" width="9.140625" hidden="1" customWidth="1" outlineLevel="1"/>
    <col min="88" max="88" width="9.140625" collapsed="1"/>
    <col min="89" max="92" width="9.140625" hidden="1" customWidth="1" outlineLevel="1"/>
    <col min="93" max="93" width="9.140625" collapsed="1"/>
    <col min="94" max="97" width="9.140625" style="41" hidden="1" customWidth="1" outlineLevel="1"/>
    <col min="98" max="98" width="9.140625" style="41" collapsed="1"/>
    <col min="99" max="102" width="9.140625" style="41" hidden="1" customWidth="1" outlineLevel="1"/>
    <col min="103" max="103" width="9.140625" style="41" collapsed="1"/>
    <col min="104" max="107" width="9.140625" style="41" hidden="1" customWidth="1" outlineLevel="1"/>
    <col min="108" max="108" width="9.140625" style="41" collapsed="1"/>
    <col min="109" max="112" width="9.140625" style="41" hidden="1" customWidth="1" outlineLevel="1"/>
    <col min="113" max="113" width="9.140625" style="41" collapsed="1"/>
    <col min="114" max="117" width="9.140625" style="41" hidden="1" customWidth="1" outlineLevel="1"/>
    <col min="118" max="118" width="9.140625" style="41" collapsed="1"/>
    <col min="119" max="122" width="9.140625" style="41" hidden="1" customWidth="1" outlineLevel="1"/>
    <col min="123" max="123" width="9.140625" style="41" collapsed="1"/>
    <col min="124" max="127" width="9.140625" style="41" hidden="1" customWidth="1" outlineLevel="1"/>
    <col min="128" max="128" width="9.140625" style="41" collapsed="1"/>
    <col min="129" max="132" width="9.140625" style="41" hidden="1" customWidth="1" outlineLevel="1"/>
    <col min="133" max="133" width="9.140625" style="41" collapsed="1"/>
    <col min="134" max="137" width="9.140625" style="41" hidden="1" customWidth="1" outlineLevel="1"/>
    <col min="138" max="138" width="9.140625" style="41" collapsed="1"/>
    <col min="139" max="142" width="9.140625" style="41" hidden="1" customWidth="1" outlineLevel="1"/>
    <col min="143" max="143" width="9.140625" style="41" collapsed="1"/>
    <col min="144" max="16384" width="9.140625" style="41"/>
  </cols>
  <sheetData>
    <row r="1" spans="1:143">
      <c r="B1" s="25"/>
      <c r="BP1" s="130"/>
      <c r="BQ1" s="130"/>
      <c r="BR1" s="130"/>
      <c r="BS1" s="130"/>
      <c r="BT1" s="130"/>
      <c r="BU1" s="130"/>
      <c r="BV1" s="42"/>
      <c r="BW1" s="42"/>
      <c r="BZ1" s="130"/>
      <c r="CO1" s="42"/>
    </row>
    <row r="2" spans="1:143" s="64" customFormat="1" ht="13.5" thickBot="1">
      <c r="A2" s="372"/>
      <c r="B2" s="63" t="s">
        <v>98</v>
      </c>
      <c r="C2" s="372" t="s">
        <v>133</v>
      </c>
      <c r="D2" s="1241" t="s">
        <v>134</v>
      </c>
      <c r="E2" s="1241"/>
      <c r="F2" s="1241"/>
      <c r="G2" s="1241"/>
      <c r="H2" s="1241"/>
      <c r="I2" s="1241" t="s">
        <v>116</v>
      </c>
      <c r="J2" s="1241"/>
      <c r="K2" s="1241"/>
      <c r="L2" s="1241"/>
      <c r="M2" s="1241"/>
      <c r="N2" s="1241" t="s">
        <v>117</v>
      </c>
      <c r="O2" s="1241"/>
      <c r="P2" s="1241"/>
      <c r="Q2" s="1241"/>
      <c r="R2" s="1241"/>
      <c r="S2" s="1241" t="s">
        <v>118</v>
      </c>
      <c r="T2" s="1241"/>
      <c r="U2" s="1241"/>
      <c r="V2" s="1241"/>
      <c r="W2" s="1241"/>
      <c r="X2" s="1241" t="s">
        <v>135</v>
      </c>
      <c r="Y2" s="1241"/>
      <c r="Z2" s="1241"/>
      <c r="AA2" s="1241"/>
      <c r="AB2" s="1241"/>
      <c r="AC2" s="1241" t="s">
        <v>136</v>
      </c>
      <c r="AD2" s="1241"/>
      <c r="AE2" s="1241"/>
      <c r="AF2" s="1241"/>
      <c r="AG2" s="1241"/>
      <c r="AH2" s="1241" t="s">
        <v>137</v>
      </c>
      <c r="AI2" s="1241"/>
      <c r="AJ2" s="1241"/>
      <c r="AK2" s="1241"/>
      <c r="AL2" s="1241"/>
      <c r="AM2" s="1241" t="s">
        <v>131</v>
      </c>
      <c r="AN2" s="1241"/>
      <c r="AO2" s="1241"/>
      <c r="AP2" s="1241"/>
      <c r="AQ2" s="1241"/>
      <c r="AR2" s="1241" t="s">
        <v>187</v>
      </c>
      <c r="AS2" s="1241"/>
      <c r="AT2" s="1241"/>
      <c r="AU2" s="1241"/>
      <c r="AV2" s="1241"/>
      <c r="AW2" s="1241" t="s">
        <v>30</v>
      </c>
      <c r="AX2" s="1241"/>
      <c r="AY2" s="1241"/>
      <c r="AZ2" s="1241"/>
      <c r="BA2" s="1241"/>
      <c r="BB2" s="1241" t="s">
        <v>741</v>
      </c>
      <c r="BC2" s="1241"/>
      <c r="BD2" s="1241"/>
      <c r="BE2" s="1241"/>
      <c r="BF2" s="1241"/>
      <c r="BG2" s="1241" t="s">
        <v>920</v>
      </c>
      <c r="BH2" s="1241"/>
      <c r="BI2" s="1241"/>
      <c r="BJ2" s="1241"/>
      <c r="BK2" s="1241"/>
      <c r="BL2" s="1241" t="s">
        <v>1010</v>
      </c>
      <c r="BM2" s="1241"/>
      <c r="BN2" s="1241"/>
      <c r="BO2" s="1241"/>
      <c r="BP2" s="1241"/>
      <c r="BQ2" s="1241" t="s">
        <v>1016</v>
      </c>
      <c r="BR2" s="1241"/>
      <c r="BS2" s="1241"/>
      <c r="BT2" s="1241"/>
      <c r="BU2" s="1241"/>
      <c r="BV2" s="1241" t="s">
        <v>1054</v>
      </c>
      <c r="BW2" s="1241"/>
      <c r="BX2" s="1241"/>
      <c r="BY2" s="1241"/>
      <c r="BZ2" s="1241"/>
      <c r="CA2" s="1241" t="s">
        <v>119</v>
      </c>
      <c r="CB2" s="1241"/>
      <c r="CC2" s="1241"/>
      <c r="CD2" s="1241"/>
      <c r="CE2" s="1241"/>
      <c r="CF2" s="1241" t="s">
        <v>120</v>
      </c>
      <c r="CG2" s="1241"/>
      <c r="CH2" s="1241"/>
      <c r="CI2" s="1241"/>
      <c r="CJ2" s="1241"/>
      <c r="CK2" s="1241" t="s">
        <v>121</v>
      </c>
      <c r="CL2" s="1241"/>
      <c r="CM2" s="1241"/>
      <c r="CN2" s="1241"/>
      <c r="CO2" s="1241"/>
      <c r="CP2" s="1241" t="s">
        <v>820</v>
      </c>
      <c r="CQ2" s="1241"/>
      <c r="CR2" s="1241"/>
      <c r="CS2" s="1241"/>
      <c r="CT2" s="1241"/>
      <c r="CU2" s="1241" t="s">
        <v>817</v>
      </c>
      <c r="CV2" s="1241"/>
      <c r="CW2" s="1241"/>
      <c r="CX2" s="1241"/>
      <c r="CY2" s="1241"/>
      <c r="CZ2" s="1241" t="s">
        <v>818</v>
      </c>
      <c r="DA2" s="1241"/>
      <c r="DB2" s="1241"/>
      <c r="DC2" s="1241"/>
      <c r="DD2" s="1241"/>
      <c r="DE2" s="1241" t="s">
        <v>819</v>
      </c>
      <c r="DF2" s="1241"/>
      <c r="DG2" s="1241"/>
      <c r="DH2" s="1241"/>
      <c r="DI2" s="1241"/>
      <c r="DJ2" s="1241" t="s">
        <v>821</v>
      </c>
      <c r="DK2" s="1241"/>
      <c r="DL2" s="1241"/>
      <c r="DM2" s="1241"/>
      <c r="DN2" s="1241"/>
      <c r="DO2" s="1241" t="s">
        <v>822</v>
      </c>
      <c r="DP2" s="1241"/>
      <c r="DQ2" s="1241"/>
      <c r="DR2" s="1241"/>
      <c r="DS2" s="1241"/>
      <c r="DT2" s="1241" t="s">
        <v>823</v>
      </c>
      <c r="DU2" s="1241"/>
      <c r="DV2" s="1241"/>
      <c r="DW2" s="1241"/>
      <c r="DX2" s="1241"/>
      <c r="DY2" s="1241" t="s">
        <v>889</v>
      </c>
      <c r="DZ2" s="1241"/>
      <c r="EA2" s="1241"/>
      <c r="EB2" s="1241"/>
      <c r="EC2" s="1241"/>
      <c r="ED2" s="1241" t="s">
        <v>890</v>
      </c>
      <c r="EE2" s="1241"/>
      <c r="EF2" s="1241"/>
      <c r="EG2" s="1241"/>
      <c r="EH2" s="1241"/>
      <c r="EI2" s="1241" t="s">
        <v>891</v>
      </c>
      <c r="EJ2" s="1241"/>
      <c r="EK2" s="1241"/>
      <c r="EL2" s="1241"/>
      <c r="EM2" s="1241"/>
    </row>
    <row r="3" spans="1:143" s="65" customFormat="1">
      <c r="A3" s="52"/>
      <c r="B3" s="52"/>
      <c r="C3" s="53"/>
      <c r="D3" s="54" t="s">
        <v>138</v>
      </c>
      <c r="E3" s="54" t="s">
        <v>139</v>
      </c>
      <c r="F3" s="54" t="s">
        <v>140</v>
      </c>
      <c r="G3" s="54" t="s">
        <v>141</v>
      </c>
      <c r="H3" s="53"/>
      <c r="I3" s="54" t="s">
        <v>142</v>
      </c>
      <c r="J3" s="54" t="s">
        <v>143</v>
      </c>
      <c r="K3" s="54" t="s">
        <v>144</v>
      </c>
      <c r="L3" s="54" t="s">
        <v>145</v>
      </c>
      <c r="M3" s="53"/>
      <c r="N3" s="54" t="s">
        <v>146</v>
      </c>
      <c r="O3" s="54" t="s">
        <v>147</v>
      </c>
      <c r="P3" s="54" t="s">
        <v>148</v>
      </c>
      <c r="Q3" s="54" t="s">
        <v>149</v>
      </c>
      <c r="R3" s="53"/>
      <c r="S3" s="54" t="s">
        <v>150</v>
      </c>
      <c r="T3" s="54" t="s">
        <v>151</v>
      </c>
      <c r="U3" s="54" t="s">
        <v>152</v>
      </c>
      <c r="V3" s="54" t="s">
        <v>153</v>
      </c>
      <c r="W3" s="53"/>
      <c r="X3" s="54" t="s">
        <v>154</v>
      </c>
      <c r="Y3" s="54" t="s">
        <v>155</v>
      </c>
      <c r="Z3" s="54" t="s">
        <v>156</v>
      </c>
      <c r="AA3" s="54" t="s">
        <v>157</v>
      </c>
      <c r="AB3" s="53"/>
      <c r="AC3" s="54" t="s">
        <v>158</v>
      </c>
      <c r="AD3" s="54" t="s">
        <v>159</v>
      </c>
      <c r="AE3" s="54" t="s">
        <v>160</v>
      </c>
      <c r="AF3" s="54" t="s">
        <v>161</v>
      </c>
      <c r="AG3" s="53"/>
      <c r="AH3" s="54" t="s">
        <v>162</v>
      </c>
      <c r="AI3" s="54" t="s">
        <v>163</v>
      </c>
      <c r="AJ3" s="54" t="s">
        <v>164</v>
      </c>
      <c r="AK3" s="54" t="s">
        <v>165</v>
      </c>
      <c r="AL3" s="52"/>
      <c r="AM3" s="54" t="s">
        <v>166</v>
      </c>
      <c r="AN3" s="54" t="s">
        <v>167</v>
      </c>
      <c r="AO3" s="54" t="s">
        <v>168</v>
      </c>
      <c r="AP3" s="54" t="s">
        <v>169</v>
      </c>
      <c r="AQ3" s="53"/>
      <c r="AR3" s="54" t="s">
        <v>170</v>
      </c>
      <c r="AS3" s="54" t="s">
        <v>171</v>
      </c>
      <c r="AT3" s="54" t="s">
        <v>25</v>
      </c>
      <c r="AU3" s="54" t="s">
        <v>125</v>
      </c>
      <c r="AV3" s="53"/>
      <c r="AW3" s="440" t="s">
        <v>189</v>
      </c>
      <c r="AX3" s="440" t="s">
        <v>24</v>
      </c>
      <c r="AY3" s="440" t="s">
        <v>124</v>
      </c>
      <c r="AZ3" s="440" t="s">
        <v>29</v>
      </c>
      <c r="BA3" s="53"/>
      <c r="BB3" s="439" t="s">
        <v>28</v>
      </c>
      <c r="BC3" s="439" t="s">
        <v>188</v>
      </c>
      <c r="BD3" s="439" t="s">
        <v>186</v>
      </c>
      <c r="BE3" s="439" t="s">
        <v>777</v>
      </c>
      <c r="BF3" s="53"/>
      <c r="BG3" s="439" t="s">
        <v>784</v>
      </c>
      <c r="BH3" s="439" t="s">
        <v>788</v>
      </c>
      <c r="BI3" s="439" t="s">
        <v>807</v>
      </c>
      <c r="BJ3" s="439" t="s">
        <v>918</v>
      </c>
      <c r="BK3" s="52"/>
      <c r="BL3" s="440" t="s">
        <v>921</v>
      </c>
      <c r="BM3" s="440" t="s">
        <v>1000</v>
      </c>
      <c r="BN3" s="440" t="s">
        <v>1008</v>
      </c>
      <c r="BO3" s="440" t="s">
        <v>1009</v>
      </c>
      <c r="BP3" s="52"/>
      <c r="BQ3" s="440" t="s">
        <v>1011</v>
      </c>
      <c r="BR3" s="440" t="s">
        <v>1012</v>
      </c>
      <c r="BS3" s="440" t="s">
        <v>1013</v>
      </c>
      <c r="BT3" s="440" t="s">
        <v>1015</v>
      </c>
      <c r="BU3" s="52"/>
      <c r="BV3" s="440" t="s">
        <v>1019</v>
      </c>
      <c r="BW3" s="440" t="s">
        <v>1020</v>
      </c>
      <c r="BX3" s="440" t="s">
        <v>1021</v>
      </c>
      <c r="BY3" s="440" t="s">
        <v>1053</v>
      </c>
      <c r="BZ3" s="52"/>
      <c r="CA3" s="440" t="s">
        <v>83</v>
      </c>
      <c r="CB3" s="440" t="s">
        <v>84</v>
      </c>
      <c r="CC3" s="440" t="s">
        <v>85</v>
      </c>
      <c r="CD3" s="440" t="s">
        <v>86</v>
      </c>
      <c r="CE3" s="52"/>
      <c r="CF3" s="440" t="s">
        <v>87</v>
      </c>
      <c r="CG3" s="440" t="s">
        <v>88</v>
      </c>
      <c r="CH3" s="440" t="s">
        <v>89</v>
      </c>
      <c r="CI3" s="440" t="s">
        <v>90</v>
      </c>
      <c r="CJ3" s="52"/>
      <c r="CK3" s="440" t="s">
        <v>91</v>
      </c>
      <c r="CL3" s="440" t="s">
        <v>92</v>
      </c>
      <c r="CM3" s="440" t="s">
        <v>93</v>
      </c>
      <c r="CN3" s="440" t="s">
        <v>94</v>
      </c>
      <c r="CO3" s="951"/>
      <c r="CP3" s="52" t="s">
        <v>831</v>
      </c>
      <c r="CQ3" s="52" t="s">
        <v>832</v>
      </c>
      <c r="CR3" s="52" t="s">
        <v>833</v>
      </c>
      <c r="CS3" s="52" t="s">
        <v>834</v>
      </c>
      <c r="CT3" s="52"/>
      <c r="CU3" s="52" t="s">
        <v>835</v>
      </c>
      <c r="CV3" s="52" t="s">
        <v>836</v>
      </c>
      <c r="CW3" s="52" t="s">
        <v>837</v>
      </c>
      <c r="CX3" s="52" t="s">
        <v>838</v>
      </c>
      <c r="CY3" s="52"/>
      <c r="CZ3" s="52" t="s">
        <v>839</v>
      </c>
      <c r="DA3" s="52" t="s">
        <v>840</v>
      </c>
      <c r="DB3" s="52" t="s">
        <v>841</v>
      </c>
      <c r="DC3" s="52" t="s">
        <v>842</v>
      </c>
      <c r="DD3" s="52"/>
      <c r="DE3" s="52" t="s">
        <v>843</v>
      </c>
      <c r="DF3" s="52" t="s">
        <v>844</v>
      </c>
      <c r="DG3" s="52" t="s">
        <v>845</v>
      </c>
      <c r="DH3" s="52" t="s">
        <v>846</v>
      </c>
      <c r="DI3" s="52"/>
      <c r="DJ3" s="52" t="s">
        <v>847</v>
      </c>
      <c r="DK3" s="52" t="s">
        <v>848</v>
      </c>
      <c r="DL3" s="52" t="s">
        <v>849</v>
      </c>
      <c r="DM3" s="52" t="s">
        <v>850</v>
      </c>
      <c r="DN3" s="52"/>
      <c r="DO3" s="52" t="s">
        <v>851</v>
      </c>
      <c r="DP3" s="52" t="s">
        <v>852</v>
      </c>
      <c r="DQ3" s="52" t="s">
        <v>853</v>
      </c>
      <c r="DR3" s="52" t="s">
        <v>854</v>
      </c>
      <c r="DS3" s="52"/>
      <c r="DT3" s="52" t="s">
        <v>855</v>
      </c>
      <c r="DU3" s="52" t="s">
        <v>856</v>
      </c>
      <c r="DV3" s="52" t="s">
        <v>857</v>
      </c>
      <c r="DW3" s="52" t="s">
        <v>858</v>
      </c>
      <c r="DX3" s="52"/>
      <c r="DY3" s="52" t="s">
        <v>892</v>
      </c>
      <c r="DZ3" s="52" t="s">
        <v>893</v>
      </c>
      <c r="EA3" s="52" t="s">
        <v>894</v>
      </c>
      <c r="EB3" s="52" t="s">
        <v>895</v>
      </c>
      <c r="EC3" s="52"/>
      <c r="ED3" s="52" t="s">
        <v>900</v>
      </c>
      <c r="EE3" s="52" t="s">
        <v>901</v>
      </c>
      <c r="EF3" s="52" t="s">
        <v>902</v>
      </c>
      <c r="EG3" s="52" t="s">
        <v>903</v>
      </c>
      <c r="EH3" s="52"/>
      <c r="EI3" s="52" t="s">
        <v>896</v>
      </c>
      <c r="EJ3" s="52" t="s">
        <v>897</v>
      </c>
      <c r="EK3" s="52" t="s">
        <v>898</v>
      </c>
      <c r="EL3" s="52" t="s">
        <v>899</v>
      </c>
      <c r="EM3" s="52"/>
    </row>
    <row r="4" spans="1:143" ht="13.5" thickBot="1">
      <c r="B4" s="25" t="s">
        <v>122</v>
      </c>
      <c r="C4" s="51"/>
      <c r="D4" s="43"/>
      <c r="E4" s="43"/>
      <c r="F4" s="43"/>
      <c r="G4" s="43"/>
      <c r="H4" s="51"/>
      <c r="I4" s="43"/>
      <c r="J4" s="43"/>
      <c r="K4" s="43"/>
      <c r="L4" s="43"/>
      <c r="M4" s="51"/>
      <c r="N4" s="43"/>
      <c r="O4" s="43"/>
      <c r="P4" s="43"/>
      <c r="Q4" s="43">
        <f>2.862-P4-O4-N4</f>
        <v>2.8620000000000001</v>
      </c>
      <c r="R4" s="51">
        <f>N4+O4+P4+Q4</f>
        <v>2.8620000000000001</v>
      </c>
      <c r="S4" s="43">
        <v>32.442999999999998</v>
      </c>
      <c r="T4" s="43">
        <v>63.02</v>
      </c>
      <c r="U4" s="43">
        <v>101.31399999999999</v>
      </c>
      <c r="V4" s="43">
        <f>320.558-U4-T4-S4</f>
        <v>123.78099999999999</v>
      </c>
      <c r="W4" s="51">
        <f>S4+T4+U4+V4</f>
        <v>320.55799999999999</v>
      </c>
      <c r="X4" s="43">
        <v>146.233</v>
      </c>
      <c r="Y4" s="43">
        <v>180.96299999999999</v>
      </c>
      <c r="Z4" s="43">
        <v>199.261</v>
      </c>
      <c r="AA4" s="43">
        <f>773.877-Z4-Y4-X4</f>
        <v>247.42000000000002</v>
      </c>
      <c r="AB4" s="51">
        <f>X4+Y4+Z4+AA4</f>
        <v>773.87699999999995</v>
      </c>
      <c r="AC4" s="43">
        <v>286.846</v>
      </c>
      <c r="AD4" s="43">
        <v>325.76</v>
      </c>
      <c r="AE4" s="43">
        <v>342.62</v>
      </c>
      <c r="AF4" s="43">
        <f>1324.671-AE4-AD4-AC4</f>
        <v>369.44500000000005</v>
      </c>
      <c r="AG4" s="51">
        <f>AC4+AD4+AE4+AF4</f>
        <v>1324.671</v>
      </c>
      <c r="AH4" s="43">
        <v>362.51600000000002</v>
      </c>
      <c r="AI4" s="43">
        <v>397.27300000000002</v>
      </c>
      <c r="AJ4" s="43">
        <v>449.58600000000001</v>
      </c>
      <c r="AK4" s="43">
        <f>1706.437-AJ4-AI4-AH4</f>
        <v>497.06199999999984</v>
      </c>
      <c r="AL4" s="42">
        <f>AH4+AI4+AJ4+AK4</f>
        <v>1706.4369999999999</v>
      </c>
      <c r="AM4" s="43">
        <v>530.46600000000001</v>
      </c>
      <c r="AN4" s="43">
        <v>587.14300000000003</v>
      </c>
      <c r="AO4" s="43">
        <v>641.27200000000005</v>
      </c>
      <c r="AP4" s="43">
        <f>2469.183-AM4-AN4-AO4</f>
        <v>710.30200000000002</v>
      </c>
      <c r="AQ4" s="51">
        <f>AM4+AN4+AO4+AP4</f>
        <v>2469.183</v>
      </c>
      <c r="AR4" s="43">
        <v>737.87</v>
      </c>
      <c r="AS4" s="43">
        <v>795.44500000000005</v>
      </c>
      <c r="AT4" s="43">
        <v>820.01900000000001</v>
      </c>
      <c r="AU4" s="43">
        <f>3208.153-AT4-AS4-AR4</f>
        <v>854.81899999999985</v>
      </c>
      <c r="AV4" s="51">
        <f>+SUM(AR4:AU4)</f>
        <v>3208.1529999999998</v>
      </c>
      <c r="AW4" s="375">
        <v>860.99800000000005</v>
      </c>
      <c r="AX4" s="375">
        <v>933.86500000000001</v>
      </c>
      <c r="AY4" s="375">
        <v>970.11699999999996</v>
      </c>
      <c r="AZ4" s="375">
        <f>3766.64-AY4-AX4-AW4</f>
        <v>1001.6600000000001</v>
      </c>
      <c r="BA4" s="51">
        <f>SUM(AW4:AZ4)</f>
        <v>3766.6400000000003</v>
      </c>
      <c r="BB4" s="441">
        <v>1002.8</v>
      </c>
      <c r="BC4" s="441">
        <v>1051.5</v>
      </c>
      <c r="BD4" s="441">
        <v>1089.8</v>
      </c>
      <c r="BE4" s="441">
        <v>1136</v>
      </c>
      <c r="BF4" s="51">
        <f>SUM(BB4:BE4)</f>
        <v>4280.1000000000004</v>
      </c>
      <c r="BG4" s="375">
        <f>BG6+BG7</f>
        <v>1143.8</v>
      </c>
      <c r="BH4" s="375">
        <f>BH6+BH7</f>
        <v>1213.7</v>
      </c>
      <c r="BI4" s="375">
        <f>BI6+BI7</f>
        <v>1300</v>
      </c>
      <c r="BJ4" s="375">
        <f>BJ6+BJ7</f>
        <v>1322.5</v>
      </c>
      <c r="BK4" s="42">
        <f>SUM(BG4:BJ4)</f>
        <v>4980</v>
      </c>
      <c r="BL4" s="375">
        <f>BL6+BL7</f>
        <v>1342.9</v>
      </c>
      <c r="BM4" s="375">
        <f>BM6+BM7</f>
        <v>1444</v>
      </c>
      <c r="BN4" s="375">
        <f>BN6+BN7</f>
        <v>1453.5</v>
      </c>
      <c r="BO4" s="375">
        <f>BO6+BO7</f>
        <v>1560.6999999999998</v>
      </c>
      <c r="BP4" s="358">
        <f>SUM(BL4:BO4)</f>
        <v>5801.0999999999995</v>
      </c>
      <c r="BQ4" s="375">
        <f>BQ6+BQ7</f>
        <v>1573.6</v>
      </c>
      <c r="BR4" s="375">
        <f>BR6+BR7</f>
        <v>1700.8</v>
      </c>
      <c r="BS4" s="375">
        <f>BS6+BS7</f>
        <v>1891.1</v>
      </c>
      <c r="BT4" s="375">
        <f>BT6+BT7</f>
        <v>1808.1</v>
      </c>
      <c r="BU4" s="358">
        <f>SUM(BQ4:BT4)</f>
        <v>6973.6</v>
      </c>
      <c r="BV4" s="375">
        <f>BV6+BV7</f>
        <v>1884</v>
      </c>
      <c r="BW4" s="375">
        <f>BW6+BW7</f>
        <v>2034</v>
      </c>
      <c r="BX4" s="375">
        <f>BX6+BX7</f>
        <v>2081</v>
      </c>
      <c r="BY4" s="443">
        <f>BY6+BY7</f>
        <v>2188</v>
      </c>
      <c r="BZ4" s="42">
        <f>SUM(BV4:BY4)</f>
        <v>8187</v>
      </c>
      <c r="CA4" s="375">
        <f>CA6+CA7</f>
        <v>2158.2271883654985</v>
      </c>
      <c r="CB4" s="375">
        <f>CB6+CB7</f>
        <v>2331.5062354502925</v>
      </c>
      <c r="CC4" s="375">
        <f>CC6+CC7</f>
        <v>2383.7875616175165</v>
      </c>
      <c r="CD4" s="375">
        <f>CD6+CD7</f>
        <v>2508.715171457141</v>
      </c>
      <c r="CE4" s="42">
        <f>SUM(CA4:CD4)</f>
        <v>9382.2361568904489</v>
      </c>
      <c r="CF4" s="375">
        <f>CF6+CF7</f>
        <v>2475.0929805786946</v>
      </c>
      <c r="CG4" s="375">
        <f>CG6+CG7</f>
        <v>2676.7139797339933</v>
      </c>
      <c r="CH4" s="375">
        <f>CH6+CH7</f>
        <v>2733.5405364940098</v>
      </c>
      <c r="CI4" s="375">
        <f>CI6+CI7</f>
        <v>2881.5325782099376</v>
      </c>
      <c r="CJ4" s="42">
        <f>SUM(CF4:CI4)</f>
        <v>10766.880075016636</v>
      </c>
      <c r="CK4" s="375">
        <f>CK6+CK7</f>
        <v>2844.8287075882913</v>
      </c>
      <c r="CL4" s="375">
        <f>CL6+CL7</f>
        <v>3078.502212323508</v>
      </c>
      <c r="CM4" s="375">
        <f>CM6+CM7</f>
        <v>3141.7311576310394</v>
      </c>
      <c r="CN4" s="375">
        <f>CN6+CN7</f>
        <v>3314.9783683190226</v>
      </c>
      <c r="CO4" s="42">
        <f>SUM(CK4:CN4)</f>
        <v>12380.040445861861</v>
      </c>
      <c r="CP4" s="375">
        <f>CP6+CP7</f>
        <v>3190.0794151712521</v>
      </c>
      <c r="CQ4" s="375">
        <f>CQ6+CQ7</f>
        <v>3452.0144671066396</v>
      </c>
      <c r="CR4" s="375">
        <f>CR6+CR7</f>
        <v>3523.0218639691434</v>
      </c>
      <c r="CS4" s="375">
        <f>CS6+CS7</f>
        <v>3717.1361882529391</v>
      </c>
      <c r="CT4" s="42">
        <f>SUM(CP4:CS4)</f>
        <v>13882.251934499975</v>
      </c>
      <c r="CU4" s="375">
        <f>CU6+CU7</f>
        <v>3206.8185159758709</v>
      </c>
      <c r="CV4" s="375">
        <f>CV6+CV7</f>
        <v>3477.9983815893174</v>
      </c>
      <c r="CW4" s="375">
        <f>CW6+CW7</f>
        <v>3540.8866809857391</v>
      </c>
      <c r="CX4" s="375">
        <f>CX6+CX7</f>
        <v>3748.8302663816303</v>
      </c>
      <c r="CY4" s="42">
        <f>SUM(CU4:CX4)</f>
        <v>13974.533844932557</v>
      </c>
      <c r="CZ4" s="375">
        <f>CZ6+CZ7</f>
        <v>2934.448251663202</v>
      </c>
      <c r="DA4" s="375">
        <f>DA6+DA7</f>
        <v>3195.7658556522765</v>
      </c>
      <c r="DB4" s="375">
        <f>DB6+DB7</f>
        <v>3239.1027218208119</v>
      </c>
      <c r="DC4" s="375">
        <f>DC6+DC7</f>
        <v>3450.8221538049556</v>
      </c>
      <c r="DD4" s="42">
        <f>SUM(CZ4:DC4)</f>
        <v>12820.138982941244</v>
      </c>
      <c r="DE4" s="375">
        <f>DE6+DE7</f>
        <v>2528.3821760055343</v>
      </c>
      <c r="DF4" s="375">
        <f>DF6+DF7</f>
        <v>2769.105135337858</v>
      </c>
      <c r="DG4" s="375">
        <f>DG6+DG7</f>
        <v>2789.6500135913825</v>
      </c>
      <c r="DH4" s="375">
        <f>DH6+DH7</f>
        <v>2997.4092322578426</v>
      </c>
      <c r="DI4" s="42">
        <f>SUM(DE4:DH4)</f>
        <v>11084.546557192618</v>
      </c>
      <c r="DJ4" s="375">
        <f>DJ6+DJ7</f>
        <v>2029.766278831062</v>
      </c>
      <c r="DK4" s="375">
        <f>DK6+DK7</f>
        <v>2230.3892844623933</v>
      </c>
      <c r="DL4" s="375">
        <f>DL6+DL7</f>
        <v>2238.9281416389085</v>
      </c>
      <c r="DM4" s="375">
        <f>DM6+DM7</f>
        <v>2417.7158458576178</v>
      </c>
      <c r="DN4" s="42">
        <f>SUM(DJ4:DM4)</f>
        <v>8916.7995507899814</v>
      </c>
      <c r="DO4" s="375">
        <f>DO6+DO7</f>
        <v>736.01021680326642</v>
      </c>
      <c r="DP4" s="375">
        <f>DP6+DP7</f>
        <v>808.30911510908822</v>
      </c>
      <c r="DQ4" s="375">
        <f>DQ6+DQ7</f>
        <v>811.88947654142885</v>
      </c>
      <c r="DR4" s="375">
        <f>DR6+DR7</f>
        <v>875.98907076728403</v>
      </c>
      <c r="DS4" s="42">
        <f>SUM(DO4:DR4)</f>
        <v>3232.1978792210675</v>
      </c>
      <c r="DT4" s="375">
        <f>DT6+DT7</f>
        <v>200.56625146477234</v>
      </c>
      <c r="DU4" s="375">
        <f>DU6+DU7</f>
        <v>220.06922725970247</v>
      </c>
      <c r="DV4" s="375">
        <f>DV6+DV7</f>
        <v>221.25940224148448</v>
      </c>
      <c r="DW4" s="375">
        <f>DW6+DW7</f>
        <v>238.40323104748774</v>
      </c>
      <c r="DX4" s="42">
        <f>SUM(DT4:DW4)</f>
        <v>880.29811201344705</v>
      </c>
      <c r="DY4" s="375">
        <f>DY6+DY7</f>
        <v>93.279303323361418</v>
      </c>
      <c r="DZ4" s="375">
        <f>DZ6+DZ7</f>
        <v>101.99803843653029</v>
      </c>
      <c r="EA4" s="375">
        <f>EA6+EA7</f>
        <v>102.93103342867931</v>
      </c>
      <c r="EB4" s="375">
        <f>EB6+EB7</f>
        <v>110.33180868939394</v>
      </c>
      <c r="EC4" s="42">
        <f>SUM(DY4:EB4)</f>
        <v>408.54018387796498</v>
      </c>
      <c r="ED4" s="375">
        <f>ED6+ED7</f>
        <v>56.619687221021387</v>
      </c>
      <c r="EE4" s="375">
        <f>EE6+EE7</f>
        <v>61.64039683604571</v>
      </c>
      <c r="EF4" s="375">
        <f>EF6+EF7</f>
        <v>62.499631158054761</v>
      </c>
      <c r="EG4" s="375">
        <f>EG6+EG7</f>
        <v>66.549938335765646</v>
      </c>
      <c r="EH4" s="42">
        <f>SUM(ED4:EG4)</f>
        <v>247.3096535508875</v>
      </c>
      <c r="EI4" s="375">
        <f>EI6+EI7</f>
        <v>49.178839387671985</v>
      </c>
      <c r="EJ4" s="375">
        <f>EJ6+EJ7</f>
        <v>53.435544778016968</v>
      </c>
      <c r="EK4" s="375">
        <f>EK6+EK7</f>
        <v>54.294277935406335</v>
      </c>
      <c r="EL4" s="375">
        <f>EL6+EL7</f>
        <v>57.642706576643953</v>
      </c>
      <c r="EM4" s="42">
        <f>SUM(EI4:EL4)</f>
        <v>214.55136867773925</v>
      </c>
    </row>
    <row r="5" spans="1:143" ht="13.5" thickBot="1">
      <c r="B5" s="25"/>
      <c r="C5" s="51"/>
      <c r="D5" s="43"/>
      <c r="E5" s="43"/>
      <c r="F5" s="43"/>
      <c r="G5" s="43"/>
      <c r="H5" s="51"/>
      <c r="I5" s="43"/>
      <c r="J5" s="43"/>
      <c r="K5" s="43"/>
      <c r="L5" s="43"/>
      <c r="M5" s="51"/>
      <c r="N5" s="43"/>
      <c r="O5" s="43"/>
      <c r="P5" s="43"/>
      <c r="Q5" s="43"/>
      <c r="R5" s="51"/>
      <c r="S5" s="43"/>
      <c r="T5" s="43"/>
      <c r="U5" s="43"/>
      <c r="V5" s="43"/>
      <c r="W5" s="51"/>
      <c r="X5" s="43"/>
      <c r="Y5" s="43"/>
      <c r="Z5" s="43"/>
      <c r="AA5" s="43"/>
      <c r="AB5" s="51"/>
      <c r="AC5" s="43"/>
      <c r="AD5" s="43"/>
      <c r="AE5" s="43"/>
      <c r="AF5" s="43"/>
      <c r="AG5" s="51"/>
      <c r="AH5" s="43"/>
      <c r="AI5" s="43"/>
      <c r="AJ5" s="43"/>
      <c r="AK5" s="43"/>
      <c r="AL5" s="42"/>
      <c r="AM5" s="43"/>
      <c r="AN5" s="43"/>
      <c r="AO5" s="43"/>
      <c r="AP5" s="43"/>
      <c r="AQ5" s="51"/>
      <c r="AR5" s="43"/>
      <c r="AS5" s="43"/>
      <c r="AT5" s="43"/>
      <c r="AU5" s="43"/>
      <c r="AV5" s="51"/>
      <c r="AW5" s="375"/>
      <c r="AX5" s="375"/>
      <c r="AY5" s="375"/>
      <c r="AZ5" s="375"/>
      <c r="BA5" s="51"/>
      <c r="BB5" s="442"/>
      <c r="BC5" s="442"/>
      <c r="BD5" s="442"/>
      <c r="BE5" s="442"/>
      <c r="BF5" s="51"/>
      <c r="BG5" s="443"/>
      <c r="BH5" s="443"/>
      <c r="BI5" s="778"/>
      <c r="BJ5" s="778"/>
      <c r="BK5" s="779"/>
      <c r="BL5" s="375"/>
      <c r="BM5" s="375"/>
      <c r="BN5" s="375"/>
      <c r="BO5" s="375"/>
      <c r="BP5" s="42"/>
      <c r="BQ5" s="375"/>
      <c r="BR5" s="375"/>
      <c r="BS5" s="375"/>
      <c r="BT5" s="375"/>
      <c r="BU5" s="975"/>
      <c r="BV5" s="375"/>
      <c r="BW5" s="375"/>
      <c r="BX5" s="375"/>
      <c r="BY5" s="375"/>
      <c r="BZ5" s="975"/>
      <c r="CA5" s="375"/>
      <c r="CB5" s="375"/>
      <c r="CC5" s="377" t="s">
        <v>432</v>
      </c>
      <c r="CD5" s="378"/>
      <c r="CE5" s="379" t="s">
        <v>1046</v>
      </c>
      <c r="CF5" s="375"/>
      <c r="CG5" s="375"/>
      <c r="CH5" s="375"/>
      <c r="CI5" s="375"/>
      <c r="CJ5" s="42"/>
      <c r="CK5" s="375"/>
      <c r="CL5" s="375"/>
      <c r="CM5" s="375"/>
      <c r="CN5" s="375"/>
      <c r="CO5" s="42"/>
      <c r="CP5" s="375"/>
      <c r="CQ5" s="375"/>
      <c r="CR5" s="375"/>
      <c r="CS5" s="375"/>
      <c r="CT5" s="42"/>
      <c r="CU5" s="375"/>
      <c r="CV5" s="375"/>
      <c r="CW5" s="375"/>
      <c r="CX5" s="375"/>
      <c r="CY5" s="42"/>
      <c r="CZ5" s="375"/>
      <c r="DA5" s="375"/>
      <c r="DB5" s="375"/>
      <c r="DC5" s="375"/>
      <c r="DD5" s="42"/>
      <c r="DE5" s="375"/>
      <c r="DF5" s="375"/>
      <c r="DG5" s="375"/>
      <c r="DH5" s="375"/>
      <c r="DI5" s="42"/>
      <c r="DJ5" s="375"/>
      <c r="DK5" s="375"/>
      <c r="DL5" s="375"/>
      <c r="DM5" s="375"/>
      <c r="DN5" s="42"/>
      <c r="DO5" s="375"/>
      <c r="DP5" s="375"/>
      <c r="DQ5" s="375"/>
      <c r="DR5" s="375"/>
      <c r="DS5" s="42"/>
      <c r="DT5" s="375"/>
      <c r="DU5" s="375"/>
      <c r="DV5" s="375"/>
      <c r="DW5" s="375"/>
      <c r="DX5" s="42"/>
      <c r="DY5" s="375"/>
      <c r="DZ5" s="375"/>
      <c r="EA5" s="375"/>
      <c r="EB5" s="375"/>
      <c r="EC5" s="42"/>
      <c r="ED5" s="375"/>
      <c r="EE5" s="375"/>
      <c r="EF5" s="375"/>
      <c r="EG5" s="375"/>
      <c r="EH5" s="42"/>
      <c r="EI5" s="375"/>
      <c r="EJ5" s="375"/>
      <c r="EK5" s="375"/>
      <c r="EL5" s="375"/>
      <c r="EM5" s="42"/>
    </row>
    <row r="6" spans="1:143">
      <c r="B6" s="10" t="s">
        <v>181</v>
      </c>
      <c r="C6" s="51"/>
      <c r="D6" s="43"/>
      <c r="E6" s="43"/>
      <c r="F6" s="43"/>
      <c r="G6" s="43"/>
      <c r="H6" s="51"/>
      <c r="I6" s="43"/>
      <c r="J6" s="43"/>
      <c r="K6" s="43"/>
      <c r="L6" s="43"/>
      <c r="M6" s="51"/>
      <c r="N6" s="43"/>
      <c r="O6" s="43"/>
      <c r="P6" s="43"/>
      <c r="Q6" s="43"/>
      <c r="R6" s="51"/>
      <c r="S6" s="43"/>
      <c r="T6" s="43"/>
      <c r="U6" s="43"/>
      <c r="V6" s="43"/>
      <c r="W6" s="51"/>
      <c r="X6" s="43"/>
      <c r="Y6" s="43"/>
      <c r="Z6" s="43"/>
      <c r="AA6" s="43"/>
      <c r="AB6" s="51"/>
      <c r="AC6" s="43"/>
      <c r="AD6" s="43"/>
      <c r="AE6" s="43"/>
      <c r="AF6" s="43"/>
      <c r="AG6" s="51"/>
      <c r="AH6" s="43">
        <v>230</v>
      </c>
      <c r="AI6" s="43">
        <v>244</v>
      </c>
      <c r="AJ6" s="43">
        <v>273</v>
      </c>
      <c r="AK6" s="43">
        <v>291</v>
      </c>
      <c r="AL6" s="42">
        <f>AH6+AI6+AJ6+AK6</f>
        <v>1038</v>
      </c>
      <c r="AM6" s="43">
        <v>305</v>
      </c>
      <c r="AN6" s="43">
        <v>351</v>
      </c>
      <c r="AO6" s="43">
        <v>374</v>
      </c>
      <c r="AP6" s="43">
        <v>402</v>
      </c>
      <c r="AQ6" s="51">
        <f>AM6+AN6+AO6+AP6</f>
        <v>1432</v>
      </c>
      <c r="AR6" s="43">
        <v>419</v>
      </c>
      <c r="AS6" s="43">
        <v>458</v>
      </c>
      <c r="AT6" s="43">
        <f>467</f>
        <v>467</v>
      </c>
      <c r="AU6" s="43">
        <v>488</v>
      </c>
      <c r="AV6" s="51">
        <f>SUM(AR6:AU6)</f>
        <v>1832</v>
      </c>
      <c r="AW6" s="375">
        <f>489</f>
        <v>489</v>
      </c>
      <c r="AX6" s="375">
        <v>537</v>
      </c>
      <c r="AY6" s="375">
        <v>547</v>
      </c>
      <c r="AZ6" s="375">
        <v>577</v>
      </c>
      <c r="BA6" s="51">
        <f>SUM(AW6:AZ6)</f>
        <v>2150</v>
      </c>
      <c r="BB6" s="441">
        <v>568</v>
      </c>
      <c r="BC6" s="441">
        <v>625</v>
      </c>
      <c r="BD6" s="441">
        <v>633</v>
      </c>
      <c r="BE6" s="441">
        <v>663</v>
      </c>
      <c r="BF6" s="51">
        <f>SUM(BB6:BE6)</f>
        <v>2489</v>
      </c>
      <c r="BG6" s="376">
        <v>641.79999999999995</v>
      </c>
      <c r="BH6" s="376">
        <v>716.2</v>
      </c>
      <c r="BI6" s="376">
        <v>760.2</v>
      </c>
      <c r="BJ6" s="376">
        <v>797.5</v>
      </c>
      <c r="BK6" s="42">
        <f>SUM(BG6:BJ6)</f>
        <v>2915.7</v>
      </c>
      <c r="BL6" s="376">
        <v>810.8</v>
      </c>
      <c r="BM6" s="376">
        <v>872.6</v>
      </c>
      <c r="BN6" s="376">
        <v>895.2</v>
      </c>
      <c r="BO6" s="376">
        <v>956.3</v>
      </c>
      <c r="BP6" s="42">
        <f>SUM(BL6:BO6)</f>
        <v>3534.9000000000005</v>
      </c>
      <c r="BQ6" s="376">
        <v>996.5</v>
      </c>
      <c r="BR6" s="376">
        <v>1079.5999999999999</v>
      </c>
      <c r="BS6" s="376">
        <v>1153.3</v>
      </c>
      <c r="BT6" s="376">
        <v>1187.5</v>
      </c>
      <c r="BU6" s="42">
        <f>SUM(BQ6:BT6)</f>
        <v>4416.8999999999996</v>
      </c>
      <c r="BV6" s="376">
        <v>1234</v>
      </c>
      <c r="BW6" s="376">
        <v>1358</v>
      </c>
      <c r="BX6" s="376">
        <v>1361</v>
      </c>
      <c r="BY6" s="376">
        <v>1473</v>
      </c>
      <c r="BZ6" s="42">
        <f>SUM(BV6:BY6)</f>
        <v>5426</v>
      </c>
      <c r="CA6" s="375">
        <f>(CE6/BZ6)*BV6</f>
        <v>1437.5167481901728</v>
      </c>
      <c r="CB6" s="375">
        <f>(CE6/BZ6)*BW6</f>
        <v>1581.9673776679538</v>
      </c>
      <c r="CC6" s="375">
        <f>(CE6/BZ6)*BX6</f>
        <v>1585.4621509617709</v>
      </c>
      <c r="CD6" s="375">
        <f>(CE6/BZ6)*BY6</f>
        <v>1715.9336872642825</v>
      </c>
      <c r="CE6" s="42">
        <f>Revlimid_Roll_Up!M4</f>
        <v>6320.8799640841798</v>
      </c>
      <c r="CF6" s="375">
        <f>(CJ6/CE6)*CA6</f>
        <v>1696.5397030583315</v>
      </c>
      <c r="CG6" s="375">
        <f>(CJ6/CE6)*CB6</f>
        <v>1867.0185711128156</v>
      </c>
      <c r="CH6" s="375">
        <f>(CJ6/CE6)*CC6</f>
        <v>1871.1430598560692</v>
      </c>
      <c r="CI6" s="375">
        <f>(CJ6/CE6)*CD6</f>
        <v>2025.1239729375384</v>
      </c>
      <c r="CJ6" s="42">
        <f>Revlimid_Roll_Up!N4</f>
        <v>7459.8253069647544</v>
      </c>
      <c r="CK6" s="375">
        <f>(CO6/CJ6)*CF6</f>
        <v>1981.94479952705</v>
      </c>
      <c r="CL6" s="375">
        <f>(CO6/CJ6)*CG6</f>
        <v>2181.1029479398171</v>
      </c>
      <c r="CM6" s="375">
        <f>(CO6/CJ6)*CH6</f>
        <v>2185.9212902401259</v>
      </c>
      <c r="CN6" s="375">
        <f>(CO6/CJ6)*CI6</f>
        <v>2365.8060694516571</v>
      </c>
      <c r="CO6" s="42">
        <f>Revlimid_Roll_Up!O4</f>
        <v>8714.7751071586499</v>
      </c>
      <c r="CP6" s="375">
        <f>(CT6/CO6)*CK6</f>
        <v>2220.8672850403859</v>
      </c>
      <c r="CQ6" s="375">
        <f>(CT6/CO6)*CL6</f>
        <v>2444.0338517705386</v>
      </c>
      <c r="CR6" s="375">
        <f>(CT6/CO6)*CM6</f>
        <v>2449.433042901107</v>
      </c>
      <c r="CS6" s="375">
        <f>(CT6/CO6)*CN6</f>
        <v>2651.0028451089861</v>
      </c>
      <c r="CT6" s="42">
        <f>Revlimid_Roll_Up!P4</f>
        <v>9765.3370248210176</v>
      </c>
      <c r="CU6" s="375">
        <f>(CY6/CT6)*CP6</f>
        <v>2362.639231222181</v>
      </c>
      <c r="CV6" s="375">
        <f>(CY6/CT6)*CQ6</f>
        <v>2600.0519254454798</v>
      </c>
      <c r="CW6" s="375">
        <f>(CY6/CT6)*CR6</f>
        <v>2605.7957809508825</v>
      </c>
      <c r="CX6" s="375">
        <f>(CY6/CT6)*CS6</f>
        <v>2820.2330531525713</v>
      </c>
      <c r="CY6" s="42">
        <f>Revlimid_Roll_Up!Q4</f>
        <v>10388.719990771115</v>
      </c>
      <c r="CZ6" s="375">
        <f>(DD6/CY6)*CU6</f>
        <v>2379.7100431460549</v>
      </c>
      <c r="DA6" s="375">
        <f>(DD6/CY6)*CV6</f>
        <v>2618.8381187944433</v>
      </c>
      <c r="DB6" s="375">
        <f>(DD6/CY6)*CW6</f>
        <v>2624.6234754633565</v>
      </c>
      <c r="DC6" s="375">
        <f>(DD6/CY6)*CX6</f>
        <v>2840.6101244360934</v>
      </c>
      <c r="DD6" s="42">
        <f>Revlimid_Roll_Up!R4</f>
        <v>10463.781761839949</v>
      </c>
      <c r="DE6" s="375">
        <f>(DI6/DD6)*CZ6</f>
        <v>2307.7597482375845</v>
      </c>
      <c r="DF6" s="375">
        <f>(DI6/DD6)*DA6</f>
        <v>2539.6578104591899</v>
      </c>
      <c r="DG6" s="375">
        <f>(DI6/DD6)*DB6</f>
        <v>2545.2682474484227</v>
      </c>
      <c r="DH6" s="375">
        <f>(DI6/DD6)*DC6</f>
        <v>2754.7245617130975</v>
      </c>
      <c r="DI6" s="42">
        <f>Revlimid_Roll_Up!S4</f>
        <v>10147.410367858296</v>
      </c>
      <c r="DJ6" s="375">
        <f>(DN6/DI6)*DE6</f>
        <v>1974.5381219984138</v>
      </c>
      <c r="DK6" s="375">
        <f>(DN6/DI6)*DF6</f>
        <v>2172.9520013564393</v>
      </c>
      <c r="DL6" s="375">
        <f>(DN6/DI6)*DG6</f>
        <v>2177.7523371473599</v>
      </c>
      <c r="DM6" s="375">
        <f>(DN6/DI6)*DH6</f>
        <v>2356.9648733417048</v>
      </c>
      <c r="DN6" s="42">
        <f>Revlimid_Roll_Up!T4</f>
        <v>8682.2073338439186</v>
      </c>
      <c r="DO6" s="375">
        <f>(DS6/DN6)*DJ6</f>
        <v>708.56613354735759</v>
      </c>
      <c r="DP6" s="375">
        <f>(DS6/DN6)*DK6</f>
        <v>779.76726852294303</v>
      </c>
      <c r="DQ6" s="375">
        <f>(DS6/DN6)*DL6</f>
        <v>781.48987662719128</v>
      </c>
      <c r="DR6" s="375">
        <f>(DS6/DN6)*DM6</f>
        <v>845.80057918578427</v>
      </c>
      <c r="DS6" s="42">
        <f>Revlimid_Roll_Up!U4</f>
        <v>3115.6238578832763</v>
      </c>
      <c r="DT6" s="375">
        <f>(DX6/DS6)*DO6</f>
        <v>189.80066932800929</v>
      </c>
      <c r="DU6" s="375">
        <f>(DX6/DS6)*DP6</f>
        <v>208.87302183746891</v>
      </c>
      <c r="DV6" s="375">
        <f>(DX6/DS6)*DQ6</f>
        <v>209.33444972076234</v>
      </c>
      <c r="DW6" s="375">
        <f>(DX6/DS6)*DR6</f>
        <v>226.56109069704837</v>
      </c>
      <c r="DX6" s="42">
        <f>Revlimid_Roll_Up!V4</f>
        <v>834.56923158328891</v>
      </c>
      <c r="DY6" s="375">
        <f>(EC6/DX6)*DT6</f>
        <v>82.457833837208597</v>
      </c>
      <c r="DZ6" s="375">
        <f>(EC6/DX6)*DU6</f>
        <v>90.743710170931351</v>
      </c>
      <c r="EA6" s="375">
        <f>(EC6/DX6)*DV6</f>
        <v>90.944174920940796</v>
      </c>
      <c r="EB6" s="375">
        <f>(EC6/DX6)*DW6</f>
        <v>98.428192254625827</v>
      </c>
      <c r="EC6" s="51">
        <f>Revlimid_Roll_Up!W4</f>
        <v>362.57391118370657</v>
      </c>
      <c r="ED6" s="375">
        <f>(EH6/EC6)*DY6</f>
        <v>45.56280685571253</v>
      </c>
      <c r="EE6" s="375">
        <f>(EH6/EC6)*DZ6</f>
        <v>50.141241256124495</v>
      </c>
      <c r="EF6" s="375">
        <f>(EH6/EC6)*EA6</f>
        <v>50.252009830328021</v>
      </c>
      <c r="EG6" s="375">
        <f>(EH6/EC6)*EB6</f>
        <v>54.387369933925903</v>
      </c>
      <c r="EH6" s="42">
        <f>Revlimid_Roll_Up!X4</f>
        <v>200.34342787609094</v>
      </c>
      <c r="EI6" s="375">
        <f>(EM6/EH6)*ED6</f>
        <v>37.852450958068118</v>
      </c>
      <c r="EJ6" s="375">
        <f>(EM6/EH6)*EE6</f>
        <v>41.656100811228946</v>
      </c>
      <c r="EK6" s="375">
        <f>(EM6/EH6)*EF6</f>
        <v>41.748124597998974</v>
      </c>
      <c r="EL6" s="375">
        <f>(EM6/EH6)*EG6</f>
        <v>45.183679304079696</v>
      </c>
      <c r="EM6" s="42">
        <f>Revlimid_Roll_Up!Y4</f>
        <v>166.44035567137573</v>
      </c>
    </row>
    <row r="7" spans="1:143">
      <c r="B7" s="10" t="s">
        <v>76</v>
      </c>
      <c r="C7" s="51"/>
      <c r="D7" s="43"/>
      <c r="E7" s="43"/>
      <c r="F7" s="43"/>
      <c r="G7" s="43"/>
      <c r="H7" s="51"/>
      <c r="I7" s="43"/>
      <c r="J7" s="43"/>
      <c r="K7" s="43"/>
      <c r="L7" s="43"/>
      <c r="M7" s="51"/>
      <c r="N7" s="43"/>
      <c r="O7" s="43"/>
      <c r="P7" s="43"/>
      <c r="Q7" s="43"/>
      <c r="R7" s="51"/>
      <c r="S7" s="43"/>
      <c r="T7" s="43"/>
      <c r="U7" s="43"/>
      <c r="V7" s="43"/>
      <c r="W7" s="51"/>
      <c r="X7" s="43"/>
      <c r="Y7" s="43"/>
      <c r="Z7" s="43"/>
      <c r="AA7" s="43"/>
      <c r="AB7" s="51"/>
      <c r="AC7" s="43"/>
      <c r="AD7" s="43"/>
      <c r="AE7" s="43"/>
      <c r="AF7" s="43"/>
      <c r="AG7" s="51"/>
      <c r="AH7" s="43">
        <f>+AH4-AH6</f>
        <v>132.51600000000002</v>
      </c>
      <c r="AI7" s="43">
        <f>+AI4-AI6</f>
        <v>153.27300000000002</v>
      </c>
      <c r="AJ7" s="43">
        <f>+AJ4-AJ6</f>
        <v>176.58600000000001</v>
      </c>
      <c r="AK7" s="43">
        <f>+AK4-AK6</f>
        <v>206.06199999999984</v>
      </c>
      <c r="AL7" s="42">
        <f>AH7+AI7+AJ7+AK7</f>
        <v>668.4369999999999</v>
      </c>
      <c r="AM7" s="43">
        <f>+AM4-AM6</f>
        <v>225.46600000000001</v>
      </c>
      <c r="AN7" s="43">
        <f>+AN4-AN6</f>
        <v>236.14300000000003</v>
      </c>
      <c r="AO7" s="43">
        <f>+AO4-AO6</f>
        <v>267.27200000000005</v>
      </c>
      <c r="AP7" s="43">
        <f>+AP4-AP6</f>
        <v>308.30200000000002</v>
      </c>
      <c r="AQ7" s="51">
        <f>AM7+AN7+AO7+AP7</f>
        <v>1037.183</v>
      </c>
      <c r="AR7" s="43">
        <f>+AR4-AR6</f>
        <v>318.87</v>
      </c>
      <c r="AS7" s="43">
        <f>+AS4-AS6</f>
        <v>337.44500000000005</v>
      </c>
      <c r="AT7" s="43">
        <f>+AT4-AT6</f>
        <v>353.01900000000001</v>
      </c>
      <c r="AU7" s="43">
        <f>+AU4-AU6</f>
        <v>366.81899999999985</v>
      </c>
      <c r="AV7" s="51">
        <f>SUM(AR7:AU7)</f>
        <v>1376.1529999999998</v>
      </c>
      <c r="AW7" s="375">
        <f>+AW4-AW6</f>
        <v>371.99800000000005</v>
      </c>
      <c r="AX7" s="375">
        <f>+AX4-AX6</f>
        <v>396.86500000000001</v>
      </c>
      <c r="AY7" s="375">
        <f>+AY4-AY6</f>
        <v>423.11699999999996</v>
      </c>
      <c r="AZ7" s="375">
        <f>+AZ4-AZ6</f>
        <v>424.66000000000008</v>
      </c>
      <c r="BA7" s="51">
        <f>SUM(AW7:AZ7)</f>
        <v>1616.64</v>
      </c>
      <c r="BB7" s="375">
        <f>+BB4-BB6</f>
        <v>434.79999999999995</v>
      </c>
      <c r="BC7" s="375">
        <f>+BC4-BC6</f>
        <v>426.5</v>
      </c>
      <c r="BD7" s="375">
        <f>+BD4-BD6</f>
        <v>456.79999999999995</v>
      </c>
      <c r="BE7" s="375">
        <f>+BE4-BE6</f>
        <v>473</v>
      </c>
      <c r="BF7" s="51">
        <f>SUM(BB7:BE7)</f>
        <v>1791.1</v>
      </c>
      <c r="BG7" s="376">
        <v>502</v>
      </c>
      <c r="BH7" s="376">
        <v>497.5</v>
      </c>
      <c r="BI7" s="376">
        <v>539.79999999999995</v>
      </c>
      <c r="BJ7" s="376">
        <v>525</v>
      </c>
      <c r="BK7" s="42">
        <f>SUM(BG7:BJ7)</f>
        <v>2064.3000000000002</v>
      </c>
      <c r="BL7" s="376">
        <v>532.1</v>
      </c>
      <c r="BM7" s="376">
        <v>571.4</v>
      </c>
      <c r="BN7" s="376">
        <v>558.29999999999995</v>
      </c>
      <c r="BO7" s="376">
        <v>604.4</v>
      </c>
      <c r="BP7" s="42">
        <f>SUM(BL7:BO7)</f>
        <v>2266.1999999999998</v>
      </c>
      <c r="BQ7" s="376">
        <v>577.1</v>
      </c>
      <c r="BR7" s="376">
        <v>621.20000000000005</v>
      </c>
      <c r="BS7" s="376">
        <v>737.8</v>
      </c>
      <c r="BT7" s="376">
        <v>620.6</v>
      </c>
      <c r="BU7" s="42">
        <f>SUM(BQ7:BT7)</f>
        <v>2556.7000000000003</v>
      </c>
      <c r="BV7" s="376">
        <v>650</v>
      </c>
      <c r="BW7" s="376">
        <v>676</v>
      </c>
      <c r="BX7" s="376">
        <v>720</v>
      </c>
      <c r="BY7" s="376">
        <v>715</v>
      </c>
      <c r="BZ7" s="42">
        <f>SUM(BV7:BY7)</f>
        <v>2761</v>
      </c>
      <c r="CA7" s="375">
        <f>(CE7/BZ7)*BV7</f>
        <v>720.71044017532586</v>
      </c>
      <c r="CB7" s="375">
        <f>(CE7/BZ7)*BW7</f>
        <v>749.53885778233894</v>
      </c>
      <c r="CC7" s="375">
        <f>(CE7/BZ7)*BX7</f>
        <v>798.3254106557456</v>
      </c>
      <c r="CD7" s="375">
        <f>(CE7/BZ7)*BY7</f>
        <v>792.78148419285844</v>
      </c>
      <c r="CE7" s="42">
        <f>Revlimid_Roll_Up!M10</f>
        <v>3061.3561928062686</v>
      </c>
      <c r="CF7" s="375">
        <f>(CJ7/CE7)*CA7</f>
        <v>778.55327752036305</v>
      </c>
      <c r="CG7" s="375">
        <f>(CJ7/CE7)*CB7</f>
        <v>809.69540862117765</v>
      </c>
      <c r="CH7" s="375">
        <f>(CJ7/CE7)*CC7</f>
        <v>862.3974766379406</v>
      </c>
      <c r="CI7" s="375">
        <f>(CJ7/CE7)*CD7</f>
        <v>856.40860527239931</v>
      </c>
      <c r="CJ7" s="42">
        <f>Revlimid_Roll_Up!N10</f>
        <v>3307.0547680518803</v>
      </c>
      <c r="CK7" s="375">
        <f>(CO7/CJ7)*CF7</f>
        <v>862.88390806124119</v>
      </c>
      <c r="CL7" s="375">
        <f>(CO7/CJ7)*CG7</f>
        <v>897.39926438369093</v>
      </c>
      <c r="CM7" s="375">
        <f>(CO7/CJ7)*CH7</f>
        <v>955.80986739091338</v>
      </c>
      <c r="CN7" s="375">
        <f>(CO7/CJ7)*CI7</f>
        <v>949.17229886736527</v>
      </c>
      <c r="CO7" s="42">
        <f>Revlimid_Roll_Up!O10</f>
        <v>3665.2653387032101</v>
      </c>
      <c r="CP7" s="375">
        <f>(CT7/CO7)*CK7</f>
        <v>969.21213013086606</v>
      </c>
      <c r="CQ7" s="375">
        <f>(CT7/CO7)*CL7</f>
        <v>1007.9806153361009</v>
      </c>
      <c r="CR7" s="375">
        <f>(CT7/CO7)*CM7</f>
        <v>1073.5888210680364</v>
      </c>
      <c r="CS7" s="375">
        <f>(CT7/CO7)*CN7</f>
        <v>1066.1333431439527</v>
      </c>
      <c r="CT7" s="42">
        <f>Revlimid_Roll_Up!P10</f>
        <v>4116.9149096789552</v>
      </c>
      <c r="CU7" s="375">
        <f>(CY7/CT7)*CP7</f>
        <v>844.17928475368979</v>
      </c>
      <c r="CV7" s="375">
        <f>(CY7/CT7)*CQ7</f>
        <v>877.94645614383751</v>
      </c>
      <c r="CW7" s="375">
        <f>(CY7/CT7)*CR7</f>
        <v>935.09090003485653</v>
      </c>
      <c r="CX7" s="375">
        <f>(CY7/CT7)*CS7</f>
        <v>928.59721322905887</v>
      </c>
      <c r="CY7" s="42">
        <f>Revlimid_Roll_Up!Q10</f>
        <v>3585.8138541614421</v>
      </c>
      <c r="CZ7" s="375">
        <f>(DD7/CY7)*CU7</f>
        <v>554.73820851714709</v>
      </c>
      <c r="DA7" s="375">
        <f>(DD7/CY7)*CV7</f>
        <v>576.92773685783311</v>
      </c>
      <c r="DB7" s="375">
        <f>(DD7/CY7)*CW7</f>
        <v>614.47924635745539</v>
      </c>
      <c r="DC7" s="375">
        <f>(DD7/CY7)*CX7</f>
        <v>610.21202936886198</v>
      </c>
      <c r="DD7" s="42">
        <f>Revlimid_Roll_Up!R10</f>
        <v>2356.357221101297</v>
      </c>
      <c r="DE7" s="375">
        <f>(DI7/DD7)*CZ7</f>
        <v>220.62242776794992</v>
      </c>
      <c r="DF7" s="375">
        <f>(DI7/DD7)*DA7</f>
        <v>229.44732487866798</v>
      </c>
      <c r="DG7" s="375">
        <f>(DI7/DD7)*DB7</f>
        <v>244.38176614295998</v>
      </c>
      <c r="DH7" s="375">
        <f>(DI7/DD7)*DC7</f>
        <v>242.68467054474499</v>
      </c>
      <c r="DI7" s="42">
        <f>Revlimid_Roll_Up!S10</f>
        <v>937.13618933432269</v>
      </c>
      <c r="DJ7" s="375">
        <f>(DN7/DI7)*DE7</f>
        <v>55.228156832648217</v>
      </c>
      <c r="DK7" s="375">
        <f>(DN7/DI7)*DF7</f>
        <v>57.437283105954158</v>
      </c>
      <c r="DL7" s="375">
        <f>(DN7/DI7)*DG7</f>
        <v>61.17580449154881</v>
      </c>
      <c r="DM7" s="375">
        <f>(DN7/DI7)*DH7</f>
        <v>60.750972515913055</v>
      </c>
      <c r="DN7" s="42">
        <f>Revlimid_Roll_Up!T10</f>
        <v>234.59221694606418</v>
      </c>
      <c r="DO7" s="375">
        <f>(DS7/DN7)*DJ7</f>
        <v>27.444083255908872</v>
      </c>
      <c r="DP7" s="375">
        <f>(DS7/DN7)*DK7</f>
        <v>28.541846586145233</v>
      </c>
      <c r="DQ7" s="375">
        <f>(DS7/DN7)*DL7</f>
        <v>30.399599914237527</v>
      </c>
      <c r="DR7" s="375">
        <f>(DS7/DN7)*DM7</f>
        <v>30.188491581499765</v>
      </c>
      <c r="DS7" s="42">
        <f>Revlimid_Roll_Up!U10</f>
        <v>116.57402133779136</v>
      </c>
      <c r="DT7" s="375">
        <f>(DX7/DS7)*DO7</f>
        <v>10.765582136763047</v>
      </c>
      <c r="DU7" s="375">
        <f>(DX7/DS7)*DP7</f>
        <v>11.196205422233572</v>
      </c>
      <c r="DV7" s="375">
        <f>(DX7/DS7)*DQ7</f>
        <v>11.924952520722147</v>
      </c>
      <c r="DW7" s="375">
        <f>(DX7/DS7)*DR7</f>
        <v>11.842140350439353</v>
      </c>
      <c r="DX7" s="42">
        <f>Revlimid_Roll_Up!V10</f>
        <v>45.728880430158107</v>
      </c>
      <c r="DY7" s="375">
        <f>(EC7/DX7)*DT7</f>
        <v>10.821469486152823</v>
      </c>
      <c r="DZ7" s="375">
        <f>(EC7/DX7)*DU7</f>
        <v>11.254328265598939</v>
      </c>
      <c r="EA7" s="375">
        <f>(EC7/DX7)*DV7</f>
        <v>11.986858507738516</v>
      </c>
      <c r="EB7" s="375">
        <f>(EC7/DX7)*DW7</f>
        <v>11.903616434768107</v>
      </c>
      <c r="EC7" s="51">
        <f>Revlimid_Roll_Up!W10</f>
        <v>45.966272694258372</v>
      </c>
      <c r="ED7" s="375">
        <f>(EH7/EC7)*DY7</f>
        <v>11.056880365308858</v>
      </c>
      <c r="EE7" s="375">
        <f>(EH7/EC7)*DZ7</f>
        <v>11.499155579921215</v>
      </c>
      <c r="EF7" s="375">
        <f>(EH7/EC7)*EA7</f>
        <v>12.247621327726739</v>
      </c>
      <c r="EG7" s="375">
        <f>(EH7/EC7)*EB7</f>
        <v>12.162568401839746</v>
      </c>
      <c r="EH7" s="42">
        <f>Revlimid_Roll_Up!X10</f>
        <v>46.96622567479654</v>
      </c>
      <c r="EI7" s="375">
        <f>(EM7/EH7)*ED7</f>
        <v>11.326388429603865</v>
      </c>
      <c r="EJ7" s="375">
        <f>(EM7/EH7)*EE7</f>
        <v>11.779443966788023</v>
      </c>
      <c r="EK7" s="375">
        <f>(EM7/EH7)*EF7</f>
        <v>12.546153337407363</v>
      </c>
      <c r="EL7" s="375">
        <f>(EM7/EH7)*EG7</f>
        <v>12.459027272564255</v>
      </c>
      <c r="EM7" s="42">
        <f>Revlimid_Roll_Up!Y10</f>
        <v>48.111013006363493</v>
      </c>
    </row>
    <row r="8" spans="1:143" ht="6.75" customHeight="1">
      <c r="B8" s="10"/>
      <c r="C8" s="51"/>
      <c r="D8" s="43"/>
      <c r="E8" s="43"/>
      <c r="F8" s="43"/>
      <c r="G8" s="43"/>
      <c r="H8" s="51"/>
      <c r="I8" s="43"/>
      <c r="J8" s="43"/>
      <c r="K8" s="43"/>
      <c r="L8" s="43"/>
      <c r="M8" s="51"/>
      <c r="N8" s="43"/>
      <c r="O8" s="43"/>
      <c r="P8" s="43"/>
      <c r="Q8" s="43"/>
      <c r="R8" s="51"/>
      <c r="S8" s="43"/>
      <c r="T8" s="43"/>
      <c r="U8" s="43"/>
      <c r="V8" s="43"/>
      <c r="W8" s="51"/>
      <c r="X8" s="43"/>
      <c r="Y8" s="43"/>
      <c r="Z8" s="43"/>
      <c r="AA8" s="43"/>
      <c r="AB8" s="51"/>
      <c r="AC8" s="43"/>
      <c r="AD8" s="43"/>
      <c r="AE8" s="43"/>
      <c r="AF8" s="43"/>
      <c r="AG8" s="51"/>
      <c r="AH8" s="43"/>
      <c r="AI8" s="43"/>
      <c r="AJ8" s="43"/>
      <c r="AK8" s="43"/>
      <c r="AL8" s="42"/>
      <c r="AM8" s="43"/>
      <c r="AN8" s="43"/>
      <c r="AO8" s="43"/>
      <c r="AP8" s="43"/>
      <c r="AQ8" s="51"/>
      <c r="AR8" s="43"/>
      <c r="AS8" s="43"/>
      <c r="AT8" s="43"/>
      <c r="AU8" s="43"/>
      <c r="AV8" s="51"/>
      <c r="AW8" s="375"/>
      <c r="AX8" s="375"/>
      <c r="AY8" s="375"/>
      <c r="AZ8" s="375"/>
      <c r="BA8" s="51"/>
      <c r="BB8" s="442"/>
      <c r="BC8" s="442"/>
      <c r="BD8" s="442"/>
      <c r="BE8" s="442"/>
      <c r="BF8" s="51"/>
      <c r="BG8" s="443"/>
      <c r="BH8" s="443"/>
      <c r="BI8" s="375"/>
      <c r="BJ8" s="375"/>
      <c r="BK8" s="42"/>
      <c r="BL8" s="375"/>
      <c r="BM8" s="375"/>
      <c r="BN8" s="375"/>
      <c r="BO8" s="375"/>
      <c r="BP8" s="42"/>
      <c r="BQ8" s="375"/>
      <c r="BR8" s="451"/>
      <c r="BS8" s="375"/>
      <c r="BT8" s="375"/>
      <c r="BU8" s="42"/>
      <c r="BV8" s="375"/>
      <c r="BW8" s="375"/>
      <c r="BX8" s="375"/>
      <c r="BY8" s="375"/>
      <c r="BZ8" s="42"/>
      <c r="CA8" s="375"/>
      <c r="CB8" s="375"/>
      <c r="CC8" s="375"/>
      <c r="CD8" s="375"/>
      <c r="CE8" s="42"/>
      <c r="CF8" s="375"/>
      <c r="CG8" s="375"/>
      <c r="CH8" s="375"/>
      <c r="CI8" s="375"/>
      <c r="CJ8" s="42"/>
      <c r="CK8" s="375"/>
      <c r="CL8" s="375"/>
      <c r="CM8" s="375"/>
      <c r="CN8" s="375"/>
      <c r="CO8" s="42"/>
      <c r="CP8" s="375"/>
      <c r="CQ8" s="375"/>
      <c r="CR8" s="375"/>
      <c r="CS8" s="375"/>
      <c r="CT8" s="42"/>
      <c r="CU8" s="375"/>
      <c r="CV8" s="375"/>
      <c r="CW8" s="375"/>
      <c r="CX8" s="375"/>
      <c r="CY8" s="42"/>
      <c r="CZ8" s="375"/>
      <c r="DA8" s="375"/>
      <c r="DB8" s="375"/>
      <c r="DC8" s="375"/>
      <c r="DD8" s="42"/>
      <c r="DE8" s="375"/>
      <c r="DF8" s="375"/>
      <c r="DG8" s="375"/>
      <c r="DH8" s="375"/>
      <c r="DI8" s="42"/>
      <c r="DJ8" s="375"/>
      <c r="DK8" s="375"/>
      <c r="DL8" s="375"/>
      <c r="DM8" s="375"/>
      <c r="DN8" s="42"/>
      <c r="DO8" s="375"/>
      <c r="DP8" s="375"/>
      <c r="DQ8" s="375"/>
      <c r="DR8" s="375"/>
      <c r="DS8" s="42"/>
      <c r="DT8" s="375"/>
      <c r="DU8" s="375"/>
      <c r="DV8" s="375"/>
      <c r="DW8" s="375"/>
      <c r="DX8" s="42"/>
      <c r="DY8" s="375"/>
      <c r="DZ8" s="375"/>
      <c r="EA8" s="375"/>
      <c r="EB8" s="375"/>
      <c r="EC8" s="42"/>
      <c r="ED8" s="375"/>
      <c r="EE8" s="375"/>
      <c r="EF8" s="375"/>
      <c r="EG8" s="375"/>
      <c r="EH8" s="42"/>
      <c r="EI8" s="375"/>
      <c r="EJ8" s="375"/>
      <c r="EK8" s="375"/>
      <c r="EL8" s="375"/>
      <c r="EM8" s="42"/>
    </row>
    <row r="9" spans="1:143">
      <c r="B9" s="25" t="s">
        <v>129</v>
      </c>
      <c r="C9" s="51"/>
      <c r="D9" s="43"/>
      <c r="E9" s="43"/>
      <c r="F9" s="43"/>
      <c r="G9" s="43"/>
      <c r="H9" s="51"/>
      <c r="I9" s="43"/>
      <c r="J9" s="43"/>
      <c r="K9" s="43"/>
      <c r="L9" s="43"/>
      <c r="M9" s="51"/>
      <c r="N9" s="43"/>
      <c r="O9" s="43"/>
      <c r="P9" s="43"/>
      <c r="Q9" s="43"/>
      <c r="R9" s="51"/>
      <c r="S9" s="43"/>
      <c r="T9" s="43"/>
      <c r="U9" s="43"/>
      <c r="V9" s="43"/>
      <c r="W9" s="51"/>
      <c r="X9" s="43"/>
      <c r="Y9" s="43"/>
      <c r="Z9" s="43"/>
      <c r="AA9" s="43"/>
      <c r="AB9" s="51"/>
      <c r="AC9" s="43">
        <v>13.82</v>
      </c>
      <c r="AD9" s="43">
        <v>59.676000000000002</v>
      </c>
      <c r="AE9" s="43">
        <v>63.530999999999999</v>
      </c>
      <c r="AF9" s="43">
        <f>206.692-AE9-AD9-AC9</f>
        <v>69.664999999999992</v>
      </c>
      <c r="AG9" s="51">
        <f>AC9+AD9+AE9+AF9</f>
        <v>206.69200000000001</v>
      </c>
      <c r="AH9" s="43">
        <v>75.382000000000005</v>
      </c>
      <c r="AI9" s="43">
        <v>92.009</v>
      </c>
      <c r="AJ9" s="43">
        <v>103.096</v>
      </c>
      <c r="AK9" s="43">
        <f>387.219-AJ9-AI9-AH9</f>
        <v>116.73199999999997</v>
      </c>
      <c r="AL9" s="42">
        <f>AH9+AI9+AJ9+AK9</f>
        <v>387.21899999999999</v>
      </c>
      <c r="AM9" s="43">
        <v>120.345</v>
      </c>
      <c r="AN9" s="43">
        <v>131.79300000000001</v>
      </c>
      <c r="AO9" s="43">
        <v>141.422</v>
      </c>
      <c r="AP9" s="43">
        <f>534.302-AO9-AN9-AM9</f>
        <v>140.74199999999999</v>
      </c>
      <c r="AQ9" s="51">
        <f>AM9+AN9+AO9+AP9</f>
        <v>534.30200000000002</v>
      </c>
      <c r="AR9" s="43">
        <v>163.28299999999999</v>
      </c>
      <c r="AS9" s="43">
        <v>161.697</v>
      </c>
      <c r="AT9" s="43">
        <v>191.16200000000001</v>
      </c>
      <c r="AU9" s="43">
        <f>705.327-AT9-AS9-AR9</f>
        <v>189.18499999999997</v>
      </c>
      <c r="AV9" s="51">
        <f>+SUM(AR9:AU9)</f>
        <v>705.327</v>
      </c>
      <c r="AW9" s="375">
        <v>186.21600000000001</v>
      </c>
      <c r="AX9" s="375">
        <v>201.29499999999999</v>
      </c>
      <c r="AY9" s="375">
        <v>219.61699999999999</v>
      </c>
      <c r="AZ9" s="375">
        <f>823.191-AY9-AX9-AW9</f>
        <v>216.0630000000001</v>
      </c>
      <c r="BA9" s="51">
        <f>SUM(AW9:AZ9)</f>
        <v>823.19100000000003</v>
      </c>
      <c r="BB9" s="441">
        <v>204.1</v>
      </c>
      <c r="BC9" s="441">
        <v>211.3</v>
      </c>
      <c r="BD9" s="441">
        <v>220.4</v>
      </c>
      <c r="BE9" s="441">
        <v>168</v>
      </c>
      <c r="BF9" s="51">
        <f>SUM(BB9:BE9)</f>
        <v>803.8</v>
      </c>
      <c r="BG9" s="443">
        <f>BG10+BG11</f>
        <v>148.4</v>
      </c>
      <c r="BH9" s="443">
        <f>BH10+BH11</f>
        <v>152</v>
      </c>
      <c r="BI9" s="375">
        <f>BI10+BI11</f>
        <v>157.79999999999998</v>
      </c>
      <c r="BJ9" s="375">
        <f>BJ10+BJ11</f>
        <v>153.70000000000002</v>
      </c>
      <c r="BK9" s="42">
        <f>SUM(BG9:BJ9)</f>
        <v>611.9</v>
      </c>
      <c r="BL9" s="375">
        <f>BL10+BL11</f>
        <v>143.6</v>
      </c>
      <c r="BM9" s="375">
        <f>BM10+BM11</f>
        <v>152.1</v>
      </c>
      <c r="BN9" s="375">
        <f>BN10+BN11</f>
        <v>147.6</v>
      </c>
      <c r="BO9" s="375">
        <f>BO10+BO11</f>
        <v>147.4</v>
      </c>
      <c r="BP9" s="42">
        <f>SUM(BL9:BO9)</f>
        <v>590.69999999999993</v>
      </c>
      <c r="BQ9" s="375">
        <f>BQ10+BQ11</f>
        <v>146.69999999999999</v>
      </c>
      <c r="BR9" s="375">
        <f>BR10+BR11</f>
        <v>154.1</v>
      </c>
      <c r="BS9" s="375">
        <f>BS10+BS11</f>
        <v>154.69999999999999</v>
      </c>
      <c r="BT9" s="375">
        <f>BT10+BT11</f>
        <v>152.5</v>
      </c>
      <c r="BU9" s="42">
        <f>SUM(BQ9:BT9)</f>
        <v>608</v>
      </c>
      <c r="BV9" s="375">
        <f>BV10+BV11</f>
        <v>158</v>
      </c>
      <c r="BW9" s="375">
        <f>BW10+BW11</f>
        <v>156</v>
      </c>
      <c r="BX9" s="375">
        <f>BX10+BX11</f>
        <v>151</v>
      </c>
      <c r="BY9" s="375">
        <f>BY10+BY11</f>
        <v>163</v>
      </c>
      <c r="BZ9" s="42">
        <f>SUM(BV9:BY9)</f>
        <v>628</v>
      </c>
      <c r="CA9" s="375">
        <f>CA10+CA11</f>
        <v>152.52268564037246</v>
      </c>
      <c r="CB9" s="375">
        <f>CB10+CB11</f>
        <v>150.57408329008922</v>
      </c>
      <c r="CC9" s="375">
        <f>CC10+CC11</f>
        <v>146.41102743038286</v>
      </c>
      <c r="CD9" s="375">
        <f>CD10+CD11</f>
        <v>156.68574150007879</v>
      </c>
      <c r="CE9" s="42">
        <f>SUM(CA9:CD9)</f>
        <v>606.19353786092324</v>
      </c>
      <c r="CF9" s="375">
        <f>CF10+CF11</f>
        <v>61.294750558632913</v>
      </c>
      <c r="CG9" s="375">
        <f>CG10+CG11</f>
        <v>60.51608204449127</v>
      </c>
      <c r="CH9" s="375">
        <f>CH10+CH11</f>
        <v>58.679441788415637</v>
      </c>
      <c r="CI9" s="375">
        <f>CI10+CI11</f>
        <v>63.131390814708539</v>
      </c>
      <c r="CJ9" s="42">
        <f>SUM(CF9:CI9)</f>
        <v>243.62166520624837</v>
      </c>
      <c r="CK9" s="375">
        <f>CK10+CK11</f>
        <v>12.722062859085691</v>
      </c>
      <c r="CL9" s="375">
        <f>CL10+CL11</f>
        <v>12.566483488356866</v>
      </c>
      <c r="CM9" s="375">
        <f>CM10+CM11</f>
        <v>11.961888775780579</v>
      </c>
      <c r="CN9" s="375">
        <f>CN10+CN11</f>
        <v>13.326657571661976</v>
      </c>
      <c r="CO9" s="42">
        <f>SUM(CK9:CN9)</f>
        <v>50.57709269488511</v>
      </c>
      <c r="CP9" s="375">
        <f>CP10+CP11</f>
        <v>0.81203297007348996</v>
      </c>
      <c r="CQ9" s="375">
        <f>CQ10+CQ11</f>
        <v>0.80952700459196414</v>
      </c>
      <c r="CR9" s="375">
        <f>CR10+CR11</f>
        <v>0.49623124237167487</v>
      </c>
      <c r="CS9" s="375">
        <f>CS10+CS11</f>
        <v>1.1253287322937791</v>
      </c>
      <c r="CT9" s="42">
        <f>SUM(CP9:CS9)</f>
        <v>3.2431199493309082</v>
      </c>
      <c r="CU9" s="375">
        <f>CU10+CU11</f>
        <v>0.84499030369132389</v>
      </c>
      <c r="CV9" s="375">
        <f>CV10+CV11</f>
        <v>0.8424617868008929</v>
      </c>
      <c r="CW9" s="375">
        <f>CW10+CW11</f>
        <v>0.5135217599011771</v>
      </c>
      <c r="CX9" s="375">
        <f>CX10+CX11</f>
        <v>1.1739303305910396</v>
      </c>
      <c r="CY9" s="42">
        <f>SUM(CU9:CX9)</f>
        <v>3.3749041809844336</v>
      </c>
      <c r="CZ9" s="375">
        <f>CZ10+CZ11</f>
        <v>0.87954210197790572</v>
      </c>
      <c r="DA9" s="375">
        <f>DA10+DA11</f>
        <v>0.87699083073641126</v>
      </c>
      <c r="DB9" s="375">
        <f>DB10+DB11</f>
        <v>0.53161681568275432</v>
      </c>
      <c r="DC9" s="375">
        <f>DC10+DC11</f>
        <v>1.2249161170315626</v>
      </c>
      <c r="DD9" s="42">
        <f>SUM(CZ9:DC9)</f>
        <v>3.5130658654286337</v>
      </c>
      <c r="DE9" s="375">
        <f>DE10+DE11</f>
        <v>0.91576838632435376</v>
      </c>
      <c r="DF9" s="375">
        <f>DF10+DF11</f>
        <v>0.91319415596334275</v>
      </c>
      <c r="DG9" s="375">
        <f>DG10+DG11</f>
        <v>0.55055648615857677</v>
      </c>
      <c r="DH9" s="375">
        <f>DH10+DH11</f>
        <v>1.2784060561291197</v>
      </c>
      <c r="DI9" s="42">
        <f>SUM(DE9:DH9)</f>
        <v>3.6579250845753926</v>
      </c>
      <c r="DJ9" s="375">
        <f>DJ10+DJ11</f>
        <v>0.95375322127808648</v>
      </c>
      <c r="DK9" s="375">
        <f>DK10+DK11</f>
        <v>0.95115582518637587</v>
      </c>
      <c r="DL9" s="375">
        <f>DL10+DL11</f>
        <v>0.57038286994062404</v>
      </c>
      <c r="DM9" s="375">
        <f>DM10+DM11</f>
        <v>1.3345261765238381</v>
      </c>
      <c r="DN9" s="42">
        <f>SUM(DJ9:DM9)</f>
        <v>3.8098180929289245</v>
      </c>
      <c r="DO9" s="375">
        <f>DO10+DO11</f>
        <v>0.99358491907320068</v>
      </c>
      <c r="DP9" s="375">
        <f>DP10+DP11</f>
        <v>0.99096414878029515</v>
      </c>
      <c r="DQ9" s="375">
        <f>DQ10+DQ11</f>
        <v>0.59114019008119945</v>
      </c>
      <c r="DR9" s="375">
        <f>DR10+DR11</f>
        <v>1.3934088777722964</v>
      </c>
      <c r="DS9" s="42">
        <f>SUM(DO9:DR9)</f>
        <v>3.9690981357069921</v>
      </c>
      <c r="DT9" s="375">
        <f>DT10+DT11</f>
        <v>1.0353562545096093</v>
      </c>
      <c r="DU9" s="375">
        <f>DU10+DU11</f>
        <v>1.0327118996689686</v>
      </c>
      <c r="DV9" s="375">
        <f>DV10+DV11</f>
        <v>0.61287490151787039</v>
      </c>
      <c r="DW9" s="375">
        <f>DW10+DW11</f>
        <v>1.4551932526607074</v>
      </c>
      <c r="DX9" s="42">
        <f>SUM(DT9:DW9)</f>
        <v>4.1361363083571554</v>
      </c>
      <c r="DY9" s="375">
        <f>DY10+DY11</f>
        <v>1.0791646907045782</v>
      </c>
      <c r="DZ9" s="375">
        <f>DZ10+DZ11</f>
        <v>1.0764965390767347</v>
      </c>
      <c r="EA9" s="375">
        <f>EA10+EA11</f>
        <v>0.63563580395465791</v>
      </c>
      <c r="EB9" s="375">
        <f>EB10+EB11</f>
        <v>1.5200254258266548</v>
      </c>
      <c r="EC9" s="42">
        <f>SUM(DY9:EB9)</f>
        <v>4.3113224595626249</v>
      </c>
      <c r="ED9" s="375">
        <f>ED10+ED11</f>
        <v>1.1251126162668008</v>
      </c>
      <c r="EE9" s="375">
        <f>EE10+EE11</f>
        <v>1.1224204537023246</v>
      </c>
      <c r="EF9" s="375">
        <f>EF10+EF11</f>
        <v>0.6594741604545431</v>
      </c>
      <c r="EG9" s="375">
        <f>EG10+EG11</f>
        <v>1.5880589095145818</v>
      </c>
      <c r="EH9" s="42">
        <f>SUM(ED9:EG9)</f>
        <v>4.4950661399382508</v>
      </c>
      <c r="EI9" s="375">
        <f>EI10+EI11</f>
        <v>1.1733075944709896</v>
      </c>
      <c r="EJ9" s="375">
        <f>EJ10+EJ11</f>
        <v>1.1705912048933012</v>
      </c>
      <c r="EK9" s="375">
        <f>EK10+EK11</f>
        <v>0.68444382203228227</v>
      </c>
      <c r="EL9" s="375">
        <f>EL10+EL11</f>
        <v>1.6594549773320082</v>
      </c>
      <c r="EM9" s="42">
        <f>SUM(EI9:EL9)</f>
        <v>4.6877975987285811</v>
      </c>
    </row>
    <row r="10" spans="1:143">
      <c r="B10" s="10" t="s">
        <v>181</v>
      </c>
      <c r="C10" s="51"/>
      <c r="D10" s="43"/>
      <c r="E10" s="43"/>
      <c r="F10" s="43"/>
      <c r="G10" s="43"/>
      <c r="H10" s="51"/>
      <c r="I10" s="43"/>
      <c r="J10" s="43"/>
      <c r="K10" s="43"/>
      <c r="L10" s="43"/>
      <c r="M10" s="51"/>
      <c r="N10" s="43"/>
      <c r="O10" s="43"/>
      <c r="P10" s="43"/>
      <c r="Q10" s="43"/>
      <c r="R10" s="51"/>
      <c r="S10" s="43"/>
      <c r="T10" s="43"/>
      <c r="U10" s="43"/>
      <c r="V10" s="43"/>
      <c r="W10" s="51"/>
      <c r="X10" s="43"/>
      <c r="Y10" s="43"/>
      <c r="Z10" s="43"/>
      <c r="AA10" s="43"/>
      <c r="AB10" s="51"/>
      <c r="AC10" s="43"/>
      <c r="AD10" s="43"/>
      <c r="AE10" s="43"/>
      <c r="AF10" s="43"/>
      <c r="AG10" s="51"/>
      <c r="AH10" s="43"/>
      <c r="AI10" s="43"/>
      <c r="AJ10" s="43"/>
      <c r="AK10" s="43"/>
      <c r="AL10" s="42"/>
      <c r="AM10" s="43"/>
      <c r="AN10" s="43"/>
      <c r="AO10" s="43">
        <v>67</v>
      </c>
      <c r="AP10" s="43">
        <f>AU10/1.19</f>
        <v>72.268907563025209</v>
      </c>
      <c r="AQ10" s="51">
        <f>AV10/1.16</f>
        <v>260.34482758620692</v>
      </c>
      <c r="AR10" s="43">
        <v>71</v>
      </c>
      <c r="AS10" s="43">
        <v>72</v>
      </c>
      <c r="AT10" s="43">
        <v>73</v>
      </c>
      <c r="AU10" s="43">
        <v>86</v>
      </c>
      <c r="AV10" s="51">
        <f>SUM(AR10:AU10)</f>
        <v>302</v>
      </c>
      <c r="AW10" s="375">
        <v>74</v>
      </c>
      <c r="AX10" s="375">
        <v>82</v>
      </c>
      <c r="AY10" s="375">
        <v>83</v>
      </c>
      <c r="AZ10" s="375">
        <v>88</v>
      </c>
      <c r="BA10" s="51">
        <f>SUM(AW10:AZ10)</f>
        <v>327</v>
      </c>
      <c r="BB10" s="441">
        <v>87</v>
      </c>
      <c r="BC10" s="441">
        <v>84</v>
      </c>
      <c r="BD10" s="441">
        <v>77.2</v>
      </c>
      <c r="BE10" s="441">
        <v>27</v>
      </c>
      <c r="BF10" s="51">
        <f>SUM(BB10:BE10)</f>
        <v>275.2</v>
      </c>
      <c r="BG10" s="376">
        <v>14.6</v>
      </c>
      <c r="BH10" s="376">
        <v>9.6999999999999993</v>
      </c>
      <c r="BI10" s="376">
        <v>9.6999999999999993</v>
      </c>
      <c r="BJ10" s="376">
        <v>8.8000000000000007</v>
      </c>
      <c r="BK10" s="42">
        <f>SUM(BG10:BJ10)</f>
        <v>42.8</v>
      </c>
      <c r="BL10" s="376">
        <v>5.9</v>
      </c>
      <c r="BM10" s="376">
        <v>5.6</v>
      </c>
      <c r="BN10" s="376">
        <v>4.9000000000000004</v>
      </c>
      <c r="BO10" s="376">
        <v>4.8</v>
      </c>
      <c r="BP10" s="42">
        <f>SUM(BL10:BO10)</f>
        <v>21.2</v>
      </c>
      <c r="BQ10" s="376">
        <v>3.5</v>
      </c>
      <c r="BR10" s="376">
        <v>3.6</v>
      </c>
      <c r="BS10" s="376">
        <v>2.7</v>
      </c>
      <c r="BT10" s="376">
        <v>2.1</v>
      </c>
      <c r="BU10" s="42">
        <f>SUM(BQ10:BT10)</f>
        <v>11.9</v>
      </c>
      <c r="BV10" s="376">
        <v>2</v>
      </c>
      <c r="BW10" s="376">
        <v>2</v>
      </c>
      <c r="BX10" s="376">
        <v>1</v>
      </c>
      <c r="BY10" s="376">
        <v>3</v>
      </c>
      <c r="BZ10" s="42">
        <f>SUM(BV10:BY10)</f>
        <v>8</v>
      </c>
      <c r="CA10" s="375">
        <f>(CE10/BZ10)*BV10</f>
        <v>0.5317023182797298</v>
      </c>
      <c r="CB10" s="375">
        <f>(CE10/BZ10)*BW10</f>
        <v>0.5317023182797298</v>
      </c>
      <c r="CC10" s="375">
        <f>(CE10/BZ10)*BX10</f>
        <v>0.2658511591398649</v>
      </c>
      <c r="CD10" s="375">
        <f>(CE10/BZ10)*BY10</f>
        <v>0.7975534774195947</v>
      </c>
      <c r="CE10" s="42">
        <f>MDS!S31</f>
        <v>2.1268092731189192</v>
      </c>
      <c r="CF10" s="375">
        <f>(CJ10/CE10)*CA10</f>
        <v>0.55860645558468425</v>
      </c>
      <c r="CG10" s="375">
        <f>(CJ10/CE10)*CB10</f>
        <v>0.55860645558468425</v>
      </c>
      <c r="CH10" s="375">
        <f>(CJ10/CE10)*CC10</f>
        <v>0.27930322779234212</v>
      </c>
      <c r="CI10" s="375">
        <f>(CJ10/CE10)*CD10</f>
        <v>0.83790968337702632</v>
      </c>
      <c r="CJ10" s="42">
        <f>MDS!T31</f>
        <v>2.234425822338737</v>
      </c>
      <c r="CK10" s="375">
        <f>(CO10/CJ10)*CF10</f>
        <v>0.58687194223726924</v>
      </c>
      <c r="CL10" s="375">
        <f>(CO10/CJ10)*CG10</f>
        <v>0.58687194223726924</v>
      </c>
      <c r="CM10" s="375">
        <f>(CO10/CJ10)*CH10</f>
        <v>0.29343597111863462</v>
      </c>
      <c r="CN10" s="375">
        <f>(CO10/CJ10)*CI10</f>
        <v>0.88030791335590386</v>
      </c>
      <c r="CO10" s="42">
        <f>MDS!U31</f>
        <v>2.347487768949077</v>
      </c>
      <c r="CP10" s="375">
        <f>(CT10/CO10)*CK10</f>
        <v>0.61656766251447515</v>
      </c>
      <c r="CQ10" s="375">
        <f>(CT10/CO10)*CL10</f>
        <v>0.61656766251447515</v>
      </c>
      <c r="CR10" s="375">
        <f>(CT10/CO10)*CM10</f>
        <v>0.30828383125723757</v>
      </c>
      <c r="CS10" s="375">
        <f>(CT10/CO10)*CN10</f>
        <v>0.92485149377171272</v>
      </c>
      <c r="CT10" s="42">
        <f>MDS!V31</f>
        <v>2.4662706500579006</v>
      </c>
      <c r="CU10" s="375">
        <f>(CY10/CT10)*CP10</f>
        <v>0.64776598623770776</v>
      </c>
      <c r="CV10" s="375">
        <f>(CY10/CT10)*CQ10</f>
        <v>0.64776598623770776</v>
      </c>
      <c r="CW10" s="375">
        <f>(CY10/CT10)*CR10</f>
        <v>0.32388299311885388</v>
      </c>
      <c r="CX10" s="375">
        <f>(CY10/CT10)*CS10</f>
        <v>0.97164897935656158</v>
      </c>
      <c r="CY10" s="42">
        <f>MDS!W31</f>
        <v>2.5910639449508306</v>
      </c>
      <c r="CZ10" s="375">
        <f>(DD10/CY10)*CU10</f>
        <v>0.68054294514133595</v>
      </c>
      <c r="DA10" s="375">
        <f>(DD10/CY10)*CV10</f>
        <v>0.68054294514133595</v>
      </c>
      <c r="DB10" s="375">
        <f>(DD10/CY10)*CW10</f>
        <v>0.34027147257066798</v>
      </c>
      <c r="DC10" s="375">
        <f>(DD10/CY10)*CX10</f>
        <v>1.0208144177120038</v>
      </c>
      <c r="DD10" s="42">
        <f>MDS!X31</f>
        <v>2.7221717805653429</v>
      </c>
      <c r="DE10" s="375">
        <f>(DI10/DD10)*CZ10</f>
        <v>0.71497841816548757</v>
      </c>
      <c r="DF10" s="375">
        <f>(DI10/DD10)*DA10</f>
        <v>0.71497841816548757</v>
      </c>
      <c r="DG10" s="375">
        <f>(DI10/DD10)*DB10</f>
        <v>0.35748920908274379</v>
      </c>
      <c r="DH10" s="375">
        <f>(DI10/DD10)*DC10</f>
        <v>1.0724676272482312</v>
      </c>
      <c r="DI10" s="42">
        <f>MDS!Y31</f>
        <v>2.859913672661949</v>
      </c>
      <c r="DJ10" s="375">
        <f>(DN10/DI10)*DE10</f>
        <v>0.75115632612466143</v>
      </c>
      <c r="DK10" s="375">
        <f>(DN10/DI10)*DF10</f>
        <v>0.75115632612466143</v>
      </c>
      <c r="DL10" s="375">
        <f>(DN10/DI10)*DG10</f>
        <v>0.37557816306233072</v>
      </c>
      <c r="DM10" s="375">
        <f>(DN10/DI10)*DH10</f>
        <v>1.1267344891869919</v>
      </c>
      <c r="DN10" s="42">
        <f>MDS!Z31</f>
        <v>3.0046253044986444</v>
      </c>
      <c r="DO10" s="375">
        <f>(DS10/DN10)*DJ10</f>
        <v>0.78916483622656941</v>
      </c>
      <c r="DP10" s="375">
        <f>(DS10/DN10)*DK10</f>
        <v>0.78916483622656941</v>
      </c>
      <c r="DQ10" s="375">
        <f>(DS10/DN10)*DL10</f>
        <v>0.39458241811328471</v>
      </c>
      <c r="DR10" s="375">
        <f>(DS10/DN10)*DM10</f>
        <v>1.1837472543398539</v>
      </c>
      <c r="DS10" s="42">
        <f>MDS!AA31</f>
        <v>3.1566593449062763</v>
      </c>
      <c r="DT10" s="375">
        <f>(DX10/DS10)*DO10</f>
        <v>0.82909657693963368</v>
      </c>
      <c r="DU10" s="375">
        <f>(DX10/DS10)*DP10</f>
        <v>0.82909657693963368</v>
      </c>
      <c r="DV10" s="375">
        <f>(DX10/DS10)*DQ10</f>
        <v>0.41454828846981684</v>
      </c>
      <c r="DW10" s="375">
        <f>(DX10/DS10)*DR10</f>
        <v>1.2436448654094503</v>
      </c>
      <c r="DX10" s="42">
        <f>MDS!AB31</f>
        <v>3.3163863077585334</v>
      </c>
      <c r="DY10" s="375">
        <f>(EC10/DX10)*DT10</f>
        <v>0.87104886373277934</v>
      </c>
      <c r="DZ10" s="375">
        <f>(EC10/DX10)*DU10</f>
        <v>0.87104886373277934</v>
      </c>
      <c r="EA10" s="375">
        <f>(EC10/DX10)*DV10</f>
        <v>0.43552443186638967</v>
      </c>
      <c r="EB10" s="375">
        <f>(EC10/DX10)*DW10</f>
        <v>1.3065732955991687</v>
      </c>
      <c r="EC10" s="51">
        <f>MDS!AC31</f>
        <v>3.4841954549311156</v>
      </c>
      <c r="ED10" s="375">
        <f>(EH10/EC10)*DY10</f>
        <v>0.9151239362376582</v>
      </c>
      <c r="EE10" s="375">
        <f>(EH10/EC10)*DZ10</f>
        <v>0.9151239362376582</v>
      </c>
      <c r="EF10" s="375">
        <f>(EH10/EC10)*EA10</f>
        <v>0.4575619681188291</v>
      </c>
      <c r="EG10" s="375">
        <f>(EH10/EC10)*EB10</f>
        <v>1.372685904356487</v>
      </c>
      <c r="EH10" s="42">
        <f>MDS!AD31</f>
        <v>3.6604957449506306</v>
      </c>
      <c r="EI10" s="375">
        <f>(EM10/EH10)*ED10</f>
        <v>0.96142920741128368</v>
      </c>
      <c r="EJ10" s="375">
        <f>(EM10/EH10)*EE10</f>
        <v>0.96142920741128368</v>
      </c>
      <c r="EK10" s="375">
        <f>(EM10/EH10)*EF10</f>
        <v>0.48071460370564184</v>
      </c>
      <c r="EL10" s="375">
        <f>(EM10/EH10)*EG10</f>
        <v>1.4421438111169251</v>
      </c>
      <c r="EM10" s="42">
        <f>MDS!AE31</f>
        <v>3.8457168296451325</v>
      </c>
    </row>
    <row r="11" spans="1:143">
      <c r="B11" s="10" t="s">
        <v>76</v>
      </c>
      <c r="C11" s="51"/>
      <c r="D11" s="43"/>
      <c r="E11" s="43"/>
      <c r="F11" s="43"/>
      <c r="G11" s="43"/>
      <c r="H11" s="51"/>
      <c r="I11" s="43"/>
      <c r="J11" s="43"/>
      <c r="K11" s="43"/>
      <c r="L11" s="43"/>
      <c r="M11" s="51"/>
      <c r="N11" s="43"/>
      <c r="O11" s="43"/>
      <c r="P11" s="43"/>
      <c r="Q11" s="43"/>
      <c r="R11" s="51"/>
      <c r="S11" s="43"/>
      <c r="T11" s="43"/>
      <c r="U11" s="43"/>
      <c r="V11" s="43"/>
      <c r="W11" s="51"/>
      <c r="X11" s="43"/>
      <c r="Y11" s="43"/>
      <c r="Z11" s="43"/>
      <c r="AA11" s="43"/>
      <c r="AB11" s="51"/>
      <c r="AC11" s="43"/>
      <c r="AD11" s="43"/>
      <c r="AE11" s="43"/>
      <c r="AF11" s="43"/>
      <c r="AG11" s="51"/>
      <c r="AH11" s="43"/>
      <c r="AI11" s="43"/>
      <c r="AJ11" s="43"/>
      <c r="AK11" s="43"/>
      <c r="AL11" s="42"/>
      <c r="AM11" s="43"/>
      <c r="AN11" s="43"/>
      <c r="AO11" s="43">
        <f>AO9-AO10</f>
        <v>74.421999999999997</v>
      </c>
      <c r="AP11" s="43">
        <f>AP9-AP10</f>
        <v>68.473092436974781</v>
      </c>
      <c r="AQ11" s="51">
        <f>AQ9-AQ10</f>
        <v>273.9571724137931</v>
      </c>
      <c r="AR11" s="43">
        <f>+AR9-AR10</f>
        <v>92.282999999999987</v>
      </c>
      <c r="AS11" s="43">
        <f>AS9-AS10</f>
        <v>89.697000000000003</v>
      </c>
      <c r="AT11" s="43">
        <f>AT9-AT10</f>
        <v>118.16200000000001</v>
      </c>
      <c r="AU11" s="43">
        <f>AU9-AU10</f>
        <v>103.18499999999997</v>
      </c>
      <c r="AV11" s="51">
        <f>SUM(AR11:AU11)</f>
        <v>403.327</v>
      </c>
      <c r="AW11" s="375">
        <f>+AW9-AW10</f>
        <v>112.21600000000001</v>
      </c>
      <c r="AX11" s="375">
        <f>+AX9-AX10</f>
        <v>119.29499999999999</v>
      </c>
      <c r="AY11" s="375">
        <f>+AY9-AY10</f>
        <v>136.61699999999999</v>
      </c>
      <c r="AZ11" s="375">
        <f>+AZ9-AZ10</f>
        <v>128.0630000000001</v>
      </c>
      <c r="BA11" s="51">
        <f>SUM(AW11:AZ11)</f>
        <v>496.19100000000009</v>
      </c>
      <c r="BB11" s="443">
        <f>+BB9-BB10</f>
        <v>117.1</v>
      </c>
      <c r="BC11" s="443">
        <f>+BC9-BC10</f>
        <v>127.30000000000001</v>
      </c>
      <c r="BD11" s="443">
        <f>+BD9-BD10</f>
        <v>143.19999999999999</v>
      </c>
      <c r="BE11" s="443">
        <f>+BE9-BE10</f>
        <v>141</v>
      </c>
      <c r="BF11" s="51">
        <f>SUM(BB11:BE11)</f>
        <v>528.6</v>
      </c>
      <c r="BG11" s="376">
        <v>133.80000000000001</v>
      </c>
      <c r="BH11" s="376">
        <v>142.30000000000001</v>
      </c>
      <c r="BI11" s="376">
        <v>148.1</v>
      </c>
      <c r="BJ11" s="376">
        <v>144.9</v>
      </c>
      <c r="BK11" s="42">
        <f>SUM(BG11:BJ11)</f>
        <v>569.1</v>
      </c>
      <c r="BL11" s="376">
        <v>137.69999999999999</v>
      </c>
      <c r="BM11" s="376">
        <v>146.5</v>
      </c>
      <c r="BN11" s="376">
        <v>142.69999999999999</v>
      </c>
      <c r="BO11" s="376">
        <v>142.6</v>
      </c>
      <c r="BP11" s="358">
        <f>SUM(BL11:BO11)</f>
        <v>569.5</v>
      </c>
      <c r="BQ11" s="376">
        <v>143.19999999999999</v>
      </c>
      <c r="BR11" s="376">
        <v>150.5</v>
      </c>
      <c r="BS11" s="376">
        <v>152</v>
      </c>
      <c r="BT11" s="376">
        <v>150.4</v>
      </c>
      <c r="BU11" s="42">
        <f>SUM(BQ11:BT11)</f>
        <v>596.1</v>
      </c>
      <c r="BV11" s="376">
        <v>156</v>
      </c>
      <c r="BW11" s="376">
        <v>154</v>
      </c>
      <c r="BX11" s="376">
        <v>150</v>
      </c>
      <c r="BY11" s="376">
        <v>160</v>
      </c>
      <c r="BZ11" s="42">
        <f>SUM(BV11:BY11)</f>
        <v>620</v>
      </c>
      <c r="CA11" s="375">
        <f>(CE11/BZ11)*BV11</f>
        <v>151.99098332209272</v>
      </c>
      <c r="CB11" s="375">
        <f>(CE11/BZ11)*BW11</f>
        <v>150.04238097180948</v>
      </c>
      <c r="CC11" s="375">
        <f>(CE11/BZ11)*BX11</f>
        <v>146.145176271243</v>
      </c>
      <c r="CD11" s="375">
        <f>(CE11/BZ11)*BY11</f>
        <v>155.88818802265919</v>
      </c>
      <c r="CE11" s="42">
        <f>MDS!S60</f>
        <v>604.06672858780439</v>
      </c>
      <c r="CF11" s="375">
        <f>(CJ11/CE11)*CA11</f>
        <v>60.736144103048225</v>
      </c>
      <c r="CG11" s="375">
        <f>(CJ11/CE11)*CB11</f>
        <v>59.957475588906583</v>
      </c>
      <c r="CH11" s="375">
        <f>(CJ11/CE11)*CC11</f>
        <v>58.400138560623297</v>
      </c>
      <c r="CI11" s="375">
        <f>(CJ11/CE11)*CD11</f>
        <v>62.293481131331511</v>
      </c>
      <c r="CJ11" s="42">
        <f>MDS!T60</f>
        <v>241.38723938390962</v>
      </c>
      <c r="CK11" s="375">
        <f>(CO11/CJ11)*CF11</f>
        <v>12.135190916848421</v>
      </c>
      <c r="CL11" s="375">
        <f>(CO11/CJ11)*CG11</f>
        <v>11.979611546119596</v>
      </c>
      <c r="CM11" s="375">
        <f>(CO11/CJ11)*CH11</f>
        <v>11.668452804661944</v>
      </c>
      <c r="CN11" s="375">
        <f>(CO11/CJ11)*CI11</f>
        <v>12.446349658306072</v>
      </c>
      <c r="CO11" s="42">
        <f>MDS!U60</f>
        <v>48.22960492593603</v>
      </c>
      <c r="CP11" s="375">
        <f>(CT11/CO11)*CK11</f>
        <v>0.19546530755901478</v>
      </c>
      <c r="CQ11" s="375">
        <f>(CT11/CO11)*CL11</f>
        <v>0.19295934207748897</v>
      </c>
      <c r="CR11" s="375">
        <f>(CT11/CO11)*CM11</f>
        <v>0.1879474111144373</v>
      </c>
      <c r="CS11" s="375">
        <f>(CT11/CO11)*CN11</f>
        <v>0.20047723852206645</v>
      </c>
      <c r="CT11" s="42">
        <f>MDS!V60</f>
        <v>0.7768492992730075</v>
      </c>
      <c r="CU11" s="375">
        <f>(CY11/CT11)*CP11</f>
        <v>0.1972243174536161</v>
      </c>
      <c r="CV11" s="375">
        <f>(CY11/CT11)*CQ11</f>
        <v>0.19469580056318514</v>
      </c>
      <c r="CW11" s="375">
        <f>(CY11/CT11)*CR11</f>
        <v>0.18963876678232319</v>
      </c>
      <c r="CX11" s="375">
        <f>(CY11/CT11)*CS11</f>
        <v>0.20228135123447805</v>
      </c>
      <c r="CY11" s="42">
        <f>MDS!W60</f>
        <v>0.78384023603360242</v>
      </c>
      <c r="CZ11" s="375">
        <f>(DD11/CY11)*CU11</f>
        <v>0.19899915683656977</v>
      </c>
      <c r="DA11" s="375">
        <f>(DD11/CY11)*CV11</f>
        <v>0.19644788559507531</v>
      </c>
      <c r="DB11" s="375">
        <f>(DD11/CY11)*CW11</f>
        <v>0.19134534311208634</v>
      </c>
      <c r="DC11" s="375">
        <f>(DD11/CY11)*CX11</f>
        <v>0.20410169931955874</v>
      </c>
      <c r="DD11" s="42">
        <f>MDS!X60</f>
        <v>0.79089408486329016</v>
      </c>
      <c r="DE11" s="375">
        <f>(DI11/DD11)*CZ11</f>
        <v>0.20078996815886624</v>
      </c>
      <c r="DF11" s="375">
        <f>(DI11/DD11)*DA11</f>
        <v>0.19821573779785517</v>
      </c>
      <c r="DG11" s="375">
        <f>(DI11/DD11)*DB11</f>
        <v>0.19306727707583296</v>
      </c>
      <c r="DH11" s="375">
        <f>(DI11/DD11)*DC11</f>
        <v>0.20593842888088845</v>
      </c>
      <c r="DI11" s="42">
        <f>MDS!Y60</f>
        <v>0.79801141191344283</v>
      </c>
      <c r="DJ11" s="375">
        <f>(DN11/DI11)*DE11</f>
        <v>0.20259689515342502</v>
      </c>
      <c r="DK11" s="375">
        <f>(DN11/DI11)*DF11</f>
        <v>0.19999949906171449</v>
      </c>
      <c r="DL11" s="375">
        <f>(DN11/DI11)*DG11</f>
        <v>0.19480470687829335</v>
      </c>
      <c r="DM11" s="375">
        <f>(DN11/DI11)*DH11</f>
        <v>0.20779168733684619</v>
      </c>
      <c r="DN11" s="42">
        <f>MDS!Z60</f>
        <v>0.80519278843027897</v>
      </c>
      <c r="DO11" s="375">
        <f>(DS11/DN11)*DJ11</f>
        <v>0.20442008284663127</v>
      </c>
      <c r="DP11" s="375">
        <f>(DS11/DN11)*DK11</f>
        <v>0.2017993125537258</v>
      </c>
      <c r="DQ11" s="375">
        <f>(DS11/DN11)*DL11</f>
        <v>0.19655777196791474</v>
      </c>
      <c r="DR11" s="375">
        <f>(DS11/DN11)*DM11</f>
        <v>0.20966162343244235</v>
      </c>
      <c r="DS11" s="42">
        <f>MDS!AA60</f>
        <v>0.81243879080071413</v>
      </c>
      <c r="DT11" s="375">
        <f>(DX11/DS11)*DO11</f>
        <v>0.20625967756997562</v>
      </c>
      <c r="DU11" s="375">
        <f>(DX11/DS11)*DP11</f>
        <v>0.20361532272933497</v>
      </c>
      <c r="DV11" s="375">
        <f>(DX11/DS11)*DQ11</f>
        <v>0.19832661304805355</v>
      </c>
      <c r="DW11" s="375">
        <f>(DX11/DS11)*DR11</f>
        <v>0.21154838725125708</v>
      </c>
      <c r="DX11" s="42">
        <f>MDS!AB60</f>
        <v>0.81975000059862124</v>
      </c>
      <c r="DY11" s="375">
        <f>(EC11/DX11)*DT11</f>
        <v>0.20811582697179884</v>
      </c>
      <c r="DZ11" s="375">
        <f>(EC11/DX11)*DU11</f>
        <v>0.20544767534395533</v>
      </c>
      <c r="EA11" s="375">
        <f>(EC11/DX11)*DV11</f>
        <v>0.20011137208826818</v>
      </c>
      <c r="EB11" s="375">
        <f>(EC11/DX11)*DW11</f>
        <v>0.21345213022748602</v>
      </c>
      <c r="EC11" s="51">
        <f>MDS!AC60</f>
        <v>0.82712700463150834</v>
      </c>
      <c r="ED11" s="375">
        <f>(EH11/EC11)*DY11</f>
        <v>0.2099886800291425</v>
      </c>
      <c r="EE11" s="375">
        <f>(EH11/EC11)*DZ11</f>
        <v>0.20729651746466637</v>
      </c>
      <c r="EF11" s="375">
        <f>(EH11/EC11)*EA11</f>
        <v>0.201912192335714</v>
      </c>
      <c r="EG11" s="375">
        <f>(EH11/EC11)*EB11</f>
        <v>0.2153730051580949</v>
      </c>
      <c r="EH11" s="42">
        <f>MDS!AD60</f>
        <v>0.83457039498761787</v>
      </c>
      <c r="EI11" s="375">
        <f>(EM11/EH11)*ED11</f>
        <v>0.21187838705970602</v>
      </c>
      <c r="EJ11" s="375">
        <f>(EM11/EH11)*EE11</f>
        <v>0.20916199748201755</v>
      </c>
      <c r="EK11" s="375">
        <f>(EM11/EH11)*EF11</f>
        <v>0.20372921832664045</v>
      </c>
      <c r="EL11" s="375">
        <f>(EM11/EH11)*EG11</f>
        <v>0.21731116621508315</v>
      </c>
      <c r="EM11" s="42">
        <f>MDS!AE60</f>
        <v>0.8420807690834472</v>
      </c>
    </row>
    <row r="12" spans="1:143" ht="6.75" customHeight="1">
      <c r="B12" s="10"/>
      <c r="C12" s="51"/>
      <c r="D12" s="43"/>
      <c r="E12" s="43"/>
      <c r="F12" s="43"/>
      <c r="G12" s="43"/>
      <c r="H12" s="51"/>
      <c r="I12" s="43"/>
      <c r="J12" s="43"/>
      <c r="K12" s="43"/>
      <c r="L12" s="43"/>
      <c r="M12" s="51"/>
      <c r="N12" s="43"/>
      <c r="O12" s="43"/>
      <c r="P12" s="43"/>
      <c r="Q12" s="43"/>
      <c r="R12" s="51"/>
      <c r="S12" s="43"/>
      <c r="T12" s="43"/>
      <c r="U12" s="43"/>
      <c r="V12" s="43"/>
      <c r="W12" s="51"/>
      <c r="X12" s="43"/>
      <c r="Y12" s="43"/>
      <c r="Z12" s="43"/>
      <c r="AA12" s="43"/>
      <c r="AB12" s="51"/>
      <c r="AC12" s="43"/>
      <c r="AD12" s="43"/>
      <c r="AE12" s="43"/>
      <c r="AF12" s="43"/>
      <c r="AG12" s="51"/>
      <c r="AH12" s="43"/>
      <c r="AI12" s="43"/>
      <c r="AJ12" s="43"/>
      <c r="AK12" s="43"/>
      <c r="AL12" s="42"/>
      <c r="AM12" s="43"/>
      <c r="AN12" s="43"/>
      <c r="AO12" s="43"/>
      <c r="AP12" s="43"/>
      <c r="AQ12" s="51"/>
      <c r="AR12" s="43"/>
      <c r="AS12" s="43"/>
      <c r="AT12" s="43"/>
      <c r="AU12" s="43"/>
      <c r="AV12" s="51"/>
      <c r="AW12" s="375"/>
      <c r="AX12" s="375"/>
      <c r="AY12" s="375"/>
      <c r="AZ12" s="375"/>
      <c r="BA12" s="51"/>
      <c r="BB12" s="442"/>
      <c r="BC12" s="442"/>
      <c r="BD12" s="442"/>
      <c r="BE12" s="442"/>
      <c r="BF12" s="51"/>
      <c r="BG12" s="443"/>
      <c r="BH12" s="443"/>
      <c r="BI12" s="375"/>
      <c r="BJ12" s="375"/>
      <c r="BK12" s="42"/>
      <c r="BL12" s="375"/>
      <c r="BM12" s="375"/>
      <c r="BN12" s="375"/>
      <c r="BO12" s="375"/>
      <c r="BP12" s="42"/>
      <c r="BQ12" s="375"/>
      <c r="BR12" s="375"/>
      <c r="BS12" s="375"/>
      <c r="BT12" s="375"/>
      <c r="BU12" s="42"/>
      <c r="BV12" s="375"/>
      <c r="BW12" s="375"/>
      <c r="BX12" s="375"/>
      <c r="BY12" s="375"/>
      <c r="BZ12" s="42"/>
      <c r="CA12" s="375"/>
      <c r="CB12" s="375"/>
      <c r="CC12" s="375"/>
      <c r="CD12" s="375"/>
      <c r="CE12" s="42"/>
      <c r="CF12" s="375"/>
      <c r="CG12" s="375"/>
      <c r="CH12" s="375"/>
      <c r="CI12" s="375"/>
      <c r="CJ12" s="42"/>
      <c r="CK12" s="375"/>
      <c r="CL12" s="375"/>
      <c r="CM12" s="375"/>
      <c r="CN12" s="375"/>
      <c r="CO12" s="42"/>
      <c r="CP12" s="375"/>
      <c r="CQ12" s="375"/>
      <c r="CR12" s="375"/>
      <c r="CS12" s="375"/>
      <c r="CT12" s="42"/>
      <c r="CU12" s="375"/>
      <c r="CV12" s="375"/>
      <c r="CW12" s="375"/>
      <c r="CX12" s="375"/>
      <c r="CY12" s="42"/>
      <c r="CZ12" s="375"/>
      <c r="DA12" s="375"/>
      <c r="DB12" s="375"/>
      <c r="DC12" s="375"/>
      <c r="DD12" s="42"/>
      <c r="DE12" s="375"/>
      <c r="DF12" s="375"/>
      <c r="DG12" s="375"/>
      <c r="DH12" s="375"/>
      <c r="DI12" s="42"/>
      <c r="DJ12" s="375"/>
      <c r="DK12" s="375"/>
      <c r="DL12" s="375"/>
      <c r="DM12" s="375"/>
      <c r="DN12" s="42"/>
      <c r="DO12" s="375"/>
      <c r="DP12" s="375"/>
      <c r="DQ12" s="375"/>
      <c r="DR12" s="375"/>
      <c r="DS12" s="42"/>
      <c r="DT12" s="375"/>
      <c r="DU12" s="375"/>
      <c r="DV12" s="375"/>
      <c r="DW12" s="375"/>
      <c r="DX12" s="42"/>
      <c r="DY12" s="375"/>
      <c r="DZ12" s="375"/>
      <c r="EA12" s="375"/>
      <c r="EB12" s="375"/>
      <c r="EC12" s="42"/>
      <c r="ED12" s="375"/>
      <c r="EE12" s="375"/>
      <c r="EF12" s="375"/>
      <c r="EG12" s="375"/>
      <c r="EH12" s="42"/>
      <c r="EI12" s="375"/>
      <c r="EJ12" s="375"/>
      <c r="EK12" s="375"/>
      <c r="EL12" s="375"/>
      <c r="EM12" s="42"/>
    </row>
    <row r="13" spans="1:143" ht="13.5" thickBot="1">
      <c r="B13" s="25" t="s">
        <v>182</v>
      </c>
      <c r="C13" s="51"/>
      <c r="D13" s="43"/>
      <c r="E13" s="43"/>
      <c r="F13" s="43"/>
      <c r="G13" s="43"/>
      <c r="H13" s="51"/>
      <c r="I13" s="43"/>
      <c r="J13" s="43"/>
      <c r="K13" s="43"/>
      <c r="L13" s="43"/>
      <c r="M13" s="51"/>
      <c r="N13" s="43"/>
      <c r="O13" s="43"/>
      <c r="P13" s="43"/>
      <c r="Q13" s="43"/>
      <c r="R13" s="51"/>
      <c r="S13" s="43"/>
      <c r="T13" s="43"/>
      <c r="U13" s="43"/>
      <c r="V13" s="43"/>
      <c r="W13" s="51"/>
      <c r="X13" s="43"/>
      <c r="Y13" s="43"/>
      <c r="Z13" s="43"/>
      <c r="AA13" s="43"/>
      <c r="AB13" s="51"/>
      <c r="AC13" s="43"/>
      <c r="AD13" s="43"/>
      <c r="AE13" s="43"/>
      <c r="AF13" s="43"/>
      <c r="AG13" s="51"/>
      <c r="AH13" s="43"/>
      <c r="AI13" s="43"/>
      <c r="AJ13" s="43"/>
      <c r="AK13" s="43"/>
      <c r="AL13" s="42"/>
      <c r="AM13" s="43"/>
      <c r="AN13" s="43"/>
      <c r="AO13" s="43"/>
      <c r="AP13" s="43">
        <f>71.429-AO13-AN13-AM13</f>
        <v>71.429000000000002</v>
      </c>
      <c r="AQ13" s="51">
        <f>+AM13+AN13+AO13+AP13</f>
        <v>71.429000000000002</v>
      </c>
      <c r="AR13" s="43">
        <f>74.049</f>
        <v>74.049000000000007</v>
      </c>
      <c r="AS13" s="43">
        <f>94.608</f>
        <v>94.608000000000004</v>
      </c>
      <c r="AT13" s="43">
        <f>113.549</f>
        <v>113.54900000000001</v>
      </c>
      <c r="AU13" s="43">
        <f>385.905-AT13-AS13-AR13</f>
        <v>103.69899999999998</v>
      </c>
      <c r="AV13" s="51">
        <f>SUM(AR13:AU13)</f>
        <v>385.90499999999997</v>
      </c>
      <c r="AW13" s="375">
        <f>104.289</f>
        <v>104.289</v>
      </c>
      <c r="AX13" s="375">
        <v>109.74299999999999</v>
      </c>
      <c r="AY13" s="375">
        <v>106.34399999999999</v>
      </c>
      <c r="AZ13" s="375">
        <f>426.675-AY13-AX13-AW13</f>
        <v>106.29900000000002</v>
      </c>
      <c r="BA13" s="51">
        <f>SUM(AW13:AZ13)</f>
        <v>426.67500000000001</v>
      </c>
      <c r="BB13" s="441">
        <v>122.7</v>
      </c>
      <c r="BC13" s="441">
        <v>154.80000000000001</v>
      </c>
      <c r="BD13" s="441">
        <v>169.6</v>
      </c>
      <c r="BE13" s="441">
        <v>202</v>
      </c>
      <c r="BF13" s="51">
        <f>SUM(BB13:BE13)</f>
        <v>649.1</v>
      </c>
      <c r="BG13" s="443">
        <f>BG15+BG16</f>
        <v>184.8</v>
      </c>
      <c r="BH13" s="443">
        <f>BH15+BH16</f>
        <v>215.3</v>
      </c>
      <c r="BI13" s="375">
        <f>BI15+BI16</f>
        <v>212.2</v>
      </c>
      <c r="BJ13" s="375">
        <f>BJ15+BJ16</f>
        <v>235.9</v>
      </c>
      <c r="BK13" s="42">
        <f>SUM(BG13:BJ13)</f>
        <v>848.19999999999993</v>
      </c>
      <c r="BL13" s="375">
        <f>BL15+BL16</f>
        <v>223.39999999999998</v>
      </c>
      <c r="BM13" s="375">
        <f>BM15+BM16</f>
        <v>244.20000000000002</v>
      </c>
      <c r="BN13" s="375">
        <f>BN15+BN16</f>
        <v>229.89999999999998</v>
      </c>
      <c r="BO13" s="375">
        <f>BO15+BO16</f>
        <v>270</v>
      </c>
      <c r="BP13" s="358">
        <f>SUM(BL13:BO13)</f>
        <v>967.5</v>
      </c>
      <c r="BQ13" s="375">
        <f>BQ15+BQ16</f>
        <v>224.9</v>
      </c>
      <c r="BR13" s="375">
        <f>BR15+BR16</f>
        <v>249.1</v>
      </c>
      <c r="BS13" s="375">
        <f>BS15+BS16</f>
        <v>233.3</v>
      </c>
      <c r="BT13" s="375">
        <f>BT15+BT16</f>
        <v>266.10000000000002</v>
      </c>
      <c r="BU13" s="358">
        <f>SUM(BQ13:BT13)</f>
        <v>973.4</v>
      </c>
      <c r="BV13" s="375">
        <f>BV15+BV16</f>
        <v>236</v>
      </c>
      <c r="BW13" s="375">
        <f>BW15+BW16</f>
        <v>254</v>
      </c>
      <c r="BX13" s="375">
        <f>BX15+BX16</f>
        <v>251</v>
      </c>
      <c r="BY13" s="443">
        <f>BY15+BY16</f>
        <v>251</v>
      </c>
      <c r="BZ13" s="42">
        <f>SUM(BV13:BY13)</f>
        <v>992</v>
      </c>
      <c r="CA13" s="375">
        <f>CA15+CA16</f>
        <v>245.27329816756753</v>
      </c>
      <c r="CB13" s="375">
        <f>CB15+CB16</f>
        <v>263.12306851793221</v>
      </c>
      <c r="CC13" s="375">
        <f>CC15+CC16</f>
        <v>261.0753024109124</v>
      </c>
      <c r="CD13" s="375">
        <f>CD15+CD16</f>
        <v>260.44550916092226</v>
      </c>
      <c r="CE13" s="42">
        <f>SUM(CA13:CD13)</f>
        <v>1029.9171782573344</v>
      </c>
      <c r="CF13" s="375">
        <f>CF15+CF16</f>
        <v>255.3022444314519</v>
      </c>
      <c r="CG13" s="375">
        <f>CG15+CG16</f>
        <v>273.20735451851715</v>
      </c>
      <c r="CH13" s="375">
        <f>CH15+CH16</f>
        <v>271.91760451598702</v>
      </c>
      <c r="CI13" s="375">
        <f>CI15+CI16</f>
        <v>270.76666752671701</v>
      </c>
      <c r="CJ13" s="42">
        <f>SUM(CF13:CI13)</f>
        <v>1071.1938709926731</v>
      </c>
      <c r="CK13" s="375">
        <f>CK15+CK16</f>
        <v>268.44722242099976</v>
      </c>
      <c r="CL13" s="375">
        <f>CL15+CL16</f>
        <v>286.69805278743303</v>
      </c>
      <c r="CM13" s="375">
        <f>CM15+CM16</f>
        <v>286.0609213057424</v>
      </c>
      <c r="CN13" s="375">
        <f>CN15+CN16</f>
        <v>284.42755811974735</v>
      </c>
      <c r="CO13" s="42">
        <f>SUM(CK13:CN13)</f>
        <v>1125.6337546339225</v>
      </c>
      <c r="CP13" s="375">
        <f>CP15+CP16</f>
        <v>282.61907767057062</v>
      </c>
      <c r="CQ13" s="375">
        <f>CQ15+CQ16</f>
        <v>301.21383980734277</v>
      </c>
      <c r="CR13" s="375">
        <f>CR15+CR16</f>
        <v>301.31624418936923</v>
      </c>
      <c r="CS13" s="375">
        <f>CS15+CS16</f>
        <v>299.14161908420726</v>
      </c>
      <c r="CT13" s="42">
        <f>SUM(CP13:CS13)</f>
        <v>1184.2907807514898</v>
      </c>
      <c r="CU13" s="375">
        <f>CU15+CU16</f>
        <v>297.91531602737575</v>
      </c>
      <c r="CV13" s="375">
        <f>CV15+CV16</f>
        <v>316.85137046358886</v>
      </c>
      <c r="CW13" s="375">
        <f>CW15+CW16</f>
        <v>317.78933118704538</v>
      </c>
      <c r="CX13" s="375">
        <f>CX15+CX16</f>
        <v>315.00852151418286</v>
      </c>
      <c r="CY13" s="42">
        <f>SUM(CU13:CX13)</f>
        <v>1247.5645391921928</v>
      </c>
      <c r="CZ13" s="375">
        <f>CZ15+CZ16</f>
        <v>290.76602790807954</v>
      </c>
      <c r="DA13" s="375">
        <f>DA15+DA16</f>
        <v>310.2916698705846</v>
      </c>
      <c r="DB13" s="375">
        <f>DB15+DB16</f>
        <v>309.90427561518914</v>
      </c>
      <c r="DC13" s="375">
        <f>DC15+DC16</f>
        <v>307.95696130234398</v>
      </c>
      <c r="DD13" s="42">
        <f>SUM(CZ13:DC13)</f>
        <v>1218.9189346961971</v>
      </c>
      <c r="DE13" s="375">
        <f>DE15+DE16</f>
        <v>269.20189221125605</v>
      </c>
      <c r="DF13" s="375">
        <f>DF15+DF16</f>
        <v>289.48017993436963</v>
      </c>
      <c r="DG13" s="375">
        <f>DG15+DG16</f>
        <v>286.375169872014</v>
      </c>
      <c r="DH13" s="375">
        <f>DH15+DH16</f>
        <v>286.18857809665781</v>
      </c>
      <c r="DI13" s="42">
        <f>SUM(DE13:DH13)</f>
        <v>1131.2458201142974</v>
      </c>
      <c r="DJ13" s="375">
        <f>DJ15+DJ16</f>
        <v>237.33227323893396</v>
      </c>
      <c r="DK13" s="375">
        <f>DK15+DK16</f>
        <v>258.48274900318773</v>
      </c>
      <c r="DL13" s="375">
        <f>DL15+DL16</f>
        <v>251.66106163606941</v>
      </c>
      <c r="DM13" s="375">
        <f>DM15+DM16</f>
        <v>253.90026711966823</v>
      </c>
      <c r="DN13" s="42">
        <f>SUM(DJ13:DM13)</f>
        <v>1001.3763509978593</v>
      </c>
      <c r="DO13" s="375">
        <f>DO15+DO16</f>
        <v>207.96847316057892</v>
      </c>
      <c r="DP13" s="375">
        <f>DP15+DP16</f>
        <v>229.97459455944988</v>
      </c>
      <c r="DQ13" s="375">
        <f>DQ15+DQ16</f>
        <v>219.66352565221362</v>
      </c>
      <c r="DR13" s="375">
        <f>DR15+DR16</f>
        <v>224.17601154404906</v>
      </c>
      <c r="DS13" s="42">
        <f>SUM(DO13:DR13)</f>
        <v>881.78260491629146</v>
      </c>
      <c r="DT13" s="375">
        <f>DT15+DT16</f>
        <v>171.08073698531896</v>
      </c>
      <c r="DU13" s="375">
        <f>DU15+DU16</f>
        <v>191.40766238975198</v>
      </c>
      <c r="DV13" s="375">
        <f>DV15+DV16</f>
        <v>180.15001439058173</v>
      </c>
      <c r="DW13" s="375">
        <f>DW15+DW16</f>
        <v>185.4955573253653</v>
      </c>
      <c r="DX13" s="42">
        <f>SUM(DT13:DW13)</f>
        <v>728.133971091018</v>
      </c>
      <c r="DY13" s="375">
        <f>DY15+DY16</f>
        <v>153.78270582747919</v>
      </c>
      <c r="DZ13" s="375">
        <f>DZ15+DZ16</f>
        <v>173.39629683696589</v>
      </c>
      <c r="EA13" s="375">
        <f>EA15+EA16</f>
        <v>161.602287634551</v>
      </c>
      <c r="EB13" s="375">
        <f>EB15+EB16</f>
        <v>167.39290622379656</v>
      </c>
      <c r="EC13" s="42">
        <f>SUM(DY13:EB13)</f>
        <v>656.17419652279261</v>
      </c>
      <c r="ED13" s="375">
        <f>ED15+ED16</f>
        <v>138.75670301596503</v>
      </c>
      <c r="EE13" s="375">
        <f>EE15+EE16</f>
        <v>156.96092020649974</v>
      </c>
      <c r="EF13" s="375">
        <f>EF15+EF16</f>
        <v>145.6865266479478</v>
      </c>
      <c r="EG13" s="375">
        <f>EG15+EG16</f>
        <v>151.28375051520553</v>
      </c>
      <c r="EH13" s="42">
        <f>SUM(ED13:EG13)</f>
        <v>592.68790038561815</v>
      </c>
      <c r="EI13" s="375">
        <f>EI15+EI16</f>
        <v>119.23696765318803</v>
      </c>
      <c r="EJ13" s="375">
        <f>EJ15+EJ16</f>
        <v>135.05519894222178</v>
      </c>
      <c r="EK13" s="375">
        <f>EK15+EK16</f>
        <v>125.14856687554212</v>
      </c>
      <c r="EL13" s="375">
        <f>EL15+EL16</f>
        <v>130.08685681264143</v>
      </c>
      <c r="EM13" s="42">
        <f>SUM(EI13:EL13)</f>
        <v>509.52759028359338</v>
      </c>
    </row>
    <row r="14" spans="1:143" ht="13.5" thickBot="1">
      <c r="B14" s="25"/>
      <c r="C14" s="51"/>
      <c r="D14" s="43"/>
      <c r="E14" s="43"/>
      <c r="F14" s="43"/>
      <c r="G14" s="43"/>
      <c r="H14" s="51"/>
      <c r="I14" s="43"/>
      <c r="J14" s="43"/>
      <c r="K14" s="43"/>
      <c r="L14" s="43"/>
      <c r="M14" s="51"/>
      <c r="N14" s="43"/>
      <c r="O14" s="43"/>
      <c r="P14" s="43"/>
      <c r="Q14" s="43"/>
      <c r="R14" s="51"/>
      <c r="S14" s="43"/>
      <c r="T14" s="43"/>
      <c r="U14" s="43"/>
      <c r="V14" s="43"/>
      <c r="W14" s="51"/>
      <c r="X14" s="43"/>
      <c r="Y14" s="43"/>
      <c r="Z14" s="43"/>
      <c r="AA14" s="43"/>
      <c r="AB14" s="51"/>
      <c r="AC14" s="43"/>
      <c r="AD14" s="43"/>
      <c r="AE14" s="43"/>
      <c r="AF14" s="43"/>
      <c r="AG14" s="51"/>
      <c r="AH14" s="43"/>
      <c r="AI14" s="43"/>
      <c r="AJ14" s="43"/>
      <c r="AK14" s="43"/>
      <c r="AL14" s="42"/>
      <c r="AM14" s="43"/>
      <c r="AN14" s="43"/>
      <c r="AO14" s="43"/>
      <c r="AP14" s="43"/>
      <c r="AQ14" s="51"/>
      <c r="AR14" s="43"/>
      <c r="AS14" s="43"/>
      <c r="AT14" s="43"/>
      <c r="AU14" s="43"/>
      <c r="AV14" s="51"/>
      <c r="AW14" s="375"/>
      <c r="AX14" s="375"/>
      <c r="AY14" s="375"/>
      <c r="AZ14" s="375"/>
      <c r="BA14" s="51"/>
      <c r="BB14" s="441"/>
      <c r="BC14" s="441"/>
      <c r="BD14" s="441"/>
      <c r="BE14" s="441"/>
      <c r="BF14" s="51"/>
      <c r="BG14" s="443"/>
      <c r="BH14" s="443"/>
      <c r="BI14" s="778"/>
      <c r="BJ14" s="778"/>
      <c r="BK14" s="779"/>
      <c r="BL14" s="375"/>
      <c r="BM14" s="375"/>
      <c r="BN14" s="375"/>
      <c r="BO14" s="375"/>
      <c r="BP14" s="42"/>
      <c r="BQ14" s="375"/>
      <c r="BR14" s="375"/>
      <c r="BS14" s="375"/>
      <c r="BT14" s="375"/>
      <c r="BU14" s="975"/>
      <c r="BV14" s="375"/>
      <c r="BW14" s="960"/>
      <c r="BX14" s="960"/>
      <c r="BY14" s="960"/>
      <c r="BZ14" s="975"/>
      <c r="CA14" s="375"/>
      <c r="CB14" s="375"/>
      <c r="CC14" s="377" t="s">
        <v>432</v>
      </c>
      <c r="CD14" s="378"/>
      <c r="CE14" s="379" t="s">
        <v>1014</v>
      </c>
      <c r="CF14" s="375"/>
      <c r="CG14" s="375"/>
      <c r="CH14" s="375"/>
      <c r="CI14" s="375"/>
      <c r="CJ14" s="42"/>
      <c r="CK14" s="375"/>
      <c r="CL14" s="375"/>
      <c r="CM14" s="375"/>
      <c r="CN14" s="375"/>
      <c r="CO14" s="42"/>
      <c r="CP14" s="375"/>
      <c r="CQ14" s="375"/>
      <c r="CR14" s="375"/>
      <c r="CS14" s="375"/>
      <c r="CT14" s="42"/>
      <c r="CU14" s="375"/>
      <c r="CV14" s="375"/>
      <c r="CW14" s="375"/>
      <c r="CX14" s="375"/>
      <c r="CY14" s="42"/>
      <c r="CZ14" s="375"/>
      <c r="DA14" s="375"/>
      <c r="DB14" s="375"/>
      <c r="DC14" s="375"/>
      <c r="DD14" s="42"/>
      <c r="DE14" s="375"/>
      <c r="DF14" s="375"/>
      <c r="DG14" s="375"/>
      <c r="DH14" s="375"/>
      <c r="DI14" s="42"/>
      <c r="DJ14" s="375"/>
      <c r="DK14" s="375"/>
      <c r="DL14" s="375"/>
      <c r="DM14" s="375"/>
      <c r="DN14" s="42"/>
      <c r="DO14" s="375"/>
      <c r="DP14" s="375"/>
      <c r="DQ14" s="375"/>
      <c r="DR14" s="375"/>
      <c r="DS14" s="42"/>
      <c r="DT14" s="375"/>
      <c r="DU14" s="375"/>
      <c r="DV14" s="375"/>
      <c r="DW14" s="375"/>
      <c r="DX14" s="42"/>
      <c r="DY14" s="375"/>
      <c r="DZ14" s="375"/>
      <c r="EA14" s="375"/>
      <c r="EB14" s="375"/>
      <c r="EC14" s="42"/>
      <c r="ED14" s="375"/>
      <c r="EE14" s="375"/>
      <c r="EF14" s="375"/>
      <c r="EG14" s="375"/>
      <c r="EH14" s="42"/>
      <c r="EI14" s="375"/>
      <c r="EJ14" s="375"/>
      <c r="EK14" s="375"/>
      <c r="EL14" s="375"/>
      <c r="EM14" s="42"/>
    </row>
    <row r="15" spans="1:143">
      <c r="B15" s="10" t="s">
        <v>181</v>
      </c>
      <c r="C15" s="51"/>
      <c r="D15" s="43"/>
      <c r="E15" s="43"/>
      <c r="F15" s="43"/>
      <c r="G15" s="43"/>
      <c r="H15" s="51"/>
      <c r="I15" s="43"/>
      <c r="J15" s="43"/>
      <c r="K15" s="43"/>
      <c r="L15" s="43"/>
      <c r="M15" s="51"/>
      <c r="N15" s="43"/>
      <c r="O15" s="43"/>
      <c r="P15" s="43"/>
      <c r="Q15" s="43"/>
      <c r="R15" s="51"/>
      <c r="S15" s="43"/>
      <c r="T15" s="43"/>
      <c r="U15" s="43"/>
      <c r="V15" s="43"/>
      <c r="W15" s="51"/>
      <c r="X15" s="43"/>
      <c r="Y15" s="43"/>
      <c r="Z15" s="43"/>
      <c r="AA15" s="43"/>
      <c r="AB15" s="51"/>
      <c r="AC15" s="43"/>
      <c r="AD15" s="43"/>
      <c r="AE15" s="43"/>
      <c r="AF15" s="43"/>
      <c r="AG15" s="51"/>
      <c r="AH15" s="43"/>
      <c r="AI15" s="43"/>
      <c r="AJ15" s="43"/>
      <c r="AK15" s="43"/>
      <c r="AL15" s="42"/>
      <c r="AM15" s="43"/>
      <c r="AN15" s="43"/>
      <c r="AO15" s="43"/>
      <c r="AP15" s="43"/>
      <c r="AQ15" s="51"/>
      <c r="AR15" s="43">
        <f>AR13-AR16</f>
        <v>63.049000000000007</v>
      </c>
      <c r="AS15" s="43">
        <f>AS13-AS16</f>
        <v>72.608000000000004</v>
      </c>
      <c r="AT15" s="43">
        <f>AT13-AT16</f>
        <v>93.549000000000007</v>
      </c>
      <c r="AU15" s="43">
        <f>AU13-AU16</f>
        <v>91.698999999999984</v>
      </c>
      <c r="AV15" s="51">
        <f>SUM(AR15:AU15)</f>
        <v>320.90499999999997</v>
      </c>
      <c r="AW15" s="375">
        <v>81</v>
      </c>
      <c r="AX15" s="375">
        <v>87</v>
      </c>
      <c r="AY15" s="375">
        <v>81</v>
      </c>
      <c r="AZ15" s="375">
        <v>84</v>
      </c>
      <c r="BA15" s="51">
        <f>SUM(AW15:AZ15)</f>
        <v>333</v>
      </c>
      <c r="BB15" s="441">
        <v>94</v>
      </c>
      <c r="BC15" s="441">
        <v>120</v>
      </c>
      <c r="BD15" s="441">
        <v>131.80000000000001</v>
      </c>
      <c r="BE15" s="441">
        <v>159</v>
      </c>
      <c r="BF15" s="51">
        <f>SUM(BB15:BE15)</f>
        <v>504.8</v>
      </c>
      <c r="BG15" s="376">
        <v>141.5</v>
      </c>
      <c r="BH15" s="376">
        <v>159.9</v>
      </c>
      <c r="BI15" s="376">
        <v>151.6</v>
      </c>
      <c r="BJ15" s="376">
        <v>171.5</v>
      </c>
      <c r="BK15" s="42">
        <f>SUM(BG15:BJ15)</f>
        <v>624.5</v>
      </c>
      <c r="BL15" s="376">
        <v>159.1</v>
      </c>
      <c r="BM15" s="376">
        <v>169.8</v>
      </c>
      <c r="BN15" s="376">
        <v>145.19999999999999</v>
      </c>
      <c r="BO15" s="376">
        <v>179.5</v>
      </c>
      <c r="BP15" s="42">
        <f>SUM(BL15:BO15)</f>
        <v>653.59999999999991</v>
      </c>
      <c r="BQ15" s="376">
        <v>143.80000000000001</v>
      </c>
      <c r="BR15" s="376">
        <v>174.7</v>
      </c>
      <c r="BS15" s="376">
        <v>144</v>
      </c>
      <c r="BT15" s="376">
        <v>171.3</v>
      </c>
      <c r="BU15" s="42">
        <f>SUM(BQ15:BT15)</f>
        <v>633.79999999999995</v>
      </c>
      <c r="BV15" s="376">
        <v>142</v>
      </c>
      <c r="BW15" s="376">
        <v>161</v>
      </c>
      <c r="BX15" s="376">
        <v>149</v>
      </c>
      <c r="BY15" s="376">
        <v>155</v>
      </c>
      <c r="BZ15" s="42">
        <f>SUM(BV15:BY15)</f>
        <v>607</v>
      </c>
      <c r="CA15" s="375">
        <f>(CE15/BZ15)*BV15</f>
        <v>141.64291648156754</v>
      </c>
      <c r="CB15" s="375">
        <f>(CE15/BZ15)*BW15</f>
        <v>160.59513770093221</v>
      </c>
      <c r="CC15" s="375">
        <f>(CE15/BZ15)*BX15</f>
        <v>148.62531377291242</v>
      </c>
      <c r="CD15" s="375">
        <f>(CE15/BZ15)*BY15</f>
        <v>154.6102257369223</v>
      </c>
      <c r="CE15" s="42">
        <f>Abraxane!P7</f>
        <v>605.47359369233448</v>
      </c>
      <c r="CF15" s="375">
        <f>(CJ15/CE15)*CA15</f>
        <v>142.76469302459191</v>
      </c>
      <c r="CG15" s="375">
        <f>(CJ15/CE15)*CB15</f>
        <v>161.86701110534716</v>
      </c>
      <c r="CH15" s="375">
        <f>(CJ15/CE15)*CC15</f>
        <v>149.802389159607</v>
      </c>
      <c r="CI15" s="375">
        <f>(CJ15/CE15)*CD15</f>
        <v>155.83470013247705</v>
      </c>
      <c r="CJ15" s="42">
        <f>Abraxane!Q7</f>
        <v>610.26879342202312</v>
      </c>
      <c r="CK15" s="375">
        <f>(CO15/CJ15)*CF15</f>
        <v>146.12634300567112</v>
      </c>
      <c r="CL15" s="375">
        <f>(CO15/CJ15)*CG15</f>
        <v>165.67845932333134</v>
      </c>
      <c r="CM15" s="375">
        <f>(CO15/CJ15)*CH15</f>
        <v>153.32975428059856</v>
      </c>
      <c r="CN15" s="375">
        <f>(CO15/CJ15)*CI15</f>
        <v>159.50410680196492</v>
      </c>
      <c r="CO15" s="42">
        <f>Abraxane!R7</f>
        <v>624.63866341156597</v>
      </c>
      <c r="CP15" s="375">
        <f>(CT15/CO15)*CK15</f>
        <v>149.55124171724873</v>
      </c>
      <c r="CQ15" s="375">
        <f>(CT15/CO15)*CL15</f>
        <v>169.56161913012005</v>
      </c>
      <c r="CR15" s="375">
        <f>(CT15/CO15)*CM15</f>
        <v>156.92348602725394</v>
      </c>
      <c r="CS15" s="375">
        <f>(CT15/CO15)*CN15</f>
        <v>163.24255257868697</v>
      </c>
      <c r="CT15" s="42">
        <f>Abraxane!S7</f>
        <v>639.2788994533098</v>
      </c>
      <c r="CU15" s="375">
        <f>(CY15/CT15)*CP15</f>
        <v>153.04067919629662</v>
      </c>
      <c r="CV15" s="375">
        <f>(CY15/CT15)*CQ15</f>
        <v>173.51795317326591</v>
      </c>
      <c r="CW15" s="375">
        <f>(CY15/CT15)*CR15</f>
        <v>160.58493802991688</v>
      </c>
      <c r="CX15" s="375">
        <f>(CY15/CT15)*CS15</f>
        <v>167.05144560159138</v>
      </c>
      <c r="CY15" s="42">
        <f>Abraxane!T7</f>
        <v>654.19501600107094</v>
      </c>
      <c r="CZ15" s="375">
        <f>(DD15/CY15)*CU15</f>
        <v>156.59597763405864</v>
      </c>
      <c r="DA15" s="375">
        <f>(DD15/CY15)*CV15</f>
        <v>177.54896055692564</v>
      </c>
      <c r="DB15" s="375">
        <f>(DD15/CY15)*CW15</f>
        <v>164.31549765827279</v>
      </c>
      <c r="DC15" s="375">
        <f>(DD15/CY15)*CX15</f>
        <v>170.9322291075992</v>
      </c>
      <c r="DD15" s="42">
        <f>Abraxane!U7</f>
        <v>669.39266495685638</v>
      </c>
      <c r="DE15" s="375">
        <f>(DI15/DD15)*CZ15</f>
        <v>160.21849233512395</v>
      </c>
      <c r="DF15" s="375">
        <f>(DI15/DD15)*DA15</f>
        <v>181.65617792926025</v>
      </c>
      <c r="DG15" s="375">
        <f>(DI15/DD15)*DB15</f>
        <v>168.11658702770046</v>
      </c>
      <c r="DH15" s="375">
        <f>(DI15/DD15)*DC15</f>
        <v>174.88638247848036</v>
      </c>
      <c r="DI15" s="42">
        <f>Abraxane!V7</f>
        <v>684.87763977056511</v>
      </c>
      <c r="DJ15" s="375">
        <f>(DN15/DI15)*DE15</f>
        <v>163.90961270808523</v>
      </c>
      <c r="DK15" s="375">
        <f>(DN15/DI15)*DF15</f>
        <v>185.84118060564592</v>
      </c>
      <c r="DL15" s="375">
        <f>(DN15/DI15)*DG15</f>
        <v>171.98966403876545</v>
      </c>
      <c r="DM15" s="375">
        <f>(DN15/DI15)*DH15</f>
        <v>178.91542232220567</v>
      </c>
      <c r="DN15" s="42">
        <f>Abraxane!W7</f>
        <v>700.65587967470242</v>
      </c>
      <c r="DO15" s="375">
        <f>(DS15/DN15)*DJ15</f>
        <v>167.67076328886512</v>
      </c>
      <c r="DP15" s="375">
        <f>(DS15/DN15)*DK15</f>
        <v>190.1055837289245</v>
      </c>
      <c r="DQ15" s="375">
        <f>(DS15/DN15)*DL15</f>
        <v>175.93622345099223</v>
      </c>
      <c r="DR15" s="375">
        <f>(DS15/DN15)*DM15</f>
        <v>183.02090358995835</v>
      </c>
      <c r="DS15" s="42">
        <f>Abraxane!X7</f>
        <v>716.73347405874028</v>
      </c>
      <c r="DT15" s="375">
        <f>(DX15/DS15)*DO15</f>
        <v>153.32845692442305</v>
      </c>
      <c r="DU15" s="375">
        <f>(DX15/DS15)*DP15</f>
        <v>173.84423637205708</v>
      </c>
      <c r="DV15" s="375">
        <f>(DX15/DS15)*DQ15</f>
        <v>160.88690198407767</v>
      </c>
      <c r="DW15" s="375">
        <f>(DX15/DS15)*DR15</f>
        <v>167.36556917806735</v>
      </c>
      <c r="DX15" s="42">
        <f>Abraxane!Y7</f>
        <v>655.4251644586252</v>
      </c>
      <c r="DY15" s="375">
        <f>(EC15/DX15)*DT15</f>
        <v>147.11584907786877</v>
      </c>
      <c r="DZ15" s="375">
        <f>(EC15/DX15)*DU15</f>
        <v>166.80036409533005</v>
      </c>
      <c r="EA15" s="375">
        <f>(EC15/DX15)*DV15</f>
        <v>154.36803882114395</v>
      </c>
      <c r="EB15" s="375">
        <f>(EC15/DX15)*DW15</f>
        <v>160.58420145823698</v>
      </c>
      <c r="EC15" s="42">
        <f>Abraxane!Z7</f>
        <v>628.86845345257984</v>
      </c>
      <c r="ED15" s="375">
        <f>(EH15/EC15)*DY15</f>
        <v>136.2517338628241</v>
      </c>
      <c r="EE15" s="375">
        <f>(EH15/EC15)*DZ15</f>
        <v>154.48259966137095</v>
      </c>
      <c r="EF15" s="375">
        <f>(EH15/EC15)*EA15</f>
        <v>142.96836863070976</v>
      </c>
      <c r="EG15" s="375">
        <f>(EH15/EC15)*EB15</f>
        <v>148.72548414604032</v>
      </c>
      <c r="EH15" s="42">
        <f>Abraxane!AA7</f>
        <v>582.42818630094519</v>
      </c>
      <c r="EI15" s="375">
        <f>(EM15/EH15)*ED15</f>
        <v>118.2953322887841</v>
      </c>
      <c r="EJ15" s="375">
        <f>(EM15/EH15)*EE15</f>
        <v>134.12358097531151</v>
      </c>
      <c r="EK15" s="375">
        <f>(EM15/EH15)*EF15</f>
        <v>124.12679233118891</v>
      </c>
      <c r="EL15" s="375">
        <f>(EM15/EH15)*EG15</f>
        <v>129.12518665325018</v>
      </c>
      <c r="EM15" s="42">
        <f>Abraxane!AB7</f>
        <v>505.67089224853476</v>
      </c>
    </row>
    <row r="16" spans="1:143">
      <c r="B16" s="10" t="s">
        <v>76</v>
      </c>
      <c r="C16" s="51"/>
      <c r="D16" s="43"/>
      <c r="E16" s="43"/>
      <c r="F16" s="43"/>
      <c r="G16" s="43"/>
      <c r="H16" s="51"/>
      <c r="I16" s="43"/>
      <c r="J16" s="43"/>
      <c r="K16" s="43"/>
      <c r="L16" s="43"/>
      <c r="M16" s="51"/>
      <c r="N16" s="43"/>
      <c r="O16" s="43"/>
      <c r="P16" s="43"/>
      <c r="Q16" s="43"/>
      <c r="R16" s="51"/>
      <c r="S16" s="43"/>
      <c r="T16" s="43"/>
      <c r="U16" s="43"/>
      <c r="V16" s="43"/>
      <c r="W16" s="51"/>
      <c r="X16" s="43"/>
      <c r="Y16" s="43"/>
      <c r="Z16" s="43"/>
      <c r="AA16" s="43"/>
      <c r="AB16" s="51"/>
      <c r="AC16" s="43"/>
      <c r="AD16" s="43"/>
      <c r="AE16" s="43"/>
      <c r="AF16" s="43"/>
      <c r="AG16" s="51"/>
      <c r="AH16" s="43"/>
      <c r="AI16" s="43"/>
      <c r="AJ16" s="43"/>
      <c r="AK16" s="43"/>
      <c r="AL16" s="42"/>
      <c r="AM16" s="43"/>
      <c r="AN16" s="43"/>
      <c r="AO16" s="43"/>
      <c r="AP16" s="43"/>
      <c r="AQ16" s="51"/>
      <c r="AR16" s="43">
        <f>65-AS16-AT16-AU16</f>
        <v>11</v>
      </c>
      <c r="AS16" s="43">
        <v>22</v>
      </c>
      <c r="AT16" s="43">
        <v>20</v>
      </c>
      <c r="AU16" s="43">
        <v>12</v>
      </c>
      <c r="AV16" s="51">
        <f>SUM(AR16:AU16)</f>
        <v>65</v>
      </c>
      <c r="AW16" s="375">
        <f>+AW13-AW15</f>
        <v>23.289000000000001</v>
      </c>
      <c r="AX16" s="375">
        <f>+AX13-AX15</f>
        <v>22.742999999999995</v>
      </c>
      <c r="AY16" s="375">
        <f>+AY13-AY15</f>
        <v>25.343999999999994</v>
      </c>
      <c r="AZ16" s="375">
        <f>+AZ13-AZ15</f>
        <v>22.299000000000021</v>
      </c>
      <c r="BA16" s="51">
        <f>SUM(AW16:AZ16)</f>
        <v>93.675000000000011</v>
      </c>
      <c r="BB16" s="375">
        <f>+BB13-BB15</f>
        <v>28.700000000000003</v>
      </c>
      <c r="BC16" s="375">
        <f>+BC13-BC15</f>
        <v>34.800000000000011</v>
      </c>
      <c r="BD16" s="442">
        <v>37.799999999999997</v>
      </c>
      <c r="BE16" s="442">
        <v>37.799999999999997</v>
      </c>
      <c r="BF16" s="51">
        <f>SUM(BB16:BE16)</f>
        <v>139.10000000000002</v>
      </c>
      <c r="BG16" s="376">
        <v>43.3</v>
      </c>
      <c r="BH16" s="376">
        <v>55.4</v>
      </c>
      <c r="BI16" s="376">
        <v>60.6</v>
      </c>
      <c r="BJ16" s="376">
        <v>64.400000000000006</v>
      </c>
      <c r="BK16" s="42">
        <f>SUM(BG16:BJ16)</f>
        <v>223.7</v>
      </c>
      <c r="BL16" s="376">
        <v>64.3</v>
      </c>
      <c r="BM16" s="376">
        <v>74.400000000000006</v>
      </c>
      <c r="BN16" s="376">
        <v>84.7</v>
      </c>
      <c r="BO16" s="376">
        <v>90.5</v>
      </c>
      <c r="BP16" s="42">
        <f>SUM(BL16:BO16)</f>
        <v>313.89999999999998</v>
      </c>
      <c r="BQ16" s="376">
        <v>81.099999999999994</v>
      </c>
      <c r="BR16" s="376">
        <v>74.400000000000006</v>
      </c>
      <c r="BS16" s="376">
        <v>89.3</v>
      </c>
      <c r="BT16" s="376">
        <v>94.8</v>
      </c>
      <c r="BU16" s="42">
        <f>SUM(BQ16:BT16)</f>
        <v>339.6</v>
      </c>
      <c r="BV16" s="376">
        <v>94</v>
      </c>
      <c r="BW16" s="376">
        <v>93</v>
      </c>
      <c r="BX16" s="376">
        <v>102</v>
      </c>
      <c r="BY16" s="376">
        <v>96</v>
      </c>
      <c r="BZ16" s="42">
        <f>SUM(BV16:BY16)</f>
        <v>385</v>
      </c>
      <c r="CA16" s="375">
        <f>(CE16/BZ16)*BV16</f>
        <v>103.63038168599999</v>
      </c>
      <c r="CB16" s="375">
        <f>(CE16/BZ16)*BW16</f>
        <v>102.52793081699998</v>
      </c>
      <c r="CC16" s="375">
        <f>(CE16/BZ16)*BX16</f>
        <v>112.44998863799999</v>
      </c>
      <c r="CD16" s="375">
        <f>(CE16/BZ16)*BY16</f>
        <v>105.83528342399998</v>
      </c>
      <c r="CE16" s="42">
        <f>Abraxane!P8</f>
        <v>424.44358456499992</v>
      </c>
      <c r="CF16" s="375">
        <f>(CJ16/CE16)*CA16</f>
        <v>112.53755140685999</v>
      </c>
      <c r="CG16" s="375">
        <f>(CJ16/CE16)*CB16</f>
        <v>111.34034341316998</v>
      </c>
      <c r="CH16" s="375">
        <f>(CJ16/CE16)*CC16</f>
        <v>122.11521535637999</v>
      </c>
      <c r="CI16" s="375">
        <f>(CJ16/CE16)*CD16</f>
        <v>114.93196739423998</v>
      </c>
      <c r="CJ16" s="42">
        <f>Abraxane!Q8</f>
        <v>460.92507757064993</v>
      </c>
      <c r="CK16" s="375">
        <f>(CO16/CJ16)*CF16</f>
        <v>122.32087941532862</v>
      </c>
      <c r="CL16" s="375">
        <f>(CO16/CJ16)*CG16</f>
        <v>121.0195934641017</v>
      </c>
      <c r="CM16" s="375">
        <f>(CO16/CJ16)*CH16</f>
        <v>132.73116702514383</v>
      </c>
      <c r="CN16" s="375">
        <f>(CO16/CJ16)*CI16</f>
        <v>124.92345131778241</v>
      </c>
      <c r="CO16" s="42">
        <f>Abraxane!R8</f>
        <v>500.99509122235656</v>
      </c>
      <c r="CP16" s="375">
        <f>(CT16/CO16)*CK16</f>
        <v>133.06783595332192</v>
      </c>
      <c r="CQ16" s="375">
        <f>(CT16/CO16)*CL16</f>
        <v>131.65222067722274</v>
      </c>
      <c r="CR16" s="375">
        <f>(CT16/CO16)*CM16</f>
        <v>144.39275816211529</v>
      </c>
      <c r="CS16" s="375">
        <f>(CT16/CO16)*CN16</f>
        <v>135.89906650552027</v>
      </c>
      <c r="CT16" s="42">
        <f>Abraxane!S8</f>
        <v>545.01188129818024</v>
      </c>
      <c r="CU16" s="375">
        <f>(CY16/CT16)*CP16</f>
        <v>144.87463683107916</v>
      </c>
      <c r="CV16" s="375">
        <f>(CY16/CT16)*CQ16</f>
        <v>143.33341729032298</v>
      </c>
      <c r="CW16" s="375">
        <f>(CY16/CT16)*CR16</f>
        <v>157.20439315712846</v>
      </c>
      <c r="CX16" s="375">
        <f>(CY16/CT16)*CS16</f>
        <v>147.95707591259148</v>
      </c>
      <c r="CY16" s="42">
        <f>Abraxane!T8</f>
        <v>593.36952319112208</v>
      </c>
      <c r="CZ16" s="375">
        <f>(DD16/CY16)*CU16</f>
        <v>134.17005027402089</v>
      </c>
      <c r="DA16" s="375">
        <f>(DD16/CY16)*CV16</f>
        <v>132.74270931365896</v>
      </c>
      <c r="DB16" s="375">
        <f>(DD16/CY16)*CW16</f>
        <v>145.58877795691632</v>
      </c>
      <c r="DC16" s="375">
        <f>(DD16/CY16)*CX16</f>
        <v>137.02473219474476</v>
      </c>
      <c r="DD16" s="42">
        <f>Abraxane!U8</f>
        <v>549.52626973934093</v>
      </c>
      <c r="DE16" s="375">
        <f>(DI16/DD16)*CZ16</f>
        <v>108.9833998761321</v>
      </c>
      <c r="DF16" s="375">
        <f>(DI16/DD16)*DA16</f>
        <v>107.82400200510941</v>
      </c>
      <c r="DG16" s="375">
        <f>(DI16/DD16)*DB16</f>
        <v>118.25858284431357</v>
      </c>
      <c r="DH16" s="375">
        <f>(DI16/DD16)*DC16</f>
        <v>111.30219561817746</v>
      </c>
      <c r="DI16" s="42">
        <f>Abraxane!V8</f>
        <v>446.36818034373255</v>
      </c>
      <c r="DJ16" s="375">
        <f>(DN16/DI16)*DE16</f>
        <v>73.422660530848745</v>
      </c>
      <c r="DK16" s="375">
        <f>(DN16/DI16)*DF16</f>
        <v>72.641568397541832</v>
      </c>
      <c r="DL16" s="375">
        <f>(DN16/DI16)*DG16</f>
        <v>79.671397597303965</v>
      </c>
      <c r="DM16" s="375">
        <f>(DN16/DI16)*DH16</f>
        <v>74.984844797462543</v>
      </c>
      <c r="DN16" s="42">
        <f>Abraxane!W8</f>
        <v>300.72047132315708</v>
      </c>
      <c r="DO16" s="375">
        <f>(DS16/DN16)*DJ16</f>
        <v>40.29770987171382</v>
      </c>
      <c r="DP16" s="375">
        <f>(DS16/DN16)*DK16</f>
        <v>39.869010830525369</v>
      </c>
      <c r="DQ16" s="375">
        <f>(DS16/DN16)*DL16</f>
        <v>43.727302201221384</v>
      </c>
      <c r="DR16" s="375">
        <f>(DS16/DN16)*DM16</f>
        <v>41.15510795409071</v>
      </c>
      <c r="DS16" s="42">
        <f>Abraxane!X8</f>
        <v>165.04913085755129</v>
      </c>
      <c r="DT16" s="375">
        <f>(DX16/DS16)*DO16</f>
        <v>17.752280060895902</v>
      </c>
      <c r="DU16" s="375">
        <f>(DX16/DS16)*DP16</f>
        <v>17.56342601769488</v>
      </c>
      <c r="DV16" s="375">
        <f>(DX16/DS16)*DQ16</f>
        <v>19.263112406504067</v>
      </c>
      <c r="DW16" s="375">
        <f>(DX16/DS16)*DR16</f>
        <v>18.129988147297944</v>
      </c>
      <c r="DX16" s="42">
        <f>Abraxane!Y8</f>
        <v>72.708806632392793</v>
      </c>
      <c r="DY16" s="375">
        <f>(EC16/DX16)*DT16</f>
        <v>6.6668567496104183</v>
      </c>
      <c r="DZ16" s="375">
        <f>(EC16/DX16)*DU16</f>
        <v>6.5959327416358384</v>
      </c>
      <c r="EA16" s="375">
        <f>(EC16/DX16)*DV16</f>
        <v>7.2342488134070511</v>
      </c>
      <c r="EB16" s="375">
        <f>(EC16/DX16)*DW16</f>
        <v>6.8087047655595763</v>
      </c>
      <c r="EC16" s="42">
        <f>Abraxane!Z8</f>
        <v>27.305743070212884</v>
      </c>
      <c r="ED16" s="375">
        <f>(EH16/EC16)*DY16</f>
        <v>2.5049691531409315</v>
      </c>
      <c r="EE16" s="375">
        <f>(EH16/EC16)*DZ16</f>
        <v>2.4783205451287937</v>
      </c>
      <c r="EF16" s="375">
        <f>(EH16/EC16)*EA16</f>
        <v>2.7181580172380326</v>
      </c>
      <c r="EG16" s="375">
        <f>(EH16/EC16)*EB16</f>
        <v>2.558266369165207</v>
      </c>
      <c r="EH16" s="42">
        <f>Abraxane!AA8</f>
        <v>10.259714084672964</v>
      </c>
      <c r="EI16" s="375">
        <f>(EM16/EH16)*ED16</f>
        <v>0.94163536440393858</v>
      </c>
      <c r="EJ16" s="375">
        <f>(EM16/EH16)*EE16</f>
        <v>0.93161796691027965</v>
      </c>
      <c r="EK16" s="375">
        <f>(EM16/EH16)*EF16</f>
        <v>1.0217745443532102</v>
      </c>
      <c r="EL16" s="375">
        <f>(EM16/EH16)*EG16</f>
        <v>0.96167015939125655</v>
      </c>
      <c r="EM16" s="42">
        <f>Abraxane!AB8</f>
        <v>3.8566980350586846</v>
      </c>
    </row>
    <row r="17" spans="2:143" ht="6.75" customHeight="1">
      <c r="B17" s="10"/>
      <c r="C17" s="51"/>
      <c r="D17" s="43"/>
      <c r="E17" s="43"/>
      <c r="F17" s="43"/>
      <c r="G17" s="43"/>
      <c r="H17" s="51"/>
      <c r="I17" s="43"/>
      <c r="J17" s="43"/>
      <c r="K17" s="43"/>
      <c r="L17" s="43"/>
      <c r="M17" s="51"/>
      <c r="N17" s="43"/>
      <c r="O17" s="43"/>
      <c r="P17" s="43"/>
      <c r="Q17" s="43"/>
      <c r="R17" s="51"/>
      <c r="S17" s="43"/>
      <c r="T17" s="43"/>
      <c r="U17" s="43"/>
      <c r="V17" s="43"/>
      <c r="W17" s="51"/>
      <c r="X17" s="43"/>
      <c r="Y17" s="43"/>
      <c r="Z17" s="43"/>
      <c r="AA17" s="43"/>
      <c r="AB17" s="51"/>
      <c r="AC17" s="43"/>
      <c r="AD17" s="43"/>
      <c r="AE17" s="43"/>
      <c r="AF17" s="43"/>
      <c r="AG17" s="51"/>
      <c r="AH17" s="43"/>
      <c r="AI17" s="43"/>
      <c r="AJ17" s="43"/>
      <c r="AK17" s="43"/>
      <c r="AL17" s="42"/>
      <c r="AM17" s="43"/>
      <c r="AN17" s="43"/>
      <c r="AO17" s="43"/>
      <c r="AP17" s="43"/>
      <c r="AQ17" s="51"/>
      <c r="AR17" s="43"/>
      <c r="AS17" s="43"/>
      <c r="AT17" s="43"/>
      <c r="AU17" s="43"/>
      <c r="AV17" s="51"/>
      <c r="AW17" s="375"/>
      <c r="AX17" s="375"/>
      <c r="AY17" s="375"/>
      <c r="AZ17" s="375"/>
      <c r="BA17" s="51"/>
      <c r="BB17" s="442"/>
      <c r="BC17" s="442"/>
      <c r="BD17" s="442"/>
      <c r="BE17" s="442"/>
      <c r="BF17" s="51"/>
      <c r="BG17" s="443"/>
      <c r="BH17" s="443"/>
      <c r="BI17" s="375"/>
      <c r="BJ17" s="375"/>
      <c r="BK17" s="42"/>
      <c r="BL17" s="375"/>
      <c r="BM17" s="375"/>
      <c r="BN17" s="375"/>
      <c r="BO17" s="375"/>
      <c r="BP17" s="42"/>
      <c r="BQ17" s="375"/>
      <c r="BR17" s="375"/>
      <c r="BS17" s="375"/>
      <c r="BT17" s="375"/>
      <c r="BU17" s="42"/>
      <c r="BV17" s="375"/>
      <c r="BW17" s="375"/>
      <c r="BX17" s="375"/>
      <c r="BY17" s="375"/>
      <c r="BZ17" s="42"/>
      <c r="CA17" s="375"/>
      <c r="CB17" s="375"/>
      <c r="CC17" s="375"/>
      <c r="CD17" s="375"/>
      <c r="CE17" s="42"/>
      <c r="CF17" s="375"/>
      <c r="CG17" s="375"/>
      <c r="CH17" s="375"/>
      <c r="CI17" s="375"/>
      <c r="CJ17" s="42"/>
      <c r="CK17" s="375"/>
      <c r="CL17" s="375"/>
      <c r="CM17" s="375"/>
      <c r="CN17" s="375"/>
      <c r="CO17" s="42"/>
      <c r="CP17" s="375"/>
      <c r="CQ17" s="375"/>
      <c r="CR17" s="375"/>
      <c r="CS17" s="375"/>
      <c r="CT17" s="42"/>
      <c r="CU17" s="375"/>
      <c r="CV17" s="375"/>
      <c r="CW17" s="375"/>
      <c r="CX17" s="375"/>
      <c r="CY17" s="42"/>
      <c r="CZ17" s="375"/>
      <c r="DA17" s="375"/>
      <c r="DB17" s="375"/>
      <c r="DC17" s="375"/>
      <c r="DD17" s="42"/>
      <c r="DE17" s="375"/>
      <c r="DF17" s="375"/>
      <c r="DG17" s="375"/>
      <c r="DH17" s="375"/>
      <c r="DI17" s="42"/>
      <c r="DJ17" s="375"/>
      <c r="DK17" s="375"/>
      <c r="DL17" s="375"/>
      <c r="DM17" s="375"/>
      <c r="DN17" s="42"/>
      <c r="DO17" s="375"/>
      <c r="DP17" s="375"/>
      <c r="DQ17" s="375"/>
      <c r="DR17" s="375"/>
      <c r="DS17" s="42"/>
      <c r="DT17" s="375"/>
      <c r="DU17" s="375"/>
      <c r="DV17" s="375"/>
      <c r="DW17" s="375"/>
      <c r="DX17" s="42"/>
      <c r="DY17" s="375"/>
      <c r="DZ17" s="375"/>
      <c r="EA17" s="375"/>
      <c r="EB17" s="375"/>
      <c r="EC17" s="42"/>
      <c r="ED17" s="375"/>
      <c r="EE17" s="375"/>
      <c r="EF17" s="375"/>
      <c r="EG17" s="375"/>
      <c r="EH17" s="42"/>
      <c r="EI17" s="375"/>
      <c r="EJ17" s="375"/>
      <c r="EK17" s="375"/>
      <c r="EL17" s="375"/>
      <c r="EM17" s="42"/>
    </row>
    <row r="18" spans="2:143" ht="13.5" thickBot="1">
      <c r="B18" s="25" t="s">
        <v>95</v>
      </c>
      <c r="C18" s="51"/>
      <c r="D18" s="43"/>
      <c r="E18" s="43"/>
      <c r="F18" s="43"/>
      <c r="G18" s="43"/>
      <c r="H18" s="51"/>
      <c r="I18" s="43"/>
      <c r="J18" s="43"/>
      <c r="K18" s="43"/>
      <c r="L18" s="43"/>
      <c r="M18" s="51"/>
      <c r="N18" s="43"/>
      <c r="O18" s="43"/>
      <c r="P18" s="43"/>
      <c r="Q18" s="43"/>
      <c r="R18" s="51"/>
      <c r="S18" s="43"/>
      <c r="T18" s="43"/>
      <c r="U18" s="43"/>
      <c r="V18" s="43"/>
      <c r="W18" s="51"/>
      <c r="X18" s="43"/>
      <c r="Y18" s="43"/>
      <c r="Z18" s="43"/>
      <c r="AA18" s="43"/>
      <c r="AB18" s="51"/>
      <c r="AC18" s="43"/>
      <c r="AD18" s="43"/>
      <c r="AE18" s="43"/>
      <c r="AF18" s="43"/>
      <c r="AG18" s="51"/>
      <c r="AH18" s="43"/>
      <c r="AI18" s="43"/>
      <c r="AJ18" s="43"/>
      <c r="AK18" s="43"/>
      <c r="AL18" s="42"/>
      <c r="AM18" s="43"/>
      <c r="AN18" s="43"/>
      <c r="AO18" s="43"/>
      <c r="AP18" s="43"/>
      <c r="AQ18" s="51"/>
      <c r="AR18" s="43"/>
      <c r="AS18" s="43"/>
      <c r="AT18" s="43"/>
      <c r="AU18" s="43"/>
      <c r="AV18" s="51"/>
      <c r="AW18" s="375"/>
      <c r="AX18" s="375"/>
      <c r="AY18" s="375"/>
      <c r="AZ18" s="375"/>
      <c r="BA18" s="51"/>
      <c r="BB18" s="441">
        <v>28.5</v>
      </c>
      <c r="BC18" s="441">
        <v>66.2</v>
      </c>
      <c r="BD18" s="441">
        <v>89.5</v>
      </c>
      <c r="BE18" s="441">
        <v>121</v>
      </c>
      <c r="BF18" s="51">
        <f>SUM(BB18:BE18)</f>
        <v>305.2</v>
      </c>
      <c r="BG18" s="443">
        <f>BG20+BG21</f>
        <v>135.6</v>
      </c>
      <c r="BH18" s="443">
        <f>BH20+BH21</f>
        <v>160.9</v>
      </c>
      <c r="BI18" s="375">
        <f>BI20+BI21</f>
        <v>181.1</v>
      </c>
      <c r="BJ18" s="375">
        <f>BJ20+BJ21</f>
        <v>202.10000000000002</v>
      </c>
      <c r="BK18" s="42">
        <f>+BK20+BK21</f>
        <v>679.7</v>
      </c>
      <c r="BL18" s="375">
        <f>BL20+BL21</f>
        <v>198.5</v>
      </c>
      <c r="BM18" s="375">
        <f>BM20+BM21</f>
        <v>234.5</v>
      </c>
      <c r="BN18" s="375">
        <f>BN20+BN21</f>
        <v>256.5</v>
      </c>
      <c r="BO18" s="375">
        <f>BO20+BO21</f>
        <v>293.79999999999995</v>
      </c>
      <c r="BP18" s="358">
        <f>SUM(BL18:BO18)</f>
        <v>983.3</v>
      </c>
      <c r="BQ18" s="375">
        <f>BQ20+BQ21</f>
        <v>274</v>
      </c>
      <c r="BR18" s="375">
        <f>BR20+BR21</f>
        <v>317.70000000000005</v>
      </c>
      <c r="BS18" s="375">
        <f>BS20+BS21</f>
        <v>341.1</v>
      </c>
      <c r="BT18" s="375">
        <f>BT20+BT21</f>
        <v>377.9</v>
      </c>
      <c r="BU18" s="358">
        <f>SUM(BQ18:BT18)</f>
        <v>1310.7</v>
      </c>
      <c r="BV18" s="375">
        <f>BV20+BV21</f>
        <v>364</v>
      </c>
      <c r="BW18" s="375">
        <f>BW20+BW21</f>
        <v>391</v>
      </c>
      <c r="BX18" s="375">
        <f>BX20+BX21</f>
        <v>417</v>
      </c>
      <c r="BY18" s="443">
        <f>BY20+BY21</f>
        <v>442</v>
      </c>
      <c r="BZ18" s="42">
        <f>SUM(BV18:BY18)</f>
        <v>1614</v>
      </c>
      <c r="CA18" s="375">
        <f>CA20+CA21</f>
        <v>421.95912132576291</v>
      </c>
      <c r="CB18" s="375">
        <f>CB20+CB21</f>
        <v>452.21705382431605</v>
      </c>
      <c r="CC18" s="375">
        <f>CC20+CC21</f>
        <v>481.0149856172078</v>
      </c>
      <c r="CD18" s="375">
        <f>CD20+CD21</f>
        <v>509.97657761279561</v>
      </c>
      <c r="CE18" s="42">
        <f>+CE20+CE21</f>
        <v>1865.1677383800823</v>
      </c>
      <c r="CF18" s="375">
        <f>CF20+CF21</f>
        <v>515.20251000552651</v>
      </c>
      <c r="CG18" s="375">
        <f>CG20+CG21</f>
        <v>523.64433924358843</v>
      </c>
      <c r="CH18" s="375">
        <f>CH20+CH21</f>
        <v>532.09884390092679</v>
      </c>
      <c r="CI18" s="375">
        <f>CI20+CI21</f>
        <v>540.55334855826516</v>
      </c>
      <c r="CJ18" s="42">
        <f>+CJ20+CJ21</f>
        <v>2111.5117171275833</v>
      </c>
      <c r="CK18" s="375">
        <f>CK20+CK21</f>
        <v>574.22133818303951</v>
      </c>
      <c r="CL18" s="375">
        <f>CL20+CL21</f>
        <v>585.17956899607793</v>
      </c>
      <c r="CM18" s="375">
        <f>CM20+CM21</f>
        <v>596.14708040362757</v>
      </c>
      <c r="CN18" s="375">
        <f>CN20+CN21</f>
        <v>607.12893822219417</v>
      </c>
      <c r="CO18" s="42">
        <f>+CO20+CO21</f>
        <v>2362.7005528104673</v>
      </c>
      <c r="CP18" s="375">
        <f>CP20+CP21</f>
        <v>628.77646578894132</v>
      </c>
      <c r="CQ18" s="375">
        <f>CQ20+CQ21</f>
        <v>640.69780414097659</v>
      </c>
      <c r="CR18" s="375">
        <f>CR20+CR21</f>
        <v>652.62907525295373</v>
      </c>
      <c r="CS18" s="375">
        <f>CS20+CS21</f>
        <v>664.57628065991798</v>
      </c>
      <c r="CT18" s="42">
        <f>+CT20+CT21</f>
        <v>2586.7054928977186</v>
      </c>
      <c r="CU18" s="375">
        <f>CU20+CU21</f>
        <v>686.71196648597049</v>
      </c>
      <c r="CV18" s="375">
        <f>CV20+CV21</f>
        <v>699.64295309730858</v>
      </c>
      <c r="CW18" s="375">
        <f>CW20+CW21</f>
        <v>712.58452638578046</v>
      </c>
      <c r="CX18" s="375">
        <f>CX20+CX21</f>
        <v>725.54375811161049</v>
      </c>
      <c r="CY18" s="42">
        <f>+CY20+CY21</f>
        <v>2824.5114491951617</v>
      </c>
      <c r="CZ18" s="375">
        <f>CZ20+CZ21</f>
        <v>694.33826840272627</v>
      </c>
      <c r="DA18" s="375">
        <f>DA20+DA21</f>
        <v>706.83201125381038</v>
      </c>
      <c r="DB18" s="375">
        <f>DB20+DB21</f>
        <v>719.33474894651295</v>
      </c>
      <c r="DC18" s="375">
        <f>DC20+DC21</f>
        <v>731.8570157032791</v>
      </c>
      <c r="DD18" s="42">
        <f>+DD20+DD21</f>
        <v>2852.3905682120112</v>
      </c>
      <c r="DE18" s="375">
        <f>DE20+DE21</f>
        <v>616.35055690411104</v>
      </c>
      <c r="DF18" s="375">
        <f>DF20+DF21</f>
        <v>626.72446474061519</v>
      </c>
      <c r="DG18" s="375">
        <f>DG20+DG21</f>
        <v>637.10424837370124</v>
      </c>
      <c r="DH18" s="375">
        <f>DH20+DH21</f>
        <v>647.5034332900093</v>
      </c>
      <c r="DI18" s="42">
        <f>+DI20+DI21</f>
        <v>2527.7079803882407</v>
      </c>
      <c r="DJ18" s="375">
        <f>DJ20+DJ21</f>
        <v>379.26366250881802</v>
      </c>
      <c r="DK18" s="375">
        <f>DK20+DK21</f>
        <v>385.66847567916818</v>
      </c>
      <c r="DL18" s="375">
        <f>DL20+DL21</f>
        <v>392.07696730273852</v>
      </c>
      <c r="DM18" s="375">
        <f>DM20+DM21</f>
        <v>398.49733569305278</v>
      </c>
      <c r="DN18" s="42">
        <f>+DN20+DN21</f>
        <v>1555.5219964037415</v>
      </c>
      <c r="DO18" s="375">
        <f>DO20+DO21</f>
        <v>125.25326859414686</v>
      </c>
      <c r="DP18" s="375">
        <f>DP20+DP21</f>
        <v>127.82390569991453</v>
      </c>
      <c r="DQ18" s="375">
        <f>DQ20+DQ21</f>
        <v>130.39709791326771</v>
      </c>
      <c r="DR18" s="375">
        <f>DR20+DR21</f>
        <v>132.97289954239812</v>
      </c>
      <c r="DS18" s="42">
        <f>+DS20+DS21</f>
        <v>516.45233627308994</v>
      </c>
      <c r="DT18" s="375">
        <f>DT20+DT21</f>
        <v>82.951524130747998</v>
      </c>
      <c r="DU18" s="375">
        <f>DU20+DU21</f>
        <v>84.756658099247716</v>
      </c>
      <c r="DV18" s="375">
        <f>DV20+DV21</f>
        <v>86.563786413055851</v>
      </c>
      <c r="DW18" s="375">
        <f>DW20+DW21</f>
        <v>88.372346858975362</v>
      </c>
      <c r="DX18" s="42">
        <f>+DX20+DX21</f>
        <v>342.64774197944672</v>
      </c>
      <c r="DY18" s="375">
        <f>DY20+DY21</f>
        <v>56.267719227788156</v>
      </c>
      <c r="DZ18" s="375">
        <f>DZ20+DZ21</f>
        <v>57.502216420601954</v>
      </c>
      <c r="EA18" s="375">
        <f>EA20+EA21</f>
        <v>58.738095959448309</v>
      </c>
      <c r="EB18" s="375">
        <f>EB20+EB21</f>
        <v>59.974918005006764</v>
      </c>
      <c r="EC18" s="42">
        <f>+EC20+EC21</f>
        <v>232.48527446558984</v>
      </c>
      <c r="ED18" s="375">
        <f>ED20+ED21</f>
        <v>34.105882408526099</v>
      </c>
      <c r="EE18" s="375">
        <f>EE20+EE21</f>
        <v>34.813423005258144</v>
      </c>
      <c r="EF18" s="375">
        <f>EF20+EF21</f>
        <v>35.521681618299851</v>
      </c>
      <c r="EG18" s="375">
        <f>EG20+EG21</f>
        <v>36.230628945258971</v>
      </c>
      <c r="EH18" s="42">
        <f>+EH20+EH21</f>
        <v>140.67302270757014</v>
      </c>
      <c r="EI18" s="375">
        <f>EI20+EI21</f>
        <v>19.974184942694222</v>
      </c>
      <c r="EJ18" s="375">
        <f>EJ20+EJ21</f>
        <v>20.397632482329684</v>
      </c>
      <c r="EK18" s="375">
        <f>EK20+EK21</f>
        <v>20.821527236515916</v>
      </c>
      <c r="EL18" s="375">
        <f>EL20+EL21</f>
        <v>21.245799175833753</v>
      </c>
      <c r="EM18" s="42">
        <f>+EM20+EM21</f>
        <v>82.43996823705595</v>
      </c>
    </row>
    <row r="19" spans="2:143" ht="13.5" thickBot="1">
      <c r="B19" s="25"/>
      <c r="C19" s="51"/>
      <c r="D19" s="43"/>
      <c r="E19" s="43"/>
      <c r="F19" s="43"/>
      <c r="G19" s="43"/>
      <c r="H19" s="51"/>
      <c r="I19" s="43"/>
      <c r="J19" s="43"/>
      <c r="K19" s="43"/>
      <c r="L19" s="43"/>
      <c r="M19" s="51"/>
      <c r="N19" s="43"/>
      <c r="O19" s="43"/>
      <c r="P19" s="43"/>
      <c r="Q19" s="43"/>
      <c r="R19" s="51"/>
      <c r="S19" s="43"/>
      <c r="T19" s="43"/>
      <c r="U19" s="43"/>
      <c r="V19" s="43"/>
      <c r="W19" s="51"/>
      <c r="X19" s="43"/>
      <c r="Y19" s="43"/>
      <c r="Z19" s="43"/>
      <c r="AA19" s="43"/>
      <c r="AB19" s="51"/>
      <c r="AC19" s="43"/>
      <c r="AD19" s="43"/>
      <c r="AE19" s="43"/>
      <c r="AF19" s="43"/>
      <c r="AG19" s="51"/>
      <c r="AH19" s="43"/>
      <c r="AI19" s="43"/>
      <c r="AJ19" s="43"/>
      <c r="AK19" s="43"/>
      <c r="AL19" s="42"/>
      <c r="AM19" s="43"/>
      <c r="AN19" s="43"/>
      <c r="AO19" s="43"/>
      <c r="AP19" s="43"/>
      <c r="AQ19" s="51"/>
      <c r="AR19" s="43"/>
      <c r="AS19" s="43"/>
      <c r="AT19" s="43"/>
      <c r="AU19" s="43"/>
      <c r="AV19" s="51"/>
      <c r="AW19" s="375"/>
      <c r="AX19" s="375"/>
      <c r="AY19" s="375"/>
      <c r="AZ19" s="375"/>
      <c r="BA19" s="51"/>
      <c r="BB19" s="441"/>
      <c r="BC19" s="441"/>
      <c r="BD19" s="441"/>
      <c r="BE19" s="441"/>
      <c r="BF19" s="51"/>
      <c r="BG19" s="443"/>
      <c r="BH19" s="443"/>
      <c r="BI19" s="375"/>
      <c r="BJ19" s="375"/>
      <c r="BK19" s="42"/>
      <c r="BL19" s="375"/>
      <c r="BM19" s="375"/>
      <c r="BN19" s="375"/>
      <c r="BO19" s="375"/>
      <c r="BP19" s="42"/>
      <c r="BQ19" s="375"/>
      <c r="BR19" s="375"/>
      <c r="BS19" s="375"/>
      <c r="BT19" s="375"/>
      <c r="BU19" s="975"/>
      <c r="BV19" s="375"/>
      <c r="BW19" s="960"/>
      <c r="BX19" s="960"/>
      <c r="BY19" s="960"/>
      <c r="BZ19" s="975"/>
      <c r="CA19" s="375"/>
      <c r="CB19" s="375"/>
      <c r="CC19" s="377" t="s">
        <v>432</v>
      </c>
      <c r="CD19" s="378"/>
      <c r="CE19" s="379" t="s">
        <v>1047</v>
      </c>
      <c r="CF19" s="375"/>
      <c r="CG19" s="375"/>
      <c r="CH19" s="375"/>
      <c r="CI19" s="375"/>
      <c r="CJ19" s="42"/>
      <c r="CK19" s="375"/>
      <c r="CL19" s="375"/>
      <c r="CM19" s="375"/>
      <c r="CN19" s="375"/>
      <c r="CO19" s="42"/>
      <c r="CP19" s="375"/>
      <c r="CQ19" s="375"/>
      <c r="CR19" s="375"/>
      <c r="CS19" s="375"/>
      <c r="CT19" s="42"/>
      <c r="CU19" s="375"/>
      <c r="CV19" s="375"/>
      <c r="CW19" s="375"/>
      <c r="CX19" s="375"/>
      <c r="CY19" s="42"/>
      <c r="CZ19" s="375"/>
      <c r="DA19" s="375"/>
      <c r="DB19" s="375"/>
      <c r="DC19" s="375"/>
      <c r="DD19" s="42"/>
      <c r="DE19" s="375"/>
      <c r="DF19" s="375"/>
      <c r="DG19" s="375"/>
      <c r="DH19" s="375"/>
      <c r="DI19" s="42"/>
      <c r="DJ19" s="375"/>
      <c r="DK19" s="375"/>
      <c r="DL19" s="375"/>
      <c r="DM19" s="375"/>
      <c r="DN19" s="42"/>
      <c r="DO19" s="375"/>
      <c r="DP19" s="375"/>
      <c r="DQ19" s="375"/>
      <c r="DR19" s="375"/>
      <c r="DS19" s="42"/>
      <c r="DT19" s="375"/>
      <c r="DU19" s="375"/>
      <c r="DV19" s="375"/>
      <c r="DW19" s="375"/>
      <c r="DX19" s="42"/>
      <c r="DY19" s="375"/>
      <c r="DZ19" s="375"/>
      <c r="EA19" s="375"/>
      <c r="EB19" s="375"/>
      <c r="EC19" s="42"/>
      <c r="ED19" s="375"/>
      <c r="EE19" s="375"/>
      <c r="EF19" s="375"/>
      <c r="EG19" s="375"/>
      <c r="EH19" s="42"/>
      <c r="EI19" s="375"/>
      <c r="EJ19" s="375"/>
      <c r="EK19" s="375"/>
      <c r="EL19" s="375"/>
      <c r="EM19" s="42"/>
    </row>
    <row r="20" spans="2:143">
      <c r="B20" s="10" t="s">
        <v>96</v>
      </c>
      <c r="C20" s="51"/>
      <c r="D20" s="43"/>
      <c r="E20" s="43"/>
      <c r="F20" s="43"/>
      <c r="G20" s="43"/>
      <c r="H20" s="51"/>
      <c r="I20" s="43"/>
      <c r="J20" s="43"/>
      <c r="K20" s="43"/>
      <c r="L20" s="43"/>
      <c r="M20" s="51"/>
      <c r="N20" s="43"/>
      <c r="O20" s="43"/>
      <c r="P20" s="43"/>
      <c r="Q20" s="43"/>
      <c r="R20" s="51"/>
      <c r="S20" s="43"/>
      <c r="T20" s="43"/>
      <c r="U20" s="43"/>
      <c r="V20" s="43"/>
      <c r="W20" s="51"/>
      <c r="X20" s="43"/>
      <c r="Y20" s="43"/>
      <c r="Z20" s="43"/>
      <c r="AA20" s="43"/>
      <c r="AB20" s="51"/>
      <c r="AC20" s="43"/>
      <c r="AD20" s="43"/>
      <c r="AE20" s="43"/>
      <c r="AF20" s="43"/>
      <c r="AG20" s="51"/>
      <c r="AH20" s="43"/>
      <c r="AI20" s="43"/>
      <c r="AJ20" s="43"/>
      <c r="AK20" s="43"/>
      <c r="AL20" s="42"/>
      <c r="AM20" s="43"/>
      <c r="AN20" s="43"/>
      <c r="AO20" s="43"/>
      <c r="AP20" s="43"/>
      <c r="AQ20" s="51"/>
      <c r="AR20" s="43"/>
      <c r="AS20" s="43"/>
      <c r="AT20" s="43"/>
      <c r="AU20" s="43"/>
      <c r="AV20" s="51"/>
      <c r="AW20" s="375"/>
      <c r="AX20" s="375"/>
      <c r="AY20" s="375"/>
      <c r="AZ20" s="375"/>
      <c r="BA20" s="51"/>
      <c r="BB20" s="442"/>
      <c r="BC20" s="442">
        <f>+BC18-BC21</f>
        <v>57.7</v>
      </c>
      <c r="BD20" s="441">
        <v>77</v>
      </c>
      <c r="BE20" s="441">
        <v>89</v>
      </c>
      <c r="BF20" s="51">
        <f>SUM(BB20:BE20)</f>
        <v>223.7</v>
      </c>
      <c r="BG20" s="376">
        <v>88.7</v>
      </c>
      <c r="BH20" s="376">
        <v>104.2</v>
      </c>
      <c r="BI20" s="376">
        <v>118.3</v>
      </c>
      <c r="BJ20" s="376">
        <v>131.80000000000001</v>
      </c>
      <c r="BK20" s="42">
        <f>SUM(BG20:BJ20)</f>
        <v>443</v>
      </c>
      <c r="BL20" s="376">
        <v>128.4</v>
      </c>
      <c r="BM20" s="376">
        <v>143.6</v>
      </c>
      <c r="BN20" s="376">
        <v>150.1</v>
      </c>
      <c r="BO20" s="376">
        <v>169.7</v>
      </c>
      <c r="BP20" s="42">
        <f>SUM(BL20:BO20)</f>
        <v>591.79999999999995</v>
      </c>
      <c r="BQ20" s="376">
        <v>170.7</v>
      </c>
      <c r="BR20" s="376">
        <v>184.9</v>
      </c>
      <c r="BS20" s="376">
        <v>203.3</v>
      </c>
      <c r="BT20" s="376">
        <v>218.6</v>
      </c>
      <c r="BU20" s="42">
        <f>SUM(BQ20:BT20)</f>
        <v>777.50000000000011</v>
      </c>
      <c r="BV20" s="376">
        <v>216</v>
      </c>
      <c r="BW20" s="376">
        <v>241</v>
      </c>
      <c r="BX20" s="376">
        <v>268</v>
      </c>
      <c r="BY20" s="376">
        <v>283</v>
      </c>
      <c r="BZ20" s="42">
        <f>SUM(BV20:BY20)</f>
        <v>1008</v>
      </c>
      <c r="CA20" s="375">
        <f>(CE20/BZ20)*BV20</f>
        <v>240.20784752173023</v>
      </c>
      <c r="CB20" s="375">
        <f>(CE20/BZ20)*BW20</f>
        <v>268.00968172563421</v>
      </c>
      <c r="CC20" s="375">
        <f>(CE20/BZ20)*BX20</f>
        <v>298.03566266585051</v>
      </c>
      <c r="CD20" s="375">
        <f>(CE20/BZ20)*BY20</f>
        <v>314.71676318819289</v>
      </c>
      <c r="CE20" s="42">
        <f>MM_US!S209</f>
        <v>1120.9699551014078</v>
      </c>
      <c r="CF20" s="375">
        <f>0.24*CJ20</f>
        <v>304.21006263286421</v>
      </c>
      <c r="CG20" s="375">
        <f>0.24666*CJ20</f>
        <v>312.65189187092614</v>
      </c>
      <c r="CH20" s="375">
        <f>0.25333*CJ20</f>
        <v>321.1063965282645</v>
      </c>
      <c r="CI20" s="375">
        <f>0.26*CJ20</f>
        <v>329.56090118560286</v>
      </c>
      <c r="CJ20" s="42">
        <f>MM_US!T209</f>
        <v>1267.5419276369341</v>
      </c>
      <c r="CK20" s="375">
        <f>0.245*CO20</f>
        <v>351.4870699178386</v>
      </c>
      <c r="CL20" s="375">
        <f>0.24833*CO20</f>
        <v>356.26442478651779</v>
      </c>
      <c r="CM20" s="375">
        <f>0.25166*CO20</f>
        <v>361.04177965519693</v>
      </c>
      <c r="CN20" s="375">
        <f>0.255*CO20</f>
        <v>365.8334809348932</v>
      </c>
      <c r="CO20" s="42">
        <f>MM_US!U209</f>
        <v>1434.6411017054636</v>
      </c>
      <c r="CP20" s="375">
        <f>0.245*CT20</f>
        <v>390.39022718095572</v>
      </c>
      <c r="CQ20" s="375">
        <f>0.24833*CT20</f>
        <v>395.69634741161929</v>
      </c>
      <c r="CR20" s="375">
        <f>0.25166*CT20</f>
        <v>401.00246764228291</v>
      </c>
      <c r="CS20" s="375">
        <f>0.255*CT20</f>
        <v>406.32452216793348</v>
      </c>
      <c r="CT20" s="42">
        <f>MM_US!V209</f>
        <v>1593.4294986977784</v>
      </c>
      <c r="CU20" s="375">
        <f>0.245*CY20</f>
        <v>432.63171527744885</v>
      </c>
      <c r="CV20" s="375">
        <f>0.24833*CY20</f>
        <v>438.51197491775048</v>
      </c>
      <c r="CW20" s="375">
        <f>0.25166*CY20</f>
        <v>444.39223455805211</v>
      </c>
      <c r="CX20" s="375">
        <f>0.255*CY20</f>
        <v>450.29015263571205</v>
      </c>
      <c r="CY20" s="42">
        <f>MM_US!W209</f>
        <v>1765.8437358263218</v>
      </c>
      <c r="CZ20" s="375">
        <f>0.245*DD20</f>
        <v>478.46206956034302</v>
      </c>
      <c r="DA20" s="375">
        <f>0.24833*DD20</f>
        <v>484.96524789355095</v>
      </c>
      <c r="DB20" s="375">
        <f>0.25166*DD20</f>
        <v>491.46842622675888</v>
      </c>
      <c r="DC20" s="375">
        <f>0.255*DD20</f>
        <v>497.99113362403057</v>
      </c>
      <c r="DD20" s="42">
        <f>MM_US!X209</f>
        <v>1952.9064063687472</v>
      </c>
      <c r="DE20" s="375">
        <f>0.245*DI20</f>
        <v>475.33143893573282</v>
      </c>
      <c r="DF20" s="375">
        <f>0.24833*DI20</f>
        <v>481.79206624861445</v>
      </c>
      <c r="DG20" s="375">
        <f>0.25166*DI20</f>
        <v>488.25269356149602</v>
      </c>
      <c r="DH20" s="375">
        <f>0.255*DI20</f>
        <v>494.73272215759954</v>
      </c>
      <c r="DI20" s="42">
        <f>MM_US!Y209</f>
        <v>1940.1283221866647</v>
      </c>
      <c r="DJ20" s="375">
        <f>0.245*DN20</f>
        <v>290.98078522408201</v>
      </c>
      <c r="DK20" s="375">
        <f>0.24833*DN20</f>
        <v>294.93574854978078</v>
      </c>
      <c r="DL20" s="375">
        <f>0.25166*DN20</f>
        <v>298.8907118754795</v>
      </c>
      <c r="DM20" s="375">
        <f>0.255*DN20</f>
        <v>302.85755196792212</v>
      </c>
      <c r="DN20" s="42">
        <f>MM_US!Z209</f>
        <v>1187.6766743840083</v>
      </c>
      <c r="DO20" s="375">
        <f>0.245*DS20</f>
        <v>63.930686541658297</v>
      </c>
      <c r="DP20" s="375">
        <f>0.24833*DS20</f>
        <v>64.799621995469408</v>
      </c>
      <c r="DQ20" s="375">
        <f>0.25166*DS20</f>
        <v>65.668557449280513</v>
      </c>
      <c r="DR20" s="375">
        <f>0.255*DS20</f>
        <v>66.540102318868847</v>
      </c>
      <c r="DS20" s="42">
        <f>MM_US!AA209</f>
        <v>260.94157772105427</v>
      </c>
      <c r="DT20" s="375">
        <f>0.245*DX20</f>
        <v>35.087236728358086</v>
      </c>
      <c r="DU20" s="375">
        <f>0.24833*DX20</f>
        <v>35.564136721441486</v>
      </c>
      <c r="DV20" s="375">
        <f>0.25166*DX20</f>
        <v>36.041036714524878</v>
      </c>
      <c r="DW20" s="375">
        <f>0.255*DX20</f>
        <v>36.51936883971964</v>
      </c>
      <c r="DX20" s="42">
        <f>MM_US!AB209</f>
        <v>143.21321113615545</v>
      </c>
      <c r="DY20" s="375">
        <f>0.245*EC20</f>
        <v>23.09141444628343</v>
      </c>
      <c r="DZ20" s="375">
        <f>0.24833*EC20</f>
        <v>23.405269181410468</v>
      </c>
      <c r="EA20" s="375">
        <f>0.25166*EC20</f>
        <v>23.719123916537505</v>
      </c>
      <c r="EB20" s="375">
        <f>0.255*EC20</f>
        <v>24.033921158376636</v>
      </c>
      <c r="EC20" s="51">
        <f>MM_US!AC209</f>
        <v>94.250671209320132</v>
      </c>
      <c r="ED20" s="375">
        <f>0.245*EH20</f>
        <v>16.873490976754166</v>
      </c>
      <c r="EE20" s="375">
        <f>0.24833*EH20</f>
        <v>17.102832711254539</v>
      </c>
      <c r="EF20" s="375">
        <f>0.25166*EH20</f>
        <v>17.332174445754912</v>
      </c>
      <c r="EG20" s="375">
        <f>0.255*EH20</f>
        <v>17.562204894172705</v>
      </c>
      <c r="EH20" s="42">
        <f>MM_US!AD209</f>
        <v>68.871391741853742</v>
      </c>
      <c r="EI20" s="375">
        <f>0.245*EM20</f>
        <v>9.2410357242389711</v>
      </c>
      <c r="EJ20" s="375">
        <f>0.24833*EM20</f>
        <v>9.3666383730623011</v>
      </c>
      <c r="EK20" s="375">
        <f>0.25166*EM20</f>
        <v>9.492241021885631</v>
      </c>
      <c r="EL20" s="375">
        <f>0.255*EM20</f>
        <v>9.6182208558405637</v>
      </c>
      <c r="EM20" s="42">
        <f>MM_US!AE209</f>
        <v>37.71851316015907</v>
      </c>
    </row>
    <row r="21" spans="2:143">
      <c r="B21" s="10" t="s">
        <v>97</v>
      </c>
      <c r="C21" s="51"/>
      <c r="D21" s="43"/>
      <c r="E21" s="43"/>
      <c r="F21" s="43"/>
      <c r="G21" s="43"/>
      <c r="H21" s="51"/>
      <c r="I21" s="43"/>
      <c r="J21" s="43"/>
      <c r="K21" s="43"/>
      <c r="L21" s="43"/>
      <c r="M21" s="51"/>
      <c r="N21" s="43"/>
      <c r="O21" s="43"/>
      <c r="P21" s="43"/>
      <c r="Q21" s="43"/>
      <c r="R21" s="51"/>
      <c r="S21" s="43"/>
      <c r="T21" s="43"/>
      <c r="U21" s="43"/>
      <c r="V21" s="43"/>
      <c r="W21" s="51"/>
      <c r="X21" s="43"/>
      <c r="Y21" s="43"/>
      <c r="Z21" s="43"/>
      <c r="AA21" s="43"/>
      <c r="AB21" s="51"/>
      <c r="AC21" s="43"/>
      <c r="AD21" s="43"/>
      <c r="AE21" s="43"/>
      <c r="AF21" s="43"/>
      <c r="AG21" s="51"/>
      <c r="AH21" s="43"/>
      <c r="AI21" s="43"/>
      <c r="AJ21" s="43"/>
      <c r="AK21" s="43"/>
      <c r="AL21" s="42"/>
      <c r="AM21" s="43"/>
      <c r="AN21" s="43"/>
      <c r="AO21" s="43"/>
      <c r="AP21" s="43"/>
      <c r="AQ21" s="51"/>
      <c r="AR21" s="43"/>
      <c r="AS21" s="43"/>
      <c r="AT21" s="43"/>
      <c r="AU21" s="43"/>
      <c r="AV21" s="51"/>
      <c r="AW21" s="375"/>
      <c r="AX21" s="375"/>
      <c r="AY21" s="375"/>
      <c r="AZ21" s="375"/>
      <c r="BA21" s="51"/>
      <c r="BB21" s="442"/>
      <c r="BC21" s="441">
        <v>8.5</v>
      </c>
      <c r="BD21" s="442">
        <f>+BD18-BD20</f>
        <v>12.5</v>
      </c>
      <c r="BE21" s="442">
        <f>+BE18-BE20</f>
        <v>32</v>
      </c>
      <c r="BF21" s="51">
        <f>SUM(BB21:BE21)</f>
        <v>53</v>
      </c>
      <c r="BG21" s="376">
        <v>46.9</v>
      </c>
      <c r="BH21" s="376">
        <v>56.7</v>
      </c>
      <c r="BI21" s="376">
        <v>62.8</v>
      </c>
      <c r="BJ21" s="376">
        <v>70.3</v>
      </c>
      <c r="BK21" s="42">
        <f>SUM(BG21:BJ21)</f>
        <v>236.7</v>
      </c>
      <c r="BL21" s="376">
        <v>70.099999999999994</v>
      </c>
      <c r="BM21" s="376">
        <v>90.9</v>
      </c>
      <c r="BN21" s="376">
        <v>106.4</v>
      </c>
      <c r="BO21" s="376">
        <v>124.1</v>
      </c>
      <c r="BP21" s="42">
        <f>SUM(BL21:BO21)</f>
        <v>391.5</v>
      </c>
      <c r="BQ21" s="376">
        <v>103.3</v>
      </c>
      <c r="BR21" s="376">
        <v>132.80000000000001</v>
      </c>
      <c r="BS21" s="376">
        <v>137.80000000000001</v>
      </c>
      <c r="BT21" s="376">
        <v>159.30000000000001</v>
      </c>
      <c r="BU21" s="42">
        <f>SUM(BQ21:BT21)</f>
        <v>533.20000000000005</v>
      </c>
      <c r="BV21" s="376">
        <v>148</v>
      </c>
      <c r="BW21" s="376">
        <v>150</v>
      </c>
      <c r="BX21" s="376">
        <v>149</v>
      </c>
      <c r="BY21" s="376">
        <v>159</v>
      </c>
      <c r="BZ21" s="42">
        <f>SUM(BV21:BY21)</f>
        <v>606</v>
      </c>
      <c r="CA21" s="375">
        <f>(CE21/BZ21)*BV21</f>
        <v>181.75127380403271</v>
      </c>
      <c r="CB21" s="375">
        <f>(CE21/BZ21)*BW21</f>
        <v>184.20737209868182</v>
      </c>
      <c r="CC21" s="375">
        <f>(CE21/BZ21)*BX21</f>
        <v>182.97932295135726</v>
      </c>
      <c r="CD21" s="375">
        <f>(CE21/BZ21)*BY21</f>
        <v>195.25981442460272</v>
      </c>
      <c r="CE21" s="42">
        <f>MM_EU!S213</f>
        <v>744.19778327867448</v>
      </c>
      <c r="CF21" s="375">
        <f>0.25*CJ21</f>
        <v>210.99244737266227</v>
      </c>
      <c r="CG21" s="375">
        <f>0.25*CJ21</f>
        <v>210.99244737266227</v>
      </c>
      <c r="CH21" s="375">
        <f>0.25*CJ21</f>
        <v>210.99244737266227</v>
      </c>
      <c r="CI21" s="375">
        <f>0.25*CJ21</f>
        <v>210.99244737266227</v>
      </c>
      <c r="CJ21" s="42">
        <f>MM_EU!T213</f>
        <v>843.96978949064908</v>
      </c>
      <c r="CK21" s="375">
        <f>0.24*CO21</f>
        <v>222.73426826520085</v>
      </c>
      <c r="CL21" s="375">
        <f>0.24666*CO21</f>
        <v>228.9151442095602</v>
      </c>
      <c r="CM21" s="375">
        <f>0.25333*CO21</f>
        <v>235.10530074843058</v>
      </c>
      <c r="CN21" s="375">
        <f>0.26*CO21</f>
        <v>241.29545728730096</v>
      </c>
      <c r="CO21" s="42">
        <f>MM_EU!U213</f>
        <v>928.05945110500363</v>
      </c>
      <c r="CP21" s="375">
        <f>0.24*CT21</f>
        <v>238.38623860798566</v>
      </c>
      <c r="CQ21" s="375">
        <f>0.24666*CT21</f>
        <v>245.00145672935727</v>
      </c>
      <c r="CR21" s="375">
        <f>0.25333*CT21</f>
        <v>251.62660761067087</v>
      </c>
      <c r="CS21" s="375">
        <f>0.26*CT21</f>
        <v>258.2517584919845</v>
      </c>
      <c r="CT21" s="42">
        <f>MM_EU!V213</f>
        <v>993.27599419994033</v>
      </c>
      <c r="CU21" s="375">
        <f>0.24*CY21</f>
        <v>254.08025120852164</v>
      </c>
      <c r="CV21" s="375">
        <f>0.24666*CY21</f>
        <v>261.1309781795581</v>
      </c>
      <c r="CW21" s="375">
        <f>0.25333*CY21</f>
        <v>268.1922918277283</v>
      </c>
      <c r="CX21" s="375">
        <f>0.26*CY21</f>
        <v>275.25360547589844</v>
      </c>
      <c r="CY21" s="42">
        <f>MM_EU!W213</f>
        <v>1058.6677133688402</v>
      </c>
      <c r="CZ21" s="375">
        <f>0.24*DD21</f>
        <v>215.8761988423833</v>
      </c>
      <c r="DA21" s="375">
        <f>0.24666*DD21</f>
        <v>221.86676336025943</v>
      </c>
      <c r="DB21" s="375">
        <f>0.25333*DD21</f>
        <v>227.86632271975401</v>
      </c>
      <c r="DC21" s="375">
        <f>0.26*DD21</f>
        <v>233.86588207924859</v>
      </c>
      <c r="DD21" s="42">
        <f>MM_EU!X213</f>
        <v>899.48416184326379</v>
      </c>
      <c r="DE21" s="375">
        <f>0.24*DI21</f>
        <v>141.01911796837823</v>
      </c>
      <c r="DF21" s="375">
        <f>0.24666*DI21</f>
        <v>144.93239849200071</v>
      </c>
      <c r="DG21" s="375">
        <f>0.25333*DI21</f>
        <v>148.85155481220525</v>
      </c>
      <c r="DH21" s="375">
        <f>0.26*DI21</f>
        <v>152.77071113240976</v>
      </c>
      <c r="DI21" s="42">
        <f>MM_EU!Y213</f>
        <v>587.57965820157597</v>
      </c>
      <c r="DJ21" s="375">
        <f>0.24*DN21</f>
        <v>88.282877284735989</v>
      </c>
      <c r="DK21" s="375">
        <f>0.24666*DN21</f>
        <v>90.732727129387413</v>
      </c>
      <c r="DL21" s="375">
        <f>0.25333*DN21</f>
        <v>93.186255427259042</v>
      </c>
      <c r="DM21" s="375">
        <f>0.26*DN21</f>
        <v>95.63978372513067</v>
      </c>
      <c r="DN21" s="42">
        <f>MM_EU!Z213</f>
        <v>367.84532201973332</v>
      </c>
      <c r="DO21" s="375">
        <f>0.24*DS21</f>
        <v>61.322582052488563</v>
      </c>
      <c r="DP21" s="375">
        <f>0.24666*DS21</f>
        <v>63.024283704445125</v>
      </c>
      <c r="DQ21" s="375">
        <f>0.25333*DS21</f>
        <v>64.728540463987201</v>
      </c>
      <c r="DR21" s="375">
        <f>0.26*DS21</f>
        <v>66.432797223529278</v>
      </c>
      <c r="DS21" s="42">
        <f>MM_EU!AA213</f>
        <v>255.5107585520357</v>
      </c>
      <c r="DT21" s="375">
        <f>0.24*DX21</f>
        <v>47.864287402389905</v>
      </c>
      <c r="DU21" s="375">
        <f>0.24666*DX21</f>
        <v>49.192521377806223</v>
      </c>
      <c r="DV21" s="375">
        <f>0.25333*DX21</f>
        <v>50.52274969853098</v>
      </c>
      <c r="DW21" s="375">
        <f>0.26*DX21</f>
        <v>51.85297801925573</v>
      </c>
      <c r="DX21" s="42">
        <f>MM_EU!AB213</f>
        <v>199.43453084329127</v>
      </c>
      <c r="DY21" s="375">
        <f>0.24*EC21</f>
        <v>33.176304781504726</v>
      </c>
      <c r="DZ21" s="375">
        <f>0.24666*EC21</f>
        <v>34.096947239191486</v>
      </c>
      <c r="EA21" s="375">
        <f>0.25333*EC21</f>
        <v>35.018972042910804</v>
      </c>
      <c r="EB21" s="375">
        <f>0.26*EC21</f>
        <v>35.940996846630128</v>
      </c>
      <c r="EC21" s="51">
        <f>MM_EU!AC213</f>
        <v>138.23460325626971</v>
      </c>
      <c r="ED21" s="375">
        <f>0.24*EH21</f>
        <v>17.232391431771934</v>
      </c>
      <c r="EE21" s="375">
        <f>0.24666*EH21</f>
        <v>17.710590294003605</v>
      </c>
      <c r="EF21" s="375">
        <f>0.25333*EH21</f>
        <v>18.189507172544936</v>
      </c>
      <c r="EG21" s="375">
        <f>0.26*EH21</f>
        <v>18.668424051086266</v>
      </c>
      <c r="EH21" s="42">
        <f>MM_EU!AD213</f>
        <v>71.801630965716399</v>
      </c>
      <c r="EI21" s="375">
        <f>0.24*EM21</f>
        <v>10.733149218455249</v>
      </c>
      <c r="EJ21" s="375">
        <f>0.24666*EM21</f>
        <v>11.030994109267382</v>
      </c>
      <c r="EK21" s="375">
        <f>0.25333*EM21</f>
        <v>11.329286214630285</v>
      </c>
      <c r="EL21" s="375">
        <f>0.26*EM21</f>
        <v>11.627578319993187</v>
      </c>
      <c r="EM21" s="42">
        <f>MM_EU!AE213</f>
        <v>44.721455076896873</v>
      </c>
    </row>
    <row r="22" spans="2:143">
      <c r="B22" s="10"/>
      <c r="C22" s="51"/>
      <c r="D22" s="43"/>
      <c r="E22" s="43"/>
      <c r="F22" s="43"/>
      <c r="G22" s="43"/>
      <c r="H22" s="51"/>
      <c r="I22" s="43"/>
      <c r="J22" s="43"/>
      <c r="K22" s="43"/>
      <c r="L22" s="43"/>
      <c r="M22" s="51"/>
      <c r="N22" s="43"/>
      <c r="O22" s="43"/>
      <c r="P22" s="43"/>
      <c r="Q22" s="43"/>
      <c r="R22" s="51"/>
      <c r="S22" s="43"/>
      <c r="T22" s="43"/>
      <c r="U22" s="43"/>
      <c r="V22" s="43"/>
      <c r="W22" s="51"/>
      <c r="X22" s="43"/>
      <c r="Y22" s="43"/>
      <c r="Z22" s="43"/>
      <c r="AA22" s="43"/>
      <c r="AB22" s="51"/>
      <c r="AC22" s="43"/>
      <c r="AD22" s="43"/>
      <c r="AE22" s="43"/>
      <c r="AF22" s="43"/>
      <c r="AG22" s="51"/>
      <c r="AH22" s="43"/>
      <c r="AI22" s="43"/>
      <c r="AJ22" s="43"/>
      <c r="AK22" s="43"/>
      <c r="AL22" s="42"/>
      <c r="AM22" s="43"/>
      <c r="AN22" s="43"/>
      <c r="AO22" s="43"/>
      <c r="AP22" s="43"/>
      <c r="AQ22" s="51"/>
      <c r="AR22" s="43"/>
      <c r="AS22" s="43"/>
      <c r="AT22" s="43"/>
      <c r="AU22" s="43"/>
      <c r="AV22" s="51"/>
      <c r="AW22" s="375"/>
      <c r="AX22" s="375"/>
      <c r="AY22" s="375"/>
      <c r="AZ22" s="375"/>
      <c r="BA22" s="51"/>
      <c r="BB22" s="442"/>
      <c r="BC22" s="442"/>
      <c r="BD22" s="442"/>
      <c r="BE22" s="442"/>
      <c r="BF22" s="51"/>
      <c r="BG22" s="443"/>
      <c r="BH22" s="443"/>
      <c r="BI22" s="375"/>
      <c r="BJ22" s="375"/>
      <c r="BK22" s="42"/>
      <c r="BL22" s="375"/>
      <c r="BM22" s="375"/>
      <c r="BN22" s="375"/>
      <c r="BO22" s="375"/>
      <c r="BP22" s="42"/>
      <c r="BQ22" s="375"/>
      <c r="BR22" s="375"/>
      <c r="BS22" s="375"/>
      <c r="BT22" s="410"/>
      <c r="BU22" s="42"/>
      <c r="BV22" s="960"/>
      <c r="BW22" s="960"/>
      <c r="BX22" s="960"/>
      <c r="BY22" s="960"/>
      <c r="BZ22" s="42"/>
      <c r="CA22" s="960"/>
      <c r="CB22" s="960"/>
      <c r="CC22" s="960"/>
      <c r="CD22" s="960"/>
      <c r="CE22" s="42"/>
      <c r="CF22" s="375"/>
      <c r="CG22" s="375"/>
      <c r="CH22" s="375"/>
      <c r="CI22" s="375"/>
      <c r="CJ22" s="42"/>
      <c r="CK22" s="375"/>
      <c r="CL22" s="375"/>
      <c r="CM22" s="375"/>
      <c r="CN22" s="375"/>
      <c r="CO22" s="42"/>
      <c r="CP22" s="375"/>
      <c r="CQ22" s="375"/>
      <c r="CR22" s="375"/>
      <c r="CS22" s="375"/>
      <c r="CT22" s="42"/>
      <c r="CU22" s="375"/>
      <c r="CV22" s="375"/>
      <c r="CW22" s="375"/>
      <c r="CX22" s="375"/>
      <c r="CY22" s="42"/>
      <c r="CZ22" s="375"/>
      <c r="DA22" s="375"/>
      <c r="DB22" s="375"/>
      <c r="DC22" s="375"/>
      <c r="DD22" s="42"/>
      <c r="DE22" s="375"/>
      <c r="DF22" s="375"/>
      <c r="DG22" s="375"/>
      <c r="DH22" s="375"/>
      <c r="DI22" s="42"/>
      <c r="DJ22" s="375"/>
      <c r="DK22" s="375"/>
      <c r="DL22" s="375"/>
      <c r="DM22" s="375"/>
      <c r="DN22" s="42"/>
      <c r="DO22" s="375"/>
      <c r="DP22" s="375"/>
      <c r="DQ22" s="375"/>
      <c r="DR22" s="375"/>
      <c r="DS22" s="42"/>
      <c r="DT22" s="375"/>
      <c r="DU22" s="375"/>
      <c r="DV22" s="375"/>
      <c r="DW22" s="375"/>
      <c r="DX22" s="42"/>
      <c r="DY22" s="375"/>
      <c r="DZ22" s="375"/>
      <c r="EA22" s="375"/>
      <c r="EB22" s="375"/>
      <c r="EC22" s="42"/>
      <c r="ED22" s="375"/>
      <c r="EE22" s="375"/>
      <c r="EF22" s="375"/>
      <c r="EG22" s="375"/>
      <c r="EH22" s="42"/>
      <c r="EI22" s="375"/>
      <c r="EJ22" s="375"/>
      <c r="EK22" s="375"/>
      <c r="EL22" s="375"/>
      <c r="EM22" s="42"/>
    </row>
    <row r="23" spans="2:143" ht="13.5" thickBot="1">
      <c r="B23" s="25" t="s">
        <v>778</v>
      </c>
      <c r="C23" s="51"/>
      <c r="D23" s="43"/>
      <c r="E23" s="43"/>
      <c r="F23" s="43"/>
      <c r="G23" s="43"/>
      <c r="H23" s="51"/>
      <c r="I23" s="43"/>
      <c r="J23" s="43"/>
      <c r="K23" s="43"/>
      <c r="L23" s="43"/>
      <c r="M23" s="51"/>
      <c r="N23" s="43"/>
      <c r="O23" s="43"/>
      <c r="P23" s="43"/>
      <c r="Q23" s="43"/>
      <c r="R23" s="51"/>
      <c r="S23" s="43"/>
      <c r="T23" s="43"/>
      <c r="U23" s="43"/>
      <c r="V23" s="43"/>
      <c r="W23" s="51"/>
      <c r="X23" s="43"/>
      <c r="Y23" s="43"/>
      <c r="Z23" s="43"/>
      <c r="AA23" s="43"/>
      <c r="AB23" s="51"/>
      <c r="AC23" s="43"/>
      <c r="AD23" s="43"/>
      <c r="AE23" s="43"/>
      <c r="AF23" s="43"/>
      <c r="AG23" s="51"/>
      <c r="AH23" s="43"/>
      <c r="AI23" s="43"/>
      <c r="AJ23" s="43"/>
      <c r="AK23" s="43"/>
      <c r="AL23" s="42"/>
      <c r="AM23" s="43"/>
      <c r="AN23" s="43"/>
      <c r="AO23" s="43"/>
      <c r="AP23" s="43"/>
      <c r="AQ23" s="51"/>
      <c r="AR23" s="43"/>
      <c r="AS23" s="43"/>
      <c r="AT23" s="43"/>
      <c r="AU23" s="43"/>
      <c r="AV23" s="51"/>
      <c r="AW23" s="375"/>
      <c r="AX23" s="375"/>
      <c r="AY23" s="375"/>
      <c r="AZ23" s="375"/>
      <c r="BA23" s="51"/>
      <c r="BB23" s="442"/>
      <c r="BC23" s="442"/>
      <c r="BD23" s="442"/>
      <c r="BE23" s="442"/>
      <c r="BF23" s="51"/>
      <c r="BG23" s="443"/>
      <c r="BH23" s="375">
        <f t="shared" ref="BH23:CO23" si="0">BH25+BH26</f>
        <v>4.5999999999999996</v>
      </c>
      <c r="BI23" s="375">
        <f t="shared" si="0"/>
        <v>17.600000000000001</v>
      </c>
      <c r="BJ23" s="375">
        <f t="shared" si="0"/>
        <v>47.6</v>
      </c>
      <c r="BK23" s="42">
        <f>BK25+BK26</f>
        <v>69.800000000000011</v>
      </c>
      <c r="BL23" s="375">
        <f t="shared" si="0"/>
        <v>60.3</v>
      </c>
      <c r="BM23" s="375">
        <f t="shared" si="0"/>
        <v>89.7</v>
      </c>
      <c r="BN23" s="375">
        <f t="shared" si="0"/>
        <v>138.70000000000002</v>
      </c>
      <c r="BO23" s="375">
        <f>BO25+BO26</f>
        <v>183</v>
      </c>
      <c r="BP23" s="358">
        <f>SUM(BL23:BO23)</f>
        <v>471.70000000000005</v>
      </c>
      <c r="BQ23" s="375">
        <f t="shared" si="0"/>
        <v>195.60000000000002</v>
      </c>
      <c r="BR23" s="375">
        <f t="shared" si="0"/>
        <v>241.9</v>
      </c>
      <c r="BS23" s="375">
        <f t="shared" si="0"/>
        <v>274.60000000000002</v>
      </c>
      <c r="BT23" s="375">
        <f t="shared" si="0"/>
        <v>305.10000000000002</v>
      </c>
      <c r="BU23" s="358">
        <f>SUM(BQ23:BT23)</f>
        <v>1017.2</v>
      </c>
      <c r="BV23" s="375">
        <f t="shared" si="0"/>
        <v>242</v>
      </c>
      <c r="BW23" s="375">
        <f t="shared" si="0"/>
        <v>358</v>
      </c>
      <c r="BX23" s="375">
        <f t="shared" si="0"/>
        <v>308</v>
      </c>
      <c r="BY23" s="443">
        <f t="shared" si="0"/>
        <v>371</v>
      </c>
      <c r="BZ23" s="42">
        <f>SUM(BV23:BY23)</f>
        <v>1279</v>
      </c>
      <c r="CA23" s="375">
        <f t="shared" si="0"/>
        <v>336.75656108597286</v>
      </c>
      <c r="CB23" s="375">
        <f t="shared" si="0"/>
        <v>394.68235294117648</v>
      </c>
      <c r="CC23" s="375">
        <f t="shared" si="0"/>
        <v>363.2995475113122</v>
      </c>
      <c r="CD23" s="375">
        <f t="shared" si="0"/>
        <v>401.38753405988206</v>
      </c>
      <c r="CE23" s="42">
        <f t="shared" si="0"/>
        <v>1496.1259955983437</v>
      </c>
      <c r="CF23" s="375">
        <f t="shared" si="0"/>
        <v>429.50342282767843</v>
      </c>
      <c r="CG23" s="375">
        <f t="shared" si="0"/>
        <v>453.42300143757177</v>
      </c>
      <c r="CH23" s="375">
        <f t="shared" si="0"/>
        <v>477.34258004746505</v>
      </c>
      <c r="CI23" s="375">
        <f t="shared" si="0"/>
        <v>501.26215865735838</v>
      </c>
      <c r="CJ23" s="42">
        <f t="shared" si="0"/>
        <v>1861.5311629700736</v>
      </c>
      <c r="CK23" s="375">
        <f t="shared" si="0"/>
        <v>520.46300577956879</v>
      </c>
      <c r="CL23" s="375">
        <f t="shared" si="0"/>
        <v>532.06674814400594</v>
      </c>
      <c r="CM23" s="375">
        <f t="shared" si="0"/>
        <v>543.67049050844298</v>
      </c>
      <c r="CN23" s="375">
        <f t="shared" si="0"/>
        <v>555.2890923925188</v>
      </c>
      <c r="CO23" s="42">
        <f t="shared" si="0"/>
        <v>2151.5041963441754</v>
      </c>
      <c r="CP23" s="375">
        <f t="shared" ref="CP23:EM23" si="1">CP25+CP26</f>
        <v>561.66285727137756</v>
      </c>
      <c r="CQ23" s="375">
        <f t="shared" si="1"/>
        <v>574.35352100929663</v>
      </c>
      <c r="CR23" s="375">
        <f t="shared" si="1"/>
        <v>587.0441847472157</v>
      </c>
      <c r="CS23" s="375">
        <f t="shared" si="1"/>
        <v>599.75064699540087</v>
      </c>
      <c r="CT23" s="42">
        <f t="shared" si="1"/>
        <v>2322.8270085335571</v>
      </c>
      <c r="CU23" s="375">
        <f t="shared" si="1"/>
        <v>597.16264843277202</v>
      </c>
      <c r="CV23" s="375">
        <f t="shared" si="1"/>
        <v>610.65535421412937</v>
      </c>
      <c r="CW23" s="375">
        <f t="shared" si="1"/>
        <v>624.14805999548662</v>
      </c>
      <c r="CX23" s="375">
        <f t="shared" si="1"/>
        <v>637.65756292593812</v>
      </c>
      <c r="CY23" s="42">
        <f t="shared" si="1"/>
        <v>2469.6404227174203</v>
      </c>
      <c r="CZ23" s="375">
        <f t="shared" si="1"/>
        <v>634.91803932848075</v>
      </c>
      <c r="DA23" s="375">
        <f t="shared" si="1"/>
        <v>649.26374293590209</v>
      </c>
      <c r="DB23" s="375">
        <f t="shared" si="1"/>
        <v>663.60944654332343</v>
      </c>
      <c r="DC23" s="375">
        <f t="shared" si="1"/>
        <v>677.97300939717218</v>
      </c>
      <c r="DD23" s="42">
        <f t="shared" si="1"/>
        <v>2625.7820974513056</v>
      </c>
      <c r="DE23" s="375">
        <f t="shared" si="1"/>
        <v>675.0731519706319</v>
      </c>
      <c r="DF23" s="375">
        <f t="shared" si="1"/>
        <v>690.32606470056101</v>
      </c>
      <c r="DG23" s="375">
        <f t="shared" si="1"/>
        <v>705.57897743049</v>
      </c>
      <c r="DH23" s="375">
        <f t="shared" si="1"/>
        <v>720.85087901782504</v>
      </c>
      <c r="DI23" s="42">
        <f t="shared" si="1"/>
        <v>2791.8480619769143</v>
      </c>
      <c r="DJ23" s="375">
        <f t="shared" si="1"/>
        <v>203.85553215433907</v>
      </c>
      <c r="DK23" s="375">
        <f t="shared" si="1"/>
        <v>209.66501759702948</v>
      </c>
      <c r="DL23" s="375">
        <f t="shared" si="1"/>
        <v>215.47450303971988</v>
      </c>
      <c r="DM23" s="375">
        <f t="shared" si="1"/>
        <v>221.28802654197733</v>
      </c>
      <c r="DN23" s="42">
        <f t="shared" si="1"/>
        <v>850.28711739263281</v>
      </c>
      <c r="DO23" s="375">
        <f t="shared" si="1"/>
        <v>62.980935292172006</v>
      </c>
      <c r="DP23" s="375">
        <f t="shared" si="1"/>
        <v>65.356319048153779</v>
      </c>
      <c r="DQ23" s="375">
        <f t="shared" si="1"/>
        <v>67.731702804135551</v>
      </c>
      <c r="DR23" s="375">
        <f t="shared" si="1"/>
        <v>70.107515923338198</v>
      </c>
      <c r="DS23" s="42">
        <f t="shared" si="1"/>
        <v>266.17690243102038</v>
      </c>
      <c r="DT23" s="375">
        <f t="shared" si="1"/>
        <v>27.34930764646187</v>
      </c>
      <c r="DU23" s="375">
        <f t="shared" si="1"/>
        <v>28.480713553845618</v>
      </c>
      <c r="DV23" s="375">
        <f t="shared" si="1"/>
        <v>29.612119461229366</v>
      </c>
      <c r="DW23" s="375">
        <f t="shared" si="1"/>
        <v>30.743571023284794</v>
      </c>
      <c r="DX23" s="42">
        <f t="shared" si="1"/>
        <v>116.18575733949334</v>
      </c>
      <c r="DY23" s="375">
        <f t="shared" si="1"/>
        <v>13.234321920759667</v>
      </c>
      <c r="DZ23" s="375">
        <f t="shared" si="1"/>
        <v>13.794039955124074</v>
      </c>
      <c r="EA23" s="375">
        <f t="shared" si="1"/>
        <v>14.353757989488482</v>
      </c>
      <c r="EB23" s="375">
        <f t="shared" si="1"/>
        <v>14.913480878458017</v>
      </c>
      <c r="EC23" s="42">
        <f t="shared" si="1"/>
        <v>56.295605598435365</v>
      </c>
      <c r="ED23" s="375">
        <f t="shared" si="1"/>
        <v>6.5690745966194237</v>
      </c>
      <c r="EE23" s="375">
        <f t="shared" si="1"/>
        <v>6.8482800317962305</v>
      </c>
      <c r="EF23" s="375">
        <f t="shared" si="1"/>
        <v>7.1274854669730381</v>
      </c>
      <c r="EG23" s="375">
        <f t="shared" si="1"/>
        <v>7.4066913667436838</v>
      </c>
      <c r="EH23" s="42">
        <f t="shared" si="1"/>
        <v>27.951531926726215</v>
      </c>
      <c r="EI23" s="375">
        <f t="shared" si="1"/>
        <v>3.2789805114410626</v>
      </c>
      <c r="EJ23" s="375">
        <f t="shared" si="1"/>
        <v>3.418507702089578</v>
      </c>
      <c r="EK23" s="375">
        <f t="shared" si="1"/>
        <v>3.5580348927380938</v>
      </c>
      <c r="EL23" s="375">
        <f t="shared" si="1"/>
        <v>3.6975620888759009</v>
      </c>
      <c r="EM23" s="42">
        <f t="shared" si="1"/>
        <v>13.953085200633927</v>
      </c>
    </row>
    <row r="24" spans="2:143" ht="13.5" thickBot="1">
      <c r="B24" s="25"/>
      <c r="C24" s="51"/>
      <c r="D24" s="43"/>
      <c r="E24" s="43"/>
      <c r="F24" s="43"/>
      <c r="G24" s="43"/>
      <c r="H24" s="51"/>
      <c r="I24" s="43"/>
      <c r="J24" s="43"/>
      <c r="K24" s="43"/>
      <c r="L24" s="43"/>
      <c r="M24" s="51"/>
      <c r="N24" s="43"/>
      <c r="O24" s="43"/>
      <c r="P24" s="43"/>
      <c r="Q24" s="43"/>
      <c r="R24" s="51"/>
      <c r="S24" s="43"/>
      <c r="T24" s="43"/>
      <c r="U24" s="43"/>
      <c r="V24" s="43"/>
      <c r="W24" s="51"/>
      <c r="X24" s="43"/>
      <c r="Y24" s="43"/>
      <c r="Z24" s="43"/>
      <c r="AA24" s="43"/>
      <c r="AB24" s="51"/>
      <c r="AC24" s="43"/>
      <c r="AD24" s="43"/>
      <c r="AE24" s="43"/>
      <c r="AF24" s="43"/>
      <c r="AG24" s="51"/>
      <c r="AH24" s="43"/>
      <c r="AI24" s="43"/>
      <c r="AJ24" s="43"/>
      <c r="AK24" s="43"/>
      <c r="AL24" s="42"/>
      <c r="AM24" s="43"/>
      <c r="AN24" s="43"/>
      <c r="AO24" s="43"/>
      <c r="AP24" s="43"/>
      <c r="AQ24" s="51"/>
      <c r="AR24" s="43"/>
      <c r="AS24" s="43"/>
      <c r="AT24" s="43"/>
      <c r="AU24" s="43"/>
      <c r="AV24" s="51"/>
      <c r="AW24" s="375"/>
      <c r="AX24" s="375"/>
      <c r="AY24" s="375"/>
      <c r="AZ24" s="375"/>
      <c r="BA24" s="51"/>
      <c r="BB24" s="442"/>
      <c r="BC24" s="442"/>
      <c r="BD24" s="442"/>
      <c r="BE24" s="442"/>
      <c r="BF24" s="51"/>
      <c r="BG24" s="443"/>
      <c r="BH24" s="375"/>
      <c r="BI24" s="375"/>
      <c r="BJ24" s="375"/>
      <c r="BK24" s="42"/>
      <c r="BL24" s="375"/>
      <c r="BM24" s="375"/>
      <c r="BN24" s="375"/>
      <c r="BO24" s="375"/>
      <c r="BP24" s="42"/>
      <c r="BQ24" s="375"/>
      <c r="BR24" s="375"/>
      <c r="BS24" s="375"/>
      <c r="BT24" s="375"/>
      <c r="BU24" s="975"/>
      <c r="BV24" s="375"/>
      <c r="BW24" s="960"/>
      <c r="BX24" s="960"/>
      <c r="BY24" s="960"/>
      <c r="BZ24" s="975"/>
      <c r="CA24" s="375"/>
      <c r="CB24" s="375"/>
      <c r="CC24" s="377" t="s">
        <v>432</v>
      </c>
      <c r="CD24" s="378"/>
      <c r="CE24" s="379" t="s">
        <v>1048</v>
      </c>
      <c r="CF24" s="375"/>
      <c r="CG24" s="375"/>
      <c r="CH24" s="375"/>
      <c r="CI24" s="375"/>
      <c r="CJ24" s="42"/>
      <c r="CK24" s="375"/>
      <c r="CL24" s="375"/>
      <c r="CM24" s="375"/>
      <c r="CN24" s="375"/>
      <c r="CO24" s="42"/>
      <c r="CP24" s="375"/>
      <c r="CQ24" s="375"/>
      <c r="CR24" s="375"/>
      <c r="CS24" s="375"/>
      <c r="CT24" s="42"/>
      <c r="CU24" s="375"/>
      <c r="CV24" s="375"/>
      <c r="CW24" s="375"/>
      <c r="CX24" s="375"/>
      <c r="CY24" s="42"/>
      <c r="CZ24" s="375"/>
      <c r="DA24" s="375"/>
      <c r="DB24" s="375"/>
      <c r="DC24" s="375"/>
      <c r="DD24" s="42"/>
      <c r="DE24" s="375"/>
      <c r="DF24" s="375"/>
      <c r="DG24" s="375"/>
      <c r="DH24" s="375"/>
      <c r="DI24" s="42"/>
      <c r="DJ24" s="375"/>
      <c r="DK24" s="375"/>
      <c r="DL24" s="375"/>
      <c r="DM24" s="375"/>
      <c r="DN24" s="42"/>
      <c r="DO24" s="375"/>
      <c r="DP24" s="375"/>
      <c r="DQ24" s="375"/>
      <c r="DR24" s="375"/>
      <c r="DS24" s="42"/>
      <c r="DT24" s="375"/>
      <c r="DU24" s="375"/>
      <c r="DV24" s="375"/>
      <c r="DW24" s="375"/>
      <c r="DX24" s="42"/>
      <c r="DY24" s="375"/>
      <c r="DZ24" s="375"/>
      <c r="EA24" s="375"/>
      <c r="EB24" s="375"/>
      <c r="EC24" s="42"/>
      <c r="ED24" s="375"/>
      <c r="EE24" s="375"/>
      <c r="EF24" s="375"/>
      <c r="EG24" s="375"/>
      <c r="EH24" s="42"/>
      <c r="EI24" s="375"/>
      <c r="EJ24" s="375"/>
      <c r="EK24" s="375"/>
      <c r="EL24" s="375"/>
      <c r="EM24" s="42"/>
    </row>
    <row r="25" spans="2:143">
      <c r="B25" s="10" t="s">
        <v>181</v>
      </c>
      <c r="C25" s="51"/>
      <c r="D25" s="43"/>
      <c r="E25" s="43"/>
      <c r="F25" s="43"/>
      <c r="G25" s="43"/>
      <c r="H25" s="51"/>
      <c r="I25" s="43"/>
      <c r="J25" s="43"/>
      <c r="K25" s="43"/>
      <c r="L25" s="43"/>
      <c r="M25" s="51"/>
      <c r="N25" s="43"/>
      <c r="O25" s="43"/>
      <c r="P25" s="43"/>
      <c r="Q25" s="43"/>
      <c r="R25" s="51"/>
      <c r="S25" s="43"/>
      <c r="T25" s="43"/>
      <c r="U25" s="43"/>
      <c r="V25" s="43"/>
      <c r="W25" s="51"/>
      <c r="X25" s="43"/>
      <c r="Y25" s="43"/>
      <c r="Z25" s="43"/>
      <c r="AA25" s="43"/>
      <c r="AB25" s="51"/>
      <c r="AC25" s="43"/>
      <c r="AD25" s="43"/>
      <c r="AE25" s="43"/>
      <c r="AF25" s="43"/>
      <c r="AG25" s="51"/>
      <c r="AH25" s="43"/>
      <c r="AI25" s="43"/>
      <c r="AJ25" s="43"/>
      <c r="AK25" s="43"/>
      <c r="AL25" s="42"/>
      <c r="AM25" s="43"/>
      <c r="AN25" s="43"/>
      <c r="AO25" s="43"/>
      <c r="AP25" s="43"/>
      <c r="AQ25" s="51"/>
      <c r="AR25" s="43"/>
      <c r="AS25" s="43"/>
      <c r="AT25" s="43"/>
      <c r="AU25" s="43"/>
      <c r="AV25" s="51"/>
      <c r="AW25" s="375"/>
      <c r="AX25" s="375"/>
      <c r="AY25" s="375"/>
      <c r="AZ25" s="375"/>
      <c r="BA25" s="51"/>
      <c r="BB25" s="442"/>
      <c r="BC25" s="442"/>
      <c r="BD25" s="442"/>
      <c r="BE25" s="442"/>
      <c r="BF25" s="51"/>
      <c r="BG25" s="443"/>
      <c r="BH25" s="376">
        <v>4.5999999999999996</v>
      </c>
      <c r="BI25" s="376">
        <v>17.600000000000001</v>
      </c>
      <c r="BJ25" s="376">
        <v>47.6</v>
      </c>
      <c r="BK25" s="42">
        <f>SUM(BG25:BJ25)</f>
        <v>69.800000000000011</v>
      </c>
      <c r="BL25" s="376">
        <v>59.4</v>
      </c>
      <c r="BM25" s="376">
        <v>84.7</v>
      </c>
      <c r="BN25" s="376">
        <v>128.4</v>
      </c>
      <c r="BO25" s="376">
        <v>167.5</v>
      </c>
      <c r="BP25" s="42">
        <f>SUM(BL25:BO25)</f>
        <v>440</v>
      </c>
      <c r="BQ25" s="376">
        <v>174.8</v>
      </c>
      <c r="BR25" s="376">
        <v>216.8</v>
      </c>
      <c r="BS25" s="376">
        <v>244.5</v>
      </c>
      <c r="BT25" s="376">
        <v>268.3</v>
      </c>
      <c r="BU25" s="42">
        <f>SUM(BQ25:BT25)</f>
        <v>904.40000000000009</v>
      </c>
      <c r="BV25" s="376">
        <v>199</v>
      </c>
      <c r="BW25" s="376">
        <v>306</v>
      </c>
      <c r="BX25" s="376">
        <v>250</v>
      </c>
      <c r="BY25" s="376">
        <v>303</v>
      </c>
      <c r="BZ25" s="42">
        <f>SUM(BV25:BY25)</f>
        <v>1058</v>
      </c>
      <c r="CA25" s="375">
        <v>275</v>
      </c>
      <c r="CB25" s="375">
        <v>320</v>
      </c>
      <c r="CC25" s="375">
        <v>280</v>
      </c>
      <c r="CD25" s="375">
        <f>CE25-CA25-CB25-CC25</f>
        <v>303.72599559834362</v>
      </c>
      <c r="CE25" s="42">
        <f>Otezla!N95</f>
        <v>1178.7259955983436</v>
      </c>
      <c r="CF25" s="375">
        <f>0.235*CJ25</f>
        <v>312.80954926344242</v>
      </c>
      <c r="CG25" s="375">
        <f>0.245*CJ25</f>
        <v>326.12059391295065</v>
      </c>
      <c r="CH25" s="375">
        <f>0.255*CJ25</f>
        <v>339.43163856245883</v>
      </c>
      <c r="CI25" s="375">
        <f>0.265*CJ25</f>
        <v>352.74268321196706</v>
      </c>
      <c r="CJ25" s="42">
        <f>Otezla!O95</f>
        <v>1331.104464950819</v>
      </c>
      <c r="CK25" s="375">
        <f>0.245*CO25</f>
        <v>364.05823114784761</v>
      </c>
      <c r="CL25" s="375">
        <f>0.24833*CO25</f>
        <v>369.00645118753056</v>
      </c>
      <c r="CM25" s="375">
        <f>0.25166*CO25</f>
        <v>373.95467122721357</v>
      </c>
      <c r="CN25" s="375">
        <f>0.255*CO25</f>
        <v>378.91775078653524</v>
      </c>
      <c r="CO25" s="42">
        <f>Otezla!P95</f>
        <v>1485.9519638687657</v>
      </c>
      <c r="CP25" s="375">
        <f>0.245*CT25</f>
        <v>387.0635015167976</v>
      </c>
      <c r="CQ25" s="375">
        <f>0.24833*CT25</f>
        <v>392.32440543537285</v>
      </c>
      <c r="CR25" s="375">
        <f>0.25166*CT25</f>
        <v>397.58530935394811</v>
      </c>
      <c r="CS25" s="375">
        <f>0.255*CT25</f>
        <v>402.86201178278941</v>
      </c>
      <c r="CT25" s="42">
        <f>Otezla!Q95</f>
        <v>1579.851026599174</v>
      </c>
      <c r="CU25" s="375">
        <f>0.245*CY25</f>
        <v>411.53015280736912</v>
      </c>
      <c r="CV25" s="375">
        <f>0.24833*CY25</f>
        <v>417.12360345573052</v>
      </c>
      <c r="CW25" s="375">
        <f>0.25166*CY25</f>
        <v>422.71705410409191</v>
      </c>
      <c r="CX25" s="375">
        <f>0.255*CY25</f>
        <v>428.32730190154751</v>
      </c>
      <c r="CY25" s="42">
        <f>Otezla!R95</f>
        <v>1679.7149094178333</v>
      </c>
      <c r="CZ25" s="375">
        <f>0.245*DD25</f>
        <v>437.5515374718853</v>
      </c>
      <c r="DA25" s="375">
        <f>0.24833*DD25</f>
        <v>443.4986665322175</v>
      </c>
      <c r="DB25" s="375">
        <f>0.25166*DD25</f>
        <v>449.44579559254964</v>
      </c>
      <c r="DC25" s="375">
        <f>0.255*DD25</f>
        <v>455.41078389930925</v>
      </c>
      <c r="DD25" s="42">
        <f>Otezla!S95</f>
        <v>1785.9246427423891</v>
      </c>
      <c r="DE25" s="375">
        <f>0.245*DI25</f>
        <v>465.22700644840126</v>
      </c>
      <c r="DF25" s="375">
        <f>0.24833*DI25</f>
        <v>471.55029596461833</v>
      </c>
      <c r="DG25" s="375">
        <f>0.25166*DI25</f>
        <v>477.87358548083535</v>
      </c>
      <c r="DH25" s="375">
        <f>0.255*DI25</f>
        <v>484.21586385445852</v>
      </c>
      <c r="DI25" s="42">
        <f>Otezla!T95</f>
        <v>1898.8857406057195</v>
      </c>
      <c r="DJ25" s="375">
        <f>0.245*DN25</f>
        <v>98.932459393223709</v>
      </c>
      <c r="DK25" s="375">
        <f>0.24833*DN25</f>
        <v>100.27713322905814</v>
      </c>
      <c r="DL25" s="375">
        <f>0.25166*DN25</f>
        <v>101.62180706489256</v>
      </c>
      <c r="DM25" s="375">
        <f>0.255*DN25</f>
        <v>102.97051896029406</v>
      </c>
      <c r="DN25" s="42">
        <f>Otezla!U95</f>
        <v>403.80595670703553</v>
      </c>
      <c r="DO25" s="375">
        <f>0.245*DS25</f>
        <v>10.519398911614331</v>
      </c>
      <c r="DP25" s="375">
        <f>0.24833*DS25</f>
        <v>10.662376864168111</v>
      </c>
      <c r="DQ25" s="375">
        <f>0.25166*DS25</f>
        <v>10.80535481672189</v>
      </c>
      <c r="DR25" s="375">
        <f>0.255*DS25</f>
        <v>10.948762132496551</v>
      </c>
      <c r="DS25" s="42">
        <f>Otezla!V95</f>
        <v>42.936322088221765</v>
      </c>
      <c r="DT25" s="375">
        <f>0.245*DX25</f>
        <v>1.1185394561830326</v>
      </c>
      <c r="DU25" s="375">
        <f>0.24833*DX25</f>
        <v>1.1337424618527856</v>
      </c>
      <c r="DV25" s="375">
        <f>0.25166*DX25</f>
        <v>1.1489454675225388</v>
      </c>
      <c r="DW25" s="375">
        <f>0.255*DX25</f>
        <v>1.1641941278639727</v>
      </c>
      <c r="DX25" s="42">
        <f>Otezla!W95</f>
        <v>4.5654671680940107</v>
      </c>
      <c r="DY25" s="375">
        <f>0.245*EC25</f>
        <v>0.11893782562024882</v>
      </c>
      <c r="DZ25" s="375">
        <f>0.24833*EC25</f>
        <v>0.12055440912765873</v>
      </c>
      <c r="EA25" s="375">
        <f>0.25166*EC25</f>
        <v>0.12217099263506866</v>
      </c>
      <c r="EB25" s="375">
        <f>0.255*EC25</f>
        <v>0.12379243074760593</v>
      </c>
      <c r="EC25" s="51">
        <f>Otezla!X95</f>
        <v>0.4854605127357095</v>
      </c>
      <c r="ED25" s="375">
        <f>0.245*EH25</f>
        <v>1.1382549049714216E-2</v>
      </c>
      <c r="EE25" s="375">
        <f>0.24833*EH25</f>
        <v>1.1537258798022577E-2</v>
      </c>
      <c r="EF25" s="375">
        <f>0.25166*EH25</f>
        <v>1.1691968546330938E-2</v>
      </c>
      <c r="EG25" s="375">
        <f>0.255*EH25</f>
        <v>1.1847142888478062E-2</v>
      </c>
      <c r="EH25" s="42">
        <f>Otezla!Y95</f>
        <v>4.6459383876384555E-2</v>
      </c>
      <c r="EI25" s="375">
        <f>0.245*EM25</f>
        <v>1.3448765620813495E-4</v>
      </c>
      <c r="EJ25" s="375">
        <f>0.24833*EM25</f>
        <v>1.3631559047414758E-4</v>
      </c>
      <c r="EK25" s="375">
        <f>0.25166*EM25</f>
        <v>1.3814352474016017E-4</v>
      </c>
      <c r="EL25" s="375">
        <f>0.255*EM25</f>
        <v>1.3997694829826293E-4</v>
      </c>
      <c r="EM25" s="42">
        <f>Otezla!Z95</f>
        <v>5.4892920901279576E-4</v>
      </c>
    </row>
    <row r="26" spans="2:143">
      <c r="B26" s="10" t="s">
        <v>76</v>
      </c>
      <c r="C26" s="51"/>
      <c r="D26" s="43"/>
      <c r="E26" s="43"/>
      <c r="F26" s="43"/>
      <c r="G26" s="43"/>
      <c r="H26" s="51"/>
      <c r="I26" s="43"/>
      <c r="J26" s="43"/>
      <c r="K26" s="43"/>
      <c r="L26" s="43"/>
      <c r="M26" s="51"/>
      <c r="N26" s="43"/>
      <c r="O26" s="43"/>
      <c r="P26" s="43"/>
      <c r="Q26" s="43"/>
      <c r="R26" s="51"/>
      <c r="S26" s="43"/>
      <c r="T26" s="43"/>
      <c r="U26" s="43"/>
      <c r="V26" s="43"/>
      <c r="W26" s="51"/>
      <c r="X26" s="43"/>
      <c r="Y26" s="43"/>
      <c r="Z26" s="43"/>
      <c r="AA26" s="43"/>
      <c r="AB26" s="51"/>
      <c r="AC26" s="43"/>
      <c r="AD26" s="43"/>
      <c r="AE26" s="43"/>
      <c r="AF26" s="43"/>
      <c r="AG26" s="51"/>
      <c r="AH26" s="43"/>
      <c r="AI26" s="43"/>
      <c r="AJ26" s="43"/>
      <c r="AK26" s="43"/>
      <c r="AL26" s="42"/>
      <c r="AM26" s="43"/>
      <c r="AN26" s="43"/>
      <c r="AO26" s="43"/>
      <c r="AP26" s="43"/>
      <c r="AQ26" s="51"/>
      <c r="AR26" s="43"/>
      <c r="AS26" s="43"/>
      <c r="AT26" s="43"/>
      <c r="AU26" s="43"/>
      <c r="AV26" s="51"/>
      <c r="AW26" s="375"/>
      <c r="AX26" s="375"/>
      <c r="AY26" s="375"/>
      <c r="AZ26" s="375"/>
      <c r="BA26" s="51"/>
      <c r="BB26" s="442"/>
      <c r="BC26" s="442"/>
      <c r="BD26" s="442"/>
      <c r="BE26" s="442"/>
      <c r="BF26" s="51"/>
      <c r="BG26" s="443"/>
      <c r="BH26" s="443"/>
      <c r="BI26" s="375"/>
      <c r="BJ26" s="375"/>
      <c r="BK26" s="42"/>
      <c r="BL26" s="376">
        <v>0.9</v>
      </c>
      <c r="BM26" s="376">
        <v>5</v>
      </c>
      <c r="BN26" s="376">
        <v>10.3</v>
      </c>
      <c r="BO26" s="376">
        <v>15.5</v>
      </c>
      <c r="BP26" s="42">
        <f>SUM(BL26:BO26)</f>
        <v>31.700000000000003</v>
      </c>
      <c r="BQ26" s="376">
        <v>20.8</v>
      </c>
      <c r="BR26" s="376">
        <v>25.1</v>
      </c>
      <c r="BS26" s="376">
        <v>30.1</v>
      </c>
      <c r="BT26" s="376">
        <v>36.799999999999997</v>
      </c>
      <c r="BU26" s="42">
        <f>SUM(BQ26:BT26)</f>
        <v>112.8</v>
      </c>
      <c r="BV26" s="376">
        <v>43</v>
      </c>
      <c r="BW26" s="376">
        <v>52</v>
      </c>
      <c r="BX26" s="376">
        <v>58</v>
      </c>
      <c r="BY26" s="376">
        <v>68</v>
      </c>
      <c r="BZ26" s="42">
        <f>SUM(BV26:BY26)</f>
        <v>221</v>
      </c>
      <c r="CA26" s="375">
        <f>(CE26/BZ26)*BV26</f>
        <v>61.756561085972848</v>
      </c>
      <c r="CB26" s="375">
        <f>(CE26/BZ26)*BW26</f>
        <v>74.682352941176475</v>
      </c>
      <c r="CC26" s="375">
        <f>(CE26/BZ26)*BX26</f>
        <v>83.299547511312213</v>
      </c>
      <c r="CD26" s="375">
        <f>(CE26/BZ26)*BY26</f>
        <v>97.661538461538456</v>
      </c>
      <c r="CE26" s="42">
        <f>BZ25*0.3</f>
        <v>317.39999999999998</v>
      </c>
      <c r="CF26" s="375">
        <f>0.22*CJ26</f>
        <v>116.69387356423603</v>
      </c>
      <c r="CG26" s="375">
        <f>0.24*CJ26</f>
        <v>127.30240752462112</v>
      </c>
      <c r="CH26" s="375">
        <f>0.26*CJ26</f>
        <v>137.91094148500622</v>
      </c>
      <c r="CI26" s="375">
        <f>0.28*CJ26</f>
        <v>148.51947544539132</v>
      </c>
      <c r="CJ26" s="42">
        <f>CE25*0.45</f>
        <v>530.42669801925467</v>
      </c>
      <c r="CK26" s="375">
        <f>0.235*CO26</f>
        <v>156.40477463172121</v>
      </c>
      <c r="CL26" s="375">
        <f>0.245*CO26</f>
        <v>163.06029695647533</v>
      </c>
      <c r="CM26" s="375">
        <f>0.255*CO26</f>
        <v>169.71581928122941</v>
      </c>
      <c r="CN26" s="375">
        <f>0.265*CO26</f>
        <v>176.37134160598353</v>
      </c>
      <c r="CO26" s="42">
        <f>CJ25*0.5</f>
        <v>665.55223247540948</v>
      </c>
      <c r="CP26" s="375">
        <f>0.235*CT26</f>
        <v>174.59935575457996</v>
      </c>
      <c r="CQ26" s="375">
        <f>0.245*CT26</f>
        <v>182.0291155739238</v>
      </c>
      <c r="CR26" s="375">
        <f>0.255*CT26</f>
        <v>189.45887539326762</v>
      </c>
      <c r="CS26" s="375">
        <f>0.265*CT26</f>
        <v>196.88863521261146</v>
      </c>
      <c r="CT26" s="42">
        <f>CO25*0.5</f>
        <v>742.97598193438284</v>
      </c>
      <c r="CU26" s="375">
        <f>0.235*CY26</f>
        <v>185.63249562540292</v>
      </c>
      <c r="CV26" s="375">
        <f>0.245*CY26</f>
        <v>193.5317507583988</v>
      </c>
      <c r="CW26" s="375">
        <f>0.255*CY26</f>
        <v>201.4310058913947</v>
      </c>
      <c r="CX26" s="375">
        <f>0.265*CY26</f>
        <v>209.33026102439058</v>
      </c>
      <c r="CY26" s="42">
        <f>CT25*0.5</f>
        <v>789.92551329958701</v>
      </c>
      <c r="CZ26" s="375">
        <f>0.235*DD26</f>
        <v>197.36650185659539</v>
      </c>
      <c r="DA26" s="375">
        <f>0.245*DD26</f>
        <v>205.76507640368456</v>
      </c>
      <c r="DB26" s="375">
        <f>0.255*DD26</f>
        <v>214.16365095077376</v>
      </c>
      <c r="DC26" s="375">
        <f>0.265*DD26</f>
        <v>222.56222549786293</v>
      </c>
      <c r="DD26" s="42">
        <f>CY25*0.5</f>
        <v>839.85745470891663</v>
      </c>
      <c r="DE26" s="375">
        <f>0.235*DI26</f>
        <v>209.8461455222307</v>
      </c>
      <c r="DF26" s="375">
        <f>0.245*DI26</f>
        <v>218.77576873594265</v>
      </c>
      <c r="DG26" s="375">
        <f>0.255*DI26</f>
        <v>227.70539194965463</v>
      </c>
      <c r="DH26" s="375">
        <f>0.265*DI26</f>
        <v>236.63501516336657</v>
      </c>
      <c r="DI26" s="42">
        <f>DD25*0.5</f>
        <v>892.96232137119455</v>
      </c>
      <c r="DJ26" s="375">
        <f>0.235*DN26</f>
        <v>104.92307276111535</v>
      </c>
      <c r="DK26" s="375">
        <f>0.245*DN26</f>
        <v>109.38788436797132</v>
      </c>
      <c r="DL26" s="375">
        <f>0.255*DN26</f>
        <v>113.85269597482731</v>
      </c>
      <c r="DM26" s="375">
        <f>0.265*DN26</f>
        <v>118.31750758168329</v>
      </c>
      <c r="DN26" s="42">
        <f>DI26*0.5</f>
        <v>446.48116068559727</v>
      </c>
      <c r="DO26" s="375">
        <f>0.235*DS26</f>
        <v>52.461536380557675</v>
      </c>
      <c r="DP26" s="375">
        <f>0.245*DS26</f>
        <v>54.693942183985662</v>
      </c>
      <c r="DQ26" s="375">
        <f>0.255*DS26</f>
        <v>56.926347987413656</v>
      </c>
      <c r="DR26" s="375">
        <f>0.265*DS26</f>
        <v>59.158753790841644</v>
      </c>
      <c r="DS26" s="42">
        <f>DN26*0.5</f>
        <v>223.24058034279864</v>
      </c>
      <c r="DT26" s="375">
        <f>0.235*DX26</f>
        <v>26.230768190278837</v>
      </c>
      <c r="DU26" s="375">
        <f>0.245*DX26</f>
        <v>27.346971091992831</v>
      </c>
      <c r="DV26" s="375">
        <f>0.255*DX26</f>
        <v>28.463173993706828</v>
      </c>
      <c r="DW26" s="375">
        <f>0.265*DX26</f>
        <v>29.579376895420822</v>
      </c>
      <c r="DX26" s="42">
        <f>DS26*0.5</f>
        <v>111.62029017139932</v>
      </c>
      <c r="DY26" s="375">
        <f>0.235*EC26</f>
        <v>13.115384095139419</v>
      </c>
      <c r="DZ26" s="375">
        <f>0.245*EC26</f>
        <v>13.673485545996416</v>
      </c>
      <c r="EA26" s="375">
        <f>0.255*EC26</f>
        <v>14.231586996853414</v>
      </c>
      <c r="EB26" s="375">
        <f>0.265*EC26</f>
        <v>14.789688447710411</v>
      </c>
      <c r="EC26" s="42">
        <f>DX26*0.5</f>
        <v>55.810145085699659</v>
      </c>
      <c r="ED26" s="375">
        <f>0.235*EH26</f>
        <v>6.5576920475697094</v>
      </c>
      <c r="EE26" s="375">
        <f>0.245*EH26</f>
        <v>6.8367427729982078</v>
      </c>
      <c r="EF26" s="375">
        <f>0.255*EH26</f>
        <v>7.1157934984267071</v>
      </c>
      <c r="EG26" s="375">
        <f>0.265*EH26</f>
        <v>7.3948442238552055</v>
      </c>
      <c r="EH26" s="42">
        <f>EC26*0.5</f>
        <v>27.90507254284983</v>
      </c>
      <c r="EI26" s="375">
        <f>0.235*EM26</f>
        <v>3.2788460237848547</v>
      </c>
      <c r="EJ26" s="375">
        <f>0.245*EM26</f>
        <v>3.4183713864991039</v>
      </c>
      <c r="EK26" s="375">
        <f>0.255*EM26</f>
        <v>3.5578967492133535</v>
      </c>
      <c r="EL26" s="375">
        <f>0.265*EM26</f>
        <v>3.6974221119276027</v>
      </c>
      <c r="EM26" s="42">
        <f>EH26*0.5</f>
        <v>13.952536271424915</v>
      </c>
    </row>
    <row r="27" spans="2:143">
      <c r="B27" s="10"/>
      <c r="C27" s="51"/>
      <c r="D27" s="43"/>
      <c r="E27" s="43"/>
      <c r="F27" s="43"/>
      <c r="G27" s="43"/>
      <c r="H27" s="51"/>
      <c r="I27" s="43"/>
      <c r="J27" s="43"/>
      <c r="K27" s="43"/>
      <c r="L27" s="43"/>
      <c r="M27" s="51"/>
      <c r="N27" s="43"/>
      <c r="O27" s="43"/>
      <c r="P27" s="43"/>
      <c r="Q27" s="43"/>
      <c r="R27" s="51"/>
      <c r="S27" s="43"/>
      <c r="T27" s="43"/>
      <c r="U27" s="43"/>
      <c r="V27" s="43"/>
      <c r="W27" s="51"/>
      <c r="X27" s="43"/>
      <c r="Y27" s="43"/>
      <c r="Z27" s="43"/>
      <c r="AA27" s="43"/>
      <c r="AB27" s="51"/>
      <c r="AC27" s="43"/>
      <c r="AD27" s="43"/>
      <c r="AE27" s="43"/>
      <c r="AF27" s="43"/>
      <c r="AG27" s="51"/>
      <c r="AH27" s="43"/>
      <c r="AI27" s="43"/>
      <c r="AJ27" s="43"/>
      <c r="AK27" s="43"/>
      <c r="AL27" s="42"/>
      <c r="AM27" s="43"/>
      <c r="AN27" s="43"/>
      <c r="AO27" s="43"/>
      <c r="AP27" s="43"/>
      <c r="AQ27" s="51"/>
      <c r="AR27" s="43"/>
      <c r="AS27" s="43"/>
      <c r="AT27" s="43"/>
      <c r="AU27" s="43"/>
      <c r="AV27" s="51"/>
      <c r="AW27" s="375"/>
      <c r="AX27" s="375"/>
      <c r="AY27" s="375"/>
      <c r="AZ27" s="375"/>
      <c r="BA27" s="51"/>
      <c r="BB27" s="442"/>
      <c r="BC27" s="442"/>
      <c r="BD27" s="442"/>
      <c r="BE27" s="442"/>
      <c r="BF27" s="51"/>
      <c r="BG27" s="443"/>
      <c r="BH27" s="443"/>
      <c r="BI27" s="375"/>
      <c r="BJ27" s="375"/>
      <c r="BK27" s="42"/>
      <c r="BL27" s="375"/>
      <c r="BM27" s="375"/>
      <c r="BN27" s="375"/>
      <c r="BO27" s="375"/>
      <c r="BP27" s="42"/>
      <c r="BQ27" s="375"/>
      <c r="BR27" s="375"/>
      <c r="BS27" s="375"/>
      <c r="BT27" s="973"/>
      <c r="BU27" s="42"/>
      <c r="BV27" s="375"/>
      <c r="BW27" s="375"/>
      <c r="BX27" s="375"/>
      <c r="BY27" s="375"/>
      <c r="BZ27" s="42"/>
      <c r="CA27" s="375"/>
      <c r="CB27" s="375"/>
      <c r="CC27" s="375"/>
      <c r="CD27" s="375"/>
      <c r="CE27" s="42"/>
      <c r="CF27" s="375"/>
      <c r="CG27" s="375"/>
      <c r="CH27" s="375"/>
      <c r="CI27" s="375"/>
      <c r="CJ27" s="42"/>
      <c r="CK27" s="375"/>
      <c r="CL27" s="375"/>
      <c r="CM27" s="375"/>
      <c r="CN27" s="375"/>
      <c r="CO27" s="42"/>
      <c r="CP27" s="375"/>
      <c r="CQ27" s="375"/>
      <c r="CR27" s="375"/>
      <c r="CS27" s="375"/>
      <c r="CT27" s="42"/>
      <c r="CU27" s="375"/>
      <c r="CV27" s="375"/>
      <c r="CW27" s="375"/>
      <c r="CX27" s="375"/>
      <c r="CY27" s="42"/>
      <c r="CZ27" s="375"/>
      <c r="DA27" s="375"/>
      <c r="DB27" s="375"/>
      <c r="DC27" s="375"/>
      <c r="DD27" s="42"/>
      <c r="DE27" s="375"/>
      <c r="DF27" s="375"/>
      <c r="DG27" s="375"/>
      <c r="DH27" s="375"/>
      <c r="DI27" s="42"/>
      <c r="DJ27" s="375"/>
      <c r="DK27" s="375"/>
      <c r="DL27" s="375"/>
      <c r="DM27" s="375"/>
      <c r="DN27" s="42"/>
      <c r="DO27" s="375"/>
      <c r="DP27" s="375"/>
      <c r="DQ27" s="375"/>
      <c r="DR27" s="375"/>
      <c r="DS27" s="42"/>
      <c r="DT27" s="375"/>
      <c r="DU27" s="375"/>
      <c r="DV27" s="375"/>
      <c r="DW27" s="375"/>
      <c r="DX27" s="42"/>
      <c r="DY27" s="375"/>
      <c r="DZ27" s="375"/>
      <c r="EA27" s="375"/>
      <c r="EB27" s="375"/>
      <c r="EC27" s="42"/>
      <c r="ED27" s="375"/>
      <c r="EE27" s="375"/>
      <c r="EF27" s="375"/>
      <c r="EG27" s="375"/>
      <c r="EH27" s="42"/>
      <c r="EI27" s="375"/>
      <c r="EJ27" s="375"/>
      <c r="EK27" s="375"/>
      <c r="EL27" s="375"/>
      <c r="EM27" s="42"/>
    </row>
    <row r="28" spans="2:143">
      <c r="B28" s="25" t="s">
        <v>811</v>
      </c>
      <c r="C28" s="51"/>
      <c r="D28" s="43"/>
      <c r="E28" s="43"/>
      <c r="F28" s="43"/>
      <c r="G28" s="43"/>
      <c r="H28" s="51"/>
      <c r="I28" s="43"/>
      <c r="J28" s="43"/>
      <c r="K28" s="43"/>
      <c r="L28" s="43"/>
      <c r="M28" s="51"/>
      <c r="N28" s="43"/>
      <c r="O28" s="43"/>
      <c r="P28" s="43"/>
      <c r="Q28" s="43"/>
      <c r="R28" s="51"/>
      <c r="S28" s="43"/>
      <c r="T28" s="43"/>
      <c r="U28" s="43"/>
      <c r="V28" s="43"/>
      <c r="W28" s="51"/>
      <c r="X28" s="43"/>
      <c r="Y28" s="43"/>
      <c r="Z28" s="43"/>
      <c r="AA28" s="43"/>
      <c r="AB28" s="51"/>
      <c r="AC28" s="43"/>
      <c r="AD28" s="43"/>
      <c r="AE28" s="43"/>
      <c r="AF28" s="43"/>
      <c r="AG28" s="51"/>
      <c r="AH28" s="43"/>
      <c r="AI28" s="43"/>
      <c r="AJ28" s="43"/>
      <c r="AK28" s="43"/>
      <c r="AL28" s="42"/>
      <c r="AM28" s="43"/>
      <c r="AN28" s="43"/>
      <c r="AO28" s="43"/>
      <c r="AP28" s="43"/>
      <c r="AQ28" s="51"/>
      <c r="AR28" s="43"/>
      <c r="AS28" s="43"/>
      <c r="AT28" s="43"/>
      <c r="AU28" s="43"/>
      <c r="AV28" s="51"/>
      <c r="AW28" s="375"/>
      <c r="AX28" s="375"/>
      <c r="AY28" s="375"/>
      <c r="AZ28" s="375"/>
      <c r="BA28" s="51"/>
      <c r="BB28" s="442"/>
      <c r="BC28" s="442"/>
      <c r="BD28" s="442"/>
      <c r="BE28" s="442"/>
      <c r="BF28" s="51"/>
      <c r="BG28" s="443"/>
      <c r="BH28" s="443"/>
      <c r="BI28" s="375"/>
      <c r="BJ28" s="375"/>
      <c r="BK28" s="42"/>
      <c r="BL28" s="375"/>
      <c r="BM28" s="375"/>
      <c r="BN28" s="375"/>
      <c r="BO28" s="375"/>
      <c r="BP28" s="42"/>
      <c r="BQ28" s="375"/>
      <c r="BR28" s="375"/>
      <c r="BS28" s="375"/>
      <c r="BT28" s="375"/>
      <c r="BU28" s="42"/>
      <c r="BV28" s="375"/>
      <c r="BW28" s="375"/>
      <c r="BX28" s="375"/>
      <c r="BY28" s="375"/>
      <c r="BZ28" s="42"/>
      <c r="CA28" s="375">
        <f t="shared" ref="CA28:CO28" si="2">CA29+CA30</f>
        <v>0</v>
      </c>
      <c r="CB28" s="375">
        <f>CB29+CB30</f>
        <v>0</v>
      </c>
      <c r="CC28" s="375">
        <f t="shared" si="2"/>
        <v>0</v>
      </c>
      <c r="CD28" s="375">
        <f t="shared" si="2"/>
        <v>0</v>
      </c>
      <c r="CE28" s="42">
        <f>CE29+CE30</f>
        <v>0</v>
      </c>
      <c r="CF28" s="375">
        <f>CF29+CF30</f>
        <v>0</v>
      </c>
      <c r="CG28" s="375">
        <f t="shared" si="2"/>
        <v>0</v>
      </c>
      <c r="CH28" s="375">
        <f t="shared" si="2"/>
        <v>0</v>
      </c>
      <c r="CI28" s="375">
        <f t="shared" si="2"/>
        <v>0</v>
      </c>
      <c r="CJ28" s="42">
        <f>CJ29+CJ30</f>
        <v>0</v>
      </c>
      <c r="CK28" s="375">
        <f t="shared" si="2"/>
        <v>0</v>
      </c>
      <c r="CL28" s="375">
        <f t="shared" si="2"/>
        <v>0</v>
      </c>
      <c r="CM28" s="375">
        <f t="shared" si="2"/>
        <v>0</v>
      </c>
      <c r="CN28" s="375">
        <f t="shared" si="2"/>
        <v>0</v>
      </c>
      <c r="CO28" s="42">
        <f t="shared" si="2"/>
        <v>0</v>
      </c>
      <c r="CP28" s="375">
        <f t="shared" ref="CP28:EL28" si="3">CP29+CP30</f>
        <v>0</v>
      </c>
      <c r="CQ28" s="375">
        <f t="shared" si="3"/>
        <v>0</v>
      </c>
      <c r="CR28" s="375">
        <f t="shared" si="3"/>
        <v>0</v>
      </c>
      <c r="CS28" s="375">
        <f t="shared" si="3"/>
        <v>0</v>
      </c>
      <c r="CT28" s="42">
        <f t="shared" si="3"/>
        <v>0</v>
      </c>
      <c r="CU28" s="375">
        <f t="shared" si="3"/>
        <v>0</v>
      </c>
      <c r="CV28" s="375">
        <f t="shared" si="3"/>
        <v>0</v>
      </c>
      <c r="CW28" s="375">
        <f t="shared" si="3"/>
        <v>0</v>
      </c>
      <c r="CX28" s="375">
        <f t="shared" si="3"/>
        <v>0</v>
      </c>
      <c r="CY28" s="42">
        <f t="shared" si="3"/>
        <v>0</v>
      </c>
      <c r="CZ28" s="375">
        <f t="shared" si="3"/>
        <v>0</v>
      </c>
      <c r="DA28" s="375">
        <f t="shared" si="3"/>
        <v>0</v>
      </c>
      <c r="DB28" s="375">
        <f t="shared" si="3"/>
        <v>0</v>
      </c>
      <c r="DC28" s="375">
        <f t="shared" si="3"/>
        <v>0</v>
      </c>
      <c r="DD28" s="42">
        <f t="shared" si="3"/>
        <v>0</v>
      </c>
      <c r="DE28" s="375">
        <f t="shared" si="3"/>
        <v>0</v>
      </c>
      <c r="DF28" s="375">
        <f t="shared" si="3"/>
        <v>0</v>
      </c>
      <c r="DG28" s="375">
        <f t="shared" si="3"/>
        <v>0</v>
      </c>
      <c r="DH28" s="375">
        <f t="shared" si="3"/>
        <v>0</v>
      </c>
      <c r="DI28" s="42">
        <f t="shared" si="3"/>
        <v>0</v>
      </c>
      <c r="DJ28" s="375">
        <f t="shared" si="3"/>
        <v>0</v>
      </c>
      <c r="DK28" s="375">
        <f t="shared" si="3"/>
        <v>0</v>
      </c>
      <c r="DL28" s="375">
        <f t="shared" si="3"/>
        <v>0</v>
      </c>
      <c r="DM28" s="375">
        <f t="shared" si="3"/>
        <v>0</v>
      </c>
      <c r="DN28" s="42">
        <f t="shared" si="3"/>
        <v>0</v>
      </c>
      <c r="DO28" s="375">
        <f t="shared" si="3"/>
        <v>0</v>
      </c>
      <c r="DP28" s="375">
        <f t="shared" si="3"/>
        <v>0</v>
      </c>
      <c r="DQ28" s="375">
        <f t="shared" si="3"/>
        <v>0</v>
      </c>
      <c r="DR28" s="375">
        <f t="shared" si="3"/>
        <v>0</v>
      </c>
      <c r="DS28" s="42">
        <f t="shared" si="3"/>
        <v>0</v>
      </c>
      <c r="DT28" s="375">
        <f t="shared" si="3"/>
        <v>0</v>
      </c>
      <c r="DU28" s="375">
        <f t="shared" si="3"/>
        <v>0</v>
      </c>
      <c r="DV28" s="375">
        <f t="shared" si="3"/>
        <v>0</v>
      </c>
      <c r="DW28" s="375">
        <f t="shared" si="3"/>
        <v>0</v>
      </c>
      <c r="DX28" s="42">
        <f>DX29+DX30</f>
        <v>0</v>
      </c>
      <c r="DY28" s="375">
        <f t="shared" si="3"/>
        <v>0</v>
      </c>
      <c r="DZ28" s="375">
        <f t="shared" si="3"/>
        <v>0</v>
      </c>
      <c r="EA28" s="375">
        <f t="shared" si="3"/>
        <v>0</v>
      </c>
      <c r="EB28" s="375">
        <f t="shared" si="3"/>
        <v>0</v>
      </c>
      <c r="EC28" s="42">
        <f>EC29+EC30</f>
        <v>0</v>
      </c>
      <c r="ED28" s="375">
        <f t="shared" si="3"/>
        <v>0</v>
      </c>
      <c r="EE28" s="375">
        <f t="shared" si="3"/>
        <v>0</v>
      </c>
      <c r="EF28" s="375">
        <f t="shared" si="3"/>
        <v>0</v>
      </c>
      <c r="EG28" s="375">
        <f t="shared" si="3"/>
        <v>0</v>
      </c>
      <c r="EH28" s="42">
        <f>EH29+EH30</f>
        <v>0</v>
      </c>
      <c r="EI28" s="375">
        <f t="shared" si="3"/>
        <v>0</v>
      </c>
      <c r="EJ28" s="375">
        <f t="shared" si="3"/>
        <v>0</v>
      </c>
      <c r="EK28" s="375">
        <f t="shared" si="3"/>
        <v>0</v>
      </c>
      <c r="EL28" s="375">
        <f t="shared" si="3"/>
        <v>0</v>
      </c>
      <c r="EM28" s="42">
        <f>EM29+EM30</f>
        <v>0</v>
      </c>
    </row>
    <row r="29" spans="2:143">
      <c r="B29" s="10" t="s">
        <v>181</v>
      </c>
      <c r="C29" s="51"/>
      <c r="D29" s="43"/>
      <c r="E29" s="43"/>
      <c r="F29" s="43"/>
      <c r="G29" s="43"/>
      <c r="H29" s="51"/>
      <c r="I29" s="43"/>
      <c r="J29" s="43"/>
      <c r="K29" s="43"/>
      <c r="L29" s="43"/>
      <c r="M29" s="51"/>
      <c r="N29" s="43"/>
      <c r="O29" s="43"/>
      <c r="P29" s="43"/>
      <c r="Q29" s="43"/>
      <c r="R29" s="51"/>
      <c r="S29" s="43"/>
      <c r="T29" s="43"/>
      <c r="U29" s="43"/>
      <c r="V29" s="43"/>
      <c r="W29" s="51"/>
      <c r="X29" s="43"/>
      <c r="Y29" s="43"/>
      <c r="Z29" s="43"/>
      <c r="AA29" s="43"/>
      <c r="AB29" s="51"/>
      <c r="AC29" s="43"/>
      <c r="AD29" s="43"/>
      <c r="AE29" s="43"/>
      <c r="AF29" s="43"/>
      <c r="AG29" s="51"/>
      <c r="AH29" s="43"/>
      <c r="AI29" s="43"/>
      <c r="AJ29" s="43"/>
      <c r="AK29" s="43"/>
      <c r="AL29" s="42"/>
      <c r="AM29" s="43"/>
      <c r="AN29" s="43"/>
      <c r="AO29" s="43"/>
      <c r="AP29" s="43"/>
      <c r="AQ29" s="51"/>
      <c r="AR29" s="43"/>
      <c r="AS29" s="43"/>
      <c r="AT29" s="43"/>
      <c r="AU29" s="43"/>
      <c r="AV29" s="51"/>
      <c r="AW29" s="375"/>
      <c r="AX29" s="375"/>
      <c r="AY29" s="375"/>
      <c r="AZ29" s="375"/>
      <c r="BA29" s="51"/>
      <c r="BB29" s="442"/>
      <c r="BC29" s="442"/>
      <c r="BD29" s="442"/>
      <c r="BE29" s="442"/>
      <c r="BF29" s="51"/>
      <c r="BG29" s="443"/>
      <c r="BH29" s="443"/>
      <c r="BI29" s="375"/>
      <c r="BJ29" s="375"/>
      <c r="BK29" s="42"/>
      <c r="BL29" s="375"/>
      <c r="BM29" s="375"/>
      <c r="BN29" s="375"/>
      <c r="BO29" s="375"/>
      <c r="BP29" s="42"/>
      <c r="BQ29" s="375"/>
      <c r="BR29" s="375"/>
      <c r="BS29" s="375"/>
      <c r="BT29" s="375"/>
      <c r="BU29" s="42"/>
      <c r="BV29" s="375"/>
      <c r="BW29" s="375"/>
      <c r="BX29" s="375"/>
      <c r="BY29" s="375"/>
      <c r="BZ29" s="42"/>
      <c r="CA29" s="375">
        <f>0.16*$CE$29</f>
        <v>0</v>
      </c>
      <c r="CB29" s="375">
        <f>0.22*$CE$29</f>
        <v>0</v>
      </c>
      <c r="CC29" s="375">
        <f>0.28*$CE$29</f>
        <v>0</v>
      </c>
      <c r="CD29" s="375">
        <f>0.34*$CE$29</f>
        <v>0</v>
      </c>
      <c r="CE29" s="42">
        <f>'GED0301'!G36</f>
        <v>0</v>
      </c>
      <c r="CF29" s="375">
        <f>0.22*$CJ$29</f>
        <v>0</v>
      </c>
      <c r="CG29" s="375">
        <f>0.24*CJ29</f>
        <v>0</v>
      </c>
      <c r="CH29" s="375">
        <f>0.26*CJ29</f>
        <v>0</v>
      </c>
      <c r="CI29" s="375">
        <f>0.28*CJ29</f>
        <v>0</v>
      </c>
      <c r="CJ29" s="42">
        <f>'GED0301'!H36</f>
        <v>0</v>
      </c>
      <c r="CK29" s="375">
        <f>0.22*CO29</f>
        <v>0</v>
      </c>
      <c r="CL29" s="375">
        <f>0.24*CO29</f>
        <v>0</v>
      </c>
      <c r="CM29" s="375">
        <f>0.26*CO29</f>
        <v>0</v>
      </c>
      <c r="CN29" s="375">
        <f>0.28*CO29</f>
        <v>0</v>
      </c>
      <c r="CO29" s="42">
        <f>'GED0301'!I36</f>
        <v>0</v>
      </c>
      <c r="CP29" s="375">
        <f>0.22*CT29</f>
        <v>0</v>
      </c>
      <c r="CQ29" s="375">
        <f>0.24*CT29</f>
        <v>0</v>
      </c>
      <c r="CR29" s="375">
        <f>0.26*CT29</f>
        <v>0</v>
      </c>
      <c r="CS29" s="375">
        <f>0.28*CT29</f>
        <v>0</v>
      </c>
      <c r="CT29" s="42">
        <f>'GED0301'!J36</f>
        <v>0</v>
      </c>
      <c r="CU29" s="375">
        <f>0.22*CY29</f>
        <v>0</v>
      </c>
      <c r="CV29" s="375">
        <f>0.24*CY29</f>
        <v>0</v>
      </c>
      <c r="CW29" s="375">
        <f>0.26*CY29</f>
        <v>0</v>
      </c>
      <c r="CX29" s="375">
        <f>0.28*CY29</f>
        <v>0</v>
      </c>
      <c r="CY29" s="42">
        <f>'GED0301'!K36</f>
        <v>0</v>
      </c>
      <c r="CZ29" s="375">
        <f>0.22*DD29</f>
        <v>0</v>
      </c>
      <c r="DA29" s="375">
        <f>0.24*DD29</f>
        <v>0</v>
      </c>
      <c r="DB29" s="375">
        <f>0.26*DD29</f>
        <v>0</v>
      </c>
      <c r="DC29" s="375">
        <f>0.28*DD29</f>
        <v>0</v>
      </c>
      <c r="DD29" s="42">
        <f>'GED0301'!L36</f>
        <v>0</v>
      </c>
      <c r="DE29" s="375">
        <f>0.22*DI29</f>
        <v>0</v>
      </c>
      <c r="DF29" s="375">
        <f>0.24*DI29</f>
        <v>0</v>
      </c>
      <c r="DG29" s="375">
        <f>0.26*DI29</f>
        <v>0</v>
      </c>
      <c r="DH29" s="375">
        <f>0.28*DI29</f>
        <v>0</v>
      </c>
      <c r="DI29" s="42">
        <f>'GED0301'!M36</f>
        <v>0</v>
      </c>
      <c r="DJ29" s="375">
        <f>0.22*DN29</f>
        <v>0</v>
      </c>
      <c r="DK29" s="375">
        <f>0.24*DN29</f>
        <v>0</v>
      </c>
      <c r="DL29" s="375">
        <f>0.26*DN29</f>
        <v>0</v>
      </c>
      <c r="DM29" s="375">
        <f>0.28*DN29</f>
        <v>0</v>
      </c>
      <c r="DN29" s="42">
        <f>'GED0301'!N36</f>
        <v>0</v>
      </c>
      <c r="DO29" s="375">
        <f>0.22*DS29</f>
        <v>0</v>
      </c>
      <c r="DP29" s="375">
        <f>0.24*DS29</f>
        <v>0</v>
      </c>
      <c r="DQ29" s="375">
        <f>0.26*DS29</f>
        <v>0</v>
      </c>
      <c r="DR29" s="375">
        <f>0.28*DS29</f>
        <v>0</v>
      </c>
      <c r="DS29" s="42">
        <f>'GED0301'!O36</f>
        <v>0</v>
      </c>
      <c r="DT29" s="375">
        <f>0.22*DX29</f>
        <v>0</v>
      </c>
      <c r="DU29" s="375">
        <f>0.24*DX29</f>
        <v>0</v>
      </c>
      <c r="DV29" s="375">
        <f>0.26*DX29</f>
        <v>0</v>
      </c>
      <c r="DW29" s="375">
        <f>0.28*DX29</f>
        <v>0</v>
      </c>
      <c r="DX29" s="42">
        <f>'GED0301'!P36</f>
        <v>0</v>
      </c>
      <c r="DY29" s="375">
        <f>0.22*EC29</f>
        <v>0</v>
      </c>
      <c r="DZ29" s="375">
        <f>0.24*EC29</f>
        <v>0</v>
      </c>
      <c r="EA29" s="375">
        <f>0.26*EC29</f>
        <v>0</v>
      </c>
      <c r="EB29" s="375">
        <f>0.28*EC29</f>
        <v>0</v>
      </c>
      <c r="EC29" s="51">
        <f>'GED0301'!Q36</f>
        <v>0</v>
      </c>
      <c r="ED29" s="375">
        <f>0.22*EH29</f>
        <v>0</v>
      </c>
      <c r="EE29" s="375">
        <f>0.24*EH29</f>
        <v>0</v>
      </c>
      <c r="EF29" s="375">
        <f>0.26*EH29</f>
        <v>0</v>
      </c>
      <c r="EG29" s="375">
        <f>0.28*EH29</f>
        <v>0</v>
      </c>
      <c r="EH29" s="42">
        <f>'GED0301'!R36</f>
        <v>0</v>
      </c>
      <c r="EI29" s="375">
        <f>0.22*EM29</f>
        <v>0</v>
      </c>
      <c r="EJ29" s="375">
        <f>0.24*EM29</f>
        <v>0</v>
      </c>
      <c r="EK29" s="375">
        <f>0.26*EM29</f>
        <v>0</v>
      </c>
      <c r="EL29" s="375">
        <f>0.28*EM29</f>
        <v>0</v>
      </c>
      <c r="EM29" s="42">
        <f>'GED0301'!S36</f>
        <v>0</v>
      </c>
    </row>
    <row r="30" spans="2:143">
      <c r="B30" s="10" t="s">
        <v>76</v>
      </c>
      <c r="C30" s="51"/>
      <c r="D30" s="43"/>
      <c r="E30" s="43"/>
      <c r="F30" s="43"/>
      <c r="G30" s="43"/>
      <c r="H30" s="51"/>
      <c r="I30" s="43"/>
      <c r="J30" s="43"/>
      <c r="K30" s="43"/>
      <c r="L30" s="43"/>
      <c r="M30" s="51"/>
      <c r="N30" s="43"/>
      <c r="O30" s="43"/>
      <c r="P30" s="43"/>
      <c r="Q30" s="43"/>
      <c r="R30" s="51"/>
      <c r="S30" s="43"/>
      <c r="T30" s="43"/>
      <c r="U30" s="43"/>
      <c r="V30" s="43"/>
      <c r="W30" s="51"/>
      <c r="X30" s="43"/>
      <c r="Y30" s="43"/>
      <c r="Z30" s="43"/>
      <c r="AA30" s="43"/>
      <c r="AB30" s="51"/>
      <c r="AC30" s="43"/>
      <c r="AD30" s="43"/>
      <c r="AE30" s="43"/>
      <c r="AF30" s="43"/>
      <c r="AG30" s="51"/>
      <c r="AH30" s="43"/>
      <c r="AI30" s="43"/>
      <c r="AJ30" s="43"/>
      <c r="AK30" s="43"/>
      <c r="AL30" s="42"/>
      <c r="AM30" s="43"/>
      <c r="AN30" s="43"/>
      <c r="AO30" s="43"/>
      <c r="AP30" s="43"/>
      <c r="AQ30" s="51"/>
      <c r="AR30" s="43"/>
      <c r="AS30" s="43"/>
      <c r="AT30" s="43"/>
      <c r="AU30" s="43"/>
      <c r="AV30" s="51"/>
      <c r="AW30" s="375"/>
      <c r="AX30" s="375"/>
      <c r="AY30" s="375"/>
      <c r="AZ30" s="375"/>
      <c r="BA30" s="51"/>
      <c r="BB30" s="442"/>
      <c r="BC30" s="442"/>
      <c r="BD30" s="442"/>
      <c r="BE30" s="442"/>
      <c r="BF30" s="51"/>
      <c r="BG30" s="443"/>
      <c r="BH30" s="443"/>
      <c r="BI30" s="375"/>
      <c r="BJ30" s="375"/>
      <c r="BK30" s="42"/>
      <c r="BL30" s="375"/>
      <c r="BM30" s="375"/>
      <c r="BN30" s="375"/>
      <c r="BO30" s="375"/>
      <c r="BP30" s="42"/>
      <c r="BQ30" s="375"/>
      <c r="BR30" s="375"/>
      <c r="BS30" s="375"/>
      <c r="BT30" s="375"/>
      <c r="BU30" s="42"/>
      <c r="BV30" s="375"/>
      <c r="BW30" s="375"/>
      <c r="BX30" s="375"/>
      <c r="BY30" s="375"/>
      <c r="BZ30" s="42"/>
      <c r="CA30" s="375"/>
      <c r="CB30" s="375"/>
      <c r="CC30" s="375"/>
      <c r="CD30" s="375"/>
      <c r="CE30" s="42"/>
      <c r="CF30" s="375">
        <f>0.22*CJ30</f>
        <v>0</v>
      </c>
      <c r="CG30" s="375">
        <f>0.24*CJ30</f>
        <v>0</v>
      </c>
      <c r="CH30" s="375">
        <f>0.26*CJ30</f>
        <v>0</v>
      </c>
      <c r="CI30" s="375">
        <f>0.28*CJ30</f>
        <v>0</v>
      </c>
      <c r="CJ30" s="42">
        <f>CE29*0.55</f>
        <v>0</v>
      </c>
      <c r="CK30" s="375">
        <f>0.235*CO30</f>
        <v>0</v>
      </c>
      <c r="CL30" s="375">
        <f>0.245*CO30</f>
        <v>0</v>
      </c>
      <c r="CM30" s="375">
        <f>0.255*CO30</f>
        <v>0</v>
      </c>
      <c r="CN30" s="375">
        <f>0.265*CO30</f>
        <v>0</v>
      </c>
      <c r="CO30" s="42">
        <f>CJ29*0.55</f>
        <v>0</v>
      </c>
      <c r="CP30" s="375">
        <f>0.235*CT30</f>
        <v>0</v>
      </c>
      <c r="CQ30" s="375">
        <f>0.245*CT30</f>
        <v>0</v>
      </c>
      <c r="CR30" s="375">
        <f>0.255*CT30</f>
        <v>0</v>
      </c>
      <c r="CS30" s="375">
        <f>0.265*CT30</f>
        <v>0</v>
      </c>
      <c r="CT30" s="42">
        <f>CO29*0.55</f>
        <v>0</v>
      </c>
      <c r="CU30" s="375">
        <f>0.235*CY30</f>
        <v>0</v>
      </c>
      <c r="CV30" s="375">
        <f>0.245*CY30</f>
        <v>0</v>
      </c>
      <c r="CW30" s="375">
        <f>0.255*CY30</f>
        <v>0</v>
      </c>
      <c r="CX30" s="375">
        <f>0.265*CY30</f>
        <v>0</v>
      </c>
      <c r="CY30" s="42">
        <f>CT29*0.55</f>
        <v>0</v>
      </c>
      <c r="CZ30" s="375">
        <f>0.235*DD30</f>
        <v>0</v>
      </c>
      <c r="DA30" s="375">
        <f>0.245*DD30</f>
        <v>0</v>
      </c>
      <c r="DB30" s="375">
        <f>0.255*DD30</f>
        <v>0</v>
      </c>
      <c r="DC30" s="375">
        <f>0.265*DD30</f>
        <v>0</v>
      </c>
      <c r="DD30" s="42">
        <f>CY29*0.55</f>
        <v>0</v>
      </c>
      <c r="DE30" s="375">
        <f>0.235*DI30</f>
        <v>0</v>
      </c>
      <c r="DF30" s="375">
        <f>0.245*DI30</f>
        <v>0</v>
      </c>
      <c r="DG30" s="375">
        <f>0.255*DI30</f>
        <v>0</v>
      </c>
      <c r="DH30" s="375">
        <f>0.265*DI30</f>
        <v>0</v>
      </c>
      <c r="DI30" s="42">
        <f>DD29*0.55</f>
        <v>0</v>
      </c>
      <c r="DJ30" s="375">
        <f>0.235*DN30</f>
        <v>0</v>
      </c>
      <c r="DK30" s="375">
        <f>0.245*DN30</f>
        <v>0</v>
      </c>
      <c r="DL30" s="375">
        <f>0.255*DN30</f>
        <v>0</v>
      </c>
      <c r="DM30" s="375">
        <f>0.265*DN30</f>
        <v>0</v>
      </c>
      <c r="DN30" s="42">
        <f>DI29*0.55</f>
        <v>0</v>
      </c>
      <c r="DO30" s="375">
        <f>0.235*DS30</f>
        <v>0</v>
      </c>
      <c r="DP30" s="375">
        <f>0.245*DS30</f>
        <v>0</v>
      </c>
      <c r="DQ30" s="375">
        <f>0.255*DS30</f>
        <v>0</v>
      </c>
      <c r="DR30" s="375">
        <f>0.265*DS30</f>
        <v>0</v>
      </c>
      <c r="DS30" s="42">
        <f>DN29*0.55</f>
        <v>0</v>
      </c>
      <c r="DT30" s="375">
        <f>0.235*DX30</f>
        <v>0</v>
      </c>
      <c r="DU30" s="375">
        <f>0.245*DX30</f>
        <v>0</v>
      </c>
      <c r="DV30" s="375">
        <f>0.255*DX30</f>
        <v>0</v>
      </c>
      <c r="DW30" s="375">
        <f>0.265*DX30</f>
        <v>0</v>
      </c>
      <c r="DX30" s="42">
        <f>DS29*0.55</f>
        <v>0</v>
      </c>
      <c r="DY30" s="375">
        <f>0.235*EC30</f>
        <v>0</v>
      </c>
      <c r="DZ30" s="375">
        <f>0.245*EC30</f>
        <v>0</v>
      </c>
      <c r="EA30" s="375">
        <f>0.255*EC30</f>
        <v>0</v>
      </c>
      <c r="EB30" s="375">
        <f>0.265*EC30</f>
        <v>0</v>
      </c>
      <c r="EC30" s="42">
        <f>DX29*0.55</f>
        <v>0</v>
      </c>
      <c r="ED30" s="375">
        <f>0.235*EH30</f>
        <v>0</v>
      </c>
      <c r="EE30" s="375">
        <f>0.245*EH30</f>
        <v>0</v>
      </c>
      <c r="EF30" s="375">
        <f>0.255*EH30</f>
        <v>0</v>
      </c>
      <c r="EG30" s="375">
        <f>0.265*EH30</f>
        <v>0</v>
      </c>
      <c r="EH30" s="42">
        <f>EC29*0.55</f>
        <v>0</v>
      </c>
      <c r="EI30" s="375">
        <f>0.235*EM30</f>
        <v>0</v>
      </c>
      <c r="EJ30" s="375">
        <f>0.245*EM30</f>
        <v>0</v>
      </c>
      <c r="EK30" s="375">
        <f>0.255*EM30</f>
        <v>0</v>
      </c>
      <c r="EL30" s="375">
        <f>0.265*EM30</f>
        <v>0</v>
      </c>
      <c r="EM30" s="42">
        <f>EH29*0.55</f>
        <v>0</v>
      </c>
    </row>
    <row r="31" spans="2:143" ht="6.75" customHeight="1">
      <c r="B31" s="10"/>
      <c r="C31" s="51"/>
      <c r="D31" s="43"/>
      <c r="E31" s="43"/>
      <c r="F31" s="43"/>
      <c r="G31" s="43"/>
      <c r="H31" s="51"/>
      <c r="I31" s="43"/>
      <c r="J31" s="43"/>
      <c r="K31" s="43"/>
      <c r="L31" s="43"/>
      <c r="M31" s="51"/>
      <c r="N31" s="43"/>
      <c r="O31" s="43"/>
      <c r="P31" s="43"/>
      <c r="Q31" s="43"/>
      <c r="R31" s="51"/>
      <c r="S31" s="43"/>
      <c r="T31" s="43"/>
      <c r="U31" s="43"/>
      <c r="V31" s="43"/>
      <c r="W31" s="51"/>
      <c r="X31" s="43"/>
      <c r="Y31" s="43"/>
      <c r="Z31" s="43"/>
      <c r="AA31" s="43"/>
      <c r="AB31" s="51"/>
      <c r="AC31" s="43"/>
      <c r="AD31" s="43"/>
      <c r="AE31" s="43"/>
      <c r="AF31" s="43"/>
      <c r="AG31" s="51"/>
      <c r="AH31" s="43"/>
      <c r="AI31" s="43"/>
      <c r="AJ31" s="43"/>
      <c r="AK31" s="43"/>
      <c r="AL31" s="42"/>
      <c r="AM31" s="43"/>
      <c r="AN31" s="43"/>
      <c r="AO31" s="43"/>
      <c r="AP31" s="43"/>
      <c r="AQ31" s="51"/>
      <c r="AR31" s="43"/>
      <c r="AS31" s="43"/>
      <c r="AT31" s="43"/>
      <c r="AU31" s="43"/>
      <c r="AV31" s="51"/>
      <c r="AW31" s="375"/>
      <c r="AX31" s="375"/>
      <c r="AY31" s="375"/>
      <c r="AZ31" s="375"/>
      <c r="BA31" s="51"/>
      <c r="BB31" s="442"/>
      <c r="BC31" s="442"/>
      <c r="BD31" s="442"/>
      <c r="BE31" s="442"/>
      <c r="BF31" s="51"/>
      <c r="BG31" s="443"/>
      <c r="BH31" s="443"/>
      <c r="BI31" s="375"/>
      <c r="BJ31" s="375"/>
      <c r="BK31" s="42"/>
      <c r="BL31" s="375"/>
      <c r="BM31" s="375"/>
      <c r="BN31" s="375"/>
      <c r="BO31" s="375"/>
      <c r="BP31" s="42"/>
      <c r="BQ31" s="375"/>
      <c r="BR31" s="375"/>
      <c r="BS31" s="375"/>
      <c r="BT31" s="375"/>
      <c r="BU31" s="42"/>
      <c r="BV31" s="375"/>
      <c r="BW31" s="375"/>
      <c r="BX31" s="375"/>
      <c r="BY31" s="375"/>
      <c r="BZ31" s="42"/>
      <c r="CA31" s="375"/>
      <c r="CB31" s="375"/>
      <c r="CC31" s="375"/>
      <c r="CD31" s="375"/>
      <c r="CE31" s="42"/>
      <c r="CF31" s="375"/>
      <c r="CG31" s="375"/>
      <c r="CH31" s="375"/>
      <c r="CI31" s="375"/>
      <c r="CJ31" s="42"/>
      <c r="CK31" s="375"/>
      <c r="CL31" s="375"/>
      <c r="CM31" s="375"/>
      <c r="CN31" s="375"/>
      <c r="CO31" s="42"/>
      <c r="CP31" s="375"/>
      <c r="CQ31" s="375"/>
      <c r="CR31" s="375"/>
      <c r="CS31" s="375"/>
      <c r="CT31" s="42"/>
      <c r="CU31" s="375"/>
      <c r="CV31" s="375"/>
      <c r="CW31" s="375"/>
      <c r="CX31" s="375"/>
      <c r="CY31" s="42"/>
      <c r="CZ31" s="375"/>
      <c r="DA31" s="375"/>
      <c r="DB31" s="375"/>
      <c r="DC31" s="375"/>
      <c r="DD31" s="42"/>
      <c r="DE31" s="375"/>
      <c r="DF31" s="375"/>
      <c r="DG31" s="375"/>
      <c r="DH31" s="375"/>
      <c r="DI31" s="42"/>
      <c r="DJ31" s="375"/>
      <c r="DK31" s="375"/>
      <c r="DL31" s="375"/>
      <c r="DM31" s="375"/>
      <c r="DN31" s="42"/>
      <c r="DO31" s="375"/>
      <c r="DP31" s="375"/>
      <c r="DQ31" s="375"/>
      <c r="DR31" s="375"/>
      <c r="DS31" s="42"/>
      <c r="DT31" s="375"/>
      <c r="DU31" s="375"/>
      <c r="DV31" s="375"/>
      <c r="DW31" s="375"/>
      <c r="DX31" s="42"/>
      <c r="DY31" s="375"/>
      <c r="DZ31" s="375"/>
      <c r="EA31" s="375"/>
      <c r="EB31" s="375"/>
      <c r="EC31" s="42"/>
      <c r="ED31" s="375"/>
      <c r="EE31" s="375"/>
      <c r="EF31" s="375"/>
      <c r="EG31" s="375"/>
      <c r="EH31" s="42"/>
      <c r="EI31" s="375"/>
      <c r="EJ31" s="375"/>
      <c r="EK31" s="375"/>
      <c r="EL31" s="375"/>
      <c r="EM31" s="42"/>
    </row>
    <row r="32" spans="2:143">
      <c r="B32" s="983" t="s">
        <v>999</v>
      </c>
      <c r="C32" s="51"/>
      <c r="D32" s="43"/>
      <c r="E32" s="43"/>
      <c r="F32" s="43"/>
      <c r="G32" s="43"/>
      <c r="H32" s="51"/>
      <c r="I32" s="43"/>
      <c r="J32" s="43"/>
      <c r="K32" s="43"/>
      <c r="L32" s="43"/>
      <c r="M32" s="51"/>
      <c r="N32" s="43"/>
      <c r="O32" s="43"/>
      <c r="P32" s="43"/>
      <c r="Q32" s="43"/>
      <c r="R32" s="51"/>
      <c r="S32" s="43"/>
      <c r="T32" s="43"/>
      <c r="U32" s="43"/>
      <c r="V32" s="43"/>
      <c r="W32" s="51"/>
      <c r="X32" s="43"/>
      <c r="Y32" s="43"/>
      <c r="Z32" s="43"/>
      <c r="AA32" s="43"/>
      <c r="AB32" s="51"/>
      <c r="AC32" s="43"/>
      <c r="AD32" s="43"/>
      <c r="AE32" s="43"/>
      <c r="AF32" s="43"/>
      <c r="AG32" s="51"/>
      <c r="AH32" s="43"/>
      <c r="AI32" s="43"/>
      <c r="AJ32" s="43"/>
      <c r="AK32" s="43"/>
      <c r="AL32" s="42"/>
      <c r="AM32" s="43"/>
      <c r="AN32" s="43"/>
      <c r="AO32" s="43"/>
      <c r="AP32" s="43"/>
      <c r="AQ32" s="51"/>
      <c r="AR32" s="43"/>
      <c r="AS32" s="43"/>
      <c r="AT32" s="43"/>
      <c r="AU32" s="43"/>
      <c r="AV32" s="51"/>
      <c r="AW32" s="375"/>
      <c r="AX32" s="375"/>
      <c r="AY32" s="375"/>
      <c r="AZ32" s="375"/>
      <c r="BA32" s="51"/>
      <c r="BB32" s="441"/>
      <c r="BC32" s="441"/>
      <c r="BD32" s="441"/>
      <c r="BE32" s="441"/>
      <c r="BF32" s="51"/>
      <c r="BG32" s="376"/>
      <c r="BH32" s="376"/>
      <c r="BI32" s="376"/>
      <c r="BJ32" s="375"/>
      <c r="BK32" s="42"/>
      <c r="BL32" s="375"/>
      <c r="BM32" s="375"/>
      <c r="BN32" s="375"/>
      <c r="BO32" s="375"/>
      <c r="BP32" s="42"/>
      <c r="BQ32" s="375"/>
      <c r="BR32" s="375"/>
      <c r="BS32" s="375"/>
      <c r="BT32" s="375"/>
      <c r="BU32" s="42"/>
      <c r="BV32" s="375"/>
      <c r="BW32" s="375"/>
      <c r="BX32" s="375"/>
      <c r="BY32" s="375"/>
      <c r="BZ32" s="42"/>
      <c r="CA32" s="375"/>
      <c r="CB32" s="375"/>
      <c r="CC32" s="375"/>
      <c r="CD32" s="375"/>
      <c r="CE32" s="42">
        <f>IF($BU$162=1,0,0)</f>
        <v>0</v>
      </c>
      <c r="CF32" s="375"/>
      <c r="CG32" s="375"/>
      <c r="CH32" s="375"/>
      <c r="CI32" s="375"/>
      <c r="CJ32" s="42">
        <f>IF($BU$162=1,0,75)</f>
        <v>75</v>
      </c>
      <c r="CK32" s="375"/>
      <c r="CL32" s="375"/>
      <c r="CM32" s="375"/>
      <c r="CN32" s="375"/>
      <c r="CO32" s="42">
        <f>IF($BU$162=1,0,300)</f>
        <v>300</v>
      </c>
      <c r="CP32" s="375"/>
      <c r="CQ32" s="375"/>
      <c r="CR32" s="375"/>
      <c r="CS32" s="375"/>
      <c r="CT32" s="42">
        <f>IF($BU$162=1,0,500)</f>
        <v>500</v>
      </c>
      <c r="CU32" s="375"/>
      <c r="CV32" s="375"/>
      <c r="CW32" s="375"/>
      <c r="CX32" s="375"/>
      <c r="CY32" s="42">
        <f>IF($BU$162=1,0,CT32+100)</f>
        <v>600</v>
      </c>
      <c r="CZ32" s="375"/>
      <c r="DA32" s="375"/>
      <c r="DB32" s="375"/>
      <c r="DC32" s="375"/>
      <c r="DD32" s="42">
        <f>IF($BU$162=1,0,CY32+75)</f>
        <v>675</v>
      </c>
      <c r="DE32" s="375"/>
      <c r="DF32" s="375"/>
      <c r="DG32" s="375"/>
      <c r="DH32" s="375"/>
      <c r="DI32" s="42">
        <f>IF($BU$162=1,0,DD32+75)</f>
        <v>750</v>
      </c>
      <c r="DJ32" s="375"/>
      <c r="DK32" s="375"/>
      <c r="DL32" s="375"/>
      <c r="DM32" s="375"/>
      <c r="DN32" s="42">
        <f>IF($BU$162=1,0,DI32*1.05)</f>
        <v>787.5</v>
      </c>
      <c r="DO32" s="375"/>
      <c r="DP32" s="375"/>
      <c r="DQ32" s="375"/>
      <c r="DR32" s="375"/>
      <c r="DS32" s="42">
        <f>IF($BU$162=1,0,DN32*1.05)</f>
        <v>826.875</v>
      </c>
      <c r="DT32" s="375"/>
      <c r="DU32" s="375"/>
      <c r="DV32" s="375"/>
      <c r="DW32" s="375"/>
      <c r="DX32" s="42">
        <f>IF($BU$162=1,0,DS32*1.05)</f>
        <v>868.21875</v>
      </c>
      <c r="DY32" s="375"/>
      <c r="DZ32" s="375"/>
      <c r="EA32" s="375"/>
      <c r="EB32" s="375"/>
      <c r="EC32" s="42">
        <f>IF($BU$162=1,0,DX32*1.05)</f>
        <v>911.62968750000005</v>
      </c>
      <c r="ED32" s="375"/>
      <c r="EE32" s="375"/>
      <c r="EF32" s="375"/>
      <c r="EG32" s="375"/>
      <c r="EH32" s="42">
        <f>IF($BU$162=1,0,EC32*1.05)</f>
        <v>957.2111718750001</v>
      </c>
      <c r="EI32" s="375"/>
      <c r="EJ32" s="375"/>
      <c r="EK32" s="375"/>
      <c r="EL32" s="375"/>
      <c r="EM32" s="42">
        <f>IF($BU$162=1,0,EH32*1.05)</f>
        <v>1005.0717304687502</v>
      </c>
    </row>
    <row r="33" spans="2:145" ht="6.75" customHeight="1">
      <c r="B33" s="25"/>
      <c r="C33" s="51"/>
      <c r="D33" s="43"/>
      <c r="E33" s="43"/>
      <c r="F33" s="43"/>
      <c r="G33" s="43"/>
      <c r="H33" s="51"/>
      <c r="I33" s="43"/>
      <c r="J33" s="43"/>
      <c r="K33" s="43"/>
      <c r="L33" s="43"/>
      <c r="M33" s="51"/>
      <c r="N33" s="43"/>
      <c r="O33" s="43"/>
      <c r="P33" s="43"/>
      <c r="Q33" s="43"/>
      <c r="R33" s="51"/>
      <c r="S33" s="43"/>
      <c r="T33" s="43"/>
      <c r="U33" s="43"/>
      <c r="V33" s="43"/>
      <c r="W33" s="51"/>
      <c r="X33" s="43"/>
      <c r="Y33" s="43"/>
      <c r="Z33" s="43"/>
      <c r="AA33" s="43"/>
      <c r="AB33" s="51"/>
      <c r="AC33" s="43"/>
      <c r="AD33" s="43"/>
      <c r="AE33" s="43"/>
      <c r="AF33" s="43"/>
      <c r="AG33" s="51"/>
      <c r="AH33" s="43"/>
      <c r="AI33" s="43"/>
      <c r="AJ33" s="43"/>
      <c r="AK33" s="43"/>
      <c r="AL33" s="42"/>
      <c r="AM33" s="43"/>
      <c r="AN33" s="43"/>
      <c r="AO33" s="43"/>
      <c r="AP33" s="43"/>
      <c r="AQ33" s="51"/>
      <c r="AR33" s="43"/>
      <c r="AS33" s="43"/>
      <c r="AT33" s="43"/>
      <c r="AU33" s="43"/>
      <c r="AV33" s="51"/>
      <c r="AW33" s="375"/>
      <c r="AX33" s="375"/>
      <c r="AY33" s="375"/>
      <c r="AZ33" s="375"/>
      <c r="BA33" s="51"/>
      <c r="BB33" s="442"/>
      <c r="BC33" s="442"/>
      <c r="BD33" s="442"/>
      <c r="BE33" s="442"/>
      <c r="BF33" s="51"/>
      <c r="BG33" s="443"/>
      <c r="BH33" s="443"/>
      <c r="BI33" s="375"/>
      <c r="BJ33" s="375"/>
      <c r="BK33" s="42"/>
      <c r="BL33" s="375"/>
      <c r="BM33" s="375"/>
      <c r="BN33" s="375"/>
      <c r="BO33" s="375"/>
      <c r="BP33" s="42"/>
      <c r="BQ33" s="375"/>
      <c r="BR33" s="375"/>
      <c r="BS33" s="375"/>
      <c r="BT33" s="375"/>
      <c r="BU33" s="42" t="s">
        <v>998</v>
      </c>
      <c r="BV33" s="375"/>
      <c r="BW33" s="375"/>
      <c r="BX33" s="375"/>
      <c r="BY33" s="375"/>
      <c r="BZ33" s="42"/>
      <c r="CA33" s="375"/>
      <c r="CB33" s="375"/>
      <c r="CC33" s="375"/>
      <c r="CD33" s="375"/>
      <c r="CE33" s="42"/>
      <c r="CF33" s="375"/>
      <c r="CG33" s="375"/>
      <c r="CH33" s="375"/>
      <c r="CI33" s="375"/>
      <c r="CJ33" s="42"/>
      <c r="CK33" s="375"/>
      <c r="CL33" s="375"/>
      <c r="CM33" s="375"/>
      <c r="CN33" s="375"/>
      <c r="CO33" s="42"/>
      <c r="CP33" s="375"/>
      <c r="CQ33" s="375"/>
      <c r="CR33" s="375"/>
      <c r="CS33" s="375"/>
      <c r="CT33" s="42"/>
      <c r="CU33" s="375"/>
      <c r="CV33" s="375"/>
      <c r="CW33" s="375"/>
      <c r="CX33" s="375"/>
      <c r="CY33" s="42"/>
      <c r="CZ33" s="375"/>
      <c r="DA33" s="375"/>
      <c r="DB33" s="375"/>
      <c r="DC33" s="375"/>
      <c r="DD33" s="42"/>
      <c r="DE33" s="375"/>
      <c r="DF33" s="375"/>
      <c r="DG33" s="375"/>
      <c r="DH33" s="375"/>
      <c r="DI33" s="42"/>
      <c r="DJ33" s="375"/>
      <c r="DK33" s="375"/>
      <c r="DL33" s="375"/>
      <c r="DM33" s="375"/>
      <c r="DN33" s="42"/>
      <c r="DO33" s="375"/>
      <c r="DP33" s="375"/>
      <c r="DQ33" s="375"/>
      <c r="DR33" s="375"/>
      <c r="DS33" s="42"/>
      <c r="DT33" s="375"/>
      <c r="DU33" s="375"/>
      <c r="DV33" s="375"/>
      <c r="DW33" s="375"/>
      <c r="DX33" s="42"/>
      <c r="DY33" s="375"/>
      <c r="DZ33" s="375"/>
      <c r="EA33" s="375"/>
      <c r="EB33" s="375"/>
      <c r="EC33" s="42"/>
      <c r="ED33" s="375"/>
      <c r="EE33" s="375"/>
      <c r="EF33" s="375"/>
      <c r="EG33" s="375"/>
      <c r="EH33" s="42"/>
      <c r="EI33" s="375"/>
      <c r="EJ33" s="375"/>
      <c r="EK33" s="375"/>
      <c r="EL33" s="375"/>
      <c r="EM33" s="42"/>
    </row>
    <row r="34" spans="2:145">
      <c r="B34" s="25" t="s">
        <v>916</v>
      </c>
      <c r="C34" s="51"/>
      <c r="D34" s="43"/>
      <c r="E34" s="43"/>
      <c r="F34" s="43"/>
      <c r="G34" s="43"/>
      <c r="H34" s="51"/>
      <c r="I34" s="43"/>
      <c r="J34" s="43"/>
      <c r="K34" s="43"/>
      <c r="L34" s="43"/>
      <c r="M34" s="51"/>
      <c r="N34" s="43"/>
      <c r="O34" s="43"/>
      <c r="P34" s="43"/>
      <c r="Q34" s="43"/>
      <c r="R34" s="51"/>
      <c r="S34" s="43"/>
      <c r="T34" s="43"/>
      <c r="U34" s="43"/>
      <c r="V34" s="43"/>
      <c r="W34" s="51"/>
      <c r="X34" s="43"/>
      <c r="Y34" s="43"/>
      <c r="Z34" s="43"/>
      <c r="AA34" s="43"/>
      <c r="AB34" s="51"/>
      <c r="AC34" s="43"/>
      <c r="AD34" s="43"/>
      <c r="AE34" s="43"/>
      <c r="AF34" s="43"/>
      <c r="AG34" s="51"/>
      <c r="AH34" s="43"/>
      <c r="AI34" s="43"/>
      <c r="AJ34" s="43"/>
      <c r="AK34" s="43"/>
      <c r="AL34" s="42"/>
      <c r="AM34" s="43"/>
      <c r="AN34" s="43"/>
      <c r="AO34" s="43"/>
      <c r="AP34" s="43"/>
      <c r="AQ34" s="51"/>
      <c r="AR34" s="43"/>
      <c r="AS34" s="43"/>
      <c r="AT34" s="43"/>
      <c r="AU34" s="43"/>
      <c r="AV34" s="51"/>
      <c r="AW34" s="375"/>
      <c r="AX34" s="375"/>
      <c r="AY34" s="375"/>
      <c r="AZ34" s="375"/>
      <c r="BA34" s="51"/>
      <c r="BB34" s="441"/>
      <c r="BC34" s="441"/>
      <c r="BD34" s="441"/>
      <c r="BE34" s="441"/>
      <c r="BF34" s="51"/>
      <c r="BG34" s="376"/>
      <c r="BH34" s="376"/>
      <c r="BI34" s="376"/>
      <c r="BJ34" s="375"/>
      <c r="BK34" s="42"/>
      <c r="BL34" s="375"/>
      <c r="BM34" s="375"/>
      <c r="BN34" s="375"/>
      <c r="BO34" s="375"/>
      <c r="BP34" s="42"/>
      <c r="BQ34" s="376">
        <v>0</v>
      </c>
      <c r="BR34" s="376">
        <v>0</v>
      </c>
      <c r="BS34" s="376">
        <v>0</v>
      </c>
      <c r="BT34" s="376">
        <v>0</v>
      </c>
      <c r="BU34" s="42">
        <f>SUM(BQ34:BT34)</f>
        <v>0</v>
      </c>
      <c r="BV34" s="376">
        <v>0</v>
      </c>
      <c r="BW34" s="376">
        <v>0</v>
      </c>
      <c r="BX34" s="376">
        <v>7</v>
      </c>
      <c r="BY34" s="376">
        <v>13</v>
      </c>
      <c r="BZ34" s="42">
        <f>SUM(BV34:BY34)</f>
        <v>20</v>
      </c>
      <c r="CA34" s="375">
        <v>35</v>
      </c>
      <c r="CB34" s="375">
        <f>CA34*1.05</f>
        <v>36.75</v>
      </c>
      <c r="CC34" s="375">
        <f>CB34*1.05</f>
        <v>38.587499999999999</v>
      </c>
      <c r="CD34" s="375">
        <f>CE34-SUM(CA34:CC34)</f>
        <v>39.662499999999994</v>
      </c>
      <c r="CE34" s="42">
        <f>IF($BU$162=1,0,150)</f>
        <v>150</v>
      </c>
      <c r="CF34" s="375"/>
      <c r="CG34" s="375"/>
      <c r="CH34" s="375"/>
      <c r="CI34" s="375"/>
      <c r="CJ34" s="42">
        <f>IF($BU$162=1,0,250)</f>
        <v>250</v>
      </c>
      <c r="CK34" s="375"/>
      <c r="CL34" s="375"/>
      <c r="CM34" s="375"/>
      <c r="CN34" s="375"/>
      <c r="CO34" s="42">
        <f>IF($BU$162=1,0,300)</f>
        <v>300</v>
      </c>
      <c r="CP34" s="375"/>
      <c r="CQ34" s="375"/>
      <c r="CR34" s="375"/>
      <c r="CS34" s="375"/>
      <c r="CT34" s="42">
        <f>IF($BU$162=1,0,CO34*1.05)</f>
        <v>315</v>
      </c>
      <c r="CU34" s="375"/>
      <c r="CV34" s="375"/>
      <c r="CW34" s="375"/>
      <c r="CX34" s="375"/>
      <c r="CY34" s="42">
        <f>IF($BU$162=1,0,CT34*1.05)</f>
        <v>330.75</v>
      </c>
      <c r="CZ34" s="375"/>
      <c r="DA34" s="375"/>
      <c r="DB34" s="375"/>
      <c r="DC34" s="375"/>
      <c r="DD34" s="42">
        <f>IF($BU$162=1,0,CY34*1.05)</f>
        <v>347.28750000000002</v>
      </c>
      <c r="DE34" s="375"/>
      <c r="DF34" s="375"/>
      <c r="DG34" s="375"/>
      <c r="DH34" s="375"/>
      <c r="DI34" s="42">
        <f>IF($BU$162=1,0,DD34*1.05)</f>
        <v>364.65187500000002</v>
      </c>
      <c r="DJ34" s="375"/>
      <c r="DK34" s="375"/>
      <c r="DL34" s="375"/>
      <c r="DM34" s="375"/>
      <c r="DN34" s="42">
        <f>IF($BU$162=1,0,DI34*1.05)</f>
        <v>382.88446875000005</v>
      </c>
      <c r="DO34" s="375"/>
      <c r="DP34" s="375"/>
      <c r="DQ34" s="375"/>
      <c r="DR34" s="375"/>
      <c r="DS34" s="42">
        <f>IF($BU$162=1,0,DN34*1.05)</f>
        <v>402.0286921875001</v>
      </c>
      <c r="DT34" s="375"/>
      <c r="DU34" s="375"/>
      <c r="DV34" s="375"/>
      <c r="DW34" s="375"/>
      <c r="DX34" s="42">
        <f>IF($BU$162=1,0,DS34*1.05)</f>
        <v>422.13012679687512</v>
      </c>
      <c r="DY34" s="375"/>
      <c r="DZ34" s="375"/>
      <c r="EA34" s="375"/>
      <c r="EB34" s="375"/>
      <c r="EC34" s="42">
        <f>IF($BU$162=1,0,DX34*1.05)</f>
        <v>443.23663313671886</v>
      </c>
      <c r="ED34" s="375"/>
      <c r="EE34" s="375"/>
      <c r="EF34" s="375"/>
      <c r="EG34" s="375"/>
      <c r="EH34" s="42">
        <f>IF($BU$162=1,0,EC34*1.05)</f>
        <v>465.39846479355481</v>
      </c>
      <c r="EI34" s="375"/>
      <c r="EJ34" s="375"/>
      <c r="EK34" s="375"/>
      <c r="EL34" s="375"/>
      <c r="EM34" s="42">
        <f>IF($BU$162=1,0,EH34*1.05)</f>
        <v>488.66838803323259</v>
      </c>
    </row>
    <row r="35" spans="2:145" ht="6.75" customHeight="1">
      <c r="B35" s="25"/>
      <c r="C35" s="51"/>
      <c r="D35" s="43"/>
      <c r="E35" s="43"/>
      <c r="F35" s="43"/>
      <c r="G35" s="43"/>
      <c r="H35" s="51"/>
      <c r="I35" s="43"/>
      <c r="J35" s="43"/>
      <c r="K35" s="43"/>
      <c r="L35" s="43"/>
      <c r="M35" s="51"/>
      <c r="N35" s="43"/>
      <c r="O35" s="43"/>
      <c r="P35" s="43"/>
      <c r="Q35" s="43"/>
      <c r="R35" s="51"/>
      <c r="S35" s="43"/>
      <c r="T35" s="43"/>
      <c r="U35" s="43"/>
      <c r="V35" s="43"/>
      <c r="W35" s="51"/>
      <c r="X35" s="43"/>
      <c r="Y35" s="43"/>
      <c r="Z35" s="43"/>
      <c r="AA35" s="43"/>
      <c r="AB35" s="51"/>
      <c r="AC35" s="43"/>
      <c r="AD35" s="43"/>
      <c r="AE35" s="43"/>
      <c r="AF35" s="43"/>
      <c r="AG35" s="51"/>
      <c r="AH35" s="43"/>
      <c r="AI35" s="43"/>
      <c r="AJ35" s="43"/>
      <c r="AK35" s="43"/>
      <c r="AL35" s="42"/>
      <c r="AM35" s="43"/>
      <c r="AN35" s="43"/>
      <c r="AO35" s="43"/>
      <c r="AP35" s="43"/>
      <c r="AQ35" s="51"/>
      <c r="AR35" s="43"/>
      <c r="AS35" s="43"/>
      <c r="AT35" s="43"/>
      <c r="AU35" s="43"/>
      <c r="AV35" s="51"/>
      <c r="AW35" s="375"/>
      <c r="AX35" s="375"/>
      <c r="AY35" s="375"/>
      <c r="AZ35" s="375"/>
      <c r="BA35" s="51"/>
      <c r="BB35" s="442"/>
      <c r="BC35" s="442"/>
      <c r="BD35" s="442"/>
      <c r="BE35" s="442"/>
      <c r="BF35" s="51"/>
      <c r="BG35" s="443"/>
      <c r="BH35" s="443"/>
      <c r="BI35" s="375"/>
      <c r="BJ35" s="375"/>
      <c r="BK35" s="42"/>
      <c r="BL35" s="375"/>
      <c r="BM35" s="375"/>
      <c r="BN35" s="375"/>
      <c r="BO35" s="375"/>
      <c r="BP35" s="42"/>
      <c r="BQ35" s="375"/>
      <c r="BR35" s="375"/>
      <c r="BS35" s="375"/>
      <c r="BT35" s="375"/>
      <c r="BU35" s="42"/>
      <c r="BV35" s="375"/>
      <c r="BW35" s="375"/>
      <c r="BX35" s="375"/>
      <c r="BY35" s="375"/>
      <c r="BZ35" s="42"/>
      <c r="CA35" s="375"/>
      <c r="CB35" s="375"/>
      <c r="CC35" s="375"/>
      <c r="CD35" s="375"/>
      <c r="CE35" s="42"/>
      <c r="CF35" s="375"/>
      <c r="CG35" s="375"/>
      <c r="CH35" s="375"/>
      <c r="CI35" s="375"/>
      <c r="CJ35" s="42"/>
      <c r="CK35" s="375"/>
      <c r="CL35" s="375"/>
      <c r="CM35" s="375"/>
      <c r="CN35" s="375"/>
      <c r="CO35" s="42"/>
      <c r="CP35" s="375"/>
      <c r="CQ35" s="375"/>
      <c r="CR35" s="375"/>
      <c r="CS35" s="375"/>
      <c r="CT35" s="42"/>
      <c r="CU35" s="375"/>
      <c r="CV35" s="375"/>
      <c r="CW35" s="375"/>
      <c r="CX35" s="375"/>
      <c r="CY35" s="42"/>
      <c r="CZ35" s="375"/>
      <c r="DA35" s="375"/>
      <c r="DB35" s="375"/>
      <c r="DC35" s="375"/>
      <c r="DD35" s="42"/>
      <c r="DE35" s="375"/>
      <c r="DF35" s="375"/>
      <c r="DG35" s="375"/>
      <c r="DH35" s="375"/>
      <c r="DI35" s="42"/>
      <c r="DJ35" s="375"/>
      <c r="DK35" s="375"/>
      <c r="DL35" s="375"/>
      <c r="DM35" s="375"/>
      <c r="DN35" s="42"/>
      <c r="DO35" s="375"/>
      <c r="DP35" s="375"/>
      <c r="DQ35" s="375"/>
      <c r="DR35" s="375"/>
      <c r="DS35" s="42"/>
      <c r="DT35" s="375"/>
      <c r="DU35" s="375"/>
      <c r="DV35" s="375"/>
      <c r="DW35" s="375"/>
      <c r="DX35" s="42"/>
      <c r="DY35" s="375"/>
      <c r="DZ35" s="375"/>
      <c r="EA35" s="375"/>
      <c r="EB35" s="375"/>
      <c r="EC35" s="42"/>
      <c r="ED35" s="375"/>
      <c r="EE35" s="375"/>
      <c r="EF35" s="375"/>
      <c r="EG35" s="375"/>
      <c r="EH35" s="42"/>
      <c r="EI35" s="375"/>
      <c r="EJ35" s="375"/>
      <c r="EK35" s="375"/>
      <c r="EL35" s="375"/>
      <c r="EM35" s="42"/>
    </row>
    <row r="36" spans="2:145">
      <c r="B36" s="25" t="s">
        <v>887</v>
      </c>
      <c r="C36" s="51">
        <v>119.06</v>
      </c>
      <c r="D36" s="43">
        <v>45.628</v>
      </c>
      <c r="E36" s="43">
        <v>54.878</v>
      </c>
      <c r="F36" s="43">
        <v>57.569000000000003</v>
      </c>
      <c r="G36" s="43">
        <f>223.686-F36-E36-D36</f>
        <v>65.611000000000018</v>
      </c>
      <c r="H36" s="51">
        <f>D36+E36+F36+G36</f>
        <v>223.68600000000001</v>
      </c>
      <c r="I36" s="43">
        <v>69.201999999999998</v>
      </c>
      <c r="J36" s="43">
        <v>74.58</v>
      </c>
      <c r="K36" s="43">
        <v>78.715999999999994</v>
      </c>
      <c r="L36" s="43">
        <f>308.577-K36-J36-I36</f>
        <v>86.079000000000008</v>
      </c>
      <c r="M36" s="51">
        <f>I36+J36+K36+L36</f>
        <v>308.577</v>
      </c>
      <c r="N36" s="43">
        <v>88.391000000000005</v>
      </c>
      <c r="O36" s="43">
        <v>94.447000000000003</v>
      </c>
      <c r="P36" s="43">
        <v>99.134</v>
      </c>
      <c r="Q36" s="43">
        <f>387.816-P36-O36-N36</f>
        <v>105.84399999999995</v>
      </c>
      <c r="R36" s="51">
        <f>N36+O36+P36+Q36</f>
        <v>387.81599999999997</v>
      </c>
      <c r="S36" s="43">
        <v>107.211</v>
      </c>
      <c r="T36" s="43">
        <v>107.193</v>
      </c>
      <c r="U36" s="43">
        <v>108.37</v>
      </c>
      <c r="V36" s="43">
        <f>432.95-U36-T36-S36</f>
        <v>110.176</v>
      </c>
      <c r="W36" s="51">
        <f>S36+T36+U36+V36</f>
        <v>432.95</v>
      </c>
      <c r="X36" s="43">
        <v>106.03400000000001</v>
      </c>
      <c r="Y36" s="43">
        <v>117.708</v>
      </c>
      <c r="Z36" s="43">
        <v>110.73</v>
      </c>
      <c r="AA36" s="43">
        <f>447.089-Z36-Y36-X36</f>
        <v>112.61699999999998</v>
      </c>
      <c r="AB36" s="51">
        <f>X36+Y36+Z36+AA36</f>
        <v>447.089</v>
      </c>
      <c r="AC36" s="43">
        <v>113.92700000000001</v>
      </c>
      <c r="AD36" s="43">
        <v>131.56700000000001</v>
      </c>
      <c r="AE36" s="43">
        <v>132.36799999999999</v>
      </c>
      <c r="AF36" s="43">
        <f>504.713-AE36-AD36-AC36</f>
        <v>126.85100000000001</v>
      </c>
      <c r="AG36" s="51">
        <f>AC36+AD36+AE36+AF36</f>
        <v>504.71300000000002</v>
      </c>
      <c r="AH36" s="43">
        <v>113.964</v>
      </c>
      <c r="AI36" s="43">
        <v>105.24299999999999</v>
      </c>
      <c r="AJ36" s="43">
        <v>110.01900000000001</v>
      </c>
      <c r="AK36" s="43">
        <f>436.906-AJ36-AI36-AH36</f>
        <v>107.68</v>
      </c>
      <c r="AL36" s="42">
        <f>+AH36+AI36+AJ36+AK36</f>
        <v>436.90600000000001</v>
      </c>
      <c r="AM36" s="43">
        <v>104.017</v>
      </c>
      <c r="AN36" s="43">
        <v>97.820999999999998</v>
      </c>
      <c r="AO36" s="43">
        <v>94.179000000000002</v>
      </c>
      <c r="AP36" s="43">
        <f>389.605-AO36-AN36-AM36</f>
        <v>93.588000000000051</v>
      </c>
      <c r="AQ36" s="51">
        <f>+AM36+AN36+AO36+AP36</f>
        <v>389.60500000000002</v>
      </c>
      <c r="AR36" s="43">
        <v>85.421999999999997</v>
      </c>
      <c r="AS36" s="43">
        <v>88.167000000000002</v>
      </c>
      <c r="AT36" s="43">
        <f>83.305</f>
        <v>83.305000000000007</v>
      </c>
      <c r="AU36" s="43">
        <f>339.067-AT36-AS36-AR36</f>
        <v>82.173000000000002</v>
      </c>
      <c r="AV36" s="51">
        <f>SUM(AR36:AU36)</f>
        <v>339.06700000000001</v>
      </c>
      <c r="AW36" s="375">
        <f>77.908</f>
        <v>77.908000000000001</v>
      </c>
      <c r="AX36" s="375">
        <v>76.391999999999996</v>
      </c>
      <c r="AY36" s="375">
        <v>75.253</v>
      </c>
      <c r="AZ36" s="375">
        <f>302.136-AY36-AX36-AW36</f>
        <v>72.583000000000041</v>
      </c>
      <c r="BA36" s="51">
        <f>SUM(AW36:AZ36)</f>
        <v>302.13600000000002</v>
      </c>
      <c r="BB36" s="441">
        <v>57.4</v>
      </c>
      <c r="BC36" s="441">
        <v>66.2</v>
      </c>
      <c r="BD36" s="441">
        <v>60</v>
      </c>
      <c r="BE36" s="441">
        <v>61</v>
      </c>
      <c r="BF36" s="51">
        <f>SUM(BB36:BE36)</f>
        <v>244.6</v>
      </c>
      <c r="BG36" s="376">
        <v>58</v>
      </c>
      <c r="BH36" s="376">
        <v>54.3</v>
      </c>
      <c r="BI36" s="376">
        <v>51.9</v>
      </c>
      <c r="BJ36" s="376">
        <v>57</v>
      </c>
      <c r="BK36" s="42">
        <f>SUM(BG36:BJ36)</f>
        <v>221.2</v>
      </c>
      <c r="BL36" s="376">
        <v>46.9</v>
      </c>
      <c r="BM36" s="376">
        <v>47.9</v>
      </c>
      <c r="BN36" s="376">
        <v>45.1</v>
      </c>
      <c r="BO36" s="376">
        <v>45.5</v>
      </c>
      <c r="BP36" s="358">
        <f>SUM(BL36:BO36)</f>
        <v>185.4</v>
      </c>
      <c r="BQ36" s="376">
        <v>41</v>
      </c>
      <c r="BR36" s="376">
        <v>37.700000000000003</v>
      </c>
      <c r="BS36" s="376">
        <v>38.299999999999997</v>
      </c>
      <c r="BT36" s="376">
        <v>35.1</v>
      </c>
      <c r="BU36" s="42">
        <f>SUM(BQ36:BT36)</f>
        <v>152.1</v>
      </c>
      <c r="BV36" s="376">
        <v>36</v>
      </c>
      <c r="BW36" s="376">
        <v>34</v>
      </c>
      <c r="BX36" s="376">
        <v>34</v>
      </c>
      <c r="BY36" s="376">
        <f>16+12</f>
        <v>28</v>
      </c>
      <c r="BZ36" s="42">
        <f>SUM(BV36:BY36)</f>
        <v>132</v>
      </c>
      <c r="CA36" s="375">
        <f>(CE36/BZ36)*BV36</f>
        <v>32.4</v>
      </c>
      <c r="CB36" s="375">
        <f>(CE36/BZ36)*BW36</f>
        <v>30.6</v>
      </c>
      <c r="CC36" s="375">
        <f>(CE36/BZ36)*BX36</f>
        <v>30.6</v>
      </c>
      <c r="CD36" s="375">
        <f>(CE36/BZ36)*BY36</f>
        <v>25.2</v>
      </c>
      <c r="CE36" s="42">
        <f>BZ36*0.9</f>
        <v>118.8</v>
      </c>
      <c r="CF36" s="375">
        <f>(CJ36/CE36)*CA36</f>
        <v>29.16</v>
      </c>
      <c r="CG36" s="375">
        <f>(CJ36/CE36)*CB36</f>
        <v>27.540000000000003</v>
      </c>
      <c r="CH36" s="375">
        <f>(CJ36/CE36)*CC36</f>
        <v>27.540000000000003</v>
      </c>
      <c r="CI36" s="375">
        <f>(CJ36/CE36)*CD36</f>
        <v>22.68</v>
      </c>
      <c r="CJ36" s="42">
        <f>CE36*0.9</f>
        <v>106.92</v>
      </c>
      <c r="CK36" s="375">
        <f>(CO36/CJ36)*CF36</f>
        <v>26.244</v>
      </c>
      <c r="CL36" s="375">
        <f>(CO36/CJ36)*CG36</f>
        <v>24.786000000000001</v>
      </c>
      <c r="CM36" s="375">
        <f>(CO36/CJ36)*CH36</f>
        <v>24.786000000000001</v>
      </c>
      <c r="CN36" s="375">
        <f>(CO36/CJ36)*CI36</f>
        <v>20.411999999999999</v>
      </c>
      <c r="CO36" s="42">
        <f>CJ36*0.9</f>
        <v>96.228000000000009</v>
      </c>
      <c r="CP36" s="375">
        <f>(CT36/CO36)*CK36</f>
        <v>23.619600000000002</v>
      </c>
      <c r="CQ36" s="375">
        <f>(CT36/CO36)*CL36</f>
        <v>22.307400000000001</v>
      </c>
      <c r="CR36" s="375">
        <f>(CT36/CO36)*CM36</f>
        <v>22.307400000000001</v>
      </c>
      <c r="CS36" s="375">
        <f>(CT36/CO36)*CN36</f>
        <v>18.370799999999999</v>
      </c>
      <c r="CT36" s="42">
        <f>CO36*0.9</f>
        <v>86.605200000000011</v>
      </c>
      <c r="CU36" s="375">
        <f>(CY36/CT36)*CP36</f>
        <v>21.257639999999999</v>
      </c>
      <c r="CV36" s="375">
        <f>(CY36/CT36)*CQ36</f>
        <v>20.07666</v>
      </c>
      <c r="CW36" s="375">
        <f>(CY36/CT36)*CR36</f>
        <v>20.07666</v>
      </c>
      <c r="CX36" s="375">
        <f>(CY36/CT36)*CS36</f>
        <v>16.533719999999999</v>
      </c>
      <c r="CY36" s="42">
        <f>CT36*0.9</f>
        <v>77.944680000000005</v>
      </c>
      <c r="CZ36" s="375">
        <f>(DD36/CY36)*CU36</f>
        <v>19.131875999999998</v>
      </c>
      <c r="DA36" s="375">
        <f>(DD36/CY36)*CV36</f>
        <v>18.068994</v>
      </c>
      <c r="DB36" s="375">
        <f>(DD36/CY36)*CW36</f>
        <v>18.068994</v>
      </c>
      <c r="DC36" s="375">
        <f>(DD36/CY36)*CX36</f>
        <v>14.880348</v>
      </c>
      <c r="DD36" s="42">
        <f>CY36*0.9</f>
        <v>70.15021200000001</v>
      </c>
      <c r="DE36" s="375">
        <f>(DI36/DD36)*CZ36</f>
        <v>9.5659379999999992</v>
      </c>
      <c r="DF36" s="375">
        <f>(DI36/DD36)*DA36</f>
        <v>9.034497</v>
      </c>
      <c r="DG36" s="375">
        <f>(DI36/DD36)*DB36</f>
        <v>9.034497</v>
      </c>
      <c r="DH36" s="375">
        <f>(DI36/DD36)*DC36</f>
        <v>7.4401739999999998</v>
      </c>
      <c r="DI36" s="42">
        <f>DD36*0.5</f>
        <v>35.075106000000005</v>
      </c>
      <c r="DJ36" s="375">
        <f>(DN36/DI36)*DE36</f>
        <v>1.9131875999999999</v>
      </c>
      <c r="DK36" s="375">
        <f>(DN36/DI36)*DF36</f>
        <v>1.8068994</v>
      </c>
      <c r="DL36" s="375">
        <f>(DN36/DI36)*DG36</f>
        <v>1.8068994</v>
      </c>
      <c r="DM36" s="375">
        <f>(DN36/DI36)*DH36</f>
        <v>1.4880348000000001</v>
      </c>
      <c r="DN36" s="42">
        <f>DI36*0.2</f>
        <v>7.0150212000000014</v>
      </c>
      <c r="DO36" s="375">
        <f>(DS36/DN36)*DJ36</f>
        <v>0.95659379999999994</v>
      </c>
      <c r="DP36" s="375">
        <f>(DS36/DN36)*DK36</f>
        <v>0.90344970000000002</v>
      </c>
      <c r="DQ36" s="375">
        <f>(DS36/DN36)*DL36</f>
        <v>0.90344970000000002</v>
      </c>
      <c r="DR36" s="375">
        <f>(DS36/DN36)*DM36</f>
        <v>0.74401740000000005</v>
      </c>
      <c r="DS36" s="42">
        <f>DN36*0.5</f>
        <v>3.5075106000000007</v>
      </c>
      <c r="DT36" s="375">
        <f>(DX36/DS36)*DO36</f>
        <v>0.47829689999999997</v>
      </c>
      <c r="DU36" s="375">
        <f>(DX36/DS36)*DP36</f>
        <v>0.45172485000000001</v>
      </c>
      <c r="DV36" s="375">
        <f>(DX36/DS36)*DQ36</f>
        <v>0.45172485000000001</v>
      </c>
      <c r="DW36" s="375">
        <f>(DX36/DS36)*DR36</f>
        <v>0.37200870000000003</v>
      </c>
      <c r="DX36" s="42">
        <f>DS36*0.5</f>
        <v>1.7537553000000004</v>
      </c>
      <c r="DY36" s="375">
        <f>(EC36/DX36)*DT36</f>
        <v>0.23914844999999998</v>
      </c>
      <c r="DZ36" s="375">
        <f>(EC36/DX36)*DU36</f>
        <v>0.22586242500000001</v>
      </c>
      <c r="EA36" s="375">
        <f>(EC36/DX36)*DV36</f>
        <v>0.22586242500000001</v>
      </c>
      <c r="EB36" s="375">
        <f>(EC36/DX36)*DW36</f>
        <v>0.18600435000000001</v>
      </c>
      <c r="EC36" s="42">
        <f>DX36*0.5</f>
        <v>0.87687765000000018</v>
      </c>
      <c r="ED36" s="375">
        <f>(EH36/EC36)*DY36</f>
        <v>0.11957422499999999</v>
      </c>
      <c r="EE36" s="375">
        <f>(EH36/EC36)*DZ36</f>
        <v>0.1129312125</v>
      </c>
      <c r="EF36" s="375">
        <f>(EH36/EC36)*EA36</f>
        <v>0.1129312125</v>
      </c>
      <c r="EG36" s="375">
        <f>(EH36/EC36)*EB36</f>
        <v>9.3002175000000006E-2</v>
      </c>
      <c r="EH36" s="42">
        <f>EC36*0.5</f>
        <v>0.43843882500000009</v>
      </c>
      <c r="EI36" s="375">
        <f>(EM36/EH36)*ED36</f>
        <v>5.9787112499999996E-2</v>
      </c>
      <c r="EJ36" s="375">
        <f>(EM36/EH36)*EE36</f>
        <v>5.6465606250000001E-2</v>
      </c>
      <c r="EK36" s="375">
        <f>(EM36/EH36)*EF36</f>
        <v>5.6465606250000001E-2</v>
      </c>
      <c r="EL36" s="375">
        <f>(EM36/EH36)*EG36</f>
        <v>4.6501087500000003E-2</v>
      </c>
      <c r="EM36" s="42">
        <f>EH36*0.5</f>
        <v>0.21921941250000004</v>
      </c>
    </row>
    <row r="37" spans="2:145" ht="6.75" customHeight="1">
      <c r="B37" s="25"/>
      <c r="C37" s="51"/>
      <c r="D37" s="43"/>
      <c r="E37" s="43"/>
      <c r="F37" s="43"/>
      <c r="G37" s="43"/>
      <c r="H37" s="51"/>
      <c r="I37" s="43"/>
      <c r="J37" s="43"/>
      <c r="K37" s="43"/>
      <c r="L37" s="43"/>
      <c r="M37" s="51"/>
      <c r="N37" s="43"/>
      <c r="O37" s="43"/>
      <c r="P37" s="43"/>
      <c r="Q37" s="43"/>
      <c r="R37" s="51"/>
      <c r="S37" s="43"/>
      <c r="T37" s="43"/>
      <c r="U37" s="43"/>
      <c r="V37" s="43"/>
      <c r="W37" s="51"/>
      <c r="X37" s="43"/>
      <c r="Y37" s="43"/>
      <c r="Z37" s="43"/>
      <c r="AA37" s="43"/>
      <c r="AB37" s="51"/>
      <c r="AC37" s="43"/>
      <c r="AD37" s="43"/>
      <c r="AE37" s="43"/>
      <c r="AF37" s="43"/>
      <c r="AG37" s="51"/>
      <c r="AH37" s="43"/>
      <c r="AI37" s="43"/>
      <c r="AJ37" s="43"/>
      <c r="AK37" s="43"/>
      <c r="AL37" s="42"/>
      <c r="AM37" s="43"/>
      <c r="AN37" s="43"/>
      <c r="AO37" s="43"/>
      <c r="AP37" s="43"/>
      <c r="AQ37" s="51"/>
      <c r="AR37" s="43"/>
      <c r="AS37" s="43"/>
      <c r="AT37" s="43"/>
      <c r="AU37" s="43"/>
      <c r="AV37" s="51"/>
      <c r="AW37" s="375"/>
      <c r="AX37" s="375"/>
      <c r="AY37" s="375"/>
      <c r="AZ37" s="375"/>
      <c r="BA37" s="51"/>
      <c r="BB37" s="442"/>
      <c r="BC37" s="442"/>
      <c r="BD37" s="442"/>
      <c r="BE37" s="442"/>
      <c r="BF37" s="51"/>
      <c r="BG37" s="443"/>
      <c r="BH37" s="443"/>
      <c r="BI37" s="375"/>
      <c r="BJ37" s="375"/>
      <c r="BK37" s="42"/>
      <c r="BL37" s="375"/>
      <c r="BM37" s="375"/>
      <c r="BN37" s="375"/>
      <c r="BO37" s="375"/>
      <c r="BP37" s="42"/>
      <c r="BQ37" s="375"/>
      <c r="BR37" s="375"/>
      <c r="BS37" s="375"/>
      <c r="BT37" s="375"/>
      <c r="BU37" s="42"/>
      <c r="BV37" s="375"/>
      <c r="BW37" s="375"/>
      <c r="BX37" s="375"/>
      <c r="BY37" s="375"/>
      <c r="BZ37" s="42"/>
      <c r="CA37" s="375"/>
      <c r="CB37" s="375"/>
      <c r="CC37" s="375"/>
      <c r="CD37" s="375"/>
      <c r="CE37" s="42"/>
      <c r="CF37" s="375"/>
      <c r="CG37" s="375"/>
      <c r="CH37" s="375"/>
      <c r="CI37" s="375"/>
      <c r="CJ37" s="42"/>
      <c r="CK37" s="375"/>
      <c r="CL37" s="375"/>
      <c r="CM37" s="375"/>
      <c r="CN37" s="375"/>
      <c r="CO37" s="42"/>
      <c r="CP37" s="375"/>
      <c r="CQ37" s="375"/>
      <c r="CR37" s="375"/>
      <c r="CS37" s="375"/>
      <c r="CT37" s="42"/>
      <c r="CU37" s="375"/>
      <c r="CV37" s="375"/>
      <c r="CW37" s="375"/>
      <c r="CX37" s="375"/>
      <c r="CY37" s="42"/>
      <c r="CZ37" s="375"/>
      <c r="DA37" s="375"/>
      <c r="DB37" s="375"/>
      <c r="DC37" s="375"/>
      <c r="DD37" s="42"/>
      <c r="DE37" s="375"/>
      <c r="DF37" s="375"/>
      <c r="DG37" s="375"/>
      <c r="DH37" s="375"/>
      <c r="DI37" s="42"/>
      <c r="DJ37" s="375"/>
      <c r="DK37" s="375"/>
      <c r="DL37" s="375"/>
      <c r="DM37" s="375"/>
      <c r="DN37" s="42"/>
      <c r="DO37" s="375"/>
      <c r="DP37" s="375"/>
      <c r="DQ37" s="375"/>
      <c r="DR37" s="375"/>
      <c r="DS37" s="42"/>
      <c r="DT37" s="375"/>
      <c r="DU37" s="375"/>
      <c r="DV37" s="375"/>
      <c r="DW37" s="375"/>
      <c r="DX37" s="42"/>
      <c r="DY37" s="375"/>
      <c r="DZ37" s="375"/>
      <c r="EA37" s="375"/>
      <c r="EB37" s="375"/>
      <c r="EC37" s="42"/>
      <c r="ED37" s="375"/>
      <c r="EE37" s="375"/>
      <c r="EF37" s="375"/>
      <c r="EG37" s="375"/>
      <c r="EH37" s="42"/>
      <c r="EI37" s="375"/>
      <c r="EJ37" s="375"/>
      <c r="EK37" s="375"/>
      <c r="EL37" s="375"/>
      <c r="EM37" s="42"/>
    </row>
    <row r="38" spans="2:145">
      <c r="B38" s="25" t="s">
        <v>888</v>
      </c>
      <c r="C38" s="51"/>
      <c r="D38" s="43"/>
      <c r="E38" s="43"/>
      <c r="F38" s="43"/>
      <c r="G38" s="43"/>
      <c r="H38" s="51"/>
      <c r="I38" s="43"/>
      <c r="J38" s="43"/>
      <c r="K38" s="43"/>
      <c r="L38" s="43"/>
      <c r="M38" s="51"/>
      <c r="N38" s="43"/>
      <c r="O38" s="43"/>
      <c r="P38" s="43"/>
      <c r="Q38" s="43"/>
      <c r="R38" s="51"/>
      <c r="S38" s="43"/>
      <c r="T38" s="43"/>
      <c r="U38" s="43"/>
      <c r="V38" s="43"/>
      <c r="W38" s="51"/>
      <c r="X38" s="43"/>
      <c r="Y38" s="43"/>
      <c r="Z38" s="43"/>
      <c r="AA38" s="43"/>
      <c r="AB38" s="51"/>
      <c r="AC38" s="43"/>
      <c r="AD38" s="43"/>
      <c r="AE38" s="43"/>
      <c r="AF38" s="43"/>
      <c r="AG38" s="51"/>
      <c r="AH38" s="43"/>
      <c r="AI38" s="43"/>
      <c r="AJ38" s="43"/>
      <c r="AK38" s="43"/>
      <c r="AL38" s="42"/>
      <c r="AM38" s="60">
        <v>1</v>
      </c>
      <c r="AN38" s="60">
        <v>3</v>
      </c>
      <c r="AO38" s="60">
        <v>5.5</v>
      </c>
      <c r="AP38" s="60">
        <f>15.781-AO38-AN38-AM38</f>
        <v>6.2810000000000006</v>
      </c>
      <c r="AQ38" s="51">
        <f>SUM(AM38:AP38)</f>
        <v>15.781000000000001</v>
      </c>
      <c r="AR38" s="43">
        <v>5.734</v>
      </c>
      <c r="AS38" s="43">
        <v>6.9710000000000001</v>
      </c>
      <c r="AT38" s="43">
        <v>8.2520000000000007</v>
      </c>
      <c r="AU38" s="43">
        <f>30.921-AT38-AS38-AR38</f>
        <v>9.9639999999999969</v>
      </c>
      <c r="AV38" s="51">
        <f>SUM(AR38:AU38)</f>
        <v>30.920999999999999</v>
      </c>
      <c r="AW38" s="375">
        <v>11.821999999999999</v>
      </c>
      <c r="AX38" s="375">
        <v>12.135</v>
      </c>
      <c r="AY38" s="375">
        <v>12.64</v>
      </c>
      <c r="AZ38" s="375">
        <f>50.001-AY38-AX38-AW38</f>
        <v>13.404</v>
      </c>
      <c r="BA38" s="51">
        <f>SUM(AW38:AZ38)</f>
        <v>50.001000000000005</v>
      </c>
      <c r="BB38" s="441">
        <v>12.9</v>
      </c>
      <c r="BC38" s="441">
        <v>13.5</v>
      </c>
      <c r="BD38" s="441">
        <v>14</v>
      </c>
      <c r="BE38" s="441">
        <v>14</v>
      </c>
      <c r="BF38" s="51">
        <f>SUM(BB38:BE38)</f>
        <v>54.4</v>
      </c>
      <c r="BG38" s="376">
        <v>16.100000000000001</v>
      </c>
      <c r="BH38" s="376">
        <v>17.100000000000001</v>
      </c>
      <c r="BI38" s="376">
        <v>15.7</v>
      </c>
      <c r="BJ38" s="376">
        <v>16.7</v>
      </c>
      <c r="BK38" s="42">
        <f>SUM(BG38:BJ38)</f>
        <v>65.600000000000009</v>
      </c>
      <c r="BL38" s="376">
        <v>16.5</v>
      </c>
      <c r="BM38" s="376">
        <v>17.899999999999999</v>
      </c>
      <c r="BN38" s="376">
        <v>17.3</v>
      </c>
      <c r="BO38" s="376">
        <v>17.399999999999999</v>
      </c>
      <c r="BP38" s="42">
        <f>SUM(BL38:BO38)</f>
        <v>69.099999999999994</v>
      </c>
      <c r="BQ38" s="376">
        <v>18.5</v>
      </c>
      <c r="BR38" s="376">
        <v>20.7</v>
      </c>
      <c r="BS38" s="376">
        <v>19.399999999999999</v>
      </c>
      <c r="BT38" s="376">
        <v>20.7</v>
      </c>
      <c r="BU38" s="42">
        <f>SUM(BQ38:BT38)</f>
        <v>79.3</v>
      </c>
      <c r="BV38" s="376">
        <v>20</v>
      </c>
      <c r="BW38" s="376">
        <v>19</v>
      </c>
      <c r="BX38" s="376">
        <v>19</v>
      </c>
      <c r="BY38" s="376">
        <f>16+2</f>
        <v>18</v>
      </c>
      <c r="BZ38" s="42">
        <f>SUM(BV38:BY38)</f>
        <v>76</v>
      </c>
      <c r="CA38" s="375">
        <f>(CE38/BZ38)*BV38</f>
        <v>21.8</v>
      </c>
      <c r="CB38" s="375">
        <f>(CE38/BZ38)*BW38</f>
        <v>20.71</v>
      </c>
      <c r="CC38" s="375">
        <f>(CE38/BZ38)*BX38</f>
        <v>20.71</v>
      </c>
      <c r="CD38" s="375">
        <f>(CE38/BZ38)*BY38</f>
        <v>19.62</v>
      </c>
      <c r="CE38" s="42">
        <f>BZ38*1.09</f>
        <v>82.84</v>
      </c>
      <c r="CF38" s="375">
        <f>(CJ38/CE38)*CA38</f>
        <v>23.762000000000004</v>
      </c>
      <c r="CG38" s="375">
        <f>(CJ38/CE38)*CB38</f>
        <v>22.573900000000002</v>
      </c>
      <c r="CH38" s="375">
        <f>(CJ38/CE38)*CC38</f>
        <v>22.573900000000002</v>
      </c>
      <c r="CI38" s="375">
        <f>(CJ38/CE38)*CD38</f>
        <v>21.385800000000003</v>
      </c>
      <c r="CJ38" s="42">
        <f>CE38*1.09</f>
        <v>90.295600000000007</v>
      </c>
      <c r="CK38" s="375">
        <f>(CO38/CJ38)*CF38</f>
        <v>25.900580000000005</v>
      </c>
      <c r="CL38" s="375">
        <f>(CO38/CJ38)*CG38</f>
        <v>24.605551000000006</v>
      </c>
      <c r="CM38" s="375">
        <f>(CO38/CJ38)*CH38</f>
        <v>24.605551000000006</v>
      </c>
      <c r="CN38" s="375">
        <f>(CO38/CJ38)*CI38</f>
        <v>23.310522000000006</v>
      </c>
      <c r="CO38" s="42">
        <f>CJ38*1.09</f>
        <v>98.422204000000022</v>
      </c>
      <c r="CP38" s="375">
        <f>(CT38/CO38)*CK38</f>
        <v>28.231632200000007</v>
      </c>
      <c r="CQ38" s="375">
        <f>(CT38/CO38)*CL38</f>
        <v>26.820050590000008</v>
      </c>
      <c r="CR38" s="375">
        <f>(CT38/CO38)*CM38</f>
        <v>26.820050590000008</v>
      </c>
      <c r="CS38" s="375">
        <f>(CT38/CO38)*CN38</f>
        <v>25.408468980000009</v>
      </c>
      <c r="CT38" s="42">
        <f>CO38*1.09</f>
        <v>107.28020236000003</v>
      </c>
      <c r="CU38" s="375">
        <f>(CY38/CT38)*CP38</f>
        <v>5.6463264400000019</v>
      </c>
      <c r="CV38" s="375">
        <f>(CY38/CT38)*CQ38</f>
        <v>5.3640101180000022</v>
      </c>
      <c r="CW38" s="375">
        <f>(CY38/CT38)*CR38</f>
        <v>5.3640101180000022</v>
      </c>
      <c r="CX38" s="375">
        <f>(CY38/CT38)*CS38</f>
        <v>5.0816937960000024</v>
      </c>
      <c r="CY38" s="42">
        <f>CT38*0.2</f>
        <v>21.456040472000009</v>
      </c>
      <c r="CZ38" s="375">
        <f>(DD38/CY38)*CU38</f>
        <v>1.1292652880000005</v>
      </c>
      <c r="DA38" s="375">
        <f>(DD38/CY38)*CV38</f>
        <v>1.0728020236000004</v>
      </c>
      <c r="DB38" s="375">
        <f>(DD38/CY38)*CW38</f>
        <v>1.0728020236000004</v>
      </c>
      <c r="DC38" s="375">
        <f>(DD38/CY38)*CX38</f>
        <v>1.0163387592000006</v>
      </c>
      <c r="DD38" s="42">
        <f>CY38*0.2</f>
        <v>4.2912080944000017</v>
      </c>
      <c r="DE38" s="375">
        <f>(DI38/DD38)*CZ38</f>
        <v>0.2258530576000001</v>
      </c>
      <c r="DF38" s="375">
        <f>(DI38/DD38)*DA38</f>
        <v>0.2145604047200001</v>
      </c>
      <c r="DG38" s="375">
        <f>(DI38/DD38)*DB38</f>
        <v>0.2145604047200001</v>
      </c>
      <c r="DH38" s="375">
        <f>(DI38/DD38)*DC38</f>
        <v>0.20326775184000012</v>
      </c>
      <c r="DI38" s="42">
        <f>DD38*0.2</f>
        <v>0.85824161888000039</v>
      </c>
      <c r="DJ38" s="375">
        <f>(DN38/DI38)*DE38</f>
        <v>4.5170611520000022E-2</v>
      </c>
      <c r="DK38" s="375">
        <f>(DN38/DI38)*DF38</f>
        <v>4.2912080944000022E-2</v>
      </c>
      <c r="DL38" s="375">
        <f>(DN38/DI38)*DG38</f>
        <v>4.2912080944000022E-2</v>
      </c>
      <c r="DM38" s="375">
        <f>(DN38/DI38)*DH38</f>
        <v>4.065355036800003E-2</v>
      </c>
      <c r="DN38" s="42">
        <f>DI38*0.2</f>
        <v>0.17164832377600009</v>
      </c>
      <c r="DO38" s="375">
        <f>(DS38/DN38)*DJ38</f>
        <v>9.0341223040000043E-3</v>
      </c>
      <c r="DP38" s="375">
        <f>(DS38/DN38)*DK38</f>
        <v>8.5824161888000041E-3</v>
      </c>
      <c r="DQ38" s="375">
        <f>(DS38/DN38)*DL38</f>
        <v>8.5824161888000041E-3</v>
      </c>
      <c r="DR38" s="375">
        <f>(DS38/DN38)*DM38</f>
        <v>8.1307100736000056E-3</v>
      </c>
      <c r="DS38" s="42">
        <f>DN38*0.2</f>
        <v>3.4329664755200016E-2</v>
      </c>
      <c r="DT38" s="375">
        <f>(DX38/DS38)*DO38</f>
        <v>1.8068244608000009E-3</v>
      </c>
      <c r="DU38" s="375">
        <f>(DX38/DS38)*DP38</f>
        <v>1.7164832377600009E-3</v>
      </c>
      <c r="DV38" s="375">
        <f>(DX38/DS38)*DQ38</f>
        <v>1.7164832377600009E-3</v>
      </c>
      <c r="DW38" s="375">
        <f>(DX38/DS38)*DR38</f>
        <v>1.6261420147200012E-3</v>
      </c>
      <c r="DX38" s="42">
        <f>DS38*0.2</f>
        <v>6.8659329510400036E-3</v>
      </c>
      <c r="DY38" s="375">
        <f>(EC38/DX38)*DT38</f>
        <v>3.6136489216000021E-4</v>
      </c>
      <c r="DZ38" s="375">
        <f>(EC38/DX38)*DU38</f>
        <v>3.4329664755200018E-4</v>
      </c>
      <c r="EA38" s="375">
        <f>(EC38/DX38)*DV38</f>
        <v>3.4329664755200018E-4</v>
      </c>
      <c r="EB38" s="375">
        <f>(EC38/DX38)*DW38</f>
        <v>3.2522840294400027E-4</v>
      </c>
      <c r="EC38" s="42">
        <f>DX38*0.2</f>
        <v>1.3731865902080007E-3</v>
      </c>
      <c r="ED38" s="375">
        <f>(EH38/EC38)*DY38</f>
        <v>7.2272978432000041E-5</v>
      </c>
      <c r="EE38" s="375">
        <f>(EH38/EC38)*DZ38</f>
        <v>6.8659329510400039E-5</v>
      </c>
      <c r="EF38" s="375">
        <f>(EH38/EC38)*EA38</f>
        <v>6.8659329510400039E-5</v>
      </c>
      <c r="EG38" s="375">
        <f>(EH38/EC38)*EB38</f>
        <v>6.5045680588800051E-5</v>
      </c>
      <c r="EH38" s="42">
        <f>EC38*0.2</f>
        <v>2.7463731804160016E-4</v>
      </c>
      <c r="EI38" s="375">
        <f>(EM38/EH38)*ED38</f>
        <v>1.4454595686400008E-5</v>
      </c>
      <c r="EJ38" s="375">
        <f>(EM38/EH38)*EE38</f>
        <v>1.3731865902080008E-5</v>
      </c>
      <c r="EK38" s="375">
        <f>(EM38/EH38)*EF38</f>
        <v>1.3731865902080008E-5</v>
      </c>
      <c r="EL38" s="375">
        <f>(EM38/EH38)*EG38</f>
        <v>1.3009136117760011E-5</v>
      </c>
      <c r="EM38" s="42">
        <f>EH38*0.2</f>
        <v>5.4927463608320033E-5</v>
      </c>
    </row>
    <row r="39" spans="2:145" ht="6.75" customHeight="1">
      <c r="B39" s="25"/>
      <c r="C39" s="51"/>
      <c r="D39" s="43"/>
      <c r="E39" s="43"/>
      <c r="F39" s="43"/>
      <c r="G39" s="43"/>
      <c r="H39" s="51"/>
      <c r="I39" s="43"/>
      <c r="J39" s="43"/>
      <c r="K39" s="43"/>
      <c r="L39" s="43"/>
      <c r="M39" s="51"/>
      <c r="N39" s="43"/>
      <c r="O39" s="43"/>
      <c r="P39" s="43"/>
      <c r="Q39" s="43"/>
      <c r="R39" s="51"/>
      <c r="S39" s="43"/>
      <c r="T39" s="43"/>
      <c r="U39" s="43"/>
      <c r="V39" s="43"/>
      <c r="W39" s="51"/>
      <c r="X39" s="43"/>
      <c r="Y39" s="43"/>
      <c r="Z39" s="43"/>
      <c r="AA39" s="43"/>
      <c r="AB39" s="51"/>
      <c r="AC39" s="43"/>
      <c r="AD39" s="43"/>
      <c r="AE39" s="43"/>
      <c r="AF39" s="43"/>
      <c r="AG39" s="51"/>
      <c r="AH39" s="43"/>
      <c r="AI39" s="43"/>
      <c r="AJ39" s="43"/>
      <c r="AK39" s="43"/>
      <c r="AL39" s="42"/>
      <c r="AM39" s="43"/>
      <c r="AN39" s="43"/>
      <c r="AO39" s="43"/>
      <c r="AP39" s="43"/>
      <c r="AQ39" s="51"/>
      <c r="AR39" s="43"/>
      <c r="AS39" s="43"/>
      <c r="AT39" s="43"/>
      <c r="AU39" s="43"/>
      <c r="AV39" s="51"/>
      <c r="AW39" s="375"/>
      <c r="AX39" s="375"/>
      <c r="AY39" s="375"/>
      <c r="AZ39" s="375"/>
      <c r="BA39" s="51"/>
      <c r="BB39" s="442"/>
      <c r="BC39" s="442"/>
      <c r="BD39" s="442"/>
      <c r="BE39" s="442"/>
      <c r="BF39" s="51"/>
      <c r="BG39" s="443"/>
      <c r="BH39" s="443"/>
      <c r="BI39" s="375"/>
      <c r="BJ39" s="375"/>
      <c r="BK39" s="42"/>
      <c r="BL39" s="375"/>
      <c r="BM39" s="375"/>
      <c r="BN39" s="375"/>
      <c r="BO39" s="375"/>
      <c r="BP39" s="42"/>
      <c r="BQ39" s="375"/>
      <c r="BR39" s="375"/>
      <c r="BS39" s="375"/>
      <c r="BT39" s="375"/>
      <c r="BU39" s="42"/>
      <c r="BV39" s="375"/>
      <c r="BW39" s="375"/>
      <c r="BX39" s="375"/>
      <c r="BY39" s="375"/>
      <c r="BZ39" s="42"/>
      <c r="CA39" s="375"/>
      <c r="CB39" s="375"/>
      <c r="CC39" s="375"/>
      <c r="CD39" s="375"/>
      <c r="CE39" s="42"/>
      <c r="CF39" s="375"/>
      <c r="CG39" s="375"/>
      <c r="CH39" s="375"/>
      <c r="CI39" s="375"/>
      <c r="CJ39" s="42"/>
      <c r="CK39" s="375"/>
      <c r="CL39" s="375"/>
      <c r="CM39" s="375"/>
      <c r="CN39" s="375"/>
      <c r="CO39" s="42"/>
      <c r="CP39" s="375"/>
      <c r="CQ39" s="375"/>
      <c r="CR39" s="375"/>
      <c r="CS39" s="375"/>
      <c r="CT39" s="42"/>
      <c r="CU39" s="375"/>
      <c r="CV39" s="375"/>
      <c r="CW39" s="375"/>
      <c r="CX39" s="375"/>
      <c r="CY39" s="42"/>
      <c r="CZ39" s="375"/>
      <c r="DA39" s="375"/>
      <c r="DB39" s="375"/>
      <c r="DC39" s="375"/>
      <c r="DD39" s="42"/>
      <c r="DE39" s="375"/>
      <c r="DF39" s="375"/>
      <c r="DG39" s="375"/>
      <c r="DH39" s="375"/>
      <c r="DI39" s="42"/>
      <c r="DJ39" s="375"/>
      <c r="DK39" s="375"/>
      <c r="DL39" s="375"/>
      <c r="DM39" s="375"/>
      <c r="DN39" s="42"/>
      <c r="DO39" s="375"/>
      <c r="DP39" s="375"/>
      <c r="DQ39" s="375"/>
      <c r="DR39" s="375"/>
      <c r="DS39" s="42"/>
      <c r="DT39" s="375"/>
      <c r="DU39" s="375"/>
      <c r="DV39" s="375"/>
      <c r="DW39" s="375"/>
      <c r="DX39" s="42"/>
      <c r="DY39" s="375"/>
      <c r="DZ39" s="375"/>
      <c r="EA39" s="375"/>
      <c r="EB39" s="375"/>
      <c r="EC39" s="42"/>
      <c r="ED39" s="375"/>
      <c r="EE39" s="375"/>
      <c r="EF39" s="375"/>
      <c r="EG39" s="375"/>
      <c r="EH39" s="42"/>
      <c r="EI39" s="375"/>
      <c r="EJ39" s="375"/>
      <c r="EK39" s="375"/>
      <c r="EL39" s="375"/>
      <c r="EM39" s="42"/>
    </row>
    <row r="40" spans="2:145" ht="12.75" customHeight="1">
      <c r="B40" s="25" t="s">
        <v>740</v>
      </c>
      <c r="C40" s="51"/>
      <c r="D40" s="43"/>
      <c r="E40" s="43"/>
      <c r="F40" s="43"/>
      <c r="G40" s="43"/>
      <c r="H40" s="51"/>
      <c r="I40" s="43"/>
      <c r="J40" s="43"/>
      <c r="K40" s="43"/>
      <c r="L40" s="43"/>
      <c r="M40" s="51"/>
      <c r="N40" s="43"/>
      <c r="O40" s="43"/>
      <c r="P40" s="43"/>
      <c r="Q40" s="43"/>
      <c r="R40" s="51"/>
      <c r="S40" s="43"/>
      <c r="T40" s="43"/>
      <c r="U40" s="43"/>
      <c r="V40" s="43"/>
      <c r="W40" s="51"/>
      <c r="X40" s="43"/>
      <c r="Y40" s="43"/>
      <c r="Z40" s="43"/>
      <c r="AA40" s="43"/>
      <c r="AB40" s="51"/>
      <c r="AC40" s="43"/>
      <c r="AD40" s="43"/>
      <c r="AE40" s="43"/>
      <c r="AF40" s="43"/>
      <c r="AG40" s="51"/>
      <c r="AH40" s="43"/>
      <c r="AI40" s="43"/>
      <c r="AJ40" s="43"/>
      <c r="AK40" s="43"/>
      <c r="AL40" s="42"/>
      <c r="AM40" s="43"/>
      <c r="AN40" s="43"/>
      <c r="AO40" s="43"/>
      <c r="AP40" s="43"/>
      <c r="AQ40" s="51"/>
      <c r="AR40" s="43"/>
      <c r="AS40" s="43"/>
      <c r="AT40" s="43"/>
      <c r="AU40" s="43"/>
      <c r="AV40" s="51"/>
      <c r="AW40" s="375"/>
      <c r="AX40" s="375"/>
      <c r="AY40" s="375"/>
      <c r="AZ40" s="375"/>
      <c r="BA40" s="51"/>
      <c r="BB40" s="442"/>
      <c r="BC40" s="442"/>
      <c r="BD40" s="442"/>
      <c r="BE40" s="441">
        <v>23</v>
      </c>
      <c r="BF40" s="51">
        <f>SUM(BB40:BE40)</f>
        <v>23</v>
      </c>
      <c r="BG40" s="376">
        <v>18.399999999999999</v>
      </c>
      <c r="BH40" s="376">
        <v>24.4</v>
      </c>
      <c r="BI40" s="376">
        <v>19.899999999999999</v>
      </c>
      <c r="BJ40" s="376">
        <v>15.5</v>
      </c>
      <c r="BK40" s="358">
        <f>SUM(BG40:BJ40)</f>
        <v>78.199999999999989</v>
      </c>
      <c r="BL40" s="376">
        <v>20.6</v>
      </c>
      <c r="BM40" s="376">
        <v>22.3</v>
      </c>
      <c r="BN40" s="376">
        <v>21.3</v>
      </c>
      <c r="BO40" s="376">
        <v>19.7</v>
      </c>
      <c r="BP40" s="358">
        <f>SUM(BL40:BO40)</f>
        <v>83.9</v>
      </c>
      <c r="BQ40" s="376">
        <v>18.5</v>
      </c>
      <c r="BR40" s="376">
        <v>21.7</v>
      </c>
      <c r="BS40" s="376">
        <v>15.3</v>
      </c>
      <c r="BT40" s="376">
        <v>10.5</v>
      </c>
      <c r="BU40" s="358">
        <f>SUM(BQ40:BT40)</f>
        <v>66</v>
      </c>
      <c r="BV40" s="376">
        <v>9</v>
      </c>
      <c r="BW40" s="376">
        <v>9</v>
      </c>
      <c r="BX40" s="376">
        <v>14</v>
      </c>
      <c r="BY40" s="376">
        <v>4</v>
      </c>
      <c r="BZ40" s="358">
        <f>SUM(BV40:BY40)</f>
        <v>36</v>
      </c>
      <c r="CA40" s="375">
        <f>CE40/4</f>
        <v>1.25</v>
      </c>
      <c r="CB40" s="375">
        <f>CE40/4</f>
        <v>1.25</v>
      </c>
      <c r="CC40" s="375">
        <f>CE40/4</f>
        <v>1.25</v>
      </c>
      <c r="CD40" s="375">
        <f>CE40-SUM(CA40:CC40)</f>
        <v>1.25</v>
      </c>
      <c r="CE40" s="444">
        <v>5</v>
      </c>
      <c r="CF40" s="375"/>
      <c r="CG40" s="375"/>
      <c r="CH40" s="375"/>
      <c r="CI40" s="375"/>
      <c r="CJ40" s="42"/>
      <c r="CK40" s="375"/>
      <c r="CL40" s="375"/>
      <c r="CM40" s="375"/>
      <c r="CN40" s="375"/>
      <c r="CO40" s="42"/>
      <c r="CP40" s="375"/>
      <c r="CQ40" s="375"/>
      <c r="CR40" s="375"/>
      <c r="CS40" s="375"/>
      <c r="CT40" s="42"/>
      <c r="CU40" s="375"/>
      <c r="CV40" s="375"/>
      <c r="CW40" s="375"/>
      <c r="CX40" s="375"/>
      <c r="CY40" s="42"/>
      <c r="CZ40" s="375"/>
      <c r="DA40" s="375"/>
      <c r="DB40" s="375"/>
      <c r="DC40" s="375"/>
      <c r="DD40" s="42"/>
      <c r="DE40" s="375"/>
      <c r="DF40" s="375"/>
      <c r="DG40" s="375"/>
      <c r="DH40" s="375"/>
      <c r="DI40" s="42"/>
      <c r="DJ40" s="375"/>
      <c r="DK40" s="375"/>
      <c r="DL40" s="375"/>
      <c r="DM40" s="375"/>
      <c r="DN40" s="42"/>
      <c r="DO40" s="375"/>
      <c r="DP40" s="375"/>
      <c r="DQ40" s="375"/>
      <c r="DR40" s="375"/>
      <c r="DS40" s="42"/>
      <c r="DT40" s="375"/>
      <c r="DU40" s="375"/>
      <c r="DV40" s="375"/>
      <c r="DW40" s="375"/>
      <c r="DX40" s="42"/>
      <c r="DY40" s="375"/>
      <c r="DZ40" s="375"/>
      <c r="EA40" s="375"/>
      <c r="EB40" s="375"/>
      <c r="EC40" s="42"/>
      <c r="ED40" s="375"/>
      <c r="EE40" s="375"/>
      <c r="EF40" s="375"/>
      <c r="EG40" s="375"/>
      <c r="EH40" s="42"/>
      <c r="EI40" s="375"/>
      <c r="EJ40" s="375"/>
      <c r="EK40" s="375"/>
      <c r="EL40" s="375"/>
      <c r="EM40" s="42"/>
    </row>
    <row r="41" spans="2:145" ht="6.75" customHeight="1">
      <c r="B41" s="25"/>
      <c r="C41" s="51"/>
      <c r="D41" s="43"/>
      <c r="E41" s="43"/>
      <c r="F41" s="43"/>
      <c r="G41" s="43"/>
      <c r="H41" s="51"/>
      <c r="I41" s="43"/>
      <c r="J41" s="43"/>
      <c r="K41" s="43"/>
      <c r="L41" s="43"/>
      <c r="M41" s="51"/>
      <c r="N41" s="43"/>
      <c r="O41" s="43"/>
      <c r="P41" s="43"/>
      <c r="Q41" s="43"/>
      <c r="R41" s="51"/>
      <c r="S41" s="43"/>
      <c r="T41" s="43"/>
      <c r="U41" s="43"/>
      <c r="V41" s="43"/>
      <c r="W41" s="51"/>
      <c r="X41" s="43"/>
      <c r="Y41" s="43"/>
      <c r="Z41" s="43"/>
      <c r="AA41" s="43"/>
      <c r="AB41" s="51"/>
      <c r="AC41" s="43"/>
      <c r="AD41" s="43"/>
      <c r="AE41" s="43"/>
      <c r="AF41" s="43"/>
      <c r="AG41" s="51"/>
      <c r="AH41" s="43"/>
      <c r="AI41" s="43"/>
      <c r="AJ41" s="43"/>
      <c r="AK41" s="43"/>
      <c r="AL41" s="42"/>
      <c r="AM41" s="43"/>
      <c r="AN41" s="43"/>
      <c r="AO41" s="43"/>
      <c r="AP41" s="43"/>
      <c r="AQ41" s="51"/>
      <c r="AR41" s="43"/>
      <c r="AS41" s="43"/>
      <c r="AT41" s="43"/>
      <c r="AU41" s="43"/>
      <c r="AV41" s="51"/>
      <c r="AW41" s="375"/>
      <c r="AX41" s="375"/>
      <c r="AY41" s="375"/>
      <c r="AZ41" s="375"/>
      <c r="BA41" s="51"/>
      <c r="BB41" s="442"/>
      <c r="BC41" s="442"/>
      <c r="BD41" s="442"/>
      <c r="BE41" s="442"/>
      <c r="BF41" s="51"/>
      <c r="BG41" s="443"/>
      <c r="BH41" s="443"/>
      <c r="BI41" s="375"/>
      <c r="BJ41" s="375"/>
      <c r="BK41" s="42"/>
      <c r="BL41" s="375"/>
      <c r="BM41" s="375"/>
      <c r="BN41" s="375"/>
      <c r="BO41" s="375"/>
      <c r="BP41" s="42"/>
      <c r="BQ41" s="375"/>
      <c r="BR41" s="375"/>
      <c r="BS41" s="375"/>
      <c r="BT41" s="375"/>
      <c r="BU41" s="42"/>
      <c r="BV41" s="375"/>
      <c r="BW41" s="375"/>
      <c r="BX41" s="375"/>
      <c r="BY41" s="375"/>
      <c r="BZ41" s="42"/>
      <c r="CA41" s="375"/>
      <c r="CB41" s="375"/>
      <c r="CC41" s="375"/>
      <c r="CD41" s="375"/>
      <c r="CE41" s="42"/>
      <c r="CF41" s="375"/>
      <c r="CG41" s="375"/>
      <c r="CH41" s="375"/>
      <c r="CI41" s="375"/>
      <c r="CJ41" s="42"/>
      <c r="CK41" s="375"/>
      <c r="CL41" s="375"/>
      <c r="CM41" s="375"/>
      <c r="CN41" s="375"/>
      <c r="CO41" s="42"/>
      <c r="CP41" s="375"/>
      <c r="CQ41" s="375"/>
      <c r="CR41" s="375"/>
      <c r="CS41" s="375"/>
      <c r="CT41" s="42"/>
      <c r="CU41" s="375"/>
      <c r="CV41" s="375"/>
      <c r="CW41" s="375"/>
      <c r="CX41" s="375"/>
      <c r="CY41" s="42"/>
      <c r="CZ41" s="375"/>
      <c r="DA41" s="375"/>
      <c r="DB41" s="375"/>
      <c r="DC41" s="375"/>
      <c r="DD41" s="42"/>
      <c r="DE41" s="375"/>
      <c r="DF41" s="375"/>
      <c r="DG41" s="375"/>
      <c r="DH41" s="375"/>
      <c r="DI41" s="42"/>
      <c r="DJ41" s="375"/>
      <c r="DK41" s="375"/>
      <c r="DL41" s="375"/>
      <c r="DM41" s="375"/>
      <c r="DN41" s="42"/>
      <c r="DO41" s="375"/>
      <c r="DP41" s="375"/>
      <c r="DQ41" s="375"/>
      <c r="DR41" s="375"/>
      <c r="DS41" s="42"/>
      <c r="DT41" s="375"/>
      <c r="DU41" s="375"/>
      <c r="DV41" s="375"/>
      <c r="DW41" s="375"/>
      <c r="DX41" s="42"/>
      <c r="DY41" s="375"/>
      <c r="DZ41" s="375"/>
      <c r="EA41" s="375"/>
      <c r="EB41" s="375"/>
      <c r="EC41" s="42"/>
      <c r="ED41" s="375"/>
      <c r="EE41" s="375"/>
      <c r="EF41" s="375"/>
      <c r="EG41" s="375"/>
      <c r="EH41" s="42"/>
      <c r="EI41" s="375"/>
      <c r="EJ41" s="375"/>
      <c r="EK41" s="375"/>
      <c r="EL41" s="375"/>
      <c r="EM41" s="42"/>
    </row>
    <row r="42" spans="2:145">
      <c r="B42" s="25" t="s">
        <v>111</v>
      </c>
      <c r="C42" s="51">
        <v>3.8610000000000002</v>
      </c>
      <c r="D42" s="43">
        <v>0.17599999999999999</v>
      </c>
      <c r="E42" s="43">
        <f>1.335+6.044+0.24</f>
        <v>7.6189999999999998</v>
      </c>
      <c r="F42" s="43">
        <f>1.199+6.756-0.079</f>
        <v>7.8760000000000003</v>
      </c>
      <c r="G42" s="43">
        <f>2.383+17.827+0.557-F42-E42-D42</f>
        <v>5.0959999999999983</v>
      </c>
      <c r="H42" s="51">
        <f>D42+E42+F42+G42</f>
        <v>20.766999999999996</v>
      </c>
      <c r="I42" s="43">
        <f>1.029+5.77+0.119</f>
        <v>6.9179999999999993</v>
      </c>
      <c r="J42" s="43">
        <f>1.165+3.053+0.212</f>
        <v>4.43</v>
      </c>
      <c r="K42" s="43">
        <f>1.504+3.202+0.381</f>
        <v>5.0869999999999997</v>
      </c>
      <c r="L42" s="43">
        <f>4.177+16.956+0.861-K42-J42-I42</f>
        <v>5.5590000000000011</v>
      </c>
      <c r="M42" s="51">
        <f>I42+J42+K42+L42</f>
        <v>21.994</v>
      </c>
      <c r="N42" s="43">
        <f>7.739+1.226+0.289</f>
        <v>9.2539999999999996</v>
      </c>
      <c r="O42" s="43">
        <f>9.119+1.577+0.24</f>
        <v>10.936</v>
      </c>
      <c r="P42" s="43">
        <f>13.945+0.326+0.495</f>
        <v>14.766</v>
      </c>
      <c r="Q42" s="43">
        <f>49.748+4.21+0.989-P42-O42-N42</f>
        <v>19.991</v>
      </c>
      <c r="R42" s="51">
        <f>N42+O42+P42+Q42</f>
        <v>54.946999999999996</v>
      </c>
      <c r="S42" s="43">
        <f>18.295+2.101+0.193</f>
        <v>20.589000000000002</v>
      </c>
      <c r="T42" s="43">
        <f>4.452+1.666+0.07</f>
        <v>6.1880000000000006</v>
      </c>
      <c r="U42" s="43">
        <f>12.171+1.178+0.072</f>
        <v>13.420999999999999</v>
      </c>
      <c r="V42" s="43">
        <f>50.337+7.34+0.42-U42-T42-S42</f>
        <v>17.899000000000004</v>
      </c>
      <c r="W42" s="51">
        <f>S42+T42+U42+V42</f>
        <v>58.097000000000008</v>
      </c>
      <c r="X42" s="43">
        <f>15.964+1.565</f>
        <v>17.529</v>
      </c>
      <c r="Y42" s="43">
        <f>18.738+1.536</f>
        <v>20.274000000000001</v>
      </c>
      <c r="Z42" s="43">
        <f>18.858+2.32</f>
        <v>21.178000000000001</v>
      </c>
      <c r="AA42" s="43">
        <f>73.551+5.924-Z42-Y42-X42</f>
        <v>20.49400000000001</v>
      </c>
      <c r="AB42" s="51">
        <f>X42+Y42+Z42+AA42</f>
        <v>79.475000000000009</v>
      </c>
      <c r="AC42" s="43">
        <f>1.667+15.114-AC68</f>
        <v>15.203000000000003</v>
      </c>
      <c r="AD42" s="43">
        <f>20.413+5.749-AD68</f>
        <v>21.312999999999999</v>
      </c>
      <c r="AE42" s="43">
        <f>21.802+6.696-AE68</f>
        <v>22.772999999999996</v>
      </c>
      <c r="AF42" s="43">
        <f>81.734+19.868-AE42-AD42-AC42-SUM(AC68:AF68)</f>
        <v>25.348999999999986</v>
      </c>
      <c r="AG42" s="51">
        <f>AC42+AD42+AE42+AF42</f>
        <v>84.637999999999991</v>
      </c>
      <c r="AH42" s="43">
        <f>4.508+19.862-AH68</f>
        <v>20.418999999999997</v>
      </c>
      <c r="AI42" s="43">
        <f>3.38+0.249-AI68</f>
        <v>1.1139999999999999</v>
      </c>
      <c r="AJ42" s="43">
        <f>5.266-AJ68</f>
        <v>2.3639999999999999</v>
      </c>
      <c r="AK42" s="43">
        <f>36.792-AJ42-AI42-AH42-SUM(AH68:AK68)</f>
        <v>0.24100000000001032</v>
      </c>
      <c r="AL42" s="42">
        <f>AK42+AJ42+AI42+AH42</f>
        <v>24.138000000000005</v>
      </c>
      <c r="AM42" s="43">
        <f>4.583-AM68-AM38</f>
        <v>1.2090000000000001</v>
      </c>
      <c r="AN42" s="43">
        <f>6.34-AN68-AN38</f>
        <v>1.0399999999999991</v>
      </c>
      <c r="AO42" s="43">
        <f>8.783-AO68-AO38</f>
        <v>1.234</v>
      </c>
      <c r="AP42" s="43">
        <f>28.138-SUM(AM67:AP68)-AO42-AN42-AM42</f>
        <v>0.55700000000000349</v>
      </c>
      <c r="AQ42" s="51">
        <f>AM42+AN42+AO42+AP42</f>
        <v>4.0400000000000027</v>
      </c>
      <c r="AR42" s="43">
        <f>17.25-AR67-AR68</f>
        <v>0.34700000000000042</v>
      </c>
      <c r="AS42" s="43">
        <f>7.44-AS67-AS68</f>
        <v>0.87500000000000022</v>
      </c>
      <c r="AT42" s="43">
        <f>2.831-AT68</f>
        <v>1.363</v>
      </c>
      <c r="AU42" s="43">
        <f>30.317-SUM(AR67:AU68)-AT42-AS42-AR42</f>
        <v>1.0440000000000007</v>
      </c>
      <c r="AV42" s="51">
        <f>SUM(AR42:AU42)</f>
        <v>3.6290000000000013</v>
      </c>
      <c r="AW42" s="375">
        <v>4.266</v>
      </c>
      <c r="AX42" s="375">
        <v>3.16</v>
      </c>
      <c r="AY42" s="375">
        <v>4.0419999999999998</v>
      </c>
      <c r="AZ42" s="375">
        <f>16.956-AY42-AX42-AW42</f>
        <v>5.4879999999999995</v>
      </c>
      <c r="BA42" s="51">
        <f>SUM(AW42:AZ42)</f>
        <v>16.956</v>
      </c>
      <c r="BB42" s="442">
        <v>0.9</v>
      </c>
      <c r="BC42" s="442">
        <v>0.6</v>
      </c>
      <c r="BD42" s="442">
        <v>0.7</v>
      </c>
      <c r="BE42" s="441">
        <v>0</v>
      </c>
      <c r="BF42" s="51">
        <f>SUM(BB42:BE42)</f>
        <v>2.2000000000000002</v>
      </c>
      <c r="BG42" s="376">
        <v>2.4</v>
      </c>
      <c r="BH42" s="376">
        <v>2.2999999999999998</v>
      </c>
      <c r="BI42" s="376">
        <v>0.6</v>
      </c>
      <c r="BJ42" s="376">
        <v>3.9</v>
      </c>
      <c r="BK42" s="42">
        <f>SUM(BG42:BJ42)</f>
        <v>9.1999999999999993</v>
      </c>
      <c r="BL42" s="376">
        <v>2.5</v>
      </c>
      <c r="BM42" s="376">
        <v>1.5</v>
      </c>
      <c r="BN42" s="376">
        <v>2.7</v>
      </c>
      <c r="BO42" s="376">
        <v>1.7</v>
      </c>
      <c r="BP42" s="42">
        <f>SUM(BL42:BO42)</f>
        <v>8.4</v>
      </c>
      <c r="BQ42" s="376">
        <v>1.9</v>
      </c>
      <c r="BR42" s="376">
        <v>0.8</v>
      </c>
      <c r="BS42" s="376">
        <v>0.8</v>
      </c>
      <c r="BT42" s="376">
        <v>0.8</v>
      </c>
      <c r="BU42" s="42">
        <f>SUM(BQ42:BT42)</f>
        <v>4.3</v>
      </c>
      <c r="BV42" s="376">
        <v>1</v>
      </c>
      <c r="BW42" s="376">
        <v>1</v>
      </c>
      <c r="BX42" s="376">
        <f>1+5</f>
        <v>6</v>
      </c>
      <c r="BY42" s="376">
        <v>1</v>
      </c>
      <c r="BZ42" s="358">
        <f>SUM(BV42:BY42)</f>
        <v>9</v>
      </c>
      <c r="CA42" s="375">
        <f>CE42/4</f>
        <v>2.25</v>
      </c>
      <c r="CB42" s="375">
        <f>CA42</f>
        <v>2.25</v>
      </c>
      <c r="CC42" s="375">
        <f>CB42</f>
        <v>2.25</v>
      </c>
      <c r="CD42" s="375">
        <f>CE42-CA42-CB42-CC42</f>
        <v>2.25</v>
      </c>
      <c r="CE42" s="42">
        <f>BZ42</f>
        <v>9</v>
      </c>
      <c r="CF42" s="375">
        <f>CJ42/4</f>
        <v>2.25</v>
      </c>
      <c r="CG42" s="375">
        <f>CF42</f>
        <v>2.25</v>
      </c>
      <c r="CH42" s="375">
        <f>CG42</f>
        <v>2.25</v>
      </c>
      <c r="CI42" s="375">
        <f>CJ42-CF42-CG42-CH42</f>
        <v>2.25</v>
      </c>
      <c r="CJ42" s="42">
        <f>CE42</f>
        <v>9</v>
      </c>
      <c r="CK42" s="375">
        <f>CO42/4</f>
        <v>2.25</v>
      </c>
      <c r="CL42" s="375">
        <f>CK42</f>
        <v>2.25</v>
      </c>
      <c r="CM42" s="375">
        <f>CL42</f>
        <v>2.25</v>
      </c>
      <c r="CN42" s="375">
        <f>CO42-CK42-CL42-CM42</f>
        <v>2.25</v>
      </c>
      <c r="CO42" s="42">
        <f>CJ42</f>
        <v>9</v>
      </c>
      <c r="CP42" s="375">
        <f>CT42/4</f>
        <v>2.25</v>
      </c>
      <c r="CQ42" s="375">
        <f>CP42</f>
        <v>2.25</v>
      </c>
      <c r="CR42" s="375">
        <f>CQ42</f>
        <v>2.25</v>
      </c>
      <c r="CS42" s="375">
        <f>CT42-CP42-CQ42-CR42</f>
        <v>2.25</v>
      </c>
      <c r="CT42" s="42">
        <f>CO42</f>
        <v>9</v>
      </c>
      <c r="CU42" s="375">
        <f>CY42/4</f>
        <v>2.25</v>
      </c>
      <c r="CV42" s="375">
        <f>CU42</f>
        <v>2.25</v>
      </c>
      <c r="CW42" s="375">
        <f>CV42</f>
        <v>2.25</v>
      </c>
      <c r="CX42" s="375">
        <f>CY42-CU42-CV42-CW42</f>
        <v>2.25</v>
      </c>
      <c r="CY42" s="42">
        <f>CT42</f>
        <v>9</v>
      </c>
      <c r="CZ42" s="375">
        <f>DD42/4</f>
        <v>2.25</v>
      </c>
      <c r="DA42" s="375">
        <f>CZ42</f>
        <v>2.25</v>
      </c>
      <c r="DB42" s="375">
        <f>DA42</f>
        <v>2.25</v>
      </c>
      <c r="DC42" s="375">
        <f>DD42-CZ42-DA42-DB42</f>
        <v>2.25</v>
      </c>
      <c r="DD42" s="42">
        <f>CY42</f>
        <v>9</v>
      </c>
      <c r="DE42" s="375">
        <f>DI42/4</f>
        <v>2.25</v>
      </c>
      <c r="DF42" s="375">
        <f>DE42</f>
        <v>2.25</v>
      </c>
      <c r="DG42" s="375">
        <f>DF42</f>
        <v>2.25</v>
      </c>
      <c r="DH42" s="375">
        <f>DI42-DE42-DF42-DG42</f>
        <v>2.25</v>
      </c>
      <c r="DI42" s="42">
        <f>DD42</f>
        <v>9</v>
      </c>
      <c r="DJ42" s="375">
        <f>DN42/4</f>
        <v>2.25</v>
      </c>
      <c r="DK42" s="375">
        <f>DJ42</f>
        <v>2.25</v>
      </c>
      <c r="DL42" s="375">
        <f>DK42</f>
        <v>2.25</v>
      </c>
      <c r="DM42" s="375">
        <f>DN42-DJ42-DK42-DL42</f>
        <v>2.25</v>
      </c>
      <c r="DN42" s="42">
        <f>DI42</f>
        <v>9</v>
      </c>
      <c r="DO42" s="375">
        <f>DS42/4</f>
        <v>2.25</v>
      </c>
      <c r="DP42" s="375">
        <f>DO42</f>
        <v>2.25</v>
      </c>
      <c r="DQ42" s="375">
        <f>DP42</f>
        <v>2.25</v>
      </c>
      <c r="DR42" s="375">
        <f>DS42-DO42-DP42-DQ42</f>
        <v>2.25</v>
      </c>
      <c r="DS42" s="42">
        <f>DN42</f>
        <v>9</v>
      </c>
      <c r="DT42" s="375">
        <f>DX42/4</f>
        <v>2.25</v>
      </c>
      <c r="DU42" s="375">
        <f>DT42</f>
        <v>2.25</v>
      </c>
      <c r="DV42" s="375">
        <f>DU42</f>
        <v>2.25</v>
      </c>
      <c r="DW42" s="375">
        <f>DX42-DT42-DU42-DV42</f>
        <v>2.25</v>
      </c>
      <c r="DX42" s="42">
        <f>DS42</f>
        <v>9</v>
      </c>
      <c r="DY42" s="375">
        <f>EC42/4</f>
        <v>2.25</v>
      </c>
      <c r="DZ42" s="375">
        <f>DY42</f>
        <v>2.25</v>
      </c>
      <c r="EA42" s="375">
        <f>DZ42</f>
        <v>2.25</v>
      </c>
      <c r="EB42" s="375">
        <f>EC42-DY42-DZ42-EA42</f>
        <v>2.25</v>
      </c>
      <c r="EC42" s="42">
        <f>DX42</f>
        <v>9</v>
      </c>
      <c r="ED42" s="375">
        <f>EH42/4</f>
        <v>2.25</v>
      </c>
      <c r="EE42" s="375">
        <f>ED42</f>
        <v>2.25</v>
      </c>
      <c r="EF42" s="375">
        <f>EE42</f>
        <v>2.25</v>
      </c>
      <c r="EG42" s="375">
        <f>EH42-ED42-EE42-EF42</f>
        <v>2.25</v>
      </c>
      <c r="EH42" s="42">
        <f>EC42</f>
        <v>9</v>
      </c>
      <c r="EI42" s="375">
        <f>EM42/4</f>
        <v>2.25</v>
      </c>
      <c r="EJ42" s="375">
        <f>EI42</f>
        <v>2.25</v>
      </c>
      <c r="EK42" s="375">
        <f>EJ42</f>
        <v>2.25</v>
      </c>
      <c r="EL42" s="375">
        <f>EM42-EI42-EJ42-EK42</f>
        <v>2.25</v>
      </c>
      <c r="EM42" s="42">
        <f>EH42</f>
        <v>9</v>
      </c>
    </row>
    <row r="43" spans="2:145" ht="6.75" customHeight="1">
      <c r="B43" s="25"/>
      <c r="C43" s="51"/>
      <c r="D43" s="43"/>
      <c r="E43" s="43"/>
      <c r="F43" s="43"/>
      <c r="G43" s="43"/>
      <c r="H43" s="51"/>
      <c r="I43" s="43"/>
      <c r="J43" s="43"/>
      <c r="K43" s="43"/>
      <c r="L43" s="43"/>
      <c r="M43" s="51"/>
      <c r="N43" s="43"/>
      <c r="O43" s="43"/>
      <c r="P43" s="43"/>
      <c r="Q43" s="43"/>
      <c r="R43" s="51"/>
      <c r="S43" s="43"/>
      <c r="T43" s="43"/>
      <c r="U43" s="43"/>
      <c r="V43" s="43"/>
      <c r="W43" s="51"/>
      <c r="X43" s="43"/>
      <c r="Y43" s="43"/>
      <c r="Z43" s="43"/>
      <c r="AA43" s="43"/>
      <c r="AB43" s="51"/>
      <c r="AC43" s="43"/>
      <c r="AD43" s="43"/>
      <c r="AE43" s="43"/>
      <c r="AF43" s="43"/>
      <c r="AG43" s="51"/>
      <c r="AH43" s="43"/>
      <c r="AI43" s="43"/>
      <c r="AJ43" s="43"/>
      <c r="AK43" s="43"/>
      <c r="AL43" s="42"/>
      <c r="AM43" s="43"/>
      <c r="AN43" s="43"/>
      <c r="AO43" s="43"/>
      <c r="AP43" s="43"/>
      <c r="AQ43" s="51"/>
      <c r="AR43" s="43"/>
      <c r="AS43" s="43"/>
      <c r="AT43" s="43"/>
      <c r="AU43" s="43"/>
      <c r="AV43" s="51"/>
      <c r="AW43" s="375"/>
      <c r="AX43" s="375"/>
      <c r="AY43" s="375"/>
      <c r="AZ43" s="375"/>
      <c r="BA43" s="51"/>
      <c r="BB43" s="442"/>
      <c r="BC43" s="442"/>
      <c r="BD43" s="442"/>
      <c r="BE43" s="442"/>
      <c r="BF43" s="51"/>
      <c r="BG43" s="443"/>
      <c r="BH43" s="443"/>
      <c r="BI43" s="375"/>
      <c r="BJ43" s="375"/>
      <c r="BK43" s="42"/>
      <c r="BL43" s="375"/>
      <c r="BM43" s="375"/>
      <c r="BN43" s="375"/>
      <c r="BO43" s="375"/>
      <c r="BP43" s="42"/>
      <c r="BQ43" s="375"/>
      <c r="BR43" s="375"/>
      <c r="BS43" s="375"/>
      <c r="BT43" s="375"/>
      <c r="BU43" s="42"/>
      <c r="BV43" s="375"/>
      <c r="BW43" s="375"/>
      <c r="BX43" s="375"/>
      <c r="BY43" s="375"/>
      <c r="BZ43" s="42"/>
      <c r="CA43" s="375"/>
      <c r="CB43" s="375"/>
      <c r="CC43" s="375"/>
      <c r="CD43" s="375"/>
      <c r="CE43" s="42"/>
      <c r="CF43" s="375"/>
      <c r="CG43" s="375"/>
      <c r="CH43" s="375"/>
      <c r="CI43" s="375"/>
      <c r="CJ43" s="42"/>
      <c r="CK43" s="375"/>
      <c r="CL43" s="375"/>
      <c r="CM43" s="375"/>
      <c r="CN43" s="375"/>
      <c r="CO43" s="42"/>
      <c r="CP43" s="375"/>
      <c r="CQ43" s="375"/>
      <c r="CR43" s="375"/>
      <c r="CS43" s="375"/>
      <c r="CT43" s="42"/>
      <c r="CU43" s="375"/>
      <c r="CV43" s="375"/>
      <c r="CW43" s="375"/>
      <c r="CX43" s="375"/>
      <c r="CY43" s="42"/>
      <c r="CZ43" s="375"/>
      <c r="DA43" s="375"/>
      <c r="DB43" s="375"/>
      <c r="DC43" s="375"/>
      <c r="DD43" s="42"/>
      <c r="DE43" s="375"/>
      <c r="DF43" s="375"/>
      <c r="DG43" s="375"/>
      <c r="DH43" s="375"/>
      <c r="DI43" s="42"/>
      <c r="DJ43" s="375"/>
      <c r="DK43" s="375"/>
      <c r="DL43" s="375"/>
      <c r="DM43" s="375"/>
      <c r="DN43" s="42"/>
      <c r="DO43" s="375"/>
      <c r="DP43" s="375"/>
      <c r="DQ43" s="375"/>
      <c r="DR43" s="375"/>
      <c r="DS43" s="42"/>
      <c r="DT43" s="375"/>
      <c r="DU43" s="375"/>
      <c r="DV43" s="375"/>
      <c r="DW43" s="375"/>
      <c r="DX43" s="42"/>
      <c r="DY43" s="375"/>
      <c r="DZ43" s="375"/>
      <c r="EA43" s="375"/>
      <c r="EB43" s="375"/>
      <c r="EC43" s="42"/>
      <c r="ED43" s="375"/>
      <c r="EE43" s="375"/>
      <c r="EF43" s="375"/>
      <c r="EG43" s="375"/>
      <c r="EH43" s="42"/>
      <c r="EI43" s="375"/>
      <c r="EJ43" s="375"/>
      <c r="EK43" s="375"/>
      <c r="EL43" s="375"/>
      <c r="EM43" s="42"/>
    </row>
    <row r="44" spans="2:145" ht="12.75" customHeight="1">
      <c r="B44" s="983" t="s">
        <v>1055</v>
      </c>
      <c r="C44" s="51"/>
      <c r="D44" s="43"/>
      <c r="E44" s="43"/>
      <c r="F44" s="43"/>
      <c r="G44" s="43"/>
      <c r="H44" s="51"/>
      <c r="I44" s="43"/>
      <c r="J44" s="43"/>
      <c r="K44" s="43"/>
      <c r="L44" s="43"/>
      <c r="M44" s="51"/>
      <c r="N44" s="43"/>
      <c r="O44" s="43"/>
      <c r="P44" s="43"/>
      <c r="Q44" s="43"/>
      <c r="R44" s="51"/>
      <c r="S44" s="43"/>
      <c r="T44" s="43"/>
      <c r="U44" s="43"/>
      <c r="V44" s="43"/>
      <c r="W44" s="51"/>
      <c r="X44" s="43"/>
      <c r="Y44" s="43"/>
      <c r="Z44" s="43"/>
      <c r="AA44" s="43"/>
      <c r="AB44" s="51"/>
      <c r="AC44" s="43"/>
      <c r="AD44" s="43"/>
      <c r="AE44" s="43"/>
      <c r="AF44" s="43"/>
      <c r="AG44" s="51"/>
      <c r="AH44" s="43"/>
      <c r="AI44" s="43"/>
      <c r="AJ44" s="43"/>
      <c r="AK44" s="43"/>
      <c r="AL44" s="42"/>
      <c r="AM44" s="43"/>
      <c r="AN44" s="43"/>
      <c r="AO44" s="43"/>
      <c r="AP44" s="43"/>
      <c r="AQ44" s="51"/>
      <c r="AR44" s="43"/>
      <c r="AS44" s="43"/>
      <c r="AT44" s="43"/>
      <c r="AU44" s="43"/>
      <c r="AV44" s="51"/>
      <c r="AW44" s="375"/>
      <c r="AX44" s="375"/>
      <c r="AY44" s="375"/>
      <c r="AZ44" s="375"/>
      <c r="BA44" s="51"/>
      <c r="BB44" s="442"/>
      <c r="BC44" s="442"/>
      <c r="BD44" s="442"/>
      <c r="BE44" s="442"/>
      <c r="BF44" s="51"/>
      <c r="BG44" s="443"/>
      <c r="BH44" s="443"/>
      <c r="BI44" s="375"/>
      <c r="BJ44" s="375"/>
      <c r="BK44" s="42"/>
      <c r="BL44" s="375"/>
      <c r="BM44" s="375"/>
      <c r="BN44" s="375"/>
      <c r="BO44" s="375"/>
      <c r="BP44" s="42"/>
      <c r="BQ44" s="375"/>
      <c r="BR44" s="375"/>
      <c r="BS44" s="375"/>
      <c r="BT44" s="375"/>
      <c r="BU44" s="42"/>
      <c r="BV44" s="375"/>
      <c r="BW44" s="375"/>
      <c r="BX44" s="375"/>
      <c r="BY44" s="375"/>
      <c r="BZ44" s="42"/>
      <c r="CA44" s="375"/>
      <c r="CB44" s="375"/>
      <c r="CC44" s="375"/>
      <c r="CD44" s="375"/>
      <c r="CE44" s="42">
        <f>IF(DCF!C40=1,0,'Juno CAR-T Revs'!D31)</f>
        <v>0</v>
      </c>
      <c r="CF44" s="375"/>
      <c r="CG44" s="375"/>
      <c r="CH44" s="375"/>
      <c r="CI44" s="375"/>
      <c r="CJ44" s="42">
        <f>IF(DCF!C40=1,0,'Juno CAR-T Revs'!E31)</f>
        <v>60.721385383593301</v>
      </c>
      <c r="CK44" s="375"/>
      <c r="CL44" s="375"/>
      <c r="CM44" s="375"/>
      <c r="CN44" s="375"/>
      <c r="CO44" s="42">
        <f>IF(DCF!C40=1,0,'Juno CAR-T Revs'!F31)</f>
        <v>179.92236046056186</v>
      </c>
      <c r="CP44" s="375"/>
      <c r="CQ44" s="375"/>
      <c r="CR44" s="375"/>
      <c r="CS44" s="375"/>
      <c r="CT44" s="42">
        <f>IF(DCF!C40=1,0,'Juno CAR-T Revs'!G31)</f>
        <v>609.01941397552901</v>
      </c>
      <c r="CU44" s="375"/>
      <c r="CV44" s="375"/>
      <c r="CW44" s="375"/>
      <c r="CX44" s="375"/>
      <c r="CY44" s="42">
        <f>IF(DCF!C40=1,0,'Juno CAR-T Revs'!H31)</f>
        <v>1084.5842819168452</v>
      </c>
      <c r="CZ44" s="375"/>
      <c r="DA44" s="375"/>
      <c r="DB44" s="375"/>
      <c r="DC44" s="375"/>
      <c r="DD44" s="42">
        <f>IF(DCF!C40=1,0,'Juno CAR-T Revs'!I31)</f>
        <v>1641.3016254159222</v>
      </c>
      <c r="DE44" s="375"/>
      <c r="DF44" s="375"/>
      <c r="DG44" s="375"/>
      <c r="DH44" s="375"/>
      <c r="DI44" s="42">
        <f>IF(DCF!C40=1,0,'Juno CAR-T Revs'!J31)</f>
        <v>2221.3355589296502</v>
      </c>
      <c r="DJ44" s="375"/>
      <c r="DK44" s="375"/>
      <c r="DL44" s="375"/>
      <c r="DM44" s="375"/>
      <c r="DN44" s="42">
        <f>IF(DCF!C40=1,0,'Juno CAR-T Revs'!K31)</f>
        <v>2487.0093120067422</v>
      </c>
      <c r="DO44" s="375"/>
      <c r="DP44" s="375"/>
      <c r="DQ44" s="375"/>
      <c r="DR44" s="375"/>
      <c r="DS44" s="42">
        <f>IF(DCF!C40=1,0,'Juno CAR-T Revs'!L31)</f>
        <v>2619.0114026094361</v>
      </c>
      <c r="DT44" s="375"/>
      <c r="DU44" s="375"/>
      <c r="DV44" s="375"/>
      <c r="DW44" s="375"/>
      <c r="DX44" s="42">
        <f>IF(DCF!C40=1,0,'Juno CAR-T Revs'!M31)</f>
        <v>2720.8468847352701</v>
      </c>
      <c r="DY44" s="375"/>
      <c r="DZ44" s="375"/>
      <c r="EA44" s="375"/>
      <c r="EB44" s="375"/>
      <c r="EC44" s="42">
        <f>IF(DCF!C40=1,0,'Juno CAR-T Revs'!N31)</f>
        <v>2821.9219340372065</v>
      </c>
      <c r="ED44" s="375"/>
      <c r="EE44" s="375"/>
      <c r="EF44" s="375"/>
      <c r="EG44" s="375"/>
      <c r="EH44" s="42">
        <f>IF(DCF!C40=1,0,'Juno CAR-T Revs'!O31)</f>
        <v>2889.1063124799884</v>
      </c>
      <c r="EI44" s="375"/>
      <c r="EJ44" s="375"/>
      <c r="EK44" s="375"/>
      <c r="EL44" s="375"/>
      <c r="EM44" s="42">
        <f>IF(DCF!C40=1,0,'Juno CAR-T Revs'!P31)</f>
        <v>2957.1421850184665</v>
      </c>
      <c r="EO44" s="449"/>
    </row>
    <row r="45" spans="2:145" ht="6.75" customHeight="1">
      <c r="B45" s="25"/>
      <c r="C45" s="51"/>
      <c r="D45" s="43"/>
      <c r="E45" s="43"/>
      <c r="F45" s="43"/>
      <c r="G45" s="43"/>
      <c r="H45" s="51"/>
      <c r="I45" s="43"/>
      <c r="J45" s="43"/>
      <c r="K45" s="43"/>
      <c r="L45" s="43"/>
      <c r="M45" s="51"/>
      <c r="N45" s="43"/>
      <c r="O45" s="43"/>
      <c r="P45" s="43"/>
      <c r="Q45" s="43"/>
      <c r="R45" s="51"/>
      <c r="S45" s="43"/>
      <c r="T45" s="43"/>
      <c r="U45" s="43"/>
      <c r="V45" s="43"/>
      <c r="W45" s="51"/>
      <c r="X45" s="43"/>
      <c r="Y45" s="43"/>
      <c r="Z45" s="43"/>
      <c r="AA45" s="43"/>
      <c r="AB45" s="51"/>
      <c r="AC45" s="43"/>
      <c r="AD45" s="43"/>
      <c r="AE45" s="43"/>
      <c r="AF45" s="43"/>
      <c r="AG45" s="51"/>
      <c r="AH45" s="43"/>
      <c r="AI45" s="43"/>
      <c r="AJ45" s="43"/>
      <c r="AK45" s="43"/>
      <c r="AL45" s="42"/>
      <c r="AM45" s="43"/>
      <c r="AN45" s="43"/>
      <c r="AO45" s="43"/>
      <c r="AP45" s="43"/>
      <c r="AQ45" s="51"/>
      <c r="AR45" s="43"/>
      <c r="AS45" s="43"/>
      <c r="AT45" s="43"/>
      <c r="AU45" s="43"/>
      <c r="AV45" s="51"/>
      <c r="AW45" s="375"/>
      <c r="AX45" s="375"/>
      <c r="AY45" s="375"/>
      <c r="AZ45" s="375"/>
      <c r="BA45" s="51"/>
      <c r="BB45" s="442"/>
      <c r="BC45" s="442"/>
      <c r="BD45" s="442"/>
      <c r="BE45" s="442"/>
      <c r="BF45" s="51"/>
      <c r="BG45" s="443"/>
      <c r="BH45" s="443"/>
      <c r="BI45" s="375"/>
      <c r="BJ45" s="375"/>
      <c r="BK45" s="42"/>
      <c r="BL45" s="375"/>
      <c r="BM45" s="375"/>
      <c r="BN45" s="375"/>
      <c r="BO45" s="375"/>
      <c r="BP45" s="42"/>
      <c r="BQ45" s="375"/>
      <c r="BR45" s="375"/>
      <c r="BS45" s="375"/>
      <c r="BT45" s="375"/>
      <c r="BU45" s="42"/>
      <c r="BV45" s="375"/>
      <c r="BW45" s="375"/>
      <c r="BX45" s="375"/>
      <c r="BY45" s="375"/>
      <c r="BZ45" s="42"/>
      <c r="CA45" s="375"/>
      <c r="CB45" s="375"/>
      <c r="CC45" s="375"/>
      <c r="CD45" s="375"/>
      <c r="CE45" s="42"/>
      <c r="CF45" s="375"/>
      <c r="CG45" s="375"/>
      <c r="CH45" s="375"/>
      <c r="CI45" s="375"/>
      <c r="CJ45" s="42"/>
      <c r="CK45" s="375"/>
      <c r="CL45" s="375"/>
      <c r="CM45" s="375"/>
      <c r="CN45" s="375"/>
      <c r="CO45" s="42"/>
      <c r="CP45" s="375"/>
      <c r="CQ45" s="375"/>
      <c r="CR45" s="375"/>
      <c r="CS45" s="375"/>
      <c r="CT45" s="42"/>
      <c r="CU45" s="375"/>
      <c r="CV45" s="375"/>
      <c r="CW45" s="375"/>
      <c r="CX45" s="375"/>
      <c r="CY45" s="42"/>
      <c r="CZ45" s="375"/>
      <c r="DA45" s="375"/>
      <c r="DB45" s="375"/>
      <c r="DC45" s="375"/>
      <c r="DD45" s="42"/>
      <c r="DE45" s="375"/>
      <c r="DF45" s="375"/>
      <c r="DG45" s="375"/>
      <c r="DH45" s="375"/>
      <c r="DI45" s="42"/>
      <c r="DJ45" s="375"/>
      <c r="DK45" s="375"/>
      <c r="DL45" s="375"/>
      <c r="DM45" s="375"/>
      <c r="DN45" s="42"/>
      <c r="DO45" s="375"/>
      <c r="DP45" s="375"/>
      <c r="DQ45" s="375"/>
      <c r="DR45" s="375"/>
      <c r="DS45" s="42"/>
      <c r="DT45" s="375"/>
      <c r="DU45" s="375"/>
      <c r="DV45" s="375"/>
      <c r="DW45" s="375"/>
      <c r="DX45" s="42"/>
      <c r="DY45" s="375"/>
      <c r="DZ45" s="375"/>
      <c r="EA45" s="375"/>
      <c r="EB45" s="375"/>
      <c r="EC45" s="42"/>
      <c r="ED45" s="375"/>
      <c r="EE45" s="375"/>
      <c r="EF45" s="375"/>
      <c r="EG45" s="375"/>
      <c r="EH45" s="42"/>
      <c r="EI45" s="375"/>
      <c r="EJ45" s="375"/>
      <c r="EK45" s="375"/>
      <c r="EL45" s="375"/>
      <c r="EM45" s="42"/>
    </row>
    <row r="46" spans="2:145" ht="12.75" customHeight="1">
      <c r="B46" s="983" t="s">
        <v>972</v>
      </c>
      <c r="C46" s="51"/>
      <c r="D46" s="43"/>
      <c r="E46" s="43"/>
      <c r="F46" s="43"/>
      <c r="G46" s="43"/>
      <c r="H46" s="51"/>
      <c r="I46" s="43"/>
      <c r="J46" s="43"/>
      <c r="K46" s="43"/>
      <c r="L46" s="43"/>
      <c r="M46" s="51"/>
      <c r="N46" s="43"/>
      <c r="O46" s="43"/>
      <c r="P46" s="43"/>
      <c r="Q46" s="43"/>
      <c r="R46" s="51"/>
      <c r="S46" s="43"/>
      <c r="T46" s="43"/>
      <c r="U46" s="43"/>
      <c r="V46" s="43"/>
      <c r="W46" s="51"/>
      <c r="X46" s="43"/>
      <c r="Y46" s="43"/>
      <c r="Z46" s="43"/>
      <c r="AA46" s="43"/>
      <c r="AB46" s="51"/>
      <c r="AC46" s="43"/>
      <c r="AD46" s="43"/>
      <c r="AE46" s="43"/>
      <c r="AF46" s="43"/>
      <c r="AG46" s="51"/>
      <c r="AH46" s="43"/>
      <c r="AI46" s="43"/>
      <c r="AJ46" s="43"/>
      <c r="AK46" s="43"/>
      <c r="AL46" s="42"/>
      <c r="AM46" s="43"/>
      <c r="AN46" s="43"/>
      <c r="AO46" s="43"/>
      <c r="AP46" s="43"/>
      <c r="AQ46" s="51"/>
      <c r="AR46" s="43"/>
      <c r="AS46" s="43"/>
      <c r="AT46" s="43"/>
      <c r="AU46" s="43"/>
      <c r="AV46" s="51"/>
      <c r="AW46" s="375"/>
      <c r="AX46" s="375"/>
      <c r="AY46" s="375"/>
      <c r="AZ46" s="375"/>
      <c r="BA46" s="51"/>
      <c r="BB46" s="442"/>
      <c r="BC46" s="442"/>
      <c r="BD46" s="442"/>
      <c r="BE46" s="442"/>
      <c r="BF46" s="51"/>
      <c r="BG46" s="443"/>
      <c r="BH46" s="443"/>
      <c r="BI46" s="375"/>
      <c r="BJ46" s="375"/>
      <c r="BK46" s="42"/>
      <c r="BL46" s="375"/>
      <c r="BM46" s="375"/>
      <c r="BN46" s="375"/>
      <c r="BO46" s="375"/>
      <c r="BP46" s="42"/>
      <c r="BQ46" s="375"/>
      <c r="BR46" s="973"/>
      <c r="BS46" s="973"/>
      <c r="BT46" s="375"/>
      <c r="BU46" s="42"/>
      <c r="BV46" s="375"/>
      <c r="BW46" s="375"/>
      <c r="BX46" s="375"/>
      <c r="BY46" s="375"/>
      <c r="BZ46" s="42"/>
      <c r="CA46" s="375"/>
      <c r="CB46" s="375"/>
      <c r="CC46" s="375"/>
      <c r="CD46" s="375"/>
      <c r="CE46" s="42">
        <f>IF($BU$162=1,0,MEDI4736!F7)</f>
        <v>0</v>
      </c>
      <c r="CF46" s="375"/>
      <c r="CG46" s="375"/>
      <c r="CH46" s="375"/>
      <c r="CI46" s="375"/>
      <c r="CJ46" s="42">
        <f>IF($BU$162=1,0,MEDI4736!G7)</f>
        <v>0</v>
      </c>
      <c r="CK46" s="375">
        <f>0.15*CO46</f>
        <v>0</v>
      </c>
      <c r="CL46" s="375">
        <f>0.2*CO46</f>
        <v>0</v>
      </c>
      <c r="CM46" s="375">
        <f>0.25*CO46</f>
        <v>0</v>
      </c>
      <c r="CN46" s="375">
        <f>0.4*CO46</f>
        <v>0</v>
      </c>
      <c r="CO46" s="42">
        <f>IF($BU$162=1,0,MEDI4736!H7)</f>
        <v>0</v>
      </c>
      <c r="CP46" s="375">
        <f>0.25*$CT$46</f>
        <v>0</v>
      </c>
      <c r="CQ46" s="375">
        <f t="shared" ref="CQ46:CS46" si="4">0.25*$CT$46</f>
        <v>0</v>
      </c>
      <c r="CR46" s="375">
        <f t="shared" si="4"/>
        <v>0</v>
      </c>
      <c r="CS46" s="375">
        <f t="shared" si="4"/>
        <v>0</v>
      </c>
      <c r="CT46" s="42">
        <f>IF($BU$162=1,0,MEDI4736!I7)</f>
        <v>0</v>
      </c>
      <c r="CU46" s="375">
        <f>IFERROR(($CY$46/$CT$46)*CP46,0)</f>
        <v>0</v>
      </c>
      <c r="CV46" s="375">
        <f t="shared" ref="CV46:CX46" si="5">IFERROR(($CY$46/$CT$46)*CQ46,0)</f>
        <v>0</v>
      </c>
      <c r="CW46" s="375">
        <f t="shared" si="5"/>
        <v>0</v>
      </c>
      <c r="CX46" s="375">
        <f t="shared" si="5"/>
        <v>0</v>
      </c>
      <c r="CY46" s="42">
        <f>IF($BU$162=1,0,MEDI4736!J7)</f>
        <v>0</v>
      </c>
      <c r="CZ46" s="375">
        <f>IFERROR(($DD$46/$CY$46)*CU46,0)</f>
        <v>0</v>
      </c>
      <c r="DA46" s="375">
        <f t="shared" ref="DA46:DC46" si="6">IFERROR(($DD$46/$CY$46)*CV46,0)</f>
        <v>0</v>
      </c>
      <c r="DB46" s="375">
        <f t="shared" si="6"/>
        <v>0</v>
      </c>
      <c r="DC46" s="375">
        <f t="shared" si="6"/>
        <v>0</v>
      </c>
      <c r="DD46" s="42">
        <f>IF($BU$162=1,0,MEDI4736!K7)</f>
        <v>0</v>
      </c>
      <c r="DE46" s="375">
        <f>IFERROR(($DI$46/$DD$46)*CZ46,0)</f>
        <v>0</v>
      </c>
      <c r="DF46" s="375">
        <f t="shared" ref="DF46:DH46" si="7">IFERROR(($DI$46/$DD$46)*DA46,0)</f>
        <v>0</v>
      </c>
      <c r="DG46" s="375">
        <f t="shared" si="7"/>
        <v>0</v>
      </c>
      <c r="DH46" s="375">
        <f t="shared" si="7"/>
        <v>0</v>
      </c>
      <c r="DI46" s="42">
        <f>IF($BU$162=1,0,MEDI4736!L7)</f>
        <v>0</v>
      </c>
      <c r="DJ46" s="375">
        <f>IFERROR(($DN$46/$DI$46)*DE46,0)</f>
        <v>0</v>
      </c>
      <c r="DK46" s="375">
        <f t="shared" ref="DK46:DM46" si="8">IFERROR(($DN$46/$DI$46)*DF46,0)</f>
        <v>0</v>
      </c>
      <c r="DL46" s="375">
        <f t="shared" si="8"/>
        <v>0</v>
      </c>
      <c r="DM46" s="375">
        <f t="shared" si="8"/>
        <v>0</v>
      </c>
      <c r="DN46" s="42">
        <f>IF($BU$162=1,0,MEDI4736!M7)</f>
        <v>0</v>
      </c>
      <c r="DO46" s="375">
        <f>IFERROR(($DS$46/$DN$46)*DJ46,0)</f>
        <v>0</v>
      </c>
      <c r="DP46" s="375">
        <f t="shared" ref="DP46:DR46" si="9">IFERROR(($DS$46/$DN$46)*DK46,0)</f>
        <v>0</v>
      </c>
      <c r="DQ46" s="375">
        <f t="shared" si="9"/>
        <v>0</v>
      </c>
      <c r="DR46" s="375">
        <f t="shared" si="9"/>
        <v>0</v>
      </c>
      <c r="DS46" s="42">
        <f>IF($BU$162=1,0,MEDI4736!N7)</f>
        <v>0</v>
      </c>
      <c r="DT46" s="375">
        <f>IFERROR(($DX$46/$DS$46)*DO46,0)</f>
        <v>0</v>
      </c>
      <c r="DU46" s="375">
        <f t="shared" ref="DU46:DW46" si="10">IFERROR(($DX$46/$DS$46)*DP46,0)</f>
        <v>0</v>
      </c>
      <c r="DV46" s="375">
        <f t="shared" si="10"/>
        <v>0</v>
      </c>
      <c r="DW46" s="375">
        <f t="shared" si="10"/>
        <v>0</v>
      </c>
      <c r="DX46" s="42">
        <f>IF($BU$162=1,0,MEDI4736!O7)</f>
        <v>0</v>
      </c>
      <c r="DY46" s="375">
        <f>IFERROR(($EC$46/$DX$46)*DT46,0)</f>
        <v>0</v>
      </c>
      <c r="DZ46" s="375">
        <f t="shared" ref="DZ46:EB46" si="11">IFERROR(($EC$46/$DX$46)*DU46,0)</f>
        <v>0</v>
      </c>
      <c r="EA46" s="375">
        <f t="shared" si="11"/>
        <v>0</v>
      </c>
      <c r="EB46" s="375">
        <f t="shared" si="11"/>
        <v>0</v>
      </c>
      <c r="EC46" s="42">
        <f>IF($BU$162=1,0,MEDI4736!P7)</f>
        <v>0</v>
      </c>
      <c r="ED46" s="375">
        <f>IFERROR(($EH$46/$EC$46)*DY46,0)</f>
        <v>0</v>
      </c>
      <c r="EE46" s="375">
        <f t="shared" ref="EE46:EG46" si="12">IFERROR(($EH$46/$EC$46)*DZ46,0)</f>
        <v>0</v>
      </c>
      <c r="EF46" s="375">
        <f t="shared" si="12"/>
        <v>0</v>
      </c>
      <c r="EG46" s="375">
        <f t="shared" si="12"/>
        <v>0</v>
      </c>
      <c r="EH46" s="42">
        <f>IF($BU$162=1,0,MEDI4736!Q7)</f>
        <v>0</v>
      </c>
      <c r="EI46" s="375">
        <f>IFERROR(($EM$46/$EH$46)*ED46,0)</f>
        <v>0</v>
      </c>
      <c r="EJ46" s="375">
        <f t="shared" ref="EJ46:EL46" si="13">IFERROR(($EM$46/$EH$46)*EE46,0)</f>
        <v>0</v>
      </c>
      <c r="EK46" s="375">
        <f t="shared" si="13"/>
        <v>0</v>
      </c>
      <c r="EL46" s="375">
        <f t="shared" si="13"/>
        <v>0</v>
      </c>
      <c r="EM46" s="42">
        <f>IF($BU$162=1,0,MEDI4736!R7)</f>
        <v>0</v>
      </c>
      <c r="EO46" s="449"/>
    </row>
    <row r="47" spans="2:145" ht="6.75" customHeight="1">
      <c r="B47" s="25"/>
      <c r="C47" s="51"/>
      <c r="D47" s="43"/>
      <c r="E47" s="43"/>
      <c r="F47" s="43"/>
      <c r="G47" s="43"/>
      <c r="H47" s="51"/>
      <c r="I47" s="43"/>
      <c r="J47" s="43"/>
      <c r="K47" s="43"/>
      <c r="L47" s="43"/>
      <c r="M47" s="51"/>
      <c r="N47" s="43"/>
      <c r="O47" s="43"/>
      <c r="P47" s="43"/>
      <c r="Q47" s="43"/>
      <c r="R47" s="51"/>
      <c r="S47" s="43"/>
      <c r="T47" s="43"/>
      <c r="U47" s="43"/>
      <c r="V47" s="43"/>
      <c r="W47" s="51"/>
      <c r="X47" s="43"/>
      <c r="Y47" s="43"/>
      <c r="Z47" s="43"/>
      <c r="AA47" s="43"/>
      <c r="AB47" s="51"/>
      <c r="AC47" s="43"/>
      <c r="AD47" s="43"/>
      <c r="AE47" s="43"/>
      <c r="AF47" s="43"/>
      <c r="AG47" s="51"/>
      <c r="AH47" s="43"/>
      <c r="AI47" s="43"/>
      <c r="AJ47" s="43"/>
      <c r="AK47" s="43"/>
      <c r="AL47" s="42"/>
      <c r="AM47" s="43"/>
      <c r="AN47" s="43"/>
      <c r="AO47" s="43"/>
      <c r="AP47" s="43"/>
      <c r="AQ47" s="51"/>
      <c r="AR47" s="43"/>
      <c r="AS47" s="43"/>
      <c r="AT47" s="43"/>
      <c r="AU47" s="43"/>
      <c r="AV47" s="51"/>
      <c r="AW47" s="375"/>
      <c r="AX47" s="375"/>
      <c r="AY47" s="375"/>
      <c r="AZ47" s="375"/>
      <c r="BA47" s="51"/>
      <c r="BB47" s="442"/>
      <c r="BC47" s="442"/>
      <c r="BD47" s="442"/>
      <c r="BE47" s="442"/>
      <c r="BF47" s="51"/>
      <c r="BG47" s="443"/>
      <c r="BH47" s="443"/>
      <c r="BI47" s="375"/>
      <c r="BJ47" s="375"/>
      <c r="BK47" s="42"/>
      <c r="BL47" s="375"/>
      <c r="BM47" s="375"/>
      <c r="BN47" s="375"/>
      <c r="BO47" s="375"/>
      <c r="BP47" s="42"/>
      <c r="BQ47" s="375"/>
      <c r="BR47" s="375"/>
      <c r="BS47" s="375"/>
      <c r="BT47" s="375"/>
      <c r="BU47" s="42"/>
      <c r="BV47" s="375"/>
      <c r="BW47" s="375"/>
      <c r="BX47" s="375"/>
      <c r="BY47" s="375"/>
      <c r="BZ47" s="42"/>
      <c r="CA47" s="375"/>
      <c r="CB47" s="375"/>
      <c r="CC47" s="375"/>
      <c r="CD47" s="375"/>
      <c r="CE47" s="42"/>
      <c r="CF47" s="375"/>
      <c r="CG47" s="375"/>
      <c r="CH47" s="375"/>
      <c r="CI47" s="375"/>
      <c r="CJ47" s="42"/>
      <c r="CK47" s="375"/>
      <c r="CL47" s="375"/>
      <c r="CM47" s="375"/>
      <c r="CN47" s="375"/>
      <c r="CO47" s="42"/>
      <c r="CP47" s="375"/>
      <c r="CQ47" s="375"/>
      <c r="CR47" s="375"/>
      <c r="CS47" s="375"/>
      <c r="CT47" s="42"/>
      <c r="CU47" s="375"/>
      <c r="CV47" s="375"/>
      <c r="CW47" s="375"/>
      <c r="CX47" s="375"/>
      <c r="CY47" s="42"/>
      <c r="CZ47" s="375"/>
      <c r="DA47" s="375"/>
      <c r="DB47" s="375"/>
      <c r="DC47" s="375"/>
      <c r="DD47" s="42"/>
      <c r="DE47" s="375"/>
      <c r="DF47" s="375"/>
      <c r="DG47" s="375"/>
      <c r="DH47" s="375"/>
      <c r="DI47" s="42"/>
      <c r="DJ47" s="375"/>
      <c r="DK47" s="375"/>
      <c r="DL47" s="375"/>
      <c r="DM47" s="375"/>
      <c r="DN47" s="42"/>
      <c r="DO47" s="375"/>
      <c r="DP47" s="375"/>
      <c r="DQ47" s="375"/>
      <c r="DR47" s="375"/>
      <c r="DS47" s="42"/>
      <c r="DT47" s="375"/>
      <c r="DU47" s="375"/>
      <c r="DV47" s="375"/>
      <c r="DW47" s="375"/>
      <c r="DX47" s="42"/>
      <c r="DY47" s="375"/>
      <c r="DZ47" s="375"/>
      <c r="EA47" s="375"/>
      <c r="EB47" s="375"/>
      <c r="EC47" s="42"/>
      <c r="ED47" s="375"/>
      <c r="EE47" s="375"/>
      <c r="EF47" s="375"/>
      <c r="EG47" s="375"/>
      <c r="EH47" s="42"/>
      <c r="EI47" s="375"/>
      <c r="EJ47" s="375"/>
      <c r="EK47" s="375"/>
      <c r="EL47" s="375"/>
      <c r="EM47" s="42"/>
    </row>
    <row r="48" spans="2:145">
      <c r="B48" s="25" t="s">
        <v>973</v>
      </c>
      <c r="C48" s="51"/>
      <c r="D48" s="43"/>
      <c r="E48" s="43"/>
      <c r="F48" s="43"/>
      <c r="G48" s="43"/>
      <c r="H48" s="51"/>
      <c r="I48" s="43"/>
      <c r="J48" s="43"/>
      <c r="K48" s="43"/>
      <c r="L48" s="43"/>
      <c r="M48" s="51"/>
      <c r="N48" s="43"/>
      <c r="O48" s="43"/>
      <c r="P48" s="43"/>
      <c r="Q48" s="43"/>
      <c r="R48" s="51"/>
      <c r="S48" s="43"/>
      <c r="T48" s="43"/>
      <c r="U48" s="43"/>
      <c r="V48" s="43"/>
      <c r="W48" s="51"/>
      <c r="X48" s="43"/>
      <c r="Y48" s="43"/>
      <c r="Z48" s="43"/>
      <c r="AA48" s="43"/>
      <c r="AB48" s="51"/>
      <c r="AC48" s="43"/>
      <c r="AD48" s="43"/>
      <c r="AE48" s="43"/>
      <c r="AF48" s="43"/>
      <c r="AG48" s="51"/>
      <c r="AH48" s="43"/>
      <c r="AI48" s="43"/>
      <c r="AJ48" s="43"/>
      <c r="AK48" s="43"/>
      <c r="AL48" s="42"/>
      <c r="AM48" s="43"/>
      <c r="AN48" s="43"/>
      <c r="AO48" s="43"/>
      <c r="AP48" s="43"/>
      <c r="AQ48" s="51"/>
      <c r="AR48" s="43"/>
      <c r="AS48" s="43"/>
      <c r="AT48" s="43"/>
      <c r="AU48" s="43"/>
      <c r="AV48" s="51"/>
      <c r="AW48" s="375"/>
      <c r="AX48" s="375"/>
      <c r="AY48" s="375"/>
      <c r="AZ48" s="375"/>
      <c r="BA48" s="51"/>
      <c r="BB48" s="442"/>
      <c r="BC48" s="442"/>
      <c r="BD48" s="442"/>
      <c r="BE48" s="442"/>
      <c r="BF48" s="51"/>
      <c r="BG48" s="443"/>
      <c r="BH48" s="443"/>
      <c r="BI48" s="375"/>
      <c r="BJ48" s="375"/>
      <c r="BK48" s="42"/>
      <c r="BL48" s="375"/>
      <c r="BM48" s="375"/>
      <c r="BN48" s="375"/>
      <c r="BO48" s="375"/>
      <c r="BP48" s="42"/>
      <c r="BQ48" s="375"/>
      <c r="BR48" s="973"/>
      <c r="BS48" s="973"/>
      <c r="BT48" s="375"/>
      <c r="BU48" s="42"/>
      <c r="BV48" s="375"/>
      <c r="BW48" s="375"/>
      <c r="BX48" s="375"/>
      <c r="BY48" s="375"/>
      <c r="BZ48" s="42"/>
      <c r="CA48" s="375">
        <f>CA49+CA50</f>
        <v>0</v>
      </c>
      <c r="CB48" s="375">
        <f t="shared" ref="CB48:CD48" si="14">CB49+CB50</f>
        <v>0</v>
      </c>
      <c r="CC48" s="375">
        <f t="shared" si="14"/>
        <v>0</v>
      </c>
      <c r="CD48" s="375">
        <f t="shared" si="14"/>
        <v>0</v>
      </c>
      <c r="CE48" s="42">
        <f>SUM(CE49:CE50)</f>
        <v>0</v>
      </c>
      <c r="CF48" s="375">
        <f>$CJ$48*0.25</f>
        <v>13.631615958557452</v>
      </c>
      <c r="CG48" s="375">
        <f>$CJ$48*0.25</f>
        <v>13.631615958557452</v>
      </c>
      <c r="CH48" s="375">
        <f>$CJ$48*0.25</f>
        <v>13.631615958557452</v>
      </c>
      <c r="CI48" s="375">
        <f>$CJ$48*0.25</f>
        <v>13.631615958557452</v>
      </c>
      <c r="CJ48" s="42">
        <f>SUM(CJ49:CJ50)</f>
        <v>54.526463834229808</v>
      </c>
      <c r="CK48" s="375">
        <f>IFERROR(($CO$48/$CJ$48)*CF48,)</f>
        <v>27.946619819340508</v>
      </c>
      <c r="CL48" s="375">
        <f t="shared" ref="CL48:CN48" si="15">IFERROR(($CO$48/$CJ$48)*CG48,)</f>
        <v>27.946619819340508</v>
      </c>
      <c r="CM48" s="375">
        <f t="shared" si="15"/>
        <v>27.946619819340508</v>
      </c>
      <c r="CN48" s="375">
        <f t="shared" si="15"/>
        <v>27.946619819340508</v>
      </c>
      <c r="CO48" s="42">
        <f>SUM(CO49:CO50)</f>
        <v>111.78647927736203</v>
      </c>
      <c r="CP48" s="375">
        <f>IFERROR(($CT$48/$CO$48)*CK48,0)</f>
        <v>36.555554245699398</v>
      </c>
      <c r="CQ48" s="375">
        <f t="shared" ref="CQ48:CS48" si="16">IFERROR(($CT$48/$CO$48)*CL48,0)</f>
        <v>36.555554245699398</v>
      </c>
      <c r="CR48" s="375">
        <f t="shared" si="16"/>
        <v>36.555554245699398</v>
      </c>
      <c r="CS48" s="375">
        <f t="shared" si="16"/>
        <v>36.555554245699398</v>
      </c>
      <c r="CT48" s="42">
        <f>SUM(CT49:CT50)</f>
        <v>146.22221698279759</v>
      </c>
      <c r="CU48" s="375">
        <f>IFERROR(($CY$48/$CT$48)*CP48,0)</f>
        <v>40.084520241559829</v>
      </c>
      <c r="CV48" s="375">
        <f t="shared" ref="CV48:CX48" si="17">IFERROR(($CY$48/$CT$48)*CQ48,0)</f>
        <v>40.084520241559829</v>
      </c>
      <c r="CW48" s="375">
        <f t="shared" si="17"/>
        <v>40.084520241559829</v>
      </c>
      <c r="CX48" s="375">
        <f t="shared" si="17"/>
        <v>40.084520241559829</v>
      </c>
      <c r="CY48" s="42">
        <f>SUM(CY49:CY50)</f>
        <v>160.33808096623929</v>
      </c>
      <c r="CZ48" s="375">
        <f>IFERROR(($DD$48/$CY$48)*CU48,0)</f>
        <v>41.02297543640632</v>
      </c>
      <c r="DA48" s="375">
        <f t="shared" ref="DA48:DC48" si="18">IFERROR(($DD$48/$CY$48)*CV48,0)</f>
        <v>41.02297543640632</v>
      </c>
      <c r="DB48" s="375">
        <f t="shared" si="18"/>
        <v>41.02297543640632</v>
      </c>
      <c r="DC48" s="375">
        <f t="shared" si="18"/>
        <v>41.02297543640632</v>
      </c>
      <c r="DD48" s="42">
        <f>SUM(DD49:DD50)</f>
        <v>164.09190174562525</v>
      </c>
      <c r="DE48" s="375">
        <f>IFERROR(($DI$48/$DD$48)*CZ48,0)</f>
        <v>41.533811830883664</v>
      </c>
      <c r="DF48" s="375">
        <f t="shared" ref="DF48:DH48" si="19">IFERROR(($DI$48/$DD$48)*DA48,0)</f>
        <v>41.533811830883664</v>
      </c>
      <c r="DG48" s="375">
        <f t="shared" si="19"/>
        <v>41.533811830883664</v>
      </c>
      <c r="DH48" s="375">
        <f t="shared" si="19"/>
        <v>41.533811830883664</v>
      </c>
      <c r="DI48" s="42">
        <f>SUM(DI49:DI50)</f>
        <v>166.13524732353463</v>
      </c>
      <c r="DJ48" s="375">
        <f>IFERROR(($DN$48/$DI$48)*DE48,0)</f>
        <v>42.035298357138402</v>
      </c>
      <c r="DK48" s="375">
        <f t="shared" ref="DK48:DM48" si="20">IFERROR(($DN$48/$DI$48)*DF48,0)</f>
        <v>42.035298357138402</v>
      </c>
      <c r="DL48" s="375">
        <f t="shared" si="20"/>
        <v>42.035298357138402</v>
      </c>
      <c r="DM48" s="375">
        <f t="shared" si="20"/>
        <v>42.035298357138402</v>
      </c>
      <c r="DN48" s="42">
        <f>SUM(DN49:DN50)</f>
        <v>168.14119342855355</v>
      </c>
      <c r="DO48" s="375">
        <f>IFERROR(($DS$48/$DN$48)*DJ48,0)</f>
        <v>42.592444362970731</v>
      </c>
      <c r="DP48" s="375">
        <f t="shared" ref="DP48:DR48" si="21">IFERROR(($DS$48/$DN$48)*DK48,0)</f>
        <v>42.592444362970731</v>
      </c>
      <c r="DQ48" s="375">
        <f t="shared" si="21"/>
        <v>42.592444362970731</v>
      </c>
      <c r="DR48" s="375">
        <f t="shared" si="21"/>
        <v>42.592444362970731</v>
      </c>
      <c r="DS48" s="42">
        <f>SUM(DS49:DS50)</f>
        <v>170.36977745188287</v>
      </c>
      <c r="DT48" s="375">
        <f>IFERROR(($DX$48/$DS$48)*DO48,0)</f>
        <v>43.2044506841548</v>
      </c>
      <c r="DU48" s="375">
        <f t="shared" ref="DU48:DW48" si="22">IFERROR(($DX$48/$DS$48)*DP48,0)</f>
        <v>43.2044506841548</v>
      </c>
      <c r="DV48" s="375">
        <f t="shared" si="22"/>
        <v>43.2044506841548</v>
      </c>
      <c r="DW48" s="375">
        <f t="shared" si="22"/>
        <v>43.2044506841548</v>
      </c>
      <c r="DX48" s="42">
        <f>SUM(DX49:DX50)</f>
        <v>172.81780273661914</v>
      </c>
      <c r="DY48" s="375">
        <f>IFERROR(($EC$48/$DX$48)*DT48,0)</f>
        <v>43.607718409183313</v>
      </c>
      <c r="DZ48" s="375">
        <f t="shared" ref="DZ48:EB48" si="23">IFERROR(($EC$48/$DX$48)*DU48,0)</f>
        <v>43.607718409183313</v>
      </c>
      <c r="EA48" s="375">
        <f t="shared" si="23"/>
        <v>43.607718409183313</v>
      </c>
      <c r="EB48" s="375">
        <f t="shared" si="23"/>
        <v>43.607718409183313</v>
      </c>
      <c r="EC48" s="42">
        <f>SUM(EC49:EC50)</f>
        <v>174.4308736367332</v>
      </c>
      <c r="ED48" s="375">
        <f>IFERROR(($EH$48/$EC$48)*DY48,0)</f>
        <v>43.989931675028373</v>
      </c>
      <c r="EE48" s="375">
        <f t="shared" ref="EE48:EG48" si="24">IFERROR(($EH$48/$EC$48)*DZ48,0)</f>
        <v>43.989931675028373</v>
      </c>
      <c r="EF48" s="375">
        <f t="shared" si="24"/>
        <v>43.989931675028373</v>
      </c>
      <c r="EG48" s="375">
        <f t="shared" si="24"/>
        <v>43.989931675028373</v>
      </c>
      <c r="EH48" s="42">
        <f>SUM(EH49:EH50)</f>
        <v>175.95972670011344</v>
      </c>
      <c r="EI48" s="375">
        <f>IFERROR(($EM$48/$EH$48)*ED48,0)</f>
        <v>17.747628664758412</v>
      </c>
      <c r="EJ48" s="375">
        <f t="shared" ref="EJ48:EL48" si="25">IFERROR(($EM$48/$EH$48)*EE48,0)</f>
        <v>17.747628664758412</v>
      </c>
      <c r="EK48" s="375">
        <f t="shared" si="25"/>
        <v>17.747628664758412</v>
      </c>
      <c r="EL48" s="375">
        <f t="shared" si="25"/>
        <v>17.747628664758412</v>
      </c>
      <c r="EM48" s="42">
        <f>SUM(EM49:EM50)</f>
        <v>70.990514659033636</v>
      </c>
      <c r="EN48" s="862"/>
      <c r="EO48" s="862"/>
    </row>
    <row r="49" spans="1:145" hidden="1" outlineLevel="1">
      <c r="B49" s="359" t="s">
        <v>181</v>
      </c>
      <c r="C49" s="51"/>
      <c r="D49" s="43"/>
      <c r="E49" s="43"/>
      <c r="F49" s="43"/>
      <c r="G49" s="43"/>
      <c r="H49" s="51"/>
      <c r="I49" s="43"/>
      <c r="J49" s="43"/>
      <c r="K49" s="43"/>
      <c r="L49" s="43"/>
      <c r="M49" s="51"/>
      <c r="N49" s="43"/>
      <c r="O49" s="43"/>
      <c r="P49" s="43"/>
      <c r="Q49" s="43"/>
      <c r="R49" s="51"/>
      <c r="S49" s="43"/>
      <c r="T49" s="43"/>
      <c r="U49" s="43"/>
      <c r="V49" s="43"/>
      <c r="W49" s="51"/>
      <c r="X49" s="43"/>
      <c r="Y49" s="43"/>
      <c r="Z49" s="43"/>
      <c r="AA49" s="43"/>
      <c r="AB49" s="51"/>
      <c r="AC49" s="43"/>
      <c r="AD49" s="43"/>
      <c r="AE49" s="43"/>
      <c r="AF49" s="43"/>
      <c r="AG49" s="51"/>
      <c r="AH49" s="43"/>
      <c r="AI49" s="43"/>
      <c r="AJ49" s="43"/>
      <c r="AK49" s="43"/>
      <c r="AL49" s="42"/>
      <c r="AM49" s="43"/>
      <c r="AN49" s="43"/>
      <c r="AO49" s="43"/>
      <c r="AP49" s="43"/>
      <c r="AQ49" s="51"/>
      <c r="AR49" s="43"/>
      <c r="AS49" s="43"/>
      <c r="AT49" s="43"/>
      <c r="AU49" s="43"/>
      <c r="AV49" s="51"/>
      <c r="AW49" s="375"/>
      <c r="AX49" s="375"/>
      <c r="AY49" s="375"/>
      <c r="AZ49" s="375"/>
      <c r="BA49" s="51"/>
      <c r="BB49" s="442"/>
      <c r="BC49" s="442"/>
      <c r="BD49" s="442"/>
      <c r="BE49" s="442"/>
      <c r="BF49" s="51"/>
      <c r="BG49" s="443"/>
      <c r="BH49" s="443"/>
      <c r="BI49" s="375"/>
      <c r="BJ49" s="375"/>
      <c r="BK49" s="42"/>
      <c r="BL49" s="375"/>
      <c r="BM49" s="375"/>
      <c r="BN49" s="375"/>
      <c r="BO49" s="375"/>
      <c r="BP49" s="42"/>
      <c r="BQ49" s="375"/>
      <c r="BR49" s="375"/>
      <c r="BS49" s="375"/>
      <c r="BT49" s="375"/>
      <c r="BU49" s="42"/>
      <c r="BV49" s="375"/>
      <c r="BW49" s="375"/>
      <c r="BX49" s="375"/>
      <c r="BY49" s="375"/>
      <c r="BZ49" s="42"/>
      <c r="CA49" s="375">
        <v>0</v>
      </c>
      <c r="CB49" s="375">
        <f>CA49</f>
        <v>0</v>
      </c>
      <c r="CC49" s="375">
        <v>0</v>
      </c>
      <c r="CD49" s="375">
        <f>CE49-SUM(CA49:CC49)</f>
        <v>0</v>
      </c>
      <c r="CE49" s="42">
        <f>'Ozanimod_RRMS US'!L13</f>
        <v>0</v>
      </c>
      <c r="CF49" s="375"/>
      <c r="CG49" s="375"/>
      <c r="CH49" s="375"/>
      <c r="CI49" s="375"/>
      <c r="CJ49" s="42">
        <f>'Ozanimod_RRMS US'!M13</f>
        <v>32.913799033524356</v>
      </c>
      <c r="CK49" s="375"/>
      <c r="CL49" s="375"/>
      <c r="CM49" s="375"/>
      <c r="CN49" s="375"/>
      <c r="CO49" s="42">
        <f>'Ozanimod_RRMS US'!N13</f>
        <v>79.8408292126894</v>
      </c>
      <c r="CP49" s="375"/>
      <c r="CQ49" s="375"/>
      <c r="CR49" s="375"/>
      <c r="CS49" s="375"/>
      <c r="CT49" s="42">
        <f>'Ozanimod_RRMS US'!O13</f>
        <v>103.75382219443352</v>
      </c>
      <c r="CU49" s="375"/>
      <c r="CV49" s="375"/>
      <c r="CW49" s="375"/>
      <c r="CX49" s="375"/>
      <c r="CY49" s="42">
        <f>'Ozanimod_RRMS US'!P13</f>
        <v>107.86287053389191</v>
      </c>
      <c r="CZ49" s="375"/>
      <c r="DA49" s="375"/>
      <c r="DB49" s="375"/>
      <c r="DC49" s="375"/>
      <c r="DD49" s="42">
        <f>'Ozanimod_RRMS US'!Q13</f>
        <v>112.13434829853769</v>
      </c>
      <c r="DE49" s="375"/>
      <c r="DF49" s="375"/>
      <c r="DG49" s="375"/>
      <c r="DH49" s="375"/>
      <c r="DI49" s="42">
        <f>'Ozanimod_RRMS US'!R13</f>
        <v>115.43177635662138</v>
      </c>
      <c r="DJ49" s="375"/>
      <c r="DK49" s="375"/>
      <c r="DL49" s="375"/>
      <c r="DM49" s="375"/>
      <c r="DN49" s="42">
        <f>'Ozanimod_RRMS US'!S13</f>
        <v>118.82584807255436</v>
      </c>
      <c r="DO49" s="375"/>
      <c r="DP49" s="375"/>
      <c r="DQ49" s="375"/>
      <c r="DR49" s="375"/>
      <c r="DS49" s="42">
        <f>'Ozanimod_RRMS US'!T13</f>
        <v>122.31938757963374</v>
      </c>
      <c r="DT49" s="375"/>
      <c r="DU49" s="375"/>
      <c r="DV49" s="375"/>
      <c r="DW49" s="375"/>
      <c r="DX49" s="42">
        <f>'Ozanimod_RRMS US'!U13</f>
        <v>125.91530131881544</v>
      </c>
      <c r="DY49" s="375"/>
      <c r="DZ49" s="375"/>
      <c r="EA49" s="375"/>
      <c r="EB49" s="375"/>
      <c r="EC49" s="42">
        <f>'Ozanimod_RRMS US'!V13</f>
        <v>128.33324795222862</v>
      </c>
      <c r="ED49" s="375"/>
      <c r="EE49" s="375"/>
      <c r="EF49" s="375"/>
      <c r="EG49" s="375"/>
      <c r="EH49" s="42">
        <f>'Ozanimod_RRMS US'!W13</f>
        <v>130.79727793671935</v>
      </c>
      <c r="EI49" s="375"/>
      <c r="EJ49" s="375"/>
      <c r="EK49" s="375"/>
      <c r="EL49" s="375"/>
      <c r="EM49" s="42">
        <f>'Ozanimod_RRMS US'!X13</f>
        <v>26.661652797612067</v>
      </c>
    </row>
    <row r="50" spans="1:145" hidden="1" outlineLevel="1">
      <c r="B50" s="359" t="s">
        <v>76</v>
      </c>
      <c r="C50" s="51"/>
      <c r="D50" s="43"/>
      <c r="E50" s="43"/>
      <c r="F50" s="43"/>
      <c r="G50" s="43"/>
      <c r="H50" s="51"/>
      <c r="I50" s="43"/>
      <c r="J50" s="43"/>
      <c r="K50" s="43"/>
      <c r="L50" s="43"/>
      <c r="M50" s="51"/>
      <c r="N50" s="43"/>
      <c r="O50" s="43"/>
      <c r="P50" s="43"/>
      <c r="Q50" s="43"/>
      <c r="R50" s="51"/>
      <c r="S50" s="43"/>
      <c r="T50" s="43"/>
      <c r="U50" s="43"/>
      <c r="V50" s="43"/>
      <c r="W50" s="51"/>
      <c r="X50" s="43"/>
      <c r="Y50" s="43"/>
      <c r="Z50" s="43"/>
      <c r="AA50" s="43"/>
      <c r="AB50" s="51"/>
      <c r="AC50" s="43"/>
      <c r="AD50" s="43"/>
      <c r="AE50" s="43"/>
      <c r="AF50" s="43"/>
      <c r="AG50" s="51"/>
      <c r="AH50" s="43"/>
      <c r="AI50" s="43"/>
      <c r="AJ50" s="43"/>
      <c r="AK50" s="43"/>
      <c r="AL50" s="42"/>
      <c r="AM50" s="43"/>
      <c r="AN50" s="43"/>
      <c r="AO50" s="43"/>
      <c r="AP50" s="43"/>
      <c r="AQ50" s="51"/>
      <c r="AR50" s="43"/>
      <c r="AS50" s="43"/>
      <c r="AT50" s="43"/>
      <c r="AU50" s="43"/>
      <c r="AV50" s="51"/>
      <c r="AW50" s="375"/>
      <c r="AX50" s="375"/>
      <c r="AY50" s="375"/>
      <c r="AZ50" s="375"/>
      <c r="BA50" s="51"/>
      <c r="BB50" s="442"/>
      <c r="BC50" s="442"/>
      <c r="BD50" s="442"/>
      <c r="BE50" s="442"/>
      <c r="BF50" s="51"/>
      <c r="BG50" s="443"/>
      <c r="BH50" s="443"/>
      <c r="BI50" s="375"/>
      <c r="BJ50" s="375"/>
      <c r="BK50" s="42"/>
      <c r="BL50" s="375"/>
      <c r="BM50" s="375"/>
      <c r="BN50" s="375"/>
      <c r="BO50" s="375"/>
      <c r="BP50" s="42"/>
      <c r="BQ50" s="375"/>
      <c r="BR50" s="375"/>
      <c r="BS50" s="375"/>
      <c r="BT50" s="375"/>
      <c r="BU50" s="42"/>
      <c r="BV50" s="375"/>
      <c r="BW50" s="375"/>
      <c r="BX50" s="375"/>
      <c r="BY50" s="375"/>
      <c r="BZ50" s="42"/>
      <c r="CA50" s="375">
        <v>0</v>
      </c>
      <c r="CB50" s="375">
        <f>CA50</f>
        <v>0</v>
      </c>
      <c r="CC50" s="375">
        <v>0</v>
      </c>
      <c r="CD50" s="375">
        <f>CE50-SUM(CA50:CC50)</f>
        <v>0</v>
      </c>
      <c r="CE50" s="42">
        <f>'Ozanimod_RRMS ROW'!L13</f>
        <v>0</v>
      </c>
      <c r="CF50" s="375"/>
      <c r="CG50" s="375"/>
      <c r="CH50" s="375"/>
      <c r="CI50" s="375"/>
      <c r="CJ50" s="42">
        <f>'Ozanimod_RRMS ROW'!M13</f>
        <v>21.612664800705453</v>
      </c>
      <c r="CK50" s="375"/>
      <c r="CL50" s="375"/>
      <c r="CM50" s="375"/>
      <c r="CN50" s="375"/>
      <c r="CO50" s="42">
        <f>'Ozanimod_RRMS ROW'!N13</f>
        <v>31.945650064672634</v>
      </c>
      <c r="CP50" s="375"/>
      <c r="CQ50" s="375"/>
      <c r="CR50" s="375"/>
      <c r="CS50" s="375"/>
      <c r="CT50" s="42">
        <f>'Ozanimod_RRMS ROW'!O13</f>
        <v>42.468394788364058</v>
      </c>
      <c r="CU50" s="375"/>
      <c r="CV50" s="375"/>
      <c r="CW50" s="375"/>
      <c r="CX50" s="375"/>
      <c r="CY50" s="42">
        <f>'Ozanimod_RRMS ROW'!P13</f>
        <v>52.475210432347382</v>
      </c>
      <c r="CZ50" s="375"/>
      <c r="DA50" s="375"/>
      <c r="DB50" s="375"/>
      <c r="DC50" s="375"/>
      <c r="DD50" s="42">
        <f>'Ozanimod_RRMS ROW'!Q13</f>
        <v>51.95755344708757</v>
      </c>
      <c r="DE50" s="375"/>
      <c r="DF50" s="375"/>
      <c r="DG50" s="375"/>
      <c r="DH50" s="375"/>
      <c r="DI50" s="42">
        <f>'Ozanimod_RRMS ROW'!R13</f>
        <v>50.703470966913251</v>
      </c>
      <c r="DJ50" s="375"/>
      <c r="DK50" s="375"/>
      <c r="DL50" s="375"/>
      <c r="DM50" s="375"/>
      <c r="DN50" s="42">
        <f>'Ozanimod_RRMS ROW'!S13</f>
        <v>49.315345355999199</v>
      </c>
      <c r="DO50" s="375"/>
      <c r="DP50" s="375"/>
      <c r="DQ50" s="375"/>
      <c r="DR50" s="375"/>
      <c r="DS50" s="42">
        <f>'Ozanimod_RRMS ROW'!T13</f>
        <v>48.05038987224912</v>
      </c>
      <c r="DT50" s="375"/>
      <c r="DU50" s="375"/>
      <c r="DV50" s="375"/>
      <c r="DW50" s="375"/>
      <c r="DX50" s="42">
        <f>'Ozanimod_RRMS ROW'!U13</f>
        <v>46.902501417803713</v>
      </c>
      <c r="DY50" s="375"/>
      <c r="DZ50" s="375"/>
      <c r="EA50" s="375"/>
      <c r="EB50" s="375"/>
      <c r="EC50" s="42">
        <f>'Ozanimod_RRMS ROW'!V13</f>
        <v>46.097625684504585</v>
      </c>
      <c r="ED50" s="375"/>
      <c r="EE50" s="375"/>
      <c r="EF50" s="375"/>
      <c r="EG50" s="375"/>
      <c r="EH50" s="42">
        <f>'Ozanimod_RRMS ROW'!W13</f>
        <v>45.162448763394067</v>
      </c>
      <c r="EI50" s="375"/>
      <c r="EJ50" s="375"/>
      <c r="EK50" s="375"/>
      <c r="EL50" s="375"/>
      <c r="EM50" s="42">
        <f>'Ozanimod_RRMS ROW'!X13</f>
        <v>44.328861861421565</v>
      </c>
    </row>
    <row r="51" spans="1:145" ht="6.75" customHeight="1" collapsed="1">
      <c r="B51" s="25"/>
      <c r="C51" s="51"/>
      <c r="D51" s="43"/>
      <c r="E51" s="43"/>
      <c r="F51" s="43"/>
      <c r="G51" s="43"/>
      <c r="H51" s="51"/>
      <c r="I51" s="43"/>
      <c r="J51" s="43"/>
      <c r="K51" s="43"/>
      <c r="L51" s="43"/>
      <c r="M51" s="51"/>
      <c r="N51" s="43"/>
      <c r="O51" s="43"/>
      <c r="P51" s="43"/>
      <c r="Q51" s="43"/>
      <c r="R51" s="51"/>
      <c r="S51" s="43"/>
      <c r="T51" s="43"/>
      <c r="U51" s="43"/>
      <c r="V51" s="43"/>
      <c r="W51" s="51"/>
      <c r="X51" s="43"/>
      <c r="Y51" s="43"/>
      <c r="Z51" s="43"/>
      <c r="AA51" s="43"/>
      <c r="AB51" s="51"/>
      <c r="AC51" s="43"/>
      <c r="AD51" s="43"/>
      <c r="AE51" s="43"/>
      <c r="AF51" s="43"/>
      <c r="AG51" s="51"/>
      <c r="AH51" s="43"/>
      <c r="AI51" s="43"/>
      <c r="AJ51" s="43"/>
      <c r="AK51" s="43"/>
      <c r="AL51" s="42"/>
      <c r="AM51" s="43"/>
      <c r="AN51" s="43"/>
      <c r="AO51" s="43"/>
      <c r="AP51" s="43"/>
      <c r="AQ51" s="51"/>
      <c r="AR51" s="43"/>
      <c r="AS51" s="43"/>
      <c r="AT51" s="43"/>
      <c r="AU51" s="43"/>
      <c r="AV51" s="51"/>
      <c r="AW51" s="375"/>
      <c r="AX51" s="375"/>
      <c r="AY51" s="375"/>
      <c r="AZ51" s="375"/>
      <c r="BA51" s="51"/>
      <c r="BB51" s="442"/>
      <c r="BC51" s="442"/>
      <c r="BD51" s="442"/>
      <c r="BE51" s="442"/>
      <c r="BF51" s="51"/>
      <c r="BG51" s="443"/>
      <c r="BH51" s="443"/>
      <c r="BI51" s="375"/>
      <c r="BJ51" s="375"/>
      <c r="BK51" s="42"/>
      <c r="BL51" s="375"/>
      <c r="BM51" s="375"/>
      <c r="BN51" s="375"/>
      <c r="BO51" s="375"/>
      <c r="BP51" s="42"/>
      <c r="BQ51" s="375"/>
      <c r="BR51" s="375"/>
      <c r="BS51" s="375"/>
      <c r="BT51" s="375"/>
      <c r="BU51" s="42"/>
      <c r="BV51" s="375"/>
      <c r="BW51" s="375"/>
      <c r="BX51" s="375"/>
      <c r="BY51" s="375"/>
      <c r="BZ51" s="42"/>
      <c r="CA51" s="375"/>
      <c r="CB51" s="375"/>
      <c r="CC51" s="375"/>
      <c r="CD51" s="375"/>
      <c r="CE51" s="42"/>
      <c r="CF51" s="375"/>
      <c r="CG51" s="375"/>
      <c r="CH51" s="375"/>
      <c r="CI51" s="375"/>
      <c r="CJ51" s="42"/>
      <c r="CK51" s="375"/>
      <c r="CL51" s="375"/>
      <c r="CM51" s="375"/>
      <c r="CN51" s="375"/>
      <c r="CO51" s="42"/>
      <c r="CP51" s="375"/>
      <c r="CQ51" s="375"/>
      <c r="CR51" s="375"/>
      <c r="CS51" s="375"/>
      <c r="CT51" s="42"/>
      <c r="CU51" s="375"/>
      <c r="CV51" s="375"/>
      <c r="CW51" s="375"/>
      <c r="CX51" s="375"/>
      <c r="CY51" s="42"/>
      <c r="CZ51" s="375"/>
      <c r="DA51" s="375"/>
      <c r="DB51" s="375"/>
      <c r="DC51" s="375"/>
      <c r="DD51" s="42"/>
      <c r="DE51" s="375"/>
      <c r="DF51" s="375"/>
      <c r="DG51" s="375"/>
      <c r="DH51" s="375"/>
      <c r="DI51" s="42"/>
      <c r="DJ51" s="375"/>
      <c r="DK51" s="375"/>
      <c r="DL51" s="375"/>
      <c r="DM51" s="375"/>
      <c r="DN51" s="42"/>
      <c r="DO51" s="375"/>
      <c r="DP51" s="375"/>
      <c r="DQ51" s="375"/>
      <c r="DR51" s="375"/>
      <c r="DS51" s="42"/>
      <c r="DT51" s="375"/>
      <c r="DU51" s="375"/>
      <c r="DV51" s="375"/>
      <c r="DW51" s="375"/>
      <c r="DX51" s="42"/>
      <c r="DY51" s="375"/>
      <c r="DZ51" s="375"/>
      <c r="EA51" s="375"/>
      <c r="EB51" s="375"/>
      <c r="EC51" s="42"/>
      <c r="ED51" s="375"/>
      <c r="EE51" s="375"/>
      <c r="EF51" s="375"/>
      <c r="EG51" s="375"/>
      <c r="EH51" s="42"/>
      <c r="EI51" s="375"/>
      <c r="EJ51" s="375"/>
      <c r="EK51" s="375"/>
      <c r="EL51" s="375"/>
      <c r="EM51" s="42"/>
    </row>
    <row r="52" spans="1:145" ht="12.75" customHeight="1">
      <c r="B52" s="983" t="s">
        <v>974</v>
      </c>
      <c r="C52" s="51"/>
      <c r="D52" s="43"/>
      <c r="E52" s="43"/>
      <c r="F52" s="43"/>
      <c r="G52" s="43"/>
      <c r="H52" s="51"/>
      <c r="I52" s="43"/>
      <c r="J52" s="43"/>
      <c r="K52" s="43"/>
      <c r="L52" s="43"/>
      <c r="M52" s="51"/>
      <c r="N52" s="43"/>
      <c r="O52" s="43"/>
      <c r="P52" s="43"/>
      <c r="Q52" s="43"/>
      <c r="R52" s="51"/>
      <c r="S52" s="43"/>
      <c r="T52" s="43"/>
      <c r="U52" s="43"/>
      <c r="V52" s="43"/>
      <c r="W52" s="51"/>
      <c r="X52" s="43"/>
      <c r="Y52" s="43"/>
      <c r="Z52" s="43"/>
      <c r="AA52" s="43"/>
      <c r="AB52" s="51"/>
      <c r="AC52" s="43"/>
      <c r="AD52" s="43"/>
      <c r="AE52" s="43"/>
      <c r="AF52" s="43"/>
      <c r="AG52" s="51"/>
      <c r="AH52" s="43"/>
      <c r="AI52" s="43"/>
      <c r="AJ52" s="43"/>
      <c r="AK52" s="43"/>
      <c r="AL52" s="42"/>
      <c r="AM52" s="43"/>
      <c r="AN52" s="43"/>
      <c r="AO52" s="43"/>
      <c r="AP52" s="43"/>
      <c r="AQ52" s="51"/>
      <c r="AR52" s="43"/>
      <c r="AS52" s="43"/>
      <c r="AT52" s="43"/>
      <c r="AU52" s="43"/>
      <c r="AV52" s="51"/>
      <c r="AW52" s="375"/>
      <c r="AX52" s="375"/>
      <c r="AY52" s="375"/>
      <c r="AZ52" s="375"/>
      <c r="BA52" s="51"/>
      <c r="BB52" s="442"/>
      <c r="BC52" s="442"/>
      <c r="BD52" s="442"/>
      <c r="BE52" s="442"/>
      <c r="BF52" s="51"/>
      <c r="BG52" s="443"/>
      <c r="BH52" s="443"/>
      <c r="BI52" s="375"/>
      <c r="BJ52" s="375"/>
      <c r="BK52" s="42"/>
      <c r="BL52" s="375"/>
      <c r="BM52" s="375"/>
      <c r="BN52" s="375"/>
      <c r="BO52" s="375"/>
      <c r="BP52" s="42"/>
      <c r="BQ52" s="375"/>
      <c r="BR52" s="375"/>
      <c r="BS52" s="375"/>
      <c r="BT52" s="375"/>
      <c r="BU52" s="42"/>
      <c r="BV52" s="375"/>
      <c r="BW52" s="375"/>
      <c r="BX52" s="375"/>
      <c r="BY52" s="375"/>
      <c r="BZ52" s="42"/>
      <c r="CA52" s="375"/>
      <c r="CB52" s="375"/>
      <c r="CC52" s="375"/>
      <c r="CD52" s="375"/>
      <c r="CE52" s="42"/>
      <c r="CF52" s="375">
        <f>CJ52*0.15</f>
        <v>0</v>
      </c>
      <c r="CG52" s="375">
        <f>CJ52*0.2</f>
        <v>0</v>
      </c>
      <c r="CH52" s="375">
        <f>CJ52*0.25</f>
        <v>0</v>
      </c>
      <c r="CI52" s="375">
        <f>CJ52*0.4</f>
        <v>0</v>
      </c>
      <c r="CJ52" s="42">
        <f>IF($BU$162=1,0,Ozanimod_UC!H30)</f>
        <v>0</v>
      </c>
      <c r="CK52" s="375">
        <f>$CO$52/4</f>
        <v>11.135188436532516</v>
      </c>
      <c r="CL52" s="375">
        <f>$CO$52/4</f>
        <v>11.135188436532516</v>
      </c>
      <c r="CM52" s="375">
        <f>$CO$52/4</f>
        <v>11.135188436532516</v>
      </c>
      <c r="CN52" s="375">
        <f>$CO$52/4</f>
        <v>11.135188436532516</v>
      </c>
      <c r="CO52" s="42">
        <f>IF($BU$162=1,0,Ozanimod_UC!I30)</f>
        <v>44.540753746130065</v>
      </c>
      <c r="CP52" s="375">
        <f>IFERROR(($CT$52/$CO$52)*CK52,0)</f>
        <v>57.747643991279453</v>
      </c>
      <c r="CQ52" s="375">
        <f t="shared" ref="CQ52:CS52" si="26">IFERROR(($CT$52/$CO$52)*CL52,0)</f>
        <v>57.747643991279453</v>
      </c>
      <c r="CR52" s="375">
        <f t="shared" si="26"/>
        <v>57.747643991279453</v>
      </c>
      <c r="CS52" s="375">
        <f t="shared" si="26"/>
        <v>57.747643991279453</v>
      </c>
      <c r="CT52" s="42">
        <f>IF($BU$162=1,0,Ozanimod_UC!J30)</f>
        <v>230.99057596511781</v>
      </c>
      <c r="CU52" s="375">
        <f>IFERROR(($CY$52/$CT$52)*CP52,0)</f>
        <v>149.74108456048734</v>
      </c>
      <c r="CV52" s="375">
        <f t="shared" ref="CV52:CX52" si="27">IFERROR(($CY$52/$CT$52)*CQ52,0)</f>
        <v>149.74108456048734</v>
      </c>
      <c r="CW52" s="375">
        <f t="shared" si="27"/>
        <v>149.74108456048734</v>
      </c>
      <c r="CX52" s="375">
        <f t="shared" si="27"/>
        <v>149.74108456048734</v>
      </c>
      <c r="CY52" s="42">
        <f>IF($BU$162=1,0,Ozanimod_UC!K30)</f>
        <v>598.96433824194935</v>
      </c>
      <c r="CZ52" s="375">
        <f>IFERROR(($DD$52/$CY$52)*CU52,0)</f>
        <v>271.79766305472037</v>
      </c>
      <c r="DA52" s="375">
        <f t="shared" ref="DA52:DC52" si="28">IFERROR(($DD$52/$CY$52)*CV52,0)</f>
        <v>271.79766305472037</v>
      </c>
      <c r="DB52" s="375">
        <f t="shared" si="28"/>
        <v>271.79766305472037</v>
      </c>
      <c r="DC52" s="375">
        <f t="shared" si="28"/>
        <v>271.79766305472037</v>
      </c>
      <c r="DD52" s="42">
        <f>IF($BU$162=1,0,Ozanimod_UC!L30)</f>
        <v>1087.1906522188815</v>
      </c>
      <c r="DE52" s="375">
        <f>IFERROR(($DI$52/$DD$52)*CZ52,0)</f>
        <v>422.86688114547974</v>
      </c>
      <c r="DF52" s="375">
        <f t="shared" ref="DF52:DH52" si="29">IFERROR(($DI$52/$DD$52)*DA52,0)</f>
        <v>422.86688114547974</v>
      </c>
      <c r="DG52" s="375">
        <f t="shared" si="29"/>
        <v>422.86688114547974</v>
      </c>
      <c r="DH52" s="375">
        <f t="shared" si="29"/>
        <v>422.86688114547974</v>
      </c>
      <c r="DI52" s="42">
        <f>IF($BU$162=1,0,Ozanimod_UC!M30)</f>
        <v>1691.4675245819192</v>
      </c>
      <c r="DJ52" s="375">
        <f>IFERROR(($DN$52/$DI$52)*DE52,0)</f>
        <v>504.39202146183851</v>
      </c>
      <c r="DK52" s="375">
        <f t="shared" ref="DK52:DM52" si="30">IFERROR(($DN$52/$DI$52)*DF52,0)</f>
        <v>504.39202146183851</v>
      </c>
      <c r="DL52" s="375">
        <f t="shared" si="30"/>
        <v>504.39202146183851</v>
      </c>
      <c r="DM52" s="375">
        <f t="shared" si="30"/>
        <v>504.39202146183851</v>
      </c>
      <c r="DN52" s="42">
        <f>IF($BU$162=1,0,Ozanimod_UC!N30)</f>
        <v>2017.5680858473543</v>
      </c>
      <c r="DO52" s="375">
        <f>IFERROR(($DS$52/$DN$52)*DJ52,0)</f>
        <v>543.98528197052849</v>
      </c>
      <c r="DP52" s="375">
        <f t="shared" ref="DP52:DR52" si="31">IFERROR(($DS$52/$DN$52)*DK52,0)</f>
        <v>543.98528197052849</v>
      </c>
      <c r="DQ52" s="375">
        <f t="shared" si="31"/>
        <v>543.98528197052849</v>
      </c>
      <c r="DR52" s="375">
        <f t="shared" si="31"/>
        <v>543.98528197052849</v>
      </c>
      <c r="DS52" s="42">
        <f>IF($BU$162=1,0,Ozanimod_UC!O30)</f>
        <v>2175.941127882114</v>
      </c>
      <c r="DT52" s="375">
        <f>IFERROR(($DX$52/$DS$52)*DO52,0)</f>
        <v>558.74904252320835</v>
      </c>
      <c r="DU52" s="375">
        <f t="shared" ref="DU52:DW52" si="32">IFERROR(($DX$52/$DS$52)*DP52,0)</f>
        <v>558.74904252320835</v>
      </c>
      <c r="DV52" s="375">
        <f t="shared" si="32"/>
        <v>558.74904252320835</v>
      </c>
      <c r="DW52" s="375">
        <f t="shared" si="32"/>
        <v>558.74904252320835</v>
      </c>
      <c r="DX52" s="42">
        <f>IF($BU$162=1,0,Ozanimod_UC!P30)</f>
        <v>2234.9961700928334</v>
      </c>
      <c r="DY52" s="375">
        <f>IFERROR(($EC$52/$DX$52)*DT52,0)</f>
        <v>573.91349153728822</v>
      </c>
      <c r="DZ52" s="375">
        <f t="shared" ref="DZ52:EB52" si="33">IFERROR(($EC$52/$DX$52)*DU52,0)</f>
        <v>573.91349153728822</v>
      </c>
      <c r="EA52" s="375">
        <f t="shared" si="33"/>
        <v>573.91349153728822</v>
      </c>
      <c r="EB52" s="375">
        <f t="shared" si="33"/>
        <v>573.91349153728822</v>
      </c>
      <c r="EC52" s="42">
        <f>IF($BU$162=1,0,Ozanimod_UC!Q30)</f>
        <v>2295.6539661491529</v>
      </c>
      <c r="ED52" s="375">
        <f>IFERROR(($EH$52/$EC$52)*DY52,0)</f>
        <v>589.48950369761042</v>
      </c>
      <c r="EE52" s="375">
        <f t="shared" ref="EE52:EG52" si="34">IFERROR(($EH$52/$EC$52)*DZ52,0)</f>
        <v>589.48950369761042</v>
      </c>
      <c r="EF52" s="375">
        <f t="shared" si="34"/>
        <v>589.48950369761042</v>
      </c>
      <c r="EG52" s="375">
        <f t="shared" si="34"/>
        <v>589.48950369761042</v>
      </c>
      <c r="EH52" s="42">
        <f>IF($BU$162=1,0,Ozanimod_UC!R30)</f>
        <v>2357.9580147904417</v>
      </c>
      <c r="EI52" s="375">
        <f>IFERROR(($EM$52/$EH$52)*ED52,0)</f>
        <v>59.361593022349354</v>
      </c>
      <c r="EJ52" s="375">
        <f t="shared" ref="EJ52:EL52" si="35">IFERROR(($EM$52/$EH$52)*EE52,0)</f>
        <v>59.361593022349354</v>
      </c>
      <c r="EK52" s="375">
        <f t="shared" si="35"/>
        <v>59.361593022349354</v>
      </c>
      <c r="EL52" s="375">
        <f t="shared" si="35"/>
        <v>59.361593022349354</v>
      </c>
      <c r="EM52" s="42">
        <f>IF($BU$162=1,0,Ozanimod_UC!S30)</f>
        <v>237.44637208939741</v>
      </c>
    </row>
    <row r="53" spans="1:145" ht="6.75" customHeight="1">
      <c r="B53" s="25"/>
      <c r="C53" s="51"/>
      <c r="D53" s="43"/>
      <c r="E53" s="43"/>
      <c r="F53" s="43"/>
      <c r="G53" s="43"/>
      <c r="H53" s="51"/>
      <c r="I53" s="43"/>
      <c r="J53" s="43"/>
      <c r="K53" s="43"/>
      <c r="L53" s="43"/>
      <c r="M53" s="51"/>
      <c r="N53" s="43"/>
      <c r="O53" s="43"/>
      <c r="P53" s="43"/>
      <c r="Q53" s="43"/>
      <c r="R53" s="51"/>
      <c r="S53" s="43"/>
      <c r="T53" s="43"/>
      <c r="U53" s="43"/>
      <c r="V53" s="43"/>
      <c r="W53" s="51"/>
      <c r="X53" s="43"/>
      <c r="Y53" s="43"/>
      <c r="Z53" s="43"/>
      <c r="AA53" s="43"/>
      <c r="AB53" s="51"/>
      <c r="AC53" s="43"/>
      <c r="AD53" s="43"/>
      <c r="AE53" s="43"/>
      <c r="AF53" s="43"/>
      <c r="AG53" s="51"/>
      <c r="AH53" s="43"/>
      <c r="AI53" s="43"/>
      <c r="AJ53" s="43"/>
      <c r="AK53" s="43"/>
      <c r="AL53" s="42"/>
      <c r="AM53" s="43"/>
      <c r="AN53" s="43"/>
      <c r="AO53" s="43"/>
      <c r="AP53" s="43"/>
      <c r="AQ53" s="51"/>
      <c r="AR53" s="43"/>
      <c r="AS53" s="43"/>
      <c r="AT53" s="43"/>
      <c r="AU53" s="43"/>
      <c r="AV53" s="51"/>
      <c r="AW53" s="375"/>
      <c r="AX53" s="375"/>
      <c r="AY53" s="375"/>
      <c r="AZ53" s="375"/>
      <c r="BA53" s="51"/>
      <c r="BB53" s="442"/>
      <c r="BC53" s="442"/>
      <c r="BD53" s="442"/>
      <c r="BE53" s="442"/>
      <c r="BF53" s="51"/>
      <c r="BG53" s="443"/>
      <c r="BH53" s="443"/>
      <c r="BI53" s="375"/>
      <c r="BJ53" s="375"/>
      <c r="BK53" s="42"/>
      <c r="BL53" s="375"/>
      <c r="BM53" s="375"/>
      <c r="BN53" s="375"/>
      <c r="BO53" s="375"/>
      <c r="BP53" s="42"/>
      <c r="BQ53" s="375"/>
      <c r="BR53" s="375"/>
      <c r="BS53" s="375"/>
      <c r="BT53" s="375"/>
      <c r="BU53" s="42"/>
      <c r="BV53" s="375"/>
      <c r="BW53" s="375"/>
      <c r="BX53" s="375"/>
      <c r="BY53" s="375"/>
      <c r="BZ53" s="42"/>
      <c r="CA53" s="375"/>
      <c r="CB53" s="375"/>
      <c r="CC53" s="375"/>
      <c r="CD53" s="375"/>
      <c r="CE53" s="42"/>
      <c r="CF53" s="375"/>
      <c r="CG53" s="375"/>
      <c r="CH53" s="375"/>
      <c r="CI53" s="375"/>
      <c r="CJ53" s="42"/>
      <c r="CK53" s="375"/>
      <c r="CL53" s="375"/>
      <c r="CM53" s="375"/>
      <c r="CN53" s="375"/>
      <c r="CO53" s="42"/>
      <c r="CP53" s="375"/>
      <c r="CQ53" s="375"/>
      <c r="CR53" s="375"/>
      <c r="CS53" s="375"/>
      <c r="CT53" s="42"/>
      <c r="CU53" s="375"/>
      <c r="CV53" s="375"/>
      <c r="CW53" s="375"/>
      <c r="CX53" s="375"/>
      <c r="CY53" s="42"/>
      <c r="CZ53" s="375"/>
      <c r="DA53" s="375"/>
      <c r="DB53" s="375"/>
      <c r="DC53" s="375"/>
      <c r="DD53" s="42"/>
      <c r="DE53" s="375"/>
      <c r="DF53" s="375"/>
      <c r="DG53" s="375"/>
      <c r="DH53" s="375"/>
      <c r="DI53" s="42"/>
      <c r="DJ53" s="375"/>
      <c r="DK53" s="375"/>
      <c r="DL53" s="375"/>
      <c r="DM53" s="375"/>
      <c r="DN53" s="42"/>
      <c r="DO53" s="375"/>
      <c r="DP53" s="375"/>
      <c r="DQ53" s="375"/>
      <c r="DR53" s="375"/>
      <c r="DS53" s="42"/>
      <c r="DT53" s="375"/>
      <c r="DU53" s="375"/>
      <c r="DV53" s="375"/>
      <c r="DW53" s="375"/>
      <c r="DX53" s="42"/>
      <c r="DY53" s="375"/>
      <c r="DZ53" s="375"/>
      <c r="EA53" s="375"/>
      <c r="EB53" s="375"/>
      <c r="EC53" s="42"/>
      <c r="ED53" s="375"/>
      <c r="EE53" s="375"/>
      <c r="EF53" s="375"/>
      <c r="EG53" s="375"/>
      <c r="EH53" s="42"/>
      <c r="EI53" s="375"/>
      <c r="EJ53" s="375"/>
      <c r="EK53" s="375"/>
      <c r="EL53" s="375"/>
      <c r="EM53" s="42"/>
    </row>
    <row r="54" spans="1:145" ht="12.75" customHeight="1">
      <c r="B54" s="25" t="s">
        <v>1043</v>
      </c>
      <c r="C54" s="51"/>
      <c r="D54" s="43"/>
      <c r="E54" s="43"/>
      <c r="F54" s="43"/>
      <c r="G54" s="43"/>
      <c r="H54" s="51"/>
      <c r="I54" s="43"/>
      <c r="J54" s="43"/>
      <c r="K54" s="43"/>
      <c r="L54" s="43"/>
      <c r="M54" s="51"/>
      <c r="N54" s="43"/>
      <c r="O54" s="43"/>
      <c r="P54" s="43"/>
      <c r="Q54" s="43"/>
      <c r="R54" s="51"/>
      <c r="S54" s="43"/>
      <c r="T54" s="43"/>
      <c r="U54" s="43"/>
      <c r="V54" s="43"/>
      <c r="W54" s="51"/>
      <c r="X54" s="43"/>
      <c r="Y54" s="43"/>
      <c r="Z54" s="43"/>
      <c r="AA54" s="43"/>
      <c r="AB54" s="51"/>
      <c r="AC54" s="43"/>
      <c r="AD54" s="43"/>
      <c r="AE54" s="43"/>
      <c r="AF54" s="43"/>
      <c r="AG54" s="51"/>
      <c r="AH54" s="43"/>
      <c r="AI54" s="43"/>
      <c r="AJ54" s="43"/>
      <c r="AK54" s="43"/>
      <c r="AL54" s="42"/>
      <c r="AM54" s="43"/>
      <c r="AN54" s="43"/>
      <c r="AO54" s="43"/>
      <c r="AP54" s="43"/>
      <c r="AQ54" s="51"/>
      <c r="AR54" s="43"/>
      <c r="AS54" s="43"/>
      <c r="AT54" s="43"/>
      <c r="AU54" s="43"/>
      <c r="AV54" s="51"/>
      <c r="AW54" s="375"/>
      <c r="AX54" s="375"/>
      <c r="AY54" s="375"/>
      <c r="AZ54" s="375"/>
      <c r="BA54" s="51"/>
      <c r="BB54" s="442"/>
      <c r="BC54" s="442"/>
      <c r="BD54" s="442"/>
      <c r="BE54" s="442"/>
      <c r="BF54" s="51"/>
      <c r="BG54" s="443"/>
      <c r="BH54" s="443"/>
      <c r="BI54" s="375"/>
      <c r="BJ54" s="375"/>
      <c r="BK54" s="42"/>
      <c r="BL54" s="375"/>
      <c r="BM54" s="375"/>
      <c r="BN54" s="375"/>
      <c r="BO54" s="375"/>
      <c r="BP54" s="42"/>
      <c r="BQ54" s="375"/>
      <c r="BR54" s="375"/>
      <c r="BS54" s="375"/>
      <c r="BT54" s="375"/>
      <c r="BU54" s="42"/>
      <c r="BV54" s="375"/>
      <c r="BW54" s="375"/>
      <c r="BX54" s="375"/>
      <c r="BY54" s="375"/>
      <c r="BZ54" s="42">
        <f>IF($BU$162=1,0,BZ56+BZ57)</f>
        <v>0</v>
      </c>
      <c r="CA54" s="375"/>
      <c r="CB54" s="375"/>
      <c r="CC54" s="375"/>
      <c r="CD54" s="375"/>
      <c r="CE54" s="42">
        <f>IF($BU$162=1,0,CE56+CE57)</f>
        <v>0</v>
      </c>
      <c r="CF54" s="375"/>
      <c r="CG54" s="375"/>
      <c r="CH54" s="375"/>
      <c r="CI54" s="375"/>
      <c r="CJ54" s="42">
        <f>IF($BU$162=1,0,CJ56+CJ57)</f>
        <v>0</v>
      </c>
      <c r="CK54" s="375"/>
      <c r="CL54" s="375"/>
      <c r="CM54" s="375"/>
      <c r="CN54" s="375"/>
      <c r="CO54" s="42">
        <f>IF($BU$162=1,0,CO56+CO57)</f>
        <v>-19.197210318763691</v>
      </c>
      <c r="CP54" s="375"/>
      <c r="CQ54" s="375"/>
      <c r="CR54" s="375"/>
      <c r="CS54" s="375"/>
      <c r="CT54" s="42">
        <f>IF($BU$162=1,0,CT56+CT57)</f>
        <v>25.129099172356462</v>
      </c>
      <c r="CU54" s="375"/>
      <c r="CV54" s="375"/>
      <c r="CW54" s="375"/>
      <c r="CX54" s="375"/>
      <c r="CY54" s="42">
        <f>IF($BU$162=1,0,CY56+CY57)</f>
        <v>99.810955885899745</v>
      </c>
      <c r="CZ54" s="375"/>
      <c r="DA54" s="375"/>
      <c r="DB54" s="375"/>
      <c r="DC54" s="375"/>
      <c r="DD54" s="42">
        <f>IF($BU$162=1,0,DD56+DD57)</f>
        <v>219.45133280556556</v>
      </c>
      <c r="DE54" s="375"/>
      <c r="DF54" s="375"/>
      <c r="DG54" s="375"/>
      <c r="DH54" s="375"/>
      <c r="DI54" s="42">
        <f>IF($BU$162=1,0,DI56+DI57)</f>
        <v>393.04568357466792</v>
      </c>
      <c r="DJ54" s="375"/>
      <c r="DK54" s="375"/>
      <c r="DL54" s="375"/>
      <c r="DM54" s="375"/>
      <c r="DN54" s="42">
        <f>IF($BU$162=1,0,DN56+DN57)</f>
        <v>567.6422847279764</v>
      </c>
      <c r="DO54" s="375"/>
      <c r="DP54" s="375"/>
      <c r="DQ54" s="375"/>
      <c r="DR54" s="375"/>
      <c r="DS54" s="42">
        <f>IF($BU$162=1,0,DS56+DS57)</f>
        <v>770.54605219922973</v>
      </c>
      <c r="DT54" s="375"/>
      <c r="DU54" s="375"/>
      <c r="DV54" s="375"/>
      <c r="DW54" s="375"/>
      <c r="DX54" s="42">
        <f>IF($BU$162=1,0,DX56+DX57)</f>
        <v>931.49659354194614</v>
      </c>
      <c r="DY54" s="375"/>
      <c r="DZ54" s="375"/>
      <c r="EA54" s="375"/>
      <c r="EB54" s="375"/>
      <c r="EC54" s="42">
        <f>IF($BU$162=1,0,EC56+EC57)</f>
        <v>1045.7889544653565</v>
      </c>
      <c r="ED54" s="375"/>
      <c r="EE54" s="375"/>
      <c r="EF54" s="375"/>
      <c r="EG54" s="375"/>
      <c r="EH54" s="42">
        <f>IF($BU$162=1,0,EH56+EH57)</f>
        <v>1105.3486777691064</v>
      </c>
      <c r="EI54" s="375"/>
      <c r="EJ54" s="375"/>
      <c r="EK54" s="375"/>
      <c r="EL54" s="375"/>
      <c r="EM54" s="42">
        <f>IF($BU$162=1,0,EM56+EM57)</f>
        <v>1138.0241416939696</v>
      </c>
      <c r="EO54" s="449"/>
    </row>
    <row r="55" spans="1:145" ht="12.75" customHeight="1">
      <c r="B55" s="25"/>
      <c r="C55" s="51"/>
      <c r="D55" s="43"/>
      <c r="E55" s="43"/>
      <c r="F55" s="43"/>
      <c r="G55" s="43"/>
      <c r="H55" s="51"/>
      <c r="I55" s="43"/>
      <c r="J55" s="43"/>
      <c r="K55" s="43"/>
      <c r="L55" s="43"/>
      <c r="M55" s="51"/>
      <c r="N55" s="43"/>
      <c r="O55" s="43"/>
      <c r="P55" s="43"/>
      <c r="Q55" s="43"/>
      <c r="R55" s="51"/>
      <c r="S55" s="43"/>
      <c r="T55" s="43"/>
      <c r="U55" s="43"/>
      <c r="V55" s="43"/>
      <c r="W55" s="51"/>
      <c r="X55" s="43"/>
      <c r="Y55" s="43"/>
      <c r="Z55" s="43"/>
      <c r="AA55" s="43"/>
      <c r="AB55" s="51"/>
      <c r="AC55" s="43"/>
      <c r="AD55" s="43"/>
      <c r="AE55" s="43"/>
      <c r="AF55" s="43"/>
      <c r="AG55" s="51"/>
      <c r="AH55" s="43"/>
      <c r="AI55" s="43"/>
      <c r="AJ55" s="43"/>
      <c r="AK55" s="43"/>
      <c r="AL55" s="42"/>
      <c r="AM55" s="43"/>
      <c r="AN55" s="43"/>
      <c r="AO55" s="43"/>
      <c r="AP55" s="43"/>
      <c r="AQ55" s="51"/>
      <c r="AR55" s="43"/>
      <c r="AS55" s="43"/>
      <c r="AT55" s="43"/>
      <c r="AU55" s="43"/>
      <c r="AV55" s="51"/>
      <c r="AW55" s="375"/>
      <c r="AX55" s="375"/>
      <c r="AY55" s="375"/>
      <c r="AZ55" s="375"/>
      <c r="BA55" s="51"/>
      <c r="BB55" s="442"/>
      <c r="BC55" s="442"/>
      <c r="BD55" s="442"/>
      <c r="BE55" s="442"/>
      <c r="BF55" s="51"/>
      <c r="BG55" s="443"/>
      <c r="BH55" s="443"/>
      <c r="BI55" s="375"/>
      <c r="BJ55" s="375"/>
      <c r="BK55" s="42"/>
      <c r="BL55" s="375"/>
      <c r="BM55" s="375"/>
      <c r="BN55" s="375"/>
      <c r="BO55" s="375"/>
      <c r="BP55" s="42"/>
      <c r="BQ55" s="375"/>
      <c r="BR55" s="375"/>
      <c r="BS55" s="375"/>
      <c r="BT55" s="375"/>
      <c r="BU55" s="42"/>
      <c r="BV55" s="375"/>
      <c r="BW55" s="375"/>
      <c r="BX55" s="375"/>
      <c r="BY55" s="375"/>
      <c r="BZ55" s="42"/>
      <c r="CA55" s="375"/>
      <c r="CB55" s="375"/>
      <c r="CC55" s="375"/>
      <c r="CD55" s="375"/>
      <c r="CE55" s="42"/>
      <c r="CF55" s="375"/>
      <c r="CG55" s="375"/>
      <c r="CH55" s="375"/>
      <c r="CI55" s="375"/>
      <c r="CJ55" s="42"/>
      <c r="CK55" s="375"/>
      <c r="CL55" s="375"/>
      <c r="CM55" s="375"/>
      <c r="CN55" s="375"/>
      <c r="CO55" s="42"/>
      <c r="CP55" s="375"/>
      <c r="CQ55" s="375"/>
      <c r="CR55" s="375"/>
      <c r="CS55" s="375"/>
      <c r="CT55" s="42"/>
      <c r="CU55" s="375"/>
      <c r="CV55" s="375"/>
      <c r="CW55" s="375"/>
      <c r="CX55" s="375"/>
      <c r="CY55" s="42"/>
      <c r="CZ55" s="375"/>
      <c r="DA55" s="375"/>
      <c r="DB55" s="375"/>
      <c r="DC55" s="375"/>
      <c r="DD55" s="42"/>
      <c r="DE55" s="375"/>
      <c r="DF55" s="375"/>
      <c r="DG55" s="375"/>
      <c r="DH55" s="375"/>
      <c r="DI55" s="42"/>
      <c r="DJ55" s="375"/>
      <c r="DK55" s="375"/>
      <c r="DL55" s="375"/>
      <c r="DM55" s="375"/>
      <c r="DN55" s="42"/>
      <c r="DO55" s="375"/>
      <c r="DP55" s="375"/>
      <c r="DQ55" s="375"/>
      <c r="DR55" s="375"/>
      <c r="DS55" s="42"/>
      <c r="DT55" s="375"/>
      <c r="DU55" s="375"/>
      <c r="DV55" s="375"/>
      <c r="DW55" s="375"/>
      <c r="DX55" s="42"/>
      <c r="DY55" s="375"/>
      <c r="DZ55" s="375"/>
      <c r="EA55" s="375"/>
      <c r="EB55" s="375"/>
      <c r="EC55" s="42"/>
      <c r="ED55" s="375"/>
      <c r="EE55" s="375"/>
      <c r="EF55" s="375"/>
      <c r="EG55" s="375"/>
      <c r="EH55" s="42"/>
      <c r="EI55" s="375"/>
      <c r="EJ55" s="375"/>
      <c r="EK55" s="375"/>
      <c r="EL55" s="375"/>
      <c r="EM55" s="42"/>
    </row>
    <row r="56" spans="1:145" ht="12.75" customHeight="1">
      <c r="B56" s="359" t="s">
        <v>181</v>
      </c>
      <c r="C56" s="51"/>
      <c r="D56" s="43"/>
      <c r="E56" s="43"/>
      <c r="F56" s="43"/>
      <c r="G56" s="43"/>
      <c r="H56" s="51"/>
      <c r="I56" s="43"/>
      <c r="J56" s="43"/>
      <c r="K56" s="43"/>
      <c r="L56" s="43"/>
      <c r="M56" s="51"/>
      <c r="N56" s="43"/>
      <c r="O56" s="43"/>
      <c r="P56" s="43"/>
      <c r="Q56" s="43"/>
      <c r="R56" s="51"/>
      <c r="S56" s="43"/>
      <c r="T56" s="43"/>
      <c r="U56" s="43"/>
      <c r="V56" s="43"/>
      <c r="W56" s="51"/>
      <c r="X56" s="43"/>
      <c r="Y56" s="43"/>
      <c r="Z56" s="43"/>
      <c r="AA56" s="43"/>
      <c r="AB56" s="51"/>
      <c r="AC56" s="43"/>
      <c r="AD56" s="43"/>
      <c r="AE56" s="43"/>
      <c r="AF56" s="43"/>
      <c r="AG56" s="51"/>
      <c r="AH56" s="43"/>
      <c r="AI56" s="43"/>
      <c r="AJ56" s="43"/>
      <c r="AK56" s="43"/>
      <c r="AL56" s="42"/>
      <c r="AM56" s="43"/>
      <c r="AN56" s="43"/>
      <c r="AO56" s="43"/>
      <c r="AP56" s="43"/>
      <c r="AQ56" s="51"/>
      <c r="AR56" s="43"/>
      <c r="AS56" s="43"/>
      <c r="AT56" s="43"/>
      <c r="AU56" s="43"/>
      <c r="AV56" s="51"/>
      <c r="AW56" s="375"/>
      <c r="AX56" s="375"/>
      <c r="AY56" s="375"/>
      <c r="AZ56" s="375"/>
      <c r="BA56" s="51"/>
      <c r="BB56" s="442"/>
      <c r="BC56" s="442"/>
      <c r="BD56" s="442"/>
      <c r="BE56" s="442"/>
      <c r="BF56" s="51"/>
      <c r="BG56" s="443"/>
      <c r="BH56" s="443"/>
      <c r="BI56" s="375"/>
      <c r="BJ56" s="375"/>
      <c r="BK56" s="42"/>
      <c r="BL56" s="375"/>
      <c r="BM56" s="375"/>
      <c r="BN56" s="375"/>
      <c r="BO56" s="375"/>
      <c r="BP56" s="42"/>
      <c r="BQ56" s="375"/>
      <c r="BR56" s="375"/>
      <c r="BS56" s="375"/>
      <c r="BT56" s="375"/>
      <c r="BU56" s="42"/>
      <c r="BV56" s="375"/>
      <c r="BW56" s="375"/>
      <c r="BX56" s="375"/>
      <c r="BY56" s="375"/>
      <c r="BZ56" s="42">
        <f>'BCMA CAR-T'!C23</f>
        <v>0</v>
      </c>
      <c r="CA56" s="375"/>
      <c r="CB56" s="375"/>
      <c r="CC56" s="375"/>
      <c r="CD56" s="375"/>
      <c r="CE56" s="42">
        <f>'BCMA CAR-T'!D23</f>
        <v>0</v>
      </c>
      <c r="CF56" s="375"/>
      <c r="CG56" s="375"/>
      <c r="CH56" s="375"/>
      <c r="CI56" s="375"/>
      <c r="CJ56" s="42">
        <f>'BCMA CAR-T'!E23</f>
        <v>0</v>
      </c>
      <c r="CK56" s="375"/>
      <c r="CL56" s="375"/>
      <c r="CM56" s="375"/>
      <c r="CN56" s="375"/>
      <c r="CO56" s="42">
        <f>'BCMA CAR-T'!F23</f>
        <v>-19.197210318763691</v>
      </c>
      <c r="CP56" s="375"/>
      <c r="CQ56" s="375"/>
      <c r="CR56" s="375"/>
      <c r="CS56" s="375"/>
      <c r="CT56" s="42">
        <f>'BCMA CAR-T'!G23</f>
        <v>13.130842723129154</v>
      </c>
      <c r="CU56" s="375"/>
      <c r="CV56" s="375"/>
      <c r="CW56" s="375"/>
      <c r="CX56" s="375"/>
      <c r="CY56" s="42">
        <f>'BCMA CAR-T'!H23</f>
        <v>52.831196590267723</v>
      </c>
      <c r="CZ56" s="375"/>
      <c r="DA56" s="375"/>
      <c r="DB56" s="375"/>
      <c r="DC56" s="375"/>
      <c r="DD56" s="42">
        <f>'BCMA CAR-T'!I23</f>
        <v>124.77601074962232</v>
      </c>
      <c r="DE56" s="375"/>
      <c r="DF56" s="375"/>
      <c r="DG56" s="375"/>
      <c r="DH56" s="375"/>
      <c r="DI56" s="42">
        <f>'BCMA CAR-T'!J23</f>
        <v>198.27299406757061</v>
      </c>
      <c r="DJ56" s="375"/>
      <c r="DK56" s="375"/>
      <c r="DL56" s="375"/>
      <c r="DM56" s="375"/>
      <c r="DN56" s="42">
        <f>'BCMA CAR-T'!K23</f>
        <v>293.15618303495785</v>
      </c>
      <c r="DO56" s="375"/>
      <c r="DP56" s="375"/>
      <c r="DQ56" s="375"/>
      <c r="DR56" s="375"/>
      <c r="DS56" s="42">
        <f>'BCMA CAR-T'!L23</f>
        <v>405.57232192503045</v>
      </c>
      <c r="DT56" s="375"/>
      <c r="DU56" s="375"/>
      <c r="DV56" s="375"/>
      <c r="DW56" s="375"/>
      <c r="DX56" s="42">
        <f>'BCMA CAR-T'!M23</f>
        <v>472.34815115150906</v>
      </c>
      <c r="DY56" s="375"/>
      <c r="DZ56" s="375"/>
      <c r="EA56" s="375"/>
      <c r="EB56" s="375"/>
      <c r="EC56" s="42">
        <f>'BCMA CAR-T'!N23</f>
        <v>511.04359305159664</v>
      </c>
      <c r="ED56" s="375"/>
      <c r="EE56" s="375"/>
      <c r="EF56" s="375"/>
      <c r="EG56" s="375"/>
      <c r="EH56" s="42">
        <f>'BCMA CAR-T'!O23</f>
        <v>526.79620498318786</v>
      </c>
      <c r="EI56" s="375"/>
      <c r="EJ56" s="375"/>
      <c r="EK56" s="375"/>
      <c r="EL56" s="375"/>
      <c r="EM56" s="42">
        <f>'BCMA CAR-T'!P23</f>
        <v>541.63813629014203</v>
      </c>
    </row>
    <row r="57" spans="1:145" ht="12.75" customHeight="1">
      <c r="B57" s="359" t="s">
        <v>76</v>
      </c>
      <c r="C57" s="51"/>
      <c r="D57" s="43"/>
      <c r="E57" s="43"/>
      <c r="F57" s="43"/>
      <c r="G57" s="43"/>
      <c r="H57" s="51"/>
      <c r="I57" s="43"/>
      <c r="J57" s="43"/>
      <c r="K57" s="43"/>
      <c r="L57" s="43"/>
      <c r="M57" s="51"/>
      <c r="N57" s="43"/>
      <c r="O57" s="43"/>
      <c r="P57" s="43"/>
      <c r="Q57" s="43"/>
      <c r="R57" s="51"/>
      <c r="S57" s="43"/>
      <c r="T57" s="43"/>
      <c r="U57" s="43"/>
      <c r="V57" s="43"/>
      <c r="W57" s="51"/>
      <c r="X57" s="43"/>
      <c r="Y57" s="43"/>
      <c r="Z57" s="43"/>
      <c r="AA57" s="43"/>
      <c r="AB57" s="51"/>
      <c r="AC57" s="43"/>
      <c r="AD57" s="43"/>
      <c r="AE57" s="43"/>
      <c r="AF57" s="43"/>
      <c r="AG57" s="51"/>
      <c r="AH57" s="43"/>
      <c r="AI57" s="43"/>
      <c r="AJ57" s="43"/>
      <c r="AK57" s="43"/>
      <c r="AL57" s="42"/>
      <c r="AM57" s="43"/>
      <c r="AN57" s="43"/>
      <c r="AO57" s="43"/>
      <c r="AP57" s="43"/>
      <c r="AQ57" s="51"/>
      <c r="AR57" s="43"/>
      <c r="AS57" s="43"/>
      <c r="AT57" s="43"/>
      <c r="AU57" s="43"/>
      <c r="AV57" s="51"/>
      <c r="AW57" s="375"/>
      <c r="AX57" s="375"/>
      <c r="AY57" s="375"/>
      <c r="AZ57" s="375"/>
      <c r="BA57" s="51"/>
      <c r="BB57" s="442"/>
      <c r="BC57" s="442"/>
      <c r="BD57" s="442"/>
      <c r="BE57" s="442"/>
      <c r="BF57" s="51"/>
      <c r="BG57" s="443"/>
      <c r="BH57" s="443"/>
      <c r="BI57" s="375"/>
      <c r="BJ57" s="375"/>
      <c r="BK57" s="42"/>
      <c r="BL57" s="375"/>
      <c r="BM57" s="375"/>
      <c r="BN57" s="375"/>
      <c r="BO57" s="375"/>
      <c r="BP57" s="42"/>
      <c r="BQ57" s="375"/>
      <c r="BR57" s="375"/>
      <c r="BS57" s="375"/>
      <c r="BT57" s="375"/>
      <c r="BU57" s="42"/>
      <c r="BV57" s="375"/>
      <c r="BW57" s="375"/>
      <c r="BX57" s="375"/>
      <c r="BY57" s="375"/>
      <c r="BZ57" s="42">
        <f>'BCMA CAR-T'!C10</f>
        <v>0</v>
      </c>
      <c r="CA57" s="375"/>
      <c r="CB57" s="375"/>
      <c r="CC57" s="375"/>
      <c r="CD57" s="375"/>
      <c r="CE57" s="42">
        <f>'BCMA CAR-T'!D10</f>
        <v>0</v>
      </c>
      <c r="CF57" s="375"/>
      <c r="CG57" s="375"/>
      <c r="CH57" s="375"/>
      <c r="CI57" s="375"/>
      <c r="CJ57" s="42">
        <f>'BCMA CAR-T'!E10</f>
        <v>0</v>
      </c>
      <c r="CK57" s="375"/>
      <c r="CL57" s="375"/>
      <c r="CM57" s="375"/>
      <c r="CN57" s="375"/>
      <c r="CO57" s="42">
        <f>'BCMA CAR-T'!F10</f>
        <v>0</v>
      </c>
      <c r="CP57" s="375"/>
      <c r="CQ57" s="375"/>
      <c r="CR57" s="375"/>
      <c r="CS57" s="375"/>
      <c r="CT57" s="42">
        <f>'BCMA CAR-T'!G10</f>
        <v>11.998256449227309</v>
      </c>
      <c r="CU57" s="375"/>
      <c r="CV57" s="375"/>
      <c r="CW57" s="375"/>
      <c r="CX57" s="375"/>
      <c r="CY57" s="42">
        <f>'BCMA CAR-T'!H10</f>
        <v>46.979759295632022</v>
      </c>
      <c r="CZ57" s="375"/>
      <c r="DA57" s="375"/>
      <c r="DB57" s="375"/>
      <c r="DC57" s="375"/>
      <c r="DD57" s="42">
        <f>'BCMA CAR-T'!I10</f>
        <v>94.675322055943241</v>
      </c>
      <c r="DE57" s="375"/>
      <c r="DF57" s="375"/>
      <c r="DG57" s="375"/>
      <c r="DH57" s="375"/>
      <c r="DI57" s="42">
        <f>'BCMA CAR-T'!J10</f>
        <v>194.77268950709728</v>
      </c>
      <c r="DJ57" s="375"/>
      <c r="DK57" s="375"/>
      <c r="DL57" s="375"/>
      <c r="DM57" s="375"/>
      <c r="DN57" s="42">
        <f>'BCMA CAR-T'!K10</f>
        <v>274.4861016930185</v>
      </c>
      <c r="DO57" s="375"/>
      <c r="DP57" s="375"/>
      <c r="DQ57" s="375"/>
      <c r="DR57" s="375"/>
      <c r="DS57" s="42">
        <f>'BCMA CAR-T'!L10</f>
        <v>364.97373027419928</v>
      </c>
      <c r="DT57" s="375"/>
      <c r="DU57" s="375"/>
      <c r="DV57" s="375"/>
      <c r="DW57" s="375"/>
      <c r="DX57" s="42">
        <f>'BCMA CAR-T'!M10</f>
        <v>459.14844239043714</v>
      </c>
      <c r="DY57" s="375"/>
      <c r="DZ57" s="375"/>
      <c r="EA57" s="375"/>
      <c r="EB57" s="375"/>
      <c r="EC57" s="42">
        <f>'BCMA CAR-T'!N10</f>
        <v>534.74536141375984</v>
      </c>
      <c r="ED57" s="375"/>
      <c r="EE57" s="375"/>
      <c r="EF57" s="375"/>
      <c r="EG57" s="375"/>
      <c r="EH57" s="42">
        <f>'BCMA CAR-T'!O10</f>
        <v>578.55247278591867</v>
      </c>
      <c r="EI57" s="375"/>
      <c r="EJ57" s="375"/>
      <c r="EK57" s="375"/>
      <c r="EL57" s="375"/>
      <c r="EM57" s="42">
        <f>'BCMA CAR-T'!P10</f>
        <v>596.38600540382754</v>
      </c>
    </row>
    <row r="58" spans="1:145" ht="6.75" customHeight="1">
      <c r="B58" s="25"/>
      <c r="C58" s="51"/>
      <c r="D58" s="43"/>
      <c r="E58" s="43"/>
      <c r="F58" s="43"/>
      <c r="G58" s="43"/>
      <c r="H58" s="51"/>
      <c r="I58" s="43"/>
      <c r="J58" s="43"/>
      <c r="K58" s="43"/>
      <c r="L58" s="43"/>
      <c r="M58" s="51"/>
      <c r="N58" s="43"/>
      <c r="O58" s="43"/>
      <c r="P58" s="43"/>
      <c r="Q58" s="43"/>
      <c r="R58" s="51"/>
      <c r="S58" s="43"/>
      <c r="T58" s="43"/>
      <c r="U58" s="43"/>
      <c r="V58" s="43"/>
      <c r="W58" s="51"/>
      <c r="X58" s="43"/>
      <c r="Y58" s="43"/>
      <c r="Z58" s="43"/>
      <c r="AA58" s="43"/>
      <c r="AB58" s="51"/>
      <c r="AC58" s="43"/>
      <c r="AD58" s="43"/>
      <c r="AE58" s="43"/>
      <c r="AF58" s="43"/>
      <c r="AG58" s="51"/>
      <c r="AH58" s="43"/>
      <c r="AI58" s="43"/>
      <c r="AJ58" s="43"/>
      <c r="AK58" s="43"/>
      <c r="AL58" s="42"/>
      <c r="AM58" s="43"/>
      <c r="AN58" s="43"/>
      <c r="AO58" s="43"/>
      <c r="AP58" s="43"/>
      <c r="AQ58" s="51"/>
      <c r="AR58" s="43"/>
      <c r="AS58" s="43"/>
      <c r="AT58" s="43"/>
      <c r="AU58" s="43"/>
      <c r="AV58" s="51"/>
      <c r="AW58" s="375"/>
      <c r="AX58" s="375"/>
      <c r="AY58" s="375"/>
      <c r="AZ58" s="375"/>
      <c r="BA58" s="51"/>
      <c r="BB58" s="442"/>
      <c r="BC58" s="442"/>
      <c r="BD58" s="442"/>
      <c r="BE58" s="442"/>
      <c r="BF58" s="51"/>
      <c r="BG58" s="443"/>
      <c r="BH58" s="443"/>
      <c r="BI58" s="375"/>
      <c r="BJ58" s="375"/>
      <c r="BK58" s="42"/>
      <c r="BL58" s="375"/>
      <c r="BM58" s="375"/>
      <c r="BN58" s="375"/>
      <c r="BO58" s="375"/>
      <c r="BP58" s="42"/>
      <c r="BQ58" s="375"/>
      <c r="BR58" s="375"/>
      <c r="BS58" s="375"/>
      <c r="BT58" s="375"/>
      <c r="BU58" s="42"/>
      <c r="BV58" s="375"/>
      <c r="BW58" s="375"/>
      <c r="BX58" s="375"/>
      <c r="BY58" s="375"/>
      <c r="BZ58" s="42"/>
      <c r="CA58" s="375"/>
      <c r="CB58" s="375"/>
      <c r="CC58" s="375"/>
      <c r="CD58" s="375"/>
      <c r="CE58" s="42"/>
      <c r="CF58" s="375"/>
      <c r="CG58" s="375"/>
      <c r="CH58" s="375"/>
      <c r="CI58" s="375"/>
      <c r="CJ58" s="42"/>
      <c r="CK58" s="375"/>
      <c r="CL58" s="375"/>
      <c r="CM58" s="375"/>
      <c r="CN58" s="375"/>
      <c r="CO58" s="42"/>
      <c r="CP58" s="375"/>
      <c r="CQ58" s="375"/>
      <c r="CR58" s="375"/>
      <c r="CS58" s="375"/>
      <c r="CT58" s="42"/>
      <c r="CU58" s="375"/>
      <c r="CV58" s="375"/>
      <c r="CW58" s="375"/>
      <c r="CX58" s="375"/>
      <c r="CY58" s="42"/>
      <c r="CZ58" s="375"/>
      <c r="DA58" s="375"/>
      <c r="DB58" s="375"/>
      <c r="DC58" s="375"/>
      <c r="DD58" s="42"/>
      <c r="DE58" s="375"/>
      <c r="DF58" s="375"/>
      <c r="DG58" s="375"/>
      <c r="DH58" s="375"/>
      <c r="DI58" s="42"/>
      <c r="DJ58" s="375"/>
      <c r="DK58" s="375"/>
      <c r="DL58" s="375"/>
      <c r="DM58" s="375"/>
      <c r="DN58" s="42"/>
      <c r="DO58" s="375"/>
      <c r="DP58" s="375"/>
      <c r="DQ58" s="375"/>
      <c r="DR58" s="375"/>
      <c r="DS58" s="42"/>
      <c r="DT58" s="375"/>
      <c r="DU58" s="375"/>
      <c r="DV58" s="375"/>
      <c r="DW58" s="375"/>
      <c r="DX58" s="42"/>
      <c r="DY58" s="375"/>
      <c r="DZ58" s="375"/>
      <c r="EA58" s="375"/>
      <c r="EB58" s="375"/>
      <c r="EC58" s="42"/>
      <c r="ED58" s="375"/>
      <c r="EE58" s="375"/>
      <c r="EF58" s="375"/>
      <c r="EG58" s="375"/>
      <c r="EH58" s="42"/>
      <c r="EI58" s="375"/>
      <c r="EJ58" s="375"/>
      <c r="EK58" s="375"/>
      <c r="EL58" s="375"/>
      <c r="EM58" s="42"/>
    </row>
    <row r="59" spans="1:145" ht="12.75" customHeight="1">
      <c r="B59" s="25" t="s">
        <v>1208</v>
      </c>
      <c r="C59" s="51"/>
      <c r="D59" s="43"/>
      <c r="E59" s="43"/>
      <c r="F59" s="43"/>
      <c r="G59" s="43"/>
      <c r="H59" s="51"/>
      <c r="I59" s="43"/>
      <c r="J59" s="43"/>
      <c r="K59" s="43"/>
      <c r="L59" s="43"/>
      <c r="M59" s="51"/>
      <c r="N59" s="43"/>
      <c r="O59" s="43"/>
      <c r="P59" s="43"/>
      <c r="Q59" s="43"/>
      <c r="R59" s="51"/>
      <c r="S59" s="43"/>
      <c r="T59" s="43"/>
      <c r="U59" s="43"/>
      <c r="V59" s="43"/>
      <c r="W59" s="51"/>
      <c r="X59" s="43"/>
      <c r="Y59" s="43"/>
      <c r="Z59" s="43"/>
      <c r="AA59" s="43"/>
      <c r="AB59" s="51"/>
      <c r="AC59" s="43"/>
      <c r="AD59" s="43"/>
      <c r="AE59" s="43"/>
      <c r="AF59" s="43"/>
      <c r="AG59" s="51"/>
      <c r="AH59" s="43"/>
      <c r="AI59" s="43"/>
      <c r="AJ59" s="43"/>
      <c r="AK59" s="43"/>
      <c r="AL59" s="42"/>
      <c r="AM59" s="43"/>
      <c r="AN59" s="43"/>
      <c r="AO59" s="43"/>
      <c r="AP59" s="43"/>
      <c r="AQ59" s="51"/>
      <c r="AR59" s="43"/>
      <c r="AS59" s="43"/>
      <c r="AT59" s="43"/>
      <c r="AU59" s="43"/>
      <c r="AV59" s="51"/>
      <c r="AW59" s="375"/>
      <c r="AX59" s="375"/>
      <c r="AY59" s="375"/>
      <c r="AZ59" s="375"/>
      <c r="BA59" s="51"/>
      <c r="BB59" s="442"/>
      <c r="BC59" s="442"/>
      <c r="BD59" s="442"/>
      <c r="BE59" s="442"/>
      <c r="BF59" s="51"/>
      <c r="BG59" s="443"/>
      <c r="BH59" s="443"/>
      <c r="BI59" s="375"/>
      <c r="BJ59" s="375"/>
      <c r="BK59" s="42"/>
      <c r="BL59" s="375"/>
      <c r="BM59" s="375"/>
      <c r="BN59" s="375"/>
      <c r="BO59" s="375"/>
      <c r="BP59" s="42"/>
      <c r="BQ59" s="375"/>
      <c r="BR59" s="375"/>
      <c r="BS59" s="375"/>
      <c r="BT59" s="375"/>
      <c r="BU59" s="42"/>
      <c r="BV59" s="375"/>
      <c r="BW59" s="375"/>
      <c r="BX59" s="375"/>
      <c r="BY59" s="375"/>
      <c r="BZ59" s="42"/>
      <c r="CA59" s="375"/>
      <c r="CB59" s="375"/>
      <c r="CC59" s="375"/>
      <c r="CD59" s="375"/>
      <c r="CE59" s="42">
        <f>IF(BU162=1,0,Fedratinib!C27)</f>
        <v>0</v>
      </c>
      <c r="CF59" s="375"/>
      <c r="CG59" s="375"/>
      <c r="CH59" s="375"/>
      <c r="CI59" s="375"/>
      <c r="CJ59" s="42">
        <f>IF(BU162=1,0,Fedratinib!D27)</f>
        <v>0</v>
      </c>
      <c r="CK59" s="375"/>
      <c r="CL59" s="375"/>
      <c r="CM59" s="375"/>
      <c r="CN59" s="375"/>
      <c r="CO59" s="42">
        <f>IF(BU162=1,0,Fedratinib!E27)</f>
        <v>32.572489639678388</v>
      </c>
      <c r="CP59" s="375"/>
      <c r="CQ59" s="375"/>
      <c r="CR59" s="375"/>
      <c r="CS59" s="375"/>
      <c r="CT59" s="42">
        <f>IF(BU162=1,0,Fedratinib!F27)</f>
        <v>76.280047791354505</v>
      </c>
      <c r="CU59" s="375"/>
      <c r="CV59" s="375"/>
      <c r="CW59" s="375"/>
      <c r="CX59" s="375"/>
      <c r="CY59" s="42">
        <f>IF(BU162=1,0,Fedratinib!G27)</f>
        <v>146.84577677267768</v>
      </c>
      <c r="CZ59" s="375"/>
      <c r="DA59" s="375"/>
      <c r="DB59" s="375"/>
      <c r="DC59" s="375"/>
      <c r="DD59" s="42">
        <f>IF(BU162=1,0,Fedratinib!H27)</f>
        <v>228.83488490608678</v>
      </c>
      <c r="DE59" s="375"/>
      <c r="DF59" s="375"/>
      <c r="DG59" s="375"/>
      <c r="DH59" s="375"/>
      <c r="DI59" s="42">
        <f>IF(BU162=1,0,Fedratinib!I27)</f>
        <v>293.21168451114011</v>
      </c>
      <c r="DJ59" s="375"/>
      <c r="DK59" s="375"/>
      <c r="DL59" s="375"/>
      <c r="DM59" s="375"/>
      <c r="DN59" s="42">
        <f>IF(BU162=1,0,Fedratinib!J27)</f>
        <v>359.80890582258792</v>
      </c>
      <c r="DO59" s="375"/>
      <c r="DP59" s="375"/>
      <c r="DQ59" s="375"/>
      <c r="DR59" s="375"/>
      <c r="DS59" s="42">
        <f>IF(BU162=1,0,Fedratinib!K27)</f>
        <v>412.0432144854625</v>
      </c>
      <c r="DT59" s="375"/>
      <c r="DU59" s="375"/>
      <c r="DV59" s="375"/>
      <c r="DW59" s="375"/>
      <c r="DX59" s="42">
        <f>IF(BU162=1,0,Fedratinib!L27)</f>
        <v>453.28360228639525</v>
      </c>
      <c r="DY59" s="375"/>
      <c r="DZ59" s="375"/>
      <c r="EA59" s="375"/>
      <c r="EB59" s="375"/>
      <c r="EC59" s="42">
        <f>IF(BU162=1,0,Fedratinib!M27)</f>
        <v>471.41637188496486</v>
      </c>
      <c r="ED59" s="375"/>
      <c r="EE59" s="375"/>
      <c r="EF59" s="375"/>
      <c r="EG59" s="375"/>
      <c r="EH59" s="42">
        <f>IF(BU162=1,0,Fedratinib!N27)</f>
        <v>490.08075157270815</v>
      </c>
      <c r="EI59" s="375"/>
      <c r="EJ59" s="375"/>
      <c r="EK59" s="375"/>
      <c r="EL59" s="375"/>
      <c r="EM59" s="42">
        <f>IF(BU162=1,0,Fedratinib!O27)</f>
        <v>509.30587963117165</v>
      </c>
      <c r="EO59" s="449"/>
    </row>
    <row r="60" spans="1:145" ht="6.75" customHeight="1">
      <c r="B60" s="25"/>
      <c r="C60" s="51"/>
      <c r="D60" s="43"/>
      <c r="E60" s="43"/>
      <c r="F60" s="43"/>
      <c r="G60" s="43"/>
      <c r="H60" s="51"/>
      <c r="I60" s="43"/>
      <c r="J60" s="43"/>
      <c r="K60" s="43"/>
      <c r="L60" s="43"/>
      <c r="M60" s="51"/>
      <c r="N60" s="43"/>
      <c r="O60" s="43"/>
      <c r="P60" s="43"/>
      <c r="Q60" s="43"/>
      <c r="R60" s="51"/>
      <c r="S60" s="43"/>
      <c r="T60" s="43"/>
      <c r="U60" s="43"/>
      <c r="V60" s="43"/>
      <c r="W60" s="51"/>
      <c r="X60" s="43"/>
      <c r="Y60" s="43"/>
      <c r="Z60" s="43"/>
      <c r="AA60" s="43"/>
      <c r="AB60" s="51"/>
      <c r="AC60" s="43"/>
      <c r="AD60" s="43"/>
      <c r="AE60" s="43"/>
      <c r="AF60" s="43"/>
      <c r="AG60" s="51"/>
      <c r="AH60" s="43"/>
      <c r="AI60" s="43"/>
      <c r="AJ60" s="43"/>
      <c r="AK60" s="43"/>
      <c r="AL60" s="42"/>
      <c r="AM60" s="43"/>
      <c r="AN60" s="43"/>
      <c r="AO60" s="43"/>
      <c r="AP60" s="43"/>
      <c r="AQ60" s="51"/>
      <c r="AR60" s="43"/>
      <c r="AS60" s="43"/>
      <c r="AT60" s="43"/>
      <c r="AU60" s="43"/>
      <c r="AV60" s="51"/>
      <c r="AW60" s="375"/>
      <c r="AX60" s="375"/>
      <c r="AY60" s="375"/>
      <c r="AZ60" s="375"/>
      <c r="BA60" s="51"/>
      <c r="BB60" s="442"/>
      <c r="BC60" s="442"/>
      <c r="BD60" s="442"/>
      <c r="BE60" s="442"/>
      <c r="BF60" s="51"/>
      <c r="BG60" s="443"/>
      <c r="BH60" s="443"/>
      <c r="BI60" s="375"/>
      <c r="BJ60" s="375"/>
      <c r="BK60" s="42"/>
      <c r="BL60" s="375"/>
      <c r="BM60" s="375"/>
      <c r="BN60" s="375"/>
      <c r="BO60" s="375"/>
      <c r="BP60" s="42"/>
      <c r="BQ60" s="375"/>
      <c r="BR60" s="375"/>
      <c r="BS60" s="375"/>
      <c r="BT60" s="375"/>
      <c r="BU60" s="42"/>
      <c r="BV60" s="375"/>
      <c r="BW60" s="375"/>
      <c r="BX60" s="375"/>
      <c r="BY60" s="375"/>
      <c r="BZ60" s="42"/>
      <c r="CA60" s="375"/>
      <c r="CB60" s="375"/>
      <c r="CC60" s="375"/>
      <c r="CD60" s="375"/>
      <c r="CE60" s="42"/>
      <c r="CF60" s="375"/>
      <c r="CG60" s="375"/>
      <c r="CH60" s="375"/>
      <c r="CI60" s="375"/>
      <c r="CJ60" s="42"/>
      <c r="CK60" s="375"/>
      <c r="CL60" s="375"/>
      <c r="CM60" s="375"/>
      <c r="CN60" s="375"/>
      <c r="CO60" s="42"/>
      <c r="CP60" s="375"/>
      <c r="CQ60" s="375"/>
      <c r="CR60" s="375"/>
      <c r="CS60" s="375"/>
      <c r="CT60" s="42"/>
      <c r="CU60" s="375"/>
      <c r="CV60" s="375"/>
      <c r="CW60" s="375"/>
      <c r="CX60" s="375"/>
      <c r="CY60" s="42"/>
      <c r="CZ60" s="375"/>
      <c r="DA60" s="375"/>
      <c r="DB60" s="375"/>
      <c r="DC60" s="375"/>
      <c r="DD60" s="42"/>
      <c r="DE60" s="375"/>
      <c r="DF60" s="375"/>
      <c r="DG60" s="375"/>
      <c r="DH60" s="375"/>
      <c r="DI60" s="42"/>
      <c r="DJ60" s="375"/>
      <c r="DK60" s="375"/>
      <c r="DL60" s="375"/>
      <c r="DM60" s="375"/>
      <c r="DN60" s="42"/>
      <c r="DO60" s="375"/>
      <c r="DP60" s="375"/>
      <c r="DQ60" s="375"/>
      <c r="DR60" s="375"/>
      <c r="DS60" s="42"/>
      <c r="DT60" s="375"/>
      <c r="DU60" s="375"/>
      <c r="DV60" s="375"/>
      <c r="DW60" s="375"/>
      <c r="DX60" s="42"/>
      <c r="DY60" s="375"/>
      <c r="DZ60" s="375"/>
      <c r="EA60" s="375"/>
      <c r="EB60" s="375"/>
      <c r="EC60" s="42"/>
      <c r="ED60" s="375"/>
      <c r="EE60" s="375"/>
      <c r="EF60" s="375"/>
      <c r="EG60" s="375"/>
      <c r="EH60" s="42"/>
      <c r="EI60" s="375"/>
      <c r="EJ60" s="375"/>
      <c r="EK60" s="375"/>
      <c r="EL60" s="375"/>
      <c r="EM60" s="42"/>
    </row>
    <row r="61" spans="1:145" s="66" customFormat="1">
      <c r="A61" s="44"/>
      <c r="B61" s="44" t="s">
        <v>77</v>
      </c>
      <c r="C61" s="55">
        <f t="shared" ref="C61:AP61" si="36">C4+C36+C13+C18+C9+C42+C38</f>
        <v>122.92100000000001</v>
      </c>
      <c r="D61" s="57">
        <f t="shared" si="36"/>
        <v>45.804000000000002</v>
      </c>
      <c r="E61" s="57">
        <f t="shared" si="36"/>
        <v>62.497</v>
      </c>
      <c r="F61" s="57">
        <f t="shared" si="36"/>
        <v>65.445000000000007</v>
      </c>
      <c r="G61" s="57">
        <f t="shared" si="36"/>
        <v>70.707000000000022</v>
      </c>
      <c r="H61" s="55">
        <f t="shared" si="36"/>
        <v>244.453</v>
      </c>
      <c r="I61" s="57">
        <f t="shared" si="36"/>
        <v>76.12</v>
      </c>
      <c r="J61" s="57">
        <f t="shared" si="36"/>
        <v>79.009999999999991</v>
      </c>
      <c r="K61" s="57">
        <f t="shared" si="36"/>
        <v>83.802999999999997</v>
      </c>
      <c r="L61" s="57">
        <f t="shared" si="36"/>
        <v>91.638000000000005</v>
      </c>
      <c r="M61" s="55">
        <f t="shared" si="36"/>
        <v>330.57100000000003</v>
      </c>
      <c r="N61" s="57">
        <f t="shared" si="36"/>
        <v>97.64500000000001</v>
      </c>
      <c r="O61" s="57">
        <f t="shared" si="36"/>
        <v>105.38300000000001</v>
      </c>
      <c r="P61" s="57">
        <f t="shared" si="36"/>
        <v>113.9</v>
      </c>
      <c r="Q61" s="57">
        <f t="shared" si="36"/>
        <v>128.69699999999995</v>
      </c>
      <c r="R61" s="55">
        <f t="shared" si="36"/>
        <v>445.625</v>
      </c>
      <c r="S61" s="57">
        <f t="shared" si="36"/>
        <v>160.24299999999999</v>
      </c>
      <c r="T61" s="57">
        <f t="shared" si="36"/>
        <v>176.40099999999998</v>
      </c>
      <c r="U61" s="57">
        <f t="shared" si="36"/>
        <v>223.10499999999999</v>
      </c>
      <c r="V61" s="57">
        <f t="shared" si="36"/>
        <v>251.85599999999999</v>
      </c>
      <c r="W61" s="55">
        <f t="shared" si="36"/>
        <v>811.60500000000002</v>
      </c>
      <c r="X61" s="57">
        <f t="shared" si="36"/>
        <v>269.79599999999999</v>
      </c>
      <c r="Y61" s="57">
        <f t="shared" si="36"/>
        <v>318.94499999999999</v>
      </c>
      <c r="Z61" s="57">
        <f t="shared" si="36"/>
        <v>331.16899999999998</v>
      </c>
      <c r="AA61" s="57">
        <f t="shared" si="36"/>
        <v>380.53100000000001</v>
      </c>
      <c r="AB61" s="55">
        <f t="shared" si="36"/>
        <v>1300.4409999999998</v>
      </c>
      <c r="AC61" s="57">
        <f t="shared" si="36"/>
        <v>429.79600000000005</v>
      </c>
      <c r="AD61" s="57">
        <f t="shared" si="36"/>
        <v>538.31600000000003</v>
      </c>
      <c r="AE61" s="57">
        <f t="shared" si="36"/>
        <v>561.29200000000003</v>
      </c>
      <c r="AF61" s="57">
        <f t="shared" si="36"/>
        <v>591.30999999999995</v>
      </c>
      <c r="AG61" s="55">
        <f t="shared" si="36"/>
        <v>2120.7139999999999</v>
      </c>
      <c r="AH61" s="57">
        <f t="shared" si="36"/>
        <v>572.28100000000006</v>
      </c>
      <c r="AI61" s="57">
        <f t="shared" si="36"/>
        <v>595.63900000000001</v>
      </c>
      <c r="AJ61" s="57">
        <f t="shared" si="36"/>
        <v>665.06500000000005</v>
      </c>
      <c r="AK61" s="57">
        <f t="shared" si="36"/>
        <v>721.7149999999998</v>
      </c>
      <c r="AL61" s="56">
        <f t="shared" si="36"/>
        <v>2554.6999999999998</v>
      </c>
      <c r="AM61" s="57">
        <f t="shared" si="36"/>
        <v>757.03699999999992</v>
      </c>
      <c r="AN61" s="57">
        <f t="shared" si="36"/>
        <v>820.79700000000003</v>
      </c>
      <c r="AO61" s="57">
        <f t="shared" si="36"/>
        <v>883.60700000000008</v>
      </c>
      <c r="AP61" s="57">
        <f t="shared" si="36"/>
        <v>1022.899</v>
      </c>
      <c r="AQ61" s="55">
        <f t="shared" ref="AQ61:AV61" si="37">AQ4+AQ36+AQ13+AQ18+AQ9+AQ42+AQ38+AQ23</f>
        <v>3484.34</v>
      </c>
      <c r="AR61" s="57">
        <f t="shared" si="37"/>
        <v>1066.7049999999999</v>
      </c>
      <c r="AS61" s="57">
        <f t="shared" si="37"/>
        <v>1147.7629999999999</v>
      </c>
      <c r="AT61" s="57">
        <f t="shared" si="37"/>
        <v>1217.6500000000001</v>
      </c>
      <c r="AU61" s="57">
        <f t="shared" si="37"/>
        <v>1240.8839999999998</v>
      </c>
      <c r="AV61" s="55">
        <f t="shared" si="37"/>
        <v>4673.0020000000004</v>
      </c>
      <c r="AW61" s="445">
        <f t="shared" ref="AW61:BD61" si="38">AW4+AW36+AW13+AW18+AW9+AW42+AW23+AW38</f>
        <v>1245.499</v>
      </c>
      <c r="AX61" s="445">
        <f t="shared" si="38"/>
        <v>1336.5900000000001</v>
      </c>
      <c r="AY61" s="445">
        <f t="shared" si="38"/>
        <v>1388.0129999999999</v>
      </c>
      <c r="AZ61" s="445">
        <f t="shared" si="38"/>
        <v>1415.4970000000003</v>
      </c>
      <c r="BA61" s="55">
        <f t="shared" si="38"/>
        <v>5385.5990000000002</v>
      </c>
      <c r="BB61" s="445">
        <f t="shared" si="38"/>
        <v>1429.3000000000002</v>
      </c>
      <c r="BC61" s="445">
        <f t="shared" si="38"/>
        <v>1564.1</v>
      </c>
      <c r="BD61" s="445">
        <f t="shared" si="38"/>
        <v>1644</v>
      </c>
      <c r="BE61" s="445">
        <f>BE4+BE36+BE13+BE18+BE9+BE42+BE23+BE38+BE40</f>
        <v>1725</v>
      </c>
      <c r="BF61" s="55">
        <f>BF4+BF36+BF13+BF18+BF9+BF42+BF38</f>
        <v>6339.4000000000005</v>
      </c>
      <c r="BG61" s="445">
        <f t="shared" ref="BG61:BO61" si="39">BG4+BG36+BG13+BG18+BG23+BG9+BG42+BG38+BG40</f>
        <v>1707.5</v>
      </c>
      <c r="BH61" s="445">
        <f t="shared" si="39"/>
        <v>1844.6</v>
      </c>
      <c r="BI61" s="445">
        <f t="shared" si="39"/>
        <v>1956.8</v>
      </c>
      <c r="BJ61" s="445">
        <f t="shared" si="39"/>
        <v>2054.9</v>
      </c>
      <c r="BK61" s="55">
        <f t="shared" si="39"/>
        <v>7563.7999999999993</v>
      </c>
      <c r="BL61" s="445">
        <f t="shared" si="39"/>
        <v>2055.2000000000003</v>
      </c>
      <c r="BM61" s="445">
        <f t="shared" si="39"/>
        <v>2254.1000000000004</v>
      </c>
      <c r="BN61" s="445">
        <f t="shared" si="39"/>
        <v>2312.6</v>
      </c>
      <c r="BO61" s="445">
        <f t="shared" si="39"/>
        <v>2539.1999999999998</v>
      </c>
      <c r="BP61" s="55">
        <f>BP4+BP36+BP13+BP18+BP23+BP9+BP42+BP38+BP40+BP34+BP32+BP28</f>
        <v>9161.1</v>
      </c>
      <c r="BQ61" s="445">
        <f>BQ4+BQ36+BQ13+BQ18+BQ23+BQ9+BQ42+BQ38+BQ40+BQ34</f>
        <v>2494.6999999999998</v>
      </c>
      <c r="BR61" s="445">
        <f>BR4+BR36+BR13+BR18+BR23+BR9+BR42+BR38+BR40+BR34</f>
        <v>2744.5</v>
      </c>
      <c r="BS61" s="445">
        <f>BS4+BS36+BS13+BS18+BS23+BS9+BS42+BS38+BS40+BS34</f>
        <v>2968.6</v>
      </c>
      <c r="BT61" s="445">
        <f>BT4+BT36+BT13+BT18+BT23+BT9+BT42+BT38+BT40+BT34</f>
        <v>2976.7999999999997</v>
      </c>
      <c r="BU61" s="55">
        <f>BU4+BU36+BU13+BU18+BU23+BU9+BU42+BU38+BU40+BU34+BU32+BU28</f>
        <v>11184.6</v>
      </c>
      <c r="BV61" s="445">
        <f>BV4+BV36+BV13+BV18+BV23+BV9+BV42+BV38+BV28+BV34+BV40</f>
        <v>2950</v>
      </c>
      <c r="BW61" s="445">
        <f>BW4+BW36+BW13+BW18+BW23+BW9+BW42+BW38+BW28+BW34+BW40</f>
        <v>3256</v>
      </c>
      <c r="BX61" s="445">
        <f>BX4+BX36+BX13+BX18+BX23+BX9+BX42+BX38+BX28+BX34+BX40</f>
        <v>3288</v>
      </c>
      <c r="BY61" s="445">
        <f>BY4+BY36+BY13+BY18+BY23+BY9+BY42+BY38+BY28+BY34+BY40</f>
        <v>3479</v>
      </c>
      <c r="BZ61" s="55">
        <f>BZ4+BZ36+BZ13+BZ18+BZ23+BZ9+BZ42+BZ38+BZ40+BZ34+BZ32+BZ28+BZ54</f>
        <v>12973</v>
      </c>
      <c r="CA61" s="445">
        <f>CA4+CA36+CA13+CA18+CA23+CA9+CA42+CA38+CA28+CA48+CA40+CA34</f>
        <v>3407.4388545851743</v>
      </c>
      <c r="CB61" s="445">
        <f>CB4+CB36+CB13+CB18+CB23+CB9+CB42+CB38+CB28+CB48+CB40+CB34</f>
        <v>3683.6627940238063</v>
      </c>
      <c r="CC61" s="445">
        <f>CC4+CC36+CC13+CC18+CC23+CC9+CC42+CC38+CC28+CC48+CC40+CC34</f>
        <v>3728.9859245873322</v>
      </c>
      <c r="CD61" s="445">
        <f>CD4+CD36+CD13+CD18+CD23+CD9+CD42+CD38+CD28+CD48+CD40+CD34</f>
        <v>3925.1930337908193</v>
      </c>
      <c r="CE61" s="55">
        <f>CE4+CE36+CE13+CE18+CE23+CE9+CE42+CE38+CE40+CE34+CE32+CE28+CE44+CE48+CE54+CE46+CE59+CE52</f>
        <v>14745.280606987131</v>
      </c>
      <c r="CF61" s="445">
        <f>CF4+CF36+CF13+CF18+CF23+CF9+CF42+CF38+CF28+CF44+CF48+CF52</f>
        <v>3805.1995243605425</v>
      </c>
      <c r="CG61" s="445">
        <f>CG4+CG36+CG13+CG18+CG23+CG9+CG42+CG38+CG28+CG44+CG48+CG52</f>
        <v>4053.5002729367193</v>
      </c>
      <c r="CH61" s="445">
        <f>CH4+CH36+CH13+CH18+CH23+CH9+CH42+CH38+CH28+CH44+CH48+CH52</f>
        <v>4139.5745227053621</v>
      </c>
      <c r="CI61" s="445">
        <f>CI4+CI36+CI13+CI18+CI23+CI9+CI42+CI38+CI28+CI44+CI48+CI52</f>
        <v>4317.1935597255442</v>
      </c>
      <c r="CJ61" s="55">
        <f>CJ4+CJ36+CJ13+CJ18+CJ23+CJ9+CJ42+CJ38+CJ40+CJ34+CJ32+CJ28+CJ44+CJ48+CJ54+CJ46+CJ59+CJ52</f>
        <v>16701.201940531038</v>
      </c>
      <c r="CK61" s="445">
        <f>CK4+CK36+CK13+CK18+CK23+CK9+CK42+CK38+CK40+CK34+CK32+CK28+CK44+CK48+CK52</f>
        <v>4314.1587250868579</v>
      </c>
      <c r="CL61" s="445">
        <f>CL4+CL36+CL13+CL18+CL23+CL9+CL42+CL38+CL40+CL34+CL32+CL28+CL44+CL48+CL52</f>
        <v>4585.7364249952534</v>
      </c>
      <c r="CM61" s="445">
        <f>CM4+CM36+CM13+CM18+CM23+CM9+CM42+CM38+CM40+CM34+CM32+CM28+CM44+CM48+CM52</f>
        <v>4670.2948978805052</v>
      </c>
      <c r="CN61" s="445">
        <f>CN4+CN36+CN13+CN18+CN23+CN9+CN42+CN38+CN40+CN34+CN32+CN28+CN44+CN48+CN52</f>
        <v>4860.2049448810167</v>
      </c>
      <c r="CO61" s="55">
        <f>CO4+CO36+CO13+CO18+CO23+CO9+CO42+CO38+CO40+CO34+CO32+CO28+CO44+CO48+CO54+CO46+CO59+CO52</f>
        <v>19223.731119150274</v>
      </c>
      <c r="CP61" s="445">
        <f>CP4+CP36+CP13+CP18+CP23+CP9+CP42+CP38+CP40+CP34+CP32+CP28+CP44+CP48+CP52</f>
        <v>4812.3542793091947</v>
      </c>
      <c r="CQ61" s="445">
        <f>CQ4+CQ36+CQ13+CQ18+CQ23+CQ9+CQ42+CQ38+CQ40+CQ34+CQ32+CQ28+CQ44+CQ48+CQ52</f>
        <v>5114.7698078958283</v>
      </c>
      <c r="CR61" s="445">
        <f>CR4+CR36+CR13+CR18+CR23+CR9+CR42+CR38+CR40+CR34+CR32+CR28+CR44+CR48+CR52</f>
        <v>5210.1882482280334</v>
      </c>
      <c r="CS61" s="445">
        <f>CS4+CS36+CS13+CS18+CS23+CS9+CS42+CS38+CS40+CS34+CS32+CS28+CS44+CS48+CS52</f>
        <v>5422.0625309417383</v>
      </c>
      <c r="CT61" s="55">
        <f>CT4+CT36+CT13+CT18+CT23+CT9+CT42+CT38+CT40+CT34+CT32+CT28+CT44+CT48+CT54+CT46+CT59+CT52</f>
        <v>22084.84509287923</v>
      </c>
      <c r="CU61" s="445">
        <f>CU4+CU36+CU13+CU18+CU23+CU9+CU42+CU38+CU40+CU34+CU32+CU28+CU44+CU48+CU52</f>
        <v>5008.4330084677267</v>
      </c>
      <c r="CV61" s="445">
        <f>CV4+CV36+CV13+CV18+CV23+CV9+CV42+CV38+CV40+CV34+CV32+CV28+CV44+CV48+CV52</f>
        <v>5323.5067960711922</v>
      </c>
      <c r="CW61" s="445">
        <f>CW4+CW36+CW13+CW18+CW23+CW9+CW42+CW38+CW40+CW34+CW32+CW28+CW44+CW48+CW52</f>
        <v>5413.4383952339995</v>
      </c>
      <c r="CX61" s="445">
        <f>CX4+CX36+CX13+CX18+CX23+CX9+CX42+CX38+CX40+CX34+CX32+CX28+CX44+CX48+CX52</f>
        <v>5641.905057861999</v>
      </c>
      <c r="CY61" s="55">
        <f>CY4+CY36+CY13+CY18+CY23+CY9+CY42+CY38+CY40+CY34+CY32+CY28+CY44+CY48+CY54+CY46+CY59+CY52</f>
        <v>23649.319314473927</v>
      </c>
      <c r="CZ61" s="445">
        <f>CZ4+CZ36+CZ13+CZ18+CZ23+CZ9+CZ42+CZ38+CZ40+CZ34+CZ32+CZ28+CZ44+CZ48+CZ52</f>
        <v>4890.6819091835923</v>
      </c>
      <c r="DA61" s="445">
        <f>DA4+DA36+DA13+DA18+DA23+DA9+DA42+DA38+DA40+DA34+DA32+DA28+DA44+DA48+DA52</f>
        <v>5197.2427050580372</v>
      </c>
      <c r="DB61" s="445">
        <f>DB4+DB36+DB13+DB18+DB23+DB9+DB42+DB38+DB40+DB34+DB32+DB28+DB44+DB48+DB52</f>
        <v>5266.695244256247</v>
      </c>
      <c r="DC61" s="445">
        <f>DC4+DC36+DC13+DC18+DC23+DC9+DC42+DC38+DC40+DC34+DC32+DC28+DC44+DC48+DC52</f>
        <v>5500.8013815751092</v>
      </c>
      <c r="DD61" s="55">
        <f>DD4+DD36+DD13+DD18+DD23+DD9+DD42+DD38+DD40+DD34+DD32+DD28+DD44+DD48+DD54+DD46+DD59+DD52</f>
        <v>23967.342966352666</v>
      </c>
      <c r="DE61" s="445">
        <f>DE4+DE36+DE13+DE18+DE23+DE9+DE42+DE38+DE28+DE46+DE44+DE48+DE52</f>
        <v>4566.3660295118216</v>
      </c>
      <c r="DF61" s="445">
        <f>DF4+DF36+DF13+DF18+DF23+DF9+DF42+DF38+DF28+DF46+DF44+DF48+DF52</f>
        <v>4852.4487892504512</v>
      </c>
      <c r="DG61" s="445">
        <f>DG4+DG36+DG13+DG18+DG23+DG9+DG42+DG38+DG28+DG46+DG44+DG48+DG52</f>
        <v>4895.1587161348307</v>
      </c>
      <c r="DH61" s="445">
        <f>DH4+DH36+DH13+DH18+DH23+DH9+DH42+DH38+DH28+DH46+DH44+DH48+DH52</f>
        <v>5127.5246634466666</v>
      </c>
      <c r="DI61" s="55">
        <f>DI4+DI36+DI13+DI18+DI23+DI9+DI42+DI38+DI40+DI34+DI32+DI28+DI44+DI48+DI54+DI46+DI59+DI52</f>
        <v>23463.78726629644</v>
      </c>
      <c r="DJ61" s="445">
        <f>DJ4+DJ36+DJ13+DJ18+DJ23+DJ9+DJ42+DJ38+DJ40+DJ34+DJ32+DJ28+DJ46+DJ44+DJ48+DJ52</f>
        <v>3401.8071779849274</v>
      </c>
      <c r="DK61" s="445">
        <f>DK4+DK36+DK13+DK18+DK23+DK9+DK42+DK38+DK40+DK34+DK32+DK28+DK46+DK44+DK48+DK52</f>
        <v>3635.6838138668859</v>
      </c>
      <c r="DL61" s="445">
        <f>DL4+DL36+DL13+DL18+DL23+DL9+DL42+DL38+DL40+DL34+DL32+DL28+DL46+DL44+DL48+DL52</f>
        <v>3649.2381877872976</v>
      </c>
      <c r="DM61" s="445">
        <f>DM4+DM36+DM13+DM18+DM23+DM9+DM42+DM38+DM40+DM34+DM32+DM28+DM46+DM44+DM48+DM52</f>
        <v>3842.9420095581845</v>
      </c>
      <c r="DN61" s="55">
        <f>DN4+DN36+DN13+DN18+DN23+DN9+DN42+DN38+DN40+DN34+DN32+DN28+DN44+DN48+DN54+DN46+DN59+DN52</f>
        <v>19114.535753784134</v>
      </c>
      <c r="DO61" s="445">
        <f>DO4+DO36+DO13+DO18+DO23+DO9+DO42+DO38+DO40+DO34+DO32+DO28+DO46+DO44+DO48+DO52</f>
        <v>1722.9998330250405</v>
      </c>
      <c r="DP61" s="445">
        <f>DP4+DP36+DP13+DP18+DP23+DP9+DP42+DP38+DP40+DP34+DP32+DP28+DP46+DP44+DP48+DP52</f>
        <v>1822.1946570150749</v>
      </c>
      <c r="DQ61" s="445">
        <f>DQ4+DQ36+DQ13+DQ18+DQ23+DQ9+DQ42+DQ38+DQ40+DQ34+DQ32+DQ28+DQ46+DQ44+DQ48+DQ52</f>
        <v>1820.0127015508151</v>
      </c>
      <c r="DR61" s="445">
        <f>DR4+DR36+DR13+DR18+DR23+DR9+DR42+DR38+DR40+DR34+DR32+DR28+DR46+DR44+DR48+DR52</f>
        <v>1894.2187810984146</v>
      </c>
      <c r="DS61" s="55">
        <f>DS4+DS36+DS13+DS18+DS23+DS9+DS42+DS38+DS40+DS34+DS32+DS28+DS44+DS48+DS54+DS46+DS59+DS52</f>
        <v>12289.935928057557</v>
      </c>
      <c r="DT61" s="445">
        <f>DT4+DT36+DT13+DT18+DT23+DT9+DT42+DT38+DT40+DT34+DT32+DT28+DT46+DT44+DT48+DT52</f>
        <v>1087.6667734136347</v>
      </c>
      <c r="DU61" s="445">
        <f>DU4+DU36+DU13+DU18+DU23+DU9+DU42+DU38+DU40+DU34+DU32+DU28+DU46+DU44+DU48+DU52</f>
        <v>1130.4039077428176</v>
      </c>
      <c r="DV61" s="445">
        <f>DV4+DV36+DV13+DV18+DV23+DV9+DV42+DV38+DV40+DV34+DV32+DV28+DV46+DV44+DV48+DV52</f>
        <v>1122.8551319484702</v>
      </c>
      <c r="DW61" s="445">
        <f>DW4+DW36+DW13+DW18+DW23+DW9+DW42+DW38+DW40+DW34+DW32+DW28+DW46+DW44+DW48+DW52</f>
        <v>1149.0470275571518</v>
      </c>
      <c r="DX61" s="55">
        <f>DX4+DX36+DX13+DX18+DX23+DX9+DX42+DX38+DX40+DX34+DX32+DX28+DX44+DX48+DX54+DX46+DX59+DX52</f>
        <v>9885.9522701546521</v>
      </c>
      <c r="DY61" s="445">
        <f>DY4+DY36+DY13+DY18+DY23+DY9+DY42+DY38+DY40+DY34+DY32+DY28+DY46+DY44+DY48+DY52</f>
        <v>937.65393475145675</v>
      </c>
      <c r="DZ61" s="445">
        <f>DZ4+DZ36+DZ13+DZ18+DZ23+DZ9+DZ42+DZ38+DZ40+DZ34+DZ32+DZ28+DZ46+DZ44+DZ48+DZ52</f>
        <v>967.76450385641806</v>
      </c>
      <c r="EA61" s="445">
        <f>EA4+EA36+EA13+EA18+EA23+EA9+EA42+EA38+EA40+EA34+EA32+EA28+EA46+EA44+EA48+EA52</f>
        <v>958.25822648424082</v>
      </c>
      <c r="EB61" s="445">
        <f>EB4+EB36+EB13+EB18+EB23+EB9+EB42+EB38+EB40+EB34+EB32+EB28+EB46+EB44+EB48+EB52</f>
        <v>974.09067874735638</v>
      </c>
      <c r="EC61" s="55">
        <f>EC4+EC36+EC13+EC18+EC23+EC9+EC42+EC38+EC40+EC34+EC32+EC28+EC44+EC48+EC54+EC46+EC59+EC52</f>
        <v>9531.7632545710676</v>
      </c>
      <c r="ED61" s="445">
        <f>ED4+ED36+ED13+ED18+ED23+ED9+ED42+ED38+ED40+ED34+ED32+ED28+ED46+ED44+ED48+ED52</f>
        <v>873.02554172901591</v>
      </c>
      <c r="EE61" s="445">
        <f>EE4+EE36+EE13+EE18+EE23+EE9+EE42+EE38+EE40+EE34+EE32+EE28+EE46+EE44+EE48+EE52</f>
        <v>897.22787577777035</v>
      </c>
      <c r="EF61" s="445">
        <f>EF4+EF36+EF13+EF18+EF23+EF9+EF42+EF38+EF40+EF34+EF32+EF28+EF46+EF44+EF48+EF52</f>
        <v>887.33723429619829</v>
      </c>
      <c r="EG61" s="445">
        <f>EG4+EG36+EG13+EG18+EG23+EG9+EG42+EG38+EG40+EG34+EG32+EG28+EG46+EG44+EG48+EG52</f>
        <v>898.88157066580777</v>
      </c>
      <c r="EH61" s="55">
        <f>EH4+EH36+EH13+EH18+EH23+EH9+EH42+EH38+EH40+EH34+EH32+EH28+EH44+EH48+EH54+EH46+EH59+EH52</f>
        <v>9463.6190081539717</v>
      </c>
      <c r="EI61" s="445">
        <f>EI4+EI36+EI13+EI18+EI23+EI9+EI42+EI38+EI40+EI34+EI32+EI28+EI46+EI44+EI48+EI52</f>
        <v>272.26130334366974</v>
      </c>
      <c r="EJ61" s="445">
        <f>EJ4+EJ36+EJ13+EJ18+EJ23+EJ9+EJ42+EJ38+EJ40+EJ34+EJ32+EJ28+EJ46+EJ44+EJ48+EJ52</f>
        <v>292.89317613477499</v>
      </c>
      <c r="EK61" s="445">
        <f>EK4+EK36+EK13+EK18+EK23+EK9+EK42+EK38+EK40+EK34+EK32+EK28+EK46+EK44+EK48+EK52</f>
        <v>283.92255178745842</v>
      </c>
      <c r="EL61" s="445">
        <f>EL4+EL36+EL13+EL18+EL23+EL9+EL42+EL38+EL40+EL34+EL32+EL28+EL46+EL44+EL48+EL52</f>
        <v>293.73811541507098</v>
      </c>
      <c r="EM61" s="55">
        <f>EM4+EM36+EM13+EM18+EM23+EM9+EM42+EM38+EM40+EM34+EM32+EM28+EM44+EM48+EM54+EM46+EM59+EM52</f>
        <v>7241.0282959317356</v>
      </c>
    </row>
    <row r="62" spans="1:145" s="449" customFormat="1">
      <c r="A62" s="360"/>
      <c r="B62" s="360" t="s">
        <v>183</v>
      </c>
      <c r="C62" s="446">
        <v>4.71</v>
      </c>
      <c r="D62" s="447">
        <v>2.206</v>
      </c>
      <c r="E62" s="447">
        <v>2.4809999999999999</v>
      </c>
      <c r="F62" s="447">
        <v>2.6789999999999998</v>
      </c>
      <c r="G62" s="447">
        <f>11.848-F62-E62-D62</f>
        <v>4.4820000000000011</v>
      </c>
      <c r="H62" s="446">
        <f>D62+E62+F62+G62</f>
        <v>11.848000000000001</v>
      </c>
      <c r="I62" s="447">
        <v>4.62</v>
      </c>
      <c r="J62" s="447">
        <v>5.8479999999999999</v>
      </c>
      <c r="K62" s="447">
        <v>7.2729999999999997</v>
      </c>
      <c r="L62" s="447">
        <f>26.919-K62-J62-I62</f>
        <v>9.1780000000000008</v>
      </c>
      <c r="M62" s="446">
        <f>I62+J62+K62+L62</f>
        <v>26.919</v>
      </c>
      <c r="N62" s="447">
        <v>9.5220000000000002</v>
      </c>
      <c r="O62" s="447">
        <v>14.597</v>
      </c>
      <c r="P62" s="447">
        <v>10.727</v>
      </c>
      <c r="Q62" s="447">
        <f>49.982-P62-O62-N62</f>
        <v>15.135999999999994</v>
      </c>
      <c r="R62" s="446">
        <f>N62+O62+P62+Q62</f>
        <v>49.981999999999999</v>
      </c>
      <c r="S62" s="447">
        <v>17.704999999999998</v>
      </c>
      <c r="T62" s="447">
        <v>16.515000000000001</v>
      </c>
      <c r="U62" s="447">
        <v>17.102</v>
      </c>
      <c r="V62" s="447">
        <f>69.079-U62-T62-S62</f>
        <v>17.756999999999991</v>
      </c>
      <c r="W62" s="446">
        <f>S62+T62+U62+V62</f>
        <v>69.078999999999994</v>
      </c>
      <c r="X62" s="447">
        <v>18.815000000000001</v>
      </c>
      <c r="Y62" s="447">
        <v>23.861999999999998</v>
      </c>
      <c r="Z62" s="447">
        <v>14.122999999999999</v>
      </c>
      <c r="AA62" s="447">
        <f>85.27-Z62-Y62-X62</f>
        <v>28.469999999999995</v>
      </c>
      <c r="AB62" s="446">
        <f>X62+Y62+Z62+AA62</f>
        <v>85.27</v>
      </c>
      <c r="AC62" s="447">
        <v>26.454999999999998</v>
      </c>
      <c r="AD62" s="447">
        <v>25.51</v>
      </c>
      <c r="AE62" s="447">
        <v>23.045999999999999</v>
      </c>
      <c r="AF62" s="447">
        <f>102.158-AE62-AD62-AC62</f>
        <v>27.146999999999991</v>
      </c>
      <c r="AG62" s="446">
        <f>AC62+AD62+AE62+AF62</f>
        <v>102.15799999999999</v>
      </c>
      <c r="AH62" s="447">
        <v>26.577000000000002</v>
      </c>
      <c r="AI62" s="447">
        <v>28.158000000000001</v>
      </c>
      <c r="AJ62" s="447">
        <v>24.789000000000001</v>
      </c>
      <c r="AK62" s="447">
        <f>108.796-AJ62-AI62-AH62</f>
        <v>29.272000000000002</v>
      </c>
      <c r="AL62" s="358">
        <f>AH62+AI62+AJ62+AK62</f>
        <v>108.79600000000001</v>
      </c>
      <c r="AM62" s="447">
        <v>29.463000000000001</v>
      </c>
      <c r="AN62" s="447">
        <v>27.050999999999998</v>
      </c>
      <c r="AO62" s="447">
        <v>22.213999999999999</v>
      </c>
      <c r="AP62" s="447">
        <f>106.767-AO62-AN62-AM62</f>
        <v>28.038999999999994</v>
      </c>
      <c r="AQ62" s="446">
        <f>AM62+AN62+AO62+AP62</f>
        <v>106.767</v>
      </c>
      <c r="AR62" s="447">
        <v>32.369</v>
      </c>
      <c r="AS62" s="447">
        <v>25.428000000000001</v>
      </c>
      <c r="AT62" s="447">
        <v>26.853000000000002</v>
      </c>
      <c r="AU62" s="447">
        <f>122.88-AT62-AS62-AR62</f>
        <v>38.22999999999999</v>
      </c>
      <c r="AV62" s="446">
        <f>SUM(AR62:AU62)</f>
        <v>122.88</v>
      </c>
      <c r="AW62" s="443">
        <v>25.158000000000001</v>
      </c>
      <c r="AX62" s="443">
        <v>26.943999999999999</v>
      </c>
      <c r="AY62" s="443">
        <v>28.876000000000001</v>
      </c>
      <c r="AZ62" s="443">
        <f>110.403-AY62-AX62-AW62</f>
        <v>29.424999999999997</v>
      </c>
      <c r="BA62" s="446">
        <f>SUM(AW62:AZ62)</f>
        <v>110.40300000000001</v>
      </c>
      <c r="BB62" s="448">
        <v>28.2</v>
      </c>
      <c r="BC62" s="448">
        <v>31.8</v>
      </c>
      <c r="BD62" s="448">
        <v>28.2</v>
      </c>
      <c r="BE62" s="448">
        <f>31-BE63</f>
        <v>28.7</v>
      </c>
      <c r="BF62" s="446">
        <f>SUM(BB62:BE62)</f>
        <v>116.9</v>
      </c>
      <c r="BG62" s="443">
        <f>22.5-BG63</f>
        <v>18.7</v>
      </c>
      <c r="BH62" s="443">
        <f>28.1-BH63</f>
        <v>24.3</v>
      </c>
      <c r="BI62" s="375">
        <f>25.4-BI63</f>
        <v>21.599999999999998</v>
      </c>
      <c r="BJ62" s="375">
        <f>30.6-BJ63</f>
        <v>26.8</v>
      </c>
      <c r="BK62" s="446">
        <f>SUM(BG62:BJ62)</f>
        <v>91.399999999999991</v>
      </c>
      <c r="BL62" s="375">
        <f>25.6-BL63</f>
        <v>21.8</v>
      </c>
      <c r="BM62" s="375">
        <f>23.7-BM63</f>
        <v>19.899999999999999</v>
      </c>
      <c r="BN62" s="375">
        <f>21.5-BN63</f>
        <v>17.7</v>
      </c>
      <c r="BO62" s="375">
        <f>24.1-BO63</f>
        <v>20.3</v>
      </c>
      <c r="BP62" s="446">
        <f>SUM(BL62:BO62)</f>
        <v>79.7</v>
      </c>
      <c r="BQ62" s="375">
        <f>16.9-BQ63</f>
        <v>13.099999999999998</v>
      </c>
      <c r="BR62" s="375">
        <f>9.8-BR63</f>
        <v>6.0000000000000009</v>
      </c>
      <c r="BS62" s="375">
        <f>14.2-BS63</f>
        <v>10.399999999999999</v>
      </c>
      <c r="BT62" s="443">
        <v>0</v>
      </c>
      <c r="BU62" s="446">
        <f>SUM(BQ62:BT62)</f>
        <v>29.499999999999996</v>
      </c>
      <c r="BV62" s="375">
        <f>10-BV63</f>
        <v>6.2</v>
      </c>
      <c r="BW62" s="375">
        <f>12-BW63</f>
        <v>8.1999999999999993</v>
      </c>
      <c r="BX62" s="375">
        <f>4-BX63</f>
        <v>0.20000000000000018</v>
      </c>
      <c r="BY62" s="375">
        <f>4-BY63</f>
        <v>0.20000000000000018</v>
      </c>
      <c r="BZ62" s="446">
        <f>SUM(BV62:BY62)</f>
        <v>14.799999999999997</v>
      </c>
      <c r="CA62" s="375">
        <f>(CE62/BZ62)*BV62</f>
        <v>5.58</v>
      </c>
      <c r="CB62" s="375">
        <f>(CE62/BZ62)*BW62</f>
        <v>7.38</v>
      </c>
      <c r="CC62" s="375">
        <f>(CE62/BZ62)*BX62</f>
        <v>0.18000000000000016</v>
      </c>
      <c r="CD62" s="375">
        <f>(CE62/BZ62)*BY62</f>
        <v>0.18000000000000016</v>
      </c>
      <c r="CE62" s="446">
        <f>BZ62*0.9</f>
        <v>13.319999999999999</v>
      </c>
      <c r="CF62" s="375">
        <f>(CJ62/CE62)*CA62</f>
        <v>5.0220000000000002</v>
      </c>
      <c r="CG62" s="375">
        <f>(CJ62/CE62)*CB62</f>
        <v>6.6420000000000003</v>
      </c>
      <c r="CH62" s="375">
        <f>(CJ62/CE62)*CC62</f>
        <v>0.16200000000000014</v>
      </c>
      <c r="CI62" s="375">
        <f>(CJ62/CE62)*CD62</f>
        <v>0.16200000000000014</v>
      </c>
      <c r="CJ62" s="446">
        <f>CE62*0.9</f>
        <v>11.988</v>
      </c>
      <c r="CK62" s="375">
        <f>(CO62/CJ62)*CF62</f>
        <v>4.5198</v>
      </c>
      <c r="CL62" s="375">
        <f>(CO62/CJ62)*CG62</f>
        <v>5.9778000000000002</v>
      </c>
      <c r="CM62" s="375">
        <f>(CO62/CJ62)*CH62</f>
        <v>0.14580000000000012</v>
      </c>
      <c r="CN62" s="375">
        <f>(CO62/CJ62)*CI62</f>
        <v>0.14580000000000012</v>
      </c>
      <c r="CO62" s="446">
        <f>CJ62*0.9</f>
        <v>10.789199999999999</v>
      </c>
      <c r="CP62" s="375">
        <f>(CT62/CO62)*CK62</f>
        <v>4.0678200000000002</v>
      </c>
      <c r="CQ62" s="375">
        <f>(CT62/CO62)*CL62</f>
        <v>5.38002</v>
      </c>
      <c r="CR62" s="375">
        <f>(CT62/CO62)*CM62</f>
        <v>0.13122000000000011</v>
      </c>
      <c r="CS62" s="375">
        <f>(CT62/CO62)*CN62</f>
        <v>0.13122000000000011</v>
      </c>
      <c r="CT62" s="446">
        <f>CO62*0.9</f>
        <v>9.7102799999999991</v>
      </c>
      <c r="CU62" s="375">
        <f>(CY62/CT62)*CP62</f>
        <v>3.661038</v>
      </c>
      <c r="CV62" s="375">
        <f>(CY62/CT62)*CQ62</f>
        <v>4.8420179999999995</v>
      </c>
      <c r="CW62" s="375">
        <f>(CY62/CT62)*CR62</f>
        <v>0.11809800000000009</v>
      </c>
      <c r="CX62" s="375">
        <f>(CY62/CT62)*CS62</f>
        <v>0.11809800000000009</v>
      </c>
      <c r="CY62" s="446">
        <f>CT62*0.9</f>
        <v>8.7392519999999987</v>
      </c>
      <c r="CZ62" s="375">
        <f>(DD62/CY62)*CU62</f>
        <v>3.2949342000000001</v>
      </c>
      <c r="DA62" s="375">
        <f>(DD62/CY62)*CV62</f>
        <v>4.3578161999999994</v>
      </c>
      <c r="DB62" s="375">
        <f>(DD62/CY62)*CW62</f>
        <v>0.10628820000000008</v>
      </c>
      <c r="DC62" s="375">
        <f>(DD62/CY62)*CX62</f>
        <v>0.10628820000000008</v>
      </c>
      <c r="DD62" s="446">
        <f>CY62*0.9</f>
        <v>7.8653267999999992</v>
      </c>
      <c r="DE62" s="375">
        <f>(DI62/DD62)*CZ62</f>
        <v>2.9654407800000002</v>
      </c>
      <c r="DF62" s="375">
        <f>(DI62/DD62)*DA62</f>
        <v>3.9220345799999996</v>
      </c>
      <c r="DG62" s="375">
        <f>(DI62/DD62)*DB62</f>
        <v>9.5659380000000072E-2</v>
      </c>
      <c r="DH62" s="375">
        <f>(DI62/DD62)*DC62</f>
        <v>9.5659380000000072E-2</v>
      </c>
      <c r="DI62" s="446">
        <f>DD62*0.9</f>
        <v>7.0787941199999995</v>
      </c>
      <c r="DJ62" s="375">
        <f>(DN62/DI62)*DE62</f>
        <v>2.6688967020000001</v>
      </c>
      <c r="DK62" s="375">
        <f>(DN62/DI62)*DF62</f>
        <v>3.5298311219999996</v>
      </c>
      <c r="DL62" s="375">
        <f>(DN62/DI62)*DG62</f>
        <v>8.6093442000000062E-2</v>
      </c>
      <c r="DM62" s="375">
        <f>(DN62/DI62)*DH62</f>
        <v>8.6093442000000062E-2</v>
      </c>
      <c r="DN62" s="446">
        <f>DI62*0.9</f>
        <v>6.3709147079999999</v>
      </c>
      <c r="DO62" s="375">
        <f>(DS62/DN62)*DJ62</f>
        <v>2.4020070318000002</v>
      </c>
      <c r="DP62" s="375">
        <f>(DS62/DN62)*DK62</f>
        <v>3.1768480097999996</v>
      </c>
      <c r="DQ62" s="375">
        <f>(DS62/DN62)*DL62</f>
        <v>7.7484097800000054E-2</v>
      </c>
      <c r="DR62" s="375">
        <f>(DS62/DN62)*DM62</f>
        <v>7.7484097800000054E-2</v>
      </c>
      <c r="DS62" s="446">
        <f>DN62*0.9</f>
        <v>5.7338232372000002</v>
      </c>
      <c r="DT62" s="375">
        <f>(DX62/DS62)*DO62</f>
        <v>2.1618063286200004</v>
      </c>
      <c r="DU62" s="375">
        <f>(DX62/DS62)*DP62</f>
        <v>2.8591632088199996</v>
      </c>
      <c r="DV62" s="375">
        <f>(DX62/DS62)*DQ62</f>
        <v>6.9735688020000047E-2</v>
      </c>
      <c r="DW62" s="375">
        <f>(DX62/DS62)*DR62</f>
        <v>6.9735688020000047E-2</v>
      </c>
      <c r="DX62" s="446">
        <f>DS62*0.9</f>
        <v>5.1604409134800004</v>
      </c>
      <c r="DY62" s="375">
        <f>(EC62/DX62)*DT62</f>
        <v>1.9456256957580003</v>
      </c>
      <c r="DZ62" s="375">
        <f>(EC62/DX62)*DU62</f>
        <v>2.5732468879379993</v>
      </c>
      <c r="EA62" s="375">
        <f>(EC62/DX62)*DV62</f>
        <v>6.276211921800004E-2</v>
      </c>
      <c r="EB62" s="375">
        <f>(EC62/DX62)*DW62</f>
        <v>6.276211921800004E-2</v>
      </c>
      <c r="EC62" s="446">
        <f>DX62*0.9</f>
        <v>4.6443968221320002</v>
      </c>
      <c r="ED62" s="375">
        <f>(EH62/EC62)*DY62</f>
        <v>1.7510631261822001</v>
      </c>
      <c r="EE62" s="375">
        <f>(EH62/EC62)*DZ62</f>
        <v>2.3159221991441989</v>
      </c>
      <c r="EF62" s="375">
        <f>(EH62/EC62)*EA62</f>
        <v>5.6485907296200032E-2</v>
      </c>
      <c r="EG62" s="375">
        <f>(EH62/EC62)*EB62</f>
        <v>5.6485907296200032E-2</v>
      </c>
      <c r="EH62" s="446">
        <f>EC62*0.9</f>
        <v>4.1799571399188</v>
      </c>
      <c r="EI62" s="375">
        <f>(EM62/EH62)*ED62</f>
        <v>1.5759568135639801</v>
      </c>
      <c r="EJ62" s="375">
        <f>(EM62/EH62)*EE62</f>
        <v>2.0843299792297789</v>
      </c>
      <c r="EK62" s="375">
        <f>(EM62/EH62)*EF62</f>
        <v>5.0837316566580026E-2</v>
      </c>
      <c r="EL62" s="375">
        <f>(EM62/EH62)*EG62</f>
        <v>5.0837316566580026E-2</v>
      </c>
      <c r="EM62" s="446">
        <f>EH62*0.9</f>
        <v>3.7619614259269203</v>
      </c>
    </row>
    <row r="63" spans="1:145" s="449" customFormat="1">
      <c r="A63" s="360"/>
      <c r="B63" s="360" t="s">
        <v>27</v>
      </c>
      <c r="C63" s="446">
        <v>8.1150000000000002</v>
      </c>
      <c r="D63" s="447">
        <v>1.079</v>
      </c>
      <c r="E63" s="447">
        <v>2.3079999999999998</v>
      </c>
      <c r="F63" s="447">
        <v>6.2080000000000002</v>
      </c>
      <c r="G63" s="447">
        <f>15.174-F63-E63-D63</f>
        <v>5.5789999999999997</v>
      </c>
      <c r="H63" s="446">
        <f>D63+E63+F63+G63</f>
        <v>15.173999999999999</v>
      </c>
      <c r="I63" s="447">
        <v>2.133</v>
      </c>
      <c r="J63" s="447">
        <v>2.895</v>
      </c>
      <c r="K63" s="447">
        <v>10.391999999999999</v>
      </c>
      <c r="L63" s="447">
        <f>20.012-K63-J63-I63</f>
        <v>4.5920000000000014</v>
      </c>
      <c r="M63" s="446">
        <f>I63+J63+K63+L63</f>
        <v>20.012</v>
      </c>
      <c r="N63" s="447">
        <v>5.2290000000000001</v>
      </c>
      <c r="O63" s="447">
        <v>25.721</v>
      </c>
      <c r="P63" s="447">
        <v>4.8789999999999996</v>
      </c>
      <c r="Q63" s="447">
        <f>41.334-P63-O63-N63</f>
        <v>5.5050000000000052</v>
      </c>
      <c r="R63" s="446">
        <f>N63+O63+P63+Q63</f>
        <v>41.334000000000003</v>
      </c>
      <c r="S63" s="447">
        <v>3.8929999999999998</v>
      </c>
      <c r="T63" s="447">
        <v>4.3230000000000004</v>
      </c>
      <c r="U63" s="447">
        <v>4.6319999999999997</v>
      </c>
      <c r="V63" s="447">
        <f>18.189-U63-T63-S63</f>
        <v>5.3410000000000002</v>
      </c>
      <c r="W63" s="446">
        <f>S63+T63+U63+V63</f>
        <v>18.189</v>
      </c>
      <c r="X63" s="447">
        <v>4.8040000000000003</v>
      </c>
      <c r="Y63" s="447">
        <v>5.0999999999999996</v>
      </c>
      <c r="Z63" s="447">
        <v>4.6159999999999997</v>
      </c>
      <c r="AA63" s="447">
        <f>20.109-Z63-Y63-X63</f>
        <v>5.5890000000000022</v>
      </c>
      <c r="AB63" s="446">
        <f>X63+Y63+Z63+AA63</f>
        <v>20.109000000000002</v>
      </c>
      <c r="AC63" s="447">
        <v>4.7679999999999998</v>
      </c>
      <c r="AD63" s="447">
        <v>2.7890000000000001</v>
      </c>
      <c r="AE63" s="447">
        <v>2.4020000000000001</v>
      </c>
      <c r="AF63" s="447">
        <f>14.945-AE63-AD63-AC63</f>
        <v>4.9859999999999998</v>
      </c>
      <c r="AG63" s="446">
        <f>AC63+AD63+AE63+AF63</f>
        <v>14.945</v>
      </c>
      <c r="AH63" s="447">
        <v>2.2440000000000002</v>
      </c>
      <c r="AI63" s="447">
        <v>2.3540000000000001</v>
      </c>
      <c r="AJ63" s="447">
        <v>2.3809999999999998</v>
      </c>
      <c r="AK63" s="447">
        <f>13.743-AJ63-AI63-AH63</f>
        <v>6.7639999999999993</v>
      </c>
      <c r="AL63" s="358">
        <f>AH63+AI63+AJ63+AK63</f>
        <v>13.743</v>
      </c>
      <c r="AM63" s="447">
        <v>2.38</v>
      </c>
      <c r="AN63" s="447">
        <v>2.544</v>
      </c>
      <c r="AO63" s="447">
        <v>2.2410000000000001</v>
      </c>
      <c r="AP63" s="447">
        <f>10.54-AP69-AO63-AN63-AM63</f>
        <v>2.4319999999999995</v>
      </c>
      <c r="AQ63" s="446">
        <f>AM63+AN63+AO63+AP63</f>
        <v>9.5969999999999978</v>
      </c>
      <c r="AR63" s="447">
        <f>9.303-AR69</f>
        <v>8.3980000000000015</v>
      </c>
      <c r="AS63" s="447">
        <f>3.399-AS69</f>
        <v>2.59</v>
      </c>
      <c r="AT63" s="447">
        <v>3.766</v>
      </c>
      <c r="AU63" s="447">
        <f>19.5-SUM(AR69:AU69)-AT63-AS63-AR63</f>
        <v>3.032</v>
      </c>
      <c r="AV63" s="446">
        <f>SUM(AR63:AU63)</f>
        <v>17.786000000000001</v>
      </c>
      <c r="AW63" s="443">
        <v>2.6309999999999998</v>
      </c>
      <c r="AX63" s="443">
        <v>3.23</v>
      </c>
      <c r="AY63" s="443">
        <v>2.3620000000000001</v>
      </c>
      <c r="AZ63" s="443">
        <f>10.711-AY63-AX63-AW63</f>
        <v>2.488</v>
      </c>
      <c r="BA63" s="446">
        <f>SUM(AW63:AZ63)</f>
        <v>10.710999999999999</v>
      </c>
      <c r="BB63" s="448">
        <v>7.1</v>
      </c>
      <c r="BC63" s="448">
        <v>3.1</v>
      </c>
      <c r="BD63" s="448">
        <v>2.2000000000000002</v>
      </c>
      <c r="BE63" s="448">
        <v>2.2999999999999998</v>
      </c>
      <c r="BF63" s="446">
        <f>SUM(BB63:BE63)</f>
        <v>14.7</v>
      </c>
      <c r="BG63" s="448">
        <v>3.8</v>
      </c>
      <c r="BH63" s="448">
        <v>3.8</v>
      </c>
      <c r="BI63" s="448">
        <f>BH63</f>
        <v>3.8</v>
      </c>
      <c r="BJ63" s="448">
        <f>BI63</f>
        <v>3.8</v>
      </c>
      <c r="BK63" s="446">
        <f>SUM(BG63:BJ63)</f>
        <v>15.2</v>
      </c>
      <c r="BL63" s="441">
        <v>3.8</v>
      </c>
      <c r="BM63" s="441">
        <v>3.8</v>
      </c>
      <c r="BN63" s="441">
        <v>3.8</v>
      </c>
      <c r="BO63" s="441">
        <v>3.8</v>
      </c>
      <c r="BP63" s="446">
        <f>SUM(BL63:BO63)</f>
        <v>15.2</v>
      </c>
      <c r="BQ63" s="441">
        <v>3.8</v>
      </c>
      <c r="BR63" s="441">
        <v>3.8</v>
      </c>
      <c r="BS63" s="441">
        <v>3.8</v>
      </c>
      <c r="BT63" s="376">
        <v>3.7</v>
      </c>
      <c r="BU63" s="446">
        <f>SUM(BQ63:BT63)</f>
        <v>15.099999999999998</v>
      </c>
      <c r="BV63" s="441">
        <v>3.8</v>
      </c>
      <c r="BW63" s="441">
        <v>3.8</v>
      </c>
      <c r="BX63" s="441">
        <v>3.8</v>
      </c>
      <c r="BY63" s="441">
        <v>3.8</v>
      </c>
      <c r="BZ63" s="446">
        <f>SUM(BV63:BY63)</f>
        <v>15.2</v>
      </c>
      <c r="CA63" s="448">
        <f>CE63/4</f>
        <v>3.8</v>
      </c>
      <c r="CB63" s="448">
        <f>CA63</f>
        <v>3.8</v>
      </c>
      <c r="CC63" s="448">
        <f>CB63</f>
        <v>3.8</v>
      </c>
      <c r="CD63" s="448">
        <f>CE63-CA63-CB63-CC63</f>
        <v>3.7999999999999989</v>
      </c>
      <c r="CE63" s="446">
        <f>BZ63</f>
        <v>15.2</v>
      </c>
      <c r="CF63" s="448">
        <f>CJ63/4</f>
        <v>3.8</v>
      </c>
      <c r="CG63" s="448">
        <f>CF63</f>
        <v>3.8</v>
      </c>
      <c r="CH63" s="448">
        <f>CG63</f>
        <v>3.8</v>
      </c>
      <c r="CI63" s="448">
        <f>CJ63-CF63-CG63-CH63</f>
        <v>3.7999999999999989</v>
      </c>
      <c r="CJ63" s="446">
        <f>CE63</f>
        <v>15.2</v>
      </c>
      <c r="CK63" s="448">
        <f>CO63/4</f>
        <v>3.8</v>
      </c>
      <c r="CL63" s="448">
        <f>CK63</f>
        <v>3.8</v>
      </c>
      <c r="CM63" s="448">
        <f>CL63</f>
        <v>3.8</v>
      </c>
      <c r="CN63" s="448">
        <f>CO63-CK63-CL63-CM63</f>
        <v>3.7999999999999989</v>
      </c>
      <c r="CO63" s="446">
        <f>CJ63</f>
        <v>15.2</v>
      </c>
      <c r="CP63" s="448">
        <f>CT63/4</f>
        <v>3.8</v>
      </c>
      <c r="CQ63" s="448">
        <f>CP63</f>
        <v>3.8</v>
      </c>
      <c r="CR63" s="448">
        <f>CQ63</f>
        <v>3.8</v>
      </c>
      <c r="CS63" s="448">
        <f>CT63-CP63-CQ63-CR63</f>
        <v>3.7999999999999989</v>
      </c>
      <c r="CT63" s="446">
        <f>CO63</f>
        <v>15.2</v>
      </c>
      <c r="CU63" s="448">
        <f>CY63/4</f>
        <v>3.8</v>
      </c>
      <c r="CV63" s="448">
        <f>CU63</f>
        <v>3.8</v>
      </c>
      <c r="CW63" s="448">
        <f>CV63</f>
        <v>3.8</v>
      </c>
      <c r="CX63" s="448">
        <f>CY63-CU63-CV63-CW63</f>
        <v>3.7999999999999989</v>
      </c>
      <c r="CY63" s="446">
        <f>CT63</f>
        <v>15.2</v>
      </c>
      <c r="CZ63" s="448">
        <f>DD63/4</f>
        <v>3.8</v>
      </c>
      <c r="DA63" s="448">
        <f>CZ63</f>
        <v>3.8</v>
      </c>
      <c r="DB63" s="448">
        <f>DA63</f>
        <v>3.8</v>
      </c>
      <c r="DC63" s="448">
        <f>DD63-CZ63-DA63-DB63</f>
        <v>3.7999999999999989</v>
      </c>
      <c r="DD63" s="446">
        <f>CY63</f>
        <v>15.2</v>
      </c>
      <c r="DE63" s="448">
        <f>DI63/4</f>
        <v>3.8</v>
      </c>
      <c r="DF63" s="448">
        <f>DE63</f>
        <v>3.8</v>
      </c>
      <c r="DG63" s="448">
        <f>DF63</f>
        <v>3.8</v>
      </c>
      <c r="DH63" s="448">
        <f>DI63-DE63-DF63-DG63</f>
        <v>3.7999999999999989</v>
      </c>
      <c r="DI63" s="446">
        <f>DD63</f>
        <v>15.2</v>
      </c>
      <c r="DJ63" s="448">
        <f>DN63/4</f>
        <v>3.8</v>
      </c>
      <c r="DK63" s="448">
        <f>DJ63</f>
        <v>3.8</v>
      </c>
      <c r="DL63" s="448">
        <f>DK63</f>
        <v>3.8</v>
      </c>
      <c r="DM63" s="448">
        <f>DN63-DJ63-DK63-DL63</f>
        <v>3.7999999999999989</v>
      </c>
      <c r="DN63" s="446">
        <f>DI63</f>
        <v>15.2</v>
      </c>
      <c r="DO63" s="448">
        <f>DS63/4</f>
        <v>3.8</v>
      </c>
      <c r="DP63" s="448">
        <f>DO63</f>
        <v>3.8</v>
      </c>
      <c r="DQ63" s="448">
        <f>DP63</f>
        <v>3.8</v>
      </c>
      <c r="DR63" s="448">
        <f>DS63-DO63-DP63-DQ63</f>
        <v>3.7999999999999989</v>
      </c>
      <c r="DS63" s="446">
        <f>DN63</f>
        <v>15.2</v>
      </c>
      <c r="DT63" s="448">
        <f>DX63/4</f>
        <v>3.8</v>
      </c>
      <c r="DU63" s="448">
        <f>DT63</f>
        <v>3.8</v>
      </c>
      <c r="DV63" s="448">
        <f>DU63</f>
        <v>3.8</v>
      </c>
      <c r="DW63" s="448">
        <f>DX63-DT63-DU63-DV63</f>
        <v>3.7999999999999989</v>
      </c>
      <c r="DX63" s="446">
        <f>DS63</f>
        <v>15.2</v>
      </c>
      <c r="DY63" s="448">
        <f>EC63/4</f>
        <v>3.8</v>
      </c>
      <c r="DZ63" s="448">
        <f>DY63</f>
        <v>3.8</v>
      </c>
      <c r="EA63" s="448">
        <f>DZ63</f>
        <v>3.8</v>
      </c>
      <c r="EB63" s="448">
        <f>EC63-DY63-DZ63-EA63</f>
        <v>3.7999999999999989</v>
      </c>
      <c r="EC63" s="446">
        <f>DX63</f>
        <v>15.2</v>
      </c>
      <c r="ED63" s="448">
        <f>EH63/4</f>
        <v>3.8</v>
      </c>
      <c r="EE63" s="448">
        <f>ED63</f>
        <v>3.8</v>
      </c>
      <c r="EF63" s="448">
        <f>EE63</f>
        <v>3.8</v>
      </c>
      <c r="EG63" s="448">
        <f>EH63-ED63-EE63-EF63</f>
        <v>3.7999999999999989</v>
      </c>
      <c r="EH63" s="446">
        <f>EC63</f>
        <v>15.2</v>
      </c>
      <c r="EI63" s="448">
        <f>EM63/4</f>
        <v>3.8</v>
      </c>
      <c r="EJ63" s="448">
        <f>EI63</f>
        <v>3.8</v>
      </c>
      <c r="EK63" s="448">
        <f>EJ63</f>
        <v>3.8</v>
      </c>
      <c r="EL63" s="448">
        <f>EM63-EI63-EJ63-EK63</f>
        <v>3.7999999999999989</v>
      </c>
      <c r="EM63" s="446">
        <f>EH63</f>
        <v>15.2</v>
      </c>
    </row>
    <row r="64" spans="1:145" ht="13.5" thickBot="1">
      <c r="A64" s="46"/>
      <c r="B64" s="45" t="s">
        <v>172</v>
      </c>
      <c r="C64" s="49">
        <f t="shared" ref="C64:AH64" si="40">C63+C62+C61</f>
        <v>135.74600000000001</v>
      </c>
      <c r="D64" s="48">
        <f t="shared" si="40"/>
        <v>49.088999999999999</v>
      </c>
      <c r="E64" s="48">
        <f t="shared" si="40"/>
        <v>67.286000000000001</v>
      </c>
      <c r="F64" s="48">
        <f t="shared" si="40"/>
        <v>74.332000000000008</v>
      </c>
      <c r="G64" s="48">
        <f t="shared" si="40"/>
        <v>80.768000000000029</v>
      </c>
      <c r="H64" s="49">
        <f t="shared" si="40"/>
        <v>271.47500000000002</v>
      </c>
      <c r="I64" s="48">
        <f t="shared" si="40"/>
        <v>82.873000000000005</v>
      </c>
      <c r="J64" s="48">
        <f t="shared" si="40"/>
        <v>87.752999999999986</v>
      </c>
      <c r="K64" s="48">
        <f t="shared" si="40"/>
        <v>101.46799999999999</v>
      </c>
      <c r="L64" s="48">
        <f t="shared" si="40"/>
        <v>105.40800000000002</v>
      </c>
      <c r="M64" s="49">
        <f t="shared" si="40"/>
        <v>377.50200000000001</v>
      </c>
      <c r="N64" s="48">
        <f t="shared" si="40"/>
        <v>112.39600000000002</v>
      </c>
      <c r="O64" s="48">
        <f t="shared" si="40"/>
        <v>145.70100000000002</v>
      </c>
      <c r="P64" s="48">
        <f t="shared" si="40"/>
        <v>129.506</v>
      </c>
      <c r="Q64" s="48">
        <f t="shared" si="40"/>
        <v>149.33799999999994</v>
      </c>
      <c r="R64" s="49">
        <f t="shared" si="40"/>
        <v>536.94100000000003</v>
      </c>
      <c r="S64" s="48">
        <f t="shared" si="40"/>
        <v>181.84100000000001</v>
      </c>
      <c r="T64" s="48">
        <f t="shared" si="40"/>
        <v>197.23899999999998</v>
      </c>
      <c r="U64" s="48">
        <f t="shared" si="40"/>
        <v>244.839</v>
      </c>
      <c r="V64" s="48">
        <f t="shared" si="40"/>
        <v>274.95400000000001</v>
      </c>
      <c r="W64" s="49">
        <f t="shared" si="40"/>
        <v>898.87300000000005</v>
      </c>
      <c r="X64" s="48">
        <f t="shared" si="40"/>
        <v>293.41499999999996</v>
      </c>
      <c r="Y64" s="48">
        <f t="shared" si="40"/>
        <v>347.90699999999998</v>
      </c>
      <c r="Z64" s="48">
        <f t="shared" si="40"/>
        <v>349.90799999999996</v>
      </c>
      <c r="AA64" s="48">
        <f t="shared" si="40"/>
        <v>414.59000000000003</v>
      </c>
      <c r="AB64" s="49">
        <f t="shared" si="40"/>
        <v>1405.8199999999997</v>
      </c>
      <c r="AC64" s="48">
        <f t="shared" si="40"/>
        <v>461.01900000000006</v>
      </c>
      <c r="AD64" s="48">
        <f t="shared" si="40"/>
        <v>566.61500000000001</v>
      </c>
      <c r="AE64" s="48">
        <f t="shared" si="40"/>
        <v>586.74</v>
      </c>
      <c r="AF64" s="48">
        <f t="shared" si="40"/>
        <v>623.44299999999998</v>
      </c>
      <c r="AG64" s="49">
        <f t="shared" si="40"/>
        <v>2237.817</v>
      </c>
      <c r="AH64" s="48">
        <f t="shared" si="40"/>
        <v>601.10200000000009</v>
      </c>
      <c r="AI64" s="48">
        <f t="shared" ref="AI64:BN64" si="41">AI63+AI62+AI61</f>
        <v>626.15100000000007</v>
      </c>
      <c r="AJ64" s="48">
        <f t="shared" si="41"/>
        <v>692.23500000000001</v>
      </c>
      <c r="AK64" s="48">
        <f t="shared" si="41"/>
        <v>757.75099999999975</v>
      </c>
      <c r="AL64" s="49">
        <f t="shared" si="41"/>
        <v>2677.239</v>
      </c>
      <c r="AM64" s="48">
        <f t="shared" si="41"/>
        <v>788.87999999999988</v>
      </c>
      <c r="AN64" s="48">
        <f t="shared" si="41"/>
        <v>850.39200000000005</v>
      </c>
      <c r="AO64" s="48">
        <f t="shared" si="41"/>
        <v>908.06200000000013</v>
      </c>
      <c r="AP64" s="48">
        <f t="shared" si="41"/>
        <v>1053.3699999999999</v>
      </c>
      <c r="AQ64" s="49">
        <f t="shared" si="41"/>
        <v>3600.7040000000002</v>
      </c>
      <c r="AR64" s="48">
        <f t="shared" si="41"/>
        <v>1107.472</v>
      </c>
      <c r="AS64" s="48">
        <f t="shared" si="41"/>
        <v>1175.7809999999999</v>
      </c>
      <c r="AT64" s="48">
        <f t="shared" si="41"/>
        <v>1248.269</v>
      </c>
      <c r="AU64" s="48">
        <f t="shared" si="41"/>
        <v>1282.1459999999997</v>
      </c>
      <c r="AV64" s="49">
        <f t="shared" si="41"/>
        <v>4813.6680000000006</v>
      </c>
      <c r="AW64" s="450">
        <f t="shared" si="41"/>
        <v>1273.288</v>
      </c>
      <c r="AX64" s="450">
        <f t="shared" si="41"/>
        <v>1366.7640000000001</v>
      </c>
      <c r="AY64" s="450">
        <f t="shared" si="41"/>
        <v>1419.251</v>
      </c>
      <c r="AZ64" s="450">
        <f t="shared" si="41"/>
        <v>1447.4100000000003</v>
      </c>
      <c r="BA64" s="49">
        <f t="shared" si="41"/>
        <v>5506.7129999999997</v>
      </c>
      <c r="BB64" s="450">
        <f t="shared" si="41"/>
        <v>1464.6000000000001</v>
      </c>
      <c r="BC64" s="450">
        <f t="shared" si="41"/>
        <v>1599</v>
      </c>
      <c r="BD64" s="450">
        <f t="shared" si="41"/>
        <v>1674.4</v>
      </c>
      <c r="BE64" s="450">
        <f t="shared" si="41"/>
        <v>1756</v>
      </c>
      <c r="BF64" s="49">
        <f t="shared" si="41"/>
        <v>6471.0000000000009</v>
      </c>
      <c r="BG64" s="450">
        <f t="shared" si="41"/>
        <v>1730</v>
      </c>
      <c r="BH64" s="450">
        <f t="shared" si="41"/>
        <v>1872.6999999999998</v>
      </c>
      <c r="BI64" s="450">
        <f t="shared" si="41"/>
        <v>1982.2</v>
      </c>
      <c r="BJ64" s="450">
        <f t="shared" si="41"/>
        <v>2085.5</v>
      </c>
      <c r="BK64" s="49">
        <f t="shared" si="41"/>
        <v>7670.4</v>
      </c>
      <c r="BL64" s="450">
        <f t="shared" si="41"/>
        <v>2080.8000000000002</v>
      </c>
      <c r="BM64" s="450">
        <f t="shared" si="41"/>
        <v>2277.8000000000002</v>
      </c>
      <c r="BN64" s="450">
        <f t="shared" si="41"/>
        <v>2334.1</v>
      </c>
      <c r="BO64" s="450">
        <f t="shared" ref="BO64:CM64" si="42">BO63+BO62+BO61</f>
        <v>2563.2999999999997</v>
      </c>
      <c r="BP64" s="49">
        <f t="shared" si="42"/>
        <v>9256</v>
      </c>
      <c r="BQ64" s="450">
        <f t="shared" si="42"/>
        <v>2511.6</v>
      </c>
      <c r="BR64" s="450">
        <f t="shared" si="42"/>
        <v>2754.3</v>
      </c>
      <c r="BS64" s="450">
        <f t="shared" si="42"/>
        <v>2982.7999999999997</v>
      </c>
      <c r="BT64" s="450">
        <f t="shared" si="42"/>
        <v>2980.4999999999995</v>
      </c>
      <c r="BU64" s="49">
        <f t="shared" si="42"/>
        <v>11229.2</v>
      </c>
      <c r="BV64" s="450">
        <f t="shared" si="42"/>
        <v>2960</v>
      </c>
      <c r="BW64" s="450">
        <f t="shared" si="42"/>
        <v>3268</v>
      </c>
      <c r="BX64" s="450">
        <f t="shared" si="42"/>
        <v>3292</v>
      </c>
      <c r="BY64" s="450">
        <f t="shared" si="42"/>
        <v>3483</v>
      </c>
      <c r="BZ64" s="49">
        <f t="shared" si="42"/>
        <v>13003</v>
      </c>
      <c r="CA64" s="450">
        <f t="shared" si="42"/>
        <v>3416.8188545851744</v>
      </c>
      <c r="CB64" s="450">
        <f t="shared" si="42"/>
        <v>3694.8427940238062</v>
      </c>
      <c r="CC64" s="450">
        <f t="shared" si="42"/>
        <v>3732.9659245873322</v>
      </c>
      <c r="CD64" s="450">
        <f t="shared" si="42"/>
        <v>3929.1730337908193</v>
      </c>
      <c r="CE64" s="49">
        <f t="shared" si="42"/>
        <v>14773.800606987132</v>
      </c>
      <c r="CF64" s="450">
        <f t="shared" si="42"/>
        <v>3814.0215243605426</v>
      </c>
      <c r="CG64" s="450">
        <f t="shared" si="42"/>
        <v>4063.9422729367193</v>
      </c>
      <c r="CH64" s="450">
        <f t="shared" si="42"/>
        <v>4143.5365227053626</v>
      </c>
      <c r="CI64" s="450">
        <f t="shared" si="42"/>
        <v>4321.1555597255447</v>
      </c>
      <c r="CJ64" s="49">
        <f t="shared" si="42"/>
        <v>16728.389940531037</v>
      </c>
      <c r="CK64" s="450">
        <f t="shared" si="42"/>
        <v>4322.4785250868581</v>
      </c>
      <c r="CL64" s="450">
        <f t="shared" si="42"/>
        <v>4595.5142249952532</v>
      </c>
      <c r="CM64" s="450">
        <f t="shared" si="42"/>
        <v>4674.2406978805056</v>
      </c>
      <c r="CN64" s="450">
        <f t="shared" ref="CN64:DS64" si="43">CN63+CN62+CN61</f>
        <v>4864.1507448810171</v>
      </c>
      <c r="CO64" s="49">
        <f t="shared" si="43"/>
        <v>19249.720319150274</v>
      </c>
      <c r="CP64" s="450">
        <f t="shared" si="43"/>
        <v>4820.2220993091951</v>
      </c>
      <c r="CQ64" s="450">
        <f t="shared" si="43"/>
        <v>5123.9498278958281</v>
      </c>
      <c r="CR64" s="450">
        <f t="shared" si="43"/>
        <v>5214.1194682280338</v>
      </c>
      <c r="CS64" s="450">
        <f t="shared" si="43"/>
        <v>5425.9937509417387</v>
      </c>
      <c r="CT64" s="49">
        <f t="shared" si="43"/>
        <v>22109.75537287923</v>
      </c>
      <c r="CU64" s="450">
        <f t="shared" si="43"/>
        <v>5015.8940464677271</v>
      </c>
      <c r="CV64" s="450">
        <f t="shared" si="43"/>
        <v>5332.1488140711917</v>
      </c>
      <c r="CW64" s="450">
        <f t="shared" si="43"/>
        <v>5417.3564932339996</v>
      </c>
      <c r="CX64" s="450">
        <f t="shared" si="43"/>
        <v>5645.8231558619991</v>
      </c>
      <c r="CY64" s="49">
        <f t="shared" si="43"/>
        <v>23673.258566473927</v>
      </c>
      <c r="CZ64" s="450">
        <f t="shared" si="43"/>
        <v>4897.7768433835927</v>
      </c>
      <c r="DA64" s="450">
        <f t="shared" si="43"/>
        <v>5205.4005212580369</v>
      </c>
      <c r="DB64" s="450">
        <f t="shared" si="43"/>
        <v>5270.6015324562468</v>
      </c>
      <c r="DC64" s="450">
        <f t="shared" si="43"/>
        <v>5504.707669775109</v>
      </c>
      <c r="DD64" s="49">
        <f t="shared" si="43"/>
        <v>23990.408293152665</v>
      </c>
      <c r="DE64" s="450">
        <f t="shared" si="43"/>
        <v>4573.1314702918216</v>
      </c>
      <c r="DF64" s="450">
        <f t="shared" si="43"/>
        <v>4860.1708238304509</v>
      </c>
      <c r="DG64" s="450">
        <f t="shared" si="43"/>
        <v>4899.054375514831</v>
      </c>
      <c r="DH64" s="450">
        <f t="shared" si="43"/>
        <v>5131.420322826667</v>
      </c>
      <c r="DI64" s="49">
        <f t="shared" si="43"/>
        <v>23486.06606041644</v>
      </c>
      <c r="DJ64" s="450">
        <f t="shared" si="43"/>
        <v>3408.2760746869276</v>
      </c>
      <c r="DK64" s="450">
        <f t="shared" si="43"/>
        <v>3643.013644988886</v>
      </c>
      <c r="DL64" s="450">
        <f t="shared" si="43"/>
        <v>3653.1242812292976</v>
      </c>
      <c r="DM64" s="450">
        <f t="shared" si="43"/>
        <v>3846.8281030001845</v>
      </c>
      <c r="DN64" s="49">
        <f t="shared" si="43"/>
        <v>19136.106668492135</v>
      </c>
      <c r="DO64" s="450">
        <f t="shared" si="43"/>
        <v>1729.2018400568404</v>
      </c>
      <c r="DP64" s="450">
        <f t="shared" si="43"/>
        <v>1829.1715050248749</v>
      </c>
      <c r="DQ64" s="450">
        <f t="shared" si="43"/>
        <v>1823.8901856486152</v>
      </c>
      <c r="DR64" s="450">
        <f t="shared" si="43"/>
        <v>1898.0962651962147</v>
      </c>
      <c r="DS64" s="49">
        <f t="shared" si="43"/>
        <v>12310.869751294756</v>
      </c>
      <c r="DT64" s="450">
        <f t="shared" ref="DT64:EM64" si="44">DT63+DT62+DT61</f>
        <v>1093.6285797422547</v>
      </c>
      <c r="DU64" s="450">
        <f t="shared" si="44"/>
        <v>1137.0630709516377</v>
      </c>
      <c r="DV64" s="450">
        <f t="shared" si="44"/>
        <v>1126.7248676364902</v>
      </c>
      <c r="DW64" s="450">
        <f t="shared" si="44"/>
        <v>1152.9167632451718</v>
      </c>
      <c r="DX64" s="49">
        <f t="shared" si="44"/>
        <v>9906.3127110681326</v>
      </c>
      <c r="DY64" s="450">
        <f t="shared" si="44"/>
        <v>943.39956044721475</v>
      </c>
      <c r="DZ64" s="450">
        <f t="shared" si="44"/>
        <v>974.13775074435603</v>
      </c>
      <c r="EA64" s="450">
        <f t="shared" si="44"/>
        <v>962.12098860345884</v>
      </c>
      <c r="EB64" s="450">
        <f t="shared" si="44"/>
        <v>977.9534408665744</v>
      </c>
      <c r="EC64" s="49">
        <f t="shared" si="44"/>
        <v>9551.6076513932003</v>
      </c>
      <c r="ED64" s="450">
        <f t="shared" si="44"/>
        <v>878.57660485519807</v>
      </c>
      <c r="EE64" s="450">
        <f t="shared" si="44"/>
        <v>903.34379797691452</v>
      </c>
      <c r="EF64" s="450">
        <f t="shared" si="44"/>
        <v>891.19372020349454</v>
      </c>
      <c r="EG64" s="450">
        <f t="shared" si="44"/>
        <v>902.73805657310402</v>
      </c>
      <c r="EH64" s="49">
        <f t="shared" si="44"/>
        <v>9482.9989652938912</v>
      </c>
      <c r="EI64" s="450">
        <f t="shared" si="44"/>
        <v>277.6372601572337</v>
      </c>
      <c r="EJ64" s="450">
        <f t="shared" si="44"/>
        <v>298.77750611400478</v>
      </c>
      <c r="EK64" s="450">
        <f t="shared" si="44"/>
        <v>287.773389104025</v>
      </c>
      <c r="EL64" s="450">
        <f t="shared" si="44"/>
        <v>297.58895273163756</v>
      </c>
      <c r="EM64" s="49">
        <f t="shared" si="44"/>
        <v>7259.9902573576628</v>
      </c>
    </row>
    <row r="65" spans="1:143">
      <c r="BU65" s="42"/>
    </row>
    <row r="66" spans="1:143" hidden="1" outlineLevel="1">
      <c r="B66" t="s">
        <v>79</v>
      </c>
      <c r="AC66" s="58" t="s">
        <v>78</v>
      </c>
      <c r="AD66" s="58" t="s">
        <v>78</v>
      </c>
      <c r="AE66" s="58" t="s">
        <v>78</v>
      </c>
      <c r="AF66" s="58" t="s">
        <v>78</v>
      </c>
      <c r="AH66" s="58" t="s">
        <v>78</v>
      </c>
      <c r="AI66" s="58" t="s">
        <v>78</v>
      </c>
      <c r="AJ66" s="58" t="s">
        <v>78</v>
      </c>
      <c r="AK66" s="58" t="s">
        <v>78</v>
      </c>
      <c r="AM66" s="58" t="s">
        <v>78</v>
      </c>
      <c r="AN66" s="58" t="s">
        <v>78</v>
      </c>
      <c r="AO66" s="58" t="s">
        <v>78</v>
      </c>
      <c r="AP66" s="58" t="s">
        <v>78</v>
      </c>
      <c r="AR66" s="58" t="s">
        <v>78</v>
      </c>
      <c r="AS66" s="58" t="s">
        <v>78</v>
      </c>
      <c r="AT66" s="58" t="s">
        <v>78</v>
      </c>
      <c r="AU66" s="58" t="s">
        <v>78</v>
      </c>
      <c r="AW66" s="58" t="s">
        <v>78</v>
      </c>
      <c r="AX66" s="58" t="s">
        <v>78</v>
      </c>
      <c r="AY66" s="58" t="s">
        <v>78</v>
      </c>
      <c r="AZ66" s="58" t="s">
        <v>78</v>
      </c>
      <c r="BB66" s="58" t="s">
        <v>78</v>
      </c>
      <c r="BC66" s="58" t="s">
        <v>78</v>
      </c>
      <c r="BD66" s="58" t="s">
        <v>78</v>
      </c>
    </row>
    <row r="67" spans="1:143" hidden="1" outlineLevel="1">
      <c r="B67" t="s">
        <v>80</v>
      </c>
      <c r="AC67">
        <v>0</v>
      </c>
      <c r="AD67">
        <v>0</v>
      </c>
      <c r="AE67">
        <v>0</v>
      </c>
      <c r="AF67">
        <v>0</v>
      </c>
      <c r="AH67">
        <v>0</v>
      </c>
      <c r="AI67">
        <v>0</v>
      </c>
      <c r="AJ67">
        <v>0</v>
      </c>
      <c r="AK67">
        <v>0</v>
      </c>
      <c r="AM67">
        <v>0</v>
      </c>
      <c r="AN67">
        <v>0</v>
      </c>
      <c r="AO67">
        <v>0</v>
      </c>
      <c r="AP67">
        <v>15.864000000000001</v>
      </c>
      <c r="AR67">
        <v>15.831</v>
      </c>
      <c r="AS67">
        <v>5.4340000000000002</v>
      </c>
      <c r="AT67">
        <v>0</v>
      </c>
      <c r="AU67">
        <v>0</v>
      </c>
      <c r="AW67" s="371">
        <v>0</v>
      </c>
      <c r="AX67" s="371">
        <v>0</v>
      </c>
      <c r="AY67" s="371">
        <v>0</v>
      </c>
      <c r="AZ67" s="371">
        <v>0</v>
      </c>
      <c r="BA67" s="59"/>
      <c r="BB67" s="371">
        <v>0</v>
      </c>
      <c r="BC67" s="371">
        <v>0</v>
      </c>
      <c r="BD67" s="371">
        <v>0</v>
      </c>
    </row>
    <row r="68" spans="1:143" hidden="1" outlineLevel="1">
      <c r="B68" t="s">
        <v>81</v>
      </c>
      <c r="AC68">
        <v>1.5780000000000001</v>
      </c>
      <c r="AD68">
        <v>4.8490000000000002</v>
      </c>
      <c r="AE68">
        <v>5.7249999999999996</v>
      </c>
      <c r="AF68">
        <v>4.8120000000000003</v>
      </c>
      <c r="AH68">
        <v>3.9510000000000001</v>
      </c>
      <c r="AI68">
        <v>2.5150000000000001</v>
      </c>
      <c r="AJ68">
        <v>2.9020000000000001</v>
      </c>
      <c r="AK68">
        <v>3.286</v>
      </c>
      <c r="AM68">
        <v>2.3740000000000001</v>
      </c>
      <c r="AN68">
        <f>8.234-AO68-AP68-AM68</f>
        <v>2.3000000000000003</v>
      </c>
      <c r="AO68">
        <v>2.0489999999999999</v>
      </c>
      <c r="AP68">
        <v>1.5109999999999999</v>
      </c>
      <c r="AR68">
        <v>1.0720000000000001</v>
      </c>
      <c r="AS68">
        <v>1.131</v>
      </c>
      <c r="AT68">
        <v>1.468</v>
      </c>
      <c r="AU68">
        <v>1.752</v>
      </c>
      <c r="AW68" s="371">
        <v>0</v>
      </c>
      <c r="AX68" s="371">
        <v>0</v>
      </c>
      <c r="AY68" s="371">
        <v>0</v>
      </c>
      <c r="AZ68" s="371">
        <v>0</v>
      </c>
      <c r="BA68" s="59"/>
      <c r="BB68" s="371">
        <v>0</v>
      </c>
      <c r="BC68" s="371">
        <v>0</v>
      </c>
      <c r="BD68" s="371">
        <v>0</v>
      </c>
    </row>
    <row r="69" spans="1:143" hidden="1" outlineLevel="1">
      <c r="B69" t="s">
        <v>82</v>
      </c>
      <c r="AC69">
        <v>0</v>
      </c>
      <c r="AD69">
        <v>0</v>
      </c>
      <c r="AE69">
        <v>0</v>
      </c>
      <c r="AF69">
        <v>0</v>
      </c>
      <c r="AH69">
        <v>0</v>
      </c>
      <c r="AI69">
        <v>0</v>
      </c>
      <c r="AJ69">
        <v>0</v>
      </c>
      <c r="AK69">
        <v>0</v>
      </c>
      <c r="AM69">
        <v>0</v>
      </c>
      <c r="AN69">
        <v>0</v>
      </c>
      <c r="AO69">
        <v>0</v>
      </c>
      <c r="AP69">
        <v>0.94299999999999995</v>
      </c>
      <c r="AR69">
        <v>0.90500000000000003</v>
      </c>
      <c r="AS69">
        <v>0.80900000000000005</v>
      </c>
      <c r="AT69">
        <v>0</v>
      </c>
      <c r="AU69">
        <v>0</v>
      </c>
      <c r="AW69" s="371">
        <v>0</v>
      </c>
      <c r="AX69" s="371">
        <v>0</v>
      </c>
      <c r="AY69" s="371">
        <v>0</v>
      </c>
      <c r="AZ69" s="371">
        <v>0</v>
      </c>
      <c r="BA69" s="59"/>
      <c r="BB69" s="371">
        <v>0</v>
      </c>
      <c r="BC69" s="371">
        <v>0</v>
      </c>
      <c r="BD69" s="371">
        <v>0</v>
      </c>
    </row>
    <row r="70" spans="1:143" s="64" customFormat="1" ht="13.5" collapsed="1" thickBot="1">
      <c r="A70" s="372"/>
      <c r="B70" s="63" t="s">
        <v>99</v>
      </c>
      <c r="C70" s="372" t="str">
        <f>C2</f>
        <v>2002A</v>
      </c>
      <c r="D70" s="1241" t="str">
        <f>D2</f>
        <v>2003A</v>
      </c>
      <c r="E70" s="1241"/>
      <c r="F70" s="1241"/>
      <c r="G70" s="1241"/>
      <c r="H70" s="1241"/>
      <c r="I70" s="1241" t="str">
        <f>I2</f>
        <v>2004A</v>
      </c>
      <c r="J70" s="1241"/>
      <c r="K70" s="1241"/>
      <c r="L70" s="1241"/>
      <c r="M70" s="1241"/>
      <c r="N70" s="1241" t="str">
        <f>N2</f>
        <v>2005A</v>
      </c>
      <c r="O70" s="1241"/>
      <c r="P70" s="1241"/>
      <c r="Q70" s="1241"/>
      <c r="R70" s="1241"/>
      <c r="S70" s="1241" t="str">
        <f>S2</f>
        <v>2006A</v>
      </c>
      <c r="T70" s="1241"/>
      <c r="U70" s="1241"/>
      <c r="V70" s="1241"/>
      <c r="W70" s="1241"/>
      <c r="X70" s="1241" t="str">
        <f>X2</f>
        <v>2007A</v>
      </c>
      <c r="Y70" s="1241"/>
      <c r="Z70" s="1241"/>
      <c r="AA70" s="1241"/>
      <c r="AB70" s="1241"/>
      <c r="AC70" s="1241" t="str">
        <f>AC2</f>
        <v>2008A</v>
      </c>
      <c r="AD70" s="1241"/>
      <c r="AE70" s="1241"/>
      <c r="AF70" s="1241"/>
      <c r="AG70" s="1241"/>
      <c r="AH70" s="1241" t="str">
        <f>AH2</f>
        <v>2009A</v>
      </c>
      <c r="AI70" s="1241"/>
      <c r="AJ70" s="1241"/>
      <c r="AK70" s="1241"/>
      <c r="AL70" s="1241"/>
      <c r="AM70" s="1241" t="str">
        <f>AM2</f>
        <v>2010A</v>
      </c>
      <c r="AN70" s="1241"/>
      <c r="AO70" s="1241"/>
      <c r="AP70" s="1241"/>
      <c r="AQ70" s="1241"/>
      <c r="AR70" s="1241" t="str">
        <f>AR2</f>
        <v>2011A</v>
      </c>
      <c r="AS70" s="1241"/>
      <c r="AT70" s="1241"/>
      <c r="AU70" s="1241"/>
      <c r="AV70" s="1241"/>
      <c r="AW70" s="1241" t="str">
        <f>AW2</f>
        <v>2012A</v>
      </c>
      <c r="AX70" s="1241"/>
      <c r="AY70" s="1241"/>
      <c r="AZ70" s="1241"/>
      <c r="BA70" s="1241"/>
      <c r="BB70" s="1241" t="str">
        <f>BB2</f>
        <v>2013A</v>
      </c>
      <c r="BC70" s="1241"/>
      <c r="BD70" s="1241"/>
      <c r="BE70" s="1241"/>
      <c r="BF70" s="1241"/>
      <c r="BG70" s="1241" t="str">
        <f>BG2</f>
        <v>2014A</v>
      </c>
      <c r="BH70" s="1241"/>
      <c r="BI70" s="1241"/>
      <c r="BJ70" s="1241"/>
      <c r="BK70" s="1241"/>
      <c r="BL70" s="1241" t="str">
        <f>BL2</f>
        <v>2015A</v>
      </c>
      <c r="BM70" s="1241"/>
      <c r="BN70" s="1241"/>
      <c r="BO70" s="1241"/>
      <c r="BP70" s="1241"/>
      <c r="BQ70" s="1241" t="str">
        <f>BQ2</f>
        <v>2016A</v>
      </c>
      <c r="BR70" s="1241"/>
      <c r="BS70" s="1241"/>
      <c r="BT70" s="1241"/>
      <c r="BU70" s="1241"/>
      <c r="BV70" s="1241" t="str">
        <f>BV2</f>
        <v>2017A</v>
      </c>
      <c r="BW70" s="1241"/>
      <c r="BX70" s="1241"/>
      <c r="BY70" s="1241"/>
      <c r="BZ70" s="1241"/>
      <c r="CA70" s="1241" t="str">
        <f>CA2</f>
        <v>2018E</v>
      </c>
      <c r="CB70" s="1241"/>
      <c r="CC70" s="1241"/>
      <c r="CD70" s="1241"/>
      <c r="CE70" s="1241"/>
      <c r="CF70" s="1241" t="str">
        <f>CF2</f>
        <v>2019E</v>
      </c>
      <c r="CG70" s="1241"/>
      <c r="CH70" s="1241"/>
      <c r="CI70" s="1241"/>
      <c r="CJ70" s="1241"/>
      <c r="CK70" s="1241" t="str">
        <f>CK2</f>
        <v>2020E</v>
      </c>
      <c r="CL70" s="1241"/>
      <c r="CM70" s="1241"/>
      <c r="CN70" s="1241"/>
      <c r="CO70" s="1241"/>
      <c r="CP70" s="1241" t="str">
        <f>CP2</f>
        <v>2021E</v>
      </c>
      <c r="CQ70" s="1241"/>
      <c r="CR70" s="1241"/>
      <c r="CS70" s="1241"/>
      <c r="CT70" s="1241"/>
      <c r="CU70" s="1241" t="str">
        <f>CU2</f>
        <v>2022E</v>
      </c>
      <c r="CV70" s="1241"/>
      <c r="CW70" s="1241"/>
      <c r="CX70" s="1241"/>
      <c r="CY70" s="1241"/>
      <c r="CZ70" s="1241" t="str">
        <f>CZ2</f>
        <v>2023E</v>
      </c>
      <c r="DA70" s="1241"/>
      <c r="DB70" s="1241"/>
      <c r="DC70" s="1241"/>
      <c r="DD70" s="1241"/>
      <c r="DE70" s="1241" t="str">
        <f>DE2</f>
        <v>2024E</v>
      </c>
      <c r="DF70" s="1241"/>
      <c r="DG70" s="1241"/>
      <c r="DH70" s="1241"/>
      <c r="DI70" s="1241"/>
      <c r="DJ70" s="1241" t="str">
        <f>DJ2</f>
        <v>2025E</v>
      </c>
      <c r="DK70" s="1241"/>
      <c r="DL70" s="1241"/>
      <c r="DM70" s="1241"/>
      <c r="DN70" s="1241"/>
      <c r="DO70" s="1241" t="str">
        <f>DO2</f>
        <v>2026E</v>
      </c>
      <c r="DP70" s="1241"/>
      <c r="DQ70" s="1241"/>
      <c r="DR70" s="1241"/>
      <c r="DS70" s="1241"/>
      <c r="DT70" s="1241" t="str">
        <f>DT2</f>
        <v>2027E</v>
      </c>
      <c r="DU70" s="1241"/>
      <c r="DV70" s="1241"/>
      <c r="DW70" s="1241"/>
      <c r="DX70" s="1241"/>
      <c r="DY70" s="1241" t="str">
        <f>DY2</f>
        <v>2028E</v>
      </c>
      <c r="DZ70" s="1241"/>
      <c r="EA70" s="1241"/>
      <c r="EB70" s="1241"/>
      <c r="EC70" s="1241"/>
      <c r="ED70" s="1241" t="str">
        <f>ED2</f>
        <v>2029E</v>
      </c>
      <c r="EE70" s="1241"/>
      <c r="EF70" s="1241"/>
      <c r="EG70" s="1241"/>
      <c r="EH70" s="1241"/>
      <c r="EI70" s="1241" t="str">
        <f>EI2</f>
        <v>2030E</v>
      </c>
      <c r="EJ70" s="1241"/>
      <c r="EK70" s="1241"/>
      <c r="EL70" s="1241"/>
      <c r="EM70" s="1241"/>
    </row>
    <row r="71" spans="1:143" s="65" customFormat="1">
      <c r="A71" s="52"/>
      <c r="B71" s="52"/>
      <c r="C71" s="53"/>
      <c r="D71" s="54" t="str">
        <f>D3</f>
        <v>1Q03A</v>
      </c>
      <c r="E71" s="54" t="str">
        <f>E3</f>
        <v>2Q03A</v>
      </c>
      <c r="F71" s="54" t="str">
        <f>F3</f>
        <v>3Q03A</v>
      </c>
      <c r="G71" s="54" t="str">
        <f>G3</f>
        <v>4Q03A</v>
      </c>
      <c r="H71" s="53"/>
      <c r="I71" s="54" t="str">
        <f>I3</f>
        <v>1Q04A</v>
      </c>
      <c r="J71" s="54" t="str">
        <f>J3</f>
        <v>2Q04A</v>
      </c>
      <c r="K71" s="54" t="str">
        <f>K3</f>
        <v>3Q04A</v>
      </c>
      <c r="L71" s="54" t="str">
        <f>L3</f>
        <v>4Q04A</v>
      </c>
      <c r="M71" s="53"/>
      <c r="N71" s="54" t="str">
        <f>N3</f>
        <v>1Q05A</v>
      </c>
      <c r="O71" s="54" t="str">
        <f>O3</f>
        <v>2Q05A</v>
      </c>
      <c r="P71" s="54" t="str">
        <f>P3</f>
        <v>3Q05A</v>
      </c>
      <c r="Q71" s="54" t="str">
        <f>Q3</f>
        <v>4Q05A</v>
      </c>
      <c r="R71" s="53"/>
      <c r="S71" s="54" t="str">
        <f>S3</f>
        <v>1Q06A</v>
      </c>
      <c r="T71" s="54" t="str">
        <f>T3</f>
        <v>2Q06A</v>
      </c>
      <c r="U71" s="54" t="str">
        <f>U3</f>
        <v>3Q06A</v>
      </c>
      <c r="V71" s="54" t="str">
        <f>V3</f>
        <v>4Q06A</v>
      </c>
      <c r="W71" s="53"/>
      <c r="X71" s="54" t="s">
        <v>154</v>
      </c>
      <c r="Y71" s="54" t="s">
        <v>155</v>
      </c>
      <c r="Z71" s="54" t="s">
        <v>156</v>
      </c>
      <c r="AA71" s="54" t="s">
        <v>157</v>
      </c>
      <c r="AB71" s="53"/>
      <c r="AC71" s="54" t="s">
        <v>158</v>
      </c>
      <c r="AD71" s="54" t="s">
        <v>159</v>
      </c>
      <c r="AE71" s="54" t="s">
        <v>160</v>
      </c>
      <c r="AF71" s="54" t="s">
        <v>161</v>
      </c>
      <c r="AG71" s="53"/>
      <c r="AH71" s="54" t="s">
        <v>162</v>
      </c>
      <c r="AI71" s="54" t="s">
        <v>163</v>
      </c>
      <c r="AJ71" s="54" t="s">
        <v>164</v>
      </c>
      <c r="AK71" s="54" t="s">
        <v>165</v>
      </c>
      <c r="AL71" s="52"/>
      <c r="AM71" s="54" t="s">
        <v>166</v>
      </c>
      <c r="AN71" s="54" t="s">
        <v>167</v>
      </c>
      <c r="AO71" s="54" t="s">
        <v>168</v>
      </c>
      <c r="AP71" s="54" t="s">
        <v>169</v>
      </c>
      <c r="AQ71" s="53"/>
      <c r="AR71" s="54" t="s">
        <v>170</v>
      </c>
      <c r="AS71" s="54" t="s">
        <v>171</v>
      </c>
      <c r="AT71" s="54" t="s">
        <v>25</v>
      </c>
      <c r="AU71" s="54" t="s">
        <v>125</v>
      </c>
      <c r="AV71" s="53"/>
      <c r="AW71" s="440" t="s">
        <v>189</v>
      </c>
      <c r="AX71" s="440" t="s">
        <v>24</v>
      </c>
      <c r="AY71" s="440" t="s">
        <v>124</v>
      </c>
      <c r="AZ71" s="440" t="s">
        <v>29</v>
      </c>
      <c r="BA71" s="53"/>
      <c r="BB71" s="439" t="s">
        <v>28</v>
      </c>
      <c r="BC71" s="439" t="s">
        <v>188</v>
      </c>
      <c r="BD71" s="439" t="s">
        <v>186</v>
      </c>
      <c r="BE71" s="439" t="str">
        <f>BE3</f>
        <v>4Q13A</v>
      </c>
      <c r="BF71" s="53"/>
      <c r="BG71" s="439" t="str">
        <f>BG3</f>
        <v>1Q14A</v>
      </c>
      <c r="BH71" s="439" t="s">
        <v>788</v>
      </c>
      <c r="BI71" s="439" t="s">
        <v>807</v>
      </c>
      <c r="BJ71" s="439" t="s">
        <v>918</v>
      </c>
      <c r="BK71" s="52"/>
      <c r="BL71" s="940" t="s">
        <v>921</v>
      </c>
      <c r="BM71" s="940" t="s">
        <v>1000</v>
      </c>
      <c r="BN71" s="940" t="s">
        <v>1008</v>
      </c>
      <c r="BO71" s="940" t="s">
        <v>1009</v>
      </c>
      <c r="BP71" s="52"/>
      <c r="BQ71" s="52" t="s">
        <v>1011</v>
      </c>
      <c r="BR71" s="52" t="s">
        <v>1012</v>
      </c>
      <c r="BS71" s="52" t="s">
        <v>1013</v>
      </c>
      <c r="BT71" s="52" t="s">
        <v>1015</v>
      </c>
      <c r="BU71" s="52"/>
      <c r="BV71" s="52" t="s">
        <v>1019</v>
      </c>
      <c r="BW71" s="52" t="s">
        <v>1020</v>
      </c>
      <c r="BX71" s="52" t="s">
        <v>1021</v>
      </c>
      <c r="BY71" s="52" t="s">
        <v>1053</v>
      </c>
      <c r="BZ71" s="52"/>
      <c r="CA71" s="52" t="s">
        <v>83</v>
      </c>
      <c r="CB71" s="52" t="s">
        <v>84</v>
      </c>
      <c r="CC71" s="52" t="s">
        <v>85</v>
      </c>
      <c r="CD71" s="52" t="s">
        <v>86</v>
      </c>
      <c r="CE71" s="52"/>
      <c r="CF71" s="52" t="s">
        <v>87</v>
      </c>
      <c r="CG71" s="52" t="s">
        <v>88</v>
      </c>
      <c r="CH71" s="52" t="s">
        <v>89</v>
      </c>
      <c r="CI71" s="52" t="s">
        <v>90</v>
      </c>
      <c r="CJ71" s="52"/>
      <c r="CK71" s="52" t="s">
        <v>91</v>
      </c>
      <c r="CL71" s="52" t="s">
        <v>92</v>
      </c>
      <c r="CM71" s="52" t="s">
        <v>93</v>
      </c>
      <c r="CN71" s="52" t="s">
        <v>94</v>
      </c>
      <c r="CO71" s="52"/>
      <c r="CP71" s="52" t="s">
        <v>831</v>
      </c>
      <c r="CQ71" s="52" t="s">
        <v>832</v>
      </c>
      <c r="CR71" s="52" t="s">
        <v>833</v>
      </c>
      <c r="CS71" s="52" t="s">
        <v>834</v>
      </c>
      <c r="CT71" s="52"/>
      <c r="CU71" s="52" t="s">
        <v>835</v>
      </c>
      <c r="CV71" s="52" t="s">
        <v>836</v>
      </c>
      <c r="CW71" s="52" t="s">
        <v>837</v>
      </c>
      <c r="CX71" s="52" t="s">
        <v>838</v>
      </c>
      <c r="CY71" s="52"/>
      <c r="CZ71" s="52" t="s">
        <v>839</v>
      </c>
      <c r="DA71" s="52" t="s">
        <v>840</v>
      </c>
      <c r="DB71" s="52" t="s">
        <v>841</v>
      </c>
      <c r="DC71" s="52" t="s">
        <v>842</v>
      </c>
      <c r="DD71" s="52"/>
      <c r="DE71" s="52" t="s">
        <v>843</v>
      </c>
      <c r="DF71" s="52" t="s">
        <v>844</v>
      </c>
      <c r="DG71" s="52" t="s">
        <v>845</v>
      </c>
      <c r="DH71" s="52" t="s">
        <v>846</v>
      </c>
      <c r="DI71" s="52"/>
      <c r="DJ71" s="52" t="s">
        <v>847</v>
      </c>
      <c r="DK71" s="52" t="s">
        <v>848</v>
      </c>
      <c r="DL71" s="52" t="s">
        <v>849</v>
      </c>
      <c r="DM71" s="52" t="s">
        <v>850</v>
      </c>
      <c r="DN71" s="52"/>
      <c r="DO71" s="52" t="s">
        <v>851</v>
      </c>
      <c r="DP71" s="52" t="s">
        <v>852</v>
      </c>
      <c r="DQ71" s="52" t="s">
        <v>853</v>
      </c>
      <c r="DR71" s="52" t="s">
        <v>854</v>
      </c>
      <c r="DS71" s="52"/>
      <c r="DT71" s="52" t="s">
        <v>855</v>
      </c>
      <c r="DU71" s="52" t="s">
        <v>856</v>
      </c>
      <c r="DV71" s="52" t="s">
        <v>857</v>
      </c>
      <c r="DW71" s="52" t="s">
        <v>858</v>
      </c>
      <c r="DX71" s="52"/>
      <c r="DY71" s="52" t="str">
        <f>DY3</f>
        <v>1Q28E</v>
      </c>
      <c r="DZ71" s="52" t="str">
        <f>DZ3</f>
        <v>2Q28E</v>
      </c>
      <c r="EA71" s="52" t="str">
        <f>EA3</f>
        <v>3Q28E</v>
      </c>
      <c r="EB71" s="52" t="str">
        <f>EB3</f>
        <v>4Q28E</v>
      </c>
      <c r="EC71" s="52"/>
      <c r="ED71" s="52" t="str">
        <f>ED3</f>
        <v>1Q29E</v>
      </c>
      <c r="EE71" s="52" t="str">
        <f>EE3</f>
        <v>2Q29E</v>
      </c>
      <c r="EF71" s="52" t="str">
        <f>EF3</f>
        <v>3Q29E</v>
      </c>
      <c r="EG71" s="52" t="str">
        <f>EG3</f>
        <v>4Q29E</v>
      </c>
      <c r="EH71" s="52"/>
      <c r="EI71" s="52" t="str">
        <f>EI3</f>
        <v>1Q30E</v>
      </c>
      <c r="EJ71" s="52" t="str">
        <f>EJ3</f>
        <v>2Q30E</v>
      </c>
      <c r="EK71" s="52" t="str">
        <f>EK3</f>
        <v>3Q30E</v>
      </c>
      <c r="EL71" s="52" t="str">
        <f>EL3</f>
        <v>4Q30E</v>
      </c>
      <c r="EM71" s="52"/>
    </row>
    <row r="72" spans="1:143">
      <c r="B72" s="25" t="s">
        <v>122</v>
      </c>
      <c r="C72" s="51"/>
      <c r="D72" s="61"/>
      <c r="E72" s="61"/>
      <c r="F72" s="61"/>
      <c r="G72" s="61"/>
      <c r="H72" s="62"/>
      <c r="I72" s="61"/>
      <c r="J72" s="61"/>
      <c r="K72" s="61"/>
      <c r="L72" s="61"/>
      <c r="M72" s="62"/>
      <c r="N72" s="61"/>
      <c r="O72" s="61"/>
      <c r="P72" s="61"/>
      <c r="Q72" s="61"/>
      <c r="R72" s="62"/>
      <c r="S72" s="61"/>
      <c r="T72" s="61"/>
      <c r="U72" s="61"/>
      <c r="V72" s="61">
        <f t="shared" ref="V72:BA72" si="45">V4/Q4-1</f>
        <v>42.249825296995105</v>
      </c>
      <c r="W72" s="62">
        <f t="shared" si="45"/>
        <v>111.00489168413696</v>
      </c>
      <c r="X72" s="61">
        <f t="shared" si="45"/>
        <v>3.5073821779736774</v>
      </c>
      <c r="Y72" s="61">
        <f t="shared" si="45"/>
        <v>1.8715169787369086</v>
      </c>
      <c r="Z72" s="61">
        <f t="shared" si="45"/>
        <v>0.96676668574925495</v>
      </c>
      <c r="AA72" s="61">
        <f t="shared" si="45"/>
        <v>0.99885281262875592</v>
      </c>
      <c r="AB72" s="62">
        <f t="shared" si="45"/>
        <v>1.4141559405786159</v>
      </c>
      <c r="AC72" s="61">
        <f t="shared" si="45"/>
        <v>0.96156818228443641</v>
      </c>
      <c r="AD72" s="61">
        <f t="shared" si="45"/>
        <v>0.8001469913739272</v>
      </c>
      <c r="AE72" s="61">
        <f t="shared" si="45"/>
        <v>0.71945338023998673</v>
      </c>
      <c r="AF72" s="61">
        <f t="shared" si="45"/>
        <v>0.49318971788861066</v>
      </c>
      <c r="AG72" s="62">
        <f t="shared" si="45"/>
        <v>0.71173325993665681</v>
      </c>
      <c r="AH72" s="61">
        <f t="shared" si="45"/>
        <v>0.26380008785201814</v>
      </c>
      <c r="AI72" s="61">
        <f t="shared" si="45"/>
        <v>0.21952664538310418</v>
      </c>
      <c r="AJ72" s="61">
        <f t="shared" si="45"/>
        <v>0.31220010507267526</v>
      </c>
      <c r="AK72" s="61">
        <f t="shared" si="45"/>
        <v>0.34542895424217357</v>
      </c>
      <c r="AL72" s="62">
        <f t="shared" si="45"/>
        <v>0.28819684283871227</v>
      </c>
      <c r="AM72" s="61">
        <f t="shared" si="45"/>
        <v>0.46328989617009997</v>
      </c>
      <c r="AN72" s="61">
        <f t="shared" si="45"/>
        <v>0.47793331034326525</v>
      </c>
      <c r="AO72" s="61">
        <f t="shared" si="45"/>
        <v>0.42636114113873669</v>
      </c>
      <c r="AP72" s="61">
        <f t="shared" si="45"/>
        <v>0.42900080875222857</v>
      </c>
      <c r="AQ72" s="62">
        <f t="shared" si="45"/>
        <v>0.44698163483328135</v>
      </c>
      <c r="AR72" s="61">
        <f t="shared" si="45"/>
        <v>0.39098453058254434</v>
      </c>
      <c r="AS72" s="61">
        <f t="shared" si="45"/>
        <v>0.35477217645445824</v>
      </c>
      <c r="AT72" s="61">
        <f t="shared" si="45"/>
        <v>0.27873819533676802</v>
      </c>
      <c r="AU72" s="61">
        <f t="shared" si="45"/>
        <v>0.20345852890742222</v>
      </c>
      <c r="AV72" s="62">
        <f t="shared" si="45"/>
        <v>0.29927712931767303</v>
      </c>
      <c r="AW72" s="451">
        <f t="shared" si="45"/>
        <v>0.16686950275793855</v>
      </c>
      <c r="AX72" s="451">
        <f t="shared" si="45"/>
        <v>0.17401580247534398</v>
      </c>
      <c r="AY72" s="451">
        <f t="shared" si="45"/>
        <v>0.18304210024401879</v>
      </c>
      <c r="AZ72" s="451">
        <f t="shared" si="45"/>
        <v>0.17178022481952349</v>
      </c>
      <c r="BA72" s="62">
        <f t="shared" si="45"/>
        <v>0.17408365498777667</v>
      </c>
      <c r="BB72" s="451">
        <f t="shared" ref="BB72:CG72" si="46">BB4/AW4-1</f>
        <v>0.16469492379773221</v>
      </c>
      <c r="BC72" s="451">
        <f t="shared" si="46"/>
        <v>0.12596574451339326</v>
      </c>
      <c r="BD72" s="451">
        <f t="shared" si="46"/>
        <v>0.12336965541269773</v>
      </c>
      <c r="BE72" s="451">
        <f t="shared" si="46"/>
        <v>0.13411736517381145</v>
      </c>
      <c r="BF72" s="62">
        <f t="shared" si="46"/>
        <v>0.13631777924091493</v>
      </c>
      <c r="BG72" s="451">
        <f t="shared" si="46"/>
        <v>0.14060630235341054</v>
      </c>
      <c r="BH72" s="451">
        <f t="shared" si="46"/>
        <v>0.15425582501188773</v>
      </c>
      <c r="BI72" s="451">
        <f t="shared" si="46"/>
        <v>0.19287942741787489</v>
      </c>
      <c r="BJ72" s="451">
        <f t="shared" si="46"/>
        <v>0.16417253521126751</v>
      </c>
      <c r="BK72" s="62">
        <f t="shared" si="46"/>
        <v>0.16352421672390816</v>
      </c>
      <c r="BL72" s="451">
        <f t="shared" si="46"/>
        <v>0.17406889316314045</v>
      </c>
      <c r="BM72" s="451">
        <f t="shared" si="46"/>
        <v>0.18975035016890485</v>
      </c>
      <c r="BN72" s="451">
        <f t="shared" si="46"/>
        <v>0.11807692307692297</v>
      </c>
      <c r="BO72" s="451">
        <f t="shared" si="46"/>
        <v>0.18011342155009435</v>
      </c>
      <c r="BP72" s="62">
        <f t="shared" si="46"/>
        <v>0.16487951807228907</v>
      </c>
      <c r="BQ72" s="451">
        <f t="shared" si="46"/>
        <v>0.17179238960458698</v>
      </c>
      <c r="BR72" s="451">
        <f t="shared" si="46"/>
        <v>0.17783933518005535</v>
      </c>
      <c r="BS72" s="451">
        <f t="shared" si="46"/>
        <v>0.30106639146886827</v>
      </c>
      <c r="BT72" s="451">
        <f t="shared" si="46"/>
        <v>0.15851861344268614</v>
      </c>
      <c r="BU72" s="62">
        <f t="shared" si="46"/>
        <v>0.20211683990967244</v>
      </c>
      <c r="BV72" s="451">
        <f t="shared" si="46"/>
        <v>0.19725470259278088</v>
      </c>
      <c r="BW72" s="451">
        <f t="shared" si="46"/>
        <v>0.1959078080903105</v>
      </c>
      <c r="BX72" s="451">
        <f t="shared" si="46"/>
        <v>0.10041774628523092</v>
      </c>
      <c r="BY72" s="451">
        <f t="shared" si="46"/>
        <v>0.21011006028427648</v>
      </c>
      <c r="BZ72" s="62">
        <f t="shared" si="46"/>
        <v>0.17399908225306859</v>
      </c>
      <c r="CA72" s="451">
        <f t="shared" si="46"/>
        <v>0.14555583246576353</v>
      </c>
      <c r="CB72" s="451">
        <f t="shared" si="46"/>
        <v>0.14626658576710549</v>
      </c>
      <c r="CC72" s="451">
        <f t="shared" si="46"/>
        <v>0.14550099068597633</v>
      </c>
      <c r="CD72" s="451">
        <f t="shared" si="46"/>
        <v>0.14657914600417787</v>
      </c>
      <c r="CE72" s="62">
        <f t="shared" si="46"/>
        <v>0.14599195760235117</v>
      </c>
      <c r="CF72" s="451">
        <f t="shared" si="46"/>
        <v>0.14681762602257353</v>
      </c>
      <c r="CG72" s="451">
        <f t="shared" si="46"/>
        <v>0.14806211496879373</v>
      </c>
      <c r="CH72" s="451">
        <f t="shared" ref="CH72:DM72" si="47">CH4/CC4-1</f>
        <v>0.14672153698090806</v>
      </c>
      <c r="CI72" s="451">
        <f t="shared" si="47"/>
        <v>0.14860890187715192</v>
      </c>
      <c r="CJ72" s="62">
        <f t="shared" si="47"/>
        <v>0.14758143953872715</v>
      </c>
      <c r="CK72" s="451">
        <f t="shared" si="47"/>
        <v>0.14938256053845289</v>
      </c>
      <c r="CL72" s="451">
        <f t="shared" si="47"/>
        <v>0.15010503013453969</v>
      </c>
      <c r="CM72" s="451">
        <f t="shared" si="47"/>
        <v>0.14932671225741823</v>
      </c>
      <c r="CN72" s="451">
        <f t="shared" si="47"/>
        <v>0.15042196412658626</v>
      </c>
      <c r="CO72" s="62">
        <f t="shared" si="47"/>
        <v>0.14982616687524808</v>
      </c>
      <c r="CP72" s="451">
        <f t="shared" si="47"/>
        <v>0.12136080694842533</v>
      </c>
      <c r="CQ72" s="451">
        <f t="shared" si="47"/>
        <v>0.12132921434583666</v>
      </c>
      <c r="CR72" s="451">
        <f t="shared" si="47"/>
        <v>0.12136325077082932</v>
      </c>
      <c r="CS72" s="451">
        <f t="shared" si="47"/>
        <v>0.12131536777956264</v>
      </c>
      <c r="CT72" s="62">
        <f t="shared" si="47"/>
        <v>0.12134140394834025</v>
      </c>
      <c r="CU72" s="451">
        <f t="shared" si="47"/>
        <v>5.247236393242094E-3</v>
      </c>
      <c r="CV72" s="451">
        <f t="shared" si="47"/>
        <v>7.5271742717974988E-3</v>
      </c>
      <c r="CW72" s="451">
        <f t="shared" si="47"/>
        <v>5.0708788382223258E-3</v>
      </c>
      <c r="CX72" s="451">
        <f t="shared" si="47"/>
        <v>8.5264775148277128E-3</v>
      </c>
      <c r="CY72" s="62">
        <f t="shared" si="47"/>
        <v>6.6474741178874641E-3</v>
      </c>
      <c r="CZ72" s="451">
        <f t="shared" si="47"/>
        <v>-8.4934729843850754E-2</v>
      </c>
      <c r="DA72" s="451">
        <f t="shared" si="47"/>
        <v>-8.1147975062619504E-2</v>
      </c>
      <c r="DB72" s="451">
        <f t="shared" si="47"/>
        <v>-8.5228358418099504E-2</v>
      </c>
      <c r="DC72" s="451">
        <f t="shared" si="47"/>
        <v>-7.9493626385040872E-2</v>
      </c>
      <c r="DD72" s="62">
        <f t="shared" si="47"/>
        <v>-8.2607038975394564E-2</v>
      </c>
      <c r="DE72" s="451">
        <f t="shared" si="47"/>
        <v>-0.13837902080144548</v>
      </c>
      <c r="DF72" s="451">
        <f t="shared" si="47"/>
        <v>-0.13350812906389675</v>
      </c>
      <c r="DG72" s="451">
        <f t="shared" si="47"/>
        <v>-0.13875839910899046</v>
      </c>
      <c r="DH72" s="451">
        <f t="shared" si="47"/>
        <v>-0.13139272362882259</v>
      </c>
      <c r="DI72" s="62">
        <f t="shared" si="47"/>
        <v>-0.13538015680313942</v>
      </c>
      <c r="DJ72" s="451">
        <f t="shared" si="47"/>
        <v>-0.19720748781824227</v>
      </c>
      <c r="DK72" s="451">
        <f t="shared" si="47"/>
        <v>-0.19454510556520854</v>
      </c>
      <c r="DL72" s="451">
        <f t="shared" si="47"/>
        <v>-0.19741611645522417</v>
      </c>
      <c r="DM72" s="451">
        <f t="shared" si="47"/>
        <v>-0.19339814535887123</v>
      </c>
      <c r="DN72" s="62">
        <f t="shared" ref="DN72:EM72" si="48">DN4/DI4-1</f>
        <v>-0.19556478880013484</v>
      </c>
      <c r="DO72" s="451">
        <f t="shared" si="48"/>
        <v>-0.63739164233867696</v>
      </c>
      <c r="DP72" s="451">
        <f t="shared" si="48"/>
        <v>-0.63759280913873262</v>
      </c>
      <c r="DQ72" s="451">
        <f t="shared" si="48"/>
        <v>-0.63737582218823641</v>
      </c>
      <c r="DR72" s="451">
        <f t="shared" si="48"/>
        <v>-0.63767906296012589</v>
      </c>
      <c r="DS72" s="62">
        <f t="shared" si="48"/>
        <v>-0.63751592027941095</v>
      </c>
      <c r="DT72" s="451">
        <f t="shared" si="48"/>
        <v>-0.72749528894327398</v>
      </c>
      <c r="DU72" s="451">
        <f t="shared" si="48"/>
        <v>-0.7277412525157505</v>
      </c>
      <c r="DV72" s="451">
        <f t="shared" si="48"/>
        <v>-0.72747595746156457</v>
      </c>
      <c r="DW72" s="451">
        <f t="shared" si="48"/>
        <v>-0.72784679740505331</v>
      </c>
      <c r="DX72" s="62">
        <f t="shared" si="48"/>
        <v>-0.7276472094506814</v>
      </c>
      <c r="DY72" s="451">
        <f t="shared" si="48"/>
        <v>-0.5349202438489753</v>
      </c>
      <c r="DZ72" s="451">
        <f t="shared" si="48"/>
        <v>-0.53651839602198004</v>
      </c>
      <c r="EA72" s="451">
        <f t="shared" si="48"/>
        <v>-0.53479475951788269</v>
      </c>
      <c r="EB72" s="451">
        <f t="shared" si="48"/>
        <v>-0.53720506133821289</v>
      </c>
      <c r="EC72" s="62">
        <f t="shared" si="48"/>
        <v>-0.53590700888414</v>
      </c>
      <c r="ED72" s="451">
        <f t="shared" si="48"/>
        <v>-0.39300911130581717</v>
      </c>
      <c r="EE72" s="451">
        <f t="shared" si="48"/>
        <v>-0.39567076209605434</v>
      </c>
      <c r="EF72" s="451">
        <f t="shared" si="48"/>
        <v>-0.39280089710397581</v>
      </c>
      <c r="EG72" s="451">
        <f t="shared" si="48"/>
        <v>-0.39682001839454106</v>
      </c>
      <c r="EH72" s="62">
        <f t="shared" si="48"/>
        <v>-0.39465035922938396</v>
      </c>
      <c r="EI72" s="451">
        <f t="shared" si="48"/>
        <v>-0.13141803140492825</v>
      </c>
      <c r="EJ72" s="451">
        <f t="shared" si="48"/>
        <v>-0.13310835879029836</v>
      </c>
      <c r="EK72" s="451">
        <f t="shared" si="48"/>
        <v>-0.13128642634542886</v>
      </c>
      <c r="EL72" s="451">
        <f t="shared" si="48"/>
        <v>-0.13384282513053392</v>
      </c>
      <c r="EM72" s="62">
        <f t="shared" si="48"/>
        <v>-0.13245857734545641</v>
      </c>
    </row>
    <row r="73" spans="1:143">
      <c r="B73" s="10" t="s">
        <v>181</v>
      </c>
      <c r="C73" s="51"/>
      <c r="D73" s="61"/>
      <c r="E73" s="61"/>
      <c r="F73" s="61"/>
      <c r="G73" s="61"/>
      <c r="H73" s="62"/>
      <c r="I73" s="61"/>
      <c r="J73" s="61"/>
      <c r="K73" s="61"/>
      <c r="L73" s="61"/>
      <c r="M73" s="62"/>
      <c r="N73" s="61"/>
      <c r="O73" s="61"/>
      <c r="P73" s="61"/>
      <c r="Q73" s="61"/>
      <c r="R73" s="62"/>
      <c r="S73" s="61"/>
      <c r="T73" s="61"/>
      <c r="U73" s="61"/>
      <c r="V73" s="61"/>
      <c r="W73" s="62"/>
      <c r="X73" s="61"/>
      <c r="Y73" s="61"/>
      <c r="Z73" s="61"/>
      <c r="AA73" s="61"/>
      <c r="AB73" s="62"/>
      <c r="AC73" s="61"/>
      <c r="AD73" s="61"/>
      <c r="AE73" s="61"/>
      <c r="AF73" s="61"/>
      <c r="AG73" s="62"/>
      <c r="AH73" s="61"/>
      <c r="AI73" s="61"/>
      <c r="AJ73" s="61"/>
      <c r="AK73" s="61"/>
      <c r="AL73" s="62"/>
      <c r="AM73" s="61">
        <f t="shared" ref="AM73:AV74" si="49">AM6/AH6-1</f>
        <v>0.32608695652173902</v>
      </c>
      <c r="AN73" s="61">
        <f t="shared" si="49"/>
        <v>0.43852459016393452</v>
      </c>
      <c r="AO73" s="61">
        <f t="shared" si="49"/>
        <v>0.36996336996336998</v>
      </c>
      <c r="AP73" s="61">
        <f t="shared" si="49"/>
        <v>0.38144329896907214</v>
      </c>
      <c r="AQ73" s="62">
        <f t="shared" si="49"/>
        <v>0.37957610789980722</v>
      </c>
      <c r="AR73" s="61">
        <f t="shared" si="49"/>
        <v>0.3737704918032787</v>
      </c>
      <c r="AS73" s="61">
        <f t="shared" si="49"/>
        <v>0.3048433048433048</v>
      </c>
      <c r="AT73" s="61">
        <f t="shared" si="49"/>
        <v>0.24866310160427818</v>
      </c>
      <c r="AU73" s="61">
        <f t="shared" si="49"/>
        <v>0.21393034825870649</v>
      </c>
      <c r="AV73" s="62">
        <f t="shared" si="49"/>
        <v>0.27932960893854752</v>
      </c>
      <c r="AW73" s="451">
        <f t="shared" ref="AW73:BF74" si="50">AW6/AR6-1</f>
        <v>0.16706443914081137</v>
      </c>
      <c r="AX73" s="451">
        <f t="shared" si="50"/>
        <v>0.17248908296943233</v>
      </c>
      <c r="AY73" s="451">
        <f t="shared" si="50"/>
        <v>0.17130620985010703</v>
      </c>
      <c r="AZ73" s="451">
        <f t="shared" si="50"/>
        <v>0.18237704918032782</v>
      </c>
      <c r="BA73" s="62">
        <f t="shared" si="50"/>
        <v>0.17358078602620086</v>
      </c>
      <c r="BB73" s="451">
        <f t="shared" si="50"/>
        <v>0.16155419222903888</v>
      </c>
      <c r="BC73" s="451">
        <f t="shared" si="50"/>
        <v>0.16387337057728124</v>
      </c>
      <c r="BD73" s="451">
        <f t="shared" si="50"/>
        <v>0.15722120658135275</v>
      </c>
      <c r="BE73" s="451">
        <f t="shared" si="50"/>
        <v>0.14904679376083196</v>
      </c>
      <c r="BF73" s="62">
        <f t="shared" si="50"/>
        <v>0.15767441860465126</v>
      </c>
      <c r="BG73" s="451">
        <f t="shared" ref="BG73:BP74" si="51">BG6/BB6-1</f>
        <v>0.12992957746478861</v>
      </c>
      <c r="BH73" s="451">
        <f t="shared" si="51"/>
        <v>0.14592000000000005</v>
      </c>
      <c r="BI73" s="451">
        <f t="shared" si="51"/>
        <v>0.20094786729857828</v>
      </c>
      <c r="BJ73" s="451">
        <f t="shared" si="51"/>
        <v>0.20286576168929105</v>
      </c>
      <c r="BK73" s="62">
        <f t="shared" si="51"/>
        <v>0.17143431096826034</v>
      </c>
      <c r="BL73" s="451">
        <f t="shared" si="51"/>
        <v>0.26332190713617942</v>
      </c>
      <c r="BM73" s="451">
        <f t="shared" si="51"/>
        <v>0.21837475565484499</v>
      </c>
      <c r="BN73" s="451">
        <f t="shared" si="51"/>
        <v>0.1775848460931333</v>
      </c>
      <c r="BO73" s="451">
        <f t="shared" si="51"/>
        <v>0.19912225705329156</v>
      </c>
      <c r="BP73" s="62">
        <f t="shared" si="51"/>
        <v>0.21236752752340804</v>
      </c>
      <c r="BQ73" s="451">
        <f t="shared" ref="BQ73:BZ74" si="52">BQ6/BL6-1</f>
        <v>0.22903305377405037</v>
      </c>
      <c r="BR73" s="451">
        <f t="shared" si="52"/>
        <v>0.23722209488883772</v>
      </c>
      <c r="BS73" s="451">
        <f t="shared" si="52"/>
        <v>0.28831546023235011</v>
      </c>
      <c r="BT73" s="451">
        <f t="shared" si="52"/>
        <v>0.24176513646345299</v>
      </c>
      <c r="BU73" s="62">
        <f t="shared" si="52"/>
        <v>0.24951200882627478</v>
      </c>
      <c r="BV73" s="451">
        <f t="shared" si="52"/>
        <v>0.23833416959357745</v>
      </c>
      <c r="BW73" s="451">
        <f t="shared" si="52"/>
        <v>0.25787328640237139</v>
      </c>
      <c r="BX73" s="451">
        <f t="shared" si="52"/>
        <v>0.18009191017081427</v>
      </c>
      <c r="BY73" s="451">
        <f t="shared" si="52"/>
        <v>0.24042105263157887</v>
      </c>
      <c r="BZ73" s="62">
        <f t="shared" si="52"/>
        <v>0.2284634019334828</v>
      </c>
      <c r="CA73" s="451">
        <f t="shared" ref="CA73:CJ74" si="53">CA6/BV6-1</f>
        <v>0.1649244312724254</v>
      </c>
      <c r="CB73" s="451">
        <f t="shared" si="53"/>
        <v>0.1649244312724254</v>
      </c>
      <c r="CC73" s="451">
        <f t="shared" si="53"/>
        <v>0.1649244312724254</v>
      </c>
      <c r="CD73" s="451">
        <f t="shared" si="53"/>
        <v>0.1649244312724254</v>
      </c>
      <c r="CE73" s="62">
        <f t="shared" si="53"/>
        <v>0.1649244312724254</v>
      </c>
      <c r="CF73" s="451">
        <f t="shared" si="53"/>
        <v>0.18018778229489674</v>
      </c>
      <c r="CG73" s="451">
        <f t="shared" si="53"/>
        <v>0.18018778229489674</v>
      </c>
      <c r="CH73" s="451">
        <f t="shared" si="53"/>
        <v>0.18018778229489674</v>
      </c>
      <c r="CI73" s="451">
        <f t="shared" si="53"/>
        <v>0.18018778229489674</v>
      </c>
      <c r="CJ73" s="62">
        <f t="shared" si="53"/>
        <v>0.18018778229489674</v>
      </c>
      <c r="CK73" s="451">
        <f t="shared" ref="CK73:CT74" si="54">CK6/CF6-1</f>
        <v>0.16822777324587346</v>
      </c>
      <c r="CL73" s="451">
        <f t="shared" si="54"/>
        <v>0.16822777324587346</v>
      </c>
      <c r="CM73" s="451">
        <f t="shared" si="54"/>
        <v>0.16822777324587346</v>
      </c>
      <c r="CN73" s="451">
        <f t="shared" si="54"/>
        <v>0.16822777324587346</v>
      </c>
      <c r="CO73" s="62">
        <f t="shared" si="54"/>
        <v>0.16822777324587346</v>
      </c>
      <c r="CP73" s="451">
        <f t="shared" si="54"/>
        <v>0.12054951559213456</v>
      </c>
      <c r="CQ73" s="451">
        <f t="shared" si="54"/>
        <v>0.12054951559213456</v>
      </c>
      <c r="CR73" s="451">
        <f t="shared" si="54"/>
        <v>0.12054951559213456</v>
      </c>
      <c r="CS73" s="451">
        <f t="shared" si="54"/>
        <v>0.12054951559213456</v>
      </c>
      <c r="CT73" s="62">
        <f t="shared" si="54"/>
        <v>0.12054951559213456</v>
      </c>
      <c r="CU73" s="451">
        <f t="shared" ref="CU73:DD74" si="55">CU6/CP6-1</f>
        <v>6.38362981600753E-2</v>
      </c>
      <c r="CV73" s="451">
        <f t="shared" si="55"/>
        <v>6.38362981600753E-2</v>
      </c>
      <c r="CW73" s="451">
        <f t="shared" si="55"/>
        <v>6.38362981600753E-2</v>
      </c>
      <c r="CX73" s="451">
        <f t="shared" si="55"/>
        <v>6.38362981600753E-2</v>
      </c>
      <c r="CY73" s="62">
        <f t="shared" si="55"/>
        <v>6.38362981600753E-2</v>
      </c>
      <c r="CZ73" s="451">
        <f t="shared" si="55"/>
        <v>7.2253146812615299E-3</v>
      </c>
      <c r="DA73" s="451">
        <f t="shared" si="55"/>
        <v>7.2253146812615299E-3</v>
      </c>
      <c r="DB73" s="451">
        <f t="shared" si="55"/>
        <v>7.2253146812615299E-3</v>
      </c>
      <c r="DC73" s="451">
        <f t="shared" si="55"/>
        <v>7.2253146812615299E-3</v>
      </c>
      <c r="DD73" s="62">
        <f t="shared" si="55"/>
        <v>7.2253146812615299E-3</v>
      </c>
      <c r="DE73" s="451">
        <f t="shared" ref="DE73:DN74" si="56">DE6/CZ6-1</f>
        <v>-3.0234899884420297E-2</v>
      </c>
      <c r="DF73" s="451">
        <f t="shared" si="56"/>
        <v>-3.0234899884420186E-2</v>
      </c>
      <c r="DG73" s="451">
        <f t="shared" si="56"/>
        <v>-3.0234899884420297E-2</v>
      </c>
      <c r="DH73" s="451">
        <f t="shared" si="56"/>
        <v>-3.0234899884420297E-2</v>
      </c>
      <c r="DI73" s="62">
        <f t="shared" si="56"/>
        <v>-3.0234899884420297E-2</v>
      </c>
      <c r="DJ73" s="451">
        <f t="shared" si="56"/>
        <v>-0.14439181829635828</v>
      </c>
      <c r="DK73" s="451">
        <f t="shared" si="56"/>
        <v>-0.14439181829635839</v>
      </c>
      <c r="DL73" s="451">
        <f t="shared" si="56"/>
        <v>-0.14439181829635828</v>
      </c>
      <c r="DM73" s="451">
        <f t="shared" si="56"/>
        <v>-0.14439181829635828</v>
      </c>
      <c r="DN73" s="62">
        <f t="shared" si="56"/>
        <v>-0.14439181829635828</v>
      </c>
      <c r="DO73" s="451">
        <f t="shared" ref="DO73:DX74" si="57">DO6/DJ6-1</f>
        <v>-0.64114841559492219</v>
      </c>
      <c r="DP73" s="451">
        <f t="shared" si="57"/>
        <v>-0.64114841559492219</v>
      </c>
      <c r="DQ73" s="451">
        <f t="shared" si="57"/>
        <v>-0.64114841559492219</v>
      </c>
      <c r="DR73" s="451">
        <f t="shared" si="57"/>
        <v>-0.64114841559492219</v>
      </c>
      <c r="DS73" s="62">
        <f t="shared" si="57"/>
        <v>-0.64114841559492219</v>
      </c>
      <c r="DT73" s="451">
        <f t="shared" si="57"/>
        <v>-0.73213415044578367</v>
      </c>
      <c r="DU73" s="451">
        <f t="shared" si="57"/>
        <v>-0.73213415044578367</v>
      </c>
      <c r="DV73" s="451">
        <f t="shared" si="57"/>
        <v>-0.73213415044578367</v>
      </c>
      <c r="DW73" s="451">
        <f t="shared" si="57"/>
        <v>-0.73213415044578367</v>
      </c>
      <c r="DX73" s="62">
        <f t="shared" si="57"/>
        <v>-0.73213415044578367</v>
      </c>
      <c r="DY73" s="451">
        <f t="shared" ref="DY73:EH74" si="58">DY6/DT6-1</f>
        <v>-0.56555562143615623</v>
      </c>
      <c r="DZ73" s="451">
        <f t="shared" si="58"/>
        <v>-0.56555562143615623</v>
      </c>
      <c r="EA73" s="451">
        <f t="shared" si="58"/>
        <v>-0.56555562143615623</v>
      </c>
      <c r="EB73" s="451">
        <f t="shared" si="58"/>
        <v>-0.56555562143615623</v>
      </c>
      <c r="EC73" s="62">
        <f t="shared" si="58"/>
        <v>-0.56555562143615623</v>
      </c>
      <c r="ED73" s="451">
        <f t="shared" si="58"/>
        <v>-0.44744113766480498</v>
      </c>
      <c r="EE73" s="451">
        <f t="shared" si="58"/>
        <v>-0.44744113766480498</v>
      </c>
      <c r="EF73" s="451">
        <f t="shared" si="58"/>
        <v>-0.44744113766480498</v>
      </c>
      <c r="EG73" s="451">
        <f t="shared" si="58"/>
        <v>-0.44744113766480498</v>
      </c>
      <c r="EH73" s="62">
        <f t="shared" si="58"/>
        <v>-0.44744113766480498</v>
      </c>
      <c r="EI73" s="451">
        <f t="shared" ref="EI73:EM74" si="59">EI6/ED6-1</f>
        <v>-0.16922477849227835</v>
      </c>
      <c r="EJ73" s="451">
        <f t="shared" si="59"/>
        <v>-0.16922477849227824</v>
      </c>
      <c r="EK73" s="451">
        <f t="shared" si="59"/>
        <v>-0.16922477849227824</v>
      </c>
      <c r="EL73" s="451">
        <f t="shared" si="59"/>
        <v>-0.16922477849227824</v>
      </c>
      <c r="EM73" s="62">
        <f t="shared" si="59"/>
        <v>-0.16922477849227824</v>
      </c>
    </row>
    <row r="74" spans="1:143">
      <c r="B74" s="10" t="s">
        <v>76</v>
      </c>
      <c r="C74" s="51"/>
      <c r="D74" s="61"/>
      <c r="E74" s="61"/>
      <c r="F74" s="61"/>
      <c r="G74" s="61"/>
      <c r="H74" s="62"/>
      <c r="I74" s="61"/>
      <c r="J74" s="61"/>
      <c r="K74" s="61"/>
      <c r="L74" s="61"/>
      <c r="M74" s="62"/>
      <c r="N74" s="61"/>
      <c r="O74" s="61"/>
      <c r="P74" s="61"/>
      <c r="Q74" s="61"/>
      <c r="R74" s="62"/>
      <c r="S74" s="61"/>
      <c r="T74" s="61"/>
      <c r="U74" s="61"/>
      <c r="V74" s="61"/>
      <c r="W74" s="62"/>
      <c r="X74" s="61"/>
      <c r="Y74" s="61"/>
      <c r="Z74" s="61"/>
      <c r="AA74" s="61"/>
      <c r="AB74" s="62"/>
      <c r="AC74" s="61"/>
      <c r="AD74" s="61"/>
      <c r="AE74" s="61"/>
      <c r="AF74" s="61"/>
      <c r="AG74" s="62"/>
      <c r="AH74" s="61"/>
      <c r="AI74" s="61"/>
      <c r="AJ74" s="61"/>
      <c r="AK74" s="61"/>
      <c r="AL74" s="62"/>
      <c r="AM74" s="61">
        <f t="shared" si="49"/>
        <v>0.70142473361707247</v>
      </c>
      <c r="AN74" s="61">
        <f t="shared" si="49"/>
        <v>0.54066926334057519</v>
      </c>
      <c r="AO74" s="61">
        <f t="shared" si="49"/>
        <v>0.5135514706715143</v>
      </c>
      <c r="AP74" s="61">
        <f t="shared" si="49"/>
        <v>0.49616134949675472</v>
      </c>
      <c r="AQ74" s="62">
        <f t="shared" si="49"/>
        <v>0.5516540825836993</v>
      </c>
      <c r="AR74" s="61">
        <f t="shared" si="49"/>
        <v>0.41427088785005273</v>
      </c>
      <c r="AS74" s="61">
        <f t="shared" si="49"/>
        <v>0.42898582638486005</v>
      </c>
      <c r="AT74" s="61">
        <f t="shared" si="49"/>
        <v>0.32082298183124291</v>
      </c>
      <c r="AU74" s="61">
        <f t="shared" si="49"/>
        <v>0.18980415307068976</v>
      </c>
      <c r="AV74" s="62">
        <f t="shared" si="49"/>
        <v>0.32681792894792894</v>
      </c>
      <c r="AW74" s="451">
        <f t="shared" si="50"/>
        <v>0.16661335340420869</v>
      </c>
      <c r="AX74" s="451">
        <f t="shared" si="50"/>
        <v>0.17608795507416009</v>
      </c>
      <c r="AY74" s="451">
        <f t="shared" si="50"/>
        <v>0.1985672159288876</v>
      </c>
      <c r="AZ74" s="451">
        <f t="shared" si="50"/>
        <v>0.15768267183542917</v>
      </c>
      <c r="BA74" s="62">
        <f t="shared" si="50"/>
        <v>0.17475309794768479</v>
      </c>
      <c r="BB74" s="451">
        <f t="shared" si="50"/>
        <v>0.16882348829832394</v>
      </c>
      <c r="BC74" s="451">
        <f t="shared" si="50"/>
        <v>7.4672747659783489E-2</v>
      </c>
      <c r="BD74" s="451">
        <f t="shared" si="50"/>
        <v>7.9606822699158863E-2</v>
      </c>
      <c r="BE74" s="451">
        <f t="shared" si="50"/>
        <v>0.11383224226439959</v>
      </c>
      <c r="BF74" s="62">
        <f t="shared" si="50"/>
        <v>0.10791518210609641</v>
      </c>
      <c r="BG74" s="451">
        <f t="shared" si="51"/>
        <v>0.15455381784728628</v>
      </c>
      <c r="BH74" s="451">
        <f t="shared" si="51"/>
        <v>0.16647127784290738</v>
      </c>
      <c r="BI74" s="451">
        <f t="shared" si="51"/>
        <v>0.18169877408056045</v>
      </c>
      <c r="BJ74" s="451">
        <f t="shared" si="51"/>
        <v>0.10993657505285404</v>
      </c>
      <c r="BK74" s="62">
        <f t="shared" si="51"/>
        <v>0.15253196359778931</v>
      </c>
      <c r="BL74" s="451">
        <f t="shared" si="51"/>
        <v>5.9960159362549836E-2</v>
      </c>
      <c r="BM74" s="451">
        <f t="shared" si="51"/>
        <v>0.14854271356783921</v>
      </c>
      <c r="BN74" s="451">
        <f t="shared" si="51"/>
        <v>3.4271952575027687E-2</v>
      </c>
      <c r="BO74" s="451">
        <f t="shared" si="51"/>
        <v>0.15123809523809517</v>
      </c>
      <c r="BP74" s="62">
        <f t="shared" si="51"/>
        <v>9.7805551518674427E-2</v>
      </c>
      <c r="BQ74" s="451">
        <f t="shared" si="52"/>
        <v>8.4570569441834165E-2</v>
      </c>
      <c r="BR74" s="451">
        <f t="shared" si="52"/>
        <v>8.7154357717885933E-2</v>
      </c>
      <c r="BS74" s="451">
        <f t="shared" si="52"/>
        <v>0.3215117320437042</v>
      </c>
      <c r="BT74" s="451">
        <f t="shared" si="52"/>
        <v>2.680344142951685E-2</v>
      </c>
      <c r="BU74" s="62">
        <f t="shared" si="52"/>
        <v>0.12818815638513836</v>
      </c>
      <c r="BV74" s="451">
        <f t="shared" si="52"/>
        <v>0.12632126147981282</v>
      </c>
      <c r="BW74" s="451">
        <f t="shared" si="52"/>
        <v>8.8216355441081751E-2</v>
      </c>
      <c r="BX74" s="451">
        <f t="shared" si="52"/>
        <v>-2.4125779343995624E-2</v>
      </c>
      <c r="BY74" s="451">
        <f t="shared" si="52"/>
        <v>0.15211086045762157</v>
      </c>
      <c r="BZ74" s="62">
        <f t="shared" si="52"/>
        <v>7.9907693511166666E-2</v>
      </c>
      <c r="CA74" s="451">
        <f t="shared" si="53"/>
        <v>0.10878529257742442</v>
      </c>
      <c r="CB74" s="451">
        <f t="shared" si="53"/>
        <v>0.10878529257742442</v>
      </c>
      <c r="CC74" s="451">
        <f t="shared" si="53"/>
        <v>0.10878529257742442</v>
      </c>
      <c r="CD74" s="451">
        <f t="shared" si="53"/>
        <v>0.10878529257742442</v>
      </c>
      <c r="CE74" s="62">
        <f t="shared" si="53"/>
        <v>0.10878529257742442</v>
      </c>
      <c r="CF74" s="451">
        <f t="shared" si="53"/>
        <v>8.0258081638120649E-2</v>
      </c>
      <c r="CG74" s="451">
        <f t="shared" si="53"/>
        <v>8.0258081638120649E-2</v>
      </c>
      <c r="CH74" s="451">
        <f t="shared" si="53"/>
        <v>8.0258081638120649E-2</v>
      </c>
      <c r="CI74" s="451">
        <f t="shared" si="53"/>
        <v>8.0258081638120649E-2</v>
      </c>
      <c r="CJ74" s="62">
        <f t="shared" si="53"/>
        <v>8.0258081638120649E-2</v>
      </c>
      <c r="CK74" s="451">
        <f t="shared" si="54"/>
        <v>0.10831709656334021</v>
      </c>
      <c r="CL74" s="451">
        <f t="shared" si="54"/>
        <v>0.10831709656334021</v>
      </c>
      <c r="CM74" s="451">
        <f t="shared" si="54"/>
        <v>0.10831709656334021</v>
      </c>
      <c r="CN74" s="451">
        <f t="shared" si="54"/>
        <v>0.10831709656334021</v>
      </c>
      <c r="CO74" s="62">
        <f t="shared" si="54"/>
        <v>0.10831709656334021</v>
      </c>
      <c r="CP74" s="451">
        <f t="shared" si="54"/>
        <v>0.12322424960795364</v>
      </c>
      <c r="CQ74" s="451">
        <f t="shared" si="54"/>
        <v>0.12322424960795364</v>
      </c>
      <c r="CR74" s="451">
        <f t="shared" si="54"/>
        <v>0.12322424960795364</v>
      </c>
      <c r="CS74" s="451">
        <f t="shared" si="54"/>
        <v>0.12322424960795364</v>
      </c>
      <c r="CT74" s="62">
        <f t="shared" si="54"/>
        <v>0.12322424960795364</v>
      </c>
      <c r="CU74" s="451">
        <f t="shared" si="55"/>
        <v>-0.1290046229201588</v>
      </c>
      <c r="CV74" s="451">
        <f t="shared" si="55"/>
        <v>-0.1290046229201588</v>
      </c>
      <c r="CW74" s="451">
        <f t="shared" si="55"/>
        <v>-0.1290046229201588</v>
      </c>
      <c r="CX74" s="451">
        <f t="shared" si="55"/>
        <v>-0.1290046229201588</v>
      </c>
      <c r="CY74" s="62">
        <f t="shared" si="55"/>
        <v>-0.1290046229201588</v>
      </c>
      <c r="CZ74" s="451">
        <f t="shared" si="55"/>
        <v>-0.342866831091448</v>
      </c>
      <c r="DA74" s="451">
        <f t="shared" si="55"/>
        <v>-0.34286683109144789</v>
      </c>
      <c r="DB74" s="451">
        <f t="shared" si="55"/>
        <v>-0.34286683109144789</v>
      </c>
      <c r="DC74" s="451">
        <f t="shared" si="55"/>
        <v>-0.34286683109144778</v>
      </c>
      <c r="DD74" s="62">
        <f t="shared" si="55"/>
        <v>-0.34286683109144789</v>
      </c>
      <c r="DE74" s="451">
        <f t="shared" si="56"/>
        <v>-0.60229451589842953</v>
      </c>
      <c r="DF74" s="451">
        <f t="shared" si="56"/>
        <v>-0.60229451589842953</v>
      </c>
      <c r="DG74" s="451">
        <f t="shared" si="56"/>
        <v>-0.60229451589842953</v>
      </c>
      <c r="DH74" s="451">
        <f t="shared" si="56"/>
        <v>-0.60229451589842953</v>
      </c>
      <c r="DI74" s="62">
        <f t="shared" si="56"/>
        <v>-0.60229451589842953</v>
      </c>
      <c r="DJ74" s="451">
        <f t="shared" si="56"/>
        <v>-0.74967115813476115</v>
      </c>
      <c r="DK74" s="451">
        <f t="shared" si="56"/>
        <v>-0.74967115813476115</v>
      </c>
      <c r="DL74" s="451">
        <f t="shared" si="56"/>
        <v>-0.74967115813476115</v>
      </c>
      <c r="DM74" s="451">
        <f t="shared" si="56"/>
        <v>-0.74967115813476115</v>
      </c>
      <c r="DN74" s="62">
        <f t="shared" si="56"/>
        <v>-0.74967115813476115</v>
      </c>
      <c r="DO74" s="451">
        <f t="shared" si="57"/>
        <v>-0.50307805239509173</v>
      </c>
      <c r="DP74" s="451">
        <f t="shared" si="57"/>
        <v>-0.50307805239509173</v>
      </c>
      <c r="DQ74" s="451">
        <f t="shared" si="57"/>
        <v>-0.50307805239509173</v>
      </c>
      <c r="DR74" s="451">
        <f t="shared" si="57"/>
        <v>-0.50307805239509173</v>
      </c>
      <c r="DS74" s="62">
        <f t="shared" si="57"/>
        <v>-0.50307805239509173</v>
      </c>
      <c r="DT74" s="451">
        <f t="shared" si="57"/>
        <v>-0.60772666237830508</v>
      </c>
      <c r="DU74" s="451">
        <f t="shared" si="57"/>
        <v>-0.60772666237830508</v>
      </c>
      <c r="DV74" s="451">
        <f t="shared" si="57"/>
        <v>-0.60772666237830508</v>
      </c>
      <c r="DW74" s="451">
        <f t="shared" si="57"/>
        <v>-0.60772666237830508</v>
      </c>
      <c r="DX74" s="62">
        <f t="shared" si="57"/>
        <v>-0.60772666237830508</v>
      </c>
      <c r="DY74" s="451">
        <f t="shared" si="58"/>
        <v>5.1912984063284817E-3</v>
      </c>
      <c r="DZ74" s="451">
        <f t="shared" si="58"/>
        <v>5.1912984063284817E-3</v>
      </c>
      <c r="EA74" s="451">
        <f t="shared" si="58"/>
        <v>5.1912984063284817E-3</v>
      </c>
      <c r="EB74" s="451">
        <f t="shared" si="58"/>
        <v>5.1912984063284817E-3</v>
      </c>
      <c r="EC74" s="62">
        <f t="shared" si="58"/>
        <v>5.1912984063284817E-3</v>
      </c>
      <c r="ED74" s="451">
        <f t="shared" si="58"/>
        <v>2.1754058398193221E-2</v>
      </c>
      <c r="EE74" s="451">
        <f t="shared" si="58"/>
        <v>2.1754058398193221E-2</v>
      </c>
      <c r="EF74" s="451">
        <f t="shared" si="58"/>
        <v>2.1754058398193221E-2</v>
      </c>
      <c r="EG74" s="451">
        <f t="shared" si="58"/>
        <v>2.1754058398193221E-2</v>
      </c>
      <c r="EH74" s="62">
        <f t="shared" si="58"/>
        <v>2.1754058398193221E-2</v>
      </c>
      <c r="EI74" s="451">
        <f t="shared" si="59"/>
        <v>2.4374692986693924E-2</v>
      </c>
      <c r="EJ74" s="451">
        <f t="shared" si="59"/>
        <v>2.4374692986693924E-2</v>
      </c>
      <c r="EK74" s="451">
        <f t="shared" si="59"/>
        <v>2.4374692986693924E-2</v>
      </c>
      <c r="EL74" s="451">
        <f t="shared" si="59"/>
        <v>2.4374692986693924E-2</v>
      </c>
      <c r="EM74" s="62">
        <f t="shared" si="59"/>
        <v>2.4374692986693924E-2</v>
      </c>
    </row>
    <row r="75" spans="1:143" ht="6.75" customHeight="1">
      <c r="B75" s="10"/>
      <c r="C75" s="51"/>
      <c r="D75" s="61"/>
      <c r="E75" s="61"/>
      <c r="F75" s="61"/>
      <c r="G75" s="61"/>
      <c r="H75" s="62"/>
      <c r="I75" s="61"/>
      <c r="J75" s="61"/>
      <c r="K75" s="61"/>
      <c r="L75" s="61"/>
      <c r="M75" s="62"/>
      <c r="N75" s="61"/>
      <c r="O75" s="61"/>
      <c r="P75" s="61"/>
      <c r="Q75" s="61"/>
      <c r="R75" s="62"/>
      <c r="S75" s="61"/>
      <c r="T75" s="61"/>
      <c r="U75" s="61"/>
      <c r="V75" s="61"/>
      <c r="W75" s="62"/>
      <c r="X75" s="61"/>
      <c r="Y75" s="61"/>
      <c r="Z75" s="61"/>
      <c r="AA75" s="61"/>
      <c r="AB75" s="62"/>
      <c r="AC75" s="61"/>
      <c r="AD75" s="61"/>
      <c r="AE75" s="61"/>
      <c r="AF75" s="61"/>
      <c r="AG75" s="62"/>
      <c r="AH75" s="61"/>
      <c r="AI75" s="61"/>
      <c r="AJ75" s="61"/>
      <c r="AK75" s="61"/>
      <c r="AL75" s="62"/>
      <c r="AM75" s="61"/>
      <c r="AN75" s="61"/>
      <c r="AO75" s="61"/>
      <c r="AP75" s="61"/>
      <c r="AQ75" s="62"/>
      <c r="AR75" s="61"/>
      <c r="AS75" s="61"/>
      <c r="AT75" s="61"/>
      <c r="AU75" s="61"/>
      <c r="AV75" s="62"/>
      <c r="AW75" s="451"/>
      <c r="AX75" s="451"/>
      <c r="AY75" s="451"/>
      <c r="AZ75" s="451"/>
      <c r="BA75" s="62"/>
      <c r="BB75" s="451"/>
      <c r="BC75" s="451"/>
      <c r="BD75" s="451"/>
      <c r="BE75" s="451"/>
      <c r="BF75" s="62"/>
      <c r="BG75" s="451"/>
      <c r="BH75" s="451"/>
      <c r="BI75" s="451"/>
      <c r="BJ75" s="451"/>
      <c r="BK75" s="62"/>
      <c r="BL75" s="451"/>
      <c r="BM75" s="451"/>
      <c r="BN75" s="451"/>
      <c r="BO75" s="451"/>
      <c r="BP75" s="62"/>
      <c r="BQ75" s="451"/>
      <c r="BR75" s="451"/>
      <c r="BS75" s="451"/>
      <c r="BT75" s="451"/>
      <c r="BU75" s="62"/>
      <c r="BV75" s="451"/>
      <c r="BW75" s="451"/>
      <c r="BX75" s="451"/>
      <c r="BY75" s="451"/>
      <c r="BZ75" s="62"/>
      <c r="CA75" s="451"/>
      <c r="CB75" s="451"/>
      <c r="CC75" s="451"/>
      <c r="CD75" s="451"/>
      <c r="CE75" s="62"/>
      <c r="CF75" s="451"/>
      <c r="CG75" s="451"/>
      <c r="CH75" s="451"/>
      <c r="CI75" s="451"/>
      <c r="CJ75" s="62"/>
      <c r="CK75" s="451"/>
      <c r="CL75" s="451"/>
      <c r="CM75" s="451"/>
      <c r="CN75" s="451"/>
      <c r="CO75" s="62"/>
      <c r="CP75" s="451"/>
      <c r="CQ75" s="451"/>
      <c r="CR75" s="451"/>
      <c r="CS75" s="451"/>
      <c r="CT75" s="62"/>
      <c r="CU75" s="451"/>
      <c r="CV75" s="451"/>
      <c r="CW75" s="451"/>
      <c r="CX75" s="451"/>
      <c r="CY75" s="62"/>
      <c r="CZ75" s="451"/>
      <c r="DA75" s="451"/>
      <c r="DB75" s="451"/>
      <c r="DC75" s="451"/>
      <c r="DD75" s="62"/>
      <c r="DE75" s="451"/>
      <c r="DF75" s="451"/>
      <c r="DG75" s="451"/>
      <c r="DH75" s="451"/>
      <c r="DI75" s="62"/>
      <c r="DJ75" s="451"/>
      <c r="DK75" s="451"/>
      <c r="DL75" s="451"/>
      <c r="DM75" s="451"/>
      <c r="DN75" s="62"/>
      <c r="DO75" s="451"/>
      <c r="DP75" s="451"/>
      <c r="DQ75" s="451"/>
      <c r="DR75" s="451"/>
      <c r="DS75" s="62"/>
      <c r="DT75" s="451"/>
      <c r="DU75" s="451"/>
      <c r="DV75" s="451"/>
      <c r="DW75" s="451"/>
      <c r="DX75" s="62"/>
      <c r="DY75" s="451"/>
      <c r="DZ75" s="451"/>
      <c r="EA75" s="451"/>
      <c r="EB75" s="451"/>
      <c r="EC75" s="62"/>
      <c r="ED75" s="451"/>
      <c r="EE75" s="451"/>
      <c r="EF75" s="451"/>
      <c r="EG75" s="451"/>
      <c r="EH75" s="62"/>
      <c r="EI75" s="451"/>
      <c r="EJ75" s="451"/>
      <c r="EK75" s="451"/>
      <c r="EL75" s="451"/>
      <c r="EM75" s="62"/>
    </row>
    <row r="76" spans="1:143">
      <c r="B76" s="25" t="s">
        <v>129</v>
      </c>
      <c r="C76" s="51"/>
      <c r="D76" s="61"/>
      <c r="E76" s="61"/>
      <c r="F76" s="61"/>
      <c r="G76" s="61"/>
      <c r="H76" s="62"/>
      <c r="I76" s="61"/>
      <c r="J76" s="61"/>
      <c r="K76" s="61"/>
      <c r="L76" s="61"/>
      <c r="M76" s="62"/>
      <c r="N76" s="61"/>
      <c r="O76" s="61"/>
      <c r="P76" s="61"/>
      <c r="Q76" s="61"/>
      <c r="R76" s="62"/>
      <c r="S76" s="61"/>
      <c r="T76" s="61"/>
      <c r="U76" s="61"/>
      <c r="V76" s="61"/>
      <c r="W76" s="62"/>
      <c r="X76" s="61"/>
      <c r="Y76" s="61"/>
      <c r="Z76" s="61"/>
      <c r="AA76" s="61"/>
      <c r="AB76" s="62"/>
      <c r="AC76" s="61"/>
      <c r="AD76" s="61"/>
      <c r="AE76" s="61"/>
      <c r="AF76" s="61"/>
      <c r="AG76" s="62"/>
      <c r="AH76" s="61">
        <f t="shared" ref="AH76:BM76" si="60">AH9/AC9-1</f>
        <v>4.4545586107091175</v>
      </c>
      <c r="AI76" s="61">
        <f t="shared" si="60"/>
        <v>0.54180910248676173</v>
      </c>
      <c r="AJ76" s="61">
        <f t="shared" si="60"/>
        <v>0.62276683823645151</v>
      </c>
      <c r="AK76" s="61">
        <f t="shared" si="60"/>
        <v>0.67561903394818046</v>
      </c>
      <c r="AL76" s="62">
        <f t="shared" si="60"/>
        <v>0.87341067869099898</v>
      </c>
      <c r="AM76" s="61">
        <f t="shared" si="60"/>
        <v>0.59646865299408325</v>
      </c>
      <c r="AN76" s="61">
        <f t="shared" si="60"/>
        <v>0.43239248334402069</v>
      </c>
      <c r="AO76" s="61">
        <f t="shared" si="60"/>
        <v>0.37175060138123683</v>
      </c>
      <c r="AP76" s="61">
        <f t="shared" si="60"/>
        <v>0.20568481650275872</v>
      </c>
      <c r="AQ76" s="62">
        <f t="shared" si="60"/>
        <v>0.37984448077186306</v>
      </c>
      <c r="AR76" s="61">
        <f t="shared" si="60"/>
        <v>0.35679089284972365</v>
      </c>
      <c r="AS76" s="61">
        <f t="shared" si="60"/>
        <v>0.22690127700257223</v>
      </c>
      <c r="AT76" s="61">
        <f t="shared" si="60"/>
        <v>0.35171331193166555</v>
      </c>
      <c r="AU76" s="61">
        <f t="shared" si="60"/>
        <v>0.3441971834988844</v>
      </c>
      <c r="AV76" s="62">
        <f t="shared" si="60"/>
        <v>0.32009051061010441</v>
      </c>
      <c r="AW76" s="451">
        <f t="shared" si="60"/>
        <v>0.14044940379586368</v>
      </c>
      <c r="AX76" s="451">
        <f t="shared" si="60"/>
        <v>0.24489013401609183</v>
      </c>
      <c r="AY76" s="451">
        <f t="shared" si="60"/>
        <v>0.14885280547389113</v>
      </c>
      <c r="AZ76" s="451">
        <f t="shared" si="60"/>
        <v>0.14207257446414956</v>
      </c>
      <c r="BA76" s="62">
        <f t="shared" si="60"/>
        <v>0.16710547022870248</v>
      </c>
      <c r="BB76" s="451">
        <f t="shared" si="60"/>
        <v>9.6039008463289832E-2</v>
      </c>
      <c r="BC76" s="451">
        <f t="shared" si="60"/>
        <v>4.9703171961549053E-2</v>
      </c>
      <c r="BD76" s="451">
        <f t="shared" si="60"/>
        <v>3.5652977683877651E-3</v>
      </c>
      <c r="BE76" s="451">
        <f t="shared" si="60"/>
        <v>-0.22244900792824351</v>
      </c>
      <c r="BF76" s="62">
        <f t="shared" si="60"/>
        <v>-2.3555894075615647E-2</v>
      </c>
      <c r="BG76" s="451">
        <f t="shared" si="60"/>
        <v>-0.27290543851053395</v>
      </c>
      <c r="BH76" s="451">
        <f t="shared" si="60"/>
        <v>-0.28064363464268816</v>
      </c>
      <c r="BI76" s="451">
        <f t="shared" si="60"/>
        <v>-0.28402903811252278</v>
      </c>
      <c r="BJ76" s="451">
        <f t="shared" si="60"/>
        <v>-8.5119047619047539E-2</v>
      </c>
      <c r="BK76" s="62">
        <f t="shared" si="60"/>
        <v>-0.23874098034336899</v>
      </c>
      <c r="BL76" s="451">
        <f t="shared" si="60"/>
        <v>-3.2345013477089068E-2</v>
      </c>
      <c r="BM76" s="451">
        <f t="shared" si="60"/>
        <v>6.5789473684207955E-4</v>
      </c>
      <c r="BN76" s="451">
        <f t="shared" ref="BN76:CS76" si="61">BN9/BI9-1</f>
        <v>-6.4638783269961864E-2</v>
      </c>
      <c r="BO76" s="451">
        <f t="shared" si="61"/>
        <v>-4.0988939492517917E-2</v>
      </c>
      <c r="BP76" s="62">
        <f t="shared" si="61"/>
        <v>-3.4646184016996262E-2</v>
      </c>
      <c r="BQ76" s="451">
        <f t="shared" si="61"/>
        <v>2.1587743732590425E-2</v>
      </c>
      <c r="BR76" s="451">
        <f t="shared" si="61"/>
        <v>1.3149243918474607E-2</v>
      </c>
      <c r="BS76" s="451">
        <f t="shared" si="61"/>
        <v>4.8102981029810365E-2</v>
      </c>
      <c r="BT76" s="451">
        <f t="shared" si="61"/>
        <v>3.4599728629579385E-2</v>
      </c>
      <c r="BU76" s="62">
        <f t="shared" si="61"/>
        <v>2.928728627052668E-2</v>
      </c>
      <c r="BV76" s="451">
        <f t="shared" si="61"/>
        <v>7.7027948193592488E-2</v>
      </c>
      <c r="BW76" s="451">
        <f t="shared" si="61"/>
        <v>1.2329656067488592E-2</v>
      </c>
      <c r="BX76" s="451">
        <f t="shared" si="61"/>
        <v>-2.3917259211376773E-2</v>
      </c>
      <c r="BY76" s="451">
        <f t="shared" si="61"/>
        <v>6.8852459016393475E-2</v>
      </c>
      <c r="BZ76" s="62">
        <f t="shared" si="61"/>
        <v>3.289473684210531E-2</v>
      </c>
      <c r="CA76" s="451">
        <f t="shared" si="61"/>
        <v>-3.4666546579921187E-2</v>
      </c>
      <c r="CB76" s="451">
        <f t="shared" si="61"/>
        <v>-3.4781517371222925E-2</v>
      </c>
      <c r="CC76" s="451">
        <f t="shared" si="61"/>
        <v>-3.0390546818656605E-2</v>
      </c>
      <c r="CD76" s="451">
        <f t="shared" si="61"/>
        <v>-3.8737782208105531E-2</v>
      </c>
      <c r="CE76" s="62">
        <f t="shared" si="61"/>
        <v>-3.4723665826555394E-2</v>
      </c>
      <c r="CF76" s="451">
        <f t="shared" si="61"/>
        <v>-0.59812699139616832</v>
      </c>
      <c r="CG76" s="451">
        <f t="shared" si="61"/>
        <v>-0.59809762263069055</v>
      </c>
      <c r="CH76" s="451">
        <f t="shared" si="61"/>
        <v>-0.59921432956054366</v>
      </c>
      <c r="CI76" s="451">
        <f t="shared" si="61"/>
        <v>-0.5970827325428536</v>
      </c>
      <c r="CJ76" s="62">
        <f t="shared" si="61"/>
        <v>-0.59811240141899757</v>
      </c>
      <c r="CK76" s="451">
        <f t="shared" si="61"/>
        <v>-0.79244449576614051</v>
      </c>
      <c r="CL76" s="451">
        <f t="shared" si="61"/>
        <v>-0.79234472781767296</v>
      </c>
      <c r="CM76" s="451">
        <f t="shared" si="61"/>
        <v>-0.79614855882725744</v>
      </c>
      <c r="CN76" s="451">
        <f t="shared" si="61"/>
        <v>-0.78890600381708853</v>
      </c>
      <c r="CO76" s="62">
        <f t="shared" si="61"/>
        <v>-0.79239493067224998</v>
      </c>
      <c r="CP76" s="451">
        <f t="shared" si="61"/>
        <v>-0.93617128141340999</v>
      </c>
      <c r="CQ76" s="451">
        <f t="shared" si="61"/>
        <v>-0.93558046645730208</v>
      </c>
      <c r="CR76" s="451">
        <f t="shared" si="61"/>
        <v>-0.95851564483893192</v>
      </c>
      <c r="CS76" s="451">
        <f t="shared" si="61"/>
        <v>-0.91555806651123861</v>
      </c>
      <c r="CT76" s="62">
        <f t="shared" ref="CT76:DY76" si="62">CT9/CO9-1</f>
        <v>-0.93587769133161569</v>
      </c>
      <c r="CU76" s="451">
        <f t="shared" si="62"/>
        <v>4.0586201339646744E-2</v>
      </c>
      <c r="CV76" s="451">
        <f t="shared" si="62"/>
        <v>4.068398215514657E-2</v>
      </c>
      <c r="CW76" s="451">
        <f t="shared" si="62"/>
        <v>3.4843669751353001E-2</v>
      </c>
      <c r="CX76" s="451">
        <f t="shared" si="62"/>
        <v>4.3188800661114302E-2</v>
      </c>
      <c r="CY76" s="62">
        <f t="shared" si="62"/>
        <v>4.0635016191958639E-2</v>
      </c>
      <c r="CZ76" s="451">
        <f t="shared" si="62"/>
        <v>4.0890171325804525E-2</v>
      </c>
      <c r="DA76" s="451">
        <f t="shared" si="62"/>
        <v>4.098588740343545E-2</v>
      </c>
      <c r="DB76" s="451">
        <f t="shared" si="62"/>
        <v>3.5237174341082422E-2</v>
      </c>
      <c r="DC76" s="451">
        <f t="shared" si="62"/>
        <v>4.3431697019748361E-2</v>
      </c>
      <c r="DD76" s="62">
        <f t="shared" si="62"/>
        <v>4.0937957653037538E-2</v>
      </c>
      <c r="DE76" s="451">
        <f t="shared" si="62"/>
        <v>4.118766374569538E-2</v>
      </c>
      <c r="DF76" s="451">
        <f t="shared" si="62"/>
        <v>4.128130415745801E-2</v>
      </c>
      <c r="DG76" s="451">
        <f t="shared" si="62"/>
        <v>3.5626545130063692E-2</v>
      </c>
      <c r="DH76" s="451">
        <f t="shared" si="62"/>
        <v>4.366824662833535E-2</v>
      </c>
      <c r="DI76" s="62">
        <f t="shared" si="62"/>
        <v>4.1234415947702274E-2</v>
      </c>
      <c r="DJ76" s="451">
        <f t="shared" si="62"/>
        <v>4.147864844537108E-2</v>
      </c>
      <c r="DK76" s="451">
        <f t="shared" si="62"/>
        <v>4.1570206045599134E-2</v>
      </c>
      <c r="DL76" s="451">
        <f t="shared" si="62"/>
        <v>3.6011534293933778E-2</v>
      </c>
      <c r="DM76" s="451">
        <f t="shared" si="62"/>
        <v>4.3898509495992499E-2</v>
      </c>
      <c r="DN76" s="62">
        <f t="shared" si="62"/>
        <v>4.1524362812685567E-2</v>
      </c>
      <c r="DO76" s="451">
        <f t="shared" si="62"/>
        <v>4.1763106961502316E-2</v>
      </c>
      <c r="DP76" s="451">
        <f t="shared" si="62"/>
        <v>4.1852578241970972E-2</v>
      </c>
      <c r="DQ76" s="451">
        <f t="shared" si="62"/>
        <v>3.639190662008529E-2</v>
      </c>
      <c r="DR76" s="451">
        <f t="shared" si="62"/>
        <v>4.4122552471646204E-2</v>
      </c>
      <c r="DS76" s="62">
        <f t="shared" si="62"/>
        <v>4.1807781603455885E-2</v>
      </c>
      <c r="DT76" s="451">
        <f t="shared" si="62"/>
        <v>4.204103205931542E-2</v>
      </c>
      <c r="DU76" s="451">
        <f t="shared" si="62"/>
        <v>4.212841699677794E-2</v>
      </c>
      <c r="DV76" s="451">
        <f t="shared" si="62"/>
        <v>3.6767439942943847E-2</v>
      </c>
      <c r="DW76" s="451">
        <f t="shared" si="62"/>
        <v>4.4340448718245939E-2</v>
      </c>
      <c r="DX76" s="62">
        <f t="shared" si="62"/>
        <v>4.2084666828327233E-2</v>
      </c>
      <c r="DY76" s="451">
        <f t="shared" si="62"/>
        <v>4.2312427248260009E-2</v>
      </c>
      <c r="DZ76" s="451">
        <f t="shared" ref="DZ76:EM76" si="63">DZ9/DU9-1</f>
        <v>4.2397729145758012E-2</v>
      </c>
      <c r="EA76" s="451">
        <f t="shared" si="63"/>
        <v>3.7137925505542846E-2</v>
      </c>
      <c r="EB76" s="451">
        <f t="shared" si="63"/>
        <v>4.4552277195765377E-2</v>
      </c>
      <c r="EC76" s="62">
        <f t="shared" si="63"/>
        <v>4.2355023660971325E-2</v>
      </c>
      <c r="ED76" s="451">
        <f t="shared" si="63"/>
        <v>4.2577306279566685E-2</v>
      </c>
      <c r="EE76" s="451">
        <f t="shared" si="63"/>
        <v>4.2660531602801921E-2</v>
      </c>
      <c r="EF76" s="451">
        <f t="shared" si="63"/>
        <v>3.7503168247560836E-2</v>
      </c>
      <c r="EG76" s="451">
        <f t="shared" si="63"/>
        <v>4.4758122155047264E-2</v>
      </c>
      <c r="EH76" s="62">
        <f t="shared" si="63"/>
        <v>4.2618867435461061E-2</v>
      </c>
      <c r="EI76" s="451">
        <f t="shared" si="63"/>
        <v>4.2835692629688005E-2</v>
      </c>
      <c r="EJ76" s="451">
        <f t="shared" si="63"/>
        <v>4.2916850839704868E-2</v>
      </c>
      <c r="EK76" s="451">
        <f t="shared" si="63"/>
        <v>3.7862987020641947E-2</v>
      </c>
      <c r="EL76" s="451">
        <f t="shared" si="63"/>
        <v>4.4958072644326386E-2</v>
      </c>
      <c r="EM76" s="62">
        <f t="shared" si="63"/>
        <v>4.2876223127826574E-2</v>
      </c>
    </row>
    <row r="77" spans="1:143">
      <c r="B77" s="10" t="s">
        <v>181</v>
      </c>
      <c r="C77" s="51"/>
      <c r="D77" s="61"/>
      <c r="E77" s="61"/>
      <c r="F77" s="61"/>
      <c r="G77" s="61"/>
      <c r="H77" s="62"/>
      <c r="I77" s="61"/>
      <c r="J77" s="61"/>
      <c r="K77" s="61"/>
      <c r="L77" s="61"/>
      <c r="M77" s="62"/>
      <c r="N77" s="61"/>
      <c r="O77" s="61"/>
      <c r="P77" s="61"/>
      <c r="Q77" s="61"/>
      <c r="R77" s="62"/>
      <c r="S77" s="61"/>
      <c r="T77" s="61"/>
      <c r="U77" s="61"/>
      <c r="V77" s="61"/>
      <c r="W77" s="62"/>
      <c r="X77" s="61"/>
      <c r="Y77" s="61"/>
      <c r="Z77" s="61"/>
      <c r="AA77" s="61"/>
      <c r="AB77" s="62"/>
      <c r="AC77" s="61"/>
      <c r="AD77" s="61"/>
      <c r="AE77" s="61"/>
      <c r="AF77" s="61"/>
      <c r="AG77" s="62"/>
      <c r="AH77" s="61"/>
      <c r="AI77" s="61"/>
      <c r="AJ77" s="61"/>
      <c r="AK77" s="61"/>
      <c r="AL77" s="62"/>
      <c r="AM77" s="61"/>
      <c r="AN77" s="61"/>
      <c r="AO77" s="61"/>
      <c r="AP77" s="61"/>
      <c r="AQ77" s="62"/>
      <c r="AR77" s="61"/>
      <c r="AS77" s="61"/>
      <c r="AT77" s="61">
        <f t="shared" ref="AT77:BC78" si="64">AT10/AO10-1</f>
        <v>8.9552238805970186E-2</v>
      </c>
      <c r="AU77" s="61">
        <f t="shared" si="64"/>
        <v>0.18999999999999995</v>
      </c>
      <c r="AV77" s="62">
        <f t="shared" si="64"/>
        <v>0.15999999999999992</v>
      </c>
      <c r="AW77" s="451">
        <f t="shared" si="64"/>
        <v>4.2253521126760507E-2</v>
      </c>
      <c r="AX77" s="451">
        <f t="shared" si="64"/>
        <v>0.13888888888888884</v>
      </c>
      <c r="AY77" s="451">
        <f t="shared" si="64"/>
        <v>0.13698630136986312</v>
      </c>
      <c r="AZ77" s="451">
        <f t="shared" si="64"/>
        <v>2.3255813953488413E-2</v>
      </c>
      <c r="BA77" s="62">
        <f t="shared" si="64"/>
        <v>8.2781456953642474E-2</v>
      </c>
      <c r="BB77" s="451">
        <f t="shared" si="64"/>
        <v>0.17567567567567566</v>
      </c>
      <c r="BC77" s="451">
        <f t="shared" si="64"/>
        <v>2.4390243902439046E-2</v>
      </c>
      <c r="BD77" s="451">
        <f t="shared" ref="BD77:BM78" si="65">BD10/AY10-1</f>
        <v>-6.9879518072289093E-2</v>
      </c>
      <c r="BE77" s="451">
        <f t="shared" si="65"/>
        <v>-0.69318181818181812</v>
      </c>
      <c r="BF77" s="62">
        <f t="shared" si="65"/>
        <v>-0.1584097859327217</v>
      </c>
      <c r="BG77" s="451">
        <f t="shared" si="65"/>
        <v>-0.83218390804597697</v>
      </c>
      <c r="BH77" s="451">
        <f t="shared" si="65"/>
        <v>-0.88452380952380949</v>
      </c>
      <c r="BI77" s="451">
        <f t="shared" si="65"/>
        <v>-0.87435233160621761</v>
      </c>
      <c r="BJ77" s="451">
        <f t="shared" si="65"/>
        <v>-0.67407407407407405</v>
      </c>
      <c r="BK77" s="62">
        <f t="shared" si="65"/>
        <v>-0.84447674418604657</v>
      </c>
      <c r="BL77" s="451">
        <f t="shared" si="65"/>
        <v>-0.59589041095890405</v>
      </c>
      <c r="BM77" s="451">
        <f t="shared" si="65"/>
        <v>-0.42268041237113396</v>
      </c>
      <c r="BN77" s="451">
        <f t="shared" ref="BN77:BW78" si="66">BN10/BI10-1</f>
        <v>-0.49484536082474218</v>
      </c>
      <c r="BO77" s="451">
        <f t="shared" si="66"/>
        <v>-0.45454545454545459</v>
      </c>
      <c r="BP77" s="62">
        <f t="shared" si="66"/>
        <v>-0.50467289719626174</v>
      </c>
      <c r="BQ77" s="451">
        <f t="shared" si="66"/>
        <v>-0.40677966101694918</v>
      </c>
      <c r="BR77" s="451">
        <f t="shared" si="66"/>
        <v>-0.3571428571428571</v>
      </c>
      <c r="BS77" s="451">
        <f t="shared" si="66"/>
        <v>-0.44897959183673475</v>
      </c>
      <c r="BT77" s="451">
        <f t="shared" si="66"/>
        <v>-0.5625</v>
      </c>
      <c r="BU77" s="62">
        <f t="shared" si="66"/>
        <v>-0.43867924528301883</v>
      </c>
      <c r="BV77" s="451">
        <f t="shared" si="66"/>
        <v>-0.4285714285714286</v>
      </c>
      <c r="BW77" s="451">
        <f t="shared" si="66"/>
        <v>-0.44444444444444442</v>
      </c>
      <c r="BX77" s="451">
        <f t="shared" ref="BX77:CG78" si="67">BX10/BS10-1</f>
        <v>-0.62962962962962965</v>
      </c>
      <c r="BY77" s="451">
        <f t="shared" si="67"/>
        <v>0.4285714285714286</v>
      </c>
      <c r="BZ77" s="62">
        <f t="shared" si="67"/>
        <v>-0.32773109243697485</v>
      </c>
      <c r="CA77" s="451">
        <f t="shared" si="67"/>
        <v>-0.7341488408601351</v>
      </c>
      <c r="CB77" s="451">
        <f t="shared" si="67"/>
        <v>-0.7341488408601351</v>
      </c>
      <c r="CC77" s="451">
        <f t="shared" si="67"/>
        <v>-0.7341488408601351</v>
      </c>
      <c r="CD77" s="451">
        <f t="shared" si="67"/>
        <v>-0.7341488408601351</v>
      </c>
      <c r="CE77" s="62">
        <f t="shared" si="67"/>
        <v>-0.7341488408601351</v>
      </c>
      <c r="CF77" s="451">
        <f t="shared" si="67"/>
        <v>5.06000000000002E-2</v>
      </c>
      <c r="CG77" s="451">
        <f t="shared" si="67"/>
        <v>5.06000000000002E-2</v>
      </c>
      <c r="CH77" s="451">
        <f t="shared" ref="CH77:CQ78" si="68">CH10/CC10-1</f>
        <v>5.06000000000002E-2</v>
      </c>
      <c r="CI77" s="451">
        <f t="shared" si="68"/>
        <v>5.06000000000002E-2</v>
      </c>
      <c r="CJ77" s="62">
        <f t="shared" si="68"/>
        <v>5.06000000000002E-2</v>
      </c>
      <c r="CK77" s="451">
        <f t="shared" si="68"/>
        <v>5.0599999999999978E-2</v>
      </c>
      <c r="CL77" s="451">
        <f t="shared" si="68"/>
        <v>5.0599999999999978E-2</v>
      </c>
      <c r="CM77" s="451">
        <f t="shared" si="68"/>
        <v>5.0599999999999978E-2</v>
      </c>
      <c r="CN77" s="451">
        <f t="shared" si="68"/>
        <v>5.0599999999999978E-2</v>
      </c>
      <c r="CO77" s="62">
        <f t="shared" si="68"/>
        <v>5.0599999999999978E-2</v>
      </c>
      <c r="CP77" s="451">
        <f t="shared" si="68"/>
        <v>5.06000000000002E-2</v>
      </c>
      <c r="CQ77" s="451">
        <f t="shared" si="68"/>
        <v>5.06000000000002E-2</v>
      </c>
      <c r="CR77" s="451">
        <f t="shared" ref="CR77:DA78" si="69">CR10/CM10-1</f>
        <v>5.06000000000002E-2</v>
      </c>
      <c r="CS77" s="451">
        <f t="shared" si="69"/>
        <v>5.06000000000002E-2</v>
      </c>
      <c r="CT77" s="62">
        <f t="shared" si="69"/>
        <v>5.06000000000002E-2</v>
      </c>
      <c r="CU77" s="451">
        <f t="shared" si="69"/>
        <v>5.06000000000002E-2</v>
      </c>
      <c r="CV77" s="451">
        <f t="shared" si="69"/>
        <v>5.06000000000002E-2</v>
      </c>
      <c r="CW77" s="451">
        <f t="shared" si="69"/>
        <v>5.06000000000002E-2</v>
      </c>
      <c r="CX77" s="451">
        <f t="shared" si="69"/>
        <v>5.06000000000002E-2</v>
      </c>
      <c r="CY77" s="62">
        <f t="shared" si="69"/>
        <v>5.06000000000002E-2</v>
      </c>
      <c r="CZ77" s="451">
        <f t="shared" si="69"/>
        <v>5.06000000000002E-2</v>
      </c>
      <c r="DA77" s="451">
        <f t="shared" si="69"/>
        <v>5.06000000000002E-2</v>
      </c>
      <c r="DB77" s="451">
        <f t="shared" ref="DB77:DK78" si="70">DB10/CW10-1</f>
        <v>5.06000000000002E-2</v>
      </c>
      <c r="DC77" s="451">
        <f t="shared" si="70"/>
        <v>5.06000000000002E-2</v>
      </c>
      <c r="DD77" s="62">
        <f t="shared" si="70"/>
        <v>5.06000000000002E-2</v>
      </c>
      <c r="DE77" s="451">
        <f t="shared" si="70"/>
        <v>5.0599999999999978E-2</v>
      </c>
      <c r="DF77" s="451">
        <f t="shared" si="70"/>
        <v>5.0599999999999978E-2</v>
      </c>
      <c r="DG77" s="451">
        <f t="shared" si="70"/>
        <v>5.0599999999999978E-2</v>
      </c>
      <c r="DH77" s="451">
        <f t="shared" si="70"/>
        <v>5.0599999999999978E-2</v>
      </c>
      <c r="DI77" s="62">
        <f t="shared" si="70"/>
        <v>5.0599999999999978E-2</v>
      </c>
      <c r="DJ77" s="451">
        <f t="shared" si="70"/>
        <v>5.06000000000002E-2</v>
      </c>
      <c r="DK77" s="451">
        <f t="shared" si="70"/>
        <v>5.06000000000002E-2</v>
      </c>
      <c r="DL77" s="451">
        <f t="shared" ref="DL77:DU78" si="71">DL10/DG10-1</f>
        <v>5.06000000000002E-2</v>
      </c>
      <c r="DM77" s="451">
        <f t="shared" si="71"/>
        <v>5.06000000000002E-2</v>
      </c>
      <c r="DN77" s="62">
        <f t="shared" si="71"/>
        <v>5.06000000000002E-2</v>
      </c>
      <c r="DO77" s="451">
        <f t="shared" si="71"/>
        <v>5.06000000000002E-2</v>
      </c>
      <c r="DP77" s="451">
        <f t="shared" si="71"/>
        <v>5.06000000000002E-2</v>
      </c>
      <c r="DQ77" s="451">
        <f t="shared" si="71"/>
        <v>5.06000000000002E-2</v>
      </c>
      <c r="DR77" s="451">
        <f t="shared" si="71"/>
        <v>5.06000000000002E-2</v>
      </c>
      <c r="DS77" s="62">
        <f t="shared" si="71"/>
        <v>5.06000000000002E-2</v>
      </c>
      <c r="DT77" s="451">
        <f t="shared" si="71"/>
        <v>5.0599999999999756E-2</v>
      </c>
      <c r="DU77" s="451">
        <f t="shared" si="71"/>
        <v>5.0599999999999756E-2</v>
      </c>
      <c r="DV77" s="451">
        <f t="shared" ref="DV77:EE78" si="72">DV10/DQ10-1</f>
        <v>5.0599999999999756E-2</v>
      </c>
      <c r="DW77" s="451">
        <f t="shared" si="72"/>
        <v>5.0599999999999756E-2</v>
      </c>
      <c r="DX77" s="62">
        <f t="shared" si="72"/>
        <v>5.0599999999999756E-2</v>
      </c>
      <c r="DY77" s="451">
        <f t="shared" si="72"/>
        <v>5.06000000000002E-2</v>
      </c>
      <c r="DZ77" s="451">
        <f t="shared" si="72"/>
        <v>5.06000000000002E-2</v>
      </c>
      <c r="EA77" s="451">
        <f t="shared" si="72"/>
        <v>5.06000000000002E-2</v>
      </c>
      <c r="EB77" s="451">
        <f t="shared" si="72"/>
        <v>5.06000000000002E-2</v>
      </c>
      <c r="EC77" s="62">
        <f t="shared" si="72"/>
        <v>5.06000000000002E-2</v>
      </c>
      <c r="ED77" s="451">
        <f t="shared" si="72"/>
        <v>5.06000000000002E-2</v>
      </c>
      <c r="EE77" s="451">
        <f t="shared" si="72"/>
        <v>5.06000000000002E-2</v>
      </c>
      <c r="EF77" s="451">
        <f t="shared" ref="EF77:EM78" si="73">EF10/EA10-1</f>
        <v>5.06000000000002E-2</v>
      </c>
      <c r="EG77" s="451">
        <f t="shared" si="73"/>
        <v>5.06000000000002E-2</v>
      </c>
      <c r="EH77" s="62">
        <f t="shared" si="73"/>
        <v>5.06000000000002E-2</v>
      </c>
      <c r="EI77" s="451">
        <f t="shared" si="73"/>
        <v>5.0599999999999978E-2</v>
      </c>
      <c r="EJ77" s="451">
        <f t="shared" si="73"/>
        <v>5.0599999999999978E-2</v>
      </c>
      <c r="EK77" s="451">
        <f t="shared" si="73"/>
        <v>5.0599999999999978E-2</v>
      </c>
      <c r="EL77" s="451">
        <f t="shared" si="73"/>
        <v>5.0599999999999978E-2</v>
      </c>
      <c r="EM77" s="62">
        <f t="shared" si="73"/>
        <v>5.0599999999999978E-2</v>
      </c>
    </row>
    <row r="78" spans="1:143">
      <c r="B78" s="10" t="s">
        <v>76</v>
      </c>
      <c r="C78" s="51"/>
      <c r="D78" s="61"/>
      <c r="E78" s="61"/>
      <c r="F78" s="61"/>
      <c r="G78" s="61"/>
      <c r="H78" s="62"/>
      <c r="I78" s="61"/>
      <c r="J78" s="61"/>
      <c r="K78" s="61"/>
      <c r="L78" s="61"/>
      <c r="M78" s="62"/>
      <c r="N78" s="61"/>
      <c r="O78" s="61"/>
      <c r="P78" s="61"/>
      <c r="Q78" s="61"/>
      <c r="R78" s="62"/>
      <c r="S78" s="61"/>
      <c r="T78" s="61"/>
      <c r="U78" s="61"/>
      <c r="V78" s="61"/>
      <c r="W78" s="62"/>
      <c r="X78" s="61"/>
      <c r="Y78" s="61"/>
      <c r="Z78" s="61"/>
      <c r="AA78" s="61"/>
      <c r="AB78" s="62"/>
      <c r="AC78" s="61"/>
      <c r="AD78" s="61"/>
      <c r="AE78" s="61"/>
      <c r="AF78" s="61"/>
      <c r="AG78" s="62"/>
      <c r="AH78" s="61"/>
      <c r="AI78" s="61"/>
      <c r="AJ78" s="61"/>
      <c r="AK78" s="61"/>
      <c r="AL78" s="62"/>
      <c r="AM78" s="61"/>
      <c r="AN78" s="61"/>
      <c r="AO78" s="61"/>
      <c r="AP78" s="61"/>
      <c r="AQ78" s="62"/>
      <c r="AR78" s="61"/>
      <c r="AS78" s="61"/>
      <c r="AT78" s="61">
        <f t="shared" si="64"/>
        <v>0.58772943484453544</v>
      </c>
      <c r="AU78" s="61">
        <f t="shared" si="64"/>
        <v>0.50694230868826828</v>
      </c>
      <c r="AV78" s="62">
        <f t="shared" si="64"/>
        <v>0.4722264668099394</v>
      </c>
      <c r="AW78" s="451">
        <f t="shared" si="64"/>
        <v>0.21599861296230105</v>
      </c>
      <c r="AX78" s="451">
        <f t="shared" si="64"/>
        <v>0.32997759122378656</v>
      </c>
      <c r="AY78" s="451">
        <f t="shared" si="64"/>
        <v>0.15618388314348075</v>
      </c>
      <c r="AZ78" s="451">
        <f t="shared" si="64"/>
        <v>0.24110093521345277</v>
      </c>
      <c r="BA78" s="62">
        <f t="shared" si="64"/>
        <v>0.23024493773042742</v>
      </c>
      <c r="BB78" s="451">
        <f t="shared" si="64"/>
        <v>4.3523205247023578E-2</v>
      </c>
      <c r="BC78" s="451">
        <f t="shared" si="64"/>
        <v>6.7102560878494755E-2</v>
      </c>
      <c r="BD78" s="451">
        <f t="shared" si="65"/>
        <v>4.818580410929818E-2</v>
      </c>
      <c r="BE78" s="451">
        <f t="shared" si="65"/>
        <v>0.10102059142765585</v>
      </c>
      <c r="BF78" s="62">
        <f t="shared" si="65"/>
        <v>6.5315574043059987E-2</v>
      </c>
      <c r="BG78" s="451">
        <f t="shared" si="65"/>
        <v>0.142613151152861</v>
      </c>
      <c r="BH78" s="451">
        <f t="shared" si="65"/>
        <v>0.11783189316575027</v>
      </c>
      <c r="BI78" s="451">
        <f t="shared" si="65"/>
        <v>3.4217877094972149E-2</v>
      </c>
      <c r="BJ78" s="451">
        <f t="shared" si="65"/>
        <v>2.7659574468085202E-2</v>
      </c>
      <c r="BK78" s="62">
        <f t="shared" si="65"/>
        <v>7.6617480136208949E-2</v>
      </c>
      <c r="BL78" s="451">
        <f t="shared" si="65"/>
        <v>2.914798206278002E-2</v>
      </c>
      <c r="BM78" s="451">
        <f t="shared" si="65"/>
        <v>2.9515108924806688E-2</v>
      </c>
      <c r="BN78" s="451">
        <f t="shared" si="66"/>
        <v>-3.6461850101283E-2</v>
      </c>
      <c r="BO78" s="451">
        <f t="shared" si="66"/>
        <v>-1.5873015873015928E-2</v>
      </c>
      <c r="BP78" s="62">
        <f t="shared" si="66"/>
        <v>7.0286417149878488E-4</v>
      </c>
      <c r="BQ78" s="451">
        <f t="shared" si="66"/>
        <v>3.9941902687000708E-2</v>
      </c>
      <c r="BR78" s="451">
        <f t="shared" si="66"/>
        <v>2.7303754266211566E-2</v>
      </c>
      <c r="BS78" s="451">
        <f t="shared" si="66"/>
        <v>6.5171688857743604E-2</v>
      </c>
      <c r="BT78" s="451">
        <f t="shared" si="66"/>
        <v>5.4698457223001595E-2</v>
      </c>
      <c r="BU78" s="62">
        <f t="shared" si="66"/>
        <v>4.6707638279192221E-2</v>
      </c>
      <c r="BV78" s="451">
        <f t="shared" si="66"/>
        <v>8.9385474860335323E-2</v>
      </c>
      <c r="BW78" s="451">
        <f t="shared" si="66"/>
        <v>2.3255813953488413E-2</v>
      </c>
      <c r="BX78" s="451">
        <f t="shared" si="67"/>
        <v>-1.3157894736842146E-2</v>
      </c>
      <c r="BY78" s="451">
        <f t="shared" si="67"/>
        <v>6.3829787234042534E-2</v>
      </c>
      <c r="BZ78" s="62">
        <f t="shared" si="67"/>
        <v>4.0093943969132573E-2</v>
      </c>
      <c r="CA78" s="451">
        <f t="shared" si="67"/>
        <v>-2.5698824858380043E-2</v>
      </c>
      <c r="CB78" s="451">
        <f t="shared" si="67"/>
        <v>-2.5698824858380043E-2</v>
      </c>
      <c r="CC78" s="451">
        <f t="shared" si="67"/>
        <v>-2.5698824858379932E-2</v>
      </c>
      <c r="CD78" s="451">
        <f t="shared" si="67"/>
        <v>-2.5698824858380043E-2</v>
      </c>
      <c r="CE78" s="62">
        <f t="shared" si="67"/>
        <v>-2.5698824858380043E-2</v>
      </c>
      <c r="CF78" s="451">
        <f t="shared" si="67"/>
        <v>-0.60039639999999994</v>
      </c>
      <c r="CG78" s="451">
        <f t="shared" si="67"/>
        <v>-0.60039639999999994</v>
      </c>
      <c r="CH78" s="451">
        <f t="shared" si="68"/>
        <v>-0.60039639999999994</v>
      </c>
      <c r="CI78" s="451">
        <f t="shared" si="68"/>
        <v>-0.60039639999999994</v>
      </c>
      <c r="CJ78" s="62">
        <f t="shared" si="68"/>
        <v>-0.60039639999999994</v>
      </c>
      <c r="CK78" s="451">
        <f t="shared" si="68"/>
        <v>-0.80019819999999997</v>
      </c>
      <c r="CL78" s="451">
        <f t="shared" si="68"/>
        <v>-0.80019819999999997</v>
      </c>
      <c r="CM78" s="451">
        <f t="shared" si="68"/>
        <v>-0.80019819999999997</v>
      </c>
      <c r="CN78" s="451">
        <f t="shared" si="68"/>
        <v>-0.80019819999999997</v>
      </c>
      <c r="CO78" s="62">
        <f t="shared" si="68"/>
        <v>-0.80019819999999997</v>
      </c>
      <c r="CP78" s="451">
        <f t="shared" si="68"/>
        <v>-0.98389268789437567</v>
      </c>
      <c r="CQ78" s="451">
        <f t="shared" si="68"/>
        <v>-0.98389268789437567</v>
      </c>
      <c r="CR78" s="451">
        <f t="shared" si="69"/>
        <v>-0.98389268789437567</v>
      </c>
      <c r="CS78" s="451">
        <f t="shared" si="69"/>
        <v>-0.98389268789437567</v>
      </c>
      <c r="CT78" s="62">
        <f t="shared" si="69"/>
        <v>-0.98389268789437567</v>
      </c>
      <c r="CU78" s="451">
        <f t="shared" si="69"/>
        <v>8.9990900000003204E-3</v>
      </c>
      <c r="CV78" s="451">
        <f t="shared" si="69"/>
        <v>8.9990900000003204E-3</v>
      </c>
      <c r="CW78" s="451">
        <f t="shared" si="69"/>
        <v>8.9990900000003204E-3</v>
      </c>
      <c r="CX78" s="451">
        <f t="shared" si="69"/>
        <v>8.9990900000003204E-3</v>
      </c>
      <c r="CY78" s="62">
        <f t="shared" si="69"/>
        <v>8.9990900000003204E-3</v>
      </c>
      <c r="CZ78" s="451">
        <f t="shared" si="69"/>
        <v>8.9990900000000984E-3</v>
      </c>
      <c r="DA78" s="451">
        <f t="shared" si="69"/>
        <v>8.9990900000000984E-3</v>
      </c>
      <c r="DB78" s="451">
        <f t="shared" si="70"/>
        <v>8.9990900000000984E-3</v>
      </c>
      <c r="DC78" s="451">
        <f t="shared" si="70"/>
        <v>8.9990900000000984E-3</v>
      </c>
      <c r="DD78" s="62">
        <f t="shared" si="70"/>
        <v>8.9990900000000984E-3</v>
      </c>
      <c r="DE78" s="451">
        <f t="shared" si="70"/>
        <v>8.9990900000003204E-3</v>
      </c>
      <c r="DF78" s="451">
        <f t="shared" si="70"/>
        <v>8.9990900000003204E-3</v>
      </c>
      <c r="DG78" s="451">
        <f t="shared" si="70"/>
        <v>8.9990900000003204E-3</v>
      </c>
      <c r="DH78" s="451">
        <f t="shared" si="70"/>
        <v>8.9990900000003204E-3</v>
      </c>
      <c r="DI78" s="62">
        <f t="shared" si="70"/>
        <v>8.9990900000003204E-3</v>
      </c>
      <c r="DJ78" s="451">
        <f t="shared" si="70"/>
        <v>8.9990900000000984E-3</v>
      </c>
      <c r="DK78" s="451">
        <f t="shared" si="70"/>
        <v>8.9990900000000984E-3</v>
      </c>
      <c r="DL78" s="451">
        <f t="shared" si="71"/>
        <v>8.9990900000000984E-3</v>
      </c>
      <c r="DM78" s="451">
        <f t="shared" si="71"/>
        <v>8.9990900000000984E-3</v>
      </c>
      <c r="DN78" s="62">
        <f t="shared" si="71"/>
        <v>8.9990900000000984E-3</v>
      </c>
      <c r="DO78" s="451">
        <f t="shared" si="71"/>
        <v>8.9990900000000984E-3</v>
      </c>
      <c r="DP78" s="451">
        <f t="shared" si="71"/>
        <v>8.9990900000000984E-3</v>
      </c>
      <c r="DQ78" s="451">
        <f t="shared" si="71"/>
        <v>8.9990900000000984E-3</v>
      </c>
      <c r="DR78" s="451">
        <f t="shared" si="71"/>
        <v>8.9990900000000984E-3</v>
      </c>
      <c r="DS78" s="62">
        <f t="shared" si="71"/>
        <v>8.9990900000000984E-3</v>
      </c>
      <c r="DT78" s="451">
        <f t="shared" si="71"/>
        <v>8.9990900000003204E-3</v>
      </c>
      <c r="DU78" s="451">
        <f t="shared" si="71"/>
        <v>8.9990900000003204E-3</v>
      </c>
      <c r="DV78" s="451">
        <f t="shared" si="72"/>
        <v>8.9990900000003204E-3</v>
      </c>
      <c r="DW78" s="451">
        <f t="shared" si="72"/>
        <v>8.9990900000003204E-3</v>
      </c>
      <c r="DX78" s="62">
        <f t="shared" si="72"/>
        <v>8.9990900000003204E-3</v>
      </c>
      <c r="DY78" s="451">
        <f t="shared" si="72"/>
        <v>8.9990900000000984E-3</v>
      </c>
      <c r="DZ78" s="451">
        <f t="shared" si="72"/>
        <v>8.9990900000000984E-3</v>
      </c>
      <c r="EA78" s="451">
        <f t="shared" si="72"/>
        <v>8.9990900000000984E-3</v>
      </c>
      <c r="EB78" s="451">
        <f t="shared" si="72"/>
        <v>8.9990900000000984E-3</v>
      </c>
      <c r="EC78" s="62">
        <f t="shared" si="72"/>
        <v>8.9990900000000984E-3</v>
      </c>
      <c r="ED78" s="451">
        <f t="shared" si="72"/>
        <v>8.9990900000000984E-3</v>
      </c>
      <c r="EE78" s="451">
        <f t="shared" si="72"/>
        <v>8.9990900000000984E-3</v>
      </c>
      <c r="EF78" s="451">
        <f t="shared" si="73"/>
        <v>8.9990900000000984E-3</v>
      </c>
      <c r="EG78" s="451">
        <f t="shared" si="73"/>
        <v>8.9990900000000984E-3</v>
      </c>
      <c r="EH78" s="62">
        <f t="shared" si="73"/>
        <v>8.9990900000000984E-3</v>
      </c>
      <c r="EI78" s="451">
        <f t="shared" si="73"/>
        <v>8.9990900000003204E-3</v>
      </c>
      <c r="EJ78" s="451">
        <f t="shared" si="73"/>
        <v>8.9990900000003204E-3</v>
      </c>
      <c r="EK78" s="451">
        <f t="shared" si="73"/>
        <v>8.9990900000003204E-3</v>
      </c>
      <c r="EL78" s="451">
        <f t="shared" si="73"/>
        <v>8.9990900000003204E-3</v>
      </c>
      <c r="EM78" s="62">
        <f t="shared" si="73"/>
        <v>8.9990900000003204E-3</v>
      </c>
    </row>
    <row r="79" spans="1:143" ht="6.75" customHeight="1">
      <c r="B79" s="10"/>
      <c r="C79" s="51"/>
      <c r="D79" s="61"/>
      <c r="E79" s="61"/>
      <c r="F79" s="61"/>
      <c r="G79" s="61"/>
      <c r="H79" s="62"/>
      <c r="I79" s="61"/>
      <c r="J79" s="61"/>
      <c r="K79" s="61"/>
      <c r="L79" s="61"/>
      <c r="M79" s="62"/>
      <c r="N79" s="61"/>
      <c r="O79" s="61"/>
      <c r="P79" s="61"/>
      <c r="Q79" s="61"/>
      <c r="R79" s="62"/>
      <c r="S79" s="61"/>
      <c r="T79" s="61"/>
      <c r="U79" s="61"/>
      <c r="V79" s="61"/>
      <c r="W79" s="62"/>
      <c r="X79" s="61"/>
      <c r="Y79" s="61"/>
      <c r="Z79" s="61"/>
      <c r="AA79" s="61"/>
      <c r="AB79" s="62"/>
      <c r="AC79" s="61"/>
      <c r="AD79" s="61"/>
      <c r="AE79" s="61"/>
      <c r="AF79" s="61"/>
      <c r="AG79" s="62"/>
      <c r="AH79" s="61"/>
      <c r="AI79" s="61"/>
      <c r="AJ79" s="61"/>
      <c r="AK79" s="61"/>
      <c r="AL79" s="62"/>
      <c r="AM79" s="61"/>
      <c r="AN79" s="61"/>
      <c r="AO79" s="61"/>
      <c r="AP79" s="61"/>
      <c r="AQ79" s="62"/>
      <c r="AR79" s="61"/>
      <c r="AS79" s="61"/>
      <c r="AT79" s="61"/>
      <c r="AU79" s="61"/>
      <c r="AV79" s="62"/>
      <c r="AW79" s="451"/>
      <c r="AX79" s="451"/>
      <c r="AY79" s="451"/>
      <c r="AZ79" s="451"/>
      <c r="BA79" s="62"/>
      <c r="BB79" s="451"/>
      <c r="BC79" s="451"/>
      <c r="BD79" s="451"/>
      <c r="BE79" s="451"/>
      <c r="BF79" s="62"/>
      <c r="BG79" s="451"/>
      <c r="BH79" s="451"/>
      <c r="BI79" s="451"/>
      <c r="BJ79" s="451"/>
      <c r="BK79" s="62"/>
      <c r="BL79" s="451"/>
      <c r="BM79" s="451"/>
      <c r="BN79" s="451"/>
      <c r="BO79" s="451"/>
      <c r="BP79" s="62"/>
      <c r="BQ79" s="451"/>
      <c r="BR79" s="451"/>
      <c r="BS79" s="451"/>
      <c r="BT79" s="451"/>
      <c r="BU79" s="62"/>
      <c r="BV79" s="451"/>
      <c r="BW79" s="451"/>
      <c r="BX79" s="451"/>
      <c r="BY79" s="451"/>
      <c r="BZ79" s="62"/>
      <c r="CA79" s="451"/>
      <c r="CB79" s="451"/>
      <c r="CC79" s="451"/>
      <c r="CD79" s="451"/>
      <c r="CE79" s="62"/>
      <c r="CF79" s="451"/>
      <c r="CG79" s="451"/>
      <c r="CH79" s="451"/>
      <c r="CI79" s="451"/>
      <c r="CJ79" s="62"/>
      <c r="CK79" s="451"/>
      <c r="CL79" s="451"/>
      <c r="CM79" s="451"/>
      <c r="CN79" s="451"/>
      <c r="CO79" s="62"/>
      <c r="CP79" s="451"/>
      <c r="CQ79" s="451"/>
      <c r="CR79" s="451"/>
      <c r="CS79" s="451"/>
      <c r="CT79" s="62"/>
      <c r="CU79" s="451"/>
      <c r="CV79" s="451"/>
      <c r="CW79" s="451"/>
      <c r="CX79" s="451"/>
      <c r="CY79" s="62"/>
      <c r="CZ79" s="451"/>
      <c r="DA79" s="451"/>
      <c r="DB79" s="451"/>
      <c r="DC79" s="451"/>
      <c r="DD79" s="62"/>
      <c r="DE79" s="451"/>
      <c r="DF79" s="451"/>
      <c r="DG79" s="451"/>
      <c r="DH79" s="451"/>
      <c r="DI79" s="62"/>
      <c r="DJ79" s="451"/>
      <c r="DK79" s="451"/>
      <c r="DL79" s="451"/>
      <c r="DM79" s="451"/>
      <c r="DN79" s="62"/>
      <c r="DO79" s="451"/>
      <c r="DP79" s="451"/>
      <c r="DQ79" s="451"/>
      <c r="DR79" s="451"/>
      <c r="DS79" s="62"/>
      <c r="DT79" s="451"/>
      <c r="DU79" s="451"/>
      <c r="DV79" s="451"/>
      <c r="DW79" s="451"/>
      <c r="DX79" s="62"/>
      <c r="DY79" s="451"/>
      <c r="DZ79" s="451"/>
      <c r="EA79" s="451"/>
      <c r="EB79" s="451"/>
      <c r="EC79" s="62"/>
      <c r="ED79" s="451"/>
      <c r="EE79" s="451"/>
      <c r="EF79" s="451"/>
      <c r="EG79" s="451"/>
      <c r="EH79" s="62"/>
      <c r="EI79" s="451"/>
      <c r="EJ79" s="451"/>
      <c r="EK79" s="451"/>
      <c r="EL79" s="451"/>
      <c r="EM79" s="62"/>
    </row>
    <row r="80" spans="1:143">
      <c r="B80" s="25" t="s">
        <v>182</v>
      </c>
      <c r="C80" s="51"/>
      <c r="D80" s="61"/>
      <c r="E80" s="61"/>
      <c r="F80" s="61"/>
      <c r="G80" s="61"/>
      <c r="H80" s="62"/>
      <c r="I80" s="61"/>
      <c r="J80" s="61"/>
      <c r="K80" s="61"/>
      <c r="L80" s="61"/>
      <c r="M80" s="62"/>
      <c r="N80" s="61"/>
      <c r="O80" s="61"/>
      <c r="P80" s="61"/>
      <c r="Q80" s="61"/>
      <c r="R80" s="62"/>
      <c r="S80" s="61"/>
      <c r="T80" s="61"/>
      <c r="U80" s="61"/>
      <c r="V80" s="61"/>
      <c r="W80" s="62"/>
      <c r="X80" s="61"/>
      <c r="Y80" s="61"/>
      <c r="Z80" s="61"/>
      <c r="AA80" s="61"/>
      <c r="AB80" s="62"/>
      <c r="AC80" s="61"/>
      <c r="AD80" s="61"/>
      <c r="AE80" s="61"/>
      <c r="AF80" s="61"/>
      <c r="AG80" s="62"/>
      <c r="AH80" s="61"/>
      <c r="AI80" s="61"/>
      <c r="AJ80" s="61"/>
      <c r="AK80" s="61"/>
      <c r="AL80" s="62"/>
      <c r="AM80" s="61"/>
      <c r="AN80" s="61"/>
      <c r="AO80" s="61"/>
      <c r="AP80" s="61"/>
      <c r="AQ80" s="62"/>
      <c r="AR80" s="61"/>
      <c r="AS80" s="61"/>
      <c r="AT80" s="61"/>
      <c r="AU80" s="61">
        <f t="shared" ref="AU80:BZ80" si="74">AU13/AP13-1</f>
        <v>0.45177728933626371</v>
      </c>
      <c r="AV80" s="62">
        <f t="shared" si="74"/>
        <v>4.402637584174494</v>
      </c>
      <c r="AW80" s="451">
        <f t="shared" si="74"/>
        <v>0.40837823603289714</v>
      </c>
      <c r="AX80" s="451">
        <f t="shared" si="74"/>
        <v>0.1599759005580923</v>
      </c>
      <c r="AY80" s="451">
        <f t="shared" si="74"/>
        <v>-6.3452782499185512E-2</v>
      </c>
      <c r="AZ80" s="451">
        <f t="shared" si="74"/>
        <v>2.5072565791377288E-2</v>
      </c>
      <c r="BA80" s="62">
        <f t="shared" si="74"/>
        <v>0.10564776305049173</v>
      </c>
      <c r="BB80" s="451">
        <f t="shared" si="74"/>
        <v>0.17653827345165829</v>
      </c>
      <c r="BC80" s="451">
        <f t="shared" si="74"/>
        <v>0.41056832782045349</v>
      </c>
      <c r="BD80" s="451">
        <f t="shared" si="74"/>
        <v>0.59482434363950953</v>
      </c>
      <c r="BE80" s="451">
        <f t="shared" si="74"/>
        <v>0.90030009689648982</v>
      </c>
      <c r="BF80" s="62">
        <f t="shared" si="74"/>
        <v>0.52129841214038786</v>
      </c>
      <c r="BG80" s="451">
        <f t="shared" si="74"/>
        <v>0.50611246943765287</v>
      </c>
      <c r="BH80" s="451">
        <f t="shared" si="74"/>
        <v>0.39082687338501287</v>
      </c>
      <c r="BI80" s="451">
        <f t="shared" si="74"/>
        <v>0.25117924528301883</v>
      </c>
      <c r="BJ80" s="451">
        <f t="shared" si="74"/>
        <v>0.16782178217821775</v>
      </c>
      <c r="BK80" s="62">
        <f t="shared" si="74"/>
        <v>0.3067323987059003</v>
      </c>
      <c r="BL80" s="451">
        <f t="shared" si="74"/>
        <v>0.20887445887445866</v>
      </c>
      <c r="BM80" s="451">
        <f t="shared" si="74"/>
        <v>0.13423130515559678</v>
      </c>
      <c r="BN80" s="451">
        <f t="shared" si="74"/>
        <v>8.3411875589066931E-2</v>
      </c>
      <c r="BO80" s="451">
        <f t="shared" si="74"/>
        <v>0.14455277660025434</v>
      </c>
      <c r="BP80" s="62">
        <f t="shared" si="74"/>
        <v>0.1406507899080407</v>
      </c>
      <c r="BQ80" s="451">
        <f t="shared" si="74"/>
        <v>6.7144136078782779E-3</v>
      </c>
      <c r="BR80" s="451">
        <f t="shared" si="74"/>
        <v>2.0065520065519982E-2</v>
      </c>
      <c r="BS80" s="451">
        <f t="shared" si="74"/>
        <v>1.4789038712483826E-2</v>
      </c>
      <c r="BT80" s="451">
        <f t="shared" si="74"/>
        <v>-1.4444444444444371E-2</v>
      </c>
      <c r="BU80" s="62">
        <f t="shared" si="74"/>
        <v>6.0981912144701944E-3</v>
      </c>
      <c r="BV80" s="451">
        <f t="shared" si="74"/>
        <v>4.9355269008448222E-2</v>
      </c>
      <c r="BW80" s="451">
        <f t="shared" si="74"/>
        <v>1.967081493376166E-2</v>
      </c>
      <c r="BX80" s="451">
        <f t="shared" si="74"/>
        <v>7.5867981140162799E-2</v>
      </c>
      <c r="BY80" s="451">
        <f t="shared" si="74"/>
        <v>-5.6745584366779456E-2</v>
      </c>
      <c r="BZ80" s="62">
        <f t="shared" si="74"/>
        <v>1.9108280254777066E-2</v>
      </c>
      <c r="CA80" s="451">
        <f t="shared" ref="CA80:DF80" si="75">CA13/BV13-1</f>
        <v>3.9293636303252333E-2</v>
      </c>
      <c r="CB80" s="451">
        <f t="shared" si="75"/>
        <v>3.5917592590284375E-2</v>
      </c>
      <c r="CC80" s="451">
        <f t="shared" si="75"/>
        <v>4.0140647055427969E-2</v>
      </c>
      <c r="CD80" s="451">
        <f t="shared" si="75"/>
        <v>3.7631510601283891E-2</v>
      </c>
      <c r="CE80" s="62">
        <f t="shared" si="75"/>
        <v>3.8222961952958157E-2</v>
      </c>
      <c r="CF80" s="451">
        <f t="shared" si="75"/>
        <v>4.0888862908479817E-2</v>
      </c>
      <c r="CG80" s="451">
        <f t="shared" si="75"/>
        <v>3.8325358766092776E-2</v>
      </c>
      <c r="CH80" s="451">
        <f t="shared" si="75"/>
        <v>4.1529405519981744E-2</v>
      </c>
      <c r="CI80" s="451">
        <f t="shared" si="75"/>
        <v>3.9628859023319141E-2</v>
      </c>
      <c r="CJ80" s="62">
        <f t="shared" si="75"/>
        <v>4.0077681591038861E-2</v>
      </c>
      <c r="CK80" s="451">
        <f t="shared" si="75"/>
        <v>5.1487906104473291E-2</v>
      </c>
      <c r="CL80" s="451">
        <f t="shared" si="75"/>
        <v>4.9378971853415221E-2</v>
      </c>
      <c r="CM80" s="451">
        <f t="shared" si="75"/>
        <v>5.2013244287476113E-2</v>
      </c>
      <c r="CN80" s="451">
        <f t="shared" si="75"/>
        <v>5.0452630369217655E-2</v>
      </c>
      <c r="CO80" s="62">
        <f t="shared" si="75"/>
        <v>5.0821690746606141E-2</v>
      </c>
      <c r="CP80" s="451">
        <f t="shared" si="75"/>
        <v>5.2791960824781548E-2</v>
      </c>
      <c r="CQ80" s="451">
        <f t="shared" si="75"/>
        <v>5.0630922947607848E-2</v>
      </c>
      <c r="CR80" s="451">
        <f t="shared" si="75"/>
        <v>5.3328930124370011E-2</v>
      </c>
      <c r="CS80" s="451">
        <f t="shared" si="75"/>
        <v>5.1732191710710085E-2</v>
      </c>
      <c r="CT80" s="62">
        <f t="shared" si="75"/>
        <v>5.2110223130829691E-2</v>
      </c>
      <c r="CU80" s="451">
        <f t="shared" si="75"/>
        <v>5.4123162820009174E-2</v>
      </c>
      <c r="CV80" s="451">
        <f t="shared" si="75"/>
        <v>5.191504701858296E-2</v>
      </c>
      <c r="CW80" s="451">
        <f t="shared" si="75"/>
        <v>5.4670424563380893E-2</v>
      </c>
      <c r="CX80" s="451">
        <f t="shared" si="75"/>
        <v>5.3041440634541415E-2</v>
      </c>
      <c r="CY80" s="62">
        <f t="shared" si="75"/>
        <v>5.3427552987073579E-2</v>
      </c>
      <c r="CZ80" s="451">
        <f t="shared" si="75"/>
        <v>-2.3997719266770634E-2</v>
      </c>
      <c r="DA80" s="451">
        <f t="shared" si="75"/>
        <v>-2.0702768567504304E-2</v>
      </c>
      <c r="DB80" s="451">
        <f t="shared" si="75"/>
        <v>-2.4812209844814581E-2</v>
      </c>
      <c r="DC80" s="451">
        <f t="shared" si="75"/>
        <v>-2.2385299857741736E-2</v>
      </c>
      <c r="DD80" s="62">
        <f t="shared" si="75"/>
        <v>-2.2961220518935233E-2</v>
      </c>
      <c r="DE80" s="451">
        <f t="shared" si="75"/>
        <v>-7.4163188361332955E-2</v>
      </c>
      <c r="DF80" s="451">
        <f t="shared" si="75"/>
        <v>-6.7070733625865464E-2</v>
      </c>
      <c r="DG80" s="451">
        <f t="shared" ref="DG80:EL80" si="76">DG13/DB13-1</f>
        <v>-7.5923785486559203E-2</v>
      </c>
      <c r="DH80" s="451">
        <f t="shared" si="76"/>
        <v>-7.068644629310572E-2</v>
      </c>
      <c r="DI80" s="62">
        <f t="shared" si="76"/>
        <v>-7.1926944513132307E-2</v>
      </c>
      <c r="DJ80" s="451">
        <f t="shared" si="76"/>
        <v>-0.11838556820883128</v>
      </c>
      <c r="DK80" s="451">
        <f t="shared" si="76"/>
        <v>-0.10707963128325249</v>
      </c>
      <c r="DL80" s="451">
        <f t="shared" si="76"/>
        <v>-0.12121898784541596</v>
      </c>
      <c r="DM80" s="451">
        <f t="shared" si="76"/>
        <v>-0.11282180159574529</v>
      </c>
      <c r="DN80" s="62">
        <f t="shared" si="76"/>
        <v>-0.11480216484098615</v>
      </c>
      <c r="DO80" s="451">
        <f t="shared" si="76"/>
        <v>-0.12372442937329919</v>
      </c>
      <c r="DP80" s="451">
        <f t="shared" si="76"/>
        <v>-0.11029035614050309</v>
      </c>
      <c r="DQ80" s="451">
        <f t="shared" si="76"/>
        <v>-0.12714535882443301</v>
      </c>
      <c r="DR80" s="451">
        <f t="shared" si="76"/>
        <v>-0.11707059591870983</v>
      </c>
      <c r="DS80" s="62">
        <f t="shared" si="76"/>
        <v>-0.11942936934988935</v>
      </c>
      <c r="DT80" s="451">
        <f t="shared" si="76"/>
        <v>-0.17737176993542569</v>
      </c>
      <c r="DU80" s="451">
        <f t="shared" si="76"/>
        <v>-0.16770083775374633</v>
      </c>
      <c r="DV80" s="451">
        <f t="shared" si="76"/>
        <v>-0.17988198607078898</v>
      </c>
      <c r="DW80" s="451">
        <f t="shared" si="76"/>
        <v>-0.17254501921176035</v>
      </c>
      <c r="DX80" s="62">
        <f t="shared" si="76"/>
        <v>-0.17424774878594873</v>
      </c>
      <c r="DY80" s="451">
        <f t="shared" si="76"/>
        <v>-0.10111033809331893</v>
      </c>
      <c r="DZ80" s="451">
        <f t="shared" si="76"/>
        <v>-9.4099501179376155E-2</v>
      </c>
      <c r="EA80" s="451">
        <f t="shared" si="76"/>
        <v>-0.10295712059071815</v>
      </c>
      <c r="EB80" s="451">
        <f t="shared" si="76"/>
        <v>-9.759075291391528E-2</v>
      </c>
      <c r="EC80" s="62">
        <f t="shared" si="76"/>
        <v>-9.8827657306529204E-2</v>
      </c>
      <c r="ED80" s="451">
        <f t="shared" si="76"/>
        <v>-9.770931478062983E-2</v>
      </c>
      <c r="EE80" s="451">
        <f t="shared" si="76"/>
        <v>-9.4785049797916687E-2</v>
      </c>
      <c r="EF80" s="451">
        <f t="shared" si="76"/>
        <v>-9.8487225766229591E-2</v>
      </c>
      <c r="EG80" s="451">
        <f t="shared" si="76"/>
        <v>-9.6235593681932019E-2</v>
      </c>
      <c r="EH80" s="62">
        <f t="shared" si="76"/>
        <v>-9.675219853752548E-2</v>
      </c>
      <c r="EI80" s="451">
        <f t="shared" si="76"/>
        <v>-0.14067598132921266</v>
      </c>
      <c r="EJ80" s="451">
        <f t="shared" si="76"/>
        <v>-0.13956162613890466</v>
      </c>
      <c r="EK80" s="451">
        <f t="shared" si="76"/>
        <v>-0.14097363870878576</v>
      </c>
      <c r="EL80" s="451">
        <f t="shared" si="76"/>
        <v>-0.14011348628241205</v>
      </c>
      <c r="EM80" s="62">
        <f t="shared" ref="EM80" si="77">EM13/EH13-1</f>
        <v>-0.14031045689969124</v>
      </c>
    </row>
    <row r="81" spans="2:143">
      <c r="B81" s="10" t="s">
        <v>181</v>
      </c>
      <c r="C81" s="51"/>
      <c r="D81" s="61"/>
      <c r="E81" s="61"/>
      <c r="F81" s="61"/>
      <c r="G81" s="61"/>
      <c r="H81" s="62"/>
      <c r="I81" s="61"/>
      <c r="J81" s="61"/>
      <c r="K81" s="61"/>
      <c r="L81" s="61"/>
      <c r="M81" s="62"/>
      <c r="N81" s="61"/>
      <c r="O81" s="61"/>
      <c r="P81" s="61"/>
      <c r="Q81" s="61"/>
      <c r="R81" s="62"/>
      <c r="S81" s="61"/>
      <c r="T81" s="61"/>
      <c r="U81" s="61"/>
      <c r="V81" s="61"/>
      <c r="W81" s="62"/>
      <c r="X81" s="61"/>
      <c r="Y81" s="61"/>
      <c r="Z81" s="61"/>
      <c r="AA81" s="61"/>
      <c r="AB81" s="62"/>
      <c r="AC81" s="61"/>
      <c r="AD81" s="61"/>
      <c r="AE81" s="61"/>
      <c r="AF81" s="61"/>
      <c r="AG81" s="62"/>
      <c r="AH81" s="61"/>
      <c r="AI81" s="61"/>
      <c r="AJ81" s="61"/>
      <c r="AK81" s="61"/>
      <c r="AL81" s="62"/>
      <c r="AM81" s="61"/>
      <c r="AN81" s="61"/>
      <c r="AO81" s="61"/>
      <c r="AP81" s="61"/>
      <c r="AQ81" s="62"/>
      <c r="AR81" s="61"/>
      <c r="AS81" s="61"/>
      <c r="AT81" s="61"/>
      <c r="AU81" s="61"/>
      <c r="AV81" s="62"/>
      <c r="AW81" s="451">
        <f t="shared" ref="AW81:BF82" si="78">AW15/AR15-1</f>
        <v>0.28471506288759518</v>
      </c>
      <c r="AX81" s="451">
        <f t="shared" si="78"/>
        <v>0.19821507271925953</v>
      </c>
      <c r="AY81" s="451">
        <f t="shared" si="78"/>
        <v>-0.13414360388673319</v>
      </c>
      <c r="AZ81" s="451">
        <f t="shared" si="78"/>
        <v>-8.3959476112062115E-2</v>
      </c>
      <c r="BA81" s="62">
        <f t="shared" si="78"/>
        <v>3.7690282170735889E-2</v>
      </c>
      <c r="BB81" s="451">
        <f t="shared" si="78"/>
        <v>0.16049382716049387</v>
      </c>
      <c r="BC81" s="451">
        <f t="shared" si="78"/>
        <v>0.3793103448275863</v>
      </c>
      <c r="BD81" s="451">
        <f t="shared" si="78"/>
        <v>0.62716049382716066</v>
      </c>
      <c r="BE81" s="451">
        <f t="shared" si="78"/>
        <v>0.89285714285714279</v>
      </c>
      <c r="BF81" s="62">
        <f t="shared" si="78"/>
        <v>0.5159159159159159</v>
      </c>
      <c r="BG81" s="451">
        <f t="shared" ref="BG81:BP82" si="79">BG15/BB15-1</f>
        <v>0.50531914893617014</v>
      </c>
      <c r="BH81" s="451">
        <f t="shared" si="79"/>
        <v>0.33250000000000002</v>
      </c>
      <c r="BI81" s="451">
        <f t="shared" si="79"/>
        <v>0.15022761760242775</v>
      </c>
      <c r="BJ81" s="451">
        <f t="shared" si="79"/>
        <v>7.8616352201257955E-2</v>
      </c>
      <c r="BK81" s="62">
        <f t="shared" si="79"/>
        <v>0.23712361331220277</v>
      </c>
      <c r="BL81" s="451">
        <f t="shared" si="79"/>
        <v>0.12438162544169606</v>
      </c>
      <c r="BM81" s="451">
        <f t="shared" si="79"/>
        <v>6.1913696060037493E-2</v>
      </c>
      <c r="BN81" s="451">
        <f t="shared" si="79"/>
        <v>-4.2216358839050172E-2</v>
      </c>
      <c r="BO81" s="451">
        <f t="shared" si="79"/>
        <v>4.6647230320699729E-2</v>
      </c>
      <c r="BP81" s="62">
        <f t="shared" si="79"/>
        <v>4.6597277822257643E-2</v>
      </c>
      <c r="BQ81" s="451">
        <f t="shared" ref="BQ81:BZ82" si="80">BQ15/BL15-1</f>
        <v>-9.6165933375235602E-2</v>
      </c>
      <c r="BR81" s="451">
        <f t="shared" si="80"/>
        <v>2.8857479387514484E-2</v>
      </c>
      <c r="BS81" s="451">
        <f t="shared" si="80"/>
        <v>-8.2644628099173278E-3</v>
      </c>
      <c r="BT81" s="451">
        <f t="shared" si="80"/>
        <v>-4.5682451253481804E-2</v>
      </c>
      <c r="BU81" s="62">
        <f t="shared" si="80"/>
        <v>-3.0293757649938691E-2</v>
      </c>
      <c r="BV81" s="451">
        <f t="shared" si="80"/>
        <v>-1.2517385257301838E-2</v>
      </c>
      <c r="BW81" s="451">
        <f t="shared" si="80"/>
        <v>-7.8420148826559788E-2</v>
      </c>
      <c r="BX81" s="451">
        <f t="shared" si="80"/>
        <v>3.4722222222222321E-2</v>
      </c>
      <c r="BY81" s="451">
        <f t="shared" si="80"/>
        <v>-9.5154699357851813E-2</v>
      </c>
      <c r="BZ81" s="62">
        <f t="shared" si="80"/>
        <v>-4.2284632376143771E-2</v>
      </c>
      <c r="CA81" s="451">
        <f t="shared" ref="CA81:CJ82" si="81">CA15/BV15-1</f>
        <v>-2.5146726650173701E-3</v>
      </c>
      <c r="CB81" s="451">
        <f t="shared" si="81"/>
        <v>-2.5146726650172591E-3</v>
      </c>
      <c r="CC81" s="451">
        <f t="shared" si="81"/>
        <v>-2.5146726650172591E-3</v>
      </c>
      <c r="CD81" s="451">
        <f t="shared" si="81"/>
        <v>-2.5146726650173701E-3</v>
      </c>
      <c r="CE81" s="62">
        <f t="shared" si="81"/>
        <v>-2.5146726650173701E-3</v>
      </c>
      <c r="CF81" s="451">
        <f t="shared" si="81"/>
        <v>7.9197503898498223E-3</v>
      </c>
      <c r="CG81" s="451">
        <f t="shared" si="81"/>
        <v>7.9197503898498223E-3</v>
      </c>
      <c r="CH81" s="451">
        <f t="shared" si="81"/>
        <v>7.9197503898498223E-3</v>
      </c>
      <c r="CI81" s="451">
        <f t="shared" si="81"/>
        <v>7.9197503898498223E-3</v>
      </c>
      <c r="CJ81" s="62">
        <f t="shared" si="81"/>
        <v>7.9197503898498223E-3</v>
      </c>
      <c r="CK81" s="451">
        <f t="shared" ref="CK81:CT82" si="82">CK15/CF15-1</f>
        <v>2.3546788143901543E-2</v>
      </c>
      <c r="CL81" s="451">
        <f t="shared" si="82"/>
        <v>2.3546788143901543E-2</v>
      </c>
      <c r="CM81" s="451">
        <f t="shared" si="82"/>
        <v>2.3546788143901543E-2</v>
      </c>
      <c r="CN81" s="451">
        <f t="shared" si="82"/>
        <v>2.3546788143901543E-2</v>
      </c>
      <c r="CO81" s="62">
        <f t="shared" si="82"/>
        <v>2.3546788143901543E-2</v>
      </c>
      <c r="CP81" s="451">
        <f t="shared" si="82"/>
        <v>2.343792803632061E-2</v>
      </c>
      <c r="CQ81" s="451">
        <f t="shared" si="82"/>
        <v>2.343792803632061E-2</v>
      </c>
      <c r="CR81" s="451">
        <f t="shared" si="82"/>
        <v>2.343792803632061E-2</v>
      </c>
      <c r="CS81" s="451">
        <f t="shared" si="82"/>
        <v>2.343792803632061E-2</v>
      </c>
      <c r="CT81" s="62">
        <f t="shared" si="82"/>
        <v>2.343792803632061E-2</v>
      </c>
      <c r="CU81" s="451">
        <f t="shared" ref="CU81:DD82" si="83">CU15/CP15-1</f>
        <v>2.3332721540656021E-2</v>
      </c>
      <c r="CV81" s="451">
        <f t="shared" si="83"/>
        <v>2.3332721540656021E-2</v>
      </c>
      <c r="CW81" s="451">
        <f t="shared" si="83"/>
        <v>2.3332721540656021E-2</v>
      </c>
      <c r="CX81" s="451">
        <f t="shared" si="83"/>
        <v>2.3332721540656021E-2</v>
      </c>
      <c r="CY81" s="62">
        <f t="shared" si="83"/>
        <v>2.3332721540656021E-2</v>
      </c>
      <c r="CZ81" s="451">
        <f t="shared" si="83"/>
        <v>2.3231068082243844E-2</v>
      </c>
      <c r="DA81" s="451">
        <f t="shared" si="83"/>
        <v>2.3231068082243844E-2</v>
      </c>
      <c r="DB81" s="451">
        <f t="shared" si="83"/>
        <v>2.3231068082243844E-2</v>
      </c>
      <c r="DC81" s="451">
        <f t="shared" si="83"/>
        <v>2.3231068082243844E-2</v>
      </c>
      <c r="DD81" s="62">
        <f t="shared" si="83"/>
        <v>2.3231068082243844E-2</v>
      </c>
      <c r="DE81" s="451">
        <f t="shared" ref="DE81:DN82" si="84">DE15/CZ15-1</f>
        <v>2.3132871966421664E-2</v>
      </c>
      <c r="DF81" s="451">
        <f t="shared" si="84"/>
        <v>2.3132871966421664E-2</v>
      </c>
      <c r="DG81" s="451">
        <f t="shared" si="84"/>
        <v>2.3132871966421664E-2</v>
      </c>
      <c r="DH81" s="451">
        <f t="shared" si="84"/>
        <v>2.3132871966421664E-2</v>
      </c>
      <c r="DI81" s="62">
        <f t="shared" si="84"/>
        <v>2.3132871966421664E-2</v>
      </c>
      <c r="DJ81" s="451">
        <f t="shared" si="84"/>
        <v>2.303804210840199E-2</v>
      </c>
      <c r="DK81" s="451">
        <f t="shared" si="84"/>
        <v>2.303804210840199E-2</v>
      </c>
      <c r="DL81" s="451">
        <f t="shared" si="84"/>
        <v>2.303804210840199E-2</v>
      </c>
      <c r="DM81" s="451">
        <f t="shared" si="84"/>
        <v>2.303804210840199E-2</v>
      </c>
      <c r="DN81" s="62">
        <f t="shared" si="84"/>
        <v>2.303804210840199E-2</v>
      </c>
      <c r="DO81" s="451">
        <f t="shared" ref="DO81:DX82" si="85">DO15/DJ15-1</f>
        <v>2.2946491780676093E-2</v>
      </c>
      <c r="DP81" s="451">
        <f t="shared" si="85"/>
        <v>2.2946491780676093E-2</v>
      </c>
      <c r="DQ81" s="451">
        <f t="shared" si="85"/>
        <v>2.2946491780676093E-2</v>
      </c>
      <c r="DR81" s="451">
        <f t="shared" si="85"/>
        <v>2.2946491780676093E-2</v>
      </c>
      <c r="DS81" s="62">
        <f t="shared" si="85"/>
        <v>2.2946491780676093E-2</v>
      </c>
      <c r="DT81" s="451">
        <f t="shared" si="85"/>
        <v>-8.5538504645159774E-2</v>
      </c>
      <c r="DU81" s="451">
        <f t="shared" si="85"/>
        <v>-8.5538504645159774E-2</v>
      </c>
      <c r="DV81" s="451">
        <f t="shared" si="85"/>
        <v>-8.5538504645159774E-2</v>
      </c>
      <c r="DW81" s="451">
        <f t="shared" si="85"/>
        <v>-8.5538504645159885E-2</v>
      </c>
      <c r="DX81" s="62">
        <f t="shared" si="85"/>
        <v>-8.5538504645159774E-2</v>
      </c>
      <c r="DY81" s="451">
        <f t="shared" ref="DY81:EH82" si="86">DY15/DT15-1</f>
        <v>-4.051829628479553E-2</v>
      </c>
      <c r="DZ81" s="451">
        <f t="shared" si="86"/>
        <v>-4.051829628479553E-2</v>
      </c>
      <c r="EA81" s="451">
        <f t="shared" si="86"/>
        <v>-4.051829628479553E-2</v>
      </c>
      <c r="EB81" s="451">
        <f t="shared" si="86"/>
        <v>-4.051829628479553E-2</v>
      </c>
      <c r="EC81" s="62">
        <f t="shared" si="86"/>
        <v>-4.0518296284795419E-2</v>
      </c>
      <c r="ED81" s="451">
        <f t="shared" si="86"/>
        <v>-7.3847347400987862E-2</v>
      </c>
      <c r="EE81" s="451">
        <f t="shared" si="86"/>
        <v>-7.3847347400987862E-2</v>
      </c>
      <c r="EF81" s="451">
        <f t="shared" si="86"/>
        <v>-7.3847347400987862E-2</v>
      </c>
      <c r="EG81" s="451">
        <f t="shared" si="86"/>
        <v>-7.3847347400987973E-2</v>
      </c>
      <c r="EH81" s="62">
        <f t="shared" si="86"/>
        <v>-7.3847347400987862E-2</v>
      </c>
      <c r="EI81" s="451">
        <f t="shared" ref="EI81:EM82" si="87">EI15/ED15-1</f>
        <v>-0.13178842620908005</v>
      </c>
      <c r="EJ81" s="451">
        <f t="shared" si="87"/>
        <v>-0.13178842620908005</v>
      </c>
      <c r="EK81" s="451">
        <f t="shared" si="87"/>
        <v>-0.13178842620908005</v>
      </c>
      <c r="EL81" s="451">
        <f t="shared" si="87"/>
        <v>-0.13178842620908005</v>
      </c>
      <c r="EM81" s="62">
        <f t="shared" si="87"/>
        <v>-0.13178842620908005</v>
      </c>
    </row>
    <row r="82" spans="2:143">
      <c r="B82" s="10" t="s">
        <v>76</v>
      </c>
      <c r="C82" s="51"/>
      <c r="D82" s="61"/>
      <c r="E82" s="61"/>
      <c r="F82" s="61"/>
      <c r="G82" s="61"/>
      <c r="H82" s="62"/>
      <c r="I82" s="61"/>
      <c r="J82" s="61"/>
      <c r="K82" s="61"/>
      <c r="L82" s="61"/>
      <c r="M82" s="62"/>
      <c r="N82" s="61"/>
      <c r="O82" s="61"/>
      <c r="P82" s="61"/>
      <c r="Q82" s="61"/>
      <c r="R82" s="62"/>
      <c r="S82" s="61"/>
      <c r="T82" s="61"/>
      <c r="U82" s="61"/>
      <c r="V82" s="61"/>
      <c r="W82" s="62"/>
      <c r="X82" s="61"/>
      <c r="Y82" s="61"/>
      <c r="Z82" s="61"/>
      <c r="AA82" s="61"/>
      <c r="AB82" s="62"/>
      <c r="AC82" s="61"/>
      <c r="AD82" s="61"/>
      <c r="AE82" s="61"/>
      <c r="AF82" s="61"/>
      <c r="AG82" s="62"/>
      <c r="AH82" s="61"/>
      <c r="AI82" s="61"/>
      <c r="AJ82" s="61"/>
      <c r="AK82" s="61"/>
      <c r="AL82" s="62"/>
      <c r="AM82" s="61"/>
      <c r="AN82" s="61"/>
      <c r="AO82" s="61"/>
      <c r="AP82" s="61"/>
      <c r="AQ82" s="62"/>
      <c r="AR82" s="61"/>
      <c r="AS82" s="61"/>
      <c r="AT82" s="61"/>
      <c r="AU82" s="61"/>
      <c r="AV82" s="62"/>
      <c r="AW82" s="451">
        <f t="shared" si="78"/>
        <v>1.1171818181818183</v>
      </c>
      <c r="AX82" s="451">
        <f t="shared" si="78"/>
        <v>3.3772727272727066E-2</v>
      </c>
      <c r="AY82" s="451">
        <f t="shared" si="78"/>
        <v>0.26719999999999966</v>
      </c>
      <c r="AZ82" s="451">
        <f t="shared" si="78"/>
        <v>0.85825000000000173</v>
      </c>
      <c r="BA82" s="62">
        <f t="shared" si="78"/>
        <v>0.44115384615384623</v>
      </c>
      <c r="BB82" s="451">
        <f t="shared" si="78"/>
        <v>0.23234144875263008</v>
      </c>
      <c r="BC82" s="451">
        <f t="shared" si="78"/>
        <v>0.53014114232950882</v>
      </c>
      <c r="BD82" s="451">
        <f t="shared" si="78"/>
        <v>0.49147727272727293</v>
      </c>
      <c r="BE82" s="451">
        <f t="shared" si="78"/>
        <v>0.69514327996770975</v>
      </c>
      <c r="BF82" s="62">
        <f t="shared" si="78"/>
        <v>0.48492127034961308</v>
      </c>
      <c r="BG82" s="451">
        <f t="shared" si="79"/>
        <v>0.50871080139372804</v>
      </c>
      <c r="BH82" s="451">
        <f t="shared" si="79"/>
        <v>0.59195402298850519</v>
      </c>
      <c r="BI82" s="451">
        <f t="shared" si="79"/>
        <v>0.60317460317460325</v>
      </c>
      <c r="BJ82" s="451">
        <f t="shared" si="79"/>
        <v>0.70370370370370394</v>
      </c>
      <c r="BK82" s="62">
        <f t="shared" si="79"/>
        <v>0.60819554277498167</v>
      </c>
      <c r="BL82" s="451">
        <f t="shared" si="79"/>
        <v>0.48498845265588919</v>
      </c>
      <c r="BM82" s="451">
        <f t="shared" si="79"/>
        <v>0.34296028880866447</v>
      </c>
      <c r="BN82" s="451">
        <f t="shared" si="79"/>
        <v>0.39768976897689767</v>
      </c>
      <c r="BO82" s="451">
        <f t="shared" si="79"/>
        <v>0.40527950310559002</v>
      </c>
      <c r="BP82" s="62">
        <f t="shared" si="79"/>
        <v>0.4032185963343764</v>
      </c>
      <c r="BQ82" s="451">
        <f t="shared" si="80"/>
        <v>0.26127527216174173</v>
      </c>
      <c r="BR82" s="451">
        <f t="shared" si="80"/>
        <v>0</v>
      </c>
      <c r="BS82" s="451">
        <f t="shared" si="80"/>
        <v>5.4309327036599742E-2</v>
      </c>
      <c r="BT82" s="451">
        <f t="shared" si="80"/>
        <v>4.7513812154696078E-2</v>
      </c>
      <c r="BU82" s="62">
        <f t="shared" si="80"/>
        <v>8.1873208028034661E-2</v>
      </c>
      <c r="BV82" s="451">
        <f t="shared" si="80"/>
        <v>0.15906288532675728</v>
      </c>
      <c r="BW82" s="451">
        <f t="shared" si="80"/>
        <v>0.25</v>
      </c>
      <c r="BX82" s="451">
        <f t="shared" si="80"/>
        <v>0.14221724524076151</v>
      </c>
      <c r="BY82" s="451">
        <f t="shared" si="80"/>
        <v>1.2658227848101333E-2</v>
      </c>
      <c r="BZ82" s="62">
        <f t="shared" si="80"/>
        <v>0.13368669022379254</v>
      </c>
      <c r="CA82" s="451">
        <f t="shared" si="81"/>
        <v>0.10245086899999989</v>
      </c>
      <c r="CB82" s="451">
        <f t="shared" si="81"/>
        <v>0.10245086899999989</v>
      </c>
      <c r="CC82" s="451">
        <f t="shared" si="81"/>
        <v>0.10245086899999989</v>
      </c>
      <c r="CD82" s="451">
        <f t="shared" si="81"/>
        <v>0.10245086899999989</v>
      </c>
      <c r="CE82" s="62">
        <f t="shared" si="81"/>
        <v>0.10245086899999989</v>
      </c>
      <c r="CF82" s="451">
        <f t="shared" si="81"/>
        <v>8.5951335659929518E-2</v>
      </c>
      <c r="CG82" s="451">
        <f t="shared" si="81"/>
        <v>8.5951335659929518E-2</v>
      </c>
      <c r="CH82" s="451">
        <f t="shared" si="81"/>
        <v>8.5951335659929518E-2</v>
      </c>
      <c r="CI82" s="451">
        <f t="shared" si="81"/>
        <v>8.5951335659929518E-2</v>
      </c>
      <c r="CJ82" s="62">
        <f t="shared" si="81"/>
        <v>8.5951335659929518E-2</v>
      </c>
      <c r="CK82" s="451">
        <f t="shared" si="82"/>
        <v>8.6933897940419058E-2</v>
      </c>
      <c r="CL82" s="451">
        <f t="shared" si="82"/>
        <v>8.6933897940419058E-2</v>
      </c>
      <c r="CM82" s="451">
        <f t="shared" si="82"/>
        <v>8.6933897940419058E-2</v>
      </c>
      <c r="CN82" s="451">
        <f t="shared" si="82"/>
        <v>8.6933897940419058E-2</v>
      </c>
      <c r="CO82" s="62">
        <f t="shared" si="82"/>
        <v>8.6933897940419058E-2</v>
      </c>
      <c r="CP82" s="451">
        <f t="shared" si="82"/>
        <v>8.7858725259021941E-2</v>
      </c>
      <c r="CQ82" s="451">
        <f t="shared" si="82"/>
        <v>8.7858725259021941E-2</v>
      </c>
      <c r="CR82" s="451">
        <f t="shared" si="82"/>
        <v>8.7858725259021941E-2</v>
      </c>
      <c r="CS82" s="451">
        <f t="shared" si="82"/>
        <v>8.7858725259021941E-2</v>
      </c>
      <c r="CT82" s="62">
        <f t="shared" si="82"/>
        <v>8.7858725259021941E-2</v>
      </c>
      <c r="CU82" s="451">
        <f t="shared" si="83"/>
        <v>8.8727683840134519E-2</v>
      </c>
      <c r="CV82" s="451">
        <f t="shared" si="83"/>
        <v>8.8727683840134519E-2</v>
      </c>
      <c r="CW82" s="451">
        <f t="shared" si="83"/>
        <v>8.8727683840134519E-2</v>
      </c>
      <c r="CX82" s="451">
        <f t="shared" si="83"/>
        <v>8.8727683840134519E-2</v>
      </c>
      <c r="CY82" s="62">
        <f t="shared" si="83"/>
        <v>8.8727683840134519E-2</v>
      </c>
      <c r="CZ82" s="451">
        <f t="shared" si="83"/>
        <v>-7.3888617022312864E-2</v>
      </c>
      <c r="DA82" s="451">
        <f t="shared" si="83"/>
        <v>-7.3888617022312753E-2</v>
      </c>
      <c r="DB82" s="451">
        <f t="shared" si="83"/>
        <v>-7.3888617022312753E-2</v>
      </c>
      <c r="DC82" s="451">
        <f t="shared" si="83"/>
        <v>-7.3888617022312753E-2</v>
      </c>
      <c r="DD82" s="62">
        <f t="shared" si="83"/>
        <v>-7.3888617022312753E-2</v>
      </c>
      <c r="DE82" s="451">
        <f t="shared" si="84"/>
        <v>-0.18772185257774809</v>
      </c>
      <c r="DF82" s="451">
        <f t="shared" si="84"/>
        <v>-0.18772185257774809</v>
      </c>
      <c r="DG82" s="451">
        <f t="shared" si="84"/>
        <v>-0.18772185257774809</v>
      </c>
      <c r="DH82" s="451">
        <f t="shared" si="84"/>
        <v>-0.18772185257774809</v>
      </c>
      <c r="DI82" s="62">
        <f t="shared" si="84"/>
        <v>-0.18772185257774809</v>
      </c>
      <c r="DJ82" s="451">
        <f t="shared" si="84"/>
        <v>-0.32629500809940626</v>
      </c>
      <c r="DK82" s="451">
        <f t="shared" si="84"/>
        <v>-0.32629500809940626</v>
      </c>
      <c r="DL82" s="451">
        <f t="shared" si="84"/>
        <v>-0.32629500809940626</v>
      </c>
      <c r="DM82" s="451">
        <f t="shared" si="84"/>
        <v>-0.32629500809940626</v>
      </c>
      <c r="DN82" s="62">
        <f t="shared" si="84"/>
        <v>-0.32629500809940626</v>
      </c>
      <c r="DO82" s="451">
        <f t="shared" si="85"/>
        <v>-0.45115432238004205</v>
      </c>
      <c r="DP82" s="451">
        <f t="shared" si="85"/>
        <v>-0.45115432238004205</v>
      </c>
      <c r="DQ82" s="451">
        <f t="shared" si="85"/>
        <v>-0.45115432238004205</v>
      </c>
      <c r="DR82" s="451">
        <f t="shared" si="85"/>
        <v>-0.45115432238004205</v>
      </c>
      <c r="DS82" s="62">
        <f t="shared" si="85"/>
        <v>-0.45115432238004205</v>
      </c>
      <c r="DT82" s="451">
        <f t="shared" si="85"/>
        <v>-0.55947173878094836</v>
      </c>
      <c r="DU82" s="451">
        <f t="shared" si="85"/>
        <v>-0.55947173878094825</v>
      </c>
      <c r="DV82" s="451">
        <f t="shared" si="85"/>
        <v>-0.55947173878094825</v>
      </c>
      <c r="DW82" s="451">
        <f t="shared" si="85"/>
        <v>-0.55947173878094825</v>
      </c>
      <c r="DX82" s="62">
        <f t="shared" si="85"/>
        <v>-0.55947173878094836</v>
      </c>
      <c r="DY82" s="451">
        <f t="shared" si="86"/>
        <v>-0.62445067750503014</v>
      </c>
      <c r="DZ82" s="451">
        <f t="shared" si="86"/>
        <v>-0.62445067750503014</v>
      </c>
      <c r="EA82" s="451">
        <f t="shared" si="86"/>
        <v>-0.62445067750503014</v>
      </c>
      <c r="EB82" s="451">
        <f t="shared" si="86"/>
        <v>-0.62445067750503014</v>
      </c>
      <c r="EC82" s="62">
        <f t="shared" si="86"/>
        <v>-0.62445067750503014</v>
      </c>
      <c r="ED82" s="451">
        <f t="shared" si="86"/>
        <v>-0.62426534014139257</v>
      </c>
      <c r="EE82" s="451">
        <f t="shared" si="86"/>
        <v>-0.62426534014139257</v>
      </c>
      <c r="EF82" s="451">
        <f t="shared" si="86"/>
        <v>-0.62426534014139257</v>
      </c>
      <c r="EG82" s="451">
        <f t="shared" si="86"/>
        <v>-0.62426534014139257</v>
      </c>
      <c r="EH82" s="62">
        <f t="shared" si="86"/>
        <v>-0.62426534014139257</v>
      </c>
      <c r="EI82" s="451">
        <f t="shared" si="87"/>
        <v>-0.62409302995877591</v>
      </c>
      <c r="EJ82" s="451">
        <f t="shared" si="87"/>
        <v>-0.62409302995877591</v>
      </c>
      <c r="EK82" s="451">
        <f t="shared" si="87"/>
        <v>-0.62409302995877591</v>
      </c>
      <c r="EL82" s="451">
        <f t="shared" si="87"/>
        <v>-0.62409302995877591</v>
      </c>
      <c r="EM82" s="62">
        <f t="shared" si="87"/>
        <v>-0.62409302995877591</v>
      </c>
    </row>
    <row r="83" spans="2:143" ht="6.75" customHeight="1">
      <c r="B83" s="10"/>
      <c r="C83" s="51"/>
      <c r="D83" s="61"/>
      <c r="E83" s="61"/>
      <c r="F83" s="61"/>
      <c r="G83" s="61"/>
      <c r="H83" s="62"/>
      <c r="I83" s="61"/>
      <c r="J83" s="61"/>
      <c r="K83" s="61"/>
      <c r="L83" s="61"/>
      <c r="M83" s="62"/>
      <c r="N83" s="61"/>
      <c r="O83" s="61"/>
      <c r="P83" s="61"/>
      <c r="Q83" s="61"/>
      <c r="R83" s="62"/>
      <c r="S83" s="61"/>
      <c r="T83" s="61"/>
      <c r="U83" s="61"/>
      <c r="V83" s="61"/>
      <c r="W83" s="62"/>
      <c r="X83" s="61"/>
      <c r="Y83" s="61"/>
      <c r="Z83" s="61"/>
      <c r="AA83" s="61"/>
      <c r="AB83" s="62"/>
      <c r="AC83" s="61"/>
      <c r="AD83" s="61"/>
      <c r="AE83" s="61"/>
      <c r="AF83" s="61"/>
      <c r="AG83" s="62"/>
      <c r="AH83" s="61"/>
      <c r="AI83" s="61"/>
      <c r="AJ83" s="61"/>
      <c r="AK83" s="61"/>
      <c r="AL83" s="62"/>
      <c r="AM83" s="61"/>
      <c r="AN83" s="61"/>
      <c r="AO83" s="61"/>
      <c r="AP83" s="61"/>
      <c r="AQ83" s="62"/>
      <c r="AR83" s="61"/>
      <c r="AS83" s="61"/>
      <c r="AT83" s="61"/>
      <c r="AU83" s="61"/>
      <c r="AV83" s="62"/>
      <c r="AW83" s="451"/>
      <c r="AX83" s="451"/>
      <c r="AY83" s="451"/>
      <c r="AZ83" s="451"/>
      <c r="BA83" s="62"/>
      <c r="BB83" s="451"/>
      <c r="BC83" s="451"/>
      <c r="BD83" s="451"/>
      <c r="BE83" s="451"/>
      <c r="BF83" s="62"/>
      <c r="BG83" s="451"/>
      <c r="BH83" s="451"/>
      <c r="BI83" s="451"/>
      <c r="BJ83" s="451"/>
      <c r="BK83" s="62"/>
      <c r="BL83" s="451"/>
      <c r="BM83" s="451"/>
      <c r="BN83" s="451"/>
      <c r="BO83" s="451"/>
      <c r="BP83" s="62"/>
      <c r="BQ83" s="451"/>
      <c r="BR83" s="451"/>
      <c r="BS83" s="451"/>
      <c r="BT83" s="451"/>
      <c r="BU83" s="62"/>
      <c r="BV83" s="451"/>
      <c r="BW83" s="451"/>
      <c r="BX83" s="451"/>
      <c r="BY83" s="451"/>
      <c r="BZ83" s="62"/>
      <c r="CA83" s="451"/>
      <c r="CB83" s="451"/>
      <c r="CC83" s="451"/>
      <c r="CD83" s="451"/>
      <c r="CE83" s="62"/>
      <c r="CF83" s="451"/>
      <c r="CG83" s="451"/>
      <c r="CH83" s="451"/>
      <c r="CI83" s="451"/>
      <c r="CJ83" s="62"/>
      <c r="CK83" s="451"/>
      <c r="CL83" s="451"/>
      <c r="CM83" s="451"/>
      <c r="CN83" s="451"/>
      <c r="CO83" s="62"/>
      <c r="CP83" s="451"/>
      <c r="CQ83" s="451"/>
      <c r="CR83" s="451"/>
      <c r="CS83" s="451"/>
      <c r="CT83" s="62"/>
      <c r="CU83" s="451"/>
      <c r="CV83" s="451"/>
      <c r="CW83" s="451"/>
      <c r="CX83" s="451"/>
      <c r="CY83" s="62"/>
      <c r="CZ83" s="451"/>
      <c r="DA83" s="451"/>
      <c r="DB83" s="451"/>
      <c r="DC83" s="451"/>
      <c r="DD83" s="62"/>
      <c r="DE83" s="451"/>
      <c r="DF83" s="451"/>
      <c r="DG83" s="451"/>
      <c r="DH83" s="451"/>
      <c r="DI83" s="62"/>
      <c r="DJ83" s="451"/>
      <c r="DK83" s="451"/>
      <c r="DL83" s="451"/>
      <c r="DM83" s="451"/>
      <c r="DN83" s="62"/>
      <c r="DO83" s="451"/>
      <c r="DP83" s="451"/>
      <c r="DQ83" s="451"/>
      <c r="DR83" s="451"/>
      <c r="DS83" s="62"/>
      <c r="DT83" s="451"/>
      <c r="DU83" s="451"/>
      <c r="DV83" s="451"/>
      <c r="DW83" s="451"/>
      <c r="DX83" s="62"/>
      <c r="DY83" s="451"/>
      <c r="DZ83" s="451"/>
      <c r="EA83" s="451"/>
      <c r="EB83" s="451"/>
      <c r="EC83" s="62"/>
      <c r="ED83" s="451"/>
      <c r="EE83" s="451"/>
      <c r="EF83" s="451"/>
      <c r="EG83" s="451"/>
      <c r="EH83" s="62"/>
      <c r="EI83" s="451"/>
      <c r="EJ83" s="451"/>
      <c r="EK83" s="451"/>
      <c r="EL83" s="451"/>
      <c r="EM83" s="62"/>
    </row>
    <row r="84" spans="2:143">
      <c r="B84" s="25" t="s">
        <v>95</v>
      </c>
      <c r="C84" s="51"/>
      <c r="D84" s="61"/>
      <c r="E84" s="61"/>
      <c r="F84" s="61"/>
      <c r="G84" s="61"/>
      <c r="H84" s="62"/>
      <c r="I84" s="61"/>
      <c r="J84" s="61"/>
      <c r="K84" s="61"/>
      <c r="L84" s="61"/>
      <c r="M84" s="62"/>
      <c r="N84" s="61"/>
      <c r="O84" s="61"/>
      <c r="P84" s="61"/>
      <c r="Q84" s="61"/>
      <c r="R84" s="62"/>
      <c r="S84" s="61"/>
      <c r="T84" s="61"/>
      <c r="U84" s="61"/>
      <c r="V84" s="61"/>
      <c r="W84" s="62"/>
      <c r="X84" s="61"/>
      <c r="Y84" s="61"/>
      <c r="Z84" s="61"/>
      <c r="AA84" s="61"/>
      <c r="AB84" s="62"/>
      <c r="AC84" s="61"/>
      <c r="AD84" s="61"/>
      <c r="AE84" s="61"/>
      <c r="AF84" s="61"/>
      <c r="AG84" s="62"/>
      <c r="AH84" s="61"/>
      <c r="AI84" s="61"/>
      <c r="AJ84" s="61"/>
      <c r="AK84" s="61"/>
      <c r="AL84" s="62"/>
      <c r="AM84" s="61"/>
      <c r="AN84" s="61"/>
      <c r="AO84" s="61"/>
      <c r="AP84" s="61"/>
      <c r="AQ84" s="62"/>
      <c r="AR84" s="61"/>
      <c r="AS84" s="61"/>
      <c r="AT84" s="61"/>
      <c r="AU84" s="61"/>
      <c r="AV84" s="62"/>
      <c r="AW84" s="451"/>
      <c r="AX84" s="451"/>
      <c r="AY84" s="451"/>
      <c r="AZ84" s="451"/>
      <c r="BA84" s="62"/>
      <c r="BB84" s="451"/>
      <c r="BC84" s="451"/>
      <c r="BD84" s="451"/>
      <c r="BE84" s="451"/>
      <c r="BF84" s="62"/>
      <c r="BG84" s="451">
        <f t="shared" ref="BG84:CL84" si="88">BG18/BB18-1</f>
        <v>3.757894736842105</v>
      </c>
      <c r="BH84" s="451">
        <f t="shared" si="88"/>
        <v>1.4305135951661629</v>
      </c>
      <c r="BI84" s="451">
        <f t="shared" si="88"/>
        <v>1.023463687150838</v>
      </c>
      <c r="BJ84" s="451">
        <f t="shared" si="88"/>
        <v>0.67024793388429771</v>
      </c>
      <c r="BK84" s="62">
        <f t="shared" si="88"/>
        <v>1.2270642201834865</v>
      </c>
      <c r="BL84" s="451">
        <f t="shared" si="88"/>
        <v>0.46386430678466084</v>
      </c>
      <c r="BM84" s="451">
        <f t="shared" si="88"/>
        <v>0.45742697327532622</v>
      </c>
      <c r="BN84" s="451">
        <f t="shared" si="88"/>
        <v>0.41634456101601325</v>
      </c>
      <c r="BO84" s="451">
        <f t="shared" si="88"/>
        <v>0.45373577436912371</v>
      </c>
      <c r="BP84" s="62">
        <f t="shared" si="88"/>
        <v>0.44666764749154031</v>
      </c>
      <c r="BQ84" s="451">
        <f t="shared" si="88"/>
        <v>0.38035264483627196</v>
      </c>
      <c r="BR84" s="451">
        <f t="shared" si="88"/>
        <v>0.35479744136460578</v>
      </c>
      <c r="BS84" s="451">
        <f t="shared" si="88"/>
        <v>0.32982456140350891</v>
      </c>
      <c r="BT84" s="451">
        <f t="shared" si="88"/>
        <v>0.28624914908100751</v>
      </c>
      <c r="BU84" s="62">
        <f t="shared" si="88"/>
        <v>0.33296043933692676</v>
      </c>
      <c r="BV84" s="451">
        <f t="shared" si="88"/>
        <v>0.32846715328467146</v>
      </c>
      <c r="BW84" s="451">
        <f t="shared" si="88"/>
        <v>0.23072080579162724</v>
      </c>
      <c r="BX84" s="451">
        <f t="shared" si="88"/>
        <v>0.22251539138082665</v>
      </c>
      <c r="BY84" s="451">
        <f t="shared" si="88"/>
        <v>0.16962159301402502</v>
      </c>
      <c r="BZ84" s="62">
        <f t="shared" si="88"/>
        <v>0.2314030670634013</v>
      </c>
      <c r="CA84" s="451">
        <f t="shared" si="88"/>
        <v>0.15922835529055734</v>
      </c>
      <c r="CB84" s="451">
        <f t="shared" si="88"/>
        <v>0.15656535504940172</v>
      </c>
      <c r="CC84" s="451">
        <f t="shared" si="88"/>
        <v>0.15351315495733275</v>
      </c>
      <c r="CD84" s="451">
        <f t="shared" si="88"/>
        <v>0.15379316201989957</v>
      </c>
      <c r="CE84" s="62">
        <f t="shared" si="88"/>
        <v>0.15561817743499518</v>
      </c>
      <c r="CF84" s="451">
        <f t="shared" si="88"/>
        <v>0.22097730317287634</v>
      </c>
      <c r="CG84" s="451">
        <f t="shared" si="88"/>
        <v>0.15794911937801781</v>
      </c>
      <c r="CH84" s="451">
        <f t="shared" si="88"/>
        <v>0.10620013889623725</v>
      </c>
      <c r="CI84" s="451">
        <f t="shared" si="88"/>
        <v>5.9957206443871813E-2</v>
      </c>
      <c r="CJ84" s="62">
        <f t="shared" si="88"/>
        <v>0.13207604532204353</v>
      </c>
      <c r="CK84" s="451">
        <f t="shared" si="88"/>
        <v>0.11455462081673451</v>
      </c>
      <c r="CL84" s="451">
        <f t="shared" si="88"/>
        <v>0.11751340583835579</v>
      </c>
      <c r="CM84" s="451">
        <f t="shared" ref="CM84:DR84" si="89">CM18/CH18-1</f>
        <v>0.12036905781104479</v>
      </c>
      <c r="CN84" s="451">
        <f t="shared" si="89"/>
        <v>0.12316192257710701</v>
      </c>
      <c r="CO84" s="62">
        <f t="shared" si="89"/>
        <v>0.11896161107956882</v>
      </c>
      <c r="CP84" s="451">
        <f t="shared" si="89"/>
        <v>9.5007140937196866E-2</v>
      </c>
      <c r="CQ84" s="451">
        <f t="shared" si="89"/>
        <v>9.4873844006797103E-2</v>
      </c>
      <c r="CR84" s="451">
        <f t="shared" si="89"/>
        <v>9.4745066621955809E-2</v>
      </c>
      <c r="CS84" s="451">
        <f t="shared" si="89"/>
        <v>9.4621321470760744E-2</v>
      </c>
      <c r="CT84" s="62">
        <f t="shared" si="89"/>
        <v>9.4808857525679358E-2</v>
      </c>
      <c r="CU84" s="451">
        <f t="shared" si="89"/>
        <v>9.2140059065881408E-2</v>
      </c>
      <c r="CV84" s="451">
        <f t="shared" si="89"/>
        <v>9.2001484280664014E-2</v>
      </c>
      <c r="CW84" s="451">
        <f t="shared" si="89"/>
        <v>9.1867575942105484E-2</v>
      </c>
      <c r="CX84" s="451">
        <f t="shared" si="89"/>
        <v>9.1738870654776372E-2</v>
      </c>
      <c r="CY84" s="62">
        <f t="shared" si="89"/>
        <v>9.193391244205551E-2</v>
      </c>
      <c r="CZ84" s="451">
        <f t="shared" si="89"/>
        <v>1.110553228856781E-2</v>
      </c>
      <c r="DA84" s="451">
        <f t="shared" si="89"/>
        <v>1.0275324184537249E-2</v>
      </c>
      <c r="DB84" s="451">
        <f t="shared" si="89"/>
        <v>9.4728727761876907E-3</v>
      </c>
      <c r="DC84" s="451">
        <f t="shared" si="89"/>
        <v>8.7014153468845112E-3</v>
      </c>
      <c r="DD84" s="62">
        <f t="shared" si="89"/>
        <v>9.8704216705489678E-3</v>
      </c>
      <c r="DE84" s="451">
        <f t="shared" si="89"/>
        <v>-0.11231947747604376</v>
      </c>
      <c r="DF84" s="451">
        <f t="shared" si="89"/>
        <v>-0.11333321813070807</v>
      </c>
      <c r="DG84" s="451">
        <f t="shared" si="89"/>
        <v>-0.1143146507147621</v>
      </c>
      <c r="DH84" s="451">
        <f t="shared" si="89"/>
        <v>-0.11525964854242754</v>
      </c>
      <c r="DI84" s="62">
        <f t="shared" si="89"/>
        <v>-0.11382823637202466</v>
      </c>
      <c r="DJ84" s="451">
        <f t="shared" si="89"/>
        <v>-0.3846624161194323</v>
      </c>
      <c r="DK84" s="451">
        <f t="shared" si="89"/>
        <v>-0.38462833768778082</v>
      </c>
      <c r="DL84" s="451">
        <f t="shared" si="89"/>
        <v>-0.38459527101950663</v>
      </c>
      <c r="DM84" s="451">
        <f t="shared" si="89"/>
        <v>-0.38456336259367685</v>
      </c>
      <c r="DN84" s="62">
        <f t="shared" si="89"/>
        <v>-0.38461166856591456</v>
      </c>
      <c r="DO84" s="451">
        <f t="shared" si="89"/>
        <v>-0.66974619248888712</v>
      </c>
      <c r="DP84" s="451">
        <f t="shared" si="89"/>
        <v>-0.66856532550446435</v>
      </c>
      <c r="DQ84" s="451">
        <f t="shared" si="89"/>
        <v>-0.66741964260149245</v>
      </c>
      <c r="DR84" s="451">
        <f t="shared" si="89"/>
        <v>-0.66631420681612274</v>
      </c>
      <c r="DS84" s="62">
        <f t="shared" ref="DS84:EM84" si="90">DS18/DN18-1</f>
        <v>-0.66798776393577741</v>
      </c>
      <c r="DT84" s="451">
        <f t="shared" si="90"/>
        <v>-0.33772966516720215</v>
      </c>
      <c r="DU84" s="451">
        <f t="shared" si="90"/>
        <v>-0.33692639389202772</v>
      </c>
      <c r="DV84" s="451">
        <f t="shared" si="90"/>
        <v>-0.33615250800571606</v>
      </c>
      <c r="DW84" s="451">
        <f t="shared" si="90"/>
        <v>-0.33541084564529611</v>
      </c>
      <c r="DX84" s="62">
        <f t="shared" si="90"/>
        <v>-0.33653559503260477</v>
      </c>
      <c r="DY84" s="451">
        <f t="shared" si="90"/>
        <v>-0.32167950116143607</v>
      </c>
      <c r="DZ84" s="451">
        <f t="shared" si="90"/>
        <v>-0.32156107012538837</v>
      </c>
      <c r="EA84" s="451">
        <f t="shared" si="90"/>
        <v>-0.32144724262443736</v>
      </c>
      <c r="EB84" s="451">
        <f t="shared" si="90"/>
        <v>-0.32133840350856846</v>
      </c>
      <c r="EC84" s="62">
        <f t="shared" si="90"/>
        <v>-0.32150355603529657</v>
      </c>
      <c r="ED84" s="451">
        <f t="shared" si="90"/>
        <v>-0.39386413957076294</v>
      </c>
      <c r="EE84" s="451">
        <f t="shared" si="90"/>
        <v>-0.39457250220384277</v>
      </c>
      <c r="EF84" s="451">
        <f t="shared" si="90"/>
        <v>-0.3952530970220185</v>
      </c>
      <c r="EG84" s="451">
        <f t="shared" si="90"/>
        <v>-0.39590365188603671</v>
      </c>
      <c r="EH84" s="62">
        <f t="shared" si="90"/>
        <v>-0.39491641769168839</v>
      </c>
      <c r="EI84" s="451">
        <f t="shared" si="90"/>
        <v>-0.41434780360056322</v>
      </c>
      <c r="EJ84" s="451">
        <f t="shared" si="90"/>
        <v>-0.41408713302197064</v>
      </c>
      <c r="EK84" s="451">
        <f t="shared" si="90"/>
        <v>-0.41383610550157057</v>
      </c>
      <c r="EL84" s="451">
        <f t="shared" si="90"/>
        <v>-0.41359562904816993</v>
      </c>
      <c r="EM84" s="62">
        <f t="shared" si="90"/>
        <v>-0.41396035536656206</v>
      </c>
    </row>
    <row r="85" spans="2:143">
      <c r="B85" s="10" t="s">
        <v>96</v>
      </c>
      <c r="C85" s="51"/>
      <c r="D85" s="61"/>
      <c r="E85" s="61"/>
      <c r="F85" s="61"/>
      <c r="G85" s="61"/>
      <c r="H85" s="62"/>
      <c r="I85" s="61"/>
      <c r="J85" s="61"/>
      <c r="K85" s="61"/>
      <c r="L85" s="61"/>
      <c r="M85" s="62"/>
      <c r="N85" s="61"/>
      <c r="O85" s="61"/>
      <c r="P85" s="61"/>
      <c r="Q85" s="61"/>
      <c r="R85" s="62"/>
      <c r="S85" s="61"/>
      <c r="T85" s="61"/>
      <c r="U85" s="61"/>
      <c r="V85" s="61"/>
      <c r="W85" s="62"/>
      <c r="X85" s="61"/>
      <c r="Y85" s="61"/>
      <c r="Z85" s="61"/>
      <c r="AA85" s="61"/>
      <c r="AB85" s="62"/>
      <c r="AC85" s="61"/>
      <c r="AD85" s="61"/>
      <c r="AE85" s="61"/>
      <c r="AF85" s="61"/>
      <c r="AG85" s="62"/>
      <c r="AH85" s="61"/>
      <c r="AI85" s="61"/>
      <c r="AJ85" s="61"/>
      <c r="AK85" s="61"/>
      <c r="AL85" s="62"/>
      <c r="AM85" s="61"/>
      <c r="AN85" s="61"/>
      <c r="AO85" s="61"/>
      <c r="AP85" s="61"/>
      <c r="AQ85" s="62"/>
      <c r="AR85" s="61"/>
      <c r="AS85" s="61"/>
      <c r="AT85" s="61"/>
      <c r="AU85" s="61"/>
      <c r="AV85" s="62"/>
      <c r="AW85" s="451"/>
      <c r="AX85" s="451"/>
      <c r="AY85" s="451"/>
      <c r="AZ85" s="451"/>
      <c r="BA85" s="62"/>
      <c r="BB85" s="451"/>
      <c r="BC85" s="451"/>
      <c r="BD85" s="451"/>
      <c r="BE85" s="451"/>
      <c r="BF85" s="62"/>
      <c r="BG85" s="451"/>
      <c r="BH85" s="451">
        <f t="shared" ref="BH85:BQ86" si="91">BH20/BC20-1</f>
        <v>0.80589254766031182</v>
      </c>
      <c r="BI85" s="451">
        <f t="shared" si="91"/>
        <v>0.53636363636363638</v>
      </c>
      <c r="BJ85" s="451">
        <f t="shared" si="91"/>
        <v>0.48089887640449458</v>
      </c>
      <c r="BK85" s="62">
        <f t="shared" si="91"/>
        <v>0.98033080017881091</v>
      </c>
      <c r="BL85" s="451">
        <f t="shared" si="91"/>
        <v>0.44757609921082309</v>
      </c>
      <c r="BM85" s="451">
        <f t="shared" si="91"/>
        <v>0.37811900191938563</v>
      </c>
      <c r="BN85" s="451">
        <f t="shared" si="91"/>
        <v>0.268808114961961</v>
      </c>
      <c r="BO85" s="451">
        <f t="shared" si="91"/>
        <v>0.28755690440060677</v>
      </c>
      <c r="BP85" s="62">
        <f t="shared" si="91"/>
        <v>0.33589164785553027</v>
      </c>
      <c r="BQ85" s="451">
        <f t="shared" si="91"/>
        <v>0.32943925233644844</v>
      </c>
      <c r="BR85" s="451">
        <f t="shared" ref="BR85:CA86" si="92">BR20/BM20-1</f>
        <v>0.28760445682451263</v>
      </c>
      <c r="BS85" s="451">
        <f t="shared" si="92"/>
        <v>0.35443037974683556</v>
      </c>
      <c r="BT85" s="451">
        <f t="shared" si="92"/>
        <v>0.28815556865055991</v>
      </c>
      <c r="BU85" s="62">
        <f t="shared" si="92"/>
        <v>0.31378844204123046</v>
      </c>
      <c r="BV85" s="451">
        <f t="shared" si="92"/>
        <v>0.26537785588752216</v>
      </c>
      <c r="BW85" s="451">
        <f t="shared" si="92"/>
        <v>0.30340724716062728</v>
      </c>
      <c r="BX85" s="451">
        <f t="shared" si="92"/>
        <v>0.31824889326119021</v>
      </c>
      <c r="BY85" s="451">
        <f t="shared" si="92"/>
        <v>0.29460201280878318</v>
      </c>
      <c r="BZ85" s="62">
        <f t="shared" si="92"/>
        <v>0.29646302250803847</v>
      </c>
      <c r="CA85" s="451">
        <f t="shared" si="92"/>
        <v>0.11207336815615854</v>
      </c>
      <c r="CB85" s="451">
        <f t="shared" ref="CB85:CK86" si="93">CB20/BW20-1</f>
        <v>0.11207336815615854</v>
      </c>
      <c r="CC85" s="451">
        <f t="shared" si="93"/>
        <v>0.11207336815615854</v>
      </c>
      <c r="CD85" s="451">
        <f t="shared" si="93"/>
        <v>0.11207336815615854</v>
      </c>
      <c r="CE85" s="62">
        <f t="shared" si="93"/>
        <v>0.11207336815615854</v>
      </c>
      <c r="CF85" s="451">
        <f t="shared" si="93"/>
        <v>0.26644514644903117</v>
      </c>
      <c r="CG85" s="451">
        <f t="shared" si="93"/>
        <v>0.16656939353031608</v>
      </c>
      <c r="CH85" s="451">
        <f t="shared" si="93"/>
        <v>7.7409306175148185E-2</v>
      </c>
      <c r="CI85" s="451">
        <f t="shared" si="93"/>
        <v>4.7166658194605082E-2</v>
      </c>
      <c r="CJ85" s="62">
        <f t="shared" si="93"/>
        <v>0.13075459504377784</v>
      </c>
      <c r="CK85" s="451">
        <f t="shared" si="93"/>
        <v>0.15540908435376322</v>
      </c>
      <c r="CL85" s="451">
        <f t="shared" ref="CL85:CU86" si="94">CL20/CG20-1</f>
        <v>0.13949230453912143</v>
      </c>
      <c r="CM85" s="451">
        <f t="shared" si="94"/>
        <v>0.12436807101541891</v>
      </c>
      <c r="CN85" s="451">
        <f t="shared" si="94"/>
        <v>0.1100633589081681</v>
      </c>
      <c r="CO85" s="62">
        <f t="shared" si="94"/>
        <v>0.13182930712205376</v>
      </c>
      <c r="CP85" s="451">
        <f t="shared" si="94"/>
        <v>0.11068161702850365</v>
      </c>
      <c r="CQ85" s="451">
        <f t="shared" si="94"/>
        <v>0.11068161702850365</v>
      </c>
      <c r="CR85" s="451">
        <f t="shared" si="94"/>
        <v>0.11068161702850388</v>
      </c>
      <c r="CS85" s="451">
        <f t="shared" si="94"/>
        <v>0.11068161702850365</v>
      </c>
      <c r="CT85" s="62">
        <f t="shared" si="94"/>
        <v>0.11068161702850365</v>
      </c>
      <c r="CU85" s="451">
        <f t="shared" si="94"/>
        <v>0.1082032416680172</v>
      </c>
      <c r="CV85" s="451">
        <f t="shared" ref="CV85:DE86" si="95">CV20/CQ20-1</f>
        <v>0.10820324166801742</v>
      </c>
      <c r="CW85" s="451">
        <f t="shared" si="95"/>
        <v>0.1082032416680172</v>
      </c>
      <c r="CX85" s="451">
        <f t="shared" si="95"/>
        <v>0.10820324166801742</v>
      </c>
      <c r="CY85" s="62">
        <f t="shared" si="95"/>
        <v>0.1082032416680172</v>
      </c>
      <c r="CZ85" s="451">
        <f t="shared" si="95"/>
        <v>0.10593387554470657</v>
      </c>
      <c r="DA85" s="451">
        <f t="shared" si="95"/>
        <v>0.10593387554470657</v>
      </c>
      <c r="DB85" s="451">
        <f t="shared" si="95"/>
        <v>0.10593387554470657</v>
      </c>
      <c r="DC85" s="451">
        <f t="shared" si="95"/>
        <v>0.10593387554470679</v>
      </c>
      <c r="DD85" s="62">
        <f t="shared" si="95"/>
        <v>0.10593387554470657</v>
      </c>
      <c r="DE85" s="451">
        <f t="shared" si="95"/>
        <v>-6.5431114058569495E-3</v>
      </c>
      <c r="DF85" s="451">
        <f t="shared" ref="DF85:DO86" si="96">DF20/DA20-1</f>
        <v>-6.5431114058568385E-3</v>
      </c>
      <c r="DG85" s="451">
        <f t="shared" si="96"/>
        <v>-6.5431114058569495E-3</v>
      </c>
      <c r="DH85" s="451">
        <f t="shared" si="96"/>
        <v>-6.5431114058569495E-3</v>
      </c>
      <c r="DI85" s="62">
        <f t="shared" si="96"/>
        <v>-6.5431114058569495E-3</v>
      </c>
      <c r="DJ85" s="451">
        <f t="shared" si="96"/>
        <v>-0.38783602053424437</v>
      </c>
      <c r="DK85" s="451">
        <f t="shared" si="96"/>
        <v>-0.38783602053424437</v>
      </c>
      <c r="DL85" s="451">
        <f t="shared" si="96"/>
        <v>-0.38783602053424437</v>
      </c>
      <c r="DM85" s="451">
        <f t="shared" si="96"/>
        <v>-0.38783602053424437</v>
      </c>
      <c r="DN85" s="62">
        <f t="shared" si="96"/>
        <v>-0.38783602053424437</v>
      </c>
      <c r="DO85" s="451">
        <f t="shared" si="96"/>
        <v>-0.78029241177411157</v>
      </c>
      <c r="DP85" s="451">
        <f t="shared" ref="DP85:DY86" si="97">DP20/DK20-1</f>
        <v>-0.78029241177411157</v>
      </c>
      <c r="DQ85" s="451">
        <f t="shared" si="97"/>
        <v>-0.78029241177411157</v>
      </c>
      <c r="DR85" s="451">
        <f t="shared" si="97"/>
        <v>-0.78029241177411157</v>
      </c>
      <c r="DS85" s="62">
        <f t="shared" si="97"/>
        <v>-0.78029241177411157</v>
      </c>
      <c r="DT85" s="451">
        <f t="shared" si="97"/>
        <v>-0.45116752804625893</v>
      </c>
      <c r="DU85" s="451">
        <f t="shared" si="97"/>
        <v>-0.45116752804625893</v>
      </c>
      <c r="DV85" s="451">
        <f t="shared" si="97"/>
        <v>-0.45116752804625893</v>
      </c>
      <c r="DW85" s="451">
        <f t="shared" si="97"/>
        <v>-0.45116752804625904</v>
      </c>
      <c r="DX85" s="62">
        <f t="shared" si="97"/>
        <v>-0.45116752804625904</v>
      </c>
      <c r="DY85" s="451">
        <f t="shared" si="97"/>
        <v>-0.34188563707496045</v>
      </c>
      <c r="DZ85" s="451">
        <f t="shared" ref="DZ85:EI86" si="98">DZ20/DU20-1</f>
        <v>-0.34188563707496045</v>
      </c>
      <c r="EA85" s="451">
        <f t="shared" si="98"/>
        <v>-0.34188563707496034</v>
      </c>
      <c r="EB85" s="451">
        <f t="shared" si="98"/>
        <v>-0.34188563707496034</v>
      </c>
      <c r="EC85" s="62">
        <f t="shared" si="98"/>
        <v>-0.34188563707496045</v>
      </c>
      <c r="ED85" s="451">
        <f t="shared" si="98"/>
        <v>-0.26927425706180774</v>
      </c>
      <c r="EE85" s="451">
        <f t="shared" si="98"/>
        <v>-0.26927425706180774</v>
      </c>
      <c r="EF85" s="451">
        <f t="shared" si="98"/>
        <v>-0.26927425706180774</v>
      </c>
      <c r="EG85" s="451">
        <f t="shared" si="98"/>
        <v>-0.26927425706180774</v>
      </c>
      <c r="EH85" s="62">
        <f t="shared" si="98"/>
        <v>-0.26927425706180774</v>
      </c>
      <c r="EI85" s="451">
        <f t="shared" si="98"/>
        <v>-0.45233409393646384</v>
      </c>
      <c r="EJ85" s="451">
        <f t="shared" ref="EJ85:EM86" si="99">EJ20/EE20-1</f>
        <v>-0.45233409393646384</v>
      </c>
      <c r="EK85" s="451">
        <f t="shared" si="99"/>
        <v>-0.45233409393646384</v>
      </c>
      <c r="EL85" s="451">
        <f t="shared" si="99"/>
        <v>-0.45233409393646384</v>
      </c>
      <c r="EM85" s="62">
        <f t="shared" si="99"/>
        <v>-0.45233409393646384</v>
      </c>
    </row>
    <row r="86" spans="2:143">
      <c r="B86" s="10" t="s">
        <v>97</v>
      </c>
      <c r="C86" s="51"/>
      <c r="D86" s="61"/>
      <c r="E86" s="61"/>
      <c r="F86" s="61"/>
      <c r="G86" s="61"/>
      <c r="H86" s="62"/>
      <c r="I86" s="61"/>
      <c r="J86" s="61"/>
      <c r="K86" s="61"/>
      <c r="L86" s="61"/>
      <c r="M86" s="62"/>
      <c r="N86" s="61"/>
      <c r="O86" s="61"/>
      <c r="P86" s="61"/>
      <c r="Q86" s="61"/>
      <c r="R86" s="62"/>
      <c r="S86" s="61"/>
      <c r="T86" s="61"/>
      <c r="U86" s="61"/>
      <c r="V86" s="61"/>
      <c r="W86" s="62"/>
      <c r="X86" s="61"/>
      <c r="Y86" s="61"/>
      <c r="Z86" s="61"/>
      <c r="AA86" s="61"/>
      <c r="AB86" s="62"/>
      <c r="AC86" s="61"/>
      <c r="AD86" s="61"/>
      <c r="AE86" s="61"/>
      <c r="AF86" s="61"/>
      <c r="AG86" s="62"/>
      <c r="AH86" s="61"/>
      <c r="AI86" s="61"/>
      <c r="AJ86" s="61"/>
      <c r="AK86" s="61"/>
      <c r="AL86" s="62"/>
      <c r="AM86" s="61"/>
      <c r="AN86" s="61"/>
      <c r="AO86" s="61"/>
      <c r="AP86" s="61"/>
      <c r="AQ86" s="62"/>
      <c r="AR86" s="61"/>
      <c r="AS86" s="61"/>
      <c r="AT86" s="61"/>
      <c r="AU86" s="61"/>
      <c r="AV86" s="62"/>
      <c r="AW86" s="451"/>
      <c r="AX86" s="451"/>
      <c r="AY86" s="451"/>
      <c r="AZ86" s="451"/>
      <c r="BA86" s="62"/>
      <c r="BB86" s="451"/>
      <c r="BC86" s="451"/>
      <c r="BD86" s="451"/>
      <c r="BE86" s="451"/>
      <c r="BF86" s="62"/>
      <c r="BG86" s="451"/>
      <c r="BH86" s="451">
        <f t="shared" si="91"/>
        <v>5.6705882352941179</v>
      </c>
      <c r="BI86" s="451">
        <f t="shared" si="91"/>
        <v>4.024</v>
      </c>
      <c r="BJ86" s="451">
        <f t="shared" si="91"/>
        <v>1.1968749999999999</v>
      </c>
      <c r="BK86" s="62">
        <f t="shared" si="91"/>
        <v>3.4660377358490564</v>
      </c>
      <c r="BL86" s="451">
        <f t="shared" si="91"/>
        <v>0.49466950959488276</v>
      </c>
      <c r="BM86" s="451">
        <f t="shared" si="91"/>
        <v>0.60317460317460325</v>
      </c>
      <c r="BN86" s="451">
        <f t="shared" si="91"/>
        <v>0.69426751592356695</v>
      </c>
      <c r="BO86" s="451">
        <f t="shared" si="91"/>
        <v>0.76529160739687052</v>
      </c>
      <c r="BP86" s="62">
        <f t="shared" si="91"/>
        <v>0.6539923954372624</v>
      </c>
      <c r="BQ86" s="451">
        <f t="shared" si="91"/>
        <v>0.47360912981455061</v>
      </c>
      <c r="BR86" s="451">
        <f t="shared" si="92"/>
        <v>0.46094609460946101</v>
      </c>
      <c r="BS86" s="451">
        <f t="shared" si="92"/>
        <v>0.29511278195488733</v>
      </c>
      <c r="BT86" s="451">
        <f t="shared" si="92"/>
        <v>0.28364222401289307</v>
      </c>
      <c r="BU86" s="62">
        <f t="shared" si="92"/>
        <v>0.36194125159642421</v>
      </c>
      <c r="BV86" s="451">
        <f t="shared" si="92"/>
        <v>0.4327202323330106</v>
      </c>
      <c r="BW86" s="451">
        <f t="shared" si="92"/>
        <v>0.12951807228915646</v>
      </c>
      <c r="BX86" s="451">
        <f t="shared" si="92"/>
        <v>8.1277213352684896E-2</v>
      </c>
      <c r="BY86" s="451">
        <f t="shared" si="92"/>
        <v>-1.8832391713747842E-3</v>
      </c>
      <c r="BZ86" s="62">
        <f t="shared" si="92"/>
        <v>0.13653413353338317</v>
      </c>
      <c r="CA86" s="451">
        <f t="shared" si="92"/>
        <v>0.2280491473245454</v>
      </c>
      <c r="CB86" s="451">
        <f t="shared" si="93"/>
        <v>0.2280491473245454</v>
      </c>
      <c r="CC86" s="451">
        <f t="shared" si="93"/>
        <v>0.2280491473245454</v>
      </c>
      <c r="CD86" s="451">
        <f t="shared" si="93"/>
        <v>0.2280491473245454</v>
      </c>
      <c r="CE86" s="62">
        <f t="shared" si="93"/>
        <v>0.2280491473245454</v>
      </c>
      <c r="CF86" s="451">
        <f t="shared" si="93"/>
        <v>0.16088565959740064</v>
      </c>
      <c r="CG86" s="451">
        <f t="shared" si="93"/>
        <v>0.14540718413610176</v>
      </c>
      <c r="CH86" s="451">
        <f t="shared" si="93"/>
        <v>0.15309448067392806</v>
      </c>
      <c r="CI86" s="451">
        <f t="shared" si="93"/>
        <v>8.0572815222737626E-2</v>
      </c>
      <c r="CJ86" s="62">
        <f t="shared" si="93"/>
        <v>0.13406651894663546</v>
      </c>
      <c r="CK86" s="451">
        <f t="shared" si="93"/>
        <v>5.5650432225186508E-2</v>
      </c>
      <c r="CL86" s="451">
        <f t="shared" si="94"/>
        <v>8.4944731719435618E-2</v>
      </c>
      <c r="CM86" s="451">
        <f t="shared" si="94"/>
        <v>0.1142830166483606</v>
      </c>
      <c r="CN86" s="451">
        <f t="shared" si="94"/>
        <v>0.14362130157728559</v>
      </c>
      <c r="CO86" s="62">
        <f t="shared" si="94"/>
        <v>9.9635866901236048E-2</v>
      </c>
      <c r="CP86" s="451">
        <f t="shared" si="94"/>
        <v>7.0271945420399495E-2</v>
      </c>
      <c r="CQ86" s="451">
        <f t="shared" si="94"/>
        <v>7.0271945420399495E-2</v>
      </c>
      <c r="CR86" s="451">
        <f t="shared" si="94"/>
        <v>7.0271945420399273E-2</v>
      </c>
      <c r="CS86" s="451">
        <f t="shared" si="94"/>
        <v>7.0271945420399495E-2</v>
      </c>
      <c r="CT86" s="62">
        <f t="shared" si="94"/>
        <v>7.0271945420399495E-2</v>
      </c>
      <c r="CU86" s="451">
        <f t="shared" si="94"/>
        <v>6.5834389989029463E-2</v>
      </c>
      <c r="CV86" s="451">
        <f t="shared" si="95"/>
        <v>6.5834389989029463E-2</v>
      </c>
      <c r="CW86" s="451">
        <f t="shared" si="95"/>
        <v>6.5834389989029685E-2</v>
      </c>
      <c r="CX86" s="451">
        <f t="shared" si="95"/>
        <v>6.5834389989029463E-2</v>
      </c>
      <c r="CY86" s="62">
        <f t="shared" si="95"/>
        <v>6.5834389989029463E-2</v>
      </c>
      <c r="CZ86" s="451">
        <f t="shared" si="95"/>
        <v>-0.15036214811825177</v>
      </c>
      <c r="DA86" s="451">
        <f t="shared" si="95"/>
        <v>-0.15036214811825177</v>
      </c>
      <c r="DB86" s="451">
        <f t="shared" si="95"/>
        <v>-0.15036214811825177</v>
      </c>
      <c r="DC86" s="451">
        <f t="shared" si="95"/>
        <v>-0.15036214811825166</v>
      </c>
      <c r="DD86" s="62">
        <f t="shared" si="95"/>
        <v>-0.15036214811825166</v>
      </c>
      <c r="DE86" s="451">
        <f t="shared" si="95"/>
        <v>-0.34675930591431314</v>
      </c>
      <c r="DF86" s="451">
        <f t="shared" si="96"/>
        <v>-0.34675930591431314</v>
      </c>
      <c r="DG86" s="451">
        <f t="shared" si="96"/>
        <v>-0.34675930591431303</v>
      </c>
      <c r="DH86" s="451">
        <f t="shared" si="96"/>
        <v>-0.34675930591431314</v>
      </c>
      <c r="DI86" s="62">
        <f t="shared" si="96"/>
        <v>-0.34675930591431314</v>
      </c>
      <c r="DJ86" s="451">
        <f t="shared" si="96"/>
        <v>-0.37396518602156958</v>
      </c>
      <c r="DK86" s="451">
        <f t="shared" si="96"/>
        <v>-0.37396518602156958</v>
      </c>
      <c r="DL86" s="451">
        <f t="shared" si="96"/>
        <v>-0.3739651860215697</v>
      </c>
      <c r="DM86" s="451">
        <f t="shared" si="96"/>
        <v>-0.37396518602156958</v>
      </c>
      <c r="DN86" s="62">
        <f t="shared" si="96"/>
        <v>-0.37396518602156958</v>
      </c>
      <c r="DO86" s="451">
        <f t="shared" si="96"/>
        <v>-0.30538532568771215</v>
      </c>
      <c r="DP86" s="451">
        <f t="shared" si="97"/>
        <v>-0.30538532568771215</v>
      </c>
      <c r="DQ86" s="451">
        <f t="shared" si="97"/>
        <v>-0.30538532568771215</v>
      </c>
      <c r="DR86" s="451">
        <f t="shared" si="97"/>
        <v>-0.30538532568771226</v>
      </c>
      <c r="DS86" s="62">
        <f t="shared" si="97"/>
        <v>-0.30538532568771215</v>
      </c>
      <c r="DT86" s="451">
        <f t="shared" si="97"/>
        <v>-0.21946718810012178</v>
      </c>
      <c r="DU86" s="451">
        <f t="shared" si="97"/>
        <v>-0.21946718810012189</v>
      </c>
      <c r="DV86" s="451">
        <f t="shared" si="97"/>
        <v>-0.21946718810012178</v>
      </c>
      <c r="DW86" s="451">
        <f t="shared" si="97"/>
        <v>-0.21946718810012178</v>
      </c>
      <c r="DX86" s="62">
        <f t="shared" si="97"/>
        <v>-0.21946718810012178</v>
      </c>
      <c r="DY86" s="451">
        <f t="shared" si="97"/>
        <v>-0.3068672577825069</v>
      </c>
      <c r="DZ86" s="451">
        <f t="shared" si="98"/>
        <v>-0.30686725778250679</v>
      </c>
      <c r="EA86" s="451">
        <f t="shared" si="98"/>
        <v>-0.3068672577825069</v>
      </c>
      <c r="EB86" s="451">
        <f t="shared" si="98"/>
        <v>-0.30686725778250667</v>
      </c>
      <c r="EC86" s="62">
        <f t="shared" si="98"/>
        <v>-0.30686725778250679</v>
      </c>
      <c r="ED86" s="451">
        <f t="shared" si="98"/>
        <v>-0.48058135029616911</v>
      </c>
      <c r="EE86" s="451">
        <f t="shared" si="98"/>
        <v>-0.48058135029616911</v>
      </c>
      <c r="EF86" s="451">
        <f t="shared" si="98"/>
        <v>-0.48058135029616911</v>
      </c>
      <c r="EG86" s="451">
        <f t="shared" si="98"/>
        <v>-0.48058135029616911</v>
      </c>
      <c r="EH86" s="62">
        <f t="shared" si="98"/>
        <v>-0.48058135029616911</v>
      </c>
      <c r="EI86" s="451">
        <f t="shared" si="98"/>
        <v>-0.37715265690482258</v>
      </c>
      <c r="EJ86" s="451">
        <f t="shared" si="99"/>
        <v>-0.37715265690482258</v>
      </c>
      <c r="EK86" s="451">
        <f t="shared" si="99"/>
        <v>-0.37715265690482269</v>
      </c>
      <c r="EL86" s="451">
        <f t="shared" si="99"/>
        <v>-0.37715265690482269</v>
      </c>
      <c r="EM86" s="62">
        <f t="shared" si="99"/>
        <v>-0.37715265690482258</v>
      </c>
    </row>
    <row r="87" spans="2:143" ht="6.75" customHeight="1">
      <c r="B87" s="10"/>
      <c r="C87" s="51"/>
      <c r="D87" s="61"/>
      <c r="E87" s="61"/>
      <c r="F87" s="61"/>
      <c r="G87" s="61"/>
      <c r="H87" s="62"/>
      <c r="I87" s="61"/>
      <c r="J87" s="61"/>
      <c r="K87" s="61"/>
      <c r="L87" s="61"/>
      <c r="M87" s="62"/>
      <c r="N87" s="61"/>
      <c r="O87" s="61"/>
      <c r="P87" s="61"/>
      <c r="Q87" s="61"/>
      <c r="R87" s="62"/>
      <c r="S87" s="61"/>
      <c r="T87" s="61"/>
      <c r="U87" s="61"/>
      <c r="V87" s="61"/>
      <c r="W87" s="62"/>
      <c r="X87" s="61"/>
      <c r="Y87" s="61"/>
      <c r="Z87" s="61"/>
      <c r="AA87" s="61"/>
      <c r="AB87" s="62"/>
      <c r="AC87" s="61"/>
      <c r="AD87" s="61"/>
      <c r="AE87" s="61"/>
      <c r="AF87" s="61"/>
      <c r="AG87" s="62"/>
      <c r="AH87" s="61"/>
      <c r="AI87" s="61"/>
      <c r="AJ87" s="61"/>
      <c r="AK87" s="61"/>
      <c r="AL87" s="62"/>
      <c r="AM87" s="61"/>
      <c r="AN87" s="61"/>
      <c r="AO87" s="61"/>
      <c r="AP87" s="61"/>
      <c r="AQ87" s="62"/>
      <c r="AR87" s="61"/>
      <c r="AS87" s="61"/>
      <c r="AT87" s="61"/>
      <c r="AU87" s="61"/>
      <c r="AV87" s="62"/>
      <c r="AW87" s="451"/>
      <c r="AX87" s="451"/>
      <c r="AY87" s="451"/>
      <c r="AZ87" s="451"/>
      <c r="BA87" s="62"/>
      <c r="BB87" s="451"/>
      <c r="BC87" s="451"/>
      <c r="BD87" s="451"/>
      <c r="BE87" s="451"/>
      <c r="BF87" s="62"/>
      <c r="BG87" s="451"/>
      <c r="BH87" s="451"/>
      <c r="BI87" s="451"/>
      <c r="BJ87" s="451"/>
      <c r="BK87" s="62"/>
      <c r="BL87" s="451"/>
      <c r="BM87" s="451"/>
      <c r="BN87" s="451"/>
      <c r="BO87" s="451"/>
      <c r="BP87" s="62"/>
      <c r="BQ87" s="451"/>
      <c r="BR87" s="451"/>
      <c r="BS87" s="451"/>
      <c r="BT87" s="451"/>
      <c r="BU87" s="62"/>
      <c r="BV87" s="451"/>
      <c r="BW87" s="451"/>
      <c r="BX87" s="451"/>
      <c r="BY87" s="451"/>
      <c r="BZ87" s="62"/>
      <c r="CA87" s="451"/>
      <c r="CB87" s="451"/>
      <c r="CC87" s="451"/>
      <c r="CD87" s="451"/>
      <c r="CE87" s="62"/>
      <c r="CF87" s="451"/>
      <c r="CG87" s="451"/>
      <c r="CH87" s="451"/>
      <c r="CI87" s="451"/>
      <c r="CJ87" s="62"/>
      <c r="CK87" s="451"/>
      <c r="CL87" s="451"/>
      <c r="CM87" s="451"/>
      <c r="CN87" s="451"/>
      <c r="CO87" s="62"/>
      <c r="CP87" s="451"/>
      <c r="CQ87" s="451"/>
      <c r="CR87" s="451"/>
      <c r="CS87" s="451"/>
      <c r="CT87" s="62"/>
      <c r="CU87" s="451"/>
      <c r="CV87" s="451"/>
      <c r="CW87" s="451"/>
      <c r="CX87" s="451"/>
      <c r="CY87" s="62"/>
      <c r="CZ87" s="451"/>
      <c r="DA87" s="451"/>
      <c r="DB87" s="451"/>
      <c r="DC87" s="451"/>
      <c r="DD87" s="62"/>
      <c r="DE87" s="451"/>
      <c r="DF87" s="451"/>
      <c r="DG87" s="451"/>
      <c r="DH87" s="451"/>
      <c r="DI87" s="62"/>
      <c r="DJ87" s="451"/>
      <c r="DK87" s="451"/>
      <c r="DL87" s="451"/>
      <c r="DM87" s="451"/>
      <c r="DN87" s="62"/>
      <c r="DO87" s="451"/>
      <c r="DP87" s="451"/>
      <c r="DQ87" s="451"/>
      <c r="DR87" s="451"/>
      <c r="DS87" s="62"/>
      <c r="DT87" s="451"/>
      <c r="DU87" s="451"/>
      <c r="DV87" s="451"/>
      <c r="DW87" s="451"/>
      <c r="DX87" s="62"/>
      <c r="DY87" s="451"/>
      <c r="DZ87" s="451"/>
      <c r="EA87" s="451"/>
      <c r="EB87" s="451"/>
      <c r="EC87" s="62"/>
      <c r="ED87" s="451"/>
      <c r="EE87" s="451"/>
      <c r="EF87" s="451"/>
      <c r="EG87" s="451"/>
      <c r="EH87" s="62"/>
      <c r="EI87" s="451"/>
      <c r="EJ87" s="451"/>
      <c r="EK87" s="451"/>
      <c r="EL87" s="451"/>
      <c r="EM87" s="62"/>
    </row>
    <row r="88" spans="2:143">
      <c r="B88" s="25" t="s">
        <v>778</v>
      </c>
      <c r="C88" s="51"/>
      <c r="D88" s="61"/>
      <c r="E88" s="61"/>
      <c r="F88" s="61"/>
      <c r="G88" s="61"/>
      <c r="H88" s="62"/>
      <c r="I88" s="61"/>
      <c r="J88" s="61"/>
      <c r="K88" s="61"/>
      <c r="L88" s="61"/>
      <c r="M88" s="62"/>
      <c r="N88" s="61"/>
      <c r="O88" s="61"/>
      <c r="P88" s="61"/>
      <c r="Q88" s="61"/>
      <c r="R88" s="62"/>
      <c r="S88" s="61"/>
      <c r="T88" s="61"/>
      <c r="U88" s="61"/>
      <c r="V88" s="61"/>
      <c r="W88" s="62"/>
      <c r="X88" s="61"/>
      <c r="Y88" s="61"/>
      <c r="Z88" s="61"/>
      <c r="AA88" s="61"/>
      <c r="AB88" s="62"/>
      <c r="AC88" s="61"/>
      <c r="AD88" s="61"/>
      <c r="AE88" s="61"/>
      <c r="AF88" s="61"/>
      <c r="AG88" s="62"/>
      <c r="AH88" s="61"/>
      <c r="AI88" s="61"/>
      <c r="AJ88" s="61"/>
      <c r="AK88" s="61"/>
      <c r="AL88" s="62"/>
      <c r="AM88" s="61"/>
      <c r="AN88" s="61"/>
      <c r="AO88" s="61"/>
      <c r="AP88" s="61"/>
      <c r="AQ88" s="62"/>
      <c r="AR88" s="61"/>
      <c r="AS88" s="61"/>
      <c r="AT88" s="61"/>
      <c r="AU88" s="61"/>
      <c r="AV88" s="62"/>
      <c r="AW88" s="451"/>
      <c r="AX88" s="451"/>
      <c r="AY88" s="451"/>
      <c r="AZ88" s="451"/>
      <c r="BA88" s="62"/>
      <c r="BB88" s="451"/>
      <c r="BC88" s="451"/>
      <c r="BD88" s="451"/>
      <c r="BE88" s="451"/>
      <c r="BF88" s="62"/>
      <c r="BG88" s="451"/>
      <c r="BH88" s="451"/>
      <c r="BI88" s="451"/>
      <c r="BJ88" s="451"/>
      <c r="BK88" s="62"/>
      <c r="BL88" s="451"/>
      <c r="BM88" s="451"/>
      <c r="BN88" s="451">
        <f t="shared" ref="BN88:CS88" si="100">BN23/BI23-1</f>
        <v>6.8806818181818183</v>
      </c>
      <c r="BO88" s="451">
        <f t="shared" si="100"/>
        <v>2.8445378151260501</v>
      </c>
      <c r="BP88" s="62">
        <f t="shared" si="100"/>
        <v>5.7578796561604584</v>
      </c>
      <c r="BQ88" s="451">
        <f t="shared" si="100"/>
        <v>2.2437810945273635</v>
      </c>
      <c r="BR88" s="451">
        <f t="shared" si="100"/>
        <v>1.6967670011148273</v>
      </c>
      <c r="BS88" s="451">
        <f t="shared" si="100"/>
        <v>0.97981254506128335</v>
      </c>
      <c r="BT88" s="451">
        <f t="shared" si="100"/>
        <v>0.6672131147540985</v>
      </c>
      <c r="BU88" s="62">
        <f t="shared" si="100"/>
        <v>1.1564553741785031</v>
      </c>
      <c r="BV88" s="451">
        <f t="shared" si="100"/>
        <v>0.23721881390593036</v>
      </c>
      <c r="BW88" s="451">
        <f t="shared" si="100"/>
        <v>0.4799503927242661</v>
      </c>
      <c r="BX88" s="451">
        <f t="shared" si="100"/>
        <v>0.12163146394755997</v>
      </c>
      <c r="BY88" s="451">
        <f t="shared" si="100"/>
        <v>0.21599475581776462</v>
      </c>
      <c r="BZ88" s="62">
        <f t="shared" si="100"/>
        <v>0.25737318128195041</v>
      </c>
      <c r="CA88" s="451">
        <f t="shared" si="100"/>
        <v>0.39155603754534241</v>
      </c>
      <c r="CB88" s="451">
        <f t="shared" si="100"/>
        <v>0.10246467302004603</v>
      </c>
      <c r="CC88" s="451">
        <f t="shared" si="100"/>
        <v>0.17954398542633832</v>
      </c>
      <c r="CD88" s="451">
        <f t="shared" si="100"/>
        <v>8.1907099891865398E-2</v>
      </c>
      <c r="CE88" s="62">
        <f t="shared" si="100"/>
        <v>0.16976231086657045</v>
      </c>
      <c r="CF88" s="451">
        <f t="shared" si="100"/>
        <v>0.2754121892758834</v>
      </c>
      <c r="CG88" s="451">
        <f t="shared" si="100"/>
        <v>0.14883018725985453</v>
      </c>
      <c r="CH88" s="451">
        <f t="shared" si="100"/>
        <v>0.31390909599908556</v>
      </c>
      <c r="CI88" s="451">
        <f t="shared" si="100"/>
        <v>0.24882343401969287</v>
      </c>
      <c r="CJ88" s="62">
        <f t="shared" si="100"/>
        <v>0.24423422121316318</v>
      </c>
      <c r="CK88" s="451">
        <f t="shared" si="100"/>
        <v>0.21177848212023287</v>
      </c>
      <c r="CL88" s="451">
        <f t="shared" si="100"/>
        <v>0.17344454616791638</v>
      </c>
      <c r="CM88" s="451">
        <f t="shared" si="100"/>
        <v>0.13895242794888008</v>
      </c>
      <c r="CN88" s="451">
        <f t="shared" si="100"/>
        <v>0.10778179202649718</v>
      </c>
      <c r="CO88" s="62">
        <f t="shared" si="100"/>
        <v>0.1557712484981717</v>
      </c>
      <c r="CP88" s="451">
        <f t="shared" si="100"/>
        <v>7.9159999912189916E-2</v>
      </c>
      <c r="CQ88" s="451">
        <f t="shared" si="100"/>
        <v>7.9476443534196584E-2</v>
      </c>
      <c r="CR88" s="451">
        <f t="shared" si="100"/>
        <v>7.9779379230624503E-2</v>
      </c>
      <c r="CS88" s="451">
        <f t="shared" si="100"/>
        <v>8.0069202172358578E-2</v>
      </c>
      <c r="CT88" s="62">
        <f t="shared" ref="CT88:DY88" si="101">CT23/CO23-1</f>
        <v>7.9629318167490748E-2</v>
      </c>
      <c r="CU88" s="451">
        <f t="shared" si="101"/>
        <v>6.3204804629340305E-2</v>
      </c>
      <c r="CV88" s="451">
        <f t="shared" si="101"/>
        <v>6.3204684705406633E-2</v>
      </c>
      <c r="CW88" s="451">
        <f t="shared" si="101"/>
        <v>6.3204569966480495E-2</v>
      </c>
      <c r="CX88" s="451">
        <f t="shared" si="101"/>
        <v>6.3204460254342898E-2</v>
      </c>
      <c r="CY88" s="62">
        <f t="shared" si="101"/>
        <v>6.320462679506611E-2</v>
      </c>
      <c r="CZ88" s="451">
        <f t="shared" si="101"/>
        <v>6.3224635691458753E-2</v>
      </c>
      <c r="DA88" s="451">
        <f t="shared" si="101"/>
        <v>6.322451519557859E-2</v>
      </c>
      <c r="DB88" s="451">
        <f t="shared" si="101"/>
        <v>6.3224399909409534E-2</v>
      </c>
      <c r="DC88" s="451">
        <f t="shared" si="101"/>
        <v>6.3224289673980749E-2</v>
      </c>
      <c r="DD88" s="62">
        <f t="shared" si="101"/>
        <v>6.3224457009040114E-2</v>
      </c>
      <c r="DE88" s="451">
        <f t="shared" si="101"/>
        <v>6.3244560958798823E-2</v>
      </c>
      <c r="DF88" s="451">
        <f t="shared" si="101"/>
        <v>6.3244439892761406E-2</v>
      </c>
      <c r="DG88" s="451">
        <f t="shared" si="101"/>
        <v>6.3244324061059842E-2</v>
      </c>
      <c r="DH88" s="451">
        <f t="shared" si="101"/>
        <v>6.3244213303975449E-2</v>
      </c>
      <c r="DI88" s="62">
        <f t="shared" si="101"/>
        <v>6.3244381430888508E-2</v>
      </c>
      <c r="DJ88" s="451">
        <f t="shared" si="101"/>
        <v>-0.69802453029089273</v>
      </c>
      <c r="DK88" s="451">
        <f t="shared" si="101"/>
        <v>-0.69628118027388297</v>
      </c>
      <c r="DL88" s="451">
        <f t="shared" si="101"/>
        <v>-0.69461320428732964</v>
      </c>
      <c r="DM88" s="451">
        <f t="shared" si="101"/>
        <v>-0.69301830242131768</v>
      </c>
      <c r="DN88" s="62">
        <f t="shared" si="101"/>
        <v>-0.69543932960644628</v>
      </c>
      <c r="DO88" s="451">
        <f t="shared" si="101"/>
        <v>-0.69105113495527259</v>
      </c>
      <c r="DP88" s="451">
        <f t="shared" si="101"/>
        <v>-0.688282195107212</v>
      </c>
      <c r="DQ88" s="451">
        <f t="shared" si="101"/>
        <v>-0.68566256402201753</v>
      </c>
      <c r="DR88" s="451">
        <f t="shared" si="101"/>
        <v>-0.68318432307931887</v>
      </c>
      <c r="DS88" s="62">
        <f t="shared" si="101"/>
        <v>-0.6869564444922559</v>
      </c>
      <c r="DT88" s="451">
        <f t="shared" si="101"/>
        <v>-0.56575259608980188</v>
      </c>
      <c r="DU88" s="451">
        <f t="shared" si="101"/>
        <v>-0.56422402655722759</v>
      </c>
      <c r="DV88" s="451">
        <f t="shared" si="101"/>
        <v>-0.56280267237838721</v>
      </c>
      <c r="DW88" s="451">
        <f t="shared" si="101"/>
        <v>-0.5614796699272222</v>
      </c>
      <c r="DX88" s="62">
        <f t="shared" si="101"/>
        <v>-0.56350173032161266</v>
      </c>
      <c r="DY88" s="451">
        <f t="shared" si="101"/>
        <v>-0.51610029431689219</v>
      </c>
      <c r="DZ88" s="451">
        <f t="shared" ref="DZ88:EM88" si="102">DZ23/DU23-1</f>
        <v>-0.51567084409437036</v>
      </c>
      <c r="EA88" s="451">
        <f t="shared" si="102"/>
        <v>-0.51527421033534571</v>
      </c>
      <c r="EB88" s="451">
        <f t="shared" si="102"/>
        <v>-0.51490733242528219</v>
      </c>
      <c r="EC88" s="62">
        <f t="shared" si="102"/>
        <v>-0.51546896205237691</v>
      </c>
      <c r="ED88" s="451">
        <f t="shared" si="102"/>
        <v>-0.50363345882383137</v>
      </c>
      <c r="EE88" s="451">
        <f t="shared" si="102"/>
        <v>-0.50353340616123865</v>
      </c>
      <c r="EF88" s="451">
        <f t="shared" si="102"/>
        <v>-0.50344115651158217</v>
      </c>
      <c r="EG88" s="451">
        <f t="shared" si="102"/>
        <v>-0.50335596182361553</v>
      </c>
      <c r="EH88" s="62">
        <f t="shared" si="102"/>
        <v>-0.503486433273167</v>
      </c>
      <c r="EI88" s="451">
        <f t="shared" si="102"/>
        <v>-0.50084590101496318</v>
      </c>
      <c r="EJ88" s="451">
        <f t="shared" si="102"/>
        <v>-0.50082244209967852</v>
      </c>
      <c r="EK88" s="451">
        <f t="shared" si="102"/>
        <v>-0.50080082109951318</v>
      </c>
      <c r="EL88" s="451">
        <f t="shared" si="102"/>
        <v>-0.50078086073923767</v>
      </c>
      <c r="EM88" s="62">
        <f t="shared" si="102"/>
        <v>-0.50081143183095067</v>
      </c>
    </row>
    <row r="89" spans="2:143">
      <c r="B89" s="10" t="s">
        <v>181</v>
      </c>
      <c r="C89" s="51"/>
      <c r="D89" s="61"/>
      <c r="E89" s="61"/>
      <c r="F89" s="61"/>
      <c r="G89" s="61"/>
      <c r="H89" s="62"/>
      <c r="I89" s="61"/>
      <c r="J89" s="61"/>
      <c r="K89" s="61"/>
      <c r="L89" s="61"/>
      <c r="M89" s="62"/>
      <c r="N89" s="61"/>
      <c r="O89" s="61"/>
      <c r="P89" s="61"/>
      <c r="Q89" s="61"/>
      <c r="R89" s="62"/>
      <c r="S89" s="61"/>
      <c r="T89" s="61"/>
      <c r="U89" s="61"/>
      <c r="V89" s="61"/>
      <c r="W89" s="62"/>
      <c r="X89" s="61"/>
      <c r="Y89" s="61"/>
      <c r="Z89" s="61"/>
      <c r="AA89" s="61"/>
      <c r="AB89" s="62"/>
      <c r="AC89" s="61"/>
      <c r="AD89" s="61"/>
      <c r="AE89" s="61"/>
      <c r="AF89" s="61"/>
      <c r="AG89" s="62"/>
      <c r="AH89" s="61"/>
      <c r="AI89" s="61"/>
      <c r="AJ89" s="61"/>
      <c r="AK89" s="61"/>
      <c r="AL89" s="62"/>
      <c r="AM89" s="61"/>
      <c r="AN89" s="61"/>
      <c r="AO89" s="61"/>
      <c r="AP89" s="61"/>
      <c r="AQ89" s="62"/>
      <c r="AR89" s="61"/>
      <c r="AS89" s="61"/>
      <c r="AT89" s="61"/>
      <c r="AU89" s="61"/>
      <c r="AV89" s="62"/>
      <c r="AW89" s="451"/>
      <c r="AX89" s="451"/>
      <c r="AY89" s="451"/>
      <c r="AZ89" s="451"/>
      <c r="BA89" s="62"/>
      <c r="BB89" s="451"/>
      <c r="BC89" s="451"/>
      <c r="BD89" s="451"/>
      <c r="BE89" s="451"/>
      <c r="BF89" s="62"/>
      <c r="BG89" s="451"/>
      <c r="BH89" s="451"/>
      <c r="BI89" s="451"/>
      <c r="BJ89" s="451"/>
      <c r="BK89" s="62"/>
      <c r="BL89" s="451"/>
      <c r="BM89" s="451"/>
      <c r="BN89" s="451">
        <f t="shared" ref="BN89:CS89" si="103">BN25/BI25-1</f>
        <v>6.295454545454545</v>
      </c>
      <c r="BO89" s="451">
        <f t="shared" si="103"/>
        <v>2.51890756302521</v>
      </c>
      <c r="BP89" s="62">
        <f t="shared" si="103"/>
        <v>5.3037249283667611</v>
      </c>
      <c r="BQ89" s="451">
        <f t="shared" si="103"/>
        <v>1.9427609427609429</v>
      </c>
      <c r="BR89" s="451">
        <f t="shared" si="103"/>
        <v>1.5596221959858325</v>
      </c>
      <c r="BS89" s="451">
        <f t="shared" si="103"/>
        <v>0.90420560747663536</v>
      </c>
      <c r="BT89" s="451">
        <f t="shared" si="103"/>
        <v>0.60179104477611944</v>
      </c>
      <c r="BU89" s="62">
        <f t="shared" si="103"/>
        <v>1.0554545454545456</v>
      </c>
      <c r="BV89" s="451">
        <f t="shared" si="103"/>
        <v>0.13844393592677329</v>
      </c>
      <c r="BW89" s="451">
        <f t="shared" si="103"/>
        <v>0.41143911439114378</v>
      </c>
      <c r="BX89" s="451">
        <f t="shared" si="103"/>
        <v>2.249488752556239E-2</v>
      </c>
      <c r="BY89" s="451">
        <f t="shared" si="103"/>
        <v>0.12933283637718973</v>
      </c>
      <c r="BZ89" s="62">
        <f t="shared" si="103"/>
        <v>0.16983635559486943</v>
      </c>
      <c r="CA89" s="451">
        <f t="shared" si="103"/>
        <v>0.38190954773869357</v>
      </c>
      <c r="CB89" s="451">
        <f t="shared" si="103"/>
        <v>4.5751633986928164E-2</v>
      </c>
      <c r="CC89" s="451">
        <f t="shared" si="103"/>
        <v>0.12000000000000011</v>
      </c>
      <c r="CD89" s="451">
        <f t="shared" si="103"/>
        <v>2.3960250770416192E-3</v>
      </c>
      <c r="CE89" s="62">
        <f t="shared" si="103"/>
        <v>0.11410774631223397</v>
      </c>
      <c r="CF89" s="451">
        <f t="shared" si="103"/>
        <v>0.13748927004888145</v>
      </c>
      <c r="CG89" s="451">
        <f t="shared" si="103"/>
        <v>1.9126855977970703E-2</v>
      </c>
      <c r="CH89" s="451">
        <f t="shared" si="103"/>
        <v>0.21225585200878161</v>
      </c>
      <c r="CI89" s="451">
        <f t="shared" si="103"/>
        <v>0.16138456478530938</v>
      </c>
      <c r="CJ89" s="62">
        <f t="shared" si="103"/>
        <v>0.12927386849996902</v>
      </c>
      <c r="CK89" s="451">
        <f t="shared" si="103"/>
        <v>0.16383349550893822</v>
      </c>
      <c r="CL89" s="451">
        <f t="shared" si="103"/>
        <v>0.13150306382070176</v>
      </c>
      <c r="CM89" s="451">
        <f t="shared" si="103"/>
        <v>0.10170835226487629</v>
      </c>
      <c r="CN89" s="451">
        <f t="shared" si="103"/>
        <v>7.4204423848642342E-2</v>
      </c>
      <c r="CO89" s="62">
        <f t="shared" si="103"/>
        <v>0.11633008752898144</v>
      </c>
      <c r="CP89" s="451">
        <f t="shared" si="103"/>
        <v>6.3191183169835519E-2</v>
      </c>
      <c r="CQ89" s="451">
        <f t="shared" si="103"/>
        <v>6.3191183169835741E-2</v>
      </c>
      <c r="CR89" s="451">
        <f t="shared" si="103"/>
        <v>6.3191183169835741E-2</v>
      </c>
      <c r="CS89" s="451">
        <f t="shared" si="103"/>
        <v>6.3191183169835963E-2</v>
      </c>
      <c r="CT89" s="62">
        <f t="shared" ref="CT89:DY89" si="104">CT25/CO25-1</f>
        <v>6.3191183169835741E-2</v>
      </c>
      <c r="CU89" s="451">
        <f t="shared" si="104"/>
        <v>6.3210949094123503E-2</v>
      </c>
      <c r="CV89" s="451">
        <f t="shared" si="104"/>
        <v>6.3210949094123503E-2</v>
      </c>
      <c r="CW89" s="451">
        <f t="shared" si="104"/>
        <v>6.3210949094123725E-2</v>
      </c>
      <c r="CX89" s="451">
        <f t="shared" si="104"/>
        <v>6.3210949094123503E-2</v>
      </c>
      <c r="CY89" s="62">
        <f t="shared" si="104"/>
        <v>6.3210949094123503E-2</v>
      </c>
      <c r="CZ89" s="451">
        <f t="shared" si="104"/>
        <v>6.3230809424300816E-2</v>
      </c>
      <c r="DA89" s="451">
        <f t="shared" si="104"/>
        <v>6.3230809424301038E-2</v>
      </c>
      <c r="DB89" s="451">
        <f t="shared" si="104"/>
        <v>6.3230809424300816E-2</v>
      </c>
      <c r="DC89" s="451">
        <f t="shared" si="104"/>
        <v>6.3230809424300816E-2</v>
      </c>
      <c r="DD89" s="62">
        <f t="shared" si="104"/>
        <v>6.3230809424300816E-2</v>
      </c>
      <c r="DE89" s="451">
        <f t="shared" si="104"/>
        <v>6.3250763867546134E-2</v>
      </c>
      <c r="DF89" s="451">
        <f t="shared" si="104"/>
        <v>6.3250763867546134E-2</v>
      </c>
      <c r="DG89" s="451">
        <f t="shared" si="104"/>
        <v>6.3250763867545912E-2</v>
      </c>
      <c r="DH89" s="451">
        <f t="shared" si="104"/>
        <v>6.3250763867546134E-2</v>
      </c>
      <c r="DI89" s="62">
        <f t="shared" si="104"/>
        <v>6.3250763867546134E-2</v>
      </c>
      <c r="DJ89" s="451">
        <f t="shared" si="104"/>
        <v>-0.78734583757618459</v>
      </c>
      <c r="DK89" s="451">
        <f t="shared" si="104"/>
        <v>-0.7873458375761847</v>
      </c>
      <c r="DL89" s="451">
        <f t="shared" si="104"/>
        <v>-0.78734583757618459</v>
      </c>
      <c r="DM89" s="451">
        <f t="shared" si="104"/>
        <v>-0.7873458375761847</v>
      </c>
      <c r="DN89" s="62">
        <f t="shared" si="104"/>
        <v>-0.7873458375761847</v>
      </c>
      <c r="DO89" s="451">
        <f t="shared" si="104"/>
        <v>-0.89367090461379095</v>
      </c>
      <c r="DP89" s="451">
        <f t="shared" si="104"/>
        <v>-0.89367090461379095</v>
      </c>
      <c r="DQ89" s="451">
        <f t="shared" si="104"/>
        <v>-0.89367090461379095</v>
      </c>
      <c r="DR89" s="451">
        <f t="shared" si="104"/>
        <v>-0.89367090461379095</v>
      </c>
      <c r="DS89" s="62">
        <f t="shared" si="104"/>
        <v>-0.89367090461379095</v>
      </c>
      <c r="DT89" s="451">
        <f t="shared" si="104"/>
        <v>-0.89366888112322962</v>
      </c>
      <c r="DU89" s="451">
        <f t="shared" si="104"/>
        <v>-0.89366888112322962</v>
      </c>
      <c r="DV89" s="451">
        <f t="shared" si="104"/>
        <v>-0.89366888112322962</v>
      </c>
      <c r="DW89" s="451">
        <f t="shared" si="104"/>
        <v>-0.89366888112322962</v>
      </c>
      <c r="DX89" s="62">
        <f t="shared" si="104"/>
        <v>-0.89366888112322962</v>
      </c>
      <c r="DY89" s="451">
        <f t="shared" si="104"/>
        <v>-0.89366684835050969</v>
      </c>
      <c r="DZ89" s="451">
        <f t="shared" ref="DZ89:EM89" si="105">DZ25/DU25-1</f>
        <v>-0.89366684835050969</v>
      </c>
      <c r="EA89" s="451">
        <f t="shared" si="105"/>
        <v>-0.89366684835050969</v>
      </c>
      <c r="EB89" s="451">
        <f t="shared" si="105"/>
        <v>-0.89366684835050969</v>
      </c>
      <c r="EC89" s="62">
        <f t="shared" si="105"/>
        <v>-0.89366684835050969</v>
      </c>
      <c r="ED89" s="451">
        <f t="shared" si="105"/>
        <v>-0.90429832569785629</v>
      </c>
      <c r="EE89" s="451">
        <f t="shared" si="105"/>
        <v>-0.90429832569785629</v>
      </c>
      <c r="EF89" s="451">
        <f t="shared" si="105"/>
        <v>-0.90429832569785629</v>
      </c>
      <c r="EG89" s="451">
        <f t="shared" si="105"/>
        <v>-0.90429832569785629</v>
      </c>
      <c r="EH89" s="62">
        <f t="shared" si="105"/>
        <v>-0.90429832569785629</v>
      </c>
      <c r="EI89" s="451">
        <f t="shared" si="105"/>
        <v>-0.98818475056678878</v>
      </c>
      <c r="EJ89" s="451">
        <f t="shared" si="105"/>
        <v>-0.98818475056678878</v>
      </c>
      <c r="EK89" s="451">
        <f t="shared" si="105"/>
        <v>-0.98818475056678878</v>
      </c>
      <c r="EL89" s="451">
        <f t="shared" si="105"/>
        <v>-0.98818475056678878</v>
      </c>
      <c r="EM89" s="62">
        <f t="shared" si="105"/>
        <v>-0.98818475056678878</v>
      </c>
    </row>
    <row r="90" spans="2:143">
      <c r="B90" s="10" t="s">
        <v>76</v>
      </c>
      <c r="C90" s="51"/>
      <c r="D90" s="61"/>
      <c r="E90" s="61"/>
      <c r="F90" s="61"/>
      <c r="G90" s="61"/>
      <c r="H90" s="62"/>
      <c r="I90" s="61"/>
      <c r="J90" s="61"/>
      <c r="K90" s="61"/>
      <c r="L90" s="61"/>
      <c r="M90" s="62"/>
      <c r="N90" s="61"/>
      <c r="O90" s="61"/>
      <c r="P90" s="61"/>
      <c r="Q90" s="61"/>
      <c r="R90" s="62"/>
      <c r="S90" s="61"/>
      <c r="T90" s="61"/>
      <c r="U90" s="61"/>
      <c r="V90" s="61"/>
      <c r="W90" s="62"/>
      <c r="X90" s="61"/>
      <c r="Y90" s="61"/>
      <c r="Z90" s="61"/>
      <c r="AA90" s="61"/>
      <c r="AB90" s="62"/>
      <c r="AC90" s="61"/>
      <c r="AD90" s="61"/>
      <c r="AE90" s="61"/>
      <c r="AF90" s="61"/>
      <c r="AG90" s="62"/>
      <c r="AH90" s="61"/>
      <c r="AI90" s="61"/>
      <c r="AJ90" s="61"/>
      <c r="AK90" s="61"/>
      <c r="AL90" s="62"/>
      <c r="AM90" s="61"/>
      <c r="AN90" s="61"/>
      <c r="AO90" s="61"/>
      <c r="AP90" s="61"/>
      <c r="AQ90" s="62"/>
      <c r="AR90" s="61"/>
      <c r="AS90" s="61"/>
      <c r="AT90" s="61"/>
      <c r="AU90" s="61"/>
      <c r="AV90" s="62"/>
      <c r="AW90" s="451"/>
      <c r="AX90" s="451"/>
      <c r="AY90" s="451"/>
      <c r="AZ90" s="451"/>
      <c r="BA90" s="62"/>
      <c r="BB90" s="451"/>
      <c r="BC90" s="451"/>
      <c r="BD90" s="451"/>
      <c r="BE90" s="451"/>
      <c r="BF90" s="62"/>
      <c r="BG90" s="451"/>
      <c r="BH90" s="451"/>
      <c r="BI90" s="451"/>
      <c r="BJ90" s="451"/>
      <c r="BK90" s="62"/>
      <c r="BL90" s="451"/>
      <c r="BM90" s="451"/>
      <c r="BN90" s="451"/>
      <c r="BO90" s="451"/>
      <c r="BP90" s="62"/>
      <c r="BQ90" s="451">
        <f t="shared" ref="BQ90:CV90" si="106">BQ26/BL26-1</f>
        <v>22.111111111111111</v>
      </c>
      <c r="BR90" s="451">
        <f t="shared" si="106"/>
        <v>4.0200000000000005</v>
      </c>
      <c r="BS90" s="451">
        <f t="shared" si="106"/>
        <v>1.9223300970873787</v>
      </c>
      <c r="BT90" s="451">
        <f t="shared" si="106"/>
        <v>1.3741935483870966</v>
      </c>
      <c r="BU90" s="62">
        <f t="shared" si="106"/>
        <v>2.5583596214511037</v>
      </c>
      <c r="BV90" s="451">
        <f t="shared" si="106"/>
        <v>1.0673076923076921</v>
      </c>
      <c r="BW90" s="451">
        <f t="shared" si="106"/>
        <v>1.0717131474103585</v>
      </c>
      <c r="BX90" s="451">
        <f t="shared" si="106"/>
        <v>0.92691029900332222</v>
      </c>
      <c r="BY90" s="451">
        <f t="shared" si="106"/>
        <v>0.84782608695652195</v>
      </c>
      <c r="BZ90" s="62">
        <f t="shared" si="106"/>
        <v>0.9592198581560285</v>
      </c>
      <c r="CA90" s="451">
        <f t="shared" si="106"/>
        <v>0.43619909502262444</v>
      </c>
      <c r="CB90" s="451">
        <f t="shared" si="106"/>
        <v>0.43619909502262444</v>
      </c>
      <c r="CC90" s="451">
        <f t="shared" si="106"/>
        <v>0.43619909502262444</v>
      </c>
      <c r="CD90" s="451">
        <f t="shared" si="106"/>
        <v>0.43619909502262444</v>
      </c>
      <c r="CE90" s="62">
        <f t="shared" si="106"/>
        <v>0.43619909502262444</v>
      </c>
      <c r="CF90" s="451">
        <f t="shared" si="106"/>
        <v>0.88957855671049391</v>
      </c>
      <c r="CG90" s="451">
        <f t="shared" si="106"/>
        <v>0.70458485185771802</v>
      </c>
      <c r="CH90" s="451">
        <f t="shared" si="106"/>
        <v>0.65560252852847367</v>
      </c>
      <c r="CI90" s="451">
        <f t="shared" si="106"/>
        <v>0.52075707371619973</v>
      </c>
      <c r="CJ90" s="62">
        <f t="shared" si="106"/>
        <v>0.6711616194683514</v>
      </c>
      <c r="CK90" s="451">
        <f t="shared" si="106"/>
        <v>0.34029979342168004</v>
      </c>
      <c r="CL90" s="451">
        <f t="shared" si="106"/>
        <v>0.28088934158561307</v>
      </c>
      <c r="CM90" s="451">
        <f t="shared" si="106"/>
        <v>0.23061895926278653</v>
      </c>
      <c r="CN90" s="451">
        <f t="shared" si="106"/>
        <v>0.18753006012893558</v>
      </c>
      <c r="CO90" s="62">
        <f t="shared" si="106"/>
        <v>0.25474874277774329</v>
      </c>
      <c r="CP90" s="451">
        <f t="shared" si="106"/>
        <v>0.11633008752898144</v>
      </c>
      <c r="CQ90" s="451">
        <f t="shared" si="106"/>
        <v>0.11633008752898144</v>
      </c>
      <c r="CR90" s="451">
        <f t="shared" si="106"/>
        <v>0.11633008752898144</v>
      </c>
      <c r="CS90" s="451">
        <f t="shared" si="106"/>
        <v>0.11633008752898122</v>
      </c>
      <c r="CT90" s="62">
        <f t="shared" si="106"/>
        <v>0.11633008752898144</v>
      </c>
      <c r="CU90" s="451">
        <f t="shared" si="106"/>
        <v>6.3191183169835741E-2</v>
      </c>
      <c r="CV90" s="451">
        <f t="shared" si="106"/>
        <v>6.3191183169835519E-2</v>
      </c>
      <c r="CW90" s="451">
        <f t="shared" ref="CW90:EB90" si="107">CW26/CR26-1</f>
        <v>6.3191183169835963E-2</v>
      </c>
      <c r="CX90" s="451">
        <f t="shared" si="107"/>
        <v>6.3191183169835741E-2</v>
      </c>
      <c r="CY90" s="62">
        <f t="shared" si="107"/>
        <v>6.3191183169835741E-2</v>
      </c>
      <c r="CZ90" s="451">
        <f t="shared" si="107"/>
        <v>6.3210949094123503E-2</v>
      </c>
      <c r="DA90" s="451">
        <f t="shared" si="107"/>
        <v>6.3210949094123503E-2</v>
      </c>
      <c r="DB90" s="451">
        <f t="shared" si="107"/>
        <v>6.3210949094123503E-2</v>
      </c>
      <c r="DC90" s="451">
        <f t="shared" si="107"/>
        <v>6.3210949094123503E-2</v>
      </c>
      <c r="DD90" s="62">
        <f t="shared" si="107"/>
        <v>6.3210949094123503E-2</v>
      </c>
      <c r="DE90" s="451">
        <f t="shared" si="107"/>
        <v>6.3230809424300816E-2</v>
      </c>
      <c r="DF90" s="451">
        <f t="shared" si="107"/>
        <v>6.3230809424300816E-2</v>
      </c>
      <c r="DG90" s="451">
        <f t="shared" si="107"/>
        <v>6.3230809424300816E-2</v>
      </c>
      <c r="DH90" s="451">
        <f t="shared" si="107"/>
        <v>6.3230809424300816E-2</v>
      </c>
      <c r="DI90" s="62">
        <f t="shared" si="107"/>
        <v>6.3230809424300816E-2</v>
      </c>
      <c r="DJ90" s="451">
        <f t="shared" si="107"/>
        <v>-0.5</v>
      </c>
      <c r="DK90" s="451">
        <f t="shared" si="107"/>
        <v>-0.5</v>
      </c>
      <c r="DL90" s="451">
        <f t="shared" si="107"/>
        <v>-0.5</v>
      </c>
      <c r="DM90" s="451">
        <f t="shared" si="107"/>
        <v>-0.5</v>
      </c>
      <c r="DN90" s="62">
        <f t="shared" si="107"/>
        <v>-0.5</v>
      </c>
      <c r="DO90" s="451">
        <f t="shared" si="107"/>
        <v>-0.5</v>
      </c>
      <c r="DP90" s="451">
        <f t="shared" si="107"/>
        <v>-0.5</v>
      </c>
      <c r="DQ90" s="451">
        <f t="shared" si="107"/>
        <v>-0.5</v>
      </c>
      <c r="DR90" s="451">
        <f t="shared" si="107"/>
        <v>-0.5</v>
      </c>
      <c r="DS90" s="62">
        <f t="shared" si="107"/>
        <v>-0.5</v>
      </c>
      <c r="DT90" s="451">
        <f t="shared" si="107"/>
        <v>-0.5</v>
      </c>
      <c r="DU90" s="451">
        <f t="shared" si="107"/>
        <v>-0.5</v>
      </c>
      <c r="DV90" s="451">
        <f t="shared" si="107"/>
        <v>-0.5</v>
      </c>
      <c r="DW90" s="451">
        <f t="shared" si="107"/>
        <v>-0.5</v>
      </c>
      <c r="DX90" s="62">
        <f t="shared" si="107"/>
        <v>-0.5</v>
      </c>
      <c r="DY90" s="451">
        <f t="shared" si="107"/>
        <v>-0.5</v>
      </c>
      <c r="DZ90" s="451">
        <f t="shared" si="107"/>
        <v>-0.5</v>
      </c>
      <c r="EA90" s="451">
        <f t="shared" si="107"/>
        <v>-0.5</v>
      </c>
      <c r="EB90" s="451">
        <f t="shared" si="107"/>
        <v>-0.5</v>
      </c>
      <c r="EC90" s="62">
        <f t="shared" ref="EC90:EM90" si="108">EC26/DX26-1</f>
        <v>-0.5</v>
      </c>
      <c r="ED90" s="451">
        <f t="shared" si="108"/>
        <v>-0.5</v>
      </c>
      <c r="EE90" s="451">
        <f t="shared" si="108"/>
        <v>-0.5</v>
      </c>
      <c r="EF90" s="451">
        <f t="shared" si="108"/>
        <v>-0.5</v>
      </c>
      <c r="EG90" s="451">
        <f t="shared" si="108"/>
        <v>-0.5</v>
      </c>
      <c r="EH90" s="62">
        <f t="shared" si="108"/>
        <v>-0.5</v>
      </c>
      <c r="EI90" s="451">
        <f t="shared" si="108"/>
        <v>-0.5</v>
      </c>
      <c r="EJ90" s="451">
        <f t="shared" si="108"/>
        <v>-0.5</v>
      </c>
      <c r="EK90" s="451">
        <f t="shared" si="108"/>
        <v>-0.5</v>
      </c>
      <c r="EL90" s="451">
        <f t="shared" si="108"/>
        <v>-0.5</v>
      </c>
      <c r="EM90" s="62">
        <f t="shared" si="108"/>
        <v>-0.5</v>
      </c>
    </row>
    <row r="91" spans="2:143" ht="6.75" customHeight="1">
      <c r="B91" s="10"/>
      <c r="C91" s="51"/>
      <c r="D91" s="61"/>
      <c r="E91" s="61"/>
      <c r="F91" s="61"/>
      <c r="G91" s="61"/>
      <c r="H91" s="62"/>
      <c r="I91" s="61"/>
      <c r="J91" s="61"/>
      <c r="K91" s="61"/>
      <c r="L91" s="61"/>
      <c r="M91" s="62"/>
      <c r="N91" s="61"/>
      <c r="O91" s="61"/>
      <c r="P91" s="61"/>
      <c r="Q91" s="61"/>
      <c r="R91" s="62"/>
      <c r="S91" s="61"/>
      <c r="T91" s="61"/>
      <c r="U91" s="61"/>
      <c r="V91" s="61"/>
      <c r="W91" s="62"/>
      <c r="X91" s="61"/>
      <c r="Y91" s="61"/>
      <c r="Z91" s="61"/>
      <c r="AA91" s="61"/>
      <c r="AB91" s="62"/>
      <c r="AC91" s="61"/>
      <c r="AD91" s="61"/>
      <c r="AE91" s="61"/>
      <c r="AF91" s="61"/>
      <c r="AG91" s="62"/>
      <c r="AH91" s="61"/>
      <c r="AI91" s="61"/>
      <c r="AJ91" s="61"/>
      <c r="AK91" s="61"/>
      <c r="AL91" s="62"/>
      <c r="AM91" s="61"/>
      <c r="AN91" s="61"/>
      <c r="AO91" s="61"/>
      <c r="AP91" s="61"/>
      <c r="AQ91" s="62"/>
      <c r="AR91" s="61"/>
      <c r="AS91" s="61"/>
      <c r="AT91" s="61"/>
      <c r="AU91" s="61"/>
      <c r="AV91" s="62"/>
      <c r="AW91" s="451"/>
      <c r="AX91" s="451"/>
      <c r="AY91" s="451"/>
      <c r="AZ91" s="451"/>
      <c r="BA91" s="62"/>
      <c r="BB91" s="451"/>
      <c r="BC91" s="451"/>
      <c r="BD91" s="451"/>
      <c r="BE91" s="451"/>
      <c r="BF91" s="62"/>
      <c r="BG91" s="451"/>
      <c r="BH91" s="451"/>
      <c r="BI91" s="451"/>
      <c r="BJ91" s="451"/>
      <c r="BK91" s="62"/>
      <c r="BL91" s="451"/>
      <c r="BM91" s="451"/>
      <c r="BN91" s="451"/>
      <c r="BO91" s="451"/>
      <c r="BP91" s="62"/>
      <c r="BQ91" s="451"/>
      <c r="BR91" s="451"/>
      <c r="BS91" s="451"/>
      <c r="BT91" s="451"/>
      <c r="BU91" s="62"/>
      <c r="BV91" s="451"/>
      <c r="BW91" s="451"/>
      <c r="BX91" s="451"/>
      <c r="BY91" s="451"/>
      <c r="BZ91" s="62"/>
      <c r="CA91" s="451"/>
      <c r="CB91" s="451"/>
      <c r="CC91" s="451"/>
      <c r="CD91" s="451"/>
      <c r="CE91" s="62"/>
      <c r="CF91" s="451"/>
      <c r="CG91" s="451"/>
      <c r="CH91" s="451"/>
      <c r="CI91" s="451"/>
      <c r="CJ91" s="62"/>
      <c r="CK91" s="451"/>
      <c r="CL91" s="451"/>
      <c r="CM91" s="451"/>
      <c r="CN91" s="451"/>
      <c r="CO91" s="62"/>
      <c r="CP91" s="451"/>
      <c r="CQ91" s="451"/>
      <c r="CR91" s="451"/>
      <c r="CS91" s="451"/>
      <c r="CT91" s="62"/>
      <c r="CU91" s="451"/>
      <c r="CV91" s="451"/>
      <c r="CW91" s="451"/>
      <c r="CX91" s="451"/>
      <c r="CY91" s="62"/>
      <c r="CZ91" s="451"/>
      <c r="DA91" s="451"/>
      <c r="DB91" s="451"/>
      <c r="DC91" s="451"/>
      <c r="DD91" s="62"/>
      <c r="DE91" s="451"/>
      <c r="DF91" s="451"/>
      <c r="DG91" s="451"/>
      <c r="DH91" s="451"/>
      <c r="DI91" s="62"/>
      <c r="DJ91" s="451"/>
      <c r="DK91" s="451"/>
      <c r="DL91" s="451"/>
      <c r="DM91" s="451"/>
      <c r="DN91" s="62"/>
      <c r="DO91" s="451"/>
      <c r="DP91" s="451"/>
      <c r="DQ91" s="451"/>
      <c r="DR91" s="451"/>
      <c r="DS91" s="62"/>
      <c r="DT91" s="451"/>
      <c r="DU91" s="451"/>
      <c r="DV91" s="451"/>
      <c r="DW91" s="451"/>
      <c r="DX91" s="62"/>
      <c r="DY91" s="451"/>
      <c r="DZ91" s="451"/>
      <c r="EA91" s="451"/>
      <c r="EB91" s="451"/>
      <c r="EC91" s="62"/>
      <c r="ED91" s="451"/>
      <c r="EE91" s="451"/>
      <c r="EF91" s="451"/>
      <c r="EG91" s="451"/>
      <c r="EH91" s="62"/>
      <c r="EI91" s="451"/>
      <c r="EJ91" s="451"/>
      <c r="EK91" s="451"/>
      <c r="EL91" s="451"/>
      <c r="EM91" s="62"/>
    </row>
    <row r="92" spans="2:143">
      <c r="B92" s="25" t="s">
        <v>811</v>
      </c>
      <c r="C92" s="51"/>
      <c r="D92" s="61"/>
      <c r="E92" s="61"/>
      <c r="F92" s="61"/>
      <c r="G92" s="61"/>
      <c r="H92" s="62"/>
      <c r="I92" s="61"/>
      <c r="J92" s="61"/>
      <c r="K92" s="61"/>
      <c r="L92" s="61"/>
      <c r="M92" s="62"/>
      <c r="N92" s="61"/>
      <c r="O92" s="61"/>
      <c r="P92" s="61"/>
      <c r="Q92" s="61"/>
      <c r="R92" s="62"/>
      <c r="S92" s="61"/>
      <c r="T92" s="61"/>
      <c r="U92" s="61"/>
      <c r="V92" s="61"/>
      <c r="W92" s="62"/>
      <c r="X92" s="61"/>
      <c r="Y92" s="61"/>
      <c r="Z92" s="61"/>
      <c r="AA92" s="61"/>
      <c r="AB92" s="62"/>
      <c r="AC92" s="61"/>
      <c r="AD92" s="61"/>
      <c r="AE92" s="61"/>
      <c r="AF92" s="61"/>
      <c r="AG92" s="62"/>
      <c r="AH92" s="61"/>
      <c r="AI92" s="61"/>
      <c r="AJ92" s="61"/>
      <c r="AK92" s="61"/>
      <c r="AL92" s="62"/>
      <c r="AM92" s="61"/>
      <c r="AN92" s="61"/>
      <c r="AO92" s="61"/>
      <c r="AP92" s="61"/>
      <c r="AQ92" s="62"/>
      <c r="AR92" s="61"/>
      <c r="AS92" s="61"/>
      <c r="AT92" s="61"/>
      <c r="AU92" s="61"/>
      <c r="AV92" s="62"/>
      <c r="AW92" s="451"/>
      <c r="AX92" s="451"/>
      <c r="AY92" s="451"/>
      <c r="AZ92" s="451"/>
      <c r="BA92" s="62"/>
      <c r="BB92" s="451"/>
      <c r="BC92" s="451"/>
      <c r="BD92" s="451"/>
      <c r="BE92" s="451"/>
      <c r="BF92" s="62"/>
      <c r="BG92" s="451"/>
      <c r="BH92" s="451"/>
      <c r="BI92" s="451"/>
      <c r="BJ92" s="451"/>
      <c r="BK92" s="62"/>
      <c r="BL92" s="451"/>
      <c r="BM92" s="451"/>
      <c r="BN92" s="451"/>
      <c r="BO92" s="451"/>
      <c r="BP92" s="62"/>
      <c r="BQ92" s="451"/>
      <c r="BR92" s="451"/>
      <c r="BS92" s="451"/>
      <c r="BT92" s="451"/>
      <c r="BU92" s="62"/>
      <c r="BV92" s="451"/>
      <c r="BW92" s="451"/>
      <c r="BX92" s="451"/>
      <c r="BY92" s="451"/>
      <c r="BZ92" s="62"/>
      <c r="CA92" s="451"/>
      <c r="CB92" s="451"/>
      <c r="CC92" s="451"/>
      <c r="CD92" s="451"/>
      <c r="CE92" s="62"/>
      <c r="CF92" s="451">
        <f t="shared" ref="CF92:CO93" si="109">IFERROR(CF28/CA28-1,0)</f>
        <v>0</v>
      </c>
      <c r="CG92" s="451">
        <f t="shared" si="109"/>
        <v>0</v>
      </c>
      <c r="CH92" s="451">
        <f t="shared" si="109"/>
        <v>0</v>
      </c>
      <c r="CI92" s="451">
        <f t="shared" si="109"/>
        <v>0</v>
      </c>
      <c r="CJ92" s="62">
        <f t="shared" si="109"/>
        <v>0</v>
      </c>
      <c r="CK92" s="451">
        <f t="shared" si="109"/>
        <v>0</v>
      </c>
      <c r="CL92" s="451">
        <f t="shared" si="109"/>
        <v>0</v>
      </c>
      <c r="CM92" s="451">
        <f t="shared" si="109"/>
        <v>0</v>
      </c>
      <c r="CN92" s="451">
        <f t="shared" si="109"/>
        <v>0</v>
      </c>
      <c r="CO92" s="62">
        <f t="shared" si="109"/>
        <v>0</v>
      </c>
      <c r="CP92" s="451">
        <f t="shared" ref="CP92:CY93" si="110">IFERROR(CP28/CK28-1,0)</f>
        <v>0</v>
      </c>
      <c r="CQ92" s="451">
        <f t="shared" si="110"/>
        <v>0</v>
      </c>
      <c r="CR92" s="451">
        <f t="shared" si="110"/>
        <v>0</v>
      </c>
      <c r="CS92" s="451">
        <f t="shared" si="110"/>
        <v>0</v>
      </c>
      <c r="CT92" s="62">
        <f t="shared" si="110"/>
        <v>0</v>
      </c>
      <c r="CU92" s="451">
        <f t="shared" si="110"/>
        <v>0</v>
      </c>
      <c r="CV92" s="451">
        <f t="shared" si="110"/>
        <v>0</v>
      </c>
      <c r="CW92" s="451">
        <f t="shared" si="110"/>
        <v>0</v>
      </c>
      <c r="CX92" s="451">
        <f t="shared" si="110"/>
        <v>0</v>
      </c>
      <c r="CY92" s="62">
        <f t="shared" si="110"/>
        <v>0</v>
      </c>
      <c r="CZ92" s="451">
        <f t="shared" ref="CZ92:DI93" si="111">IFERROR(CZ28/CU28-1,0)</f>
        <v>0</v>
      </c>
      <c r="DA92" s="451">
        <f t="shared" si="111"/>
        <v>0</v>
      </c>
      <c r="DB92" s="451">
        <f t="shared" si="111"/>
        <v>0</v>
      </c>
      <c r="DC92" s="451">
        <f t="shared" si="111"/>
        <v>0</v>
      </c>
      <c r="DD92" s="62">
        <f t="shared" si="111"/>
        <v>0</v>
      </c>
      <c r="DE92" s="451">
        <f t="shared" si="111"/>
        <v>0</v>
      </c>
      <c r="DF92" s="451">
        <f t="shared" si="111"/>
        <v>0</v>
      </c>
      <c r="DG92" s="451">
        <f t="shared" si="111"/>
        <v>0</v>
      </c>
      <c r="DH92" s="451">
        <f t="shared" si="111"/>
        <v>0</v>
      </c>
      <c r="DI92" s="62">
        <f t="shared" si="111"/>
        <v>0</v>
      </c>
      <c r="DJ92" s="451">
        <f t="shared" ref="DJ92:DS93" si="112">IFERROR(DJ28/DE28-1,0)</f>
        <v>0</v>
      </c>
      <c r="DK92" s="451">
        <f t="shared" si="112"/>
        <v>0</v>
      </c>
      <c r="DL92" s="451">
        <f t="shared" si="112"/>
        <v>0</v>
      </c>
      <c r="DM92" s="451">
        <f t="shared" si="112"/>
        <v>0</v>
      </c>
      <c r="DN92" s="62">
        <f t="shared" si="112"/>
        <v>0</v>
      </c>
      <c r="DO92" s="451">
        <f t="shared" si="112"/>
        <v>0</v>
      </c>
      <c r="DP92" s="451">
        <f t="shared" si="112"/>
        <v>0</v>
      </c>
      <c r="DQ92" s="451">
        <f t="shared" si="112"/>
        <v>0</v>
      </c>
      <c r="DR92" s="451">
        <f t="shared" si="112"/>
        <v>0</v>
      </c>
      <c r="DS92" s="62">
        <f t="shared" si="112"/>
        <v>0</v>
      </c>
      <c r="DT92" s="451">
        <f t="shared" ref="DT92:EC93" si="113">IFERROR(DT28/DO28-1,0)</f>
        <v>0</v>
      </c>
      <c r="DU92" s="451">
        <f t="shared" si="113"/>
        <v>0</v>
      </c>
      <c r="DV92" s="451">
        <f t="shared" si="113"/>
        <v>0</v>
      </c>
      <c r="DW92" s="451">
        <f t="shared" si="113"/>
        <v>0</v>
      </c>
      <c r="DX92" s="62">
        <f t="shared" si="113"/>
        <v>0</v>
      </c>
      <c r="DY92" s="451">
        <f t="shared" si="113"/>
        <v>0</v>
      </c>
      <c r="DZ92" s="451">
        <f t="shared" si="113"/>
        <v>0</v>
      </c>
      <c r="EA92" s="451">
        <f t="shared" si="113"/>
        <v>0</v>
      </c>
      <c r="EB92" s="451">
        <f t="shared" si="113"/>
        <v>0</v>
      </c>
      <c r="EC92" s="62">
        <f t="shared" si="113"/>
        <v>0</v>
      </c>
      <c r="ED92" s="451">
        <f t="shared" ref="ED92:EM93" si="114">IFERROR(ED28/DY28-1,0)</f>
        <v>0</v>
      </c>
      <c r="EE92" s="451">
        <f t="shared" si="114"/>
        <v>0</v>
      </c>
      <c r="EF92" s="451">
        <f t="shared" si="114"/>
        <v>0</v>
      </c>
      <c r="EG92" s="451">
        <f t="shared" si="114"/>
        <v>0</v>
      </c>
      <c r="EH92" s="62">
        <f t="shared" si="114"/>
        <v>0</v>
      </c>
      <c r="EI92" s="451">
        <f t="shared" si="114"/>
        <v>0</v>
      </c>
      <c r="EJ92" s="451">
        <f t="shared" si="114"/>
        <v>0</v>
      </c>
      <c r="EK92" s="451">
        <f t="shared" si="114"/>
        <v>0</v>
      </c>
      <c r="EL92" s="451">
        <f t="shared" si="114"/>
        <v>0</v>
      </c>
      <c r="EM92" s="62">
        <f t="shared" si="114"/>
        <v>0</v>
      </c>
    </row>
    <row r="93" spans="2:143">
      <c r="B93" s="10" t="s">
        <v>181</v>
      </c>
      <c r="C93" s="51"/>
      <c r="D93" s="61"/>
      <c r="E93" s="61"/>
      <c r="F93" s="61"/>
      <c r="G93" s="61"/>
      <c r="H93" s="62"/>
      <c r="I93" s="61"/>
      <c r="J93" s="61"/>
      <c r="K93" s="61"/>
      <c r="L93" s="61"/>
      <c r="M93" s="62"/>
      <c r="N93" s="61"/>
      <c r="O93" s="61"/>
      <c r="P93" s="61"/>
      <c r="Q93" s="61"/>
      <c r="R93" s="62"/>
      <c r="S93" s="61"/>
      <c r="T93" s="61"/>
      <c r="U93" s="61"/>
      <c r="V93" s="61"/>
      <c r="W93" s="62"/>
      <c r="X93" s="61"/>
      <c r="Y93" s="61"/>
      <c r="Z93" s="61"/>
      <c r="AA93" s="61"/>
      <c r="AB93" s="62"/>
      <c r="AC93" s="61"/>
      <c r="AD93" s="61"/>
      <c r="AE93" s="61"/>
      <c r="AF93" s="61"/>
      <c r="AG93" s="62"/>
      <c r="AH93" s="61"/>
      <c r="AI93" s="61"/>
      <c r="AJ93" s="61"/>
      <c r="AK93" s="61"/>
      <c r="AL93" s="62"/>
      <c r="AM93" s="61"/>
      <c r="AN93" s="61"/>
      <c r="AO93" s="61"/>
      <c r="AP93" s="61"/>
      <c r="AQ93" s="62"/>
      <c r="AR93" s="61"/>
      <c r="AS93" s="61"/>
      <c r="AT93" s="61"/>
      <c r="AU93" s="61"/>
      <c r="AV93" s="62"/>
      <c r="AW93" s="451"/>
      <c r="AX93" s="451"/>
      <c r="AY93" s="451"/>
      <c r="AZ93" s="451"/>
      <c r="BA93" s="62"/>
      <c r="BB93" s="451"/>
      <c r="BC93" s="451"/>
      <c r="BD93" s="451"/>
      <c r="BE93" s="451"/>
      <c r="BF93" s="62"/>
      <c r="BG93" s="451"/>
      <c r="BH93" s="451"/>
      <c r="BI93" s="451"/>
      <c r="BJ93" s="451"/>
      <c r="BK93" s="62"/>
      <c r="BL93" s="451"/>
      <c r="BM93" s="451"/>
      <c r="BN93" s="451"/>
      <c r="BO93" s="451"/>
      <c r="BP93" s="62"/>
      <c r="BQ93" s="451"/>
      <c r="BR93" s="451"/>
      <c r="BS93" s="451"/>
      <c r="BT93" s="451"/>
      <c r="BU93" s="62"/>
      <c r="BV93" s="451"/>
      <c r="BW93" s="451"/>
      <c r="BX93" s="451"/>
      <c r="BY93" s="451"/>
      <c r="BZ93" s="62"/>
      <c r="CA93" s="451"/>
      <c r="CB93" s="451"/>
      <c r="CC93" s="451"/>
      <c r="CD93" s="451"/>
      <c r="CE93" s="62"/>
      <c r="CF93" s="451">
        <f t="shared" si="109"/>
        <v>0</v>
      </c>
      <c r="CG93" s="451">
        <f t="shared" si="109"/>
        <v>0</v>
      </c>
      <c r="CH93" s="451">
        <f t="shared" si="109"/>
        <v>0</v>
      </c>
      <c r="CI93" s="451">
        <f t="shared" si="109"/>
        <v>0</v>
      </c>
      <c r="CJ93" s="62">
        <f t="shared" si="109"/>
        <v>0</v>
      </c>
      <c r="CK93" s="451">
        <f t="shared" si="109"/>
        <v>0</v>
      </c>
      <c r="CL93" s="451">
        <f t="shared" si="109"/>
        <v>0</v>
      </c>
      <c r="CM93" s="451">
        <f t="shared" si="109"/>
        <v>0</v>
      </c>
      <c r="CN93" s="451">
        <f t="shared" si="109"/>
        <v>0</v>
      </c>
      <c r="CO93" s="62">
        <f t="shared" si="109"/>
        <v>0</v>
      </c>
      <c r="CP93" s="451">
        <f t="shared" si="110"/>
        <v>0</v>
      </c>
      <c r="CQ93" s="451">
        <f t="shared" si="110"/>
        <v>0</v>
      </c>
      <c r="CR93" s="451">
        <f t="shared" si="110"/>
        <v>0</v>
      </c>
      <c r="CS93" s="451">
        <f t="shared" si="110"/>
        <v>0</v>
      </c>
      <c r="CT93" s="62">
        <f t="shared" si="110"/>
        <v>0</v>
      </c>
      <c r="CU93" s="451">
        <f t="shared" si="110"/>
        <v>0</v>
      </c>
      <c r="CV93" s="451">
        <f t="shared" si="110"/>
        <v>0</v>
      </c>
      <c r="CW93" s="451">
        <f t="shared" si="110"/>
        <v>0</v>
      </c>
      <c r="CX93" s="451">
        <f t="shared" si="110"/>
        <v>0</v>
      </c>
      <c r="CY93" s="62">
        <f t="shared" si="110"/>
        <v>0</v>
      </c>
      <c r="CZ93" s="451">
        <f t="shared" si="111"/>
        <v>0</v>
      </c>
      <c r="DA93" s="451">
        <f t="shared" si="111"/>
        <v>0</v>
      </c>
      <c r="DB93" s="451">
        <f t="shared" si="111"/>
        <v>0</v>
      </c>
      <c r="DC93" s="451">
        <f t="shared" si="111"/>
        <v>0</v>
      </c>
      <c r="DD93" s="62">
        <f t="shared" si="111"/>
        <v>0</v>
      </c>
      <c r="DE93" s="451">
        <f t="shared" si="111"/>
        <v>0</v>
      </c>
      <c r="DF93" s="451">
        <f t="shared" si="111"/>
        <v>0</v>
      </c>
      <c r="DG93" s="451">
        <f t="shared" si="111"/>
        <v>0</v>
      </c>
      <c r="DH93" s="451">
        <f t="shared" si="111"/>
        <v>0</v>
      </c>
      <c r="DI93" s="62">
        <f t="shared" si="111"/>
        <v>0</v>
      </c>
      <c r="DJ93" s="451">
        <f t="shared" si="112"/>
        <v>0</v>
      </c>
      <c r="DK93" s="451">
        <f t="shared" si="112"/>
        <v>0</v>
      </c>
      <c r="DL93" s="451">
        <f t="shared" si="112"/>
        <v>0</v>
      </c>
      <c r="DM93" s="451">
        <f t="shared" si="112"/>
        <v>0</v>
      </c>
      <c r="DN93" s="62">
        <f t="shared" si="112"/>
        <v>0</v>
      </c>
      <c r="DO93" s="451">
        <f t="shared" si="112"/>
        <v>0</v>
      </c>
      <c r="DP93" s="451">
        <f t="shared" si="112"/>
        <v>0</v>
      </c>
      <c r="DQ93" s="451">
        <f t="shared" si="112"/>
        <v>0</v>
      </c>
      <c r="DR93" s="451">
        <f t="shared" si="112"/>
        <v>0</v>
      </c>
      <c r="DS93" s="62">
        <f t="shared" si="112"/>
        <v>0</v>
      </c>
      <c r="DT93" s="451">
        <f t="shared" si="113"/>
        <v>0</v>
      </c>
      <c r="DU93" s="451">
        <f t="shared" si="113"/>
        <v>0</v>
      </c>
      <c r="DV93" s="451">
        <f t="shared" si="113"/>
        <v>0</v>
      </c>
      <c r="DW93" s="451">
        <f t="shared" si="113"/>
        <v>0</v>
      </c>
      <c r="DX93" s="62">
        <f t="shared" si="113"/>
        <v>0</v>
      </c>
      <c r="DY93" s="451">
        <f t="shared" si="113"/>
        <v>0</v>
      </c>
      <c r="DZ93" s="451">
        <f t="shared" si="113"/>
        <v>0</v>
      </c>
      <c r="EA93" s="451">
        <f t="shared" si="113"/>
        <v>0</v>
      </c>
      <c r="EB93" s="451">
        <f t="shared" si="113"/>
        <v>0</v>
      </c>
      <c r="EC93" s="62">
        <f t="shared" si="113"/>
        <v>0</v>
      </c>
      <c r="ED93" s="451">
        <f t="shared" si="114"/>
        <v>0</v>
      </c>
      <c r="EE93" s="451">
        <f t="shared" si="114"/>
        <v>0</v>
      </c>
      <c r="EF93" s="451">
        <f t="shared" si="114"/>
        <v>0</v>
      </c>
      <c r="EG93" s="451">
        <f t="shared" si="114"/>
        <v>0</v>
      </c>
      <c r="EH93" s="62">
        <f t="shared" si="114"/>
        <v>0</v>
      </c>
      <c r="EI93" s="451">
        <f t="shared" si="114"/>
        <v>0</v>
      </c>
      <c r="EJ93" s="451">
        <f t="shared" si="114"/>
        <v>0</v>
      </c>
      <c r="EK93" s="451">
        <f t="shared" si="114"/>
        <v>0</v>
      </c>
      <c r="EL93" s="451">
        <f t="shared" si="114"/>
        <v>0</v>
      </c>
      <c r="EM93" s="62">
        <f t="shared" si="114"/>
        <v>0</v>
      </c>
    </row>
    <row r="94" spans="2:143">
      <c r="B94" s="10" t="s">
        <v>76</v>
      </c>
      <c r="C94" s="51"/>
      <c r="D94" s="61"/>
      <c r="E94" s="61"/>
      <c r="F94" s="61"/>
      <c r="G94" s="61"/>
      <c r="H94" s="62"/>
      <c r="I94" s="61"/>
      <c r="J94" s="61"/>
      <c r="K94" s="61"/>
      <c r="L94" s="61"/>
      <c r="M94" s="62"/>
      <c r="N94" s="61"/>
      <c r="O94" s="61"/>
      <c r="P94" s="61"/>
      <c r="Q94" s="61"/>
      <c r="R94" s="62"/>
      <c r="S94" s="61"/>
      <c r="T94" s="61"/>
      <c r="U94" s="61"/>
      <c r="V94" s="61"/>
      <c r="W94" s="62"/>
      <c r="X94" s="61"/>
      <c r="Y94" s="61"/>
      <c r="Z94" s="61"/>
      <c r="AA94" s="61"/>
      <c r="AB94" s="62"/>
      <c r="AC94" s="61"/>
      <c r="AD94" s="61"/>
      <c r="AE94" s="61"/>
      <c r="AF94" s="61"/>
      <c r="AG94" s="62"/>
      <c r="AH94" s="61"/>
      <c r="AI94" s="61"/>
      <c r="AJ94" s="61"/>
      <c r="AK94" s="61"/>
      <c r="AL94" s="62"/>
      <c r="AM94" s="61"/>
      <c r="AN94" s="61"/>
      <c r="AO94" s="61"/>
      <c r="AP94" s="61"/>
      <c r="AQ94" s="62"/>
      <c r="AR94" s="61"/>
      <c r="AS94" s="61"/>
      <c r="AT94" s="61"/>
      <c r="AU94" s="61"/>
      <c r="AV94" s="62"/>
      <c r="AW94" s="451"/>
      <c r="AX94" s="451"/>
      <c r="AY94" s="451"/>
      <c r="AZ94" s="451"/>
      <c r="BA94" s="62"/>
      <c r="BB94" s="451"/>
      <c r="BC94" s="451"/>
      <c r="BD94" s="451"/>
      <c r="BE94" s="451"/>
      <c r="BF94" s="62"/>
      <c r="BG94" s="451"/>
      <c r="BH94" s="451"/>
      <c r="BI94" s="451"/>
      <c r="BJ94" s="451"/>
      <c r="BK94" s="62"/>
      <c r="BL94" s="451"/>
      <c r="BM94" s="451"/>
      <c r="BN94" s="451"/>
      <c r="BO94" s="451"/>
      <c r="BP94" s="62"/>
      <c r="BQ94" s="451"/>
      <c r="BR94" s="451"/>
      <c r="BS94" s="451"/>
      <c r="BT94" s="451"/>
      <c r="BU94" s="62"/>
      <c r="BV94" s="451"/>
      <c r="BW94" s="451"/>
      <c r="BX94" s="451"/>
      <c r="BY94" s="451"/>
      <c r="BZ94" s="62"/>
      <c r="CA94" s="451"/>
      <c r="CB94" s="451"/>
      <c r="CC94" s="451"/>
      <c r="CD94" s="451"/>
      <c r="CE94" s="62"/>
      <c r="CF94" s="451"/>
      <c r="CG94" s="451"/>
      <c r="CH94" s="451"/>
      <c r="CI94" s="451"/>
      <c r="CJ94" s="62"/>
      <c r="CK94" s="451">
        <f t="shared" ref="CK94:DP94" si="115">IFERROR(CK30/CF30-1,0)</f>
        <v>0</v>
      </c>
      <c r="CL94" s="451">
        <f t="shared" si="115"/>
        <v>0</v>
      </c>
      <c r="CM94" s="451">
        <f t="shared" si="115"/>
        <v>0</v>
      </c>
      <c r="CN94" s="451">
        <f t="shared" si="115"/>
        <v>0</v>
      </c>
      <c r="CO94" s="62">
        <f t="shared" si="115"/>
        <v>0</v>
      </c>
      <c r="CP94" s="451">
        <f t="shared" si="115"/>
        <v>0</v>
      </c>
      <c r="CQ94" s="451">
        <f t="shared" si="115"/>
        <v>0</v>
      </c>
      <c r="CR94" s="451">
        <f t="shared" si="115"/>
        <v>0</v>
      </c>
      <c r="CS94" s="451">
        <f t="shared" si="115"/>
        <v>0</v>
      </c>
      <c r="CT94" s="62">
        <f t="shared" si="115"/>
        <v>0</v>
      </c>
      <c r="CU94" s="451">
        <f t="shared" si="115"/>
        <v>0</v>
      </c>
      <c r="CV94" s="451">
        <f t="shared" si="115"/>
        <v>0</v>
      </c>
      <c r="CW94" s="451">
        <f t="shared" si="115"/>
        <v>0</v>
      </c>
      <c r="CX94" s="451">
        <f t="shared" si="115"/>
        <v>0</v>
      </c>
      <c r="CY94" s="62">
        <f t="shared" si="115"/>
        <v>0</v>
      </c>
      <c r="CZ94" s="451">
        <f t="shared" si="115"/>
        <v>0</v>
      </c>
      <c r="DA94" s="451">
        <f t="shared" si="115"/>
        <v>0</v>
      </c>
      <c r="DB94" s="451">
        <f t="shared" si="115"/>
        <v>0</v>
      </c>
      <c r="DC94" s="451">
        <f t="shared" si="115"/>
        <v>0</v>
      </c>
      <c r="DD94" s="62">
        <f t="shared" si="115"/>
        <v>0</v>
      </c>
      <c r="DE94" s="451">
        <f t="shared" si="115"/>
        <v>0</v>
      </c>
      <c r="DF94" s="451">
        <f t="shared" si="115"/>
        <v>0</v>
      </c>
      <c r="DG94" s="451">
        <f t="shared" si="115"/>
        <v>0</v>
      </c>
      <c r="DH94" s="451">
        <f t="shared" si="115"/>
        <v>0</v>
      </c>
      <c r="DI94" s="62">
        <f t="shared" si="115"/>
        <v>0</v>
      </c>
      <c r="DJ94" s="451">
        <f t="shared" si="115"/>
        <v>0</v>
      </c>
      <c r="DK94" s="451">
        <f t="shared" si="115"/>
        <v>0</v>
      </c>
      <c r="DL94" s="451">
        <f t="shared" si="115"/>
        <v>0</v>
      </c>
      <c r="DM94" s="451">
        <f t="shared" si="115"/>
        <v>0</v>
      </c>
      <c r="DN94" s="62">
        <f t="shared" si="115"/>
        <v>0</v>
      </c>
      <c r="DO94" s="451">
        <f t="shared" si="115"/>
        <v>0</v>
      </c>
      <c r="DP94" s="451">
        <f t="shared" si="115"/>
        <v>0</v>
      </c>
      <c r="DQ94" s="451">
        <f t="shared" ref="DQ94:EM94" si="116">IFERROR(DQ30/DL30-1,0)</f>
        <v>0</v>
      </c>
      <c r="DR94" s="451">
        <f t="shared" si="116"/>
        <v>0</v>
      </c>
      <c r="DS94" s="62">
        <f t="shared" si="116"/>
        <v>0</v>
      </c>
      <c r="DT94" s="451">
        <f t="shared" si="116"/>
        <v>0</v>
      </c>
      <c r="DU94" s="451">
        <f t="shared" si="116"/>
        <v>0</v>
      </c>
      <c r="DV94" s="451">
        <f t="shared" si="116"/>
        <v>0</v>
      </c>
      <c r="DW94" s="451">
        <f t="shared" si="116"/>
        <v>0</v>
      </c>
      <c r="DX94" s="62">
        <f t="shared" si="116"/>
        <v>0</v>
      </c>
      <c r="DY94" s="451">
        <f t="shared" si="116"/>
        <v>0</v>
      </c>
      <c r="DZ94" s="451">
        <f t="shared" si="116"/>
        <v>0</v>
      </c>
      <c r="EA94" s="451">
        <f t="shared" si="116"/>
        <v>0</v>
      </c>
      <c r="EB94" s="451">
        <f t="shared" si="116"/>
        <v>0</v>
      </c>
      <c r="EC94" s="62">
        <f t="shared" si="116"/>
        <v>0</v>
      </c>
      <c r="ED94" s="451">
        <f t="shared" si="116"/>
        <v>0</v>
      </c>
      <c r="EE94" s="451">
        <f t="shared" si="116"/>
        <v>0</v>
      </c>
      <c r="EF94" s="451">
        <f t="shared" si="116"/>
        <v>0</v>
      </c>
      <c r="EG94" s="451">
        <f t="shared" si="116"/>
        <v>0</v>
      </c>
      <c r="EH94" s="62">
        <f t="shared" si="116"/>
        <v>0</v>
      </c>
      <c r="EI94" s="451">
        <f t="shared" si="116"/>
        <v>0</v>
      </c>
      <c r="EJ94" s="451">
        <f t="shared" si="116"/>
        <v>0</v>
      </c>
      <c r="EK94" s="451">
        <f t="shared" si="116"/>
        <v>0</v>
      </c>
      <c r="EL94" s="451">
        <f t="shared" si="116"/>
        <v>0</v>
      </c>
      <c r="EM94" s="62">
        <f t="shared" si="116"/>
        <v>0</v>
      </c>
    </row>
    <row r="95" spans="2:143" ht="6.75" customHeight="1">
      <c r="B95" s="10"/>
      <c r="C95" s="51"/>
      <c r="D95" s="61"/>
      <c r="E95" s="61"/>
      <c r="F95" s="61"/>
      <c r="G95" s="61"/>
      <c r="H95" s="62"/>
      <c r="I95" s="61"/>
      <c r="J95" s="61"/>
      <c r="K95" s="61"/>
      <c r="L95" s="61"/>
      <c r="M95" s="62"/>
      <c r="N95" s="61"/>
      <c r="O95" s="61"/>
      <c r="P95" s="61"/>
      <c r="Q95" s="61"/>
      <c r="R95" s="62"/>
      <c r="S95" s="61"/>
      <c r="T95" s="61"/>
      <c r="U95" s="61"/>
      <c r="V95" s="61"/>
      <c r="W95" s="62"/>
      <c r="X95" s="61"/>
      <c r="Y95" s="61"/>
      <c r="Z95" s="61"/>
      <c r="AA95" s="61"/>
      <c r="AB95" s="62"/>
      <c r="AC95" s="61"/>
      <c r="AD95" s="61"/>
      <c r="AE95" s="61"/>
      <c r="AF95" s="61"/>
      <c r="AG95" s="62"/>
      <c r="AH95" s="61"/>
      <c r="AI95" s="61"/>
      <c r="AJ95" s="61"/>
      <c r="AK95" s="61"/>
      <c r="AL95" s="62"/>
      <c r="AM95" s="61"/>
      <c r="AN95" s="61"/>
      <c r="AO95" s="61"/>
      <c r="AP95" s="61"/>
      <c r="AQ95" s="62"/>
      <c r="AR95" s="61"/>
      <c r="AS95" s="61"/>
      <c r="AT95" s="61"/>
      <c r="AU95" s="61"/>
      <c r="AV95" s="62"/>
      <c r="AW95" s="451"/>
      <c r="AX95" s="451"/>
      <c r="AY95" s="451"/>
      <c r="AZ95" s="451"/>
      <c r="BA95" s="62"/>
      <c r="BB95" s="451"/>
      <c r="BC95" s="451"/>
      <c r="BD95" s="451"/>
      <c r="BE95" s="451"/>
      <c r="BF95" s="62"/>
      <c r="BG95" s="451"/>
      <c r="BH95" s="451"/>
      <c r="BI95" s="451"/>
      <c r="BJ95" s="451"/>
      <c r="BK95" s="62"/>
      <c r="BL95" s="451"/>
      <c r="BM95" s="451"/>
      <c r="BN95" s="451"/>
      <c r="BO95" s="451"/>
      <c r="BP95" s="62"/>
      <c r="BQ95" s="451"/>
      <c r="BR95" s="451"/>
      <c r="BS95" s="451"/>
      <c r="BT95" s="451"/>
      <c r="BU95" s="62"/>
      <c r="BV95" s="451"/>
      <c r="BW95" s="451"/>
      <c r="BX95" s="451"/>
      <c r="BY95" s="451"/>
      <c r="BZ95" s="62"/>
      <c r="CA95" s="451"/>
      <c r="CB95" s="451"/>
      <c r="CC95" s="451"/>
      <c r="CD95" s="451"/>
      <c r="CE95" s="62"/>
      <c r="CF95" s="451"/>
      <c r="CG95" s="451"/>
      <c r="CH95" s="451"/>
      <c r="CI95" s="451"/>
      <c r="CJ95" s="62"/>
      <c r="CK95" s="451"/>
      <c r="CL95" s="451"/>
      <c r="CM95" s="451"/>
      <c r="CN95" s="451"/>
      <c r="CO95" s="62"/>
      <c r="CP95" s="451"/>
      <c r="CQ95" s="451"/>
      <c r="CR95" s="451"/>
      <c r="CS95" s="451"/>
      <c r="CT95" s="62"/>
      <c r="CU95" s="451"/>
      <c r="CV95" s="451"/>
      <c r="CW95" s="451"/>
      <c r="CX95" s="451"/>
      <c r="CY95" s="62"/>
      <c r="CZ95" s="451"/>
      <c r="DA95" s="451"/>
      <c r="DB95" s="451"/>
      <c r="DC95" s="451"/>
      <c r="DD95" s="62"/>
      <c r="DE95" s="451"/>
      <c r="DF95" s="451"/>
      <c r="DG95" s="451"/>
      <c r="DH95" s="451"/>
      <c r="DI95" s="62"/>
      <c r="DJ95" s="451"/>
      <c r="DK95" s="451"/>
      <c r="DL95" s="451"/>
      <c r="DM95" s="451"/>
      <c r="DN95" s="62"/>
      <c r="DO95" s="451"/>
      <c r="DP95" s="451"/>
      <c r="DQ95" s="451"/>
      <c r="DR95" s="451"/>
      <c r="DS95" s="62"/>
      <c r="DT95" s="451"/>
      <c r="DU95" s="451"/>
      <c r="DV95" s="451"/>
      <c r="DW95" s="451"/>
      <c r="DX95" s="62"/>
      <c r="DY95" s="451"/>
      <c r="DZ95" s="451"/>
      <c r="EA95" s="451"/>
      <c r="EB95" s="451"/>
      <c r="EC95" s="62"/>
      <c r="ED95" s="451"/>
      <c r="EE95" s="451"/>
      <c r="EF95" s="451"/>
      <c r="EG95" s="451"/>
      <c r="EH95" s="62"/>
      <c r="EI95" s="451"/>
      <c r="EJ95" s="451"/>
      <c r="EK95" s="451"/>
      <c r="EL95" s="451"/>
      <c r="EM95" s="62"/>
    </row>
    <row r="96" spans="2:143" ht="12.75" customHeight="1">
      <c r="B96" s="25" t="s">
        <v>999</v>
      </c>
      <c r="C96" s="51"/>
      <c r="D96" s="61"/>
      <c r="E96" s="61"/>
      <c r="F96" s="61"/>
      <c r="G96" s="61"/>
      <c r="H96" s="62"/>
      <c r="I96" s="61"/>
      <c r="J96" s="61"/>
      <c r="K96" s="61"/>
      <c r="L96" s="61"/>
      <c r="M96" s="62"/>
      <c r="N96" s="61"/>
      <c r="O96" s="61"/>
      <c r="P96" s="61"/>
      <c r="Q96" s="61"/>
      <c r="R96" s="62"/>
      <c r="S96" s="61"/>
      <c r="T96" s="61"/>
      <c r="U96" s="61"/>
      <c r="V96" s="61"/>
      <c r="W96" s="62"/>
      <c r="X96" s="61"/>
      <c r="Y96" s="61"/>
      <c r="Z96" s="61"/>
      <c r="AA96" s="61"/>
      <c r="AB96" s="62"/>
      <c r="AC96" s="61"/>
      <c r="AD96" s="61"/>
      <c r="AE96" s="61"/>
      <c r="AF96" s="61"/>
      <c r="AG96" s="62"/>
      <c r="AH96" s="61"/>
      <c r="AI96" s="61"/>
      <c r="AJ96" s="61"/>
      <c r="AK96" s="61"/>
      <c r="AL96" s="62"/>
      <c r="AM96" s="61"/>
      <c r="AN96" s="61"/>
      <c r="AO96" s="61"/>
      <c r="AP96" s="61"/>
      <c r="AQ96" s="62"/>
      <c r="AR96" s="61"/>
      <c r="AS96" s="61"/>
      <c r="AT96" s="61"/>
      <c r="AU96" s="61"/>
      <c r="AV96" s="62"/>
      <c r="AW96" s="451"/>
      <c r="AX96" s="451"/>
      <c r="AY96" s="451"/>
      <c r="AZ96" s="451"/>
      <c r="BA96" s="62"/>
      <c r="BB96" s="451"/>
      <c r="BC96" s="451"/>
      <c r="BD96" s="451"/>
      <c r="BE96" s="451"/>
      <c r="BF96" s="62"/>
      <c r="BG96" s="451"/>
      <c r="BH96" s="451"/>
      <c r="BI96" s="451"/>
      <c r="BJ96" s="451"/>
      <c r="BK96" s="62"/>
      <c r="BL96" s="451"/>
      <c r="BM96" s="451"/>
      <c r="BN96" s="451"/>
      <c r="BO96" s="451"/>
      <c r="BP96" s="62"/>
      <c r="BQ96" s="451"/>
      <c r="BR96" s="451"/>
      <c r="BS96" s="451"/>
      <c r="BT96" s="451"/>
      <c r="BU96" s="62"/>
      <c r="BV96" s="451"/>
      <c r="BW96" s="451"/>
      <c r="BX96" s="451"/>
      <c r="BY96" s="451"/>
      <c r="BZ96" s="62"/>
      <c r="CA96" s="451"/>
      <c r="CB96" s="451"/>
      <c r="CC96" s="451"/>
      <c r="CD96" s="451"/>
      <c r="CE96" s="62">
        <f>IFERROR(CE32/BZ32-1,0)</f>
        <v>0</v>
      </c>
      <c r="CF96" s="451" t="e">
        <f>CF32/CA32-1</f>
        <v>#DIV/0!</v>
      </c>
      <c r="CG96" s="451" t="e">
        <f>CG32/CB32-1</f>
        <v>#DIV/0!</v>
      </c>
      <c r="CH96" s="451" t="e">
        <f>CH32/CC32-1</f>
        <v>#DIV/0!</v>
      </c>
      <c r="CI96" s="451" t="e">
        <f>CI32/CD32-1</f>
        <v>#DIV/0!</v>
      </c>
      <c r="CJ96" s="62">
        <f>IFERROR(CJ32/CE32-1,0)</f>
        <v>0</v>
      </c>
      <c r="CK96" s="451" t="e">
        <f>CK32/CF32-1</f>
        <v>#DIV/0!</v>
      </c>
      <c r="CL96" s="451" t="e">
        <f>CL32/CG32-1</f>
        <v>#DIV/0!</v>
      </c>
      <c r="CM96" s="451" t="e">
        <f>CM32/CH32-1</f>
        <v>#DIV/0!</v>
      </c>
      <c r="CN96" s="451" t="e">
        <f>CN32/CI32-1</f>
        <v>#DIV/0!</v>
      </c>
      <c r="CO96" s="62">
        <f>IFERROR(CO32/CJ32-1,0)</f>
        <v>3</v>
      </c>
      <c r="CP96" s="451" t="e">
        <f>CP32/CK32-1</f>
        <v>#DIV/0!</v>
      </c>
      <c r="CQ96" s="451" t="e">
        <f>CQ32/CL32-1</f>
        <v>#DIV/0!</v>
      </c>
      <c r="CR96" s="451" t="e">
        <f>CR32/CM32-1</f>
        <v>#DIV/0!</v>
      </c>
      <c r="CS96" s="451" t="e">
        <f>CS32/CN32-1</f>
        <v>#DIV/0!</v>
      </c>
      <c r="CT96" s="62">
        <f>IFERROR(CT32/CO32-1,0)</f>
        <v>0.66666666666666674</v>
      </c>
      <c r="CU96" s="451" t="e">
        <f>CU32/CP32-1</f>
        <v>#DIV/0!</v>
      </c>
      <c r="CV96" s="451" t="e">
        <f>CV32/CQ32-1</f>
        <v>#DIV/0!</v>
      </c>
      <c r="CW96" s="451" t="e">
        <f>CW32/CR32-1</f>
        <v>#DIV/0!</v>
      </c>
      <c r="CX96" s="451" t="e">
        <f>CX32/CS32-1</f>
        <v>#DIV/0!</v>
      </c>
      <c r="CY96" s="62">
        <f>IFERROR(CY32/CT32-1,0)</f>
        <v>0.19999999999999996</v>
      </c>
      <c r="CZ96" s="451" t="e">
        <f>CZ32/CU32-1</f>
        <v>#DIV/0!</v>
      </c>
      <c r="DA96" s="451" t="e">
        <f>DA32/CV32-1</f>
        <v>#DIV/0!</v>
      </c>
      <c r="DB96" s="451" t="e">
        <f>DB32/CW32-1</f>
        <v>#DIV/0!</v>
      </c>
      <c r="DC96" s="451" t="e">
        <f>DC32/CX32-1</f>
        <v>#DIV/0!</v>
      </c>
      <c r="DD96" s="62">
        <f>IFERROR(DD32/CY32-1,0)</f>
        <v>0.125</v>
      </c>
      <c r="DE96" s="451" t="e">
        <f>DE32/CZ32-1</f>
        <v>#DIV/0!</v>
      </c>
      <c r="DF96" s="451" t="e">
        <f>DF32/DA32-1</f>
        <v>#DIV/0!</v>
      </c>
      <c r="DG96" s="451" t="e">
        <f>DG32/DB32-1</f>
        <v>#DIV/0!</v>
      </c>
      <c r="DH96" s="451" t="e">
        <f>DH32/DC32-1</f>
        <v>#DIV/0!</v>
      </c>
      <c r="DI96" s="62">
        <f>IFERROR(DI32/DD32-1,0)</f>
        <v>0.11111111111111116</v>
      </c>
      <c r="DJ96" s="451" t="e">
        <f>DJ32/DE32-1</f>
        <v>#DIV/0!</v>
      </c>
      <c r="DK96" s="451" t="e">
        <f>DK32/DF32-1</f>
        <v>#DIV/0!</v>
      </c>
      <c r="DL96" s="451" t="e">
        <f>DL32/DG32-1</f>
        <v>#DIV/0!</v>
      </c>
      <c r="DM96" s="451" t="e">
        <f>DM32/DH32-1</f>
        <v>#DIV/0!</v>
      </c>
      <c r="DN96" s="62">
        <f>IFERROR(DN32/DI32-1,0)</f>
        <v>5.0000000000000044E-2</v>
      </c>
      <c r="DO96" s="451" t="e">
        <f>DO32/DJ32-1</f>
        <v>#DIV/0!</v>
      </c>
      <c r="DP96" s="451" t="e">
        <f>DP32/DK32-1</f>
        <v>#DIV/0!</v>
      </c>
      <c r="DQ96" s="451" t="e">
        <f>DQ32/DL32-1</f>
        <v>#DIV/0!</v>
      </c>
      <c r="DR96" s="451" t="e">
        <f>DR32/DM32-1</f>
        <v>#DIV/0!</v>
      </c>
      <c r="DS96" s="62">
        <f>IFERROR(DS32/DN32-1,0)</f>
        <v>5.0000000000000044E-2</v>
      </c>
      <c r="DT96" s="451" t="e">
        <f>DT32/DO32-1</f>
        <v>#DIV/0!</v>
      </c>
      <c r="DU96" s="451" t="e">
        <f>DU32/DP32-1</f>
        <v>#DIV/0!</v>
      </c>
      <c r="DV96" s="451" t="e">
        <f>DV32/DQ32-1</f>
        <v>#DIV/0!</v>
      </c>
      <c r="DW96" s="451" t="e">
        <f>DW32/DR32-1</f>
        <v>#DIV/0!</v>
      </c>
      <c r="DX96" s="62">
        <f>IFERROR(DX32/DS32-1,0)</f>
        <v>5.0000000000000044E-2</v>
      </c>
      <c r="DY96" s="451" t="e">
        <f>DY32/DT32-1</f>
        <v>#DIV/0!</v>
      </c>
      <c r="DZ96" s="451" t="e">
        <f>DZ32/DU32-1</f>
        <v>#DIV/0!</v>
      </c>
      <c r="EA96" s="451" t="e">
        <f>EA32/DV32-1</f>
        <v>#DIV/0!</v>
      </c>
      <c r="EB96" s="451" t="e">
        <f>EB32/DW32-1</f>
        <v>#DIV/0!</v>
      </c>
      <c r="EC96" s="62">
        <f>IFERROR(EC32/DX32-1,0)</f>
        <v>5.0000000000000044E-2</v>
      </c>
      <c r="ED96" s="451" t="e">
        <f>ED32/DY32-1</f>
        <v>#DIV/0!</v>
      </c>
      <c r="EE96" s="451" t="e">
        <f>EE32/DZ32-1</f>
        <v>#DIV/0!</v>
      </c>
      <c r="EF96" s="451" t="e">
        <f>EF32/EA32-1</f>
        <v>#DIV/0!</v>
      </c>
      <c r="EG96" s="451" t="e">
        <f>EG32/EB32-1</f>
        <v>#DIV/0!</v>
      </c>
      <c r="EH96" s="62">
        <f>IFERROR(EH32/EC32-1,0)</f>
        <v>5.0000000000000044E-2</v>
      </c>
      <c r="EI96" s="451" t="e">
        <f>EI32/ED32-1</f>
        <v>#DIV/0!</v>
      </c>
      <c r="EJ96" s="451" t="e">
        <f>EJ32/EE32-1</f>
        <v>#DIV/0!</v>
      </c>
      <c r="EK96" s="451" t="e">
        <f>EK32/EF32-1</f>
        <v>#DIV/0!</v>
      </c>
      <c r="EL96" s="451" t="e">
        <f>EL32/EG32-1</f>
        <v>#DIV/0!</v>
      </c>
      <c r="EM96" s="62">
        <f>IFERROR(EM32/EH32-1,0)</f>
        <v>5.0000000000000044E-2</v>
      </c>
    </row>
    <row r="97" spans="2:143" ht="6.75" customHeight="1">
      <c r="B97" s="10"/>
      <c r="C97" s="51"/>
      <c r="D97" s="61"/>
      <c r="E97" s="61"/>
      <c r="F97" s="61"/>
      <c r="G97" s="61"/>
      <c r="H97" s="62"/>
      <c r="I97" s="61"/>
      <c r="J97" s="61"/>
      <c r="K97" s="61"/>
      <c r="L97" s="61"/>
      <c r="M97" s="62"/>
      <c r="N97" s="61"/>
      <c r="O97" s="61"/>
      <c r="P97" s="61"/>
      <c r="Q97" s="61"/>
      <c r="R97" s="62"/>
      <c r="S97" s="61"/>
      <c r="T97" s="61"/>
      <c r="U97" s="61"/>
      <c r="V97" s="61"/>
      <c r="W97" s="62"/>
      <c r="X97" s="61"/>
      <c r="Y97" s="61"/>
      <c r="Z97" s="61"/>
      <c r="AA97" s="61"/>
      <c r="AB97" s="62"/>
      <c r="AC97" s="61"/>
      <c r="AD97" s="61"/>
      <c r="AE97" s="61"/>
      <c r="AF97" s="61"/>
      <c r="AG97" s="62"/>
      <c r="AH97" s="61"/>
      <c r="AI97" s="61"/>
      <c r="AJ97" s="61"/>
      <c r="AK97" s="61"/>
      <c r="AL97" s="62"/>
      <c r="AM97" s="61"/>
      <c r="AN97" s="61"/>
      <c r="AO97" s="61"/>
      <c r="AP97" s="61"/>
      <c r="AQ97" s="62"/>
      <c r="AR97" s="61"/>
      <c r="AS97" s="61"/>
      <c r="AT97" s="61"/>
      <c r="AU97" s="61"/>
      <c r="AV97" s="62"/>
      <c r="AW97" s="451"/>
      <c r="AX97" s="451"/>
      <c r="AY97" s="451"/>
      <c r="AZ97" s="451"/>
      <c r="BA97" s="62"/>
      <c r="BB97" s="451"/>
      <c r="BC97" s="451"/>
      <c r="BD97" s="451"/>
      <c r="BE97" s="451"/>
      <c r="BF97" s="62"/>
      <c r="BG97" s="451"/>
      <c r="BH97" s="451"/>
      <c r="BI97" s="451"/>
      <c r="BJ97" s="451"/>
      <c r="BK97" s="62"/>
      <c r="BL97" s="451"/>
      <c r="BM97" s="451"/>
      <c r="BN97" s="451"/>
      <c r="BO97" s="451"/>
      <c r="BP97" s="62"/>
      <c r="BQ97" s="451"/>
      <c r="BR97" s="451"/>
      <c r="BS97" s="451"/>
      <c r="BT97" s="451"/>
      <c r="BU97" s="62"/>
      <c r="BV97" s="451"/>
      <c r="BW97" s="451"/>
      <c r="BX97" s="451"/>
      <c r="BY97" s="451"/>
      <c r="BZ97" s="62"/>
      <c r="CA97" s="451"/>
      <c r="CB97" s="451"/>
      <c r="CC97" s="451"/>
      <c r="CD97" s="451"/>
      <c r="CE97" s="62"/>
      <c r="CF97" s="451"/>
      <c r="CG97" s="451"/>
      <c r="CH97" s="451"/>
      <c r="CI97" s="451"/>
      <c r="CJ97" s="62"/>
      <c r="CK97" s="451"/>
      <c r="CL97" s="451"/>
      <c r="CM97" s="451"/>
      <c r="CN97" s="451"/>
      <c r="CO97" s="62"/>
      <c r="CP97" s="451"/>
      <c r="CQ97" s="451"/>
      <c r="CR97" s="451"/>
      <c r="CS97" s="451"/>
      <c r="CT97" s="62"/>
      <c r="CU97" s="451"/>
      <c r="CV97" s="451"/>
      <c r="CW97" s="451"/>
      <c r="CX97" s="451"/>
      <c r="CY97" s="62"/>
      <c r="CZ97" s="451"/>
      <c r="DA97" s="451"/>
      <c r="DB97" s="451"/>
      <c r="DC97" s="451"/>
      <c r="DD97" s="62"/>
      <c r="DE97" s="451"/>
      <c r="DF97" s="451"/>
      <c r="DG97" s="451"/>
      <c r="DH97" s="451"/>
      <c r="DI97" s="62"/>
      <c r="DJ97" s="451"/>
      <c r="DK97" s="451"/>
      <c r="DL97" s="451"/>
      <c r="DM97" s="451"/>
      <c r="DN97" s="62"/>
      <c r="DO97" s="451"/>
      <c r="DP97" s="451"/>
      <c r="DQ97" s="451"/>
      <c r="DR97" s="451"/>
      <c r="DS97" s="62"/>
      <c r="DT97" s="451"/>
      <c r="DU97" s="451"/>
      <c r="DV97" s="451"/>
      <c r="DW97" s="451"/>
      <c r="DX97" s="62"/>
      <c r="DY97" s="451"/>
      <c r="DZ97" s="451"/>
      <c r="EA97" s="451"/>
      <c r="EB97" s="451"/>
      <c r="EC97" s="62"/>
      <c r="ED97" s="451"/>
      <c r="EE97" s="451"/>
      <c r="EF97" s="451"/>
      <c r="EG97" s="451"/>
      <c r="EH97" s="62"/>
      <c r="EI97" s="451"/>
      <c r="EJ97" s="451"/>
      <c r="EK97" s="451"/>
      <c r="EL97" s="451"/>
      <c r="EM97" s="62"/>
    </row>
    <row r="98" spans="2:143" ht="12.75" customHeight="1">
      <c r="B98" s="25" t="s">
        <v>916</v>
      </c>
      <c r="C98" s="51"/>
      <c r="D98" s="61"/>
      <c r="E98" s="61"/>
      <c r="F98" s="61"/>
      <c r="G98" s="61"/>
      <c r="H98" s="62"/>
      <c r="I98" s="61"/>
      <c r="J98" s="61"/>
      <c r="K98" s="61"/>
      <c r="L98" s="61"/>
      <c r="M98" s="62"/>
      <c r="N98" s="61"/>
      <c r="O98" s="61"/>
      <c r="P98" s="61"/>
      <c r="Q98" s="61"/>
      <c r="R98" s="62"/>
      <c r="S98" s="61"/>
      <c r="T98" s="61"/>
      <c r="U98" s="61"/>
      <c r="V98" s="61"/>
      <c r="W98" s="62"/>
      <c r="X98" s="61"/>
      <c r="Y98" s="61"/>
      <c r="Z98" s="61"/>
      <c r="AA98" s="61"/>
      <c r="AB98" s="62"/>
      <c r="AC98" s="61"/>
      <c r="AD98" s="61"/>
      <c r="AE98" s="61"/>
      <c r="AF98" s="61"/>
      <c r="AG98" s="62"/>
      <c r="AH98" s="61"/>
      <c r="AI98" s="61"/>
      <c r="AJ98" s="61"/>
      <c r="AK98" s="61"/>
      <c r="AL98" s="62"/>
      <c r="AM98" s="61"/>
      <c r="AN98" s="61"/>
      <c r="AO98" s="61"/>
      <c r="AP98" s="61"/>
      <c r="AQ98" s="62"/>
      <c r="AR98" s="61"/>
      <c r="AS98" s="61"/>
      <c r="AT98" s="61"/>
      <c r="AU98" s="61"/>
      <c r="AV98" s="62"/>
      <c r="AW98" s="451"/>
      <c r="AX98" s="451"/>
      <c r="AY98" s="451"/>
      <c r="AZ98" s="451"/>
      <c r="BA98" s="62"/>
      <c r="BB98" s="451"/>
      <c r="BC98" s="451"/>
      <c r="BD98" s="451"/>
      <c r="BE98" s="451"/>
      <c r="BF98" s="62"/>
      <c r="BG98" s="451"/>
      <c r="BH98" s="451"/>
      <c r="BI98" s="451"/>
      <c r="BJ98" s="451"/>
      <c r="BK98" s="62"/>
      <c r="BL98" s="451"/>
      <c r="BM98" s="451"/>
      <c r="BN98" s="451"/>
      <c r="BO98" s="451"/>
      <c r="BP98" s="62"/>
      <c r="BQ98" s="451"/>
      <c r="BR98" s="451"/>
      <c r="BS98" s="451"/>
      <c r="BT98" s="451"/>
      <c r="BU98" s="62"/>
      <c r="BV98" s="451">
        <f t="shared" ref="BV98:DA98" si="117">IFERROR(BV34/BQ34-1,0)</f>
        <v>0</v>
      </c>
      <c r="BW98" s="451">
        <f t="shared" si="117"/>
        <v>0</v>
      </c>
      <c r="BX98" s="451">
        <f t="shared" si="117"/>
        <v>0</v>
      </c>
      <c r="BY98" s="451">
        <f t="shared" si="117"/>
        <v>0</v>
      </c>
      <c r="BZ98" s="62">
        <f t="shared" si="117"/>
        <v>0</v>
      </c>
      <c r="CA98" s="451">
        <f t="shared" si="117"/>
        <v>0</v>
      </c>
      <c r="CB98" s="451">
        <f t="shared" si="117"/>
        <v>0</v>
      </c>
      <c r="CC98" s="451">
        <f t="shared" si="117"/>
        <v>4.5125000000000002</v>
      </c>
      <c r="CD98" s="451">
        <f t="shared" si="117"/>
        <v>2.0509615384615381</v>
      </c>
      <c r="CE98" s="62">
        <f t="shared" si="117"/>
        <v>6.5</v>
      </c>
      <c r="CF98" s="451">
        <f t="shared" si="117"/>
        <v>-1</v>
      </c>
      <c r="CG98" s="451">
        <f t="shared" si="117"/>
        <v>-1</v>
      </c>
      <c r="CH98" s="451">
        <f t="shared" si="117"/>
        <v>-1</v>
      </c>
      <c r="CI98" s="451">
        <f t="shared" si="117"/>
        <v>-1</v>
      </c>
      <c r="CJ98" s="62">
        <f t="shared" si="117"/>
        <v>0.66666666666666674</v>
      </c>
      <c r="CK98" s="451">
        <f t="shared" si="117"/>
        <v>0</v>
      </c>
      <c r="CL98" s="451">
        <f t="shared" si="117"/>
        <v>0</v>
      </c>
      <c r="CM98" s="451">
        <f t="shared" si="117"/>
        <v>0</v>
      </c>
      <c r="CN98" s="451">
        <f t="shared" si="117"/>
        <v>0</v>
      </c>
      <c r="CO98" s="62">
        <f t="shared" si="117"/>
        <v>0.19999999999999996</v>
      </c>
      <c r="CP98" s="451">
        <f t="shared" si="117"/>
        <v>0</v>
      </c>
      <c r="CQ98" s="451">
        <f t="shared" si="117"/>
        <v>0</v>
      </c>
      <c r="CR98" s="451">
        <f t="shared" si="117"/>
        <v>0</v>
      </c>
      <c r="CS98" s="451">
        <f t="shared" si="117"/>
        <v>0</v>
      </c>
      <c r="CT98" s="62">
        <f t="shared" si="117"/>
        <v>5.0000000000000044E-2</v>
      </c>
      <c r="CU98" s="451">
        <f t="shared" si="117"/>
        <v>0</v>
      </c>
      <c r="CV98" s="451">
        <f t="shared" si="117"/>
        <v>0</v>
      </c>
      <c r="CW98" s="451">
        <f t="shared" si="117"/>
        <v>0</v>
      </c>
      <c r="CX98" s="451">
        <f t="shared" si="117"/>
        <v>0</v>
      </c>
      <c r="CY98" s="62">
        <f t="shared" si="117"/>
        <v>5.0000000000000044E-2</v>
      </c>
      <c r="CZ98" s="451">
        <f t="shared" si="117"/>
        <v>0</v>
      </c>
      <c r="DA98" s="451">
        <f t="shared" si="117"/>
        <v>0</v>
      </c>
      <c r="DB98" s="451">
        <f t="shared" ref="DB98:EG98" si="118">IFERROR(DB34/CW34-1,0)</f>
        <v>0</v>
      </c>
      <c r="DC98" s="451">
        <f t="shared" si="118"/>
        <v>0</v>
      </c>
      <c r="DD98" s="62">
        <f t="shared" si="118"/>
        <v>5.0000000000000044E-2</v>
      </c>
      <c r="DE98" s="451">
        <f t="shared" si="118"/>
        <v>0</v>
      </c>
      <c r="DF98" s="451">
        <f t="shared" si="118"/>
        <v>0</v>
      </c>
      <c r="DG98" s="451">
        <f t="shared" si="118"/>
        <v>0</v>
      </c>
      <c r="DH98" s="451">
        <f t="shared" si="118"/>
        <v>0</v>
      </c>
      <c r="DI98" s="62">
        <f t="shared" si="118"/>
        <v>5.0000000000000044E-2</v>
      </c>
      <c r="DJ98" s="451">
        <f t="shared" si="118"/>
        <v>0</v>
      </c>
      <c r="DK98" s="451">
        <f t="shared" si="118"/>
        <v>0</v>
      </c>
      <c r="DL98" s="451">
        <f t="shared" si="118"/>
        <v>0</v>
      </c>
      <c r="DM98" s="451">
        <f t="shared" si="118"/>
        <v>0</v>
      </c>
      <c r="DN98" s="62">
        <f t="shared" si="118"/>
        <v>5.0000000000000044E-2</v>
      </c>
      <c r="DO98" s="451">
        <f t="shared" si="118"/>
        <v>0</v>
      </c>
      <c r="DP98" s="451">
        <f t="shared" si="118"/>
        <v>0</v>
      </c>
      <c r="DQ98" s="451">
        <f t="shared" si="118"/>
        <v>0</v>
      </c>
      <c r="DR98" s="451">
        <f t="shared" si="118"/>
        <v>0</v>
      </c>
      <c r="DS98" s="62">
        <f t="shared" si="118"/>
        <v>5.0000000000000044E-2</v>
      </c>
      <c r="DT98" s="451">
        <f t="shared" si="118"/>
        <v>0</v>
      </c>
      <c r="DU98" s="451">
        <f t="shared" si="118"/>
        <v>0</v>
      </c>
      <c r="DV98" s="451">
        <f t="shared" si="118"/>
        <v>0</v>
      </c>
      <c r="DW98" s="451">
        <f t="shared" si="118"/>
        <v>0</v>
      </c>
      <c r="DX98" s="62">
        <f t="shared" si="118"/>
        <v>5.0000000000000044E-2</v>
      </c>
      <c r="DY98" s="451">
        <f t="shared" si="118"/>
        <v>0</v>
      </c>
      <c r="DZ98" s="451">
        <f t="shared" si="118"/>
        <v>0</v>
      </c>
      <c r="EA98" s="451">
        <f t="shared" si="118"/>
        <v>0</v>
      </c>
      <c r="EB98" s="451">
        <f t="shared" si="118"/>
        <v>0</v>
      </c>
      <c r="EC98" s="62">
        <f t="shared" si="118"/>
        <v>5.0000000000000044E-2</v>
      </c>
      <c r="ED98" s="451">
        <f t="shared" si="118"/>
        <v>0</v>
      </c>
      <c r="EE98" s="451">
        <f t="shared" si="118"/>
        <v>0</v>
      </c>
      <c r="EF98" s="451">
        <f t="shared" si="118"/>
        <v>0</v>
      </c>
      <c r="EG98" s="451">
        <f t="shared" si="118"/>
        <v>0</v>
      </c>
      <c r="EH98" s="62">
        <f t="shared" ref="EH98:EM98" si="119">IFERROR(EH34/EC34-1,0)</f>
        <v>5.0000000000000044E-2</v>
      </c>
      <c r="EI98" s="451">
        <f t="shared" si="119"/>
        <v>0</v>
      </c>
      <c r="EJ98" s="451">
        <f t="shared" si="119"/>
        <v>0</v>
      </c>
      <c r="EK98" s="451">
        <f t="shared" si="119"/>
        <v>0</v>
      </c>
      <c r="EL98" s="451">
        <f t="shared" si="119"/>
        <v>0</v>
      </c>
      <c r="EM98" s="62">
        <f t="shared" si="119"/>
        <v>5.0000000000000044E-2</v>
      </c>
    </row>
    <row r="99" spans="2:143" ht="6.75" customHeight="1">
      <c r="B99" s="10"/>
      <c r="C99" s="51"/>
      <c r="D99" s="61"/>
      <c r="E99" s="61"/>
      <c r="F99" s="61"/>
      <c r="G99" s="61"/>
      <c r="H99" s="62"/>
      <c r="I99" s="61"/>
      <c r="J99" s="61"/>
      <c r="K99" s="61"/>
      <c r="L99" s="61"/>
      <c r="M99" s="62"/>
      <c r="N99" s="61"/>
      <c r="O99" s="61"/>
      <c r="P99" s="61"/>
      <c r="Q99" s="61"/>
      <c r="R99" s="62"/>
      <c r="S99" s="61"/>
      <c r="T99" s="61"/>
      <c r="U99" s="61"/>
      <c r="V99" s="61"/>
      <c r="W99" s="62"/>
      <c r="X99" s="61"/>
      <c r="Y99" s="61"/>
      <c r="Z99" s="61"/>
      <c r="AA99" s="61"/>
      <c r="AB99" s="62"/>
      <c r="AC99" s="61"/>
      <c r="AD99" s="61"/>
      <c r="AE99" s="61"/>
      <c r="AF99" s="61"/>
      <c r="AG99" s="62"/>
      <c r="AH99" s="61"/>
      <c r="AI99" s="61"/>
      <c r="AJ99" s="61"/>
      <c r="AK99" s="61"/>
      <c r="AL99" s="62"/>
      <c r="AM99" s="61"/>
      <c r="AN99" s="61"/>
      <c r="AO99" s="61"/>
      <c r="AP99" s="61"/>
      <c r="AQ99" s="62"/>
      <c r="AR99" s="61"/>
      <c r="AS99" s="61"/>
      <c r="AT99" s="61"/>
      <c r="AU99" s="61"/>
      <c r="AV99" s="62"/>
      <c r="AW99" s="451"/>
      <c r="AX99" s="451"/>
      <c r="AY99" s="451"/>
      <c r="AZ99" s="451"/>
      <c r="BA99" s="62"/>
      <c r="BB99" s="451"/>
      <c r="BC99" s="451"/>
      <c r="BD99" s="451"/>
      <c r="BE99" s="451"/>
      <c r="BF99" s="62"/>
      <c r="BG99" s="451"/>
      <c r="BH99" s="451"/>
      <c r="BI99" s="451"/>
      <c r="BJ99" s="451"/>
      <c r="BK99" s="62"/>
      <c r="BL99" s="451"/>
      <c r="BM99" s="451"/>
      <c r="BN99" s="451"/>
      <c r="BO99" s="451"/>
      <c r="BP99" s="62"/>
      <c r="BQ99" s="451"/>
      <c r="BR99" s="451"/>
      <c r="BS99" s="451"/>
      <c r="BT99" s="451"/>
      <c r="BU99" s="62"/>
      <c r="BV99" s="451"/>
      <c r="BW99" s="451"/>
      <c r="BX99" s="451"/>
      <c r="BY99" s="451"/>
      <c r="BZ99" s="62"/>
      <c r="CA99" s="451"/>
      <c r="CB99" s="451"/>
      <c r="CC99" s="451"/>
      <c r="CD99" s="451"/>
      <c r="CE99" s="62"/>
      <c r="CF99" s="451"/>
      <c r="CG99" s="451"/>
      <c r="CH99" s="451"/>
      <c r="CI99" s="451"/>
      <c r="CJ99" s="62"/>
      <c r="CK99" s="451"/>
      <c r="CL99" s="451"/>
      <c r="CM99" s="451"/>
      <c r="CN99" s="451"/>
      <c r="CO99" s="62"/>
      <c r="CP99" s="451"/>
      <c r="CQ99" s="451"/>
      <c r="CR99" s="451"/>
      <c r="CS99" s="451"/>
      <c r="CT99" s="62"/>
      <c r="CU99" s="451"/>
      <c r="CV99" s="451"/>
      <c r="CW99" s="451"/>
      <c r="CX99" s="451"/>
      <c r="CY99" s="62"/>
      <c r="CZ99" s="451"/>
      <c r="DA99" s="451"/>
      <c r="DB99" s="451"/>
      <c r="DC99" s="451"/>
      <c r="DD99" s="62"/>
      <c r="DE99" s="451"/>
      <c r="DF99" s="451"/>
      <c r="DG99" s="451"/>
      <c r="DH99" s="451"/>
      <c r="DI99" s="62"/>
      <c r="DJ99" s="451"/>
      <c r="DK99" s="451"/>
      <c r="DL99" s="451"/>
      <c r="DM99" s="451"/>
      <c r="DN99" s="62"/>
      <c r="DO99" s="451"/>
      <c r="DP99" s="451"/>
      <c r="DQ99" s="451"/>
      <c r="DR99" s="451"/>
      <c r="DS99" s="62"/>
      <c r="DT99" s="451"/>
      <c r="DU99" s="451"/>
      <c r="DV99" s="451"/>
      <c r="DW99" s="451"/>
      <c r="DX99" s="62"/>
      <c r="DY99" s="451"/>
      <c r="DZ99" s="451"/>
      <c r="EA99" s="451"/>
      <c r="EB99" s="451"/>
      <c r="EC99" s="62"/>
      <c r="ED99" s="451"/>
      <c r="EE99" s="451"/>
      <c r="EF99" s="451"/>
      <c r="EG99" s="451"/>
      <c r="EH99" s="62"/>
      <c r="EI99" s="451"/>
      <c r="EJ99" s="451"/>
      <c r="EK99" s="451"/>
      <c r="EL99" s="451"/>
      <c r="EM99" s="62"/>
    </row>
    <row r="100" spans="2:143">
      <c r="B100" s="25" t="s">
        <v>123</v>
      </c>
      <c r="C100" s="51"/>
      <c r="D100" s="61"/>
      <c r="E100" s="61"/>
      <c r="F100" s="61"/>
      <c r="G100" s="61"/>
      <c r="H100" s="62">
        <f t="shared" ref="H100:AM100" si="120">H36/C36-1</f>
        <v>0.87876700823114406</v>
      </c>
      <c r="I100" s="61">
        <f t="shared" si="120"/>
        <v>0.51665643902866654</v>
      </c>
      <c r="J100" s="61">
        <f t="shared" si="120"/>
        <v>0.35901454134625888</v>
      </c>
      <c r="K100" s="61">
        <f t="shared" si="120"/>
        <v>0.36733311330750906</v>
      </c>
      <c r="L100" s="61">
        <f t="shared" si="120"/>
        <v>0.31195988477541858</v>
      </c>
      <c r="M100" s="62">
        <f t="shared" si="120"/>
        <v>0.37950966980499445</v>
      </c>
      <c r="N100" s="61">
        <f t="shared" si="120"/>
        <v>0.27728967370885238</v>
      </c>
      <c r="O100" s="61">
        <f t="shared" si="120"/>
        <v>0.26638508983641729</v>
      </c>
      <c r="P100" s="61">
        <f t="shared" si="120"/>
        <v>0.25938818029371413</v>
      </c>
      <c r="Q100" s="61">
        <f t="shared" si="120"/>
        <v>0.22961465630409217</v>
      </c>
      <c r="R100" s="62">
        <f t="shared" si="120"/>
        <v>0.25678841909798833</v>
      </c>
      <c r="S100" s="61">
        <f t="shared" si="120"/>
        <v>0.21291760473351351</v>
      </c>
      <c r="T100" s="61">
        <f t="shared" si="120"/>
        <v>0.13495399536247832</v>
      </c>
      <c r="U100" s="61">
        <f t="shared" si="120"/>
        <v>9.3166824701918616E-2</v>
      </c>
      <c r="V100" s="61">
        <f t="shared" si="120"/>
        <v>4.0928158421828842E-2</v>
      </c>
      <c r="W100" s="62">
        <f t="shared" si="120"/>
        <v>0.11637993275161418</v>
      </c>
      <c r="X100" s="61">
        <f t="shared" si="120"/>
        <v>-1.097835110203238E-2</v>
      </c>
      <c r="Y100" s="61">
        <f t="shared" si="120"/>
        <v>9.8094091964960439E-2</v>
      </c>
      <c r="Z100" s="61">
        <f t="shared" si="120"/>
        <v>2.1777244624896275E-2</v>
      </c>
      <c r="AA100" s="61">
        <f t="shared" si="120"/>
        <v>2.2155460354341905E-2</v>
      </c>
      <c r="AB100" s="62">
        <f t="shared" si="120"/>
        <v>3.2657350733340973E-2</v>
      </c>
      <c r="AC100" s="61">
        <f t="shared" si="120"/>
        <v>7.443838768696831E-2</v>
      </c>
      <c r="AD100" s="61">
        <f t="shared" si="120"/>
        <v>0.11774051041560485</v>
      </c>
      <c r="AE100" s="61">
        <f t="shared" si="120"/>
        <v>0.19541226406574541</v>
      </c>
      <c r="AF100" s="61">
        <f t="shared" si="120"/>
        <v>0.12639299572888674</v>
      </c>
      <c r="AG100" s="62">
        <f t="shared" si="120"/>
        <v>0.12888708959513662</v>
      </c>
      <c r="AH100" s="61">
        <f t="shared" si="120"/>
        <v>3.2476936985958993E-4</v>
      </c>
      <c r="AI100" s="61">
        <f t="shared" si="120"/>
        <v>-0.20008056731551238</v>
      </c>
      <c r="AJ100" s="61">
        <f t="shared" si="120"/>
        <v>-0.16883990088238843</v>
      </c>
      <c r="AK100" s="61">
        <f t="shared" si="120"/>
        <v>-0.15113006598292489</v>
      </c>
      <c r="AL100" s="62">
        <f t="shared" si="120"/>
        <v>-0.13434763915334069</v>
      </c>
      <c r="AM100" s="61">
        <f t="shared" si="120"/>
        <v>-8.7281948685549837E-2</v>
      </c>
      <c r="AN100" s="61">
        <f t="shared" ref="AN100:BS100" si="121">AN36/AI36-1</f>
        <v>-7.052250505971891E-2</v>
      </c>
      <c r="AO100" s="61">
        <f t="shared" si="121"/>
        <v>-0.14397513156818376</v>
      </c>
      <c r="AP100" s="61">
        <f t="shared" si="121"/>
        <v>-0.130869242199108</v>
      </c>
      <c r="AQ100" s="62">
        <f t="shared" si="121"/>
        <v>-0.10826356241388302</v>
      </c>
      <c r="AR100" s="61">
        <f t="shared" si="121"/>
        <v>-0.17876885509099472</v>
      </c>
      <c r="AS100" s="61">
        <f t="shared" si="121"/>
        <v>-9.8690465237525671E-2</v>
      </c>
      <c r="AT100" s="61">
        <f t="shared" si="121"/>
        <v>-0.1154609838711389</v>
      </c>
      <c r="AU100" s="61">
        <f t="shared" si="121"/>
        <v>-0.12197076548275465</v>
      </c>
      <c r="AV100" s="62">
        <f t="shared" si="121"/>
        <v>-0.12971599440458925</v>
      </c>
      <c r="AW100" s="451">
        <f t="shared" si="121"/>
        <v>-8.7963288145910812E-2</v>
      </c>
      <c r="AX100" s="451">
        <f t="shared" si="121"/>
        <v>-0.13355337030861891</v>
      </c>
      <c r="AY100" s="451">
        <f t="shared" si="121"/>
        <v>-9.6656863333533516E-2</v>
      </c>
      <c r="AZ100" s="451">
        <f t="shared" si="121"/>
        <v>-0.11670500042593013</v>
      </c>
      <c r="BA100" s="62">
        <f t="shared" si="121"/>
        <v>-0.10891947609174579</v>
      </c>
      <c r="BB100" s="451">
        <f t="shared" si="121"/>
        <v>-0.2632335575293937</v>
      </c>
      <c r="BC100" s="451">
        <f t="shared" si="121"/>
        <v>-0.13341711173944903</v>
      </c>
      <c r="BD100" s="451">
        <f t="shared" si="121"/>
        <v>-0.20268959377034801</v>
      </c>
      <c r="BE100" s="451">
        <f t="shared" si="121"/>
        <v>-0.15958282242398403</v>
      </c>
      <c r="BF100" s="62">
        <f t="shared" si="121"/>
        <v>-0.19043079937511598</v>
      </c>
      <c r="BG100" s="451">
        <f t="shared" si="121"/>
        <v>1.0452961672473782E-2</v>
      </c>
      <c r="BH100" s="451">
        <f t="shared" si="121"/>
        <v>-0.17975830815709981</v>
      </c>
      <c r="BI100" s="451">
        <f t="shared" si="121"/>
        <v>-0.13500000000000001</v>
      </c>
      <c r="BJ100" s="451">
        <f t="shared" si="121"/>
        <v>-6.557377049180324E-2</v>
      </c>
      <c r="BK100" s="62">
        <f t="shared" si="121"/>
        <v>-9.5666394112837283E-2</v>
      </c>
      <c r="BL100" s="451">
        <f t="shared" si="121"/>
        <v>-0.19137931034482758</v>
      </c>
      <c r="BM100" s="451">
        <f t="shared" si="121"/>
        <v>-0.11786372007366486</v>
      </c>
      <c r="BN100" s="451">
        <f t="shared" si="121"/>
        <v>-0.13102119460500961</v>
      </c>
      <c r="BO100" s="451">
        <f t="shared" si="121"/>
        <v>-0.20175438596491224</v>
      </c>
      <c r="BP100" s="62">
        <f t="shared" si="121"/>
        <v>-0.16184448462929468</v>
      </c>
      <c r="BQ100" s="451">
        <f t="shared" si="121"/>
        <v>-0.12579957356076754</v>
      </c>
      <c r="BR100" s="451">
        <f t="shared" si="121"/>
        <v>-0.21294363256784965</v>
      </c>
      <c r="BS100" s="451">
        <f t="shared" si="121"/>
        <v>-0.1507760532150777</v>
      </c>
      <c r="BT100" s="451">
        <f t="shared" ref="BT100:CY100" si="122">BT36/BO36-1</f>
        <v>-0.22857142857142854</v>
      </c>
      <c r="BU100" s="62">
        <f t="shared" si="122"/>
        <v>-0.17961165048543692</v>
      </c>
      <c r="BV100" s="451">
        <f t="shared" si="122"/>
        <v>-0.12195121951219512</v>
      </c>
      <c r="BW100" s="451">
        <f t="shared" si="122"/>
        <v>-9.8143236074270668E-2</v>
      </c>
      <c r="BX100" s="451">
        <f t="shared" si="122"/>
        <v>-0.11227154046997379</v>
      </c>
      <c r="BY100" s="451">
        <f t="shared" si="122"/>
        <v>-0.20227920227920226</v>
      </c>
      <c r="BZ100" s="62">
        <f t="shared" si="122"/>
        <v>-0.13214990138067062</v>
      </c>
      <c r="CA100" s="451">
        <f t="shared" si="122"/>
        <v>-0.10000000000000009</v>
      </c>
      <c r="CB100" s="451">
        <f t="shared" si="122"/>
        <v>-9.9999999999999978E-2</v>
      </c>
      <c r="CC100" s="451">
        <f t="shared" si="122"/>
        <v>-9.9999999999999978E-2</v>
      </c>
      <c r="CD100" s="451">
        <f t="shared" si="122"/>
        <v>-9.9999999999999978E-2</v>
      </c>
      <c r="CE100" s="62">
        <f t="shared" si="122"/>
        <v>-9.9999999999999978E-2</v>
      </c>
      <c r="CF100" s="451">
        <f t="shared" si="122"/>
        <v>-9.9999999999999978E-2</v>
      </c>
      <c r="CG100" s="451">
        <f t="shared" si="122"/>
        <v>-9.9999999999999978E-2</v>
      </c>
      <c r="CH100" s="451">
        <f t="shared" si="122"/>
        <v>-9.9999999999999978E-2</v>
      </c>
      <c r="CI100" s="451">
        <f t="shared" si="122"/>
        <v>-9.9999999999999978E-2</v>
      </c>
      <c r="CJ100" s="62">
        <f t="shared" si="122"/>
        <v>-9.9999999999999978E-2</v>
      </c>
      <c r="CK100" s="451">
        <f t="shared" si="122"/>
        <v>-9.9999999999999978E-2</v>
      </c>
      <c r="CL100" s="451">
        <f t="shared" si="122"/>
        <v>-0.10000000000000009</v>
      </c>
      <c r="CM100" s="451">
        <f t="shared" si="122"/>
        <v>-0.10000000000000009</v>
      </c>
      <c r="CN100" s="451">
        <f t="shared" si="122"/>
        <v>-9.9999999999999978E-2</v>
      </c>
      <c r="CO100" s="62">
        <f t="shared" si="122"/>
        <v>-9.9999999999999978E-2</v>
      </c>
      <c r="CP100" s="451">
        <f t="shared" si="122"/>
        <v>-9.9999999999999867E-2</v>
      </c>
      <c r="CQ100" s="451">
        <f t="shared" si="122"/>
        <v>-9.9999999999999978E-2</v>
      </c>
      <c r="CR100" s="451">
        <f t="shared" si="122"/>
        <v>-9.9999999999999978E-2</v>
      </c>
      <c r="CS100" s="451">
        <f t="shared" si="122"/>
        <v>-9.9999999999999978E-2</v>
      </c>
      <c r="CT100" s="62">
        <f t="shared" si="122"/>
        <v>-9.9999999999999978E-2</v>
      </c>
      <c r="CU100" s="451">
        <f t="shared" si="122"/>
        <v>-0.10000000000000009</v>
      </c>
      <c r="CV100" s="451">
        <f t="shared" si="122"/>
        <v>-9.9999999999999978E-2</v>
      </c>
      <c r="CW100" s="451">
        <f t="shared" si="122"/>
        <v>-9.9999999999999978E-2</v>
      </c>
      <c r="CX100" s="451">
        <f t="shared" si="122"/>
        <v>-9.9999999999999978E-2</v>
      </c>
      <c r="CY100" s="62">
        <f t="shared" si="122"/>
        <v>-0.10000000000000009</v>
      </c>
      <c r="CZ100" s="451">
        <f t="shared" ref="CZ100:EE100" si="123">CZ36/CU36-1</f>
        <v>-9.9999999999999978E-2</v>
      </c>
      <c r="DA100" s="451">
        <f t="shared" si="123"/>
        <v>-9.9999999999999978E-2</v>
      </c>
      <c r="DB100" s="451">
        <f t="shared" si="123"/>
        <v>-9.9999999999999978E-2</v>
      </c>
      <c r="DC100" s="451">
        <f t="shared" si="123"/>
        <v>-9.9999999999999978E-2</v>
      </c>
      <c r="DD100" s="62">
        <f t="shared" si="123"/>
        <v>-9.9999999999999978E-2</v>
      </c>
      <c r="DE100" s="451">
        <f t="shared" si="123"/>
        <v>-0.5</v>
      </c>
      <c r="DF100" s="451">
        <f t="shared" si="123"/>
        <v>-0.5</v>
      </c>
      <c r="DG100" s="451">
        <f t="shared" si="123"/>
        <v>-0.5</v>
      </c>
      <c r="DH100" s="451">
        <f t="shared" si="123"/>
        <v>-0.5</v>
      </c>
      <c r="DI100" s="62">
        <f t="shared" si="123"/>
        <v>-0.5</v>
      </c>
      <c r="DJ100" s="451">
        <f t="shared" si="123"/>
        <v>-0.8</v>
      </c>
      <c r="DK100" s="451">
        <f t="shared" si="123"/>
        <v>-0.8</v>
      </c>
      <c r="DL100" s="451">
        <f t="shared" si="123"/>
        <v>-0.8</v>
      </c>
      <c r="DM100" s="451">
        <f t="shared" si="123"/>
        <v>-0.8</v>
      </c>
      <c r="DN100" s="62">
        <f t="shared" si="123"/>
        <v>-0.8</v>
      </c>
      <c r="DO100" s="451">
        <f t="shared" si="123"/>
        <v>-0.5</v>
      </c>
      <c r="DP100" s="451">
        <f t="shared" si="123"/>
        <v>-0.5</v>
      </c>
      <c r="DQ100" s="451">
        <f t="shared" si="123"/>
        <v>-0.5</v>
      </c>
      <c r="DR100" s="451">
        <f t="shared" si="123"/>
        <v>-0.5</v>
      </c>
      <c r="DS100" s="62">
        <f t="shared" si="123"/>
        <v>-0.5</v>
      </c>
      <c r="DT100" s="451">
        <f t="shared" si="123"/>
        <v>-0.5</v>
      </c>
      <c r="DU100" s="451">
        <f t="shared" si="123"/>
        <v>-0.5</v>
      </c>
      <c r="DV100" s="451">
        <f t="shared" si="123"/>
        <v>-0.5</v>
      </c>
      <c r="DW100" s="451">
        <f t="shared" si="123"/>
        <v>-0.5</v>
      </c>
      <c r="DX100" s="62">
        <f t="shared" si="123"/>
        <v>-0.5</v>
      </c>
      <c r="DY100" s="451">
        <f t="shared" si="123"/>
        <v>-0.5</v>
      </c>
      <c r="DZ100" s="451">
        <f t="shared" si="123"/>
        <v>-0.5</v>
      </c>
      <c r="EA100" s="451">
        <f t="shared" si="123"/>
        <v>-0.5</v>
      </c>
      <c r="EB100" s="451">
        <f t="shared" si="123"/>
        <v>-0.5</v>
      </c>
      <c r="EC100" s="62">
        <f t="shared" si="123"/>
        <v>-0.5</v>
      </c>
      <c r="ED100" s="451">
        <f t="shared" si="123"/>
        <v>-0.5</v>
      </c>
      <c r="EE100" s="451">
        <f t="shared" si="123"/>
        <v>-0.5</v>
      </c>
      <c r="EF100" s="451">
        <f t="shared" ref="EF100:EM100" si="124">EF36/EA36-1</f>
        <v>-0.5</v>
      </c>
      <c r="EG100" s="451">
        <f t="shared" si="124"/>
        <v>-0.5</v>
      </c>
      <c r="EH100" s="62">
        <f t="shared" si="124"/>
        <v>-0.5</v>
      </c>
      <c r="EI100" s="451">
        <f t="shared" si="124"/>
        <v>-0.5</v>
      </c>
      <c r="EJ100" s="451">
        <f t="shared" si="124"/>
        <v>-0.5</v>
      </c>
      <c r="EK100" s="451">
        <f t="shared" si="124"/>
        <v>-0.5</v>
      </c>
      <c r="EL100" s="451">
        <f t="shared" si="124"/>
        <v>-0.5</v>
      </c>
      <c r="EM100" s="62">
        <f t="shared" si="124"/>
        <v>-0.5</v>
      </c>
    </row>
    <row r="101" spans="2:143" ht="6.75" customHeight="1">
      <c r="B101" s="25"/>
      <c r="C101" s="51"/>
      <c r="D101" s="61"/>
      <c r="E101" s="61"/>
      <c r="F101" s="61"/>
      <c r="G101" s="61"/>
      <c r="H101" s="62"/>
      <c r="I101" s="61"/>
      <c r="J101" s="61"/>
      <c r="K101" s="61"/>
      <c r="L101" s="61"/>
      <c r="M101" s="62"/>
      <c r="N101" s="61"/>
      <c r="O101" s="61"/>
      <c r="P101" s="61"/>
      <c r="Q101" s="61"/>
      <c r="R101" s="62"/>
      <c r="S101" s="61"/>
      <c r="T101" s="61"/>
      <c r="U101" s="61"/>
      <c r="V101" s="61"/>
      <c r="W101" s="62"/>
      <c r="X101" s="61"/>
      <c r="Y101" s="61"/>
      <c r="Z101" s="61"/>
      <c r="AA101" s="61"/>
      <c r="AB101" s="62"/>
      <c r="AC101" s="61"/>
      <c r="AD101" s="61"/>
      <c r="AE101" s="61"/>
      <c r="AF101" s="61"/>
      <c r="AG101" s="62"/>
      <c r="AH101" s="61"/>
      <c r="AI101" s="61"/>
      <c r="AJ101" s="61"/>
      <c r="AK101" s="61"/>
      <c r="AL101" s="62"/>
      <c r="AM101" s="61"/>
      <c r="AN101" s="61"/>
      <c r="AO101" s="61"/>
      <c r="AP101" s="61"/>
      <c r="AQ101" s="62"/>
      <c r="AR101" s="61"/>
      <c r="AS101" s="61"/>
      <c r="AT101" s="61"/>
      <c r="AU101" s="61"/>
      <c r="AV101" s="62"/>
      <c r="AW101" s="451"/>
      <c r="AX101" s="451"/>
      <c r="AY101" s="451"/>
      <c r="AZ101" s="451"/>
      <c r="BA101" s="62"/>
      <c r="BB101" s="451"/>
      <c r="BC101" s="451"/>
      <c r="BD101" s="451"/>
      <c r="BE101" s="451"/>
      <c r="BF101" s="62"/>
      <c r="BG101" s="451"/>
      <c r="BH101" s="451"/>
      <c r="BI101" s="451"/>
      <c r="BJ101" s="451"/>
      <c r="BK101" s="62"/>
      <c r="BL101" s="451"/>
      <c r="BM101" s="451"/>
      <c r="BN101" s="451"/>
      <c r="BO101" s="451"/>
      <c r="BP101" s="62"/>
      <c r="BQ101" s="451"/>
      <c r="BR101" s="451"/>
      <c r="BS101" s="451"/>
      <c r="BT101" s="451"/>
      <c r="BU101" s="62"/>
      <c r="BV101" s="451"/>
      <c r="BW101" s="451"/>
      <c r="BX101" s="451"/>
      <c r="BY101" s="451"/>
      <c r="BZ101" s="62"/>
      <c r="CA101" s="451"/>
      <c r="CB101" s="451"/>
      <c r="CC101" s="451"/>
      <c r="CD101" s="451"/>
      <c r="CE101" s="62"/>
      <c r="CF101" s="451"/>
      <c r="CG101" s="451"/>
      <c r="CH101" s="451"/>
      <c r="CI101" s="451"/>
      <c r="CJ101" s="62"/>
      <c r="CK101" s="451"/>
      <c r="CL101" s="451"/>
      <c r="CM101" s="451"/>
      <c r="CN101" s="451"/>
      <c r="CO101" s="62"/>
      <c r="CP101" s="451"/>
      <c r="CQ101" s="451"/>
      <c r="CR101" s="451"/>
      <c r="CS101" s="451"/>
      <c r="CT101" s="62"/>
      <c r="CU101" s="451"/>
      <c r="CV101" s="451"/>
      <c r="CW101" s="451"/>
      <c r="CX101" s="451"/>
      <c r="CY101" s="62"/>
      <c r="CZ101" s="451"/>
      <c r="DA101" s="451"/>
      <c r="DB101" s="451"/>
      <c r="DC101" s="451"/>
      <c r="DD101" s="62"/>
      <c r="DE101" s="451"/>
      <c r="DF101" s="451"/>
      <c r="DG101" s="451"/>
      <c r="DH101" s="451"/>
      <c r="DI101" s="62"/>
      <c r="DJ101" s="451"/>
      <c r="DK101" s="451"/>
      <c r="DL101" s="451"/>
      <c r="DM101" s="451"/>
      <c r="DN101" s="62"/>
      <c r="DO101" s="451"/>
      <c r="DP101" s="451"/>
      <c r="DQ101" s="451"/>
      <c r="DR101" s="451"/>
      <c r="DS101" s="62"/>
      <c r="DT101" s="451"/>
      <c r="DU101" s="451"/>
      <c r="DV101" s="451"/>
      <c r="DW101" s="451"/>
      <c r="DX101" s="62"/>
      <c r="DY101" s="451"/>
      <c r="DZ101" s="451"/>
      <c r="EA101" s="451"/>
      <c r="EB101" s="451"/>
      <c r="EC101" s="62"/>
      <c r="ED101" s="451"/>
      <c r="EE101" s="451"/>
      <c r="EF101" s="451"/>
      <c r="EG101" s="451"/>
      <c r="EH101" s="62"/>
      <c r="EI101" s="451"/>
      <c r="EJ101" s="451"/>
      <c r="EK101" s="451"/>
      <c r="EL101" s="451"/>
      <c r="EM101" s="62"/>
    </row>
    <row r="102" spans="2:143">
      <c r="B102" s="25" t="s">
        <v>177</v>
      </c>
      <c r="C102" s="51"/>
      <c r="D102" s="61"/>
      <c r="E102" s="61"/>
      <c r="F102" s="61"/>
      <c r="G102" s="61"/>
      <c r="H102" s="62"/>
      <c r="I102" s="61"/>
      <c r="J102" s="61"/>
      <c r="K102" s="61"/>
      <c r="L102" s="61"/>
      <c r="M102" s="62"/>
      <c r="N102" s="61"/>
      <c r="O102" s="61"/>
      <c r="P102" s="61"/>
      <c r="Q102" s="61"/>
      <c r="R102" s="62"/>
      <c r="S102" s="61"/>
      <c r="T102" s="61"/>
      <c r="U102" s="61"/>
      <c r="V102" s="61"/>
      <c r="W102" s="62"/>
      <c r="X102" s="61"/>
      <c r="Y102" s="61"/>
      <c r="Z102" s="61"/>
      <c r="AA102" s="61"/>
      <c r="AB102" s="62"/>
      <c r="AC102" s="61"/>
      <c r="AD102" s="61"/>
      <c r="AE102" s="61"/>
      <c r="AF102" s="61"/>
      <c r="AG102" s="62"/>
      <c r="AH102" s="61"/>
      <c r="AI102" s="61"/>
      <c r="AJ102" s="61"/>
      <c r="AK102" s="61"/>
      <c r="AL102" s="62"/>
      <c r="AM102" s="61"/>
      <c r="AN102" s="61"/>
      <c r="AO102" s="61"/>
      <c r="AP102" s="61"/>
      <c r="AQ102" s="62"/>
      <c r="AR102" s="61">
        <f t="shared" ref="AR102:BW102" si="125">AR38/AM38-1</f>
        <v>4.734</v>
      </c>
      <c r="AS102" s="61">
        <f t="shared" si="125"/>
        <v>1.3236666666666665</v>
      </c>
      <c r="AT102" s="61">
        <f t="shared" si="125"/>
        <v>0.50036363636363657</v>
      </c>
      <c r="AU102" s="61">
        <f t="shared" si="125"/>
        <v>0.58637159687947715</v>
      </c>
      <c r="AV102" s="62">
        <f t="shared" si="125"/>
        <v>0.95938153475698607</v>
      </c>
      <c r="AW102" s="451">
        <f t="shared" si="125"/>
        <v>1.0617370073247296</v>
      </c>
      <c r="AX102" s="451">
        <f t="shared" si="125"/>
        <v>0.74078324487161096</v>
      </c>
      <c r="AY102" s="451">
        <f t="shared" si="125"/>
        <v>0.53174987881725633</v>
      </c>
      <c r="AZ102" s="451">
        <f t="shared" si="125"/>
        <v>0.34524287434765188</v>
      </c>
      <c r="BA102" s="62">
        <f t="shared" si="125"/>
        <v>0.6170563694576503</v>
      </c>
      <c r="BB102" s="451">
        <f t="shared" si="125"/>
        <v>9.1185924547454E-2</v>
      </c>
      <c r="BC102" s="451">
        <f t="shared" si="125"/>
        <v>0.11248454882571068</v>
      </c>
      <c r="BD102" s="451">
        <f t="shared" si="125"/>
        <v>0.10759493670886067</v>
      </c>
      <c r="BE102" s="451">
        <f t="shared" si="125"/>
        <v>4.4464339003282616E-2</v>
      </c>
      <c r="BF102" s="62">
        <f t="shared" si="125"/>
        <v>8.7978240435191202E-2</v>
      </c>
      <c r="BG102" s="451">
        <f t="shared" si="125"/>
        <v>0.24806201550387597</v>
      </c>
      <c r="BH102" s="451">
        <f t="shared" si="125"/>
        <v>0.26666666666666683</v>
      </c>
      <c r="BI102" s="451">
        <f t="shared" si="125"/>
        <v>0.12142857142857144</v>
      </c>
      <c r="BJ102" s="451">
        <f t="shared" si="125"/>
        <v>0.19285714285714284</v>
      </c>
      <c r="BK102" s="62">
        <f t="shared" si="125"/>
        <v>0.20588235294117663</v>
      </c>
      <c r="BL102" s="451">
        <f t="shared" si="125"/>
        <v>2.4844720496894235E-2</v>
      </c>
      <c r="BM102" s="451">
        <f t="shared" si="125"/>
        <v>4.6783625730993927E-2</v>
      </c>
      <c r="BN102" s="451">
        <f t="shared" si="125"/>
        <v>0.10191082802547791</v>
      </c>
      <c r="BO102" s="451">
        <f t="shared" si="125"/>
        <v>4.1916167664670656E-2</v>
      </c>
      <c r="BP102" s="62">
        <f t="shared" si="125"/>
        <v>5.3353658536585247E-2</v>
      </c>
      <c r="BQ102" s="451">
        <f t="shared" si="125"/>
        <v>0.1212121212121211</v>
      </c>
      <c r="BR102" s="451">
        <f t="shared" si="125"/>
        <v>0.15642458100558665</v>
      </c>
      <c r="BS102" s="451">
        <f t="shared" si="125"/>
        <v>0.12138728323699399</v>
      </c>
      <c r="BT102" s="451">
        <f t="shared" si="125"/>
        <v>0.18965517241379315</v>
      </c>
      <c r="BU102" s="62">
        <f t="shared" si="125"/>
        <v>0.14761215629522439</v>
      </c>
      <c r="BV102" s="451">
        <f t="shared" si="125"/>
        <v>8.1081081081081141E-2</v>
      </c>
      <c r="BW102" s="451">
        <f t="shared" si="125"/>
        <v>-8.212560386473422E-2</v>
      </c>
      <c r="BX102" s="451">
        <f t="shared" ref="BX102:DC102" si="126">BX38/BS38-1</f>
        <v>-2.0618556701030855E-2</v>
      </c>
      <c r="BY102" s="451">
        <f t="shared" si="126"/>
        <v>-0.13043478260869568</v>
      </c>
      <c r="BZ102" s="62">
        <f t="shared" si="126"/>
        <v>-4.1614123581336648E-2</v>
      </c>
      <c r="CA102" s="451">
        <f t="shared" si="126"/>
        <v>9.000000000000008E-2</v>
      </c>
      <c r="CB102" s="451">
        <f t="shared" si="126"/>
        <v>9.000000000000008E-2</v>
      </c>
      <c r="CC102" s="451">
        <f t="shared" si="126"/>
        <v>9.000000000000008E-2</v>
      </c>
      <c r="CD102" s="451">
        <f t="shared" si="126"/>
        <v>9.000000000000008E-2</v>
      </c>
      <c r="CE102" s="62">
        <f t="shared" si="126"/>
        <v>9.000000000000008E-2</v>
      </c>
      <c r="CF102" s="451">
        <f t="shared" si="126"/>
        <v>9.000000000000008E-2</v>
      </c>
      <c r="CG102" s="451">
        <f t="shared" si="126"/>
        <v>9.000000000000008E-2</v>
      </c>
      <c r="CH102" s="451">
        <f t="shared" si="126"/>
        <v>9.000000000000008E-2</v>
      </c>
      <c r="CI102" s="451">
        <f t="shared" si="126"/>
        <v>9.000000000000008E-2</v>
      </c>
      <c r="CJ102" s="62">
        <f t="shared" si="126"/>
        <v>9.000000000000008E-2</v>
      </c>
      <c r="CK102" s="451">
        <f t="shared" si="126"/>
        <v>9.000000000000008E-2</v>
      </c>
      <c r="CL102" s="451">
        <f t="shared" si="126"/>
        <v>9.000000000000008E-2</v>
      </c>
      <c r="CM102" s="451">
        <f t="shared" si="126"/>
        <v>9.000000000000008E-2</v>
      </c>
      <c r="CN102" s="451">
        <f t="shared" si="126"/>
        <v>9.000000000000008E-2</v>
      </c>
      <c r="CO102" s="62">
        <f t="shared" si="126"/>
        <v>9.000000000000008E-2</v>
      </c>
      <c r="CP102" s="451">
        <f t="shared" si="126"/>
        <v>9.000000000000008E-2</v>
      </c>
      <c r="CQ102" s="451">
        <f t="shared" si="126"/>
        <v>9.000000000000008E-2</v>
      </c>
      <c r="CR102" s="451">
        <f t="shared" si="126"/>
        <v>9.000000000000008E-2</v>
      </c>
      <c r="CS102" s="451">
        <f t="shared" si="126"/>
        <v>9.000000000000008E-2</v>
      </c>
      <c r="CT102" s="62">
        <f t="shared" si="126"/>
        <v>9.000000000000008E-2</v>
      </c>
      <c r="CU102" s="451">
        <f t="shared" si="126"/>
        <v>-0.8</v>
      </c>
      <c r="CV102" s="451">
        <f t="shared" si="126"/>
        <v>-0.8</v>
      </c>
      <c r="CW102" s="451">
        <f t="shared" si="126"/>
        <v>-0.8</v>
      </c>
      <c r="CX102" s="451">
        <f t="shared" si="126"/>
        <v>-0.8</v>
      </c>
      <c r="CY102" s="62">
        <f t="shared" si="126"/>
        <v>-0.8</v>
      </c>
      <c r="CZ102" s="451">
        <f t="shared" si="126"/>
        <v>-0.8</v>
      </c>
      <c r="DA102" s="451">
        <f t="shared" si="126"/>
        <v>-0.8</v>
      </c>
      <c r="DB102" s="451">
        <f t="shared" si="126"/>
        <v>-0.8</v>
      </c>
      <c r="DC102" s="451">
        <f t="shared" si="126"/>
        <v>-0.79999999999999993</v>
      </c>
      <c r="DD102" s="62">
        <f t="shared" ref="DD102:EI102" si="127">DD38/CY38-1</f>
        <v>-0.8</v>
      </c>
      <c r="DE102" s="451">
        <f t="shared" si="127"/>
        <v>-0.8</v>
      </c>
      <c r="DF102" s="451">
        <f t="shared" si="127"/>
        <v>-0.8</v>
      </c>
      <c r="DG102" s="451">
        <f t="shared" si="127"/>
        <v>-0.8</v>
      </c>
      <c r="DH102" s="451">
        <f t="shared" si="127"/>
        <v>-0.8</v>
      </c>
      <c r="DI102" s="62">
        <f t="shared" si="127"/>
        <v>-0.8</v>
      </c>
      <c r="DJ102" s="451">
        <f t="shared" si="127"/>
        <v>-0.8</v>
      </c>
      <c r="DK102" s="451">
        <f t="shared" si="127"/>
        <v>-0.8</v>
      </c>
      <c r="DL102" s="451">
        <f t="shared" si="127"/>
        <v>-0.8</v>
      </c>
      <c r="DM102" s="451">
        <f t="shared" si="127"/>
        <v>-0.79999999999999993</v>
      </c>
      <c r="DN102" s="62">
        <f t="shared" si="127"/>
        <v>-0.8</v>
      </c>
      <c r="DO102" s="451">
        <f t="shared" si="127"/>
        <v>-0.8</v>
      </c>
      <c r="DP102" s="451">
        <f t="shared" si="127"/>
        <v>-0.8</v>
      </c>
      <c r="DQ102" s="451">
        <f t="shared" si="127"/>
        <v>-0.8</v>
      </c>
      <c r="DR102" s="451">
        <f t="shared" si="127"/>
        <v>-0.8</v>
      </c>
      <c r="DS102" s="62">
        <f t="shared" si="127"/>
        <v>-0.8</v>
      </c>
      <c r="DT102" s="451">
        <f t="shared" si="127"/>
        <v>-0.8</v>
      </c>
      <c r="DU102" s="451">
        <f t="shared" si="127"/>
        <v>-0.8</v>
      </c>
      <c r="DV102" s="451">
        <f t="shared" si="127"/>
        <v>-0.8</v>
      </c>
      <c r="DW102" s="451">
        <f t="shared" si="127"/>
        <v>-0.8</v>
      </c>
      <c r="DX102" s="62">
        <f t="shared" si="127"/>
        <v>-0.8</v>
      </c>
      <c r="DY102" s="451">
        <f t="shared" si="127"/>
        <v>-0.8</v>
      </c>
      <c r="DZ102" s="451">
        <f t="shared" si="127"/>
        <v>-0.8</v>
      </c>
      <c r="EA102" s="451">
        <f t="shared" si="127"/>
        <v>-0.8</v>
      </c>
      <c r="EB102" s="451">
        <f t="shared" si="127"/>
        <v>-0.8</v>
      </c>
      <c r="EC102" s="62">
        <f t="shared" si="127"/>
        <v>-0.8</v>
      </c>
      <c r="ED102" s="451">
        <f t="shared" si="127"/>
        <v>-0.8</v>
      </c>
      <c r="EE102" s="451">
        <f t="shared" si="127"/>
        <v>-0.8</v>
      </c>
      <c r="EF102" s="451">
        <f t="shared" si="127"/>
        <v>-0.8</v>
      </c>
      <c r="EG102" s="451">
        <f t="shared" si="127"/>
        <v>-0.8</v>
      </c>
      <c r="EH102" s="62">
        <f t="shared" si="127"/>
        <v>-0.8</v>
      </c>
      <c r="EI102" s="451">
        <f t="shared" si="127"/>
        <v>-0.8</v>
      </c>
      <c r="EJ102" s="451">
        <f t="shared" ref="EJ102:EM102" si="128">EJ38/EE38-1</f>
        <v>-0.8</v>
      </c>
      <c r="EK102" s="451">
        <f t="shared" si="128"/>
        <v>-0.8</v>
      </c>
      <c r="EL102" s="451">
        <f t="shared" si="128"/>
        <v>-0.8</v>
      </c>
      <c r="EM102" s="62">
        <f t="shared" si="128"/>
        <v>-0.8</v>
      </c>
    </row>
    <row r="103" spans="2:143" ht="6.75" customHeight="1">
      <c r="B103" s="25"/>
      <c r="C103" s="51"/>
      <c r="D103" s="61"/>
      <c r="E103" s="61"/>
      <c r="F103" s="61"/>
      <c r="G103" s="61"/>
      <c r="H103" s="62"/>
      <c r="I103" s="61"/>
      <c r="J103" s="61"/>
      <c r="K103" s="61"/>
      <c r="L103" s="61"/>
      <c r="M103" s="62"/>
      <c r="N103" s="61"/>
      <c r="O103" s="61"/>
      <c r="P103" s="61"/>
      <c r="Q103" s="61"/>
      <c r="R103" s="62"/>
      <c r="S103" s="61"/>
      <c r="T103" s="61"/>
      <c r="U103" s="61"/>
      <c r="V103" s="61"/>
      <c r="W103" s="62"/>
      <c r="X103" s="61"/>
      <c r="Y103" s="61"/>
      <c r="Z103" s="61"/>
      <c r="AA103" s="61"/>
      <c r="AB103" s="62"/>
      <c r="AC103" s="61"/>
      <c r="AD103" s="61"/>
      <c r="AE103" s="61"/>
      <c r="AF103" s="61"/>
      <c r="AG103" s="62"/>
      <c r="AH103" s="61"/>
      <c r="AI103" s="61"/>
      <c r="AJ103" s="61"/>
      <c r="AK103" s="61"/>
      <c r="AL103" s="62"/>
      <c r="AM103" s="61"/>
      <c r="AN103" s="61"/>
      <c r="AO103" s="61"/>
      <c r="AP103" s="61"/>
      <c r="AQ103" s="62"/>
      <c r="AR103" s="61"/>
      <c r="AS103" s="61"/>
      <c r="AT103" s="61"/>
      <c r="AU103" s="61"/>
      <c r="AV103" s="62"/>
      <c r="AW103" s="451"/>
      <c r="AX103" s="451"/>
      <c r="AY103" s="451"/>
      <c r="AZ103" s="451"/>
      <c r="BA103" s="62"/>
      <c r="BB103" s="451"/>
      <c r="BC103" s="451"/>
      <c r="BD103" s="451"/>
      <c r="BE103" s="451"/>
      <c r="BF103" s="62"/>
      <c r="BG103" s="451"/>
      <c r="BH103" s="451"/>
      <c r="BI103" s="451"/>
      <c r="BJ103" s="451"/>
      <c r="BK103" s="62"/>
      <c r="BL103" s="451"/>
      <c r="BM103" s="451"/>
      <c r="BN103" s="451"/>
      <c r="BO103" s="451"/>
      <c r="BP103" s="62"/>
      <c r="BQ103" s="451"/>
      <c r="BR103" s="451"/>
      <c r="BS103" s="451"/>
      <c r="BT103" s="451"/>
      <c r="BU103" s="62"/>
      <c r="BV103" s="451"/>
      <c r="BW103" s="451"/>
      <c r="BX103" s="451"/>
      <c r="BY103" s="451"/>
      <c r="BZ103" s="62"/>
      <c r="CA103" s="451"/>
      <c r="CB103" s="451"/>
      <c r="CC103" s="451"/>
      <c r="CD103" s="451"/>
      <c r="CE103" s="62"/>
      <c r="CF103" s="451"/>
      <c r="CG103" s="451"/>
      <c r="CH103" s="451"/>
      <c r="CI103" s="451"/>
      <c r="CJ103" s="62"/>
      <c r="CK103" s="451"/>
      <c r="CL103" s="451"/>
      <c r="CM103" s="451"/>
      <c r="CN103" s="451"/>
      <c r="CO103" s="62"/>
      <c r="CP103" s="451"/>
      <c r="CQ103" s="451"/>
      <c r="CR103" s="451"/>
      <c r="CS103" s="451"/>
      <c r="CT103" s="62"/>
      <c r="CU103" s="451"/>
      <c r="CV103" s="451"/>
      <c r="CW103" s="451"/>
      <c r="CX103" s="451"/>
      <c r="CY103" s="62"/>
      <c r="CZ103" s="451"/>
      <c r="DA103" s="451"/>
      <c r="DB103" s="451"/>
      <c r="DC103" s="451"/>
      <c r="DD103" s="62"/>
      <c r="DE103" s="451"/>
      <c r="DF103" s="451"/>
      <c r="DG103" s="451"/>
      <c r="DH103" s="451"/>
      <c r="DI103" s="62"/>
      <c r="DJ103" s="451"/>
      <c r="DK103" s="451"/>
      <c r="DL103" s="451"/>
      <c r="DM103" s="451"/>
      <c r="DN103" s="62"/>
      <c r="DO103" s="451"/>
      <c r="DP103" s="451"/>
      <c r="DQ103" s="451"/>
      <c r="DR103" s="451"/>
      <c r="DS103" s="62"/>
      <c r="DT103" s="451"/>
      <c r="DU103" s="451"/>
      <c r="DV103" s="451"/>
      <c r="DW103" s="451"/>
      <c r="DX103" s="62"/>
      <c r="DY103" s="451"/>
      <c r="DZ103" s="451"/>
      <c r="EA103" s="451"/>
      <c r="EB103" s="451"/>
      <c r="EC103" s="62"/>
      <c r="ED103" s="451"/>
      <c r="EE103" s="451"/>
      <c r="EF103" s="451"/>
      <c r="EG103" s="451"/>
      <c r="EH103" s="62"/>
      <c r="EI103" s="451"/>
      <c r="EJ103" s="451"/>
      <c r="EK103" s="451"/>
      <c r="EL103" s="451"/>
      <c r="EM103" s="62"/>
    </row>
    <row r="104" spans="2:143" ht="12.75" customHeight="1">
      <c r="B104" s="25" t="s">
        <v>956</v>
      </c>
      <c r="C104" s="51"/>
      <c r="D104" s="61"/>
      <c r="E104" s="61"/>
      <c r="F104" s="61"/>
      <c r="G104" s="61"/>
      <c r="H104" s="62"/>
      <c r="I104" s="61"/>
      <c r="J104" s="61"/>
      <c r="K104" s="61"/>
      <c r="L104" s="61"/>
      <c r="M104" s="62"/>
      <c r="N104" s="61"/>
      <c r="O104" s="61"/>
      <c r="P104" s="61"/>
      <c r="Q104" s="61"/>
      <c r="R104" s="62"/>
      <c r="S104" s="61"/>
      <c r="T104" s="61"/>
      <c r="U104" s="61"/>
      <c r="V104" s="61"/>
      <c r="W104" s="62"/>
      <c r="X104" s="61"/>
      <c r="Y104" s="61"/>
      <c r="Z104" s="61"/>
      <c r="AA104" s="61"/>
      <c r="AB104" s="62"/>
      <c r="AC104" s="61"/>
      <c r="AD104" s="61"/>
      <c r="AE104" s="61"/>
      <c r="AF104" s="61"/>
      <c r="AG104" s="62"/>
      <c r="AH104" s="61"/>
      <c r="AI104" s="61"/>
      <c r="AJ104" s="61"/>
      <c r="AK104" s="61"/>
      <c r="AL104" s="62"/>
      <c r="AM104" s="61"/>
      <c r="AN104" s="61"/>
      <c r="AO104" s="61"/>
      <c r="AP104" s="61"/>
      <c r="AQ104" s="62"/>
      <c r="AR104" s="61"/>
      <c r="AS104" s="61"/>
      <c r="AT104" s="61"/>
      <c r="AU104" s="61"/>
      <c r="AV104" s="62"/>
      <c r="AW104" s="451"/>
      <c r="AX104" s="451"/>
      <c r="AY104" s="451"/>
      <c r="AZ104" s="451"/>
      <c r="BA104" s="62"/>
      <c r="BB104" s="451"/>
      <c r="BC104" s="451"/>
      <c r="BD104" s="451"/>
      <c r="BE104" s="451"/>
      <c r="BF104" s="62"/>
      <c r="BG104" s="451"/>
      <c r="BH104" s="451"/>
      <c r="BI104" s="451"/>
      <c r="BJ104" s="451"/>
      <c r="BK104" s="62"/>
      <c r="BL104" s="451"/>
      <c r="BM104" s="451"/>
      <c r="BN104" s="451"/>
      <c r="BO104" s="451"/>
      <c r="BP104" s="62"/>
      <c r="BQ104" s="451"/>
      <c r="BR104" s="451"/>
      <c r="BS104" s="451"/>
      <c r="BT104" s="451"/>
      <c r="BU104" s="62"/>
      <c r="BV104" s="451"/>
      <c r="BW104" s="451"/>
      <c r="BX104" s="451"/>
      <c r="BY104" s="451"/>
      <c r="BZ104" s="62"/>
      <c r="CA104" s="451"/>
      <c r="CB104" s="451"/>
      <c r="CC104" s="451"/>
      <c r="CD104" s="451"/>
      <c r="CE104" s="62"/>
      <c r="CF104" s="451"/>
      <c r="CG104" s="451"/>
      <c r="CH104" s="451"/>
      <c r="CI104" s="451"/>
      <c r="CJ104" s="62"/>
      <c r="CK104" s="451"/>
      <c r="CL104" s="451"/>
      <c r="CM104" s="451"/>
      <c r="CN104" s="451"/>
      <c r="CO104" s="62"/>
      <c r="CP104" s="451"/>
      <c r="CQ104" s="451"/>
      <c r="CR104" s="451"/>
      <c r="CS104" s="451"/>
      <c r="CT104" s="62">
        <f>IFERROR(CT46/CO46-1,0)</f>
        <v>0</v>
      </c>
      <c r="CU104" s="451" t="e">
        <f t="shared" ref="CU104:CX104" si="129">CU46/CP46-1</f>
        <v>#DIV/0!</v>
      </c>
      <c r="CV104" s="451" t="e">
        <f t="shared" si="129"/>
        <v>#DIV/0!</v>
      </c>
      <c r="CW104" s="451" t="e">
        <f t="shared" si="129"/>
        <v>#DIV/0!</v>
      </c>
      <c r="CX104" s="451" t="e">
        <f t="shared" si="129"/>
        <v>#DIV/0!</v>
      </c>
      <c r="CY104" s="62">
        <f t="shared" ref="CY104:EM104" si="130">IFERROR(CY46/CT46-1,0)</f>
        <v>0</v>
      </c>
      <c r="CZ104" s="451">
        <f t="shared" si="130"/>
        <v>0</v>
      </c>
      <c r="DA104" s="451">
        <f t="shared" si="130"/>
        <v>0</v>
      </c>
      <c r="DB104" s="451">
        <f t="shared" si="130"/>
        <v>0</v>
      </c>
      <c r="DC104" s="451">
        <f t="shared" si="130"/>
        <v>0</v>
      </c>
      <c r="DD104" s="62">
        <f t="shared" si="130"/>
        <v>0</v>
      </c>
      <c r="DE104" s="451">
        <f t="shared" si="130"/>
        <v>0</v>
      </c>
      <c r="DF104" s="451">
        <f t="shared" si="130"/>
        <v>0</v>
      </c>
      <c r="DG104" s="451">
        <f t="shared" si="130"/>
        <v>0</v>
      </c>
      <c r="DH104" s="451">
        <f t="shared" si="130"/>
        <v>0</v>
      </c>
      <c r="DI104" s="62">
        <f t="shared" si="130"/>
        <v>0</v>
      </c>
      <c r="DJ104" s="451">
        <f t="shared" si="130"/>
        <v>0</v>
      </c>
      <c r="DK104" s="451">
        <f t="shared" si="130"/>
        <v>0</v>
      </c>
      <c r="DL104" s="451">
        <f t="shared" si="130"/>
        <v>0</v>
      </c>
      <c r="DM104" s="451">
        <f t="shared" si="130"/>
        <v>0</v>
      </c>
      <c r="DN104" s="62">
        <f t="shared" si="130"/>
        <v>0</v>
      </c>
      <c r="DO104" s="451">
        <f t="shared" si="130"/>
        <v>0</v>
      </c>
      <c r="DP104" s="451">
        <f t="shared" si="130"/>
        <v>0</v>
      </c>
      <c r="DQ104" s="451">
        <f t="shared" si="130"/>
        <v>0</v>
      </c>
      <c r="DR104" s="451">
        <f t="shared" si="130"/>
        <v>0</v>
      </c>
      <c r="DS104" s="62">
        <f t="shared" si="130"/>
        <v>0</v>
      </c>
      <c r="DT104" s="451">
        <f t="shared" si="130"/>
        <v>0</v>
      </c>
      <c r="DU104" s="451">
        <f t="shared" si="130"/>
        <v>0</v>
      </c>
      <c r="DV104" s="451">
        <f t="shared" si="130"/>
        <v>0</v>
      </c>
      <c r="DW104" s="451">
        <f t="shared" si="130"/>
        <v>0</v>
      </c>
      <c r="DX104" s="62">
        <f t="shared" si="130"/>
        <v>0</v>
      </c>
      <c r="DY104" s="451">
        <f t="shared" si="130"/>
        <v>0</v>
      </c>
      <c r="DZ104" s="451">
        <f t="shared" si="130"/>
        <v>0</v>
      </c>
      <c r="EA104" s="451">
        <f t="shared" si="130"/>
        <v>0</v>
      </c>
      <c r="EB104" s="451">
        <f t="shared" si="130"/>
        <v>0</v>
      </c>
      <c r="EC104" s="62">
        <f t="shared" si="130"/>
        <v>0</v>
      </c>
      <c r="ED104" s="451">
        <f t="shared" si="130"/>
        <v>0</v>
      </c>
      <c r="EE104" s="451">
        <f t="shared" si="130"/>
        <v>0</v>
      </c>
      <c r="EF104" s="451">
        <f t="shared" si="130"/>
        <v>0</v>
      </c>
      <c r="EG104" s="451">
        <f t="shared" si="130"/>
        <v>0</v>
      </c>
      <c r="EH104" s="62">
        <f t="shared" si="130"/>
        <v>0</v>
      </c>
      <c r="EI104" s="451">
        <f>IFERROR(EI46/ED46-1,0)</f>
        <v>0</v>
      </c>
      <c r="EJ104" s="451">
        <f t="shared" si="130"/>
        <v>0</v>
      </c>
      <c r="EK104" s="451">
        <f t="shared" si="130"/>
        <v>0</v>
      </c>
      <c r="EL104" s="451">
        <f t="shared" si="130"/>
        <v>0</v>
      </c>
      <c r="EM104" s="62">
        <f t="shared" si="130"/>
        <v>0</v>
      </c>
    </row>
    <row r="105" spans="2:143" ht="6.75" customHeight="1">
      <c r="B105" s="25"/>
      <c r="C105" s="51"/>
      <c r="D105" s="61"/>
      <c r="E105" s="61"/>
      <c r="F105" s="61"/>
      <c r="G105" s="61"/>
      <c r="H105" s="62"/>
      <c r="I105" s="61"/>
      <c r="J105" s="61"/>
      <c r="K105" s="61"/>
      <c r="L105" s="61"/>
      <c r="M105" s="62"/>
      <c r="N105" s="61"/>
      <c r="O105" s="61"/>
      <c r="P105" s="61"/>
      <c r="Q105" s="61"/>
      <c r="R105" s="62"/>
      <c r="S105" s="61"/>
      <c r="T105" s="61"/>
      <c r="U105" s="61"/>
      <c r="V105" s="61"/>
      <c r="W105" s="62"/>
      <c r="X105" s="61"/>
      <c r="Y105" s="61"/>
      <c r="Z105" s="61"/>
      <c r="AA105" s="61"/>
      <c r="AB105" s="62"/>
      <c r="AC105" s="61"/>
      <c r="AD105" s="61"/>
      <c r="AE105" s="61"/>
      <c r="AF105" s="61"/>
      <c r="AG105" s="62"/>
      <c r="AH105" s="61"/>
      <c r="AI105" s="61"/>
      <c r="AJ105" s="61"/>
      <c r="AK105" s="61"/>
      <c r="AL105" s="62"/>
      <c r="AM105" s="61"/>
      <c r="AN105" s="61"/>
      <c r="AO105" s="61"/>
      <c r="AP105" s="61"/>
      <c r="AQ105" s="62"/>
      <c r="AR105" s="61"/>
      <c r="AS105" s="61"/>
      <c r="AT105" s="61"/>
      <c r="AU105" s="61"/>
      <c r="AV105" s="62"/>
      <c r="AW105" s="451"/>
      <c r="AX105" s="451"/>
      <c r="AY105" s="451"/>
      <c r="AZ105" s="451"/>
      <c r="BA105" s="62"/>
      <c r="BB105" s="451"/>
      <c r="BC105" s="451"/>
      <c r="BD105" s="451"/>
      <c r="BE105" s="451"/>
      <c r="BF105" s="62"/>
      <c r="BG105" s="451"/>
      <c r="BH105" s="451"/>
      <c r="BI105" s="451"/>
      <c r="BJ105" s="451"/>
      <c r="BK105" s="62"/>
      <c r="BL105" s="451"/>
      <c r="BM105" s="451"/>
      <c r="BN105" s="451"/>
      <c r="BO105" s="451"/>
      <c r="BP105" s="62"/>
      <c r="BQ105" s="451"/>
      <c r="BR105" s="451"/>
      <c r="BS105" s="451"/>
      <c r="BT105" s="451"/>
      <c r="BU105" s="62"/>
      <c r="BV105" s="451"/>
      <c r="BW105" s="451"/>
      <c r="BX105" s="451"/>
      <c r="BY105" s="451"/>
      <c r="BZ105" s="62"/>
      <c r="CA105" s="451"/>
      <c r="CB105" s="451"/>
      <c r="CC105" s="451"/>
      <c r="CD105" s="451"/>
      <c r="CE105" s="62"/>
      <c r="CF105" s="451"/>
      <c r="CG105" s="451"/>
      <c r="CH105" s="451"/>
      <c r="CI105" s="451"/>
      <c r="CJ105" s="62"/>
      <c r="CK105" s="451"/>
      <c r="CL105" s="451"/>
      <c r="CM105" s="451"/>
      <c r="CN105" s="451"/>
      <c r="CO105" s="62"/>
      <c r="CP105" s="451"/>
      <c r="CQ105" s="451"/>
      <c r="CR105" s="451"/>
      <c r="CS105" s="451"/>
      <c r="CT105" s="62"/>
      <c r="CU105" s="451"/>
      <c r="CV105" s="451"/>
      <c r="CW105" s="451"/>
      <c r="CX105" s="451"/>
      <c r="CY105" s="62"/>
      <c r="CZ105" s="451"/>
      <c r="DA105" s="451"/>
      <c r="DB105" s="451"/>
      <c r="DC105" s="451"/>
      <c r="DD105" s="62"/>
      <c r="DE105" s="451"/>
      <c r="DF105" s="451"/>
      <c r="DG105" s="451"/>
      <c r="DH105" s="451"/>
      <c r="DI105" s="62"/>
      <c r="DJ105" s="451"/>
      <c r="DK105" s="451"/>
      <c r="DL105" s="451"/>
      <c r="DM105" s="451"/>
      <c r="DN105" s="62"/>
      <c r="DO105" s="451"/>
      <c r="DP105" s="451"/>
      <c r="DQ105" s="451"/>
      <c r="DR105" s="451"/>
      <c r="DS105" s="62"/>
      <c r="DT105" s="451"/>
      <c r="DU105" s="451"/>
      <c r="DV105" s="451"/>
      <c r="DW105" s="451"/>
      <c r="DX105" s="62"/>
      <c r="DY105" s="451"/>
      <c r="DZ105" s="451"/>
      <c r="EA105" s="451"/>
      <c r="EB105" s="451"/>
      <c r="EC105" s="62"/>
      <c r="ED105" s="451"/>
      <c r="EE105" s="451"/>
      <c r="EF105" s="451"/>
      <c r="EG105" s="451"/>
      <c r="EH105" s="62"/>
      <c r="EI105" s="451"/>
      <c r="EJ105" s="451"/>
      <c r="EK105" s="451"/>
      <c r="EL105" s="451"/>
      <c r="EM105" s="62"/>
    </row>
    <row r="106" spans="2:143" ht="12.75" customHeight="1">
      <c r="B106" s="25" t="s">
        <v>1193</v>
      </c>
      <c r="C106" s="51"/>
      <c r="D106" s="61"/>
      <c r="E106" s="61"/>
      <c r="F106" s="61"/>
      <c r="G106" s="61"/>
      <c r="H106" s="62"/>
      <c r="I106" s="61"/>
      <c r="J106" s="61"/>
      <c r="K106" s="61"/>
      <c r="L106" s="61"/>
      <c r="M106" s="62"/>
      <c r="N106" s="61"/>
      <c r="O106" s="61"/>
      <c r="P106" s="61"/>
      <c r="Q106" s="61"/>
      <c r="R106" s="62"/>
      <c r="S106" s="61"/>
      <c r="T106" s="61"/>
      <c r="U106" s="61"/>
      <c r="V106" s="61"/>
      <c r="W106" s="62"/>
      <c r="X106" s="61"/>
      <c r="Y106" s="61"/>
      <c r="Z106" s="61"/>
      <c r="AA106" s="61"/>
      <c r="AB106" s="62"/>
      <c r="AC106" s="61"/>
      <c r="AD106" s="61"/>
      <c r="AE106" s="61"/>
      <c r="AF106" s="61"/>
      <c r="AG106" s="62"/>
      <c r="AH106" s="61"/>
      <c r="AI106" s="61"/>
      <c r="AJ106" s="61"/>
      <c r="AK106" s="61"/>
      <c r="AL106" s="62"/>
      <c r="AM106" s="61"/>
      <c r="AN106" s="61"/>
      <c r="AO106" s="61"/>
      <c r="AP106" s="61"/>
      <c r="AQ106" s="62"/>
      <c r="AR106" s="61"/>
      <c r="AS106" s="61"/>
      <c r="AT106" s="61"/>
      <c r="AU106" s="61"/>
      <c r="AV106" s="62"/>
      <c r="AW106" s="451"/>
      <c r="AX106" s="451"/>
      <c r="AY106" s="451"/>
      <c r="AZ106" s="451"/>
      <c r="BA106" s="62"/>
      <c r="BB106" s="451"/>
      <c r="BC106" s="451"/>
      <c r="BD106" s="451"/>
      <c r="BE106" s="451"/>
      <c r="BF106" s="62"/>
      <c r="BG106" s="451"/>
      <c r="BH106" s="451"/>
      <c r="BI106" s="451"/>
      <c r="BJ106" s="451"/>
      <c r="BK106" s="62"/>
      <c r="BL106" s="451"/>
      <c r="BM106" s="451"/>
      <c r="BN106" s="451"/>
      <c r="BO106" s="451"/>
      <c r="BP106" s="62"/>
      <c r="BQ106" s="451"/>
      <c r="BR106" s="451"/>
      <c r="BS106" s="451"/>
      <c r="BT106" s="451"/>
      <c r="BU106" s="62"/>
      <c r="BV106" s="451"/>
      <c r="BW106" s="451"/>
      <c r="BX106" s="451"/>
      <c r="BY106" s="451"/>
      <c r="BZ106" s="62"/>
      <c r="CA106" s="451"/>
      <c r="CB106" s="451"/>
      <c r="CC106" s="451"/>
      <c r="CD106" s="451"/>
      <c r="CE106" s="62"/>
      <c r="CF106" s="451"/>
      <c r="CG106" s="451"/>
      <c r="CH106" s="451"/>
      <c r="CI106" s="451"/>
      <c r="CJ106" s="62"/>
      <c r="CK106" s="858">
        <f t="shared" ref="CK106:DP106" si="131">IFERROR(IF(CK44/CF44-1&gt;3,"NM",CK44/CF44-1),0)</f>
        <v>0</v>
      </c>
      <c r="CL106" s="858">
        <f t="shared" si="131"/>
        <v>0</v>
      </c>
      <c r="CM106" s="858">
        <f t="shared" si="131"/>
        <v>0</v>
      </c>
      <c r="CN106" s="858">
        <f t="shared" si="131"/>
        <v>0</v>
      </c>
      <c r="CO106" s="859">
        <f t="shared" si="131"/>
        <v>1.9630806234729987</v>
      </c>
      <c r="CP106" s="451">
        <f t="shared" si="131"/>
        <v>0</v>
      </c>
      <c r="CQ106" s="451">
        <f t="shared" si="131"/>
        <v>0</v>
      </c>
      <c r="CR106" s="451">
        <f t="shared" si="131"/>
        <v>0</v>
      </c>
      <c r="CS106" s="451">
        <f t="shared" si="131"/>
        <v>0</v>
      </c>
      <c r="CT106" s="1009">
        <f t="shared" si="131"/>
        <v>2.3849012008100194</v>
      </c>
      <c r="CU106" s="451">
        <f t="shared" si="131"/>
        <v>0</v>
      </c>
      <c r="CV106" s="451">
        <f t="shared" si="131"/>
        <v>0</v>
      </c>
      <c r="CW106" s="451">
        <f t="shared" si="131"/>
        <v>0</v>
      </c>
      <c r="CX106" s="451">
        <f t="shared" si="131"/>
        <v>0</v>
      </c>
      <c r="CY106" s="62">
        <f t="shared" si="131"/>
        <v>0.78086979992467831</v>
      </c>
      <c r="CZ106" s="451">
        <f t="shared" si="131"/>
        <v>0</v>
      </c>
      <c r="DA106" s="451">
        <f t="shared" si="131"/>
        <v>0</v>
      </c>
      <c r="DB106" s="451">
        <f t="shared" si="131"/>
        <v>0</v>
      </c>
      <c r="DC106" s="451">
        <f t="shared" si="131"/>
        <v>0</v>
      </c>
      <c r="DD106" s="62">
        <f t="shared" si="131"/>
        <v>0.51330021352988808</v>
      </c>
      <c r="DE106" s="451">
        <f t="shared" si="131"/>
        <v>0</v>
      </c>
      <c r="DF106" s="451">
        <f t="shared" si="131"/>
        <v>0</v>
      </c>
      <c r="DG106" s="451">
        <f t="shared" si="131"/>
        <v>0</v>
      </c>
      <c r="DH106" s="451">
        <f t="shared" si="131"/>
        <v>0</v>
      </c>
      <c r="DI106" s="62">
        <f t="shared" si="131"/>
        <v>0.35339874434520313</v>
      </c>
      <c r="DJ106" s="451">
        <f t="shared" si="131"/>
        <v>0</v>
      </c>
      <c r="DK106" s="451">
        <f t="shared" si="131"/>
        <v>0</v>
      </c>
      <c r="DL106" s="451">
        <f t="shared" si="131"/>
        <v>0</v>
      </c>
      <c r="DM106" s="451">
        <f t="shared" si="131"/>
        <v>0</v>
      </c>
      <c r="DN106" s="62">
        <f t="shared" si="131"/>
        <v>0.11960090946597313</v>
      </c>
      <c r="DO106" s="451">
        <f t="shared" si="131"/>
        <v>0</v>
      </c>
      <c r="DP106" s="451">
        <f t="shared" si="131"/>
        <v>0</v>
      </c>
      <c r="DQ106" s="451">
        <f t="shared" ref="DQ106:EM106" si="132">IFERROR(IF(DQ44/DL44-1&gt;3,"NM",DQ44/DL44-1),0)</f>
        <v>0</v>
      </c>
      <c r="DR106" s="451">
        <f t="shared" si="132"/>
        <v>0</v>
      </c>
      <c r="DS106" s="62">
        <f t="shared" si="132"/>
        <v>5.3076637053756315E-2</v>
      </c>
      <c r="DT106" s="451">
        <f t="shared" si="132"/>
        <v>0</v>
      </c>
      <c r="DU106" s="451">
        <f t="shared" si="132"/>
        <v>0</v>
      </c>
      <c r="DV106" s="451">
        <f t="shared" si="132"/>
        <v>0</v>
      </c>
      <c r="DW106" s="451">
        <f t="shared" si="132"/>
        <v>0</v>
      </c>
      <c r="DX106" s="62">
        <f t="shared" si="132"/>
        <v>3.8883176310103407E-2</v>
      </c>
      <c r="DY106" s="451">
        <f t="shared" si="132"/>
        <v>0</v>
      </c>
      <c r="DZ106" s="451">
        <f t="shared" si="132"/>
        <v>0</v>
      </c>
      <c r="EA106" s="451">
        <f t="shared" si="132"/>
        <v>0</v>
      </c>
      <c r="EB106" s="451">
        <f t="shared" si="132"/>
        <v>0</v>
      </c>
      <c r="EC106" s="62">
        <f t="shared" si="132"/>
        <v>3.7148378274792337E-2</v>
      </c>
      <c r="ED106" s="451">
        <f t="shared" si="132"/>
        <v>0</v>
      </c>
      <c r="EE106" s="451">
        <f t="shared" si="132"/>
        <v>0</v>
      </c>
      <c r="EF106" s="451">
        <f t="shared" si="132"/>
        <v>0</v>
      </c>
      <c r="EG106" s="451">
        <f t="shared" si="132"/>
        <v>0</v>
      </c>
      <c r="EH106" s="62">
        <f t="shared" si="132"/>
        <v>2.3808021629664333E-2</v>
      </c>
      <c r="EI106" s="451">
        <f t="shared" si="132"/>
        <v>0</v>
      </c>
      <c r="EJ106" s="451">
        <f t="shared" si="132"/>
        <v>0</v>
      </c>
      <c r="EK106" s="451">
        <f t="shared" si="132"/>
        <v>0</v>
      </c>
      <c r="EL106" s="451">
        <f t="shared" si="132"/>
        <v>0</v>
      </c>
      <c r="EM106" s="62">
        <f t="shared" si="132"/>
        <v>2.3549106602476222E-2</v>
      </c>
    </row>
    <row r="107" spans="2:143" ht="6.75" customHeight="1">
      <c r="B107" s="25"/>
      <c r="C107" s="51"/>
      <c r="D107" s="61"/>
      <c r="E107" s="61"/>
      <c r="F107" s="61"/>
      <c r="G107" s="61"/>
      <c r="H107" s="62"/>
      <c r="I107" s="61"/>
      <c r="J107" s="61"/>
      <c r="K107" s="61"/>
      <c r="L107" s="61"/>
      <c r="M107" s="62"/>
      <c r="N107" s="61"/>
      <c r="O107" s="61"/>
      <c r="P107" s="61"/>
      <c r="Q107" s="61"/>
      <c r="R107" s="62"/>
      <c r="S107" s="61"/>
      <c r="T107" s="61"/>
      <c r="U107" s="61"/>
      <c r="V107" s="61"/>
      <c r="W107" s="62"/>
      <c r="X107" s="61"/>
      <c r="Y107" s="61"/>
      <c r="Z107" s="61"/>
      <c r="AA107" s="61"/>
      <c r="AB107" s="62"/>
      <c r="AC107" s="61"/>
      <c r="AD107" s="61"/>
      <c r="AE107" s="61"/>
      <c r="AF107" s="61"/>
      <c r="AG107" s="62"/>
      <c r="AH107" s="61"/>
      <c r="AI107" s="61"/>
      <c r="AJ107" s="61"/>
      <c r="AK107" s="61"/>
      <c r="AL107" s="62"/>
      <c r="AM107" s="61"/>
      <c r="AN107" s="61"/>
      <c r="AO107" s="61"/>
      <c r="AP107" s="61"/>
      <c r="AQ107" s="62"/>
      <c r="AR107" s="61"/>
      <c r="AS107" s="61"/>
      <c r="AT107" s="61"/>
      <c r="AU107" s="61"/>
      <c r="AV107" s="62"/>
      <c r="AW107" s="451"/>
      <c r="AX107" s="451"/>
      <c r="AY107" s="451"/>
      <c r="AZ107" s="451"/>
      <c r="BA107" s="62"/>
      <c r="BB107" s="451"/>
      <c r="BC107" s="451"/>
      <c r="BD107" s="451"/>
      <c r="BE107" s="451"/>
      <c r="BF107" s="62"/>
      <c r="BG107" s="451"/>
      <c r="BH107" s="451"/>
      <c r="BI107" s="451"/>
      <c r="BJ107" s="451"/>
      <c r="BK107" s="62"/>
      <c r="BL107" s="451"/>
      <c r="BM107" s="451"/>
      <c r="BN107" s="451"/>
      <c r="BO107" s="451"/>
      <c r="BP107" s="62"/>
      <c r="BQ107" s="451"/>
      <c r="BR107" s="451"/>
      <c r="BS107" s="451"/>
      <c r="BT107" s="451"/>
      <c r="BU107" s="62"/>
      <c r="BV107" s="451"/>
      <c r="BW107" s="451"/>
      <c r="BX107" s="451"/>
      <c r="BY107" s="451"/>
      <c r="BZ107" s="62"/>
      <c r="CA107" s="451"/>
      <c r="CB107" s="451"/>
      <c r="CC107" s="451"/>
      <c r="CD107" s="451"/>
      <c r="CE107" s="62"/>
      <c r="CF107" s="451"/>
      <c r="CG107" s="451"/>
      <c r="CH107" s="451"/>
      <c r="CI107" s="451"/>
      <c r="CJ107" s="62"/>
      <c r="CK107" s="451"/>
      <c r="CL107" s="451"/>
      <c r="CM107" s="451"/>
      <c r="CN107" s="451"/>
      <c r="CO107" s="62"/>
      <c r="CP107" s="451"/>
      <c r="CQ107" s="451"/>
      <c r="CR107" s="451"/>
      <c r="CS107" s="451"/>
      <c r="CT107" s="62"/>
      <c r="CU107" s="451"/>
      <c r="CV107" s="451"/>
      <c r="CW107" s="451"/>
      <c r="CX107" s="451"/>
      <c r="CY107" s="62"/>
      <c r="CZ107" s="451"/>
      <c r="DA107" s="451"/>
      <c r="DB107" s="451"/>
      <c r="DC107" s="451"/>
      <c r="DD107" s="62"/>
      <c r="DE107" s="451"/>
      <c r="DF107" s="451"/>
      <c r="DG107" s="451"/>
      <c r="DH107" s="451"/>
      <c r="DI107" s="62"/>
      <c r="DJ107" s="451"/>
      <c r="DK107" s="451"/>
      <c r="DL107" s="451"/>
      <c r="DM107" s="451"/>
      <c r="DN107" s="62"/>
      <c r="DO107" s="451"/>
      <c r="DP107" s="451"/>
      <c r="DQ107" s="451"/>
      <c r="DR107" s="451"/>
      <c r="DS107" s="62"/>
      <c r="DT107" s="451"/>
      <c r="DU107" s="451"/>
      <c r="DV107" s="451"/>
      <c r="DW107" s="451"/>
      <c r="DX107" s="62"/>
      <c r="DY107" s="451"/>
      <c r="DZ107" s="451"/>
      <c r="EA107" s="451"/>
      <c r="EB107" s="451"/>
      <c r="EC107" s="62"/>
      <c r="ED107" s="451"/>
      <c r="EE107" s="451"/>
      <c r="EF107" s="451"/>
      <c r="EG107" s="451"/>
      <c r="EH107" s="62"/>
      <c r="EI107" s="451"/>
      <c r="EJ107" s="451"/>
      <c r="EK107" s="451"/>
      <c r="EL107" s="451"/>
      <c r="EM107" s="62"/>
    </row>
    <row r="108" spans="2:143" ht="12.75" customHeight="1">
      <c r="B108" s="25" t="s">
        <v>973</v>
      </c>
      <c r="C108" s="51"/>
      <c r="D108" s="61"/>
      <c r="E108" s="61"/>
      <c r="F108" s="61"/>
      <c r="G108" s="61"/>
      <c r="H108" s="62"/>
      <c r="I108" s="61"/>
      <c r="J108" s="61"/>
      <c r="K108" s="61"/>
      <c r="L108" s="61"/>
      <c r="M108" s="62"/>
      <c r="N108" s="61"/>
      <c r="O108" s="61"/>
      <c r="P108" s="61"/>
      <c r="Q108" s="61"/>
      <c r="R108" s="62"/>
      <c r="S108" s="61"/>
      <c r="T108" s="61"/>
      <c r="U108" s="61"/>
      <c r="V108" s="61"/>
      <c r="W108" s="62"/>
      <c r="X108" s="61"/>
      <c r="Y108" s="61"/>
      <c r="Z108" s="61"/>
      <c r="AA108" s="61"/>
      <c r="AB108" s="62"/>
      <c r="AC108" s="61"/>
      <c r="AD108" s="61"/>
      <c r="AE108" s="61"/>
      <c r="AF108" s="61"/>
      <c r="AG108" s="62"/>
      <c r="AH108" s="61"/>
      <c r="AI108" s="61"/>
      <c r="AJ108" s="61"/>
      <c r="AK108" s="61"/>
      <c r="AL108" s="62"/>
      <c r="AM108" s="61"/>
      <c r="AN108" s="61"/>
      <c r="AO108" s="61"/>
      <c r="AP108" s="61"/>
      <c r="AQ108" s="62"/>
      <c r="AR108" s="61"/>
      <c r="AS108" s="61"/>
      <c r="AT108" s="61"/>
      <c r="AU108" s="61"/>
      <c r="AV108" s="62"/>
      <c r="AW108" s="451"/>
      <c r="AX108" s="451"/>
      <c r="AY108" s="451"/>
      <c r="AZ108" s="451"/>
      <c r="BA108" s="62"/>
      <c r="BB108" s="451"/>
      <c r="BC108" s="451"/>
      <c r="BD108" s="451"/>
      <c r="BE108" s="451"/>
      <c r="BF108" s="62"/>
      <c r="BG108" s="451"/>
      <c r="BH108" s="451"/>
      <c r="BI108" s="451"/>
      <c r="BJ108" s="451"/>
      <c r="BK108" s="62"/>
      <c r="BL108" s="451"/>
      <c r="BM108" s="451"/>
      <c r="BN108" s="451"/>
      <c r="BO108" s="451"/>
      <c r="BP108" s="62"/>
      <c r="BQ108" s="451"/>
      <c r="BR108" s="451"/>
      <c r="BS108" s="451"/>
      <c r="BT108" s="451"/>
      <c r="BU108" s="62"/>
      <c r="BV108" s="451"/>
      <c r="BW108" s="451"/>
      <c r="BX108" s="451"/>
      <c r="BY108" s="451"/>
      <c r="BZ108" s="62"/>
      <c r="CA108" s="451"/>
      <c r="CB108" s="451"/>
      <c r="CC108" s="451"/>
      <c r="CD108" s="451"/>
      <c r="CE108" s="62"/>
      <c r="CF108" s="451">
        <f>IFERROR(CF48/CA48-1,0)</f>
        <v>0</v>
      </c>
      <c r="CG108" s="451">
        <f t="shared" ref="CG108:EM108" si="133">IFERROR(CG48/CB48-1,0)</f>
        <v>0</v>
      </c>
      <c r="CH108" s="451">
        <f t="shared" si="133"/>
        <v>0</v>
      </c>
      <c r="CI108" s="451">
        <f t="shared" si="133"/>
        <v>0</v>
      </c>
      <c r="CJ108" s="62">
        <f t="shared" si="133"/>
        <v>0</v>
      </c>
      <c r="CK108" s="451">
        <f t="shared" si="133"/>
        <v>1.0501325671368109</v>
      </c>
      <c r="CL108" s="451">
        <f t="shared" si="133"/>
        <v>1.0501325671368109</v>
      </c>
      <c r="CM108" s="451">
        <f t="shared" si="133"/>
        <v>1.0501325671368109</v>
      </c>
      <c r="CN108" s="451">
        <f t="shared" si="133"/>
        <v>1.0501325671368109</v>
      </c>
      <c r="CO108" s="62">
        <f t="shared" si="133"/>
        <v>1.0501325671368109</v>
      </c>
      <c r="CP108" s="451">
        <f t="shared" si="133"/>
        <v>0.30804921961979326</v>
      </c>
      <c r="CQ108" s="451">
        <f t="shared" si="133"/>
        <v>0.30804921961979326</v>
      </c>
      <c r="CR108" s="451">
        <f t="shared" si="133"/>
        <v>0.30804921961979326</v>
      </c>
      <c r="CS108" s="451">
        <f t="shared" si="133"/>
        <v>0.30804921961979326</v>
      </c>
      <c r="CT108" s="62">
        <f t="shared" si="133"/>
        <v>0.30804921961979326</v>
      </c>
      <c r="CU108" s="451">
        <f t="shared" si="133"/>
        <v>9.6537067175656244E-2</v>
      </c>
      <c r="CV108" s="451">
        <f t="shared" si="133"/>
        <v>9.6537067175656244E-2</v>
      </c>
      <c r="CW108" s="451">
        <f t="shared" si="133"/>
        <v>9.6537067175656244E-2</v>
      </c>
      <c r="CX108" s="451">
        <f t="shared" si="133"/>
        <v>9.6537067175656244E-2</v>
      </c>
      <c r="CY108" s="62">
        <f t="shared" si="133"/>
        <v>9.6537067175656244E-2</v>
      </c>
      <c r="CZ108" s="451">
        <f t="shared" si="133"/>
        <v>2.3411910363180466E-2</v>
      </c>
      <c r="DA108" s="451">
        <f t="shared" si="133"/>
        <v>2.3411910363180466E-2</v>
      </c>
      <c r="DB108" s="451">
        <f t="shared" si="133"/>
        <v>2.3411910363180466E-2</v>
      </c>
      <c r="DC108" s="451">
        <f t="shared" si="133"/>
        <v>2.3411910363180466E-2</v>
      </c>
      <c r="DD108" s="62">
        <f t="shared" si="133"/>
        <v>2.3411910363180466E-2</v>
      </c>
      <c r="DE108" s="451">
        <f t="shared" si="133"/>
        <v>1.245244619735697E-2</v>
      </c>
      <c r="DF108" s="451">
        <f t="shared" si="133"/>
        <v>1.245244619735697E-2</v>
      </c>
      <c r="DG108" s="451">
        <f t="shared" si="133"/>
        <v>1.245244619735697E-2</v>
      </c>
      <c r="DH108" s="451">
        <f t="shared" si="133"/>
        <v>1.245244619735697E-2</v>
      </c>
      <c r="DI108" s="62">
        <f t="shared" si="133"/>
        <v>1.245244619735697E-2</v>
      </c>
      <c r="DJ108" s="451">
        <f t="shared" si="133"/>
        <v>1.2074175332056569E-2</v>
      </c>
      <c r="DK108" s="451">
        <f t="shared" si="133"/>
        <v>1.2074175332056569E-2</v>
      </c>
      <c r="DL108" s="451">
        <f t="shared" si="133"/>
        <v>1.2074175332056569E-2</v>
      </c>
      <c r="DM108" s="451">
        <f t="shared" si="133"/>
        <v>1.2074175332056569E-2</v>
      </c>
      <c r="DN108" s="62">
        <f t="shared" si="133"/>
        <v>1.2074175332056569E-2</v>
      </c>
      <c r="DO108" s="451">
        <f t="shared" si="133"/>
        <v>1.3254241735094485E-2</v>
      </c>
      <c r="DP108" s="451">
        <f t="shared" si="133"/>
        <v>1.3254241735094485E-2</v>
      </c>
      <c r="DQ108" s="451">
        <f t="shared" si="133"/>
        <v>1.3254241735094485E-2</v>
      </c>
      <c r="DR108" s="451">
        <f t="shared" si="133"/>
        <v>1.3254241735094485E-2</v>
      </c>
      <c r="DS108" s="62">
        <f t="shared" si="133"/>
        <v>1.3254241735094485E-2</v>
      </c>
      <c r="DT108" s="451">
        <f t="shared" si="133"/>
        <v>1.436889406883024E-2</v>
      </c>
      <c r="DU108" s="451">
        <f t="shared" si="133"/>
        <v>1.436889406883024E-2</v>
      </c>
      <c r="DV108" s="451">
        <f t="shared" si="133"/>
        <v>1.436889406883024E-2</v>
      </c>
      <c r="DW108" s="451">
        <f t="shared" si="133"/>
        <v>1.436889406883024E-2</v>
      </c>
      <c r="DX108" s="62">
        <f t="shared" si="133"/>
        <v>1.436889406883024E-2</v>
      </c>
      <c r="DY108" s="451">
        <f t="shared" si="133"/>
        <v>9.3339394123210795E-3</v>
      </c>
      <c r="DZ108" s="451">
        <f t="shared" si="133"/>
        <v>9.3339394123210795E-3</v>
      </c>
      <c r="EA108" s="451">
        <f t="shared" si="133"/>
        <v>9.3339394123210795E-3</v>
      </c>
      <c r="EB108" s="451">
        <f t="shared" si="133"/>
        <v>9.3339394123210795E-3</v>
      </c>
      <c r="EC108" s="62">
        <f t="shared" si="133"/>
        <v>9.3339394123210795E-3</v>
      </c>
      <c r="ED108" s="451">
        <f t="shared" si="133"/>
        <v>8.7648076943316333E-3</v>
      </c>
      <c r="EE108" s="451">
        <f t="shared" si="133"/>
        <v>8.7648076943316333E-3</v>
      </c>
      <c r="EF108" s="451">
        <f t="shared" si="133"/>
        <v>8.7648076943316333E-3</v>
      </c>
      <c r="EG108" s="451">
        <f t="shared" si="133"/>
        <v>8.7648076943316333E-3</v>
      </c>
      <c r="EH108" s="62">
        <f t="shared" si="133"/>
        <v>8.7648076943316333E-3</v>
      </c>
      <c r="EI108" s="451">
        <f t="shared" si="133"/>
        <v>-0.59655248396684479</v>
      </c>
      <c r="EJ108" s="451">
        <f t="shared" si="133"/>
        <v>-0.59655248396684479</v>
      </c>
      <c r="EK108" s="451">
        <f t="shared" si="133"/>
        <v>-0.59655248396684479</v>
      </c>
      <c r="EL108" s="451">
        <f t="shared" si="133"/>
        <v>-0.59655248396684479</v>
      </c>
      <c r="EM108" s="62">
        <f t="shared" si="133"/>
        <v>-0.59655248396684479</v>
      </c>
    </row>
    <row r="109" spans="2:143" ht="12.75" customHeight="1">
      <c r="B109" s="359" t="s">
        <v>181</v>
      </c>
      <c r="C109" s="51"/>
      <c r="D109" s="61"/>
      <c r="E109" s="61"/>
      <c r="F109" s="61"/>
      <c r="G109" s="61"/>
      <c r="H109" s="62"/>
      <c r="I109" s="61"/>
      <c r="J109" s="61"/>
      <c r="K109" s="61"/>
      <c r="L109" s="61"/>
      <c r="M109" s="62"/>
      <c r="N109" s="61"/>
      <c r="O109" s="61"/>
      <c r="P109" s="61"/>
      <c r="Q109" s="61"/>
      <c r="R109" s="62"/>
      <c r="S109" s="61"/>
      <c r="T109" s="61"/>
      <c r="U109" s="61"/>
      <c r="V109" s="61"/>
      <c r="W109" s="62"/>
      <c r="X109" s="61"/>
      <c r="Y109" s="61"/>
      <c r="Z109" s="61"/>
      <c r="AA109" s="61"/>
      <c r="AB109" s="62"/>
      <c r="AC109" s="61"/>
      <c r="AD109" s="61"/>
      <c r="AE109" s="61"/>
      <c r="AF109" s="61"/>
      <c r="AG109" s="62"/>
      <c r="AH109" s="61"/>
      <c r="AI109" s="61"/>
      <c r="AJ109" s="61"/>
      <c r="AK109" s="61"/>
      <c r="AL109" s="62"/>
      <c r="AM109" s="61"/>
      <c r="AN109" s="61"/>
      <c r="AO109" s="61"/>
      <c r="AP109" s="61"/>
      <c r="AQ109" s="62"/>
      <c r="AR109" s="61"/>
      <c r="AS109" s="61"/>
      <c r="AT109" s="61"/>
      <c r="AU109" s="61"/>
      <c r="AV109" s="62"/>
      <c r="AW109" s="451"/>
      <c r="AX109" s="451"/>
      <c r="AY109" s="451"/>
      <c r="AZ109" s="451"/>
      <c r="BA109" s="62"/>
      <c r="BB109" s="451"/>
      <c r="BC109" s="451"/>
      <c r="BD109" s="451"/>
      <c r="BE109" s="451"/>
      <c r="BF109" s="62"/>
      <c r="BG109" s="451"/>
      <c r="BH109" s="451"/>
      <c r="BI109" s="451"/>
      <c r="BJ109" s="451"/>
      <c r="BK109" s="62"/>
      <c r="BL109" s="451"/>
      <c r="BM109" s="451"/>
      <c r="BN109" s="451"/>
      <c r="BO109" s="451"/>
      <c r="BP109" s="62"/>
      <c r="BQ109" s="451"/>
      <c r="BR109" s="451"/>
      <c r="BS109" s="451"/>
      <c r="BT109" s="451"/>
      <c r="BU109" s="62"/>
      <c r="BV109" s="451"/>
      <c r="BW109" s="451"/>
      <c r="BX109" s="451"/>
      <c r="BY109" s="451"/>
      <c r="BZ109" s="62"/>
      <c r="CA109" s="451"/>
      <c r="CB109" s="451"/>
      <c r="CC109" s="451"/>
      <c r="CD109" s="451"/>
      <c r="CE109" s="62"/>
      <c r="CF109" s="451"/>
      <c r="CG109" s="451"/>
      <c r="CH109" s="451"/>
      <c r="CI109" s="451"/>
      <c r="CJ109" s="62">
        <f>IFERROR(CJ49/CE49-1,0)</f>
        <v>0</v>
      </c>
      <c r="CK109" s="451"/>
      <c r="CL109" s="451"/>
      <c r="CM109" s="451"/>
      <c r="CN109" s="451"/>
      <c r="CO109" s="62">
        <f t="shared" ref="CO109:EL109" si="134">IFERROR(CO49/CJ49-1,0)</f>
        <v>1.4257555055059887</v>
      </c>
      <c r="CP109" s="451">
        <f t="shared" si="134"/>
        <v>0</v>
      </c>
      <c r="CQ109" s="451">
        <f t="shared" si="134"/>
        <v>0</v>
      </c>
      <c r="CR109" s="451">
        <f t="shared" si="134"/>
        <v>0</v>
      </c>
      <c r="CS109" s="451">
        <f t="shared" si="134"/>
        <v>0</v>
      </c>
      <c r="CT109" s="62">
        <f t="shared" si="134"/>
        <v>0.29950832446945008</v>
      </c>
      <c r="CU109" s="451">
        <f t="shared" si="134"/>
        <v>0</v>
      </c>
      <c r="CV109" s="451">
        <f t="shared" si="134"/>
        <v>0</v>
      </c>
      <c r="CW109" s="451">
        <f t="shared" si="134"/>
        <v>0</v>
      </c>
      <c r="CX109" s="451">
        <f t="shared" si="134"/>
        <v>0</v>
      </c>
      <c r="CY109" s="62">
        <f t="shared" si="134"/>
        <v>3.9603826177681212E-2</v>
      </c>
      <c r="CZ109" s="451">
        <f t="shared" si="134"/>
        <v>0</v>
      </c>
      <c r="DA109" s="451">
        <f t="shared" si="134"/>
        <v>0</v>
      </c>
      <c r="DB109" s="451">
        <f t="shared" si="134"/>
        <v>0</v>
      </c>
      <c r="DC109" s="451">
        <f t="shared" si="134"/>
        <v>0</v>
      </c>
      <c r="DD109" s="62">
        <f t="shared" si="134"/>
        <v>3.9601002119664663E-2</v>
      </c>
      <c r="DE109" s="451">
        <f t="shared" si="134"/>
        <v>0</v>
      </c>
      <c r="DF109" s="451">
        <f t="shared" si="134"/>
        <v>0</v>
      </c>
      <c r="DG109" s="451">
        <f t="shared" si="134"/>
        <v>0</v>
      </c>
      <c r="DH109" s="451">
        <f t="shared" si="134"/>
        <v>0</v>
      </c>
      <c r="DI109" s="62">
        <f t="shared" si="134"/>
        <v>2.9406048263685314E-2</v>
      </c>
      <c r="DJ109" s="451">
        <f t="shared" si="134"/>
        <v>0</v>
      </c>
      <c r="DK109" s="451">
        <f t="shared" si="134"/>
        <v>0</v>
      </c>
      <c r="DL109" s="451">
        <f t="shared" si="134"/>
        <v>0</v>
      </c>
      <c r="DM109" s="451">
        <f t="shared" si="134"/>
        <v>0</v>
      </c>
      <c r="DN109" s="62">
        <f t="shared" si="134"/>
        <v>2.9403270252440272E-2</v>
      </c>
      <c r="DO109" s="451">
        <f t="shared" si="134"/>
        <v>0</v>
      </c>
      <c r="DP109" s="451">
        <f t="shared" si="134"/>
        <v>0</v>
      </c>
      <c r="DQ109" s="451">
        <f t="shared" si="134"/>
        <v>0</v>
      </c>
      <c r="DR109" s="451">
        <f t="shared" si="134"/>
        <v>0</v>
      </c>
      <c r="DS109" s="62">
        <f t="shared" si="134"/>
        <v>2.9400501353428199E-2</v>
      </c>
      <c r="DT109" s="451">
        <f t="shared" si="134"/>
        <v>0</v>
      </c>
      <c r="DU109" s="451">
        <f t="shared" si="134"/>
        <v>0</v>
      </c>
      <c r="DV109" s="451">
        <f t="shared" si="134"/>
        <v>0</v>
      </c>
      <c r="DW109" s="451">
        <f t="shared" si="134"/>
        <v>0</v>
      </c>
      <c r="DX109" s="62">
        <f t="shared" si="134"/>
        <v>2.9397741521887788E-2</v>
      </c>
      <c r="DY109" s="451">
        <f t="shared" si="134"/>
        <v>0</v>
      </c>
      <c r="DZ109" s="451">
        <f t="shared" si="134"/>
        <v>0</v>
      </c>
      <c r="EA109" s="451">
        <f t="shared" si="134"/>
        <v>0</v>
      </c>
      <c r="EB109" s="451">
        <f t="shared" si="134"/>
        <v>0</v>
      </c>
      <c r="EC109" s="62">
        <f t="shared" si="134"/>
        <v>1.9202961102328553E-2</v>
      </c>
      <c r="ED109" s="451">
        <f t="shared" si="134"/>
        <v>0</v>
      </c>
      <c r="EE109" s="451">
        <f t="shared" si="134"/>
        <v>0</v>
      </c>
      <c r="EF109" s="451">
        <f t="shared" si="134"/>
        <v>0</v>
      </c>
      <c r="EG109" s="451">
        <f t="shared" si="134"/>
        <v>0</v>
      </c>
      <c r="EH109" s="62">
        <f t="shared" si="134"/>
        <v>1.9200246419446731E-2</v>
      </c>
      <c r="EI109" s="451">
        <f>IFERROR(EI49/ED49-1,0)</f>
        <v>0</v>
      </c>
      <c r="EJ109" s="451">
        <f t="shared" si="134"/>
        <v>0</v>
      </c>
      <c r="EK109" s="451">
        <f t="shared" si="134"/>
        <v>0</v>
      </c>
      <c r="EL109" s="451">
        <f t="shared" si="134"/>
        <v>0</v>
      </c>
      <c r="EM109" s="62">
        <f>IFERROR(EM49/EH49-1,0)</f>
        <v>-0.79616049188339255</v>
      </c>
    </row>
    <row r="110" spans="2:143" ht="12.75" customHeight="1">
      <c r="B110" s="359" t="s">
        <v>76</v>
      </c>
      <c r="C110" s="51"/>
      <c r="D110" s="61"/>
      <c r="E110" s="61"/>
      <c r="F110" s="61"/>
      <c r="G110" s="61"/>
      <c r="H110" s="62"/>
      <c r="I110" s="61"/>
      <c r="J110" s="61"/>
      <c r="K110" s="61"/>
      <c r="L110" s="61"/>
      <c r="M110" s="62"/>
      <c r="N110" s="61"/>
      <c r="O110" s="61"/>
      <c r="P110" s="61"/>
      <c r="Q110" s="61"/>
      <c r="R110" s="62"/>
      <c r="S110" s="61"/>
      <c r="T110" s="61"/>
      <c r="U110" s="61"/>
      <c r="V110" s="61"/>
      <c r="W110" s="62"/>
      <c r="X110" s="61"/>
      <c r="Y110" s="61"/>
      <c r="Z110" s="61"/>
      <c r="AA110" s="61"/>
      <c r="AB110" s="62"/>
      <c r="AC110" s="61"/>
      <c r="AD110" s="61"/>
      <c r="AE110" s="61"/>
      <c r="AF110" s="61"/>
      <c r="AG110" s="62"/>
      <c r="AH110" s="61"/>
      <c r="AI110" s="61"/>
      <c r="AJ110" s="61"/>
      <c r="AK110" s="61"/>
      <c r="AL110" s="62"/>
      <c r="AM110" s="61"/>
      <c r="AN110" s="61"/>
      <c r="AO110" s="61"/>
      <c r="AP110" s="61"/>
      <c r="AQ110" s="62"/>
      <c r="AR110" s="61"/>
      <c r="AS110" s="61"/>
      <c r="AT110" s="61"/>
      <c r="AU110" s="61"/>
      <c r="AV110" s="62"/>
      <c r="AW110" s="451"/>
      <c r="AX110" s="451"/>
      <c r="AY110" s="451"/>
      <c r="AZ110" s="451"/>
      <c r="BA110" s="62"/>
      <c r="BB110" s="451"/>
      <c r="BC110" s="451"/>
      <c r="BD110" s="451"/>
      <c r="BE110" s="451"/>
      <c r="BF110" s="62"/>
      <c r="BG110" s="451"/>
      <c r="BH110" s="451"/>
      <c r="BI110" s="451"/>
      <c r="BJ110" s="451"/>
      <c r="BK110" s="62"/>
      <c r="BL110" s="451"/>
      <c r="BM110" s="451"/>
      <c r="BN110" s="451"/>
      <c r="BO110" s="451"/>
      <c r="BP110" s="62"/>
      <c r="BQ110" s="451"/>
      <c r="BR110" s="451"/>
      <c r="BS110" s="451"/>
      <c r="BT110" s="451"/>
      <c r="BU110" s="62"/>
      <c r="BV110" s="451"/>
      <c r="BW110" s="451"/>
      <c r="BX110" s="451"/>
      <c r="BY110" s="451"/>
      <c r="BZ110" s="62"/>
      <c r="CA110" s="451"/>
      <c r="CB110" s="451"/>
      <c r="CC110" s="451"/>
      <c r="CD110" s="451"/>
      <c r="CE110" s="62"/>
      <c r="CF110" s="451"/>
      <c r="CG110" s="451"/>
      <c r="CH110" s="451"/>
      <c r="CI110" s="451"/>
      <c r="CJ110" s="62">
        <f>IFERROR(CJ50/CE50-1,0)</f>
        <v>0</v>
      </c>
      <c r="CK110" s="451"/>
      <c r="CL110" s="451"/>
      <c r="CM110" s="451"/>
      <c r="CN110" s="451"/>
      <c r="CO110" s="62">
        <f t="shared" ref="CO110:EL110" si="135">IFERROR(CO50/CJ50-1,0)</f>
        <v>0.47809862223143829</v>
      </c>
      <c r="CP110" s="451">
        <f t="shared" si="135"/>
        <v>0</v>
      </c>
      <c r="CQ110" s="451">
        <f t="shared" si="135"/>
        <v>0</v>
      </c>
      <c r="CR110" s="451">
        <f t="shared" si="135"/>
        <v>0</v>
      </c>
      <c r="CS110" s="451">
        <f t="shared" si="135"/>
        <v>0</v>
      </c>
      <c r="CT110" s="62">
        <f t="shared" si="135"/>
        <v>0.32939522915916775</v>
      </c>
      <c r="CU110" s="451">
        <f t="shared" si="135"/>
        <v>0</v>
      </c>
      <c r="CV110" s="451">
        <f t="shared" si="135"/>
        <v>0</v>
      </c>
      <c r="CW110" s="451">
        <f t="shared" si="135"/>
        <v>0</v>
      </c>
      <c r="CX110" s="451">
        <f t="shared" si="135"/>
        <v>0</v>
      </c>
      <c r="CY110" s="62">
        <f t="shared" si="135"/>
        <v>0.23562971225663309</v>
      </c>
      <c r="CZ110" s="451">
        <f t="shared" si="135"/>
        <v>0</v>
      </c>
      <c r="DA110" s="451">
        <f t="shared" si="135"/>
        <v>0</v>
      </c>
      <c r="DB110" s="451">
        <f t="shared" si="135"/>
        <v>0</v>
      </c>
      <c r="DC110" s="451">
        <f t="shared" si="135"/>
        <v>0</v>
      </c>
      <c r="DD110" s="62">
        <f t="shared" si="135"/>
        <v>-9.8647910317042342E-3</v>
      </c>
      <c r="DE110" s="451">
        <f t="shared" si="135"/>
        <v>0</v>
      </c>
      <c r="DF110" s="451">
        <f t="shared" si="135"/>
        <v>0</v>
      </c>
      <c r="DG110" s="451">
        <f t="shared" si="135"/>
        <v>0</v>
      </c>
      <c r="DH110" s="451">
        <f t="shared" si="135"/>
        <v>0</v>
      </c>
      <c r="DI110" s="62">
        <f t="shared" si="135"/>
        <v>-2.4136673052772784E-2</v>
      </c>
      <c r="DJ110" s="451">
        <f t="shared" si="135"/>
        <v>0</v>
      </c>
      <c r="DK110" s="451">
        <f t="shared" si="135"/>
        <v>0</v>
      </c>
      <c r="DL110" s="451">
        <f t="shared" si="135"/>
        <v>0</v>
      </c>
      <c r="DM110" s="451">
        <f t="shared" si="135"/>
        <v>0</v>
      </c>
      <c r="DN110" s="62">
        <f t="shared" si="135"/>
        <v>-2.737732909488344E-2</v>
      </c>
      <c r="DO110" s="451">
        <f t="shared" si="135"/>
        <v>0</v>
      </c>
      <c r="DP110" s="451">
        <f t="shared" si="135"/>
        <v>0</v>
      </c>
      <c r="DQ110" s="451">
        <f t="shared" si="135"/>
        <v>0</v>
      </c>
      <c r="DR110" s="451">
        <f t="shared" si="135"/>
        <v>0</v>
      </c>
      <c r="DS110" s="62">
        <f t="shared" si="135"/>
        <v>-2.5650342193055287E-2</v>
      </c>
      <c r="DT110" s="451">
        <f t="shared" si="135"/>
        <v>0</v>
      </c>
      <c r="DU110" s="451">
        <f t="shared" si="135"/>
        <v>0</v>
      </c>
      <c r="DV110" s="451">
        <f t="shared" si="135"/>
        <v>0</v>
      </c>
      <c r="DW110" s="451">
        <f t="shared" si="135"/>
        <v>0</v>
      </c>
      <c r="DX110" s="62">
        <f t="shared" si="135"/>
        <v>-2.3889264114136943E-2</v>
      </c>
      <c r="DY110" s="451">
        <f t="shared" si="135"/>
        <v>0</v>
      </c>
      <c r="DZ110" s="451">
        <f t="shared" si="135"/>
        <v>0</v>
      </c>
      <c r="EA110" s="451">
        <f t="shared" si="135"/>
        <v>0</v>
      </c>
      <c r="EB110" s="451">
        <f t="shared" si="135"/>
        <v>0</v>
      </c>
      <c r="EC110" s="62">
        <f t="shared" si="135"/>
        <v>-1.7160614230984361E-2</v>
      </c>
      <c r="ED110" s="451">
        <f t="shared" si="135"/>
        <v>0</v>
      </c>
      <c r="EE110" s="451">
        <f t="shared" si="135"/>
        <v>0</v>
      </c>
      <c r="EF110" s="451">
        <f t="shared" si="135"/>
        <v>0</v>
      </c>
      <c r="EG110" s="451">
        <f t="shared" si="135"/>
        <v>0</v>
      </c>
      <c r="EH110" s="62">
        <f t="shared" si="135"/>
        <v>-2.0286878276788767E-2</v>
      </c>
      <c r="EI110" s="451">
        <f t="shared" si="135"/>
        <v>0</v>
      </c>
      <c r="EJ110" s="451">
        <f t="shared" si="135"/>
        <v>0</v>
      </c>
      <c r="EK110" s="451">
        <f t="shared" si="135"/>
        <v>0</v>
      </c>
      <c r="EL110" s="451">
        <f t="shared" si="135"/>
        <v>0</v>
      </c>
      <c r="EM110" s="62">
        <f>IFERROR(EM50/EH50-1,0)</f>
        <v>-1.845752222913466E-2</v>
      </c>
    </row>
    <row r="111" spans="2:143" ht="6.75" customHeight="1">
      <c r="B111" s="25"/>
      <c r="C111" s="51"/>
      <c r="D111" s="61"/>
      <c r="E111" s="61"/>
      <c r="F111" s="61"/>
      <c r="G111" s="61"/>
      <c r="H111" s="62"/>
      <c r="I111" s="61"/>
      <c r="J111" s="61"/>
      <c r="K111" s="61"/>
      <c r="L111" s="61"/>
      <c r="M111" s="62"/>
      <c r="N111" s="61"/>
      <c r="O111" s="61"/>
      <c r="P111" s="61"/>
      <c r="Q111" s="61"/>
      <c r="R111" s="62"/>
      <c r="S111" s="61"/>
      <c r="T111" s="61"/>
      <c r="U111" s="61"/>
      <c r="V111" s="61"/>
      <c r="W111" s="62"/>
      <c r="X111" s="61"/>
      <c r="Y111" s="61"/>
      <c r="Z111" s="61"/>
      <c r="AA111" s="61"/>
      <c r="AB111" s="62"/>
      <c r="AC111" s="61"/>
      <c r="AD111" s="61"/>
      <c r="AE111" s="61"/>
      <c r="AF111" s="61"/>
      <c r="AG111" s="62"/>
      <c r="AH111" s="61"/>
      <c r="AI111" s="61"/>
      <c r="AJ111" s="61"/>
      <c r="AK111" s="61"/>
      <c r="AL111" s="62"/>
      <c r="AM111" s="61"/>
      <c r="AN111" s="61"/>
      <c r="AO111" s="61"/>
      <c r="AP111" s="61"/>
      <c r="AQ111" s="62"/>
      <c r="AR111" s="61"/>
      <c r="AS111" s="61"/>
      <c r="AT111" s="61"/>
      <c r="AU111" s="61"/>
      <c r="AV111" s="62"/>
      <c r="AW111" s="451"/>
      <c r="AX111" s="451"/>
      <c r="AY111" s="451"/>
      <c r="AZ111" s="451"/>
      <c r="BA111" s="62"/>
      <c r="BB111" s="451"/>
      <c r="BC111" s="451"/>
      <c r="BD111" s="451"/>
      <c r="BE111" s="451"/>
      <c r="BF111" s="62"/>
      <c r="BG111" s="451"/>
      <c r="BH111" s="451"/>
      <c r="BI111" s="451"/>
      <c r="BJ111" s="451"/>
      <c r="BK111" s="62"/>
      <c r="BL111" s="451"/>
      <c r="BM111" s="451"/>
      <c r="BN111" s="451"/>
      <c r="BO111" s="451"/>
      <c r="BP111" s="62"/>
      <c r="BQ111" s="451"/>
      <c r="BR111" s="451"/>
      <c r="BS111" s="451"/>
      <c r="BT111" s="451"/>
      <c r="BU111" s="62"/>
      <c r="BV111" s="451"/>
      <c r="BW111" s="451"/>
      <c r="BX111" s="451"/>
      <c r="BY111" s="451"/>
      <c r="BZ111" s="62"/>
      <c r="CA111" s="451"/>
      <c r="CB111" s="451"/>
      <c r="CC111" s="451"/>
      <c r="CD111" s="451"/>
      <c r="CE111" s="62"/>
      <c r="CF111" s="451"/>
      <c r="CG111" s="451"/>
      <c r="CH111" s="451"/>
      <c r="CI111" s="451"/>
      <c r="CJ111" s="62"/>
      <c r="CK111" s="451"/>
      <c r="CL111" s="451"/>
      <c r="CM111" s="451"/>
      <c r="CN111" s="451"/>
      <c r="CO111" s="62"/>
      <c r="CP111" s="451"/>
      <c r="CQ111" s="451"/>
      <c r="CR111" s="451"/>
      <c r="CS111" s="451"/>
      <c r="CT111" s="62"/>
      <c r="CU111" s="451"/>
      <c r="CV111" s="451"/>
      <c r="CW111" s="451"/>
      <c r="CX111" s="451"/>
      <c r="CY111" s="62"/>
      <c r="CZ111" s="451"/>
      <c r="DA111" s="451"/>
      <c r="DB111" s="451"/>
      <c r="DC111" s="451"/>
      <c r="DD111" s="62"/>
      <c r="DE111" s="451"/>
      <c r="DF111" s="451"/>
      <c r="DG111" s="451"/>
      <c r="DH111" s="451"/>
      <c r="DI111" s="62"/>
      <c r="DJ111" s="451"/>
      <c r="DK111" s="451"/>
      <c r="DL111" s="451"/>
      <c r="DM111" s="451"/>
      <c r="DN111" s="62"/>
      <c r="DO111" s="451"/>
      <c r="DP111" s="451"/>
      <c r="DQ111" s="451"/>
      <c r="DR111" s="451"/>
      <c r="DS111" s="62"/>
      <c r="DT111" s="451"/>
      <c r="DU111" s="451"/>
      <c r="DV111" s="451"/>
      <c r="DW111" s="451"/>
      <c r="DX111" s="62"/>
      <c r="DY111" s="451"/>
      <c r="DZ111" s="451"/>
      <c r="EA111" s="451"/>
      <c r="EB111" s="451"/>
      <c r="EC111" s="62"/>
      <c r="ED111" s="451"/>
      <c r="EE111" s="451"/>
      <c r="EF111" s="451"/>
      <c r="EG111" s="451"/>
      <c r="EH111" s="62"/>
      <c r="EI111" s="451"/>
      <c r="EJ111" s="451"/>
      <c r="EK111" s="451"/>
      <c r="EL111" s="451"/>
      <c r="EM111" s="62"/>
    </row>
    <row r="112" spans="2:143" ht="12.75" customHeight="1">
      <c r="B112" s="25" t="s">
        <v>974</v>
      </c>
      <c r="C112" s="51"/>
      <c r="D112" s="61"/>
      <c r="E112" s="61"/>
      <c r="F112" s="61"/>
      <c r="G112" s="61"/>
      <c r="H112" s="62"/>
      <c r="I112" s="61"/>
      <c r="J112" s="61"/>
      <c r="K112" s="61"/>
      <c r="L112" s="61"/>
      <c r="M112" s="62"/>
      <c r="N112" s="61"/>
      <c r="O112" s="61"/>
      <c r="P112" s="61"/>
      <c r="Q112" s="61"/>
      <c r="R112" s="62"/>
      <c r="S112" s="61"/>
      <c r="T112" s="61"/>
      <c r="U112" s="61"/>
      <c r="V112" s="61"/>
      <c r="W112" s="62"/>
      <c r="X112" s="61"/>
      <c r="Y112" s="61"/>
      <c r="Z112" s="61"/>
      <c r="AA112" s="61"/>
      <c r="AB112" s="62"/>
      <c r="AC112" s="61"/>
      <c r="AD112" s="61"/>
      <c r="AE112" s="61"/>
      <c r="AF112" s="61"/>
      <c r="AG112" s="62"/>
      <c r="AH112" s="61"/>
      <c r="AI112" s="61"/>
      <c r="AJ112" s="61"/>
      <c r="AK112" s="61"/>
      <c r="AL112" s="62"/>
      <c r="AM112" s="61"/>
      <c r="AN112" s="61"/>
      <c r="AO112" s="61"/>
      <c r="AP112" s="61"/>
      <c r="AQ112" s="62"/>
      <c r="AR112" s="61"/>
      <c r="AS112" s="61"/>
      <c r="AT112" s="61"/>
      <c r="AU112" s="61"/>
      <c r="AV112" s="62"/>
      <c r="AW112" s="451"/>
      <c r="AX112" s="451"/>
      <c r="AY112" s="451"/>
      <c r="AZ112" s="451"/>
      <c r="BA112" s="62"/>
      <c r="BB112" s="451"/>
      <c r="BC112" s="451"/>
      <c r="BD112" s="451"/>
      <c r="BE112" s="451"/>
      <c r="BF112" s="62"/>
      <c r="BG112" s="451"/>
      <c r="BH112" s="451"/>
      <c r="BI112" s="451"/>
      <c r="BJ112" s="451"/>
      <c r="BK112" s="62"/>
      <c r="BL112" s="451"/>
      <c r="BM112" s="451"/>
      <c r="BN112" s="451"/>
      <c r="BO112" s="451"/>
      <c r="BP112" s="62"/>
      <c r="BQ112" s="451"/>
      <c r="BR112" s="451"/>
      <c r="BS112" s="451"/>
      <c r="BT112" s="451"/>
      <c r="BU112" s="62"/>
      <c r="BV112" s="451"/>
      <c r="BW112" s="451"/>
      <c r="BX112" s="451"/>
      <c r="BY112" s="451"/>
      <c r="BZ112" s="62"/>
      <c r="CA112" s="451"/>
      <c r="CB112" s="451"/>
      <c r="CC112" s="451"/>
      <c r="CD112" s="451"/>
      <c r="CE112" s="62"/>
      <c r="CF112" s="451"/>
      <c r="CG112" s="451"/>
      <c r="CH112" s="451"/>
      <c r="CI112" s="451"/>
      <c r="CJ112" s="62"/>
      <c r="CK112" s="451">
        <f>IFERROR(CK52/CF52-1,0)</f>
        <v>0</v>
      </c>
      <c r="CL112" s="451">
        <f t="shared" ref="CL112:EL112" si="136">IFERROR(CL52/CG52-1,0)</f>
        <v>0</v>
      </c>
      <c r="CM112" s="451">
        <f t="shared" si="136"/>
        <v>0</v>
      </c>
      <c r="CN112" s="451">
        <f t="shared" si="136"/>
        <v>0</v>
      </c>
      <c r="CO112" s="62">
        <f t="shared" si="136"/>
        <v>0</v>
      </c>
      <c r="CP112" s="451">
        <f t="shared" si="136"/>
        <v>4.1860499999999998</v>
      </c>
      <c r="CQ112" s="451">
        <f t="shared" si="136"/>
        <v>4.1860499999999998</v>
      </c>
      <c r="CR112" s="451">
        <f t="shared" si="136"/>
        <v>4.1860499999999998</v>
      </c>
      <c r="CS112" s="451">
        <f t="shared" si="136"/>
        <v>4.1860499999999998</v>
      </c>
      <c r="CT112" s="62">
        <f t="shared" si="136"/>
        <v>4.1860499999999998</v>
      </c>
      <c r="CU112" s="451">
        <f t="shared" si="136"/>
        <v>1.593024999999999</v>
      </c>
      <c r="CV112" s="451">
        <f t="shared" si="136"/>
        <v>1.593024999999999</v>
      </c>
      <c r="CW112" s="451">
        <f t="shared" si="136"/>
        <v>1.593024999999999</v>
      </c>
      <c r="CX112" s="451">
        <f t="shared" si="136"/>
        <v>1.593024999999999</v>
      </c>
      <c r="CY112" s="62">
        <f t="shared" si="136"/>
        <v>1.593024999999999</v>
      </c>
      <c r="CZ112" s="451">
        <f t="shared" si="136"/>
        <v>0.81511749999999994</v>
      </c>
      <c r="DA112" s="451">
        <f t="shared" si="136"/>
        <v>0.81511749999999994</v>
      </c>
      <c r="DB112" s="451">
        <f t="shared" si="136"/>
        <v>0.81511749999999994</v>
      </c>
      <c r="DC112" s="451">
        <f t="shared" si="136"/>
        <v>0.81511749999999994</v>
      </c>
      <c r="DD112" s="62">
        <f t="shared" si="136"/>
        <v>0.81511749999999994</v>
      </c>
      <c r="DE112" s="451">
        <f t="shared" si="136"/>
        <v>0.55581499999999995</v>
      </c>
      <c r="DF112" s="451">
        <f t="shared" si="136"/>
        <v>0.55581499999999995</v>
      </c>
      <c r="DG112" s="451">
        <f t="shared" si="136"/>
        <v>0.55581499999999995</v>
      </c>
      <c r="DH112" s="451">
        <f t="shared" si="136"/>
        <v>0.55581499999999995</v>
      </c>
      <c r="DI112" s="62">
        <f t="shared" si="136"/>
        <v>0.55581499999999995</v>
      </c>
      <c r="DJ112" s="451">
        <f t="shared" si="136"/>
        <v>0.1927915</v>
      </c>
      <c r="DK112" s="451">
        <f t="shared" si="136"/>
        <v>0.1927915</v>
      </c>
      <c r="DL112" s="451">
        <f t="shared" si="136"/>
        <v>0.1927915</v>
      </c>
      <c r="DM112" s="451">
        <f t="shared" si="136"/>
        <v>0.1927915</v>
      </c>
      <c r="DN112" s="62">
        <f t="shared" si="136"/>
        <v>0.1927915</v>
      </c>
      <c r="DO112" s="451">
        <f t="shared" si="136"/>
        <v>7.8497000000000039E-2</v>
      </c>
      <c r="DP112" s="451">
        <f t="shared" si="136"/>
        <v>7.8497000000000039E-2</v>
      </c>
      <c r="DQ112" s="451">
        <f t="shared" si="136"/>
        <v>7.8497000000000039E-2</v>
      </c>
      <c r="DR112" s="451">
        <f t="shared" si="136"/>
        <v>7.8497000000000039E-2</v>
      </c>
      <c r="DS112" s="62">
        <f t="shared" si="136"/>
        <v>7.8497000000000039E-2</v>
      </c>
      <c r="DT112" s="451">
        <f t="shared" si="136"/>
        <v>2.7139999999999498E-2</v>
      </c>
      <c r="DU112" s="451">
        <f t="shared" si="136"/>
        <v>2.7139999999999498E-2</v>
      </c>
      <c r="DV112" s="451">
        <f t="shared" si="136"/>
        <v>2.7139999999999498E-2</v>
      </c>
      <c r="DW112" s="451">
        <f t="shared" si="136"/>
        <v>2.7139999999999498E-2</v>
      </c>
      <c r="DX112" s="62">
        <f t="shared" si="136"/>
        <v>2.7139999999999498E-2</v>
      </c>
      <c r="DY112" s="451">
        <f t="shared" si="136"/>
        <v>2.7139999999999942E-2</v>
      </c>
      <c r="DZ112" s="451">
        <f t="shared" si="136"/>
        <v>2.7139999999999942E-2</v>
      </c>
      <c r="EA112" s="451">
        <f t="shared" si="136"/>
        <v>2.7139999999999942E-2</v>
      </c>
      <c r="EB112" s="451">
        <f t="shared" si="136"/>
        <v>2.7139999999999942E-2</v>
      </c>
      <c r="EC112" s="62">
        <f t="shared" si="136"/>
        <v>2.7139999999999942E-2</v>
      </c>
      <c r="ED112" s="451">
        <f t="shared" si="136"/>
        <v>2.7140000000000386E-2</v>
      </c>
      <c r="EE112" s="451">
        <f t="shared" si="136"/>
        <v>2.7140000000000386E-2</v>
      </c>
      <c r="EF112" s="451">
        <f t="shared" si="136"/>
        <v>2.7140000000000386E-2</v>
      </c>
      <c r="EG112" s="451">
        <f t="shared" si="136"/>
        <v>2.7140000000000386E-2</v>
      </c>
      <c r="EH112" s="62">
        <f t="shared" si="136"/>
        <v>2.7140000000000386E-2</v>
      </c>
      <c r="EI112" s="451">
        <f>IFERROR(EI52/ED52-1,0)</f>
        <v>-0.89929999999999999</v>
      </c>
      <c r="EJ112" s="451">
        <f t="shared" si="136"/>
        <v>-0.89929999999999999</v>
      </c>
      <c r="EK112" s="451">
        <f t="shared" si="136"/>
        <v>-0.89929999999999999</v>
      </c>
      <c r="EL112" s="451">
        <f t="shared" si="136"/>
        <v>-0.89929999999999999</v>
      </c>
      <c r="EM112" s="62">
        <f>IFERROR(EM52/EH52-1,0)</f>
        <v>-0.89929999999999999</v>
      </c>
    </row>
    <row r="113" spans="1:143" ht="6.75" customHeight="1">
      <c r="B113" s="25"/>
      <c r="C113" s="51"/>
      <c r="D113" s="61"/>
      <c r="E113" s="61"/>
      <c r="F113" s="61"/>
      <c r="G113" s="61"/>
      <c r="H113" s="62"/>
      <c r="I113" s="61"/>
      <c r="J113" s="61"/>
      <c r="K113" s="61"/>
      <c r="L113" s="61"/>
      <c r="M113" s="62"/>
      <c r="N113" s="61"/>
      <c r="O113" s="61"/>
      <c r="P113" s="61"/>
      <c r="Q113" s="61"/>
      <c r="R113" s="62"/>
      <c r="S113" s="61"/>
      <c r="T113" s="61"/>
      <c r="U113" s="61"/>
      <c r="V113" s="61"/>
      <c r="W113" s="62"/>
      <c r="X113" s="61"/>
      <c r="Y113" s="61"/>
      <c r="Z113" s="61"/>
      <c r="AA113" s="61"/>
      <c r="AB113" s="62"/>
      <c r="AC113" s="61"/>
      <c r="AD113" s="61"/>
      <c r="AE113" s="61"/>
      <c r="AF113" s="61"/>
      <c r="AG113" s="62"/>
      <c r="AH113" s="61"/>
      <c r="AI113" s="61"/>
      <c r="AJ113" s="61"/>
      <c r="AK113" s="61"/>
      <c r="AL113" s="62"/>
      <c r="AM113" s="61"/>
      <c r="AN113" s="61"/>
      <c r="AO113" s="61"/>
      <c r="AP113" s="61"/>
      <c r="AQ113" s="62"/>
      <c r="AR113" s="61"/>
      <c r="AS113" s="61"/>
      <c r="AT113" s="61"/>
      <c r="AU113" s="61"/>
      <c r="AV113" s="62"/>
      <c r="AW113" s="451"/>
      <c r="AX113" s="451"/>
      <c r="AY113" s="451"/>
      <c r="AZ113" s="451"/>
      <c r="BA113" s="62"/>
      <c r="BB113" s="451"/>
      <c r="BC113" s="451"/>
      <c r="BD113" s="451"/>
      <c r="BE113" s="451"/>
      <c r="BF113" s="62"/>
      <c r="BG113" s="451"/>
      <c r="BH113" s="451"/>
      <c r="BI113" s="451"/>
      <c r="BJ113" s="451"/>
      <c r="BK113" s="62"/>
      <c r="BL113" s="451"/>
      <c r="BM113" s="451"/>
      <c r="BN113" s="451"/>
      <c r="BO113" s="451"/>
      <c r="BP113" s="62"/>
      <c r="BQ113" s="451"/>
      <c r="BR113" s="451"/>
      <c r="BS113" s="451"/>
      <c r="BT113" s="451"/>
      <c r="BU113" s="62"/>
      <c r="BV113" s="451"/>
      <c r="BW113" s="451"/>
      <c r="BX113" s="451"/>
      <c r="BY113" s="451"/>
      <c r="BZ113" s="62"/>
      <c r="CA113" s="451"/>
      <c r="CB113" s="451"/>
      <c r="CC113" s="451"/>
      <c r="CD113" s="451"/>
      <c r="CE113" s="62"/>
      <c r="CF113" s="451"/>
      <c r="CG113" s="451"/>
      <c r="CH113" s="451"/>
      <c r="CI113" s="451"/>
      <c r="CJ113" s="62"/>
      <c r="CK113" s="451"/>
      <c r="CL113" s="451"/>
      <c r="CM113" s="451"/>
      <c r="CN113" s="451"/>
      <c r="CO113" s="62"/>
      <c r="CP113" s="451"/>
      <c r="CQ113" s="451"/>
      <c r="CR113" s="451"/>
      <c r="CS113" s="451"/>
      <c r="CT113" s="62"/>
      <c r="CU113" s="451"/>
      <c r="CV113" s="451"/>
      <c r="CW113" s="451"/>
      <c r="CX113" s="451"/>
      <c r="CY113" s="62"/>
      <c r="CZ113" s="451"/>
      <c r="DA113" s="451"/>
      <c r="DB113" s="451"/>
      <c r="DC113" s="451"/>
      <c r="DD113" s="62"/>
      <c r="DE113" s="451"/>
      <c r="DF113" s="451"/>
      <c r="DG113" s="451"/>
      <c r="DH113" s="451"/>
      <c r="DI113" s="62"/>
      <c r="DJ113" s="451"/>
      <c r="DK113" s="451"/>
      <c r="DL113" s="451"/>
      <c r="DM113" s="451"/>
      <c r="DN113" s="62"/>
      <c r="DO113" s="451"/>
      <c r="DP113" s="451"/>
      <c r="DQ113" s="451"/>
      <c r="DR113" s="451"/>
      <c r="DS113" s="62"/>
      <c r="DT113" s="451"/>
      <c r="DU113" s="451"/>
      <c r="DV113" s="451"/>
      <c r="DW113" s="451"/>
      <c r="DX113" s="62"/>
      <c r="DY113" s="451"/>
      <c r="DZ113" s="451"/>
      <c r="EA113" s="451"/>
      <c r="EB113" s="451"/>
      <c r="EC113" s="62"/>
      <c r="ED113" s="451"/>
      <c r="EE113" s="451"/>
      <c r="EF113" s="451"/>
      <c r="EG113" s="451"/>
      <c r="EH113" s="62"/>
      <c r="EI113" s="451"/>
      <c r="EJ113" s="451"/>
      <c r="EK113" s="451"/>
      <c r="EL113" s="451"/>
      <c r="EM113" s="62"/>
    </row>
    <row r="114" spans="1:143">
      <c r="B114" s="25" t="s">
        <v>111</v>
      </c>
      <c r="C114" s="51"/>
      <c r="D114" s="61"/>
      <c r="E114" s="61"/>
      <c r="F114" s="61"/>
      <c r="G114" s="61"/>
      <c r="H114" s="62">
        <f t="shared" ref="H114:AM114" si="137">H42/C42-1</f>
        <v>4.3786583786583773</v>
      </c>
      <c r="I114" s="61">
        <f t="shared" si="137"/>
        <v>38.30681818181818</v>
      </c>
      <c r="J114" s="61">
        <f t="shared" si="137"/>
        <v>-0.41855886599291248</v>
      </c>
      <c r="K114" s="61">
        <f t="shared" si="137"/>
        <v>-0.35411376333164046</v>
      </c>
      <c r="L114" s="61">
        <f t="shared" si="137"/>
        <v>9.0855572998430612E-2</v>
      </c>
      <c r="M114" s="62">
        <f t="shared" si="137"/>
        <v>5.9084123850339676E-2</v>
      </c>
      <c r="N114" s="61">
        <f t="shared" si="137"/>
        <v>0.33766984677652512</v>
      </c>
      <c r="O114" s="61">
        <f t="shared" si="137"/>
        <v>1.4686230248306997</v>
      </c>
      <c r="P114" s="61">
        <f t="shared" si="137"/>
        <v>1.9026931393748772</v>
      </c>
      <c r="Q114" s="61">
        <f t="shared" si="137"/>
        <v>2.596150386760208</v>
      </c>
      <c r="R114" s="62">
        <f t="shared" si="137"/>
        <v>1.4982722560698369</v>
      </c>
      <c r="S114" s="61">
        <f t="shared" si="137"/>
        <v>1.2248757294143076</v>
      </c>
      <c r="T114" s="61">
        <f t="shared" si="137"/>
        <v>-0.43416239941477686</v>
      </c>
      <c r="U114" s="61">
        <f t="shared" si="137"/>
        <v>-9.1087633753216934E-2</v>
      </c>
      <c r="V114" s="61">
        <f t="shared" si="137"/>
        <v>-0.10464709119103577</v>
      </c>
      <c r="W114" s="62">
        <f t="shared" si="137"/>
        <v>5.7327970589841293E-2</v>
      </c>
      <c r="X114" s="61">
        <f t="shared" si="137"/>
        <v>-0.1486230511438148</v>
      </c>
      <c r="Y114" s="61">
        <f t="shared" si="137"/>
        <v>2.2763413057530704</v>
      </c>
      <c r="Z114" s="61">
        <f t="shared" si="137"/>
        <v>0.57797481558751218</v>
      </c>
      <c r="AA114" s="61">
        <f t="shared" si="137"/>
        <v>0.14498016648974832</v>
      </c>
      <c r="AB114" s="62">
        <f t="shared" si="137"/>
        <v>0.36797080744272503</v>
      </c>
      <c r="AC114" s="61">
        <f t="shared" si="137"/>
        <v>-0.132694392150151</v>
      </c>
      <c r="AD114" s="61">
        <f t="shared" si="137"/>
        <v>5.1247903719048971E-2</v>
      </c>
      <c r="AE114" s="61">
        <f t="shared" si="137"/>
        <v>7.5314005099631487E-2</v>
      </c>
      <c r="AF114" s="61">
        <f t="shared" si="137"/>
        <v>0.23689860446959954</v>
      </c>
      <c r="AG114" s="62">
        <f t="shared" si="137"/>
        <v>6.4963825102233086E-2</v>
      </c>
      <c r="AH114" s="61">
        <f t="shared" si="137"/>
        <v>0.34309017956982135</v>
      </c>
      <c r="AI114" s="61">
        <f t="shared" si="137"/>
        <v>-0.94773143152066819</v>
      </c>
      <c r="AJ114" s="61">
        <f t="shared" si="137"/>
        <v>-0.89619285996574893</v>
      </c>
      <c r="AK114" s="61">
        <f t="shared" si="137"/>
        <v>-0.99049272160637458</v>
      </c>
      <c r="AL114" s="62">
        <f t="shared" si="137"/>
        <v>-0.71480895106217057</v>
      </c>
      <c r="AM114" s="61">
        <f t="shared" si="137"/>
        <v>-0.94079044027621328</v>
      </c>
      <c r="AN114" s="61">
        <f t="shared" ref="AN114:BI114" si="138">AN42/AI42-1</f>
        <v>-6.6427289048474614E-2</v>
      </c>
      <c r="AO114" s="61">
        <f t="shared" si="138"/>
        <v>-0.47800338409475462</v>
      </c>
      <c r="AP114" s="61">
        <f t="shared" si="138"/>
        <v>1.3112033195019901</v>
      </c>
      <c r="AQ114" s="62">
        <f t="shared" si="138"/>
        <v>-0.8326290496312867</v>
      </c>
      <c r="AR114" s="61">
        <f t="shared" si="138"/>
        <v>-0.71298593879239003</v>
      </c>
      <c r="AS114" s="61">
        <f t="shared" si="138"/>
        <v>-0.15865384615384526</v>
      </c>
      <c r="AT114" s="61">
        <f t="shared" si="138"/>
        <v>0.10453808752025928</v>
      </c>
      <c r="AU114" s="61">
        <f t="shared" si="138"/>
        <v>0.87432675044882258</v>
      </c>
      <c r="AV114" s="62">
        <f t="shared" si="138"/>
        <v>-0.10173267326732705</v>
      </c>
      <c r="AW114" s="451">
        <f t="shared" si="138"/>
        <v>11.293948126801139</v>
      </c>
      <c r="AX114" s="451">
        <f t="shared" si="138"/>
        <v>2.6114285714285708</v>
      </c>
      <c r="AY114" s="451">
        <f t="shared" si="138"/>
        <v>1.9655172413793101</v>
      </c>
      <c r="AZ114" s="451">
        <f t="shared" si="138"/>
        <v>4.2567049808429083</v>
      </c>
      <c r="BA114" s="62">
        <f t="shared" si="138"/>
        <v>3.6723615321025056</v>
      </c>
      <c r="BB114" s="451">
        <f t="shared" si="138"/>
        <v>-0.78902953586497893</v>
      </c>
      <c r="BC114" s="451">
        <f t="shared" si="138"/>
        <v>-0.810126582278481</v>
      </c>
      <c r="BD114" s="451">
        <f t="shared" si="138"/>
        <v>-0.82681840672934193</v>
      </c>
      <c r="BE114" s="451">
        <f t="shared" si="138"/>
        <v>-1</v>
      </c>
      <c r="BF114" s="62">
        <f t="shared" si="138"/>
        <v>-0.87025241802311859</v>
      </c>
      <c r="BG114" s="451">
        <f t="shared" si="138"/>
        <v>1.6666666666666665</v>
      </c>
      <c r="BH114" s="451">
        <f t="shared" si="138"/>
        <v>2.833333333333333</v>
      </c>
      <c r="BI114" s="451">
        <f t="shared" si="138"/>
        <v>-0.14285714285714279</v>
      </c>
      <c r="BJ114" s="451"/>
      <c r="BK114" s="62">
        <f t="shared" ref="BK114:CP114" si="139">BK42/BF42-1</f>
        <v>3.1818181818181808</v>
      </c>
      <c r="BL114" s="451">
        <f t="shared" si="139"/>
        <v>4.1666666666666741E-2</v>
      </c>
      <c r="BM114" s="451">
        <f t="shared" si="139"/>
        <v>-0.34782608695652173</v>
      </c>
      <c r="BN114" s="451">
        <f t="shared" si="139"/>
        <v>3.5000000000000009</v>
      </c>
      <c r="BO114" s="451">
        <f t="shared" si="139"/>
        <v>-0.5641025641025641</v>
      </c>
      <c r="BP114" s="62">
        <f t="shared" si="139"/>
        <v>-8.6956521739130377E-2</v>
      </c>
      <c r="BQ114" s="451">
        <f t="shared" si="139"/>
        <v>-0.24</v>
      </c>
      <c r="BR114" s="451">
        <f t="shared" si="139"/>
        <v>-0.46666666666666667</v>
      </c>
      <c r="BS114" s="451">
        <f t="shared" si="139"/>
        <v>-0.70370370370370372</v>
      </c>
      <c r="BT114" s="451">
        <f t="shared" si="139"/>
        <v>-0.52941176470588225</v>
      </c>
      <c r="BU114" s="62">
        <f t="shared" si="139"/>
        <v>-0.48809523809523814</v>
      </c>
      <c r="BV114" s="451">
        <f t="shared" si="139"/>
        <v>-0.47368421052631582</v>
      </c>
      <c r="BW114" s="451">
        <f t="shared" si="139"/>
        <v>0.25</v>
      </c>
      <c r="BX114" s="451">
        <f t="shared" si="139"/>
        <v>6.5</v>
      </c>
      <c r="BY114" s="451">
        <f t="shared" si="139"/>
        <v>0.25</v>
      </c>
      <c r="BZ114" s="62">
        <f t="shared" si="139"/>
        <v>1.0930232558139537</v>
      </c>
      <c r="CA114" s="451">
        <f t="shared" si="139"/>
        <v>1.25</v>
      </c>
      <c r="CB114" s="451">
        <f t="shared" si="139"/>
        <v>1.25</v>
      </c>
      <c r="CC114" s="451">
        <f t="shared" si="139"/>
        <v>-0.625</v>
      </c>
      <c r="CD114" s="451">
        <f t="shared" si="139"/>
        <v>1.25</v>
      </c>
      <c r="CE114" s="62">
        <f t="shared" si="139"/>
        <v>0</v>
      </c>
      <c r="CF114" s="451">
        <f t="shared" si="139"/>
        <v>0</v>
      </c>
      <c r="CG114" s="451">
        <f t="shared" si="139"/>
        <v>0</v>
      </c>
      <c r="CH114" s="451">
        <f t="shared" si="139"/>
        <v>0</v>
      </c>
      <c r="CI114" s="451">
        <f t="shared" si="139"/>
        <v>0</v>
      </c>
      <c r="CJ114" s="62">
        <f t="shared" si="139"/>
        <v>0</v>
      </c>
      <c r="CK114" s="451">
        <f t="shared" si="139"/>
        <v>0</v>
      </c>
      <c r="CL114" s="451">
        <f t="shared" si="139"/>
        <v>0</v>
      </c>
      <c r="CM114" s="451">
        <f t="shared" si="139"/>
        <v>0</v>
      </c>
      <c r="CN114" s="451">
        <f t="shared" si="139"/>
        <v>0</v>
      </c>
      <c r="CO114" s="62">
        <f t="shared" si="139"/>
        <v>0</v>
      </c>
      <c r="CP114" s="451">
        <f t="shared" si="139"/>
        <v>0</v>
      </c>
      <c r="CQ114" s="451">
        <f t="shared" ref="CQ114:DV114" si="140">CQ42/CL42-1</f>
        <v>0</v>
      </c>
      <c r="CR114" s="451">
        <f t="shared" si="140"/>
        <v>0</v>
      </c>
      <c r="CS114" s="451">
        <f t="shared" si="140"/>
        <v>0</v>
      </c>
      <c r="CT114" s="62">
        <f t="shared" si="140"/>
        <v>0</v>
      </c>
      <c r="CU114" s="451">
        <f t="shared" si="140"/>
        <v>0</v>
      </c>
      <c r="CV114" s="451">
        <f t="shared" si="140"/>
        <v>0</v>
      </c>
      <c r="CW114" s="451">
        <f t="shared" si="140"/>
        <v>0</v>
      </c>
      <c r="CX114" s="451">
        <f t="shared" si="140"/>
        <v>0</v>
      </c>
      <c r="CY114" s="62">
        <f t="shared" si="140"/>
        <v>0</v>
      </c>
      <c r="CZ114" s="451">
        <f t="shared" si="140"/>
        <v>0</v>
      </c>
      <c r="DA114" s="451">
        <f t="shared" si="140"/>
        <v>0</v>
      </c>
      <c r="DB114" s="451">
        <f t="shared" si="140"/>
        <v>0</v>
      </c>
      <c r="DC114" s="451">
        <f t="shared" si="140"/>
        <v>0</v>
      </c>
      <c r="DD114" s="62">
        <f t="shared" si="140"/>
        <v>0</v>
      </c>
      <c r="DE114" s="451">
        <f t="shared" si="140"/>
        <v>0</v>
      </c>
      <c r="DF114" s="451">
        <f t="shared" si="140"/>
        <v>0</v>
      </c>
      <c r="DG114" s="451">
        <f t="shared" si="140"/>
        <v>0</v>
      </c>
      <c r="DH114" s="451">
        <f t="shared" si="140"/>
        <v>0</v>
      </c>
      <c r="DI114" s="62">
        <f t="shared" si="140"/>
        <v>0</v>
      </c>
      <c r="DJ114" s="451">
        <f t="shared" si="140"/>
        <v>0</v>
      </c>
      <c r="DK114" s="451">
        <f t="shared" si="140"/>
        <v>0</v>
      </c>
      <c r="DL114" s="451">
        <f t="shared" si="140"/>
        <v>0</v>
      </c>
      <c r="DM114" s="451">
        <f t="shared" si="140"/>
        <v>0</v>
      </c>
      <c r="DN114" s="62">
        <f t="shared" si="140"/>
        <v>0</v>
      </c>
      <c r="DO114" s="451">
        <f t="shared" si="140"/>
        <v>0</v>
      </c>
      <c r="DP114" s="451">
        <f t="shared" si="140"/>
        <v>0</v>
      </c>
      <c r="DQ114" s="451">
        <f t="shared" si="140"/>
        <v>0</v>
      </c>
      <c r="DR114" s="451">
        <f t="shared" si="140"/>
        <v>0</v>
      </c>
      <c r="DS114" s="62">
        <f t="shared" si="140"/>
        <v>0</v>
      </c>
      <c r="DT114" s="451">
        <f t="shared" si="140"/>
        <v>0</v>
      </c>
      <c r="DU114" s="451">
        <f t="shared" si="140"/>
        <v>0</v>
      </c>
      <c r="DV114" s="451">
        <f t="shared" si="140"/>
        <v>0</v>
      </c>
      <c r="DW114" s="451">
        <f t="shared" ref="DW114:EM114" si="141">DW42/DR42-1</f>
        <v>0</v>
      </c>
      <c r="DX114" s="62">
        <f t="shared" si="141"/>
        <v>0</v>
      </c>
      <c r="DY114" s="451">
        <f t="shared" si="141"/>
        <v>0</v>
      </c>
      <c r="DZ114" s="451">
        <f t="shared" si="141"/>
        <v>0</v>
      </c>
      <c r="EA114" s="451">
        <f t="shared" si="141"/>
        <v>0</v>
      </c>
      <c r="EB114" s="451">
        <f t="shared" si="141"/>
        <v>0</v>
      </c>
      <c r="EC114" s="62">
        <f t="shared" si="141"/>
        <v>0</v>
      </c>
      <c r="ED114" s="451">
        <f t="shared" si="141"/>
        <v>0</v>
      </c>
      <c r="EE114" s="451">
        <f t="shared" si="141"/>
        <v>0</v>
      </c>
      <c r="EF114" s="451">
        <f t="shared" si="141"/>
        <v>0</v>
      </c>
      <c r="EG114" s="451">
        <f t="shared" si="141"/>
        <v>0</v>
      </c>
      <c r="EH114" s="62">
        <f t="shared" si="141"/>
        <v>0</v>
      </c>
      <c r="EI114" s="451">
        <f t="shared" si="141"/>
        <v>0</v>
      </c>
      <c r="EJ114" s="451">
        <f t="shared" si="141"/>
        <v>0</v>
      </c>
      <c r="EK114" s="451">
        <f t="shared" si="141"/>
        <v>0</v>
      </c>
      <c r="EL114" s="451">
        <f t="shared" si="141"/>
        <v>0</v>
      </c>
      <c r="EM114" s="62">
        <f t="shared" si="141"/>
        <v>0</v>
      </c>
    </row>
    <row r="115" spans="1:143" ht="6.75" customHeight="1">
      <c r="B115" s="25"/>
      <c r="C115" s="51"/>
      <c r="D115" s="61"/>
      <c r="E115" s="61"/>
      <c r="F115" s="61"/>
      <c r="G115" s="61"/>
      <c r="H115" s="62"/>
      <c r="I115" s="61"/>
      <c r="J115" s="61"/>
      <c r="K115" s="61"/>
      <c r="L115" s="61"/>
      <c r="M115" s="62"/>
      <c r="N115" s="61"/>
      <c r="O115" s="61"/>
      <c r="P115" s="61"/>
      <c r="Q115" s="61"/>
      <c r="R115" s="62"/>
      <c r="S115" s="61"/>
      <c r="T115" s="61"/>
      <c r="U115" s="61"/>
      <c r="V115" s="61"/>
      <c r="W115" s="62"/>
      <c r="X115" s="61"/>
      <c r="Y115" s="61"/>
      <c r="Z115" s="61"/>
      <c r="AA115" s="61"/>
      <c r="AB115" s="62"/>
      <c r="AC115" s="61"/>
      <c r="AD115" s="61"/>
      <c r="AE115" s="61"/>
      <c r="AF115" s="61"/>
      <c r="AG115" s="62"/>
      <c r="AH115" s="61"/>
      <c r="AI115" s="61"/>
      <c r="AJ115" s="61"/>
      <c r="AK115" s="61"/>
      <c r="AL115" s="62"/>
      <c r="AM115" s="61"/>
      <c r="AN115" s="61"/>
      <c r="AO115" s="61"/>
      <c r="AP115" s="61"/>
      <c r="AQ115" s="62"/>
      <c r="AR115" s="61"/>
      <c r="AS115" s="61"/>
      <c r="AT115" s="61"/>
      <c r="AU115" s="61"/>
      <c r="AV115" s="62"/>
      <c r="AW115" s="451"/>
      <c r="AX115" s="451"/>
      <c r="AY115" s="451"/>
      <c r="AZ115" s="451"/>
      <c r="BA115" s="62"/>
      <c r="BB115" s="451"/>
      <c r="BC115" s="451"/>
      <c r="BD115" s="451"/>
      <c r="BE115" s="451"/>
      <c r="BF115" s="62"/>
      <c r="BG115" s="451"/>
      <c r="BH115" s="451"/>
      <c r="BI115" s="451"/>
      <c r="BJ115" s="451"/>
      <c r="BK115" s="62"/>
      <c r="BL115" s="451"/>
      <c r="BM115" s="451"/>
      <c r="BN115" s="451"/>
      <c r="BO115" s="451"/>
      <c r="BP115" s="62"/>
      <c r="BQ115" s="451"/>
      <c r="BR115" s="451"/>
      <c r="BS115" s="451"/>
      <c r="BT115" s="451"/>
      <c r="BU115" s="62"/>
      <c r="BV115" s="451"/>
      <c r="BW115" s="451"/>
      <c r="BX115" s="451"/>
      <c r="BY115" s="451"/>
      <c r="BZ115" s="62"/>
      <c r="CA115" s="451"/>
      <c r="CB115" s="451"/>
      <c r="CC115" s="451"/>
      <c r="CD115" s="451"/>
      <c r="CE115" s="62"/>
      <c r="CF115" s="451"/>
      <c r="CG115" s="451"/>
      <c r="CH115" s="451"/>
      <c r="CI115" s="451"/>
      <c r="CJ115" s="62"/>
      <c r="CK115" s="451"/>
      <c r="CL115" s="451"/>
      <c r="CM115" s="451"/>
      <c r="CN115" s="451"/>
      <c r="CO115" s="62"/>
      <c r="CP115" s="451"/>
      <c r="CQ115" s="451"/>
      <c r="CR115" s="451"/>
      <c r="CS115" s="451"/>
      <c r="CT115" s="62"/>
      <c r="CU115" s="451"/>
      <c r="CV115" s="451"/>
      <c r="CW115" s="451"/>
      <c r="CX115" s="451"/>
      <c r="CY115" s="62"/>
      <c r="CZ115" s="451"/>
      <c r="DA115" s="451"/>
      <c r="DB115" s="451"/>
      <c r="DC115" s="451"/>
      <c r="DD115" s="62"/>
      <c r="DE115" s="451"/>
      <c r="DF115" s="451"/>
      <c r="DG115" s="451"/>
      <c r="DH115" s="451"/>
      <c r="DI115" s="62"/>
      <c r="DJ115" s="451"/>
      <c r="DK115" s="451"/>
      <c r="DL115" s="451"/>
      <c r="DM115" s="451"/>
      <c r="DN115" s="62"/>
      <c r="DO115" s="451"/>
      <c r="DP115" s="451"/>
      <c r="DQ115" s="451"/>
      <c r="DR115" s="451"/>
      <c r="DS115" s="62"/>
      <c r="DT115" s="451"/>
      <c r="DU115" s="451"/>
      <c r="DV115" s="451"/>
      <c r="DW115" s="451"/>
      <c r="DX115" s="62"/>
      <c r="DY115" s="451"/>
      <c r="DZ115" s="451"/>
      <c r="EA115" s="451"/>
      <c r="EB115" s="451"/>
      <c r="EC115" s="62"/>
      <c r="ED115" s="451"/>
      <c r="EE115" s="451"/>
      <c r="EF115" s="451"/>
      <c r="EG115" s="451"/>
      <c r="EH115" s="62"/>
      <c r="EI115" s="451"/>
      <c r="EJ115" s="451"/>
      <c r="EK115" s="451"/>
      <c r="EL115" s="451"/>
      <c r="EM115" s="62"/>
    </row>
    <row r="116" spans="1:143" s="66" customFormat="1">
      <c r="A116" s="44"/>
      <c r="B116" s="44" t="s">
        <v>77</v>
      </c>
      <c r="C116" s="55"/>
      <c r="D116" s="69"/>
      <c r="E116" s="69"/>
      <c r="F116" s="69"/>
      <c r="G116" s="69"/>
      <c r="H116" s="67">
        <f t="shared" ref="H116:AM116" si="142">H61/C61-1</f>
        <v>0.98870005938773686</v>
      </c>
      <c r="I116" s="69">
        <f t="shared" si="142"/>
        <v>0.66186359269932749</v>
      </c>
      <c r="J116" s="69">
        <f t="shared" si="142"/>
        <v>0.26422068259276421</v>
      </c>
      <c r="K116" s="69">
        <f t="shared" si="142"/>
        <v>0.28051035220414078</v>
      </c>
      <c r="L116" s="69">
        <f t="shared" si="142"/>
        <v>0.29602443888158136</v>
      </c>
      <c r="M116" s="67">
        <f t="shared" si="142"/>
        <v>0.35228857899064447</v>
      </c>
      <c r="N116" s="69">
        <f t="shared" si="142"/>
        <v>0.28277719390436151</v>
      </c>
      <c r="O116" s="69">
        <f t="shared" si="142"/>
        <v>0.33379319073535019</v>
      </c>
      <c r="P116" s="69">
        <f t="shared" si="142"/>
        <v>0.359139887593523</v>
      </c>
      <c r="Q116" s="69">
        <f t="shared" si="142"/>
        <v>0.40440646893210164</v>
      </c>
      <c r="R116" s="67">
        <f t="shared" si="142"/>
        <v>0.34804625935124367</v>
      </c>
      <c r="S116" s="69">
        <f t="shared" si="142"/>
        <v>0.64107737211326721</v>
      </c>
      <c r="T116" s="69">
        <f t="shared" si="142"/>
        <v>0.67390376056859225</v>
      </c>
      <c r="U116" s="69">
        <f t="shared" si="142"/>
        <v>0.95877963125548704</v>
      </c>
      <c r="V116" s="69">
        <f t="shared" si="142"/>
        <v>0.95696869390894967</v>
      </c>
      <c r="W116" s="67">
        <f t="shared" si="142"/>
        <v>0.82127349228611513</v>
      </c>
      <c r="X116" s="69">
        <f t="shared" si="142"/>
        <v>0.68366792933232645</v>
      </c>
      <c r="Y116" s="69">
        <f t="shared" si="142"/>
        <v>0.80806798147402814</v>
      </c>
      <c r="Z116" s="69">
        <f t="shared" si="142"/>
        <v>0.48436386454808278</v>
      </c>
      <c r="AA116" s="69">
        <f t="shared" si="142"/>
        <v>0.51090702623721507</v>
      </c>
      <c r="AB116" s="67">
        <f t="shared" si="142"/>
        <v>0.60230777286980719</v>
      </c>
      <c r="AC116" s="69">
        <f t="shared" si="142"/>
        <v>0.59304066776379205</v>
      </c>
      <c r="AD116" s="69">
        <f t="shared" si="142"/>
        <v>0.68780197212685579</v>
      </c>
      <c r="AE116" s="69">
        <f t="shared" si="142"/>
        <v>0.69488086143328642</v>
      </c>
      <c r="AF116" s="69">
        <f t="shared" si="142"/>
        <v>0.55390756600644875</v>
      </c>
      <c r="AG116" s="67">
        <f t="shared" si="142"/>
        <v>0.6307652557863066</v>
      </c>
      <c r="AH116" s="69">
        <f t="shared" si="142"/>
        <v>0.33151774330147332</v>
      </c>
      <c r="AI116" s="69">
        <f t="shared" si="142"/>
        <v>0.10648578158553712</v>
      </c>
      <c r="AJ116" s="69">
        <f t="shared" si="142"/>
        <v>0.18488237851243206</v>
      </c>
      <c r="AK116" s="69">
        <f t="shared" si="142"/>
        <v>0.22053575958465088</v>
      </c>
      <c r="AL116" s="67">
        <f t="shared" si="142"/>
        <v>0.20464145566068792</v>
      </c>
      <c r="AM116" s="69">
        <f t="shared" si="142"/>
        <v>0.32284140133955153</v>
      </c>
      <c r="AN116" s="69">
        <f t="shared" ref="AN116:BS116" si="143">AN61/AI61-1</f>
        <v>0.37801084213760361</v>
      </c>
      <c r="AO116" s="69">
        <f t="shared" si="143"/>
        <v>0.3286024674279957</v>
      </c>
      <c r="AP116" s="69">
        <f t="shared" si="143"/>
        <v>0.4173170849989265</v>
      </c>
      <c r="AQ116" s="67">
        <f t="shared" si="143"/>
        <v>0.36389399929541644</v>
      </c>
      <c r="AR116" s="69">
        <f t="shared" si="143"/>
        <v>0.4090526618910304</v>
      </c>
      <c r="AS116" s="69">
        <f t="shared" si="143"/>
        <v>0.39835184582789651</v>
      </c>
      <c r="AT116" s="69">
        <f t="shared" si="143"/>
        <v>0.37804476424473776</v>
      </c>
      <c r="AU116" s="69">
        <f t="shared" si="143"/>
        <v>0.21310510617372769</v>
      </c>
      <c r="AV116" s="67">
        <f t="shared" si="143"/>
        <v>0.34114409041597549</v>
      </c>
      <c r="AW116" s="452">
        <f t="shared" si="143"/>
        <v>0.1676133513951843</v>
      </c>
      <c r="AX116" s="452">
        <f t="shared" si="143"/>
        <v>0.16451741343814041</v>
      </c>
      <c r="AY116" s="452">
        <f t="shared" si="143"/>
        <v>0.13991130456206613</v>
      </c>
      <c r="AZ116" s="452">
        <f t="shared" si="143"/>
        <v>0.14071661815286562</v>
      </c>
      <c r="BA116" s="67">
        <f t="shared" si="143"/>
        <v>0.15249233790184546</v>
      </c>
      <c r="BB116" s="452">
        <f t="shared" si="143"/>
        <v>0.14757217789817578</v>
      </c>
      <c r="BC116" s="452">
        <f t="shared" si="143"/>
        <v>0.17021674559887456</v>
      </c>
      <c r="BD116" s="452">
        <f t="shared" si="143"/>
        <v>0.18442694700986229</v>
      </c>
      <c r="BE116" s="452">
        <f t="shared" si="143"/>
        <v>0.21865323628379274</v>
      </c>
      <c r="BF116" s="67">
        <f t="shared" si="143"/>
        <v>0.17710211993132052</v>
      </c>
      <c r="BG116" s="452">
        <f t="shared" si="143"/>
        <v>0.19464073322605446</v>
      </c>
      <c r="BH116" s="452">
        <f t="shared" si="143"/>
        <v>0.17933635956780258</v>
      </c>
      <c r="BI116" s="452">
        <f t="shared" si="143"/>
        <v>0.19026763990267637</v>
      </c>
      <c r="BJ116" s="452">
        <f t="shared" si="143"/>
        <v>0.19124637681159418</v>
      </c>
      <c r="BK116" s="67">
        <f t="shared" si="143"/>
        <v>0.19314130674827257</v>
      </c>
      <c r="BL116" s="452">
        <f t="shared" si="143"/>
        <v>0.20363103953147887</v>
      </c>
      <c r="BM116" s="452">
        <f t="shared" si="143"/>
        <v>0.22199934945245614</v>
      </c>
      <c r="BN116" s="452">
        <f t="shared" si="143"/>
        <v>0.1818274734260017</v>
      </c>
      <c r="BO116" s="452">
        <f t="shared" si="143"/>
        <v>0.23568056839748874</v>
      </c>
      <c r="BP116" s="67">
        <f t="shared" si="143"/>
        <v>0.21117692165313739</v>
      </c>
      <c r="BQ116" s="452">
        <f t="shared" si="143"/>
        <v>0.21384780070066145</v>
      </c>
      <c r="BR116" s="452">
        <f t="shared" si="143"/>
        <v>0.21755911450246201</v>
      </c>
      <c r="BS116" s="452">
        <f t="shared" si="143"/>
        <v>0.28366340914987465</v>
      </c>
      <c r="BT116" s="452">
        <f t="shared" ref="BT116:CY116" si="144">BT61/BO61-1</f>
        <v>0.17233774417139247</v>
      </c>
      <c r="BU116" s="67">
        <f t="shared" si="144"/>
        <v>0.2208795886956807</v>
      </c>
      <c r="BV116" s="452">
        <f t="shared" si="144"/>
        <v>0.18250691465907742</v>
      </c>
      <c r="BW116" s="452">
        <f t="shared" si="144"/>
        <v>0.18637274549098204</v>
      </c>
      <c r="BX116" s="452">
        <f t="shared" si="144"/>
        <v>0.10759280468907906</v>
      </c>
      <c r="BY116" s="452">
        <f t="shared" si="144"/>
        <v>0.16870464928782591</v>
      </c>
      <c r="BZ116" s="67">
        <f t="shared" si="144"/>
        <v>0.15989843177225826</v>
      </c>
      <c r="CA116" s="452">
        <f t="shared" si="144"/>
        <v>0.15506401850344886</v>
      </c>
      <c r="CB116" s="452">
        <f t="shared" si="144"/>
        <v>0.13134606696062856</v>
      </c>
      <c r="CC116" s="452">
        <f t="shared" si="144"/>
        <v>0.13411980674797208</v>
      </c>
      <c r="CD116" s="452">
        <f t="shared" si="144"/>
        <v>0.12825324340063782</v>
      </c>
      <c r="CE116" s="67">
        <f t="shared" si="144"/>
        <v>0.13661301217814925</v>
      </c>
      <c r="CF116" s="452">
        <f t="shared" si="144"/>
        <v>0.1167330322714748</v>
      </c>
      <c r="CG116" s="452">
        <f t="shared" si="144"/>
        <v>0.1003993849580691</v>
      </c>
      <c r="CH116" s="452">
        <f t="shared" si="144"/>
        <v>0.11010730703239857</v>
      </c>
      <c r="CI116" s="452">
        <f t="shared" si="144"/>
        <v>9.9867833902717473E-2</v>
      </c>
      <c r="CJ116" s="67">
        <f t="shared" si="144"/>
        <v>0.13264727784272101</v>
      </c>
      <c r="CK116" s="452">
        <f t="shared" si="144"/>
        <v>0.13375361724608781</v>
      </c>
      <c r="CL116" s="452">
        <f t="shared" si="144"/>
        <v>0.13130285339118397</v>
      </c>
      <c r="CM116" s="452">
        <f t="shared" si="144"/>
        <v>0.12820650341337458</v>
      </c>
      <c r="CN116" s="452">
        <f t="shared" si="144"/>
        <v>0.1257787906989265</v>
      </c>
      <c r="CO116" s="67">
        <f t="shared" si="144"/>
        <v>0.15103878077765631</v>
      </c>
      <c r="CP116" s="452">
        <f t="shared" si="144"/>
        <v>0.11547918979552763</v>
      </c>
      <c r="CQ116" s="452">
        <f t="shared" si="144"/>
        <v>0.11536497824362479</v>
      </c>
      <c r="CR116" s="452">
        <f t="shared" si="144"/>
        <v>0.11560155453835375</v>
      </c>
      <c r="CS116" s="452">
        <f t="shared" si="144"/>
        <v>0.11560368182672942</v>
      </c>
      <c r="CT116" s="67">
        <f t="shared" si="144"/>
        <v>0.14883239658292835</v>
      </c>
      <c r="CU116" s="452">
        <f t="shared" si="144"/>
        <v>4.0744865772159855E-2</v>
      </c>
      <c r="CV116" s="452">
        <f t="shared" si="144"/>
        <v>4.0810631957107768E-2</v>
      </c>
      <c r="CW116" s="452">
        <f t="shared" si="144"/>
        <v>3.9010135012893299E-2</v>
      </c>
      <c r="CX116" s="452">
        <f t="shared" si="144"/>
        <v>4.0545922453992356E-2</v>
      </c>
      <c r="CY116" s="67">
        <f t="shared" si="144"/>
        <v>7.0839266248651445E-2</v>
      </c>
      <c r="CZ116" s="452">
        <f t="shared" ref="CZ116:EE116" si="145">CZ61/CU61-1</f>
        <v>-2.3510566894885732E-2</v>
      </c>
      <c r="DA116" s="452">
        <f t="shared" si="145"/>
        <v>-2.3718217304867451E-2</v>
      </c>
      <c r="DB116" s="452">
        <f t="shared" si="145"/>
        <v>-2.7107198838162705E-2</v>
      </c>
      <c r="DC116" s="452">
        <f t="shared" si="145"/>
        <v>-2.500993455929601E-2</v>
      </c>
      <c r="DD116" s="67">
        <f t="shared" si="145"/>
        <v>1.3447475914628138E-2</v>
      </c>
      <c r="DE116" s="452">
        <f t="shared" si="145"/>
        <v>-6.631301844897719E-2</v>
      </c>
      <c r="DF116" s="452">
        <f t="shared" si="145"/>
        <v>-6.634169989252714E-2</v>
      </c>
      <c r="DG116" s="452">
        <f t="shared" si="145"/>
        <v>-7.0544527619403552E-2</v>
      </c>
      <c r="DH116" s="452">
        <f t="shared" si="145"/>
        <v>-6.7858606816586731E-2</v>
      </c>
      <c r="DI116" s="67">
        <f t="shared" si="145"/>
        <v>-2.1010076117455312E-2</v>
      </c>
      <c r="DJ116" s="452">
        <f t="shared" si="145"/>
        <v>-0.25502967655253739</v>
      </c>
      <c r="DK116" s="452">
        <f t="shared" si="145"/>
        <v>-0.25075277004036489</v>
      </c>
      <c r="DL116" s="452">
        <f t="shared" si="145"/>
        <v>-0.25452096665239476</v>
      </c>
      <c r="DM116" s="452">
        <f t="shared" si="145"/>
        <v>-0.2505268600746231</v>
      </c>
      <c r="DN116" s="67">
        <f t="shared" si="145"/>
        <v>-0.18536016641949371</v>
      </c>
      <c r="DO116" s="452">
        <f t="shared" si="145"/>
        <v>-0.49350455717314767</v>
      </c>
      <c r="DP116" s="452">
        <f t="shared" si="145"/>
        <v>-0.4988027699039641</v>
      </c>
      <c r="DQ116" s="452">
        <f t="shared" si="145"/>
        <v>-0.50126228875885648</v>
      </c>
      <c r="DR116" s="452">
        <f t="shared" si="145"/>
        <v>-0.50709150010926418</v>
      </c>
      <c r="DS116" s="67">
        <f t="shared" si="145"/>
        <v>-0.35703717388875111</v>
      </c>
      <c r="DT116" s="452">
        <f t="shared" si="145"/>
        <v>-0.36873657642552571</v>
      </c>
      <c r="DU116" s="452">
        <f t="shared" si="145"/>
        <v>-0.37964700785890526</v>
      </c>
      <c r="DV116" s="452">
        <f t="shared" si="145"/>
        <v>-0.38305093640736887</v>
      </c>
      <c r="DW116" s="452">
        <f t="shared" si="145"/>
        <v>-0.39339265399382994</v>
      </c>
      <c r="DX116" s="67">
        <f t="shared" si="145"/>
        <v>-0.1956058739423272</v>
      </c>
      <c r="DY116" s="452">
        <f t="shared" si="145"/>
        <v>-0.13792168918736358</v>
      </c>
      <c r="DZ116" s="452">
        <f t="shared" si="145"/>
        <v>-0.14387724845286209</v>
      </c>
      <c r="EA116" s="452">
        <f t="shared" si="145"/>
        <v>-0.14658783736296188</v>
      </c>
      <c r="EB116" s="452">
        <f t="shared" si="145"/>
        <v>-0.15226213080394857</v>
      </c>
      <c r="EC116" s="67">
        <f t="shared" si="145"/>
        <v>-3.5827506132400488E-2</v>
      </c>
      <c r="ED116" s="452">
        <f t="shared" si="145"/>
        <v>-6.8925635170050015E-2</v>
      </c>
      <c r="EE116" s="452">
        <f t="shared" si="145"/>
        <v>-7.2886149262106903E-2</v>
      </c>
      <c r="EF116" s="452">
        <f t="shared" ref="EF116:EM116" si="146">EF61/EA61-1</f>
        <v>-7.4010313950807372E-2</v>
      </c>
      <c r="EG116" s="452">
        <f t="shared" si="146"/>
        <v>-7.7209555252355622E-2</v>
      </c>
      <c r="EH116" s="67">
        <f t="shared" si="146"/>
        <v>-7.1491752991679203E-3</v>
      </c>
      <c r="EI116" s="452">
        <f t="shared" si="146"/>
        <v>-0.68814050639977875</v>
      </c>
      <c r="EJ116" s="452">
        <f t="shared" si="146"/>
        <v>-0.67355765013333113</v>
      </c>
      <c r="EK116" s="452">
        <f t="shared" si="146"/>
        <v>-0.68002858348139217</v>
      </c>
      <c r="EL116" s="452">
        <f t="shared" si="146"/>
        <v>-0.67321822473510373</v>
      </c>
      <c r="EM116" s="67">
        <f t="shared" si="146"/>
        <v>-0.23485631768430493</v>
      </c>
    </row>
    <row r="117" spans="1:143" s="449" customFormat="1">
      <c r="A117" s="360"/>
      <c r="B117" s="360" t="s">
        <v>183</v>
      </c>
      <c r="C117" s="446"/>
      <c r="D117" s="61"/>
      <c r="E117" s="61"/>
      <c r="F117" s="61"/>
      <c r="G117" s="61"/>
      <c r="H117" s="62">
        <f t="shared" ref="H117:Q119" si="147">H62/C62-1</f>
        <v>1.5154989384288751</v>
      </c>
      <c r="I117" s="61">
        <f t="shared" si="147"/>
        <v>1.0942883046237535</v>
      </c>
      <c r="J117" s="61">
        <f t="shared" si="147"/>
        <v>1.3571140669085047</v>
      </c>
      <c r="K117" s="61">
        <f t="shared" si="147"/>
        <v>1.7148189622993657</v>
      </c>
      <c r="L117" s="61">
        <f t="shared" si="147"/>
        <v>1.0477465417224452</v>
      </c>
      <c r="M117" s="62">
        <f t="shared" si="147"/>
        <v>1.2720290344361915</v>
      </c>
      <c r="N117" s="61">
        <f t="shared" si="147"/>
        <v>1.0610389610389612</v>
      </c>
      <c r="O117" s="61">
        <f t="shared" si="147"/>
        <v>1.4960670314637481</v>
      </c>
      <c r="P117" s="61">
        <f t="shared" si="147"/>
        <v>0.4749071909803384</v>
      </c>
      <c r="Q117" s="61">
        <f t="shared" si="147"/>
        <v>0.64916103726301944</v>
      </c>
      <c r="R117" s="62">
        <f t="shared" ref="R117:AA119" si="148">R62/M62-1</f>
        <v>0.85675545153980459</v>
      </c>
      <c r="S117" s="61">
        <f t="shared" si="148"/>
        <v>0.8593782818735558</v>
      </c>
      <c r="T117" s="61">
        <f t="shared" si="148"/>
        <v>0.13139686236898007</v>
      </c>
      <c r="U117" s="61">
        <f t="shared" si="148"/>
        <v>0.59429477020602217</v>
      </c>
      <c r="V117" s="61">
        <f t="shared" si="148"/>
        <v>0.1731633192389006</v>
      </c>
      <c r="W117" s="62">
        <f t="shared" si="148"/>
        <v>0.38207754791725002</v>
      </c>
      <c r="X117" s="61">
        <f t="shared" si="148"/>
        <v>6.26941541937307E-2</v>
      </c>
      <c r="Y117" s="61">
        <f t="shared" si="148"/>
        <v>0.44486830154405066</v>
      </c>
      <c r="Z117" s="61">
        <f t="shared" si="148"/>
        <v>-0.17419015319845632</v>
      </c>
      <c r="AA117" s="61">
        <f t="shared" si="148"/>
        <v>0.6033113701638797</v>
      </c>
      <c r="AB117" s="62">
        <f t="shared" ref="AB117:AK119" si="149">AB62/W62-1</f>
        <v>0.23438382142185032</v>
      </c>
      <c r="AC117" s="61">
        <f t="shared" si="149"/>
        <v>0.40605899548232771</v>
      </c>
      <c r="AD117" s="61">
        <f t="shared" si="149"/>
        <v>6.9063783421339453E-2</v>
      </c>
      <c r="AE117" s="61">
        <f t="shared" si="149"/>
        <v>0.63180627345464857</v>
      </c>
      <c r="AF117" s="61">
        <f t="shared" si="149"/>
        <v>-4.6469968387776728E-2</v>
      </c>
      <c r="AG117" s="62">
        <f t="shared" si="149"/>
        <v>0.19805324264102264</v>
      </c>
      <c r="AH117" s="61">
        <f t="shared" si="149"/>
        <v>4.6116046116047027E-3</v>
      </c>
      <c r="AI117" s="61">
        <f t="shared" si="149"/>
        <v>0.10380243041944337</v>
      </c>
      <c r="AJ117" s="61">
        <f t="shared" si="149"/>
        <v>7.5631346003645072E-2</v>
      </c>
      <c r="AK117" s="61">
        <f t="shared" si="149"/>
        <v>7.8277526061812042E-2</v>
      </c>
      <c r="AL117" s="62">
        <f t="shared" ref="AL117:AU119" si="150">AL62/AG62-1</f>
        <v>6.4977779518001766E-2</v>
      </c>
      <c r="AM117" s="61">
        <f t="shared" si="150"/>
        <v>0.1085901343266733</v>
      </c>
      <c r="AN117" s="61">
        <f t="shared" si="150"/>
        <v>-3.9313871723844152E-2</v>
      </c>
      <c r="AO117" s="61">
        <f t="shared" si="150"/>
        <v>-0.10387671951268718</v>
      </c>
      <c r="AP117" s="61">
        <f t="shared" si="150"/>
        <v>-4.2122164525826955E-2</v>
      </c>
      <c r="AQ117" s="62">
        <f t="shared" si="150"/>
        <v>-1.8649582705246637E-2</v>
      </c>
      <c r="AR117" s="61">
        <f t="shared" si="150"/>
        <v>9.8632182737670826E-2</v>
      </c>
      <c r="AS117" s="61">
        <f t="shared" si="150"/>
        <v>-5.9997781967394803E-2</v>
      </c>
      <c r="AT117" s="61">
        <f t="shared" si="150"/>
        <v>0.20883226793913767</v>
      </c>
      <c r="AU117" s="61">
        <f t="shared" si="150"/>
        <v>0.36345804058632614</v>
      </c>
      <c r="AV117" s="62">
        <f t="shared" ref="AV117:BE119" si="151">AV62/AQ62-1</f>
        <v>0.15091741830340832</v>
      </c>
      <c r="AW117" s="451">
        <f t="shared" si="151"/>
        <v>-0.22277487719731837</v>
      </c>
      <c r="AX117" s="451">
        <f t="shared" si="151"/>
        <v>5.9619317288028828E-2</v>
      </c>
      <c r="AY117" s="451">
        <f t="shared" si="151"/>
        <v>7.5336089077570501E-2</v>
      </c>
      <c r="AZ117" s="451">
        <f t="shared" si="151"/>
        <v>-0.23031650536228077</v>
      </c>
      <c r="BA117" s="62">
        <f t="shared" si="151"/>
        <v>-0.10153808593749991</v>
      </c>
      <c r="BB117" s="451">
        <f t="shared" si="151"/>
        <v>0.12091581206773183</v>
      </c>
      <c r="BC117" s="451">
        <f t="shared" si="151"/>
        <v>0.18022565320665085</v>
      </c>
      <c r="BD117" s="451">
        <f t="shared" si="151"/>
        <v>-2.3410444659925256E-2</v>
      </c>
      <c r="BE117" s="451">
        <f t="shared" si="151"/>
        <v>-2.4638912489379661E-2</v>
      </c>
      <c r="BF117" s="62">
        <f t="shared" ref="BF117:BO119" si="152">BF62/BA62-1</f>
        <v>5.8848038549677018E-2</v>
      </c>
      <c r="BG117" s="451">
        <f t="shared" si="152"/>
        <v>-0.33687943262411346</v>
      </c>
      <c r="BH117" s="451">
        <f t="shared" si="152"/>
        <v>-0.23584905660377353</v>
      </c>
      <c r="BI117" s="451">
        <f t="shared" si="152"/>
        <v>-0.23404255319148937</v>
      </c>
      <c r="BJ117" s="451">
        <f t="shared" si="152"/>
        <v>-6.6202090592334395E-2</v>
      </c>
      <c r="BK117" s="62">
        <f t="shared" si="152"/>
        <v>-0.2181351582549188</v>
      </c>
      <c r="BL117" s="451">
        <f t="shared" si="152"/>
        <v>0.16577540106951871</v>
      </c>
      <c r="BM117" s="451">
        <f t="shared" si="152"/>
        <v>-0.18106995884773669</v>
      </c>
      <c r="BN117" s="451">
        <f t="shared" si="152"/>
        <v>-0.18055555555555547</v>
      </c>
      <c r="BO117" s="451">
        <f t="shared" si="152"/>
        <v>-0.2425373134328358</v>
      </c>
      <c r="BP117" s="62">
        <f t="shared" ref="BP117:BX119" si="153">BP62/BK62-1</f>
        <v>-0.1280087527352296</v>
      </c>
      <c r="BQ117" s="451">
        <f t="shared" si="153"/>
        <v>-0.39908256880733961</v>
      </c>
      <c r="BR117" s="451">
        <f t="shared" si="153"/>
        <v>-0.6984924623115577</v>
      </c>
      <c r="BS117" s="451">
        <f t="shared" si="153"/>
        <v>-0.41242937853107353</v>
      </c>
      <c r="BT117" s="451">
        <f t="shared" si="153"/>
        <v>-1</v>
      </c>
      <c r="BU117" s="62">
        <f t="shared" si="153"/>
        <v>-0.62986198243412805</v>
      </c>
      <c r="BV117" s="451">
        <f t="shared" si="153"/>
        <v>-0.52671755725190827</v>
      </c>
      <c r="BW117" s="451">
        <f t="shared" si="153"/>
        <v>0.36666666666666625</v>
      </c>
      <c r="BX117" s="451">
        <f t="shared" si="153"/>
        <v>-0.98076923076923073</v>
      </c>
      <c r="BY117" s="977" t="str">
        <f>IFERROR(BY62/BT62-1,"NA")</f>
        <v>NA</v>
      </c>
      <c r="BZ117" s="62">
        <f t="shared" ref="BZ117:CI119" si="154">BZ62/BU62-1</f>
        <v>-0.49830508474576274</v>
      </c>
      <c r="CA117" s="451">
        <f t="shared" si="154"/>
        <v>-9.9999999999999978E-2</v>
      </c>
      <c r="CB117" s="451">
        <f t="shared" si="154"/>
        <v>-9.9999999999999978E-2</v>
      </c>
      <c r="CC117" s="451">
        <f t="shared" si="154"/>
        <v>-9.9999999999999978E-2</v>
      </c>
      <c r="CD117" s="451">
        <f t="shared" si="154"/>
        <v>-9.9999999999999978E-2</v>
      </c>
      <c r="CE117" s="62">
        <f t="shared" si="154"/>
        <v>-9.9999999999999978E-2</v>
      </c>
      <c r="CF117" s="451">
        <f t="shared" si="154"/>
        <v>-9.9999999999999978E-2</v>
      </c>
      <c r="CG117" s="451">
        <f t="shared" si="154"/>
        <v>-9.9999999999999978E-2</v>
      </c>
      <c r="CH117" s="451">
        <f t="shared" si="154"/>
        <v>-9.9999999999999978E-2</v>
      </c>
      <c r="CI117" s="451">
        <f t="shared" si="154"/>
        <v>-9.9999999999999978E-2</v>
      </c>
      <c r="CJ117" s="62">
        <f t="shared" ref="CJ117:CS119" si="155">CJ62/CE62-1</f>
        <v>-9.9999999999999978E-2</v>
      </c>
      <c r="CK117" s="451">
        <f t="shared" si="155"/>
        <v>-0.10000000000000009</v>
      </c>
      <c r="CL117" s="451">
        <f t="shared" si="155"/>
        <v>-9.9999999999999978E-2</v>
      </c>
      <c r="CM117" s="451">
        <f t="shared" si="155"/>
        <v>-0.10000000000000009</v>
      </c>
      <c r="CN117" s="451">
        <f t="shared" si="155"/>
        <v>-0.10000000000000009</v>
      </c>
      <c r="CO117" s="62">
        <f t="shared" si="155"/>
        <v>-9.9999999999999978E-2</v>
      </c>
      <c r="CP117" s="451">
        <f t="shared" si="155"/>
        <v>-9.9999999999999978E-2</v>
      </c>
      <c r="CQ117" s="451">
        <f t="shared" si="155"/>
        <v>-9.9999999999999978E-2</v>
      </c>
      <c r="CR117" s="451">
        <f t="shared" si="155"/>
        <v>-9.9999999999999978E-2</v>
      </c>
      <c r="CS117" s="451">
        <f t="shared" si="155"/>
        <v>-9.9999999999999978E-2</v>
      </c>
      <c r="CT117" s="62">
        <f t="shared" ref="CT117:DC119" si="156">CT62/CO62-1</f>
        <v>-9.9999999999999978E-2</v>
      </c>
      <c r="CU117" s="451">
        <f t="shared" si="156"/>
        <v>-0.10000000000000009</v>
      </c>
      <c r="CV117" s="451">
        <f t="shared" si="156"/>
        <v>-0.10000000000000009</v>
      </c>
      <c r="CW117" s="451">
        <f t="shared" si="156"/>
        <v>-0.10000000000000009</v>
      </c>
      <c r="CX117" s="451">
        <f t="shared" si="156"/>
        <v>-0.10000000000000009</v>
      </c>
      <c r="CY117" s="62">
        <f t="shared" si="156"/>
        <v>-0.10000000000000009</v>
      </c>
      <c r="CZ117" s="451">
        <f t="shared" si="156"/>
        <v>-9.9999999999999978E-2</v>
      </c>
      <c r="DA117" s="451">
        <f t="shared" si="156"/>
        <v>-0.10000000000000009</v>
      </c>
      <c r="DB117" s="451">
        <f t="shared" si="156"/>
        <v>-9.9999999999999978E-2</v>
      </c>
      <c r="DC117" s="451">
        <f t="shared" si="156"/>
        <v>-9.9999999999999978E-2</v>
      </c>
      <c r="DD117" s="62">
        <f t="shared" ref="DD117:DM119" si="157">DD62/CY62-1</f>
        <v>-9.9999999999999978E-2</v>
      </c>
      <c r="DE117" s="451">
        <f t="shared" si="157"/>
        <v>-9.9999999999999978E-2</v>
      </c>
      <c r="DF117" s="451">
        <f t="shared" si="157"/>
        <v>-9.9999999999999978E-2</v>
      </c>
      <c r="DG117" s="451">
        <f t="shared" si="157"/>
        <v>-9.9999999999999978E-2</v>
      </c>
      <c r="DH117" s="451">
        <f t="shared" si="157"/>
        <v>-9.9999999999999978E-2</v>
      </c>
      <c r="DI117" s="62">
        <f t="shared" si="157"/>
        <v>-9.9999999999999978E-2</v>
      </c>
      <c r="DJ117" s="451">
        <f t="shared" si="157"/>
        <v>-0.10000000000000009</v>
      </c>
      <c r="DK117" s="451">
        <f t="shared" si="157"/>
        <v>-9.9999999999999978E-2</v>
      </c>
      <c r="DL117" s="451">
        <f t="shared" si="157"/>
        <v>-9.9999999999999978E-2</v>
      </c>
      <c r="DM117" s="451">
        <f t="shared" si="157"/>
        <v>-9.9999999999999978E-2</v>
      </c>
      <c r="DN117" s="62">
        <f t="shared" ref="DN117:DW119" si="158">DN62/DI62-1</f>
        <v>-9.9999999999999978E-2</v>
      </c>
      <c r="DO117" s="451">
        <f t="shared" si="158"/>
        <v>-9.9999999999999978E-2</v>
      </c>
      <c r="DP117" s="451">
        <f t="shared" si="158"/>
        <v>-9.9999999999999978E-2</v>
      </c>
      <c r="DQ117" s="451">
        <f t="shared" si="158"/>
        <v>-9.9999999999999978E-2</v>
      </c>
      <c r="DR117" s="451">
        <f t="shared" si="158"/>
        <v>-9.9999999999999978E-2</v>
      </c>
      <c r="DS117" s="62">
        <f t="shared" si="158"/>
        <v>-9.9999999999999978E-2</v>
      </c>
      <c r="DT117" s="451">
        <f t="shared" si="158"/>
        <v>-9.9999999999999867E-2</v>
      </c>
      <c r="DU117" s="451">
        <f t="shared" si="158"/>
        <v>-9.9999999999999978E-2</v>
      </c>
      <c r="DV117" s="451">
        <f t="shared" si="158"/>
        <v>-9.9999999999999978E-2</v>
      </c>
      <c r="DW117" s="451">
        <f t="shared" si="158"/>
        <v>-9.9999999999999978E-2</v>
      </c>
      <c r="DX117" s="62">
        <f t="shared" ref="DX117:EG119" si="159">DX62/DS62-1</f>
        <v>-9.9999999999999978E-2</v>
      </c>
      <c r="DY117" s="451">
        <f t="shared" si="159"/>
        <v>-0.10000000000000009</v>
      </c>
      <c r="DZ117" s="451">
        <f t="shared" si="159"/>
        <v>-0.10000000000000009</v>
      </c>
      <c r="EA117" s="451">
        <f t="shared" si="159"/>
        <v>-0.10000000000000009</v>
      </c>
      <c r="EB117" s="451">
        <f t="shared" si="159"/>
        <v>-0.10000000000000009</v>
      </c>
      <c r="EC117" s="62">
        <f t="shared" si="159"/>
        <v>-0.10000000000000009</v>
      </c>
      <c r="ED117" s="451">
        <f t="shared" si="159"/>
        <v>-0.10000000000000009</v>
      </c>
      <c r="EE117" s="451">
        <f t="shared" si="159"/>
        <v>-0.1000000000000002</v>
      </c>
      <c r="EF117" s="451">
        <f t="shared" si="159"/>
        <v>-0.10000000000000009</v>
      </c>
      <c r="EG117" s="451">
        <f t="shared" si="159"/>
        <v>-0.10000000000000009</v>
      </c>
      <c r="EH117" s="62">
        <f t="shared" ref="EH117:EM119" si="160">EH62/EC62-1</f>
        <v>-0.10000000000000009</v>
      </c>
      <c r="EI117" s="451">
        <f t="shared" si="160"/>
        <v>-9.9999999999999978E-2</v>
      </c>
      <c r="EJ117" s="451">
        <f t="shared" si="160"/>
        <v>-0.10000000000000009</v>
      </c>
      <c r="EK117" s="451">
        <f t="shared" si="160"/>
        <v>-0.10000000000000009</v>
      </c>
      <c r="EL117" s="451">
        <f t="shared" si="160"/>
        <v>-0.10000000000000009</v>
      </c>
      <c r="EM117" s="62">
        <f t="shared" si="160"/>
        <v>-9.9999999999999978E-2</v>
      </c>
    </row>
    <row r="118" spans="1:143" s="449" customFormat="1">
      <c r="A118" s="360"/>
      <c r="B118" s="360" t="s">
        <v>27</v>
      </c>
      <c r="C118" s="446"/>
      <c r="D118" s="61"/>
      <c r="E118" s="61"/>
      <c r="F118" s="61"/>
      <c r="G118" s="61"/>
      <c r="H118" s="62">
        <f t="shared" si="147"/>
        <v>0.86987060998151566</v>
      </c>
      <c r="I118" s="61">
        <f t="shared" si="147"/>
        <v>0.97683039851714559</v>
      </c>
      <c r="J118" s="61">
        <f t="shared" si="147"/>
        <v>0.25433275563258251</v>
      </c>
      <c r="K118" s="61">
        <f t="shared" si="147"/>
        <v>0.67396907216494828</v>
      </c>
      <c r="L118" s="61">
        <f t="shared" si="147"/>
        <v>-0.17691342534504362</v>
      </c>
      <c r="M118" s="62">
        <f t="shared" si="147"/>
        <v>0.31883484908395943</v>
      </c>
      <c r="N118" s="61">
        <f t="shared" si="147"/>
        <v>1.4514767932489452</v>
      </c>
      <c r="O118" s="61">
        <f t="shared" si="147"/>
        <v>7.8846286701208985</v>
      </c>
      <c r="P118" s="61">
        <f t="shared" si="147"/>
        <v>-0.53050423402617397</v>
      </c>
      <c r="Q118" s="61">
        <f t="shared" si="147"/>
        <v>0.19882404181184743</v>
      </c>
      <c r="R118" s="62">
        <f t="shared" si="148"/>
        <v>1.0654607235658604</v>
      </c>
      <c r="S118" s="61">
        <f t="shared" si="148"/>
        <v>-0.25549818320902662</v>
      </c>
      <c r="T118" s="61">
        <f t="shared" si="148"/>
        <v>-0.83192721900392674</v>
      </c>
      <c r="U118" s="61">
        <f t="shared" si="148"/>
        <v>-5.0625128100020511E-2</v>
      </c>
      <c r="V118" s="61">
        <f t="shared" si="148"/>
        <v>-2.9791099000909149E-2</v>
      </c>
      <c r="W118" s="62">
        <f t="shared" si="148"/>
        <v>-0.55995064595732336</v>
      </c>
      <c r="X118" s="61">
        <f t="shared" si="148"/>
        <v>0.23400976110968408</v>
      </c>
      <c r="Y118" s="61">
        <f t="shared" si="148"/>
        <v>0.17973629424011084</v>
      </c>
      <c r="Z118" s="61">
        <f t="shared" si="148"/>
        <v>-3.4542314335060942E-3</v>
      </c>
      <c r="AA118" s="61">
        <f t="shared" si="148"/>
        <v>4.643325219996286E-2</v>
      </c>
      <c r="AB118" s="62">
        <f t="shared" si="149"/>
        <v>0.10555830446973458</v>
      </c>
      <c r="AC118" s="61">
        <f t="shared" si="149"/>
        <v>-7.4937552039967548E-3</v>
      </c>
      <c r="AD118" s="61">
        <f t="shared" si="149"/>
        <v>-0.45313725490196077</v>
      </c>
      <c r="AE118" s="61">
        <f t="shared" si="149"/>
        <v>-0.47963604852686303</v>
      </c>
      <c r="AF118" s="61">
        <f t="shared" si="149"/>
        <v>-0.10789049919484739</v>
      </c>
      <c r="AG118" s="62">
        <f t="shared" si="149"/>
        <v>-0.25680043761499827</v>
      </c>
      <c r="AH118" s="61">
        <f t="shared" si="149"/>
        <v>-0.52936241610738244</v>
      </c>
      <c r="AI118" s="61">
        <f t="shared" si="149"/>
        <v>-0.15596988167802084</v>
      </c>
      <c r="AJ118" s="61">
        <f t="shared" si="149"/>
        <v>-8.7427144046628991E-3</v>
      </c>
      <c r="AK118" s="61">
        <f t="shared" si="149"/>
        <v>0.35659847573204972</v>
      </c>
      <c r="AL118" s="62">
        <f t="shared" si="150"/>
        <v>-8.0428236868517855E-2</v>
      </c>
      <c r="AM118" s="61">
        <f t="shared" si="150"/>
        <v>6.0606060606060552E-2</v>
      </c>
      <c r="AN118" s="61">
        <f t="shared" si="150"/>
        <v>8.0713678844519965E-2</v>
      </c>
      <c r="AO118" s="61">
        <f t="shared" si="150"/>
        <v>-5.8798824023519436E-2</v>
      </c>
      <c r="AP118" s="61">
        <f t="shared" si="150"/>
        <v>-0.6404494382022472</v>
      </c>
      <c r="AQ118" s="62">
        <f t="shared" si="150"/>
        <v>-0.30168085570836078</v>
      </c>
      <c r="AR118" s="61">
        <f t="shared" si="150"/>
        <v>2.5285714285714294</v>
      </c>
      <c r="AS118" s="61">
        <f t="shared" si="150"/>
        <v>1.8081761006289332E-2</v>
      </c>
      <c r="AT118" s="61">
        <f t="shared" si="150"/>
        <v>0.68049977688531893</v>
      </c>
      <c r="AU118" s="61">
        <f t="shared" si="150"/>
        <v>0.24671052631578982</v>
      </c>
      <c r="AV118" s="62">
        <f t="shared" si="151"/>
        <v>0.8532874856726067</v>
      </c>
      <c r="AW118" s="451">
        <f t="shared" si="151"/>
        <v>-0.68671112169564186</v>
      </c>
      <c r="AX118" s="451">
        <f t="shared" si="151"/>
        <v>0.24710424710424728</v>
      </c>
      <c r="AY118" s="451">
        <f t="shared" si="151"/>
        <v>-0.37280934678704192</v>
      </c>
      <c r="AZ118" s="451">
        <f t="shared" si="151"/>
        <v>-0.17941952506596304</v>
      </c>
      <c r="BA118" s="62">
        <f t="shared" si="151"/>
        <v>-0.39778477454177452</v>
      </c>
      <c r="BB118" s="451">
        <f t="shared" si="151"/>
        <v>1.6985936906119345</v>
      </c>
      <c r="BC118" s="451">
        <f t="shared" si="151"/>
        <v>-4.0247678018575872E-2</v>
      </c>
      <c r="BD118" s="451">
        <f t="shared" si="151"/>
        <v>-6.8585944115156616E-2</v>
      </c>
      <c r="BE118" s="451">
        <f t="shared" si="151"/>
        <v>-7.5562700964630247E-2</v>
      </c>
      <c r="BF118" s="62">
        <f t="shared" si="152"/>
        <v>0.37242087573522564</v>
      </c>
      <c r="BG118" s="451">
        <f t="shared" si="152"/>
        <v>-0.46478873239436624</v>
      </c>
      <c r="BH118" s="451">
        <f t="shared" si="152"/>
        <v>0.22580645161290303</v>
      </c>
      <c r="BI118" s="451">
        <f t="shared" si="152"/>
        <v>0.72727272727272707</v>
      </c>
      <c r="BJ118" s="451">
        <f t="shared" si="152"/>
        <v>0.65217391304347827</v>
      </c>
      <c r="BK118" s="62">
        <f t="shared" si="152"/>
        <v>3.4013605442176909E-2</v>
      </c>
      <c r="BL118" s="451">
        <f t="shared" si="152"/>
        <v>0</v>
      </c>
      <c r="BM118" s="451">
        <f t="shared" si="152"/>
        <v>0</v>
      </c>
      <c r="BN118" s="451">
        <f t="shared" si="152"/>
        <v>0</v>
      </c>
      <c r="BO118" s="451">
        <f t="shared" si="152"/>
        <v>0</v>
      </c>
      <c r="BP118" s="62">
        <f t="shared" si="153"/>
        <v>0</v>
      </c>
      <c r="BQ118" s="451">
        <f t="shared" si="153"/>
        <v>0</v>
      </c>
      <c r="BR118" s="451">
        <f t="shared" si="153"/>
        <v>0</v>
      </c>
      <c r="BS118" s="451">
        <f t="shared" si="153"/>
        <v>0</v>
      </c>
      <c r="BT118" s="451">
        <f t="shared" si="153"/>
        <v>-2.631578947368407E-2</v>
      </c>
      <c r="BU118" s="62">
        <f t="shared" si="153"/>
        <v>-6.5789473684211286E-3</v>
      </c>
      <c r="BV118" s="451">
        <f t="shared" si="153"/>
        <v>0</v>
      </c>
      <c r="BW118" s="451">
        <f t="shared" si="153"/>
        <v>0</v>
      </c>
      <c r="BX118" s="451">
        <f t="shared" si="153"/>
        <v>0</v>
      </c>
      <c r="BY118" s="451">
        <f>BY63/BT63-1</f>
        <v>2.7027027027026973E-2</v>
      </c>
      <c r="BZ118" s="62">
        <f t="shared" si="154"/>
        <v>6.6225165562914245E-3</v>
      </c>
      <c r="CA118" s="451">
        <f t="shared" si="154"/>
        <v>0</v>
      </c>
      <c r="CB118" s="451">
        <f t="shared" si="154"/>
        <v>0</v>
      </c>
      <c r="CC118" s="451">
        <f t="shared" si="154"/>
        <v>0</v>
      </c>
      <c r="CD118" s="451">
        <f t="shared" si="154"/>
        <v>0</v>
      </c>
      <c r="CE118" s="62">
        <f t="shared" si="154"/>
        <v>0</v>
      </c>
      <c r="CF118" s="451">
        <f t="shared" si="154"/>
        <v>0</v>
      </c>
      <c r="CG118" s="451">
        <f t="shared" si="154"/>
        <v>0</v>
      </c>
      <c r="CH118" s="451">
        <f t="shared" si="154"/>
        <v>0</v>
      </c>
      <c r="CI118" s="451">
        <f t="shared" si="154"/>
        <v>0</v>
      </c>
      <c r="CJ118" s="62">
        <f t="shared" si="155"/>
        <v>0</v>
      </c>
      <c r="CK118" s="451">
        <f t="shared" si="155"/>
        <v>0</v>
      </c>
      <c r="CL118" s="451">
        <f t="shared" si="155"/>
        <v>0</v>
      </c>
      <c r="CM118" s="451">
        <f t="shared" si="155"/>
        <v>0</v>
      </c>
      <c r="CN118" s="451">
        <f t="shared" si="155"/>
        <v>0</v>
      </c>
      <c r="CO118" s="62">
        <f t="shared" si="155"/>
        <v>0</v>
      </c>
      <c r="CP118" s="451">
        <f t="shared" si="155"/>
        <v>0</v>
      </c>
      <c r="CQ118" s="451">
        <f t="shared" si="155"/>
        <v>0</v>
      </c>
      <c r="CR118" s="451">
        <f t="shared" si="155"/>
        <v>0</v>
      </c>
      <c r="CS118" s="451">
        <f t="shared" si="155"/>
        <v>0</v>
      </c>
      <c r="CT118" s="62">
        <f t="shared" si="156"/>
        <v>0</v>
      </c>
      <c r="CU118" s="451">
        <f t="shared" si="156"/>
        <v>0</v>
      </c>
      <c r="CV118" s="451">
        <f t="shared" si="156"/>
        <v>0</v>
      </c>
      <c r="CW118" s="451">
        <f t="shared" si="156"/>
        <v>0</v>
      </c>
      <c r="CX118" s="451">
        <f t="shared" si="156"/>
        <v>0</v>
      </c>
      <c r="CY118" s="62">
        <f t="shared" si="156"/>
        <v>0</v>
      </c>
      <c r="CZ118" s="451">
        <f t="shared" si="156"/>
        <v>0</v>
      </c>
      <c r="DA118" s="451">
        <f t="shared" si="156"/>
        <v>0</v>
      </c>
      <c r="DB118" s="451">
        <f t="shared" si="156"/>
        <v>0</v>
      </c>
      <c r="DC118" s="451">
        <f t="shared" si="156"/>
        <v>0</v>
      </c>
      <c r="DD118" s="62">
        <f t="shared" si="157"/>
        <v>0</v>
      </c>
      <c r="DE118" s="451">
        <f t="shared" si="157"/>
        <v>0</v>
      </c>
      <c r="DF118" s="451">
        <f t="shared" si="157"/>
        <v>0</v>
      </c>
      <c r="DG118" s="451">
        <f t="shared" si="157"/>
        <v>0</v>
      </c>
      <c r="DH118" s="451">
        <f t="shared" si="157"/>
        <v>0</v>
      </c>
      <c r="DI118" s="62">
        <f t="shared" si="157"/>
        <v>0</v>
      </c>
      <c r="DJ118" s="451">
        <f t="shared" si="157"/>
        <v>0</v>
      </c>
      <c r="DK118" s="451">
        <f t="shared" si="157"/>
        <v>0</v>
      </c>
      <c r="DL118" s="451">
        <f t="shared" si="157"/>
        <v>0</v>
      </c>
      <c r="DM118" s="451">
        <f t="shared" si="157"/>
        <v>0</v>
      </c>
      <c r="DN118" s="62">
        <f t="shared" si="158"/>
        <v>0</v>
      </c>
      <c r="DO118" s="451">
        <f t="shared" si="158"/>
        <v>0</v>
      </c>
      <c r="DP118" s="451">
        <f t="shared" si="158"/>
        <v>0</v>
      </c>
      <c r="DQ118" s="451">
        <f t="shared" si="158"/>
        <v>0</v>
      </c>
      <c r="DR118" s="451">
        <f t="shared" si="158"/>
        <v>0</v>
      </c>
      <c r="DS118" s="62">
        <f t="shared" si="158"/>
        <v>0</v>
      </c>
      <c r="DT118" s="451">
        <f t="shared" si="158"/>
        <v>0</v>
      </c>
      <c r="DU118" s="451">
        <f t="shared" si="158"/>
        <v>0</v>
      </c>
      <c r="DV118" s="451">
        <f t="shared" si="158"/>
        <v>0</v>
      </c>
      <c r="DW118" s="451">
        <f t="shared" si="158"/>
        <v>0</v>
      </c>
      <c r="DX118" s="62">
        <f t="shared" si="159"/>
        <v>0</v>
      </c>
      <c r="DY118" s="451">
        <f t="shared" si="159"/>
        <v>0</v>
      </c>
      <c r="DZ118" s="451">
        <f t="shared" si="159"/>
        <v>0</v>
      </c>
      <c r="EA118" s="451">
        <f t="shared" si="159"/>
        <v>0</v>
      </c>
      <c r="EB118" s="451">
        <f t="shared" si="159"/>
        <v>0</v>
      </c>
      <c r="EC118" s="62">
        <f t="shared" si="159"/>
        <v>0</v>
      </c>
      <c r="ED118" s="451">
        <f t="shared" si="159"/>
        <v>0</v>
      </c>
      <c r="EE118" s="451">
        <f t="shared" si="159"/>
        <v>0</v>
      </c>
      <c r="EF118" s="451">
        <f t="shared" si="159"/>
        <v>0</v>
      </c>
      <c r="EG118" s="451">
        <f t="shared" si="159"/>
        <v>0</v>
      </c>
      <c r="EH118" s="62">
        <f t="shared" si="160"/>
        <v>0</v>
      </c>
      <c r="EI118" s="451">
        <f t="shared" si="160"/>
        <v>0</v>
      </c>
      <c r="EJ118" s="451">
        <f t="shared" si="160"/>
        <v>0</v>
      </c>
      <c r="EK118" s="451">
        <f t="shared" si="160"/>
        <v>0</v>
      </c>
      <c r="EL118" s="451">
        <f t="shared" si="160"/>
        <v>0</v>
      </c>
      <c r="EM118" s="62">
        <f t="shared" si="160"/>
        <v>0</v>
      </c>
    </row>
    <row r="119" spans="1:143" ht="13.5" thickBot="1">
      <c r="A119" s="46"/>
      <c r="B119" s="45" t="s">
        <v>172</v>
      </c>
      <c r="C119" s="49"/>
      <c r="D119" s="70"/>
      <c r="E119" s="70"/>
      <c r="F119" s="70"/>
      <c r="G119" s="70"/>
      <c r="H119" s="68">
        <f t="shared" si="147"/>
        <v>0.99987476610728865</v>
      </c>
      <c r="I119" s="70">
        <f t="shared" si="147"/>
        <v>0.68821935667868583</v>
      </c>
      <c r="J119" s="70">
        <f t="shared" si="147"/>
        <v>0.30417917545997653</v>
      </c>
      <c r="K119" s="70">
        <f t="shared" si="147"/>
        <v>0.365064844212452</v>
      </c>
      <c r="L119" s="70">
        <f t="shared" si="147"/>
        <v>0.30507131537242449</v>
      </c>
      <c r="M119" s="68">
        <f t="shared" si="147"/>
        <v>0.39055898333179839</v>
      </c>
      <c r="N119" s="70">
        <f t="shared" si="147"/>
        <v>0.35624389125529432</v>
      </c>
      <c r="O119" s="70">
        <f t="shared" si="147"/>
        <v>0.66035349218830186</v>
      </c>
      <c r="P119" s="70">
        <f t="shared" si="147"/>
        <v>0.27632356999251018</v>
      </c>
      <c r="Q119" s="70">
        <f t="shared" si="147"/>
        <v>0.41676153612628952</v>
      </c>
      <c r="R119" s="68">
        <f t="shared" si="148"/>
        <v>0.42235272925706369</v>
      </c>
      <c r="S119" s="70">
        <f t="shared" si="148"/>
        <v>0.61786006619452638</v>
      </c>
      <c r="T119" s="70">
        <f t="shared" si="148"/>
        <v>0.35372440820584594</v>
      </c>
      <c r="U119" s="70">
        <f t="shared" si="148"/>
        <v>0.89056105508625083</v>
      </c>
      <c r="V119" s="70">
        <f t="shared" si="148"/>
        <v>0.84115228541965292</v>
      </c>
      <c r="W119" s="68">
        <f t="shared" si="148"/>
        <v>0.67406288586641727</v>
      </c>
      <c r="X119" s="70">
        <f t="shared" si="148"/>
        <v>0.61357999571053812</v>
      </c>
      <c r="Y119" s="70">
        <f t="shared" si="148"/>
        <v>0.76388543847819146</v>
      </c>
      <c r="Z119" s="70">
        <f t="shared" si="148"/>
        <v>0.42913506426672199</v>
      </c>
      <c r="AA119" s="70">
        <f t="shared" si="148"/>
        <v>0.50785222255359086</v>
      </c>
      <c r="AB119" s="68">
        <f t="shared" si="149"/>
        <v>0.56398067357680071</v>
      </c>
      <c r="AC119" s="70">
        <f t="shared" si="149"/>
        <v>0.57121824037625935</v>
      </c>
      <c r="AD119" s="70">
        <f t="shared" si="149"/>
        <v>0.62863926279149318</v>
      </c>
      <c r="AE119" s="70">
        <f t="shared" si="149"/>
        <v>0.67684076957371664</v>
      </c>
      <c r="AF119" s="70">
        <f t="shared" si="149"/>
        <v>0.50375792952073106</v>
      </c>
      <c r="AG119" s="68">
        <f t="shared" si="149"/>
        <v>0.59182327751774788</v>
      </c>
      <c r="AH119" s="70">
        <f t="shared" si="149"/>
        <v>0.30385515564434429</v>
      </c>
      <c r="AI119" s="70">
        <f t="shared" si="149"/>
        <v>0.10507310960705252</v>
      </c>
      <c r="AJ119" s="70">
        <f t="shared" si="149"/>
        <v>0.17979854790878402</v>
      </c>
      <c r="AK119" s="70">
        <f t="shared" si="149"/>
        <v>0.21542947791538247</v>
      </c>
      <c r="AL119" s="68">
        <f t="shared" si="150"/>
        <v>0.19636190090610617</v>
      </c>
      <c r="AM119" s="70">
        <f t="shared" si="150"/>
        <v>0.31238957780875753</v>
      </c>
      <c r="AN119" s="70">
        <f t="shared" si="150"/>
        <v>0.35812607502024263</v>
      </c>
      <c r="AO119" s="70">
        <f t="shared" si="150"/>
        <v>0.31178284831018388</v>
      </c>
      <c r="AP119" s="70">
        <f t="shared" si="150"/>
        <v>0.39012683586032915</v>
      </c>
      <c r="AQ119" s="68">
        <f t="shared" si="150"/>
        <v>0.34493184956591483</v>
      </c>
      <c r="AR119" s="70">
        <f t="shared" si="150"/>
        <v>0.40385356454720633</v>
      </c>
      <c r="AS119" s="70">
        <f t="shared" si="150"/>
        <v>0.38263412637936378</v>
      </c>
      <c r="AT119" s="70">
        <f t="shared" si="150"/>
        <v>0.37465173082895209</v>
      </c>
      <c r="AU119" s="70">
        <f t="shared" si="150"/>
        <v>0.2171848448313507</v>
      </c>
      <c r="AV119" s="68">
        <f t="shared" si="151"/>
        <v>0.33686856792449493</v>
      </c>
      <c r="AW119" s="453">
        <f t="shared" si="151"/>
        <v>0.14972477859485389</v>
      </c>
      <c r="AX119" s="453">
        <f t="shared" si="151"/>
        <v>0.16243075878926438</v>
      </c>
      <c r="AY119" s="453">
        <f t="shared" si="151"/>
        <v>0.13697528337241405</v>
      </c>
      <c r="AZ119" s="453">
        <f t="shared" si="151"/>
        <v>0.12889639713418011</v>
      </c>
      <c r="BA119" s="68">
        <f t="shared" si="151"/>
        <v>0.14397440787357985</v>
      </c>
      <c r="BB119" s="453">
        <f t="shared" si="151"/>
        <v>0.15025037540603559</v>
      </c>
      <c r="BC119" s="453">
        <f t="shared" si="151"/>
        <v>0.16991667910480501</v>
      </c>
      <c r="BD119" s="453">
        <f t="shared" si="151"/>
        <v>0.17977722051983758</v>
      </c>
      <c r="BE119" s="453">
        <f t="shared" si="151"/>
        <v>0.2132015116656647</v>
      </c>
      <c r="BF119" s="68">
        <f t="shared" si="152"/>
        <v>0.17511117793863629</v>
      </c>
      <c r="BG119" s="453">
        <f t="shared" si="152"/>
        <v>0.18120988665847326</v>
      </c>
      <c r="BH119" s="453">
        <f t="shared" si="152"/>
        <v>0.17116948092557838</v>
      </c>
      <c r="BI119" s="453">
        <f t="shared" si="152"/>
        <v>0.18382704252269466</v>
      </c>
      <c r="BJ119" s="453">
        <f t="shared" si="152"/>
        <v>0.18764236902050113</v>
      </c>
      <c r="BK119" s="68">
        <f t="shared" si="152"/>
        <v>0.18535002318034288</v>
      </c>
      <c r="BL119" s="453">
        <f t="shared" si="152"/>
        <v>0.20277456647398862</v>
      </c>
      <c r="BM119" s="453">
        <f t="shared" si="152"/>
        <v>0.21631868425268341</v>
      </c>
      <c r="BN119" s="453">
        <f t="shared" si="152"/>
        <v>0.17753001715265859</v>
      </c>
      <c r="BO119" s="453">
        <f t="shared" si="152"/>
        <v>0.22910573004075752</v>
      </c>
      <c r="BP119" s="68">
        <f t="shared" si="153"/>
        <v>0.20671672924488949</v>
      </c>
      <c r="BQ119" s="453">
        <f t="shared" si="153"/>
        <v>0.20703575547866193</v>
      </c>
      <c r="BR119" s="453">
        <f t="shared" si="153"/>
        <v>0.20919308104311174</v>
      </c>
      <c r="BS119" s="453">
        <f t="shared" si="153"/>
        <v>0.27792296816760209</v>
      </c>
      <c r="BT119" s="453">
        <f t="shared" si="153"/>
        <v>0.16275894354933085</v>
      </c>
      <c r="BU119" s="68">
        <f t="shared" si="153"/>
        <v>0.21318063958513411</v>
      </c>
      <c r="BV119" s="453">
        <f t="shared" si="153"/>
        <v>0.17853161331422207</v>
      </c>
      <c r="BW119" s="453">
        <f t="shared" si="153"/>
        <v>0.1865083687325273</v>
      </c>
      <c r="BX119" s="453">
        <f t="shared" si="153"/>
        <v>0.10366098967413184</v>
      </c>
      <c r="BY119" s="453">
        <f>BY64/BT64-1</f>
        <v>0.16859587317564184</v>
      </c>
      <c r="BZ119" s="68">
        <f t="shared" si="154"/>
        <v>0.1579631674562747</v>
      </c>
      <c r="CA119" s="453">
        <f t="shared" si="154"/>
        <v>0.15433069411661293</v>
      </c>
      <c r="CB119" s="453">
        <f t="shared" si="154"/>
        <v>0.13061285006848422</v>
      </c>
      <c r="CC119" s="453">
        <f t="shared" si="154"/>
        <v>0.13395076688558083</v>
      </c>
      <c r="CD119" s="453">
        <f t="shared" si="154"/>
        <v>0.12810021067781197</v>
      </c>
      <c r="CE119" s="68">
        <f t="shared" si="154"/>
        <v>0.13618400422880339</v>
      </c>
      <c r="CF119" s="453">
        <f t="shared" si="154"/>
        <v>0.11624926186600293</v>
      </c>
      <c r="CG119" s="453">
        <f t="shared" si="154"/>
        <v>9.9895854705891685E-2</v>
      </c>
      <c r="CH119" s="453">
        <f t="shared" si="154"/>
        <v>0.10998509132210144</v>
      </c>
      <c r="CI119" s="453">
        <f t="shared" si="154"/>
        <v>9.9762093082611081E-2</v>
      </c>
      <c r="CJ119" s="68">
        <f t="shared" si="155"/>
        <v>0.13230105005068915</v>
      </c>
      <c r="CK119" s="453">
        <f t="shared" si="155"/>
        <v>0.13331256718892348</v>
      </c>
      <c r="CL119" s="453">
        <f t="shared" si="155"/>
        <v>0.13080204303059784</v>
      </c>
      <c r="CM119" s="453">
        <f t="shared" si="155"/>
        <v>0.12808000418652998</v>
      </c>
      <c r="CN119" s="453">
        <f t="shared" si="155"/>
        <v>0.12565971709427659</v>
      </c>
      <c r="CO119" s="68">
        <f t="shared" si="155"/>
        <v>0.15072164073066796</v>
      </c>
      <c r="CP119" s="453">
        <f t="shared" si="155"/>
        <v>0.11515235329302986</v>
      </c>
      <c r="CQ119" s="453">
        <f t="shared" si="155"/>
        <v>0.11498943905480363</v>
      </c>
      <c r="CR119" s="453">
        <f t="shared" si="155"/>
        <v>0.11550084928068238</v>
      </c>
      <c r="CS119" s="453">
        <f t="shared" si="155"/>
        <v>0.11550690665826902</v>
      </c>
      <c r="CT119" s="68">
        <f t="shared" si="156"/>
        <v>0.1485754081779409</v>
      </c>
      <c r="CU119" s="453">
        <f t="shared" si="156"/>
        <v>4.0593969142329378E-2</v>
      </c>
      <c r="CV119" s="453">
        <f t="shared" si="156"/>
        <v>4.0632518500061332E-2</v>
      </c>
      <c r="CW119" s="453">
        <f t="shared" si="156"/>
        <v>3.8978206434352014E-2</v>
      </c>
      <c r="CX119" s="453">
        <f t="shared" si="156"/>
        <v>4.0514127920273868E-2</v>
      </c>
      <c r="CY119" s="68">
        <f t="shared" si="156"/>
        <v>7.0715535618840697E-2</v>
      </c>
      <c r="CZ119" s="453">
        <f t="shared" si="156"/>
        <v>-2.3548584158653574E-2</v>
      </c>
      <c r="DA119" s="453">
        <f t="shared" si="156"/>
        <v>-2.3770584286521457E-2</v>
      </c>
      <c r="DB119" s="453">
        <f t="shared" si="156"/>
        <v>-2.7089773575182274E-2</v>
      </c>
      <c r="DC119" s="453">
        <f t="shared" si="156"/>
        <v>-2.4994669898643851E-2</v>
      </c>
      <c r="DD119" s="68">
        <f t="shared" si="157"/>
        <v>1.3396961207861935E-2</v>
      </c>
      <c r="DE119" s="453">
        <f t="shared" si="157"/>
        <v>-6.6284231289617579E-2</v>
      </c>
      <c r="DF119" s="453">
        <f t="shared" si="157"/>
        <v>-6.6321447507780129E-2</v>
      </c>
      <c r="DG119" s="453">
        <f t="shared" si="157"/>
        <v>-7.0494260409070364E-2</v>
      </c>
      <c r="DH119" s="453">
        <f t="shared" si="157"/>
        <v>-6.7812383389233122E-2</v>
      </c>
      <c r="DI119" s="68">
        <f t="shared" si="157"/>
        <v>-2.1022661497602457E-2</v>
      </c>
      <c r="DJ119" s="453">
        <f t="shared" si="157"/>
        <v>-0.25471723329453333</v>
      </c>
      <c r="DK119" s="453">
        <f t="shared" si="157"/>
        <v>-0.25043506143314642</v>
      </c>
      <c r="DL119" s="453">
        <f t="shared" si="157"/>
        <v>-0.25432052775584912</v>
      </c>
      <c r="DM119" s="453">
        <f t="shared" si="157"/>
        <v>-0.2503385298826698</v>
      </c>
      <c r="DN119" s="68">
        <f t="shared" si="158"/>
        <v>-0.18521447486072407</v>
      </c>
      <c r="DO119" s="453">
        <f t="shared" si="158"/>
        <v>-0.49264619351128158</v>
      </c>
      <c r="DP119" s="453">
        <f t="shared" si="158"/>
        <v>-0.49789605988959851</v>
      </c>
      <c r="DQ119" s="453">
        <f t="shared" si="158"/>
        <v>-0.50073141638781982</v>
      </c>
      <c r="DR119" s="453">
        <f t="shared" si="158"/>
        <v>-0.5065814706625783</v>
      </c>
      <c r="DS119" s="68">
        <f t="shared" si="158"/>
        <v>-0.35666800125206377</v>
      </c>
      <c r="DT119" s="453">
        <f t="shared" si="158"/>
        <v>-0.36755296321781261</v>
      </c>
      <c r="DU119" s="453">
        <f t="shared" si="158"/>
        <v>-0.37837263054446346</v>
      </c>
      <c r="DV119" s="453">
        <f t="shared" si="158"/>
        <v>-0.38224084075774434</v>
      </c>
      <c r="DW119" s="453">
        <f t="shared" si="158"/>
        <v>-0.39259310268650172</v>
      </c>
      <c r="DX119" s="68">
        <f t="shared" si="159"/>
        <v>-0.19531983432557498</v>
      </c>
      <c r="DY119" s="453">
        <f t="shared" si="159"/>
        <v>-0.13736749576391449</v>
      </c>
      <c r="DZ119" s="453">
        <f t="shared" si="159"/>
        <v>-0.143286088845472</v>
      </c>
      <c r="EA119" s="453">
        <f t="shared" si="159"/>
        <v>-0.1460905707870972</v>
      </c>
      <c r="EB119" s="453">
        <f t="shared" si="159"/>
        <v>-0.15175711547997572</v>
      </c>
      <c r="EC119" s="68">
        <f t="shared" si="159"/>
        <v>-3.5805962321240559E-2</v>
      </c>
      <c r="ED119" s="453">
        <f t="shared" si="159"/>
        <v>-6.8712090093923317E-2</v>
      </c>
      <c r="EE119" s="453">
        <f t="shared" si="159"/>
        <v>-7.2673451689298174E-2</v>
      </c>
      <c r="EF119" s="453">
        <f t="shared" si="159"/>
        <v>-7.3719697668083173E-2</v>
      </c>
      <c r="EG119" s="453">
        <f t="shared" si="159"/>
        <v>-7.6911007365362161E-2</v>
      </c>
      <c r="EH119" s="68">
        <f t="shared" si="160"/>
        <v>-7.18294643198647E-3</v>
      </c>
      <c r="EI119" s="453">
        <f t="shared" si="160"/>
        <v>-0.68399197221625052</v>
      </c>
      <c r="EJ119" s="453">
        <f t="shared" si="160"/>
        <v>-0.66925382475295392</v>
      </c>
      <c r="EK119" s="453">
        <f t="shared" si="160"/>
        <v>-0.67709221622621507</v>
      </c>
      <c r="EL119" s="453">
        <f t="shared" si="160"/>
        <v>-0.67034850191059969</v>
      </c>
      <c r="EM119" s="68">
        <f t="shared" si="160"/>
        <v>-0.23442043135004542</v>
      </c>
    </row>
    <row r="120" spans="1:143"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</row>
    <row r="121" spans="1:143" s="97" customFormat="1">
      <c r="B121" s="454" t="s">
        <v>248</v>
      </c>
      <c r="C121" s="455"/>
      <c r="D121" s="456"/>
      <c r="E121" s="455"/>
      <c r="F121" s="455"/>
      <c r="G121" s="455"/>
      <c r="H121" s="456"/>
      <c r="I121" s="455"/>
      <c r="J121" s="455"/>
      <c r="K121" s="455"/>
      <c r="L121" s="455"/>
      <c r="M121" s="456"/>
      <c r="N121" s="455"/>
      <c r="O121" s="455"/>
      <c r="P121" s="455"/>
      <c r="Q121" s="455"/>
      <c r="R121" s="456"/>
      <c r="S121" s="455"/>
      <c r="T121" s="455"/>
      <c r="U121" s="455"/>
      <c r="V121" s="455"/>
      <c r="W121" s="456"/>
      <c r="X121" s="455"/>
      <c r="Y121" s="455"/>
      <c r="Z121" s="455"/>
      <c r="AA121" s="455"/>
      <c r="AB121" s="456"/>
      <c r="AC121" s="455"/>
      <c r="AD121" s="455"/>
      <c r="AE121" s="455"/>
      <c r="AF121" s="455"/>
      <c r="AG121" s="456"/>
      <c r="AH121" s="455"/>
      <c r="AI121" s="455"/>
      <c r="AJ121" s="455"/>
      <c r="AK121" s="455"/>
      <c r="AL121" s="456"/>
      <c r="AM121" s="455"/>
      <c r="AN121" s="455"/>
      <c r="AO121" s="455"/>
      <c r="AP121" s="455"/>
      <c r="AQ121" s="456"/>
      <c r="AR121" s="455"/>
      <c r="AS121" s="455"/>
      <c r="AT121" s="455"/>
      <c r="AU121" s="455"/>
      <c r="AV121" s="455"/>
      <c r="AW121" s="455"/>
      <c r="AX121" s="455"/>
      <c r="AY121" s="455"/>
      <c r="AZ121" s="455"/>
      <c r="BA121" s="455"/>
      <c r="BB121" s="455"/>
      <c r="BC121" s="455"/>
      <c r="BD121" s="455"/>
      <c r="BE121" s="455"/>
      <c r="BF121" s="455"/>
      <c r="BG121" s="455"/>
      <c r="BH121" s="455"/>
      <c r="BI121" s="455"/>
      <c r="BJ121" s="455"/>
      <c r="BK121" s="455"/>
      <c r="BL121" s="455"/>
      <c r="BM121" s="455"/>
      <c r="BN121" s="455"/>
      <c r="BO121" s="455"/>
      <c r="BP121" s="455"/>
      <c r="BQ121" s="455"/>
      <c r="BR121" s="455"/>
      <c r="BS121" s="455"/>
      <c r="BT121" s="455"/>
      <c r="BU121" s="455"/>
      <c r="BV121" s="455"/>
      <c r="BW121" s="455"/>
      <c r="BX121" s="455"/>
      <c r="BY121" s="455"/>
      <c r="BZ121" s="455"/>
      <c r="CA121" s="455"/>
      <c r="CB121" s="455"/>
      <c r="CC121" s="455"/>
      <c r="CD121" s="455"/>
      <c r="CE121" s="455"/>
      <c r="CF121" s="455"/>
      <c r="CG121" s="455"/>
      <c r="CH121" s="455"/>
      <c r="CI121" s="455"/>
      <c r="CJ121" s="455"/>
      <c r="CK121" s="455"/>
      <c r="CL121" s="455"/>
      <c r="CM121" s="455"/>
      <c r="CN121" s="455"/>
      <c r="CO121" s="455"/>
      <c r="CP121" s="455"/>
      <c r="CQ121" s="455"/>
      <c r="CR121" s="455"/>
      <c r="CS121" s="455"/>
      <c r="CT121" s="455"/>
      <c r="CU121" s="455"/>
      <c r="CV121" s="455"/>
      <c r="CW121" s="455"/>
      <c r="CX121" s="455"/>
      <c r="CY121" s="455"/>
      <c r="CZ121" s="455"/>
      <c r="DA121" s="455"/>
      <c r="DB121" s="455"/>
      <c r="DC121" s="455"/>
      <c r="DD121" s="455"/>
      <c r="DE121" s="455"/>
      <c r="DF121" s="455"/>
      <c r="DG121" s="455"/>
      <c r="DH121" s="455"/>
      <c r="DI121" s="455"/>
      <c r="DJ121" s="455"/>
      <c r="DK121" s="455"/>
      <c r="DL121" s="455"/>
      <c r="DM121" s="455"/>
      <c r="DN121" s="455"/>
      <c r="DO121" s="455"/>
      <c r="DP121" s="455"/>
      <c r="DQ121" s="455"/>
      <c r="DR121" s="455"/>
      <c r="DS121" s="455"/>
      <c r="DT121" s="455"/>
      <c r="DU121" s="455"/>
      <c r="DV121" s="455"/>
      <c r="DW121" s="455"/>
      <c r="DX121" s="455"/>
      <c r="DY121" s="455"/>
      <c r="DZ121" s="455"/>
      <c r="EA121" s="455"/>
      <c r="EB121" s="455"/>
      <c r="EC121" s="455"/>
      <c r="ED121" s="455"/>
      <c r="EE121" s="455"/>
      <c r="EF121" s="455"/>
      <c r="EG121" s="455"/>
      <c r="EH121" s="455"/>
      <c r="EI121" s="455"/>
      <c r="EJ121" s="455"/>
      <c r="EK121" s="455"/>
      <c r="EL121" s="455"/>
      <c r="EM121" s="455"/>
    </row>
    <row r="122" spans="1:143" customFormat="1">
      <c r="B122" s="449" t="s">
        <v>122</v>
      </c>
      <c r="C122" s="41"/>
      <c r="D122" s="97"/>
      <c r="E122" s="98"/>
      <c r="F122" s="41"/>
      <c r="G122" s="41"/>
      <c r="H122" s="41"/>
      <c r="I122" s="41"/>
      <c r="J122" s="98"/>
      <c r="K122" s="41"/>
      <c r="L122" s="41"/>
      <c r="M122" s="41"/>
      <c r="N122" s="41"/>
      <c r="O122" s="98"/>
      <c r="P122" s="41"/>
      <c r="Q122" s="41"/>
      <c r="R122" s="41"/>
      <c r="S122" s="41"/>
      <c r="T122" s="98"/>
      <c r="U122" s="41"/>
      <c r="V122" s="41"/>
      <c r="W122" s="41"/>
      <c r="X122" s="41"/>
      <c r="Y122" s="98"/>
      <c r="Z122" s="41"/>
      <c r="AA122" s="41"/>
      <c r="AB122" s="41"/>
      <c r="AC122" s="41"/>
      <c r="AD122" s="98"/>
      <c r="AE122" s="41"/>
      <c r="AF122" s="41"/>
      <c r="AG122" s="41"/>
      <c r="AH122" s="41"/>
      <c r="AI122" s="98"/>
      <c r="AJ122" s="41"/>
      <c r="AK122" s="41"/>
      <c r="AL122" s="101">
        <v>0.03</v>
      </c>
      <c r="AM122" s="101">
        <f>AL122</f>
        <v>0.03</v>
      </c>
      <c r="AN122" s="101">
        <f>AM122</f>
        <v>0.03</v>
      </c>
      <c r="AO122" s="101">
        <f>AN122</f>
        <v>0.03</v>
      </c>
      <c r="AP122" s="101">
        <f>AO122</f>
        <v>0.03</v>
      </c>
      <c r="AQ122" s="109">
        <f>AQ142/AQ4</f>
        <v>3.0000000000000002E-2</v>
      </c>
      <c r="AR122" s="101">
        <f>AQ122</f>
        <v>3.0000000000000002E-2</v>
      </c>
      <c r="AS122" s="101">
        <f>AR122</f>
        <v>3.0000000000000002E-2</v>
      </c>
      <c r="AT122" s="101">
        <f>AS122</f>
        <v>3.0000000000000002E-2</v>
      </c>
      <c r="AU122" s="101">
        <f>AT122</f>
        <v>3.0000000000000002E-2</v>
      </c>
      <c r="AV122" s="109">
        <f>AV142/AV4</f>
        <v>3.0000000000000006E-2</v>
      </c>
      <c r="AW122" s="101">
        <v>2.75E-2</v>
      </c>
      <c r="AX122" s="101">
        <f t="shared" ref="AX122:AZ123" si="161">AW122</f>
        <v>2.75E-2</v>
      </c>
      <c r="AY122" s="101">
        <f t="shared" si="161"/>
        <v>2.75E-2</v>
      </c>
      <c r="AZ122" s="101">
        <f t="shared" si="161"/>
        <v>2.75E-2</v>
      </c>
      <c r="BA122" s="109">
        <f>BA142/BA4</f>
        <v>2.75E-2</v>
      </c>
      <c r="BB122" s="101">
        <v>2.75E-2</v>
      </c>
      <c r="BC122" s="101">
        <f t="shared" ref="BC122:BE123" si="162">BB122</f>
        <v>2.75E-2</v>
      </c>
      <c r="BD122" s="101">
        <f t="shared" si="162"/>
        <v>2.75E-2</v>
      </c>
      <c r="BE122" s="101">
        <f t="shared" si="162"/>
        <v>2.75E-2</v>
      </c>
      <c r="BF122" s="109">
        <f>BF142/BF4</f>
        <v>2.7499999999999997E-2</v>
      </c>
      <c r="BG122" s="101">
        <f>BE122</f>
        <v>2.75E-2</v>
      </c>
      <c r="BH122" s="7">
        <v>3.2500000000000001E-2</v>
      </c>
      <c r="BI122" s="7">
        <v>2.75E-2</v>
      </c>
      <c r="BJ122" s="7">
        <f>BI122</f>
        <v>2.75E-2</v>
      </c>
      <c r="BK122" s="109">
        <f>BK142/BK4</f>
        <v>2.8718574297188753E-2</v>
      </c>
      <c r="BL122" s="7">
        <f>BJ122</f>
        <v>2.75E-2</v>
      </c>
      <c r="BM122" s="7">
        <f>BL122-0.01</f>
        <v>1.7500000000000002E-2</v>
      </c>
      <c r="BN122" s="7">
        <f t="shared" ref="BM122:BN126" si="163">BM122</f>
        <v>1.7500000000000002E-2</v>
      </c>
      <c r="BO122" s="7">
        <f>BN122</f>
        <v>1.7500000000000002E-2</v>
      </c>
      <c r="BP122" s="7">
        <f>BP142/BP4</f>
        <v>1.9814905793728778E-2</v>
      </c>
      <c r="BQ122" s="8">
        <v>1.8499999999999999E-2</v>
      </c>
      <c r="BR122" s="8">
        <v>1.6500000000000001E-2</v>
      </c>
      <c r="BS122" s="8">
        <f t="shared" ref="BS122" si="164">BR122</f>
        <v>1.6500000000000001E-2</v>
      </c>
      <c r="BT122" s="8">
        <f>BS122</f>
        <v>1.6500000000000001E-2</v>
      </c>
      <c r="BU122" s="7">
        <f>BU142/BU4</f>
        <v>1.695130205345876E-2</v>
      </c>
      <c r="BV122" s="7">
        <f>BZ122</f>
        <v>0.02</v>
      </c>
      <c r="BW122" s="7">
        <f>BV122</f>
        <v>0.02</v>
      </c>
      <c r="BX122" s="130">
        <f t="shared" ref="BX122:BY122" si="165">BW122</f>
        <v>0.02</v>
      </c>
      <c r="BY122" s="130">
        <f t="shared" si="165"/>
        <v>0.02</v>
      </c>
      <c r="BZ122" s="475">
        <v>0.02</v>
      </c>
      <c r="CA122" s="7">
        <f t="shared" ref="CA122:CA131" si="166">CE122</f>
        <v>0.01</v>
      </c>
      <c r="CB122" s="7">
        <f t="shared" ref="CB122:CB131" si="167">CA122</f>
        <v>0.01</v>
      </c>
      <c r="CC122" s="130">
        <f t="shared" ref="CC122:CD131" si="168">CB122</f>
        <v>0.01</v>
      </c>
      <c r="CD122" s="130">
        <f t="shared" si="168"/>
        <v>0.01</v>
      </c>
      <c r="CE122" s="7">
        <v>0.01</v>
      </c>
      <c r="CJ122" s="7">
        <f>CE122</f>
        <v>0.01</v>
      </c>
      <c r="CO122" s="7">
        <f t="shared" ref="CO122:CO131" si="169">CJ122</f>
        <v>0.01</v>
      </c>
      <c r="CT122" s="7">
        <f t="shared" ref="CT122:CT129" si="170">CO122</f>
        <v>0.01</v>
      </c>
      <c r="CY122" s="7">
        <f t="shared" ref="CY122:CY129" si="171">CT122</f>
        <v>0.01</v>
      </c>
      <c r="DD122" s="7">
        <f t="shared" ref="DD122:DD129" si="172">CY122</f>
        <v>0.01</v>
      </c>
      <c r="DI122" s="7">
        <f t="shared" ref="DI122:DI129" si="173">DD122</f>
        <v>0.01</v>
      </c>
      <c r="DN122" s="7">
        <f t="shared" ref="DN122:DN129" si="174">DI122</f>
        <v>0.01</v>
      </c>
      <c r="DS122" s="7">
        <f t="shared" ref="DS122:DS129" si="175">DN122</f>
        <v>0.01</v>
      </c>
      <c r="DX122" s="7">
        <f t="shared" ref="DX122:DX129" si="176">DS122</f>
        <v>0.01</v>
      </c>
      <c r="EC122" s="7">
        <f t="shared" ref="EC122:EC129" si="177">DX122</f>
        <v>0.01</v>
      </c>
      <c r="EH122" s="7">
        <f t="shared" ref="EH122:EH129" si="178">EC122</f>
        <v>0.01</v>
      </c>
      <c r="EM122" s="7">
        <f t="shared" ref="EM122:EM129" si="179">EH122</f>
        <v>0.01</v>
      </c>
    </row>
    <row r="123" spans="1:143" customFormat="1">
      <c r="B123" s="449" t="s">
        <v>129</v>
      </c>
      <c r="C123" s="41"/>
      <c r="D123" s="97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101">
        <v>0.215</v>
      </c>
      <c r="AM123" s="101">
        <v>0.2</v>
      </c>
      <c r="AN123" s="101">
        <v>0.21</v>
      </c>
      <c r="AO123" s="101">
        <v>0.2</v>
      </c>
      <c r="AP123" s="101">
        <f>AO123</f>
        <v>0.2</v>
      </c>
      <c r="AQ123" s="109">
        <f>AQ143/AQ9</f>
        <v>0.20246663871742945</v>
      </c>
      <c r="AR123" s="101">
        <f>AQ123</f>
        <v>0.20246663871742945</v>
      </c>
      <c r="AS123" s="101">
        <f>AR123</f>
        <v>0.20246663871742945</v>
      </c>
      <c r="AT123" s="101">
        <v>0.17</v>
      </c>
      <c r="AU123" s="101">
        <v>0.13</v>
      </c>
      <c r="AV123" s="109">
        <f>AV143/AV9</f>
        <v>0.17423010639092254</v>
      </c>
      <c r="AW123" s="101">
        <f>AU123</f>
        <v>0.13</v>
      </c>
      <c r="AX123" s="101">
        <f t="shared" si="161"/>
        <v>0.13</v>
      </c>
      <c r="AY123" s="101">
        <f t="shared" si="161"/>
        <v>0.13</v>
      </c>
      <c r="AZ123" s="101">
        <f t="shared" si="161"/>
        <v>0.13</v>
      </c>
      <c r="BA123" s="109">
        <f>BA143/BA9</f>
        <v>0.13</v>
      </c>
      <c r="BB123" s="101">
        <f>AZ123</f>
        <v>0.13</v>
      </c>
      <c r="BC123" s="101">
        <f t="shared" si="162"/>
        <v>0.13</v>
      </c>
      <c r="BD123" s="101">
        <f t="shared" si="162"/>
        <v>0.13</v>
      </c>
      <c r="BE123" s="101">
        <f>BD123</f>
        <v>0.13</v>
      </c>
      <c r="BF123" s="109">
        <f>BF143/BF9</f>
        <v>0.13</v>
      </c>
      <c r="BG123" s="101">
        <f>BE123</f>
        <v>0.13</v>
      </c>
      <c r="BH123" s="7">
        <f t="shared" ref="BH123:BI126" si="180">BG123</f>
        <v>0.13</v>
      </c>
      <c r="BI123" s="7">
        <f t="shared" si="180"/>
        <v>0.13</v>
      </c>
      <c r="BJ123" s="7">
        <f>BI123</f>
        <v>0.13</v>
      </c>
      <c r="BK123" s="109">
        <f>BK143/BK9</f>
        <v>0.13</v>
      </c>
      <c r="BL123" s="7">
        <f>BJ123</f>
        <v>0.13</v>
      </c>
      <c r="BM123" s="7">
        <f t="shared" si="163"/>
        <v>0.13</v>
      </c>
      <c r="BN123" s="7">
        <f t="shared" si="163"/>
        <v>0.13</v>
      </c>
      <c r="BO123" s="7">
        <f>BN123</f>
        <v>0.13</v>
      </c>
      <c r="BP123" s="153">
        <f>BP143/BP9</f>
        <v>0.13000000000000003</v>
      </c>
      <c r="BQ123" s="7">
        <f t="shared" ref="BQ123:BT126" si="181">BP123</f>
        <v>0.13000000000000003</v>
      </c>
      <c r="BR123" s="7">
        <f t="shared" si="181"/>
        <v>0.13000000000000003</v>
      </c>
      <c r="BS123" s="7">
        <f t="shared" si="181"/>
        <v>0.13000000000000003</v>
      </c>
      <c r="BT123" s="7">
        <f t="shared" si="181"/>
        <v>0.13000000000000003</v>
      </c>
      <c r="BU123" s="7">
        <f t="shared" ref="BU123:BU131" si="182">BP123</f>
        <v>0.13000000000000003</v>
      </c>
      <c r="BV123" s="7">
        <f>BZ123</f>
        <v>0.13000000000000003</v>
      </c>
      <c r="BW123" s="7">
        <f>BV123</f>
        <v>0.13000000000000003</v>
      </c>
      <c r="BX123" s="130">
        <f t="shared" ref="BX123:BY123" si="183">BW123</f>
        <v>0.13000000000000003</v>
      </c>
      <c r="BY123" s="130">
        <f t="shared" si="183"/>
        <v>0.13000000000000003</v>
      </c>
      <c r="BZ123" s="7">
        <f>BU123</f>
        <v>0.13000000000000003</v>
      </c>
      <c r="CA123" s="130">
        <f t="shared" si="166"/>
        <v>0.13000000000000003</v>
      </c>
      <c r="CB123" s="130">
        <f t="shared" si="167"/>
        <v>0.13000000000000003</v>
      </c>
      <c r="CC123" s="130">
        <f t="shared" si="168"/>
        <v>0.13000000000000003</v>
      </c>
      <c r="CD123" s="130">
        <f t="shared" si="168"/>
        <v>0.13000000000000003</v>
      </c>
      <c r="CE123" s="7">
        <f t="shared" ref="CE123:CE131" si="184">BZ123</f>
        <v>0.13000000000000003</v>
      </c>
      <c r="CJ123" s="7">
        <f t="shared" ref="CJ123:CJ138" si="185">CE123</f>
        <v>0.13000000000000003</v>
      </c>
      <c r="CO123" s="7">
        <f t="shared" si="169"/>
        <v>0.13000000000000003</v>
      </c>
      <c r="CT123" s="7">
        <f t="shared" si="170"/>
        <v>0.13000000000000003</v>
      </c>
      <c r="CY123" s="7">
        <f t="shared" si="171"/>
        <v>0.13000000000000003</v>
      </c>
      <c r="DD123" s="7">
        <f t="shared" si="172"/>
        <v>0.13000000000000003</v>
      </c>
      <c r="DI123" s="7">
        <f t="shared" si="173"/>
        <v>0.13000000000000003</v>
      </c>
      <c r="DN123" s="7">
        <f t="shared" si="174"/>
        <v>0.13000000000000003</v>
      </c>
      <c r="DS123" s="7">
        <f t="shared" si="175"/>
        <v>0.13000000000000003</v>
      </c>
      <c r="DX123" s="7">
        <f t="shared" si="176"/>
        <v>0.13000000000000003</v>
      </c>
      <c r="EC123" s="7">
        <f t="shared" si="177"/>
        <v>0.13000000000000003</v>
      </c>
      <c r="EH123" s="7">
        <f t="shared" si="178"/>
        <v>0.13000000000000003</v>
      </c>
      <c r="EM123" s="7">
        <f t="shared" si="179"/>
        <v>0.13000000000000003</v>
      </c>
    </row>
    <row r="124" spans="1:143" customFormat="1">
      <c r="B124" s="449" t="s">
        <v>182</v>
      </c>
      <c r="C124" s="41"/>
      <c r="D124" s="99"/>
      <c r="E124" s="41"/>
      <c r="F124" s="41"/>
      <c r="G124" s="41"/>
      <c r="H124" s="98"/>
      <c r="I124" s="41"/>
      <c r="J124" s="41"/>
      <c r="K124" s="41"/>
      <c r="L124" s="41"/>
      <c r="M124" s="98"/>
      <c r="N124" s="41"/>
      <c r="O124" s="41"/>
      <c r="P124" s="41"/>
      <c r="Q124" s="41"/>
      <c r="R124" s="98"/>
      <c r="S124" s="41"/>
      <c r="T124" s="41"/>
      <c r="U124" s="41"/>
      <c r="V124" s="41"/>
      <c r="W124" s="98"/>
      <c r="X124" s="41"/>
      <c r="Y124" s="41"/>
      <c r="Z124" s="41"/>
      <c r="AA124" s="41"/>
      <c r="AB124" s="98"/>
      <c r="AC124" s="41"/>
      <c r="AD124" s="41"/>
      <c r="AE124" s="41"/>
      <c r="AF124" s="41"/>
      <c r="AG124" s="98"/>
      <c r="AH124" s="41"/>
      <c r="AI124" s="41"/>
      <c r="AJ124" s="41"/>
      <c r="AK124" s="41"/>
      <c r="AL124" s="98"/>
      <c r="AM124" s="101"/>
      <c r="AN124" s="101"/>
      <c r="AO124" s="101"/>
      <c r="AP124" s="101">
        <v>0.03</v>
      </c>
      <c r="AQ124" s="108">
        <f>AQ144/AQ13</f>
        <v>2.9999999999999995E-2</v>
      </c>
      <c r="AR124" s="101">
        <v>0.06</v>
      </c>
      <c r="AS124" s="101">
        <v>7.0000000000000007E-2</v>
      </c>
      <c r="AT124" s="101">
        <v>7.0000000000000007E-2</v>
      </c>
      <c r="AU124" s="101">
        <v>7.0000000000000007E-2</v>
      </c>
      <c r="AV124" s="108">
        <f>AV144/AV13</f>
        <v>6.8081159870952701E-2</v>
      </c>
      <c r="AW124" s="101">
        <v>7.0000000000000007E-2</v>
      </c>
      <c r="AX124" s="101">
        <v>7.0000000000000007E-2</v>
      </c>
      <c r="AY124" s="101">
        <v>7.0000000000000007E-2</v>
      </c>
      <c r="AZ124" s="101">
        <v>7.0000000000000007E-2</v>
      </c>
      <c r="BA124" s="108">
        <f>BA144/BA13</f>
        <v>7.0000000000000007E-2</v>
      </c>
      <c r="BB124" s="101">
        <v>7.0000000000000007E-2</v>
      </c>
      <c r="BC124" s="101">
        <v>7.0000000000000007E-2</v>
      </c>
      <c r="BD124" s="101">
        <v>7.0000000000000007E-2</v>
      </c>
      <c r="BE124" s="101">
        <v>7.0000000000000007E-2</v>
      </c>
      <c r="BF124" s="108">
        <f>BF144/BF13</f>
        <v>7.0000000000000007E-2</v>
      </c>
      <c r="BG124" s="101">
        <f>BE124</f>
        <v>7.0000000000000007E-2</v>
      </c>
      <c r="BH124" s="7">
        <f t="shared" si="180"/>
        <v>7.0000000000000007E-2</v>
      </c>
      <c r="BI124" s="7">
        <f t="shared" si="180"/>
        <v>7.0000000000000007E-2</v>
      </c>
      <c r="BJ124" s="7">
        <f>BI124</f>
        <v>7.0000000000000007E-2</v>
      </c>
      <c r="BK124" s="108">
        <f>BK144/BK13</f>
        <v>7.0000000000000021E-2</v>
      </c>
      <c r="BL124" s="7">
        <f>BJ124</f>
        <v>7.0000000000000007E-2</v>
      </c>
      <c r="BM124" s="7">
        <f t="shared" si="163"/>
        <v>7.0000000000000007E-2</v>
      </c>
      <c r="BN124" s="7">
        <f t="shared" si="163"/>
        <v>7.0000000000000007E-2</v>
      </c>
      <c r="BO124" s="7">
        <f>BN124</f>
        <v>7.0000000000000007E-2</v>
      </c>
      <c r="BP124" s="153">
        <f>BP144/BP13</f>
        <v>7.0000000000000007E-2</v>
      </c>
      <c r="BQ124" s="7">
        <f t="shared" si="181"/>
        <v>7.0000000000000007E-2</v>
      </c>
      <c r="BR124" s="7">
        <f t="shared" si="181"/>
        <v>7.0000000000000007E-2</v>
      </c>
      <c r="BS124" s="7">
        <f t="shared" si="181"/>
        <v>7.0000000000000007E-2</v>
      </c>
      <c r="BT124" s="7">
        <f t="shared" si="181"/>
        <v>7.0000000000000007E-2</v>
      </c>
      <c r="BU124" s="7">
        <f>BP124</f>
        <v>7.0000000000000007E-2</v>
      </c>
      <c r="BV124" s="7">
        <f>BZ124</f>
        <v>7.0000000000000007E-2</v>
      </c>
      <c r="BW124" s="7">
        <f>BV124</f>
        <v>7.0000000000000007E-2</v>
      </c>
      <c r="BX124" s="130">
        <f t="shared" ref="BX124:BY124" si="186">BW124</f>
        <v>7.0000000000000007E-2</v>
      </c>
      <c r="BY124" s="130">
        <f t="shared" si="186"/>
        <v>7.0000000000000007E-2</v>
      </c>
      <c r="BZ124" s="7">
        <f>BU124</f>
        <v>7.0000000000000007E-2</v>
      </c>
      <c r="CA124" s="130">
        <f t="shared" si="166"/>
        <v>7.0000000000000007E-2</v>
      </c>
      <c r="CB124" s="130">
        <f t="shared" si="167"/>
        <v>7.0000000000000007E-2</v>
      </c>
      <c r="CC124" s="130">
        <f t="shared" si="168"/>
        <v>7.0000000000000007E-2</v>
      </c>
      <c r="CD124" s="130">
        <f t="shared" si="168"/>
        <v>7.0000000000000007E-2</v>
      </c>
      <c r="CE124" s="7">
        <f t="shared" si="184"/>
        <v>7.0000000000000007E-2</v>
      </c>
      <c r="CJ124" s="7">
        <f t="shared" si="185"/>
        <v>7.0000000000000007E-2</v>
      </c>
      <c r="CO124" s="7">
        <f t="shared" si="169"/>
        <v>7.0000000000000007E-2</v>
      </c>
      <c r="CT124" s="7">
        <f t="shared" si="170"/>
        <v>7.0000000000000007E-2</v>
      </c>
      <c r="CY124" s="7">
        <f t="shared" si="171"/>
        <v>7.0000000000000007E-2</v>
      </c>
      <c r="DD124" s="7">
        <f t="shared" si="172"/>
        <v>7.0000000000000007E-2</v>
      </c>
      <c r="DI124" s="7">
        <f t="shared" si="173"/>
        <v>7.0000000000000007E-2</v>
      </c>
      <c r="DN124" s="7">
        <f t="shared" si="174"/>
        <v>7.0000000000000007E-2</v>
      </c>
      <c r="DS124" s="7">
        <f t="shared" si="175"/>
        <v>7.0000000000000007E-2</v>
      </c>
      <c r="DX124" s="7">
        <f t="shared" si="176"/>
        <v>7.0000000000000007E-2</v>
      </c>
      <c r="EC124" s="7">
        <f t="shared" si="177"/>
        <v>7.0000000000000007E-2</v>
      </c>
      <c r="EH124" s="7">
        <f t="shared" si="178"/>
        <v>7.0000000000000007E-2</v>
      </c>
      <c r="EM124" s="7">
        <f t="shared" si="179"/>
        <v>7.0000000000000007E-2</v>
      </c>
    </row>
    <row r="125" spans="1:143" customFormat="1">
      <c r="B125" s="449" t="s">
        <v>95</v>
      </c>
      <c r="C125" s="41"/>
      <c r="D125" s="97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101"/>
      <c r="AN125" s="101"/>
      <c r="AO125" s="101"/>
      <c r="AP125" s="101"/>
      <c r="AQ125" s="109"/>
      <c r="AR125" s="101"/>
      <c r="AS125" s="101"/>
      <c r="AT125" s="101"/>
      <c r="AU125" s="101"/>
      <c r="AV125" s="109"/>
      <c r="AW125" s="101"/>
      <c r="AX125" s="101"/>
      <c r="AY125" s="101"/>
      <c r="AZ125" s="101"/>
      <c r="BA125" s="109"/>
      <c r="BB125" s="101">
        <v>0.05</v>
      </c>
      <c r="BC125" s="101">
        <f>BB125</f>
        <v>0.05</v>
      </c>
      <c r="BD125" s="101">
        <f>BC125</f>
        <v>0.05</v>
      </c>
      <c r="BE125" s="101">
        <f>BD125</f>
        <v>0.05</v>
      </c>
      <c r="BF125" s="108">
        <f>BF145/BF15</f>
        <v>3.0229793977812999E-2</v>
      </c>
      <c r="BG125" s="101">
        <v>5.5E-2</v>
      </c>
      <c r="BH125" s="7">
        <f t="shared" si="180"/>
        <v>5.5E-2</v>
      </c>
      <c r="BI125" s="7">
        <f t="shared" si="180"/>
        <v>5.5E-2</v>
      </c>
      <c r="BJ125" s="7">
        <f>BI125</f>
        <v>5.5E-2</v>
      </c>
      <c r="BK125" s="108">
        <f>BK145/BK15</f>
        <v>5.9861489191353076E-2</v>
      </c>
      <c r="BL125" s="7">
        <f>BJ125</f>
        <v>5.5E-2</v>
      </c>
      <c r="BM125" s="7">
        <f t="shared" si="163"/>
        <v>5.5E-2</v>
      </c>
      <c r="BN125" s="7">
        <f t="shared" si="163"/>
        <v>5.5E-2</v>
      </c>
      <c r="BO125" s="7">
        <f>BN125</f>
        <v>5.5E-2</v>
      </c>
      <c r="BP125" s="153">
        <f>BP145/BP18</f>
        <v>5.5E-2</v>
      </c>
      <c r="BQ125" s="7">
        <f t="shared" si="181"/>
        <v>5.5E-2</v>
      </c>
      <c r="BR125" s="7">
        <f t="shared" si="181"/>
        <v>5.5E-2</v>
      </c>
      <c r="BS125" s="7">
        <f t="shared" si="181"/>
        <v>5.5E-2</v>
      </c>
      <c r="BT125" s="7">
        <f t="shared" si="181"/>
        <v>5.5E-2</v>
      </c>
      <c r="BU125" s="7">
        <f t="shared" si="182"/>
        <v>5.5E-2</v>
      </c>
      <c r="BV125" s="7">
        <f>BZ125</f>
        <v>5.5E-2</v>
      </c>
      <c r="BW125" s="7">
        <f>BV125</f>
        <v>5.5E-2</v>
      </c>
      <c r="BX125" s="130">
        <f t="shared" ref="BX125:BY126" si="187">BW125</f>
        <v>5.5E-2</v>
      </c>
      <c r="BY125" s="130">
        <f t="shared" si="187"/>
        <v>5.5E-2</v>
      </c>
      <c r="BZ125" s="7">
        <f>BU125</f>
        <v>5.5E-2</v>
      </c>
      <c r="CA125" s="130">
        <f t="shared" si="166"/>
        <v>5.5E-2</v>
      </c>
      <c r="CB125" s="130">
        <f t="shared" si="167"/>
        <v>5.5E-2</v>
      </c>
      <c r="CC125" s="130">
        <f t="shared" si="168"/>
        <v>5.5E-2</v>
      </c>
      <c r="CD125" s="130">
        <f t="shared" si="168"/>
        <v>5.5E-2</v>
      </c>
      <c r="CE125" s="7">
        <f t="shared" si="184"/>
        <v>5.5E-2</v>
      </c>
      <c r="CJ125" s="7">
        <f t="shared" si="185"/>
        <v>5.5E-2</v>
      </c>
      <c r="CO125" s="7">
        <f t="shared" si="169"/>
        <v>5.5E-2</v>
      </c>
      <c r="CT125" s="7">
        <f t="shared" si="170"/>
        <v>5.5E-2</v>
      </c>
      <c r="CY125" s="7">
        <f t="shared" si="171"/>
        <v>5.5E-2</v>
      </c>
      <c r="DD125" s="7">
        <f t="shared" si="172"/>
        <v>5.5E-2</v>
      </c>
      <c r="DI125" s="7">
        <f t="shared" si="173"/>
        <v>5.5E-2</v>
      </c>
      <c r="DN125" s="7">
        <f t="shared" si="174"/>
        <v>5.5E-2</v>
      </c>
      <c r="DS125" s="7">
        <f t="shared" si="175"/>
        <v>5.5E-2</v>
      </c>
      <c r="DX125" s="7">
        <f t="shared" si="176"/>
        <v>5.5E-2</v>
      </c>
      <c r="EC125" s="7">
        <f t="shared" si="177"/>
        <v>5.5E-2</v>
      </c>
      <c r="EH125" s="7">
        <f t="shared" si="178"/>
        <v>5.5E-2</v>
      </c>
      <c r="EM125" s="7">
        <f t="shared" si="179"/>
        <v>5.5E-2</v>
      </c>
    </row>
    <row r="126" spans="1:143" customFormat="1">
      <c r="B126" s="449" t="s">
        <v>778</v>
      </c>
      <c r="C126" s="41"/>
      <c r="D126" s="97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101"/>
      <c r="AN126" s="101"/>
      <c r="AO126" s="101"/>
      <c r="AP126" s="101"/>
      <c r="AQ126" s="109"/>
      <c r="AR126" s="101"/>
      <c r="AS126" s="101"/>
      <c r="AT126" s="101"/>
      <c r="AU126" s="101"/>
      <c r="AV126" s="109"/>
      <c r="AW126" s="101"/>
      <c r="AX126" s="101"/>
      <c r="AY126" s="101"/>
      <c r="AZ126" s="101"/>
      <c r="BA126" s="109"/>
      <c r="BB126" s="101"/>
      <c r="BC126" s="101"/>
      <c r="BD126" s="101"/>
      <c r="BE126" s="101"/>
      <c r="BF126" s="109"/>
      <c r="BG126" s="457">
        <v>7.0000000000000007E-2</v>
      </c>
      <c r="BH126" s="7">
        <f t="shared" si="180"/>
        <v>7.0000000000000007E-2</v>
      </c>
      <c r="BI126" s="7">
        <f t="shared" si="180"/>
        <v>7.0000000000000007E-2</v>
      </c>
      <c r="BJ126" s="7">
        <f>BI126</f>
        <v>7.0000000000000007E-2</v>
      </c>
      <c r="BK126" s="109">
        <f>BK146/BK23</f>
        <v>7.0000000000000007E-2</v>
      </c>
      <c r="BL126" s="7">
        <f>BJ126</f>
        <v>7.0000000000000007E-2</v>
      </c>
      <c r="BM126" s="7">
        <f t="shared" si="163"/>
        <v>7.0000000000000007E-2</v>
      </c>
      <c r="BN126" s="7">
        <f t="shared" si="163"/>
        <v>7.0000000000000007E-2</v>
      </c>
      <c r="BO126" s="7">
        <f>BN126</f>
        <v>7.0000000000000007E-2</v>
      </c>
      <c r="BP126" s="153">
        <f>BP146/BP23</f>
        <v>7.0000000000000007E-2</v>
      </c>
      <c r="BQ126" s="7">
        <v>0.05</v>
      </c>
      <c r="BR126" s="7">
        <f t="shared" si="181"/>
        <v>0.05</v>
      </c>
      <c r="BS126" s="7">
        <f t="shared" si="181"/>
        <v>0.05</v>
      </c>
      <c r="BT126" s="7">
        <f t="shared" si="181"/>
        <v>0.05</v>
      </c>
      <c r="BU126" s="7">
        <f>BQ126</f>
        <v>0.05</v>
      </c>
      <c r="BV126" s="7">
        <f>BZ126</f>
        <v>0.05</v>
      </c>
      <c r="BW126" s="7">
        <f>BV126</f>
        <v>0.05</v>
      </c>
      <c r="BX126" s="130">
        <f t="shared" si="187"/>
        <v>0.05</v>
      </c>
      <c r="BY126" s="130">
        <f t="shared" si="187"/>
        <v>0.05</v>
      </c>
      <c r="BZ126" s="7">
        <f>BU126</f>
        <v>0.05</v>
      </c>
      <c r="CA126" s="130">
        <f t="shared" si="166"/>
        <v>0.05</v>
      </c>
      <c r="CB126" s="130">
        <f t="shared" si="167"/>
        <v>0.05</v>
      </c>
      <c r="CC126" s="130">
        <f t="shared" si="168"/>
        <v>0.05</v>
      </c>
      <c r="CD126" s="130">
        <f t="shared" si="168"/>
        <v>0.05</v>
      </c>
      <c r="CE126" s="7">
        <f t="shared" si="184"/>
        <v>0.05</v>
      </c>
      <c r="CJ126" s="7">
        <f t="shared" si="185"/>
        <v>0.05</v>
      </c>
      <c r="CO126" s="7">
        <f t="shared" si="169"/>
        <v>0.05</v>
      </c>
      <c r="CT126" s="7">
        <f t="shared" si="170"/>
        <v>0.05</v>
      </c>
      <c r="CY126" s="7">
        <f t="shared" si="171"/>
        <v>0.05</v>
      </c>
      <c r="DD126" s="7">
        <f t="shared" si="172"/>
        <v>0.05</v>
      </c>
      <c r="DI126" s="7">
        <f t="shared" si="173"/>
        <v>0.05</v>
      </c>
      <c r="DN126" s="7">
        <f t="shared" si="174"/>
        <v>0.05</v>
      </c>
      <c r="DS126" s="7">
        <f t="shared" si="175"/>
        <v>0.05</v>
      </c>
      <c r="DX126" s="7">
        <f t="shared" si="176"/>
        <v>0.05</v>
      </c>
      <c r="EC126" s="7">
        <f t="shared" si="177"/>
        <v>0.05</v>
      </c>
      <c r="EH126" s="7">
        <f t="shared" si="178"/>
        <v>0.05</v>
      </c>
      <c r="EM126" s="7">
        <f t="shared" si="179"/>
        <v>0.05</v>
      </c>
    </row>
    <row r="127" spans="1:143" customFormat="1">
      <c r="B127" s="365" t="s">
        <v>811</v>
      </c>
      <c r="C127" s="41"/>
      <c r="D127" s="97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101"/>
      <c r="AN127" s="101"/>
      <c r="AO127" s="101"/>
      <c r="AP127" s="101"/>
      <c r="AQ127" s="109"/>
      <c r="AR127" s="101"/>
      <c r="AS127" s="101"/>
      <c r="AT127" s="101"/>
      <c r="AU127" s="101"/>
      <c r="AV127" s="109"/>
      <c r="AW127" s="101"/>
      <c r="AX127" s="101"/>
      <c r="AY127" s="101"/>
      <c r="AZ127" s="101"/>
      <c r="BA127" s="109"/>
      <c r="BB127" s="101"/>
      <c r="BC127" s="101"/>
      <c r="BD127" s="101"/>
      <c r="BE127" s="101"/>
      <c r="BF127" s="109"/>
      <c r="BG127" s="457"/>
      <c r="BH127" s="7"/>
      <c r="BI127" s="7"/>
      <c r="BJ127" s="7"/>
      <c r="BK127" s="109"/>
      <c r="BP127" s="153"/>
      <c r="BU127" s="7"/>
      <c r="BZ127" s="7"/>
      <c r="CA127" s="130">
        <f t="shared" si="166"/>
        <v>7.0000000000000007E-2</v>
      </c>
      <c r="CB127" s="130">
        <f t="shared" si="167"/>
        <v>7.0000000000000007E-2</v>
      </c>
      <c r="CC127" s="130">
        <f t="shared" si="168"/>
        <v>7.0000000000000007E-2</v>
      </c>
      <c r="CD127" s="130">
        <f t="shared" si="168"/>
        <v>7.0000000000000007E-2</v>
      </c>
      <c r="CE127" s="475">
        <v>7.0000000000000007E-2</v>
      </c>
      <c r="CJ127" s="7">
        <f>CE127</f>
        <v>7.0000000000000007E-2</v>
      </c>
      <c r="CO127" s="7">
        <f t="shared" si="169"/>
        <v>7.0000000000000007E-2</v>
      </c>
      <c r="CT127" s="7">
        <f t="shared" si="170"/>
        <v>7.0000000000000007E-2</v>
      </c>
      <c r="CY127" s="7">
        <f t="shared" si="171"/>
        <v>7.0000000000000007E-2</v>
      </c>
      <c r="DD127" s="7">
        <f t="shared" si="172"/>
        <v>7.0000000000000007E-2</v>
      </c>
      <c r="DI127" s="7">
        <f t="shared" si="173"/>
        <v>7.0000000000000007E-2</v>
      </c>
      <c r="DN127" s="7">
        <f t="shared" si="174"/>
        <v>7.0000000000000007E-2</v>
      </c>
      <c r="DS127" s="7">
        <f t="shared" si="175"/>
        <v>7.0000000000000007E-2</v>
      </c>
      <c r="DX127" s="7">
        <f t="shared" si="176"/>
        <v>7.0000000000000007E-2</v>
      </c>
      <c r="EC127" s="7">
        <f t="shared" si="177"/>
        <v>7.0000000000000007E-2</v>
      </c>
      <c r="EH127" s="7">
        <f t="shared" si="178"/>
        <v>7.0000000000000007E-2</v>
      </c>
      <c r="EM127" s="7">
        <f t="shared" si="179"/>
        <v>7.0000000000000007E-2</v>
      </c>
    </row>
    <row r="128" spans="1:143" customFormat="1">
      <c r="B128" s="360" t="s">
        <v>999</v>
      </c>
      <c r="C128" s="41"/>
      <c r="D128" s="97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101"/>
      <c r="AN128" s="101"/>
      <c r="AO128" s="101"/>
      <c r="AP128" s="101"/>
      <c r="AQ128" s="109"/>
      <c r="AR128" s="101"/>
      <c r="AS128" s="101"/>
      <c r="AT128" s="101"/>
      <c r="AU128" s="101"/>
      <c r="AV128" s="109"/>
      <c r="AW128" s="101"/>
      <c r="AX128" s="101"/>
      <c r="AY128" s="101"/>
      <c r="AZ128" s="101"/>
      <c r="BA128" s="109"/>
      <c r="BB128" s="101"/>
      <c r="BC128" s="101"/>
      <c r="BD128" s="101"/>
      <c r="BE128" s="101"/>
      <c r="BF128" s="109"/>
      <c r="BG128" s="457"/>
      <c r="BH128" s="7"/>
      <c r="BI128" s="7"/>
      <c r="BJ128" s="7"/>
      <c r="BK128" s="109"/>
      <c r="BP128" s="153"/>
      <c r="BU128" s="7">
        <v>0.3</v>
      </c>
      <c r="BZ128" s="7">
        <f>BU128+1.5%</f>
        <v>0.315</v>
      </c>
      <c r="CA128" s="130">
        <f t="shared" si="166"/>
        <v>0.33</v>
      </c>
      <c r="CB128" s="130">
        <f t="shared" si="167"/>
        <v>0.33</v>
      </c>
      <c r="CC128" s="130">
        <f t="shared" si="168"/>
        <v>0.33</v>
      </c>
      <c r="CD128" s="130">
        <f t="shared" si="168"/>
        <v>0.33</v>
      </c>
      <c r="CE128" s="7">
        <f>BZ128+1.5%</f>
        <v>0.33</v>
      </c>
      <c r="CJ128" s="7">
        <f>CE128+1.5%</f>
        <v>0.34500000000000003</v>
      </c>
      <c r="CO128" s="7">
        <f t="shared" si="169"/>
        <v>0.34500000000000003</v>
      </c>
      <c r="CT128" s="7">
        <f t="shared" si="170"/>
        <v>0.34500000000000003</v>
      </c>
      <c r="CY128" s="7">
        <f t="shared" si="171"/>
        <v>0.34500000000000003</v>
      </c>
      <c r="DD128" s="7">
        <f t="shared" si="172"/>
        <v>0.34500000000000003</v>
      </c>
      <c r="DI128" s="7">
        <f t="shared" si="173"/>
        <v>0.34500000000000003</v>
      </c>
      <c r="DN128" s="7">
        <f t="shared" si="174"/>
        <v>0.34500000000000003</v>
      </c>
      <c r="DS128" s="7">
        <f t="shared" si="175"/>
        <v>0.34500000000000003</v>
      </c>
      <c r="DX128" s="7">
        <f t="shared" si="176"/>
        <v>0.34500000000000003</v>
      </c>
      <c r="EC128" s="7">
        <f t="shared" si="177"/>
        <v>0.34500000000000003</v>
      </c>
      <c r="EH128" s="7">
        <f t="shared" si="178"/>
        <v>0.34500000000000003</v>
      </c>
      <c r="EM128" s="7">
        <f t="shared" si="179"/>
        <v>0.34500000000000003</v>
      </c>
    </row>
    <row r="129" spans="2:143" customFormat="1">
      <c r="B129" s="365" t="s">
        <v>916</v>
      </c>
      <c r="C129" s="41"/>
      <c r="D129" s="97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101"/>
      <c r="AN129" s="101"/>
      <c r="AO129" s="101"/>
      <c r="AP129" s="101"/>
      <c r="AQ129" s="109"/>
      <c r="AR129" s="101"/>
      <c r="AS129" s="101"/>
      <c r="AT129" s="101"/>
      <c r="AU129" s="101"/>
      <c r="AV129" s="109"/>
      <c r="AW129" s="101"/>
      <c r="AX129" s="101"/>
      <c r="AY129" s="101"/>
      <c r="AZ129" s="101"/>
      <c r="BA129" s="109"/>
      <c r="BB129" s="101"/>
      <c r="BC129" s="101"/>
      <c r="BD129" s="101"/>
      <c r="BE129" s="101"/>
      <c r="BF129" s="109"/>
      <c r="BG129" s="457"/>
      <c r="BH129" s="7"/>
      <c r="BI129" s="7"/>
      <c r="BJ129" s="7"/>
      <c r="BK129" s="109"/>
      <c r="BP129" s="153"/>
      <c r="BQ129" s="7">
        <f>BU129</f>
        <v>0.3</v>
      </c>
      <c r="BR129" s="7">
        <f>BQ129</f>
        <v>0.3</v>
      </c>
      <c r="BS129" s="7">
        <f t="shared" ref="BS129:BT129" si="188">BR129</f>
        <v>0.3</v>
      </c>
      <c r="BT129" s="7">
        <f t="shared" si="188"/>
        <v>0.3</v>
      </c>
      <c r="BU129" s="7">
        <v>0.3</v>
      </c>
      <c r="BV129" s="7">
        <f>BZ129</f>
        <v>0.315</v>
      </c>
      <c r="BW129" s="7">
        <f>BV129</f>
        <v>0.315</v>
      </c>
      <c r="BX129" s="130">
        <f t="shared" ref="BX129:BY129" si="189">BW129</f>
        <v>0.315</v>
      </c>
      <c r="BY129" s="130">
        <f t="shared" si="189"/>
        <v>0.315</v>
      </c>
      <c r="BZ129" s="7">
        <f>BU129+1.5%</f>
        <v>0.315</v>
      </c>
      <c r="CA129" s="130">
        <f t="shared" si="166"/>
        <v>0.33</v>
      </c>
      <c r="CB129" s="130">
        <f t="shared" si="167"/>
        <v>0.33</v>
      </c>
      <c r="CC129" s="130">
        <f t="shared" si="168"/>
        <v>0.33</v>
      </c>
      <c r="CD129" s="130">
        <f t="shared" si="168"/>
        <v>0.33</v>
      </c>
      <c r="CE129" s="7">
        <f>BZ129+1.5%</f>
        <v>0.33</v>
      </c>
      <c r="CJ129" s="7">
        <f>CE129+1.5%</f>
        <v>0.34500000000000003</v>
      </c>
      <c r="CO129" s="7">
        <f t="shared" si="169"/>
        <v>0.34500000000000003</v>
      </c>
      <c r="CT129" s="7">
        <f t="shared" si="170"/>
        <v>0.34500000000000003</v>
      </c>
      <c r="CY129" s="7">
        <f t="shared" si="171"/>
        <v>0.34500000000000003</v>
      </c>
      <c r="DD129" s="7">
        <f t="shared" si="172"/>
        <v>0.34500000000000003</v>
      </c>
      <c r="DI129" s="7">
        <f t="shared" si="173"/>
        <v>0.34500000000000003</v>
      </c>
      <c r="DN129" s="7">
        <f t="shared" si="174"/>
        <v>0.34500000000000003</v>
      </c>
      <c r="DS129" s="7">
        <f t="shared" si="175"/>
        <v>0.34500000000000003</v>
      </c>
      <c r="DX129" s="7">
        <f t="shared" si="176"/>
        <v>0.34500000000000003</v>
      </c>
      <c r="EC129" s="7">
        <f t="shared" si="177"/>
        <v>0.34500000000000003</v>
      </c>
      <c r="EH129" s="7">
        <f t="shared" si="178"/>
        <v>0.34500000000000003</v>
      </c>
      <c r="EM129" s="7">
        <f t="shared" si="179"/>
        <v>0.34500000000000003</v>
      </c>
    </row>
    <row r="130" spans="2:143" customFormat="1">
      <c r="B130" s="449" t="s">
        <v>123</v>
      </c>
      <c r="C130" s="41"/>
      <c r="D130" s="97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101">
        <v>0.15</v>
      </c>
      <c r="AM130" s="101">
        <f>AL130</f>
        <v>0.15</v>
      </c>
      <c r="AN130" s="101">
        <f>AM130</f>
        <v>0.15</v>
      </c>
      <c r="AO130" s="101">
        <f>AN130</f>
        <v>0.15</v>
      </c>
      <c r="AP130" s="101">
        <f>AO130</f>
        <v>0.15</v>
      </c>
      <c r="AQ130" s="109">
        <f>AQ150/AQ36</f>
        <v>0.15000000000000002</v>
      </c>
      <c r="AR130" s="101">
        <f t="shared" ref="AR130:AU131" si="190">AQ130</f>
        <v>0.15000000000000002</v>
      </c>
      <c r="AS130" s="101">
        <f t="shared" si="190"/>
        <v>0.15000000000000002</v>
      </c>
      <c r="AT130" s="101">
        <f t="shared" si="190"/>
        <v>0.15000000000000002</v>
      </c>
      <c r="AU130" s="101">
        <f t="shared" si="190"/>
        <v>0.15000000000000002</v>
      </c>
      <c r="AV130" s="109">
        <f>AV150/AV36</f>
        <v>0.15000000000000005</v>
      </c>
      <c r="AW130" s="101">
        <v>0.13</v>
      </c>
      <c r="AX130" s="101">
        <f t="shared" ref="AX130:AZ131" si="191">AW130</f>
        <v>0.13</v>
      </c>
      <c r="AY130" s="101">
        <f t="shared" si="191"/>
        <v>0.13</v>
      </c>
      <c r="AZ130" s="101">
        <f t="shared" si="191"/>
        <v>0.13</v>
      </c>
      <c r="BA130" s="109">
        <f>BA150/BA36</f>
        <v>0.13</v>
      </c>
      <c r="BB130" s="101">
        <v>0.13</v>
      </c>
      <c r="BC130" s="101">
        <f t="shared" ref="BC130:BE131" si="192">BB130</f>
        <v>0.13</v>
      </c>
      <c r="BD130" s="101">
        <f t="shared" si="192"/>
        <v>0.13</v>
      </c>
      <c r="BE130" s="101">
        <f t="shared" si="192"/>
        <v>0.13</v>
      </c>
      <c r="BF130" s="109">
        <f>BF150/BF36</f>
        <v>0.13</v>
      </c>
      <c r="BG130" s="101">
        <f>BE130</f>
        <v>0.13</v>
      </c>
      <c r="BH130" s="7">
        <f t="shared" ref="BH130:BJ131" si="193">BG130</f>
        <v>0.13</v>
      </c>
      <c r="BI130" s="7">
        <f t="shared" si="193"/>
        <v>0.13</v>
      </c>
      <c r="BJ130" s="7">
        <f t="shared" si="193"/>
        <v>0.13</v>
      </c>
      <c r="BK130" s="109">
        <f>BK150/BK36</f>
        <v>0.13</v>
      </c>
      <c r="BL130" s="7">
        <f>BJ130</f>
        <v>0.13</v>
      </c>
      <c r="BM130" s="7">
        <f t="shared" ref="BM130:BO131" si="194">BL130</f>
        <v>0.13</v>
      </c>
      <c r="BN130" s="7">
        <f t="shared" si="194"/>
        <v>0.13</v>
      </c>
      <c r="BO130" s="7">
        <f t="shared" si="194"/>
        <v>0.13</v>
      </c>
      <c r="BP130" s="153">
        <f>BP150/BP36</f>
        <v>0.13</v>
      </c>
      <c r="BQ130" s="7">
        <f t="shared" ref="BQ130:BT131" si="195">BP130</f>
        <v>0.13</v>
      </c>
      <c r="BR130" s="7">
        <f t="shared" si="195"/>
        <v>0.13</v>
      </c>
      <c r="BS130" s="7">
        <f t="shared" si="195"/>
        <v>0.13</v>
      </c>
      <c r="BT130" s="7">
        <f t="shared" si="195"/>
        <v>0.13</v>
      </c>
      <c r="BU130" s="7">
        <f t="shared" si="182"/>
        <v>0.13</v>
      </c>
      <c r="BV130" s="7">
        <f>BZ130</f>
        <v>0.13</v>
      </c>
      <c r="BW130" s="7">
        <f>BV130</f>
        <v>0.13</v>
      </c>
      <c r="BX130" s="130">
        <f t="shared" ref="BX130:BY130" si="196">BW130</f>
        <v>0.13</v>
      </c>
      <c r="BY130" s="130">
        <f t="shared" si="196"/>
        <v>0.13</v>
      </c>
      <c r="BZ130" s="7">
        <f>BU130</f>
        <v>0.13</v>
      </c>
      <c r="CA130" s="130">
        <f t="shared" si="166"/>
        <v>0.13</v>
      </c>
      <c r="CB130" s="130">
        <f t="shared" si="167"/>
        <v>0.13</v>
      </c>
      <c r="CC130" s="130">
        <f t="shared" si="168"/>
        <v>0.13</v>
      </c>
      <c r="CD130" s="130">
        <f t="shared" si="168"/>
        <v>0.13</v>
      </c>
      <c r="CE130" s="7">
        <f t="shared" si="184"/>
        <v>0.13</v>
      </c>
      <c r="CJ130" s="7">
        <f t="shared" si="185"/>
        <v>0.13</v>
      </c>
      <c r="CO130" s="7">
        <f t="shared" si="169"/>
        <v>0.13</v>
      </c>
      <c r="CT130" s="7">
        <f t="shared" ref="CT130:CT138" si="197">CO130</f>
        <v>0.13</v>
      </c>
      <c r="CY130" s="7">
        <f t="shared" ref="CY130:CY138" si="198">CT130</f>
        <v>0.13</v>
      </c>
      <c r="DD130" s="7">
        <f t="shared" ref="DD130:DD138" si="199">CY130</f>
        <v>0.13</v>
      </c>
      <c r="DI130" s="7">
        <f t="shared" ref="DI130:DI138" si="200">DD130</f>
        <v>0.13</v>
      </c>
      <c r="DN130" s="7">
        <f t="shared" ref="DN130:DN138" si="201">DI130</f>
        <v>0.13</v>
      </c>
      <c r="DS130" s="7">
        <f t="shared" ref="DS130:DS138" si="202">DN130</f>
        <v>0.13</v>
      </c>
      <c r="DX130" s="7">
        <f t="shared" ref="DX130:DX138" si="203">DS130</f>
        <v>0.13</v>
      </c>
      <c r="EC130" s="7">
        <f t="shared" ref="EC130:EC138" si="204">DX130</f>
        <v>0.13</v>
      </c>
      <c r="EH130" s="7">
        <f t="shared" ref="EH130:EH138" si="205">EC130</f>
        <v>0.13</v>
      </c>
      <c r="EM130" s="7">
        <f t="shared" ref="EM130:EM138" si="206">EH130</f>
        <v>0.13</v>
      </c>
    </row>
    <row r="131" spans="2:143" customFormat="1">
      <c r="B131" s="449" t="s">
        <v>177</v>
      </c>
      <c r="C131" s="41"/>
      <c r="D131" s="97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101">
        <v>0.1</v>
      </c>
      <c r="AN131" s="101">
        <f>AM131</f>
        <v>0.1</v>
      </c>
      <c r="AO131" s="101">
        <f>AN131</f>
        <v>0.1</v>
      </c>
      <c r="AP131" s="101">
        <f>AO131</f>
        <v>0.1</v>
      </c>
      <c r="AQ131" s="109">
        <f>AQ151/AQ38</f>
        <v>0.1</v>
      </c>
      <c r="AR131" s="101">
        <f t="shared" si="190"/>
        <v>0.1</v>
      </c>
      <c r="AS131" s="101">
        <f t="shared" si="190"/>
        <v>0.1</v>
      </c>
      <c r="AT131" s="101">
        <f t="shared" si="190"/>
        <v>0.1</v>
      </c>
      <c r="AU131" s="101">
        <f t="shared" si="190"/>
        <v>0.1</v>
      </c>
      <c r="AV131" s="109">
        <f>AV151/AV38</f>
        <v>0.1</v>
      </c>
      <c r="AW131" s="101">
        <v>0.09</v>
      </c>
      <c r="AX131" s="101">
        <f t="shared" si="191"/>
        <v>0.09</v>
      </c>
      <c r="AY131" s="101">
        <f t="shared" si="191"/>
        <v>0.09</v>
      </c>
      <c r="AZ131" s="101">
        <f t="shared" si="191"/>
        <v>0.09</v>
      </c>
      <c r="BA131" s="109">
        <f>BA151/BA38</f>
        <v>0.09</v>
      </c>
      <c r="BB131" s="101">
        <v>0.09</v>
      </c>
      <c r="BC131" s="101">
        <f t="shared" si="192"/>
        <v>0.09</v>
      </c>
      <c r="BD131" s="101">
        <f t="shared" si="192"/>
        <v>0.09</v>
      </c>
      <c r="BE131" s="101">
        <f t="shared" si="192"/>
        <v>0.09</v>
      </c>
      <c r="BF131" s="109">
        <f>BF151/BF38</f>
        <v>0.09</v>
      </c>
      <c r="BG131" s="101">
        <f>BE131</f>
        <v>0.09</v>
      </c>
      <c r="BH131" s="7">
        <f t="shared" si="193"/>
        <v>0.09</v>
      </c>
      <c r="BI131" s="7">
        <f t="shared" si="193"/>
        <v>0.09</v>
      </c>
      <c r="BJ131" s="7">
        <f t="shared" si="193"/>
        <v>0.09</v>
      </c>
      <c r="BK131" s="109">
        <f>BK151/BK38</f>
        <v>8.9999999999999983E-2</v>
      </c>
      <c r="BL131" s="7">
        <f>BJ131</f>
        <v>0.09</v>
      </c>
      <c r="BM131" s="7">
        <f t="shared" si="194"/>
        <v>0.09</v>
      </c>
      <c r="BN131" s="7">
        <f t="shared" si="194"/>
        <v>0.09</v>
      </c>
      <c r="BO131" s="7">
        <f t="shared" si="194"/>
        <v>0.09</v>
      </c>
      <c r="BP131" s="153">
        <f>BP151/BP38</f>
        <v>0.09</v>
      </c>
      <c r="BQ131" s="7">
        <f t="shared" si="195"/>
        <v>0.09</v>
      </c>
      <c r="BR131" s="7">
        <f t="shared" si="195"/>
        <v>0.09</v>
      </c>
      <c r="BS131" s="7">
        <f t="shared" si="195"/>
        <v>0.09</v>
      </c>
      <c r="BT131" s="7">
        <f t="shared" si="195"/>
        <v>0.09</v>
      </c>
      <c r="BU131" s="7">
        <f t="shared" si="182"/>
        <v>0.09</v>
      </c>
      <c r="BV131" s="7">
        <f>BZ131</f>
        <v>0.09</v>
      </c>
      <c r="BW131" s="7">
        <f>BV131</f>
        <v>0.09</v>
      </c>
      <c r="BX131" s="130">
        <f t="shared" ref="BX131:BY131" si="207">BW131</f>
        <v>0.09</v>
      </c>
      <c r="BY131" s="130">
        <f t="shared" si="207"/>
        <v>0.09</v>
      </c>
      <c r="BZ131" s="7">
        <f>BU131</f>
        <v>0.09</v>
      </c>
      <c r="CA131" s="130">
        <f t="shared" si="166"/>
        <v>0.09</v>
      </c>
      <c r="CB131" s="130">
        <f t="shared" si="167"/>
        <v>0.09</v>
      </c>
      <c r="CC131" s="130">
        <f t="shared" si="168"/>
        <v>0.09</v>
      </c>
      <c r="CD131" s="130">
        <f t="shared" si="168"/>
        <v>0.09</v>
      </c>
      <c r="CE131" s="7">
        <f t="shared" si="184"/>
        <v>0.09</v>
      </c>
      <c r="CJ131" s="7">
        <f t="shared" si="185"/>
        <v>0.09</v>
      </c>
      <c r="CO131" s="7">
        <f t="shared" si="169"/>
        <v>0.09</v>
      </c>
      <c r="CT131" s="7">
        <f t="shared" si="197"/>
        <v>0.09</v>
      </c>
      <c r="CY131" s="7">
        <f t="shared" si="198"/>
        <v>0.09</v>
      </c>
      <c r="DD131" s="7">
        <f t="shared" si="199"/>
        <v>0.09</v>
      </c>
      <c r="DI131" s="7">
        <f t="shared" si="200"/>
        <v>0.09</v>
      </c>
      <c r="DN131" s="7">
        <f t="shared" si="201"/>
        <v>0.09</v>
      </c>
      <c r="DS131" s="7">
        <f t="shared" si="202"/>
        <v>0.09</v>
      </c>
      <c r="DX131" s="7">
        <f t="shared" si="203"/>
        <v>0.09</v>
      </c>
      <c r="EC131" s="7">
        <f t="shared" si="204"/>
        <v>0.09</v>
      </c>
      <c r="EH131" s="7">
        <f t="shared" si="205"/>
        <v>0.09</v>
      </c>
      <c r="EM131" s="7">
        <f t="shared" si="206"/>
        <v>0.09</v>
      </c>
    </row>
    <row r="132" spans="2:143" customFormat="1">
      <c r="B132" s="365" t="s">
        <v>956</v>
      </c>
      <c r="C132" s="41"/>
      <c r="D132" s="97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101"/>
      <c r="AN132" s="101"/>
      <c r="AO132" s="101"/>
      <c r="AP132" s="101"/>
      <c r="AQ132" s="109"/>
      <c r="AR132" s="101"/>
      <c r="AS132" s="101"/>
      <c r="AT132" s="101"/>
      <c r="AU132" s="101"/>
      <c r="AV132" s="109"/>
      <c r="AW132" s="101"/>
      <c r="AX132" s="101"/>
      <c r="AY132" s="101"/>
      <c r="AZ132" s="101"/>
      <c r="BA132" s="109"/>
      <c r="BB132" s="101"/>
      <c r="BC132" s="101"/>
      <c r="BD132" s="101"/>
      <c r="BE132" s="101"/>
      <c r="BF132" s="109"/>
      <c r="BG132" s="101"/>
      <c r="BH132" s="7"/>
      <c r="BI132" s="7"/>
      <c r="BJ132" s="7"/>
      <c r="BK132" s="109"/>
      <c r="BL132" s="7"/>
      <c r="BM132" s="7"/>
      <c r="BN132" s="7"/>
      <c r="BO132" s="7"/>
      <c r="BP132" s="7"/>
      <c r="BU132" s="7"/>
      <c r="BZ132" s="7"/>
      <c r="CE132" s="7"/>
      <c r="CJ132" s="475"/>
      <c r="CO132" s="475">
        <v>0.25</v>
      </c>
      <c r="CP132" s="7">
        <f>CK132</f>
        <v>0</v>
      </c>
      <c r="CQ132" s="7">
        <f>CL132</f>
        <v>0</v>
      </c>
      <c r="CR132" s="7">
        <f>CM132</f>
        <v>0</v>
      </c>
      <c r="CS132" s="7">
        <f>CN132</f>
        <v>0</v>
      </c>
      <c r="CT132" s="7">
        <f>CO132+0.0625</f>
        <v>0.3125</v>
      </c>
      <c r="CU132" s="7">
        <f t="shared" ref="CU132:DD132" si="208">CP132+0.0625</f>
        <v>6.25E-2</v>
      </c>
      <c r="CV132" s="7">
        <f t="shared" si="208"/>
        <v>6.25E-2</v>
      </c>
      <c r="CW132" s="7">
        <f t="shared" si="208"/>
        <v>6.25E-2</v>
      </c>
      <c r="CX132" s="7">
        <f t="shared" si="208"/>
        <v>6.25E-2</v>
      </c>
      <c r="CY132" s="7">
        <f t="shared" si="208"/>
        <v>0.375</v>
      </c>
      <c r="CZ132" s="7">
        <f t="shared" si="208"/>
        <v>0.125</v>
      </c>
      <c r="DA132" s="7">
        <f t="shared" si="208"/>
        <v>0.125</v>
      </c>
      <c r="DB132" s="7">
        <f t="shared" si="208"/>
        <v>0.125</v>
      </c>
      <c r="DC132" s="7">
        <f t="shared" si="208"/>
        <v>0.125</v>
      </c>
      <c r="DD132" s="7">
        <f t="shared" si="208"/>
        <v>0.4375</v>
      </c>
      <c r="DE132" s="7">
        <f>CZ132+0.0625</f>
        <v>0.1875</v>
      </c>
      <c r="DF132" s="7">
        <f t="shared" ref="DF132" si="209">DA132+0.0625</f>
        <v>0.1875</v>
      </c>
      <c r="DG132" s="7">
        <f t="shared" ref="DG132" si="210">DB132+0.0625</f>
        <v>0.1875</v>
      </c>
      <c r="DH132" s="7">
        <f t="shared" ref="DH132" si="211">DC132+0.0625</f>
        <v>0.1875</v>
      </c>
      <c r="DI132" s="7">
        <f t="shared" ref="DI132" si="212">DD132+0.0625</f>
        <v>0.5</v>
      </c>
      <c r="DJ132" s="7">
        <f>DE132</f>
        <v>0.1875</v>
      </c>
      <c r="DK132" s="7">
        <f>DF132</f>
        <v>0.1875</v>
      </c>
      <c r="DL132" s="7">
        <f>DG132</f>
        <v>0.1875</v>
      </c>
      <c r="DM132" s="7">
        <f>DH132</f>
        <v>0.1875</v>
      </c>
      <c r="DN132" s="7">
        <f>DI132</f>
        <v>0.5</v>
      </c>
      <c r="DS132" s="7">
        <f t="shared" si="202"/>
        <v>0.5</v>
      </c>
      <c r="DX132" s="7">
        <f t="shared" si="203"/>
        <v>0.5</v>
      </c>
      <c r="EC132" s="7">
        <f t="shared" si="204"/>
        <v>0.5</v>
      </c>
      <c r="EH132" s="7">
        <f t="shared" si="205"/>
        <v>0.5</v>
      </c>
      <c r="EM132" s="7">
        <f t="shared" si="206"/>
        <v>0.5</v>
      </c>
    </row>
    <row r="133" spans="2:143" customFormat="1">
      <c r="B133" s="365" t="s">
        <v>1193</v>
      </c>
      <c r="C133" s="41"/>
      <c r="D133" s="97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101"/>
      <c r="AN133" s="101"/>
      <c r="AO133" s="101"/>
      <c r="AP133" s="101"/>
      <c r="AQ133" s="109"/>
      <c r="AR133" s="101"/>
      <c r="AS133" s="101"/>
      <c r="AT133" s="101"/>
      <c r="AU133" s="101"/>
      <c r="AV133" s="109"/>
      <c r="AW133" s="101"/>
      <c r="AX133" s="101"/>
      <c r="AY133" s="101"/>
      <c r="AZ133" s="101"/>
      <c r="BA133" s="109"/>
      <c r="BB133" s="101"/>
      <c r="BC133" s="101"/>
      <c r="BD133" s="101"/>
      <c r="BE133" s="101"/>
      <c r="BF133" s="109"/>
      <c r="BG133" s="101"/>
      <c r="BH133" s="7"/>
      <c r="BI133" s="7"/>
      <c r="BJ133" s="7"/>
      <c r="BK133" s="109"/>
      <c r="BL133" s="7"/>
      <c r="BM133" s="7"/>
      <c r="BN133" s="7"/>
      <c r="BO133" s="7"/>
      <c r="BP133" s="7"/>
      <c r="BU133" s="7"/>
      <c r="BZ133" s="7"/>
      <c r="CE133" s="7"/>
      <c r="CJ133" s="475">
        <v>0.35</v>
      </c>
      <c r="CO133" s="7">
        <f>CJ133-0.0375</f>
        <v>0.3125</v>
      </c>
      <c r="CT133" s="7">
        <f>CO133-0.0375</f>
        <v>0.27500000000000002</v>
      </c>
      <c r="CY133" s="7">
        <f>CT133-0.0375</f>
        <v>0.23750000000000002</v>
      </c>
      <c r="DD133" s="7">
        <f>CY133-0.0375</f>
        <v>0.2</v>
      </c>
      <c r="DE133">
        <f t="shared" ref="DD133:DR135" si="213">CZ133</f>
        <v>0</v>
      </c>
      <c r="DF133">
        <f t="shared" si="213"/>
        <v>0</v>
      </c>
      <c r="DG133">
        <f t="shared" si="213"/>
        <v>0</v>
      </c>
      <c r="DH133">
        <f t="shared" si="213"/>
        <v>0</v>
      </c>
      <c r="DI133" s="123">
        <f>DD133</f>
        <v>0.2</v>
      </c>
      <c r="DJ133">
        <f t="shared" si="213"/>
        <v>0</v>
      </c>
      <c r="DK133">
        <f t="shared" si="213"/>
        <v>0</v>
      </c>
      <c r="DL133">
        <f t="shared" si="213"/>
        <v>0</v>
      </c>
      <c r="DM133">
        <f t="shared" si="213"/>
        <v>0</v>
      </c>
      <c r="DN133" s="7">
        <f>DI133</f>
        <v>0.2</v>
      </c>
      <c r="DO133">
        <f>DJ133</f>
        <v>0</v>
      </c>
      <c r="DP133">
        <f>DK133</f>
        <v>0</v>
      </c>
      <c r="DQ133">
        <f>DL133</f>
        <v>0</v>
      </c>
      <c r="DR133">
        <f>DM133</f>
        <v>0</v>
      </c>
      <c r="DS133" s="7">
        <f t="shared" si="202"/>
        <v>0.2</v>
      </c>
      <c r="DT133">
        <f>DO133</f>
        <v>0</v>
      </c>
      <c r="DU133">
        <f>DP133</f>
        <v>0</v>
      </c>
      <c r="DV133">
        <f>DQ133</f>
        <v>0</v>
      </c>
      <c r="DW133">
        <f>DR133</f>
        <v>0</v>
      </c>
      <c r="DX133" s="7">
        <f t="shared" si="203"/>
        <v>0.2</v>
      </c>
      <c r="DY133">
        <f>DT133</f>
        <v>0</v>
      </c>
      <c r="DZ133">
        <f>DU133</f>
        <v>0</v>
      </c>
      <c r="EA133">
        <f>DV133</f>
        <v>0</v>
      </c>
      <c r="EB133">
        <f>DW133</f>
        <v>0</v>
      </c>
      <c r="EC133" s="7">
        <f t="shared" si="204"/>
        <v>0.2</v>
      </c>
      <c r="ED133">
        <f>DY133</f>
        <v>0</v>
      </c>
      <c r="EE133">
        <f>DZ133</f>
        <v>0</v>
      </c>
      <c r="EF133">
        <f>EA133</f>
        <v>0</v>
      </c>
      <c r="EG133">
        <f>EB133</f>
        <v>0</v>
      </c>
      <c r="EH133" s="7">
        <f t="shared" si="205"/>
        <v>0.2</v>
      </c>
      <c r="EI133">
        <f>ED133</f>
        <v>0</v>
      </c>
      <c r="EJ133">
        <f>EE133</f>
        <v>0</v>
      </c>
      <c r="EK133">
        <f>EF133</f>
        <v>0</v>
      </c>
      <c r="EL133">
        <f>EG133</f>
        <v>0</v>
      </c>
      <c r="EM133" s="7">
        <f t="shared" si="206"/>
        <v>0.2</v>
      </c>
    </row>
    <row r="134" spans="2:143" customFormat="1">
      <c r="B134" s="365" t="s">
        <v>973</v>
      </c>
      <c r="C134" s="41"/>
      <c r="D134" s="97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101"/>
      <c r="AN134" s="101"/>
      <c r="AO134" s="101"/>
      <c r="AP134" s="101"/>
      <c r="AQ134" s="109"/>
      <c r="AR134" s="101"/>
      <c r="AS134" s="101"/>
      <c r="AT134" s="101"/>
      <c r="AU134" s="101"/>
      <c r="AV134" s="109"/>
      <c r="AW134" s="101"/>
      <c r="AX134" s="101"/>
      <c r="AY134" s="101"/>
      <c r="AZ134" s="101"/>
      <c r="BA134" s="109"/>
      <c r="BB134" s="101"/>
      <c r="BC134" s="101"/>
      <c r="BD134" s="101"/>
      <c r="BE134" s="101"/>
      <c r="BF134" s="109"/>
      <c r="BG134" s="101"/>
      <c r="BH134" s="7"/>
      <c r="BI134" s="7"/>
      <c r="BJ134" s="7"/>
      <c r="BK134" s="109"/>
      <c r="BL134" s="7"/>
      <c r="BM134" s="7"/>
      <c r="BN134" s="7"/>
      <c r="BO134" s="7"/>
      <c r="BP134" s="7"/>
      <c r="BU134" s="7"/>
      <c r="BZ134" s="7"/>
      <c r="CA134" s="7">
        <f>CE134</f>
        <v>7.0000000000000007E-2</v>
      </c>
      <c r="CB134" s="7">
        <f>CA134</f>
        <v>7.0000000000000007E-2</v>
      </c>
      <c r="CC134" s="130">
        <f t="shared" ref="CC134:CD134" si="214">CB134</f>
        <v>7.0000000000000007E-2</v>
      </c>
      <c r="CD134" s="130">
        <f t="shared" si="214"/>
        <v>7.0000000000000007E-2</v>
      </c>
      <c r="CE134" s="475">
        <v>7.0000000000000007E-2</v>
      </c>
      <c r="CJ134" s="123">
        <f>CE134</f>
        <v>7.0000000000000007E-2</v>
      </c>
      <c r="CO134" s="7">
        <f t="shared" ref="CO134:DC135" si="215">CJ134</f>
        <v>7.0000000000000007E-2</v>
      </c>
      <c r="CP134">
        <f t="shared" si="215"/>
        <v>0</v>
      </c>
      <c r="CQ134">
        <f t="shared" si="215"/>
        <v>0</v>
      </c>
      <c r="CR134">
        <f t="shared" si="215"/>
        <v>0</v>
      </c>
      <c r="CS134">
        <f t="shared" si="215"/>
        <v>0</v>
      </c>
      <c r="CT134" s="7">
        <f t="shared" si="215"/>
        <v>7.0000000000000007E-2</v>
      </c>
      <c r="CU134">
        <f t="shared" si="215"/>
        <v>0</v>
      </c>
      <c r="CV134">
        <f t="shared" si="215"/>
        <v>0</v>
      </c>
      <c r="CW134">
        <f t="shared" si="215"/>
        <v>0</v>
      </c>
      <c r="CX134">
        <f t="shared" si="215"/>
        <v>0</v>
      </c>
      <c r="CY134" s="7">
        <f t="shared" si="215"/>
        <v>7.0000000000000007E-2</v>
      </c>
      <c r="CZ134">
        <f t="shared" si="215"/>
        <v>0</v>
      </c>
      <c r="DA134">
        <f t="shared" si="215"/>
        <v>0</v>
      </c>
      <c r="DB134">
        <f t="shared" si="215"/>
        <v>0</v>
      </c>
      <c r="DC134">
        <f t="shared" si="215"/>
        <v>0</v>
      </c>
      <c r="DD134" s="7">
        <f t="shared" si="213"/>
        <v>7.0000000000000007E-2</v>
      </c>
      <c r="DE134">
        <f t="shared" si="213"/>
        <v>0</v>
      </c>
      <c r="DF134">
        <f t="shared" si="213"/>
        <v>0</v>
      </c>
      <c r="DG134">
        <f t="shared" si="213"/>
        <v>0</v>
      </c>
      <c r="DH134">
        <f t="shared" si="213"/>
        <v>0</v>
      </c>
      <c r="DI134" s="123">
        <f t="shared" si="213"/>
        <v>7.0000000000000007E-2</v>
      </c>
      <c r="DJ134">
        <f t="shared" si="213"/>
        <v>0</v>
      </c>
      <c r="DK134">
        <f t="shared" si="213"/>
        <v>0</v>
      </c>
      <c r="DL134">
        <f t="shared" si="213"/>
        <v>0</v>
      </c>
      <c r="DM134">
        <f t="shared" si="213"/>
        <v>0</v>
      </c>
      <c r="DN134" s="7">
        <f t="shared" si="213"/>
        <v>7.0000000000000007E-2</v>
      </c>
      <c r="DO134">
        <f t="shared" si="213"/>
        <v>0</v>
      </c>
      <c r="DP134">
        <f t="shared" si="213"/>
        <v>0</v>
      </c>
      <c r="DQ134">
        <f t="shared" si="213"/>
        <v>0</v>
      </c>
      <c r="DR134">
        <f t="shared" si="213"/>
        <v>0</v>
      </c>
      <c r="DS134" s="7">
        <f t="shared" si="202"/>
        <v>7.0000000000000007E-2</v>
      </c>
      <c r="DT134">
        <f t="shared" ref="DT134:DW135" si="216">DO134</f>
        <v>0</v>
      </c>
      <c r="DU134">
        <f t="shared" si="216"/>
        <v>0</v>
      </c>
      <c r="DV134">
        <f t="shared" si="216"/>
        <v>0</v>
      </c>
      <c r="DW134">
        <f t="shared" si="216"/>
        <v>0</v>
      </c>
      <c r="DX134" s="7">
        <f t="shared" si="203"/>
        <v>7.0000000000000007E-2</v>
      </c>
      <c r="DY134">
        <f t="shared" ref="DY134:EB135" si="217">DT134</f>
        <v>0</v>
      </c>
      <c r="DZ134">
        <f t="shared" si="217"/>
        <v>0</v>
      </c>
      <c r="EA134">
        <f t="shared" si="217"/>
        <v>0</v>
      </c>
      <c r="EB134">
        <f t="shared" si="217"/>
        <v>0</v>
      </c>
      <c r="EC134" s="7">
        <f t="shared" si="204"/>
        <v>7.0000000000000007E-2</v>
      </c>
      <c r="ED134">
        <f t="shared" ref="ED134:EG135" si="218">DY134</f>
        <v>0</v>
      </c>
      <c r="EE134">
        <f t="shared" si="218"/>
        <v>0</v>
      </c>
      <c r="EF134">
        <f t="shared" si="218"/>
        <v>0</v>
      </c>
      <c r="EG134">
        <f t="shared" si="218"/>
        <v>0</v>
      </c>
      <c r="EH134" s="7">
        <f t="shared" si="205"/>
        <v>7.0000000000000007E-2</v>
      </c>
      <c r="EI134">
        <f t="shared" ref="EI134:EL135" si="219">ED134</f>
        <v>0</v>
      </c>
      <c r="EJ134">
        <f t="shared" si="219"/>
        <v>0</v>
      </c>
      <c r="EK134">
        <f t="shared" si="219"/>
        <v>0</v>
      </c>
      <c r="EL134">
        <f t="shared" si="219"/>
        <v>0</v>
      </c>
      <c r="EM134" s="7">
        <f t="shared" si="206"/>
        <v>7.0000000000000007E-2</v>
      </c>
    </row>
    <row r="135" spans="2:143" customFormat="1">
      <c r="B135" s="365" t="s">
        <v>974</v>
      </c>
      <c r="C135" s="41"/>
      <c r="D135" s="97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101"/>
      <c r="AN135" s="101"/>
      <c r="AO135" s="101"/>
      <c r="AP135" s="101"/>
      <c r="AQ135" s="109"/>
      <c r="AR135" s="101"/>
      <c r="AS135" s="101"/>
      <c r="AT135" s="101"/>
      <c r="AU135" s="101"/>
      <c r="AV135" s="109"/>
      <c r="AW135" s="101"/>
      <c r="AX135" s="101"/>
      <c r="AY135" s="101"/>
      <c r="AZ135" s="101"/>
      <c r="BA135" s="109"/>
      <c r="BB135" s="101"/>
      <c r="BC135" s="101"/>
      <c r="BD135" s="101"/>
      <c r="BE135" s="101"/>
      <c r="BF135" s="109"/>
      <c r="BG135" s="101"/>
      <c r="BH135" s="7"/>
      <c r="BI135" s="7"/>
      <c r="BJ135" s="7"/>
      <c r="BK135" s="109"/>
      <c r="BL135" s="7"/>
      <c r="BM135" s="7"/>
      <c r="BN135" s="7"/>
      <c r="BO135" s="7"/>
      <c r="BP135" s="7"/>
      <c r="BU135" s="7"/>
      <c r="BZ135" s="7"/>
      <c r="CE135" s="475"/>
      <c r="CJ135" s="475">
        <v>7.0000000000000007E-2</v>
      </c>
      <c r="CO135" s="7">
        <f>CJ135</f>
        <v>7.0000000000000007E-2</v>
      </c>
      <c r="CT135" s="7">
        <f t="shared" si="215"/>
        <v>7.0000000000000007E-2</v>
      </c>
      <c r="CU135">
        <f t="shared" si="215"/>
        <v>0</v>
      </c>
      <c r="CV135">
        <f t="shared" si="215"/>
        <v>0</v>
      </c>
      <c r="CW135">
        <f t="shared" si="215"/>
        <v>0</v>
      </c>
      <c r="CX135">
        <f t="shared" si="215"/>
        <v>0</v>
      </c>
      <c r="CY135" s="7">
        <f t="shared" si="215"/>
        <v>7.0000000000000007E-2</v>
      </c>
      <c r="CZ135">
        <f t="shared" si="215"/>
        <v>0</v>
      </c>
      <c r="DA135">
        <f t="shared" si="215"/>
        <v>0</v>
      </c>
      <c r="DB135">
        <f t="shared" si="215"/>
        <v>0</v>
      </c>
      <c r="DC135">
        <f t="shared" si="215"/>
        <v>0</v>
      </c>
      <c r="DD135" s="7">
        <f t="shared" si="213"/>
        <v>7.0000000000000007E-2</v>
      </c>
      <c r="DE135">
        <f t="shared" si="213"/>
        <v>0</v>
      </c>
      <c r="DF135">
        <f t="shared" si="213"/>
        <v>0</v>
      </c>
      <c r="DG135">
        <f t="shared" si="213"/>
        <v>0</v>
      </c>
      <c r="DH135">
        <f t="shared" si="213"/>
        <v>0</v>
      </c>
      <c r="DI135" s="123">
        <f t="shared" si="213"/>
        <v>7.0000000000000007E-2</v>
      </c>
      <c r="DJ135">
        <f t="shared" si="213"/>
        <v>0</v>
      </c>
      <c r="DK135">
        <f t="shared" si="213"/>
        <v>0</v>
      </c>
      <c r="DL135">
        <f t="shared" si="213"/>
        <v>0</v>
      </c>
      <c r="DM135">
        <f t="shared" si="213"/>
        <v>0</v>
      </c>
      <c r="DN135" s="7">
        <f t="shared" si="213"/>
        <v>7.0000000000000007E-2</v>
      </c>
      <c r="DO135">
        <f t="shared" si="213"/>
        <v>0</v>
      </c>
      <c r="DP135">
        <f t="shared" si="213"/>
        <v>0</v>
      </c>
      <c r="DQ135">
        <f t="shared" si="213"/>
        <v>0</v>
      </c>
      <c r="DR135">
        <f t="shared" si="213"/>
        <v>0</v>
      </c>
      <c r="DS135" s="7">
        <f t="shared" si="202"/>
        <v>7.0000000000000007E-2</v>
      </c>
      <c r="DT135">
        <f t="shared" si="216"/>
        <v>0</v>
      </c>
      <c r="DU135">
        <f t="shared" si="216"/>
        <v>0</v>
      </c>
      <c r="DV135">
        <f t="shared" si="216"/>
        <v>0</v>
      </c>
      <c r="DW135">
        <f t="shared" si="216"/>
        <v>0</v>
      </c>
      <c r="DX135" s="7">
        <f t="shared" si="203"/>
        <v>7.0000000000000007E-2</v>
      </c>
      <c r="DY135">
        <f t="shared" si="217"/>
        <v>0</v>
      </c>
      <c r="DZ135">
        <f t="shared" si="217"/>
        <v>0</v>
      </c>
      <c r="EA135">
        <f t="shared" si="217"/>
        <v>0</v>
      </c>
      <c r="EB135">
        <f t="shared" si="217"/>
        <v>0</v>
      </c>
      <c r="EC135" s="7">
        <f t="shared" si="204"/>
        <v>7.0000000000000007E-2</v>
      </c>
      <c r="ED135">
        <f t="shared" si="218"/>
        <v>0</v>
      </c>
      <c r="EE135">
        <f t="shared" si="218"/>
        <v>0</v>
      </c>
      <c r="EF135">
        <f t="shared" si="218"/>
        <v>0</v>
      </c>
      <c r="EG135">
        <f t="shared" si="218"/>
        <v>0</v>
      </c>
      <c r="EH135" s="7">
        <f t="shared" si="205"/>
        <v>7.0000000000000007E-2</v>
      </c>
      <c r="EI135">
        <f t="shared" si="219"/>
        <v>0</v>
      </c>
      <c r="EJ135">
        <f t="shared" si="219"/>
        <v>0</v>
      </c>
      <c r="EK135">
        <f t="shared" si="219"/>
        <v>0</v>
      </c>
      <c r="EL135">
        <f t="shared" si="219"/>
        <v>0</v>
      </c>
      <c r="EM135" s="7">
        <f t="shared" si="206"/>
        <v>7.0000000000000007E-2</v>
      </c>
    </row>
    <row r="136" spans="2:143" customFormat="1">
      <c r="B136" s="365" t="s">
        <v>1044</v>
      </c>
      <c r="C136" s="41"/>
      <c r="D136" s="97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101"/>
      <c r="AN136" s="101"/>
      <c r="AO136" s="101"/>
      <c r="AP136" s="101"/>
      <c r="AQ136" s="109"/>
      <c r="AR136" s="101"/>
      <c r="AS136" s="101"/>
      <c r="AT136" s="101"/>
      <c r="AU136" s="101"/>
      <c r="AV136" s="109"/>
      <c r="AW136" s="101"/>
      <c r="AX136" s="101"/>
      <c r="AY136" s="101"/>
      <c r="AZ136" s="101"/>
      <c r="BA136" s="109"/>
      <c r="BB136" s="101"/>
      <c r="BC136" s="101"/>
      <c r="BD136" s="101"/>
      <c r="BE136" s="101"/>
      <c r="BF136" s="109"/>
      <c r="BG136" s="101"/>
      <c r="BH136" s="7"/>
      <c r="BI136" s="7"/>
      <c r="BJ136" s="7"/>
      <c r="BK136" s="109"/>
      <c r="BL136" s="7"/>
      <c r="BM136" s="7"/>
      <c r="BN136" s="7"/>
      <c r="BO136" s="7"/>
      <c r="BP136" s="7"/>
      <c r="BU136" s="7"/>
      <c r="BZ136" s="7">
        <f>'BCMA CAR-T'!C26</f>
        <v>0</v>
      </c>
      <c r="CE136" s="123">
        <f>'BCMA CAR-T'!D26</f>
        <v>0</v>
      </c>
      <c r="CF136" s="360"/>
      <c r="CG136" s="360"/>
      <c r="CH136" s="360"/>
      <c r="CI136" s="360"/>
      <c r="CJ136" s="123">
        <f>'BCMA CAR-T'!E26</f>
        <v>0</v>
      </c>
      <c r="CK136" s="360"/>
      <c r="CL136" s="360"/>
      <c r="CM136" s="360"/>
      <c r="CN136" s="360"/>
      <c r="CO136" s="123">
        <f>'BCMA CAR-T'!F26+0.2</f>
        <v>0.25</v>
      </c>
      <c r="CP136" s="360"/>
      <c r="CQ136" s="360"/>
      <c r="CR136" s="360"/>
      <c r="CS136" s="360"/>
      <c r="CT136" s="123">
        <f>'BCMA CAR-T'!G26+0.2</f>
        <v>0.25</v>
      </c>
      <c r="CU136" s="360"/>
      <c r="CV136" s="360"/>
      <c r="CW136" s="360"/>
      <c r="CX136" s="360"/>
      <c r="CY136" s="123">
        <f>'BCMA CAR-T'!H26+0.2</f>
        <v>0.25</v>
      </c>
      <c r="CZ136" s="360"/>
      <c r="DA136" s="360"/>
      <c r="DB136" s="360"/>
      <c r="DC136" s="360"/>
      <c r="DD136" s="123">
        <f>'BCMA CAR-T'!I26+0.2</f>
        <v>0.27500000000000002</v>
      </c>
      <c r="DE136" s="360"/>
      <c r="DF136" s="360"/>
      <c r="DG136" s="360"/>
      <c r="DH136" s="360"/>
      <c r="DI136" s="123">
        <f>'BCMA CAR-T'!J26+0.2</f>
        <v>0.27500000000000002</v>
      </c>
      <c r="DJ136" s="360"/>
      <c r="DK136" s="360"/>
      <c r="DL136" s="360"/>
      <c r="DM136" s="360"/>
      <c r="DN136" s="123">
        <f>'BCMA CAR-T'!K26+0.2</f>
        <v>0.27500000000000002</v>
      </c>
      <c r="DO136" s="360"/>
      <c r="DP136" s="360"/>
      <c r="DQ136" s="360"/>
      <c r="DR136" s="360"/>
      <c r="DS136" s="123">
        <f>'BCMA CAR-T'!L26+0.2</f>
        <v>0.30000000000000004</v>
      </c>
      <c r="DT136" s="360"/>
      <c r="DU136" s="360"/>
      <c r="DV136" s="360"/>
      <c r="DW136" s="360"/>
      <c r="DX136" s="123">
        <f>'BCMA CAR-T'!M26+0.2</f>
        <v>0.30000000000000004</v>
      </c>
      <c r="DY136" s="360"/>
      <c r="DZ136" s="360"/>
      <c r="EA136" s="360"/>
      <c r="EB136" s="360"/>
      <c r="EC136" s="123">
        <f>'BCMA CAR-T'!N26+0.2</f>
        <v>0.30000000000000004</v>
      </c>
      <c r="ED136" s="360"/>
      <c r="EE136" s="360"/>
      <c r="EF136" s="360"/>
      <c r="EG136" s="360"/>
      <c r="EH136" s="123">
        <f>'BCMA CAR-T'!O26+0.2</f>
        <v>0.32500000000000001</v>
      </c>
      <c r="EI136" s="360"/>
      <c r="EJ136" s="360"/>
      <c r="EK136" s="360"/>
      <c r="EL136" s="360"/>
      <c r="EM136" s="123">
        <f>'BCMA CAR-T'!P26+0.2</f>
        <v>0.32500000000000001</v>
      </c>
    </row>
    <row r="137" spans="2:143" customFormat="1">
      <c r="B137" s="365" t="s">
        <v>1208</v>
      </c>
      <c r="C137" s="41"/>
      <c r="D137" s="97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101"/>
      <c r="AN137" s="101"/>
      <c r="AO137" s="101"/>
      <c r="AP137" s="101"/>
      <c r="AQ137" s="109"/>
      <c r="AR137" s="101"/>
      <c r="AS137" s="101"/>
      <c r="AT137" s="101"/>
      <c r="AU137" s="101"/>
      <c r="AV137" s="109"/>
      <c r="AW137" s="101"/>
      <c r="AX137" s="101"/>
      <c r="AY137" s="101"/>
      <c r="AZ137" s="101"/>
      <c r="BA137" s="109"/>
      <c r="BB137" s="101"/>
      <c r="BC137" s="101"/>
      <c r="BD137" s="101"/>
      <c r="BE137" s="101"/>
      <c r="BF137" s="109"/>
      <c r="BG137" s="101"/>
      <c r="BH137" s="7"/>
      <c r="BI137" s="7"/>
      <c r="BJ137" s="7"/>
      <c r="BK137" s="109"/>
      <c r="BL137" s="7"/>
      <c r="BM137" s="7"/>
      <c r="BN137" s="7"/>
      <c r="BO137" s="7"/>
      <c r="BP137" s="7"/>
      <c r="BU137" s="7"/>
      <c r="BZ137" s="7"/>
      <c r="CE137" s="479">
        <v>0</v>
      </c>
      <c r="CF137" s="479"/>
      <c r="CG137" s="479"/>
      <c r="CH137" s="479"/>
      <c r="CI137" s="479"/>
      <c r="CJ137" s="479">
        <v>0</v>
      </c>
      <c r="CK137" s="479"/>
      <c r="CL137" s="479"/>
      <c r="CM137" s="479"/>
      <c r="CN137" s="479"/>
      <c r="CO137" s="479">
        <v>7.4999999999999997E-2</v>
      </c>
      <c r="CP137" s="1117"/>
      <c r="CQ137" s="1117"/>
      <c r="CR137" s="1117"/>
      <c r="CS137" s="1117"/>
      <c r="CT137" s="1117">
        <f>CO137-0.5%</f>
        <v>6.9999999999999993E-2</v>
      </c>
      <c r="CU137" s="1117"/>
      <c r="CV137" s="1117"/>
      <c r="CW137" s="1117"/>
      <c r="CX137" s="1117"/>
      <c r="CY137" s="1117">
        <f>CT137-0.5%</f>
        <v>6.4999999999999988E-2</v>
      </c>
      <c r="CZ137" s="1117">
        <f t="shared" ref="CZ137:DC137" si="220">CU137</f>
        <v>0</v>
      </c>
      <c r="DA137" s="1117">
        <f t="shared" si="220"/>
        <v>0</v>
      </c>
      <c r="DB137" s="1117">
        <f t="shared" si="220"/>
        <v>0</v>
      </c>
      <c r="DC137" s="1117">
        <f t="shared" si="220"/>
        <v>0</v>
      </c>
      <c r="DD137" s="1117">
        <f>CY137-0.5%</f>
        <v>5.9999999999999991E-2</v>
      </c>
      <c r="DE137" s="1117"/>
      <c r="DF137" s="1117"/>
      <c r="DG137" s="1117"/>
      <c r="DH137" s="1117"/>
      <c r="DI137" s="1117">
        <f>DD137-0.5%</f>
        <v>5.4999999999999993E-2</v>
      </c>
      <c r="DJ137" s="1117"/>
      <c r="DK137" s="1117"/>
      <c r="DL137" s="1117"/>
      <c r="DM137" s="1117"/>
      <c r="DN137" s="1117">
        <f>DI137-0.5%</f>
        <v>4.9999999999999996E-2</v>
      </c>
      <c r="DO137" s="1117"/>
      <c r="DP137" s="1117"/>
      <c r="DQ137" s="1117"/>
      <c r="DR137" s="1117"/>
      <c r="DS137" s="1117">
        <f>DN137</f>
        <v>4.9999999999999996E-2</v>
      </c>
      <c r="DT137" s="1117"/>
      <c r="DU137" s="1117"/>
      <c r="DV137" s="1117"/>
      <c r="DW137" s="1117"/>
      <c r="DX137" s="1117">
        <f>DS137</f>
        <v>4.9999999999999996E-2</v>
      </c>
      <c r="DY137" s="1117"/>
      <c r="DZ137" s="1117"/>
      <c r="EA137" s="1117"/>
      <c r="EB137" s="1117"/>
      <c r="EC137" s="1117">
        <f>DX137</f>
        <v>4.9999999999999996E-2</v>
      </c>
      <c r="ED137" s="1117"/>
      <c r="EE137" s="1117"/>
      <c r="EF137" s="1117"/>
      <c r="EG137" s="1117"/>
      <c r="EH137" s="1117">
        <f>EC137</f>
        <v>4.9999999999999996E-2</v>
      </c>
      <c r="EI137" s="1117"/>
      <c r="EJ137" s="1117"/>
      <c r="EK137" s="1117"/>
      <c r="EL137" s="1117"/>
      <c r="EM137" s="1117">
        <f>EH137</f>
        <v>4.9999999999999996E-2</v>
      </c>
    </row>
    <row r="138" spans="2:143" customFormat="1">
      <c r="B138" s="449" t="s">
        <v>111</v>
      </c>
      <c r="C138" s="41"/>
      <c r="D138" s="97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105">
        <f t="shared" ref="AL138:BD138" si="221">AL158/AL42</f>
        <v>0.15120991797166483</v>
      </c>
      <c r="AM138" s="105">
        <f t="shared" si="221"/>
        <v>0.35026468155499652</v>
      </c>
      <c r="AN138" s="105">
        <f t="shared" si="221"/>
        <v>1.6634903846153895</v>
      </c>
      <c r="AO138" s="105">
        <f t="shared" si="221"/>
        <v>8.4756888168563804E-2</v>
      </c>
      <c r="AP138" s="105">
        <f t="shared" si="221"/>
        <v>1.4369299820466166</v>
      </c>
      <c r="AQ138" s="108">
        <f t="shared" si="221"/>
        <v>0.75704455445543828</v>
      </c>
      <c r="AR138" s="105">
        <f t="shared" si="221"/>
        <v>5.4466369746295686E-2</v>
      </c>
      <c r="AS138" s="105">
        <f t="shared" si="221"/>
        <v>0.549362193494629</v>
      </c>
      <c r="AT138" s="105">
        <f t="shared" si="221"/>
        <v>1.9790975788701302</v>
      </c>
      <c r="AU138" s="105">
        <f t="shared" si="221"/>
        <v>0.22136015325670769</v>
      </c>
      <c r="AV138" s="108">
        <f t="shared" si="221"/>
        <v>0.94466843472299644</v>
      </c>
      <c r="AW138" s="105">
        <f t="shared" si="221"/>
        <v>1.0959270979840572</v>
      </c>
      <c r="AX138" s="105">
        <f t="shared" si="221"/>
        <v>-0.35245490506328941</v>
      </c>
      <c r="AY138" s="105">
        <f t="shared" si="221"/>
        <v>-0.56209735279564665</v>
      </c>
      <c r="AZ138" s="105">
        <f t="shared" si="221"/>
        <v>0.49782798833818759</v>
      </c>
      <c r="BA138" s="108">
        <f t="shared" si="221"/>
        <v>0.23717563104505557</v>
      </c>
      <c r="BB138" s="105">
        <f t="shared" si="221"/>
        <v>5.5033333333333365</v>
      </c>
      <c r="BC138" s="105">
        <f t="shared" si="221"/>
        <v>-5.2537500000000099</v>
      </c>
      <c r="BD138" s="105">
        <f t="shared" si="221"/>
        <v>-5.6121428571428433</v>
      </c>
      <c r="BE138" s="105">
        <f>BE158/(BE42+BE40)</f>
        <v>0.19304347826086921</v>
      </c>
      <c r="BF138" s="108">
        <f>BF158/BF42</f>
        <v>1.0510227272727266</v>
      </c>
      <c r="BG138" s="105">
        <f>BG158/(BG42+BG40)</f>
        <v>-6.2259615384613444E-3</v>
      </c>
      <c r="BH138" s="105">
        <f>BH158/(BH42+BH40)</f>
        <v>3.5739700374531523E-2</v>
      </c>
      <c r="BI138" s="105">
        <f>BI158/(BI42+BI40)</f>
        <v>2.0951219512195706E-2</v>
      </c>
      <c r="BJ138" s="105">
        <f>BJ158/(BJ42+BJ40)</f>
        <v>-2.181701030927868E-2</v>
      </c>
      <c r="BK138" s="108">
        <f>BK158/BK42</f>
        <v>9.0326086956521889E-2</v>
      </c>
      <c r="BL138" s="105">
        <f>BL158/(BL42+BL40)</f>
        <v>0.14475108225108196</v>
      </c>
      <c r="BM138" s="105">
        <f>BM158/(BM42+BM40)</f>
        <v>0.14909663865546255</v>
      </c>
      <c r="BN138" s="105">
        <f>BN158/(BN42+BN40)</f>
        <v>0.39359374999999974</v>
      </c>
      <c r="BO138" s="7">
        <f>BN138</f>
        <v>0.39359374999999974</v>
      </c>
      <c r="BP138" s="108">
        <f>BP158/BP42</f>
        <v>2.0247154017857136</v>
      </c>
      <c r="BQ138" s="105">
        <f>BQ158/(BQ42+BQ40)</f>
        <v>5.536274509803963E-2</v>
      </c>
      <c r="BR138" s="105">
        <f>BR158/(BR42+BR40)</f>
        <v>1.9302222222222901E-2</v>
      </c>
      <c r="BS138" s="105">
        <f>BS158/(BS42+BS40)</f>
        <v>-0.40749378881987702</v>
      </c>
      <c r="BT138" s="105">
        <f>BT158/(BT42+BT40)</f>
        <v>-0.44700442477876057</v>
      </c>
      <c r="BU138" s="105">
        <f>BU158/SUM(BU42+BU40)</f>
        <v>-0.14293172119487896</v>
      </c>
      <c r="BV138" s="105">
        <f>BV158/(BV42+BV40)</f>
        <v>-0.73400000000000165</v>
      </c>
      <c r="BW138" s="105">
        <f>BW158/(BW42+BW40)</f>
        <v>-2.1275000000000013</v>
      </c>
      <c r="BX138" s="105">
        <f>BX158/(BX42+BX40)</f>
        <v>-0.61425000000000074</v>
      </c>
      <c r="BY138" s="105">
        <f>BY158/(BY42+BY40)</f>
        <v>-3.7279999999999993</v>
      </c>
      <c r="BZ138" s="123">
        <f>BY138</f>
        <v>-3.7279999999999993</v>
      </c>
      <c r="CE138" s="475">
        <v>0</v>
      </c>
      <c r="CJ138" s="7">
        <f t="shared" si="185"/>
        <v>0</v>
      </c>
      <c r="CO138" s="7">
        <f>CJ138</f>
        <v>0</v>
      </c>
      <c r="CT138" s="7">
        <f t="shared" si="197"/>
        <v>0</v>
      </c>
      <c r="CY138" s="7">
        <f t="shared" si="198"/>
        <v>0</v>
      </c>
      <c r="DD138" s="7">
        <f t="shared" si="199"/>
        <v>0</v>
      </c>
      <c r="DI138" s="7">
        <f t="shared" si="200"/>
        <v>0</v>
      </c>
      <c r="DN138" s="7">
        <f t="shared" si="201"/>
        <v>0</v>
      </c>
      <c r="DS138" s="7">
        <f t="shared" si="202"/>
        <v>0</v>
      </c>
      <c r="DX138" s="7">
        <f t="shared" si="203"/>
        <v>0</v>
      </c>
      <c r="EC138" s="7">
        <f t="shared" si="204"/>
        <v>0</v>
      </c>
      <c r="EH138" s="7">
        <f t="shared" si="205"/>
        <v>0</v>
      </c>
      <c r="EM138" s="7">
        <f t="shared" si="206"/>
        <v>0</v>
      </c>
    </row>
    <row r="139" spans="2:143" ht="13.5" thickBot="1">
      <c r="B139" s="100" t="s">
        <v>249</v>
      </c>
      <c r="C139" s="73"/>
      <c r="D139" s="94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104">
        <f t="shared" ref="AL139:CD139" si="222">AL159/AL61</f>
        <v>7.9708380631776737E-2</v>
      </c>
      <c r="AM139" s="104">
        <f t="shared" si="222"/>
        <v>7.4116588753257773E-2</v>
      </c>
      <c r="AN139" s="104">
        <f t="shared" si="222"/>
        <v>7.5529028493037859E-2</v>
      </c>
      <c r="AO139" s="104">
        <f t="shared" si="222"/>
        <v>7.0510985087261654E-2</v>
      </c>
      <c r="AP139" s="104">
        <f t="shared" si="222"/>
        <v>6.5565613027288111E-2</v>
      </c>
      <c r="AQ139" s="104">
        <f t="shared" si="222"/>
        <v>7.1024641682499404E-2</v>
      </c>
      <c r="AR139" s="104">
        <f t="shared" si="222"/>
        <v>6.8476289133359278E-2</v>
      </c>
      <c r="AS139" s="104">
        <f t="shared" si="222"/>
        <v>6.7633300602999047E-2</v>
      </c>
      <c r="AT139" s="104">
        <f t="shared" si="222"/>
        <v>6.657495996386481E-2</v>
      </c>
      <c r="AU139" s="104">
        <f t="shared" si="222"/>
        <v>5.7258373868951502E-2</v>
      </c>
      <c r="AV139" s="104">
        <f t="shared" si="222"/>
        <v>6.4794964778529932E-2</v>
      </c>
      <c r="AW139" s="104">
        <f t="shared" si="222"/>
        <v>5.7047817782270395E-2</v>
      </c>
      <c r="AX139" s="104">
        <f t="shared" si="222"/>
        <v>5.1953852714744231E-2</v>
      </c>
      <c r="AY139" s="104">
        <f t="shared" si="222"/>
        <v>5.1383524505894396E-2</v>
      </c>
      <c r="AZ139" s="104">
        <f t="shared" si="222"/>
        <v>5.4008592035165018E-2</v>
      </c>
      <c r="BA139" s="181">
        <f t="shared" si="222"/>
        <v>5.3524965375253523E-2</v>
      </c>
      <c r="BB139" s="181">
        <f t="shared" si="222"/>
        <v>5.4362275239627784E-2</v>
      </c>
      <c r="BC139" s="181">
        <f t="shared" si="222"/>
        <v>4.9357457963045845E-2</v>
      </c>
      <c r="BD139" s="181">
        <f t="shared" si="222"/>
        <v>4.8722627737226284E-2</v>
      </c>
      <c r="BE139" s="104">
        <f t="shared" si="222"/>
        <v>5.0376811594202896E-2</v>
      </c>
      <c r="BF139" s="104">
        <f t="shared" si="222"/>
        <v>5.0777676120768521E-2</v>
      </c>
      <c r="BG139" s="181">
        <f t="shared" si="222"/>
        <v>4.6852122986822842E-2</v>
      </c>
      <c r="BH139" s="181">
        <f t="shared" si="222"/>
        <v>5.0417434674184108E-2</v>
      </c>
      <c r="BI139" s="181">
        <f t="shared" si="222"/>
        <v>4.6453393295175803E-2</v>
      </c>
      <c r="BJ139" s="181">
        <f t="shared" si="222"/>
        <v>4.6620273492627373E-2</v>
      </c>
      <c r="BK139" s="104">
        <f t="shared" si="222"/>
        <v>4.7555461540495524E-2</v>
      </c>
      <c r="BL139" s="181">
        <f t="shared" si="222"/>
        <v>4.734332425068119E-2</v>
      </c>
      <c r="BM139" s="181">
        <f t="shared" si="222"/>
        <v>4.112506099995563E-2</v>
      </c>
      <c r="BN139" s="181">
        <f t="shared" si="222"/>
        <v>4.3846752572861719E-2</v>
      </c>
      <c r="BO139" s="181">
        <f t="shared" si="222"/>
        <v>4.0364429495510411E-2</v>
      </c>
      <c r="BP139" s="181">
        <f t="shared" si="222"/>
        <v>4.2996295136501078E-2</v>
      </c>
      <c r="BQ139" s="181">
        <f t="shared" si="222"/>
        <v>3.8842345773038849E-2</v>
      </c>
      <c r="BR139" s="181">
        <f t="shared" si="222"/>
        <v>3.7274549098196399E-2</v>
      </c>
      <c r="BS139" s="181">
        <f t="shared" si="222"/>
        <v>3.378697028902513E-2</v>
      </c>
      <c r="BT139" s="181">
        <f t="shared" si="222"/>
        <v>3.5507927976350447E-2</v>
      </c>
      <c r="BU139" s="181">
        <f t="shared" si="222"/>
        <v>3.6228385458576977E-2</v>
      </c>
      <c r="BV139" s="181">
        <f t="shared" si="222"/>
        <v>3.5932203389830511E-2</v>
      </c>
      <c r="BW139" s="181">
        <f t="shared" si="222"/>
        <v>3.1633906633906632E-2</v>
      </c>
      <c r="BX139" s="181">
        <f t="shared" si="222"/>
        <v>3.3759124087591241E-2</v>
      </c>
      <c r="BY139" s="181">
        <f t="shared" si="222"/>
        <v>3.2193158953722337E-2</v>
      </c>
      <c r="BZ139" s="181">
        <f t="shared" si="222"/>
        <v>3.3299930625144532E-2</v>
      </c>
      <c r="CA139" s="104">
        <f t="shared" si="222"/>
        <v>3.414556697306112E-2</v>
      </c>
      <c r="CB139" s="104">
        <f t="shared" si="222"/>
        <v>3.363059284005282E-2</v>
      </c>
      <c r="CC139" s="104">
        <f t="shared" si="222"/>
        <v>3.3345032523597218E-2</v>
      </c>
      <c r="CD139" s="104">
        <f t="shared" si="222"/>
        <v>3.3103084639140988E-2</v>
      </c>
      <c r="CE139" s="181">
        <f>CE159/CE61</f>
        <v>3.3536957521536251E-2</v>
      </c>
      <c r="CF139" s="73"/>
      <c r="CG139" s="73"/>
      <c r="CH139" s="73"/>
      <c r="CI139" s="73"/>
      <c r="CJ139" s="181">
        <f>CJ159/CJ61</f>
        <v>3.4892903769123032E-2</v>
      </c>
      <c r="CK139" s="73"/>
      <c r="CL139" s="73"/>
      <c r="CM139" s="73"/>
      <c r="CN139" s="73"/>
      <c r="CO139" s="181">
        <f>CO159/CO61</f>
        <v>3.8737160022584344E-2</v>
      </c>
      <c r="CP139" s="73"/>
      <c r="CQ139" s="73"/>
      <c r="CR139" s="73"/>
      <c r="CS139" s="73"/>
      <c r="CT139" s="181">
        <f>CT159/CT61</f>
        <v>4.4594740148951491E-2</v>
      </c>
      <c r="CU139" s="73"/>
      <c r="CV139" s="73"/>
      <c r="CW139" s="73"/>
      <c r="CX139" s="73"/>
      <c r="CY139" s="181">
        <f>CY159/CY61</f>
        <v>4.9538262926550065E-2</v>
      </c>
      <c r="CZ139" s="73"/>
      <c r="DA139" s="73"/>
      <c r="DB139" s="73"/>
      <c r="DC139" s="73"/>
      <c r="DD139" s="181">
        <f>DD159/DD61</f>
        <v>5.5073432049055154E-2</v>
      </c>
      <c r="DE139" s="73"/>
      <c r="DF139" s="73"/>
      <c r="DG139" s="73"/>
      <c r="DH139" s="73"/>
      <c r="DI139" s="181">
        <f>DI159/DI61</f>
        <v>6.4026530273807017E-2</v>
      </c>
      <c r="DJ139" s="73"/>
      <c r="DK139" s="73"/>
      <c r="DL139" s="73"/>
      <c r="DM139" s="73"/>
      <c r="DN139" s="181">
        <f>DN159/DN61</f>
        <v>7.5147697994630114E-2</v>
      </c>
      <c r="DO139" s="73"/>
      <c r="DP139" s="73"/>
      <c r="DQ139" s="73"/>
      <c r="DR139" s="73"/>
      <c r="DS139" s="181">
        <f>DS159/DS61</f>
        <v>0.11219306912064657</v>
      </c>
      <c r="DT139" s="73"/>
      <c r="DU139" s="73"/>
      <c r="DV139" s="73"/>
      <c r="DW139" s="73"/>
      <c r="DX139" s="181">
        <f>DX159/DX61</f>
        <v>0.14196801366561065</v>
      </c>
      <c r="DY139" s="73"/>
      <c r="DZ139" s="73"/>
      <c r="EA139" s="73"/>
      <c r="EB139" s="73"/>
      <c r="EC139" s="181">
        <f>EC159/EC61</f>
        <v>0.15264828237363873</v>
      </c>
      <c r="ED139" s="73"/>
      <c r="EE139" s="73"/>
      <c r="EF139" s="73"/>
      <c r="EG139" s="73"/>
      <c r="EH139" s="181">
        <f>EH159/EH61</f>
        <v>0.15979792104401233</v>
      </c>
      <c r="EI139" s="73"/>
      <c r="EJ139" s="73"/>
      <c r="EK139" s="73"/>
      <c r="EL139" s="73"/>
      <c r="EM139" s="181">
        <f>EM159/EM61</f>
        <v>0.19214568200947363</v>
      </c>
    </row>
    <row r="140" spans="2:143">
      <c r="BB140"/>
      <c r="BC140"/>
      <c r="BD140"/>
      <c r="BE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</row>
    <row r="141" spans="2:143" s="97" customFormat="1">
      <c r="B141" s="454" t="s">
        <v>247</v>
      </c>
      <c r="C141" s="455"/>
      <c r="D141" s="456"/>
      <c r="E141" s="455"/>
      <c r="F141" s="455"/>
      <c r="G141" s="455"/>
      <c r="H141" s="456"/>
      <c r="I141" s="455"/>
      <c r="J141" s="455"/>
      <c r="K141" s="455"/>
      <c r="L141" s="455"/>
      <c r="M141" s="456"/>
      <c r="N141" s="455"/>
      <c r="O141" s="455"/>
      <c r="P141" s="455"/>
      <c r="Q141" s="455"/>
      <c r="R141" s="456"/>
      <c r="S141" s="455"/>
      <c r="T141" s="455"/>
      <c r="U141" s="455"/>
      <c r="V141" s="455"/>
      <c r="W141" s="456"/>
      <c r="X141" s="455"/>
      <c r="Y141" s="455"/>
      <c r="Z141" s="455"/>
      <c r="AA141" s="455"/>
      <c r="AB141" s="456"/>
      <c r="AC141" s="455"/>
      <c r="AD141" s="455"/>
      <c r="AE141" s="455"/>
      <c r="AF141" s="455"/>
      <c r="AG141" s="456"/>
      <c r="AH141" s="455"/>
      <c r="AI141" s="455"/>
      <c r="AJ141" s="455"/>
      <c r="AK141" s="455"/>
      <c r="AL141" s="456"/>
      <c r="AM141" s="455"/>
      <c r="AN141" s="455"/>
      <c r="AO141" s="455"/>
      <c r="AP141" s="455"/>
      <c r="AQ141" s="456"/>
      <c r="AR141" s="455"/>
      <c r="AS141" s="455"/>
      <c r="AT141" s="455"/>
      <c r="AU141" s="455"/>
      <c r="AV141" s="456"/>
      <c r="AW141" s="455"/>
      <c r="AX141" s="455"/>
      <c r="AY141" s="455"/>
      <c r="AZ141" s="455"/>
      <c r="BA141" s="456"/>
      <c r="BB141" s="455"/>
      <c r="BC141" s="455"/>
      <c r="BD141" s="455"/>
      <c r="BE141" s="455"/>
      <c r="BF141" s="456"/>
      <c r="BG141" s="455"/>
      <c r="BH141" s="455"/>
      <c r="BI141" s="455"/>
      <c r="BJ141" s="455"/>
      <c r="BK141" s="455"/>
      <c r="BL141" s="455"/>
      <c r="BM141" s="455"/>
      <c r="BN141" s="455"/>
      <c r="BO141" s="455"/>
      <c r="BP141" s="455"/>
      <c r="BQ141" s="455"/>
      <c r="BR141" s="455"/>
      <c r="BS141" s="455"/>
      <c r="BT141" s="455"/>
      <c r="BU141" s="455"/>
      <c r="BV141" s="455"/>
      <c r="BW141" s="455"/>
      <c r="BX141" s="455"/>
      <c r="BY141" s="455"/>
      <c r="BZ141" s="455"/>
      <c r="CA141" s="455"/>
      <c r="CB141" s="455"/>
      <c r="CC141" s="455"/>
      <c r="CD141" s="455"/>
      <c r="CE141" s="455"/>
      <c r="CF141" s="455"/>
      <c r="CG141" s="455"/>
      <c r="CH141" s="455"/>
      <c r="CI141" s="455"/>
      <c r="CJ141" s="455"/>
      <c r="CK141" s="455"/>
      <c r="CL141" s="455"/>
      <c r="CM141" s="455"/>
      <c r="CN141" s="455"/>
      <c r="CO141" s="455"/>
      <c r="CP141" s="455"/>
      <c r="CQ141" s="455"/>
      <c r="CR141" s="455"/>
      <c r="CS141" s="455"/>
      <c r="CT141" s="455"/>
      <c r="CU141" s="455"/>
      <c r="CV141" s="455"/>
      <c r="CW141" s="455"/>
      <c r="CX141" s="455"/>
      <c r="CY141" s="455"/>
      <c r="CZ141" s="455"/>
      <c r="DA141" s="455"/>
      <c r="DB141" s="455"/>
      <c r="DC141" s="455"/>
      <c r="DD141" s="455"/>
      <c r="DE141" s="455"/>
      <c r="DF141" s="455"/>
      <c r="DG141" s="455"/>
      <c r="DH141" s="455"/>
      <c r="DI141" s="455"/>
      <c r="DJ141" s="455"/>
      <c r="DK141" s="455"/>
      <c r="DL141" s="455"/>
      <c r="DM141" s="455"/>
      <c r="DN141" s="455"/>
      <c r="DO141" s="455"/>
      <c r="DP141" s="455"/>
      <c r="DQ141" s="455"/>
      <c r="DR141" s="455"/>
      <c r="DS141" s="455"/>
      <c r="DT141" s="455"/>
      <c r="DU141" s="455"/>
      <c r="DV141" s="455"/>
      <c r="DW141" s="455"/>
      <c r="DX141" s="455"/>
      <c r="DY141" s="455"/>
      <c r="DZ141" s="455"/>
      <c r="EA141" s="455"/>
      <c r="EB141" s="455"/>
      <c r="EC141" s="455"/>
      <c r="ED141" s="455"/>
      <c r="EE141" s="455"/>
      <c r="EF141" s="455"/>
      <c r="EG141" s="455"/>
      <c r="EH141" s="455"/>
      <c r="EI141" s="455"/>
      <c r="EJ141" s="455"/>
      <c r="EK141" s="455"/>
      <c r="EL141" s="455"/>
      <c r="EM141" s="455"/>
    </row>
    <row r="142" spans="2:143">
      <c r="B142" s="449" t="s">
        <v>122</v>
      </c>
      <c r="C142" s="41"/>
      <c r="D142" s="97"/>
      <c r="E142" s="98"/>
      <c r="F142" s="41"/>
      <c r="G142" s="41"/>
      <c r="H142" s="41"/>
      <c r="I142" s="41"/>
      <c r="J142" s="98"/>
      <c r="K142" s="41"/>
      <c r="L142" s="41"/>
      <c r="M142" s="41"/>
      <c r="N142" s="41"/>
      <c r="O142" s="98"/>
      <c r="P142" s="41"/>
      <c r="Q142" s="41"/>
      <c r="R142" s="41"/>
      <c r="S142" s="41"/>
      <c r="T142" s="98"/>
      <c r="U142" s="41"/>
      <c r="V142" s="41"/>
      <c r="W142" s="41"/>
      <c r="X142" s="41"/>
      <c r="Y142" s="98"/>
      <c r="Z142" s="41"/>
      <c r="AA142" s="41"/>
      <c r="AB142" s="41"/>
      <c r="AC142" s="41"/>
      <c r="AD142" s="98"/>
      <c r="AE142" s="41"/>
      <c r="AF142" s="41"/>
      <c r="AG142" s="41"/>
      <c r="AH142" s="103"/>
      <c r="AI142" s="103"/>
      <c r="AJ142" s="103"/>
      <c r="AK142" s="103"/>
      <c r="AL142" s="103">
        <f>AL122*AL4</f>
        <v>51.193109999999997</v>
      </c>
      <c r="AM142" s="103">
        <f>AM122*AM4</f>
        <v>15.91398</v>
      </c>
      <c r="AN142" s="103">
        <f>AN122*AN4</f>
        <v>17.61429</v>
      </c>
      <c r="AO142" s="103">
        <f>AO122*AO4</f>
        <v>19.238160000000001</v>
      </c>
      <c r="AP142" s="103">
        <f>AP122*AP4</f>
        <v>21.309059999999999</v>
      </c>
      <c r="AQ142" s="103">
        <f>SUM(AM142:AP142)</f>
        <v>74.075490000000002</v>
      </c>
      <c r="AR142" s="103">
        <f>AR122*AR4</f>
        <v>22.136100000000003</v>
      </c>
      <c r="AS142" s="103">
        <f>AS122*AS4</f>
        <v>23.863350000000004</v>
      </c>
      <c r="AT142" s="103">
        <f>AT122*AT4</f>
        <v>24.600570000000001</v>
      </c>
      <c r="AU142" s="103">
        <f>AU122*AU4</f>
        <v>25.644569999999998</v>
      </c>
      <c r="AV142" s="103">
        <f>SUM(AR142:AU142)</f>
        <v>96.244590000000017</v>
      </c>
      <c r="AW142" s="103">
        <f>AW122*AW4</f>
        <v>23.677445000000002</v>
      </c>
      <c r="AX142" s="103">
        <f>AX122*AX4</f>
        <v>25.6812875</v>
      </c>
      <c r="AY142" s="103">
        <f>AY122*AY4</f>
        <v>26.678217499999999</v>
      </c>
      <c r="AZ142" s="103">
        <f>AZ122*AZ4</f>
        <v>27.545650000000002</v>
      </c>
      <c r="BA142" s="103">
        <f>SUM(AW142:AZ142)</f>
        <v>103.58260000000001</v>
      </c>
      <c r="BB142" s="103">
        <f>BB122*BB4</f>
        <v>27.576999999999998</v>
      </c>
      <c r="BC142" s="103">
        <f>BC122*BC4</f>
        <v>28.916250000000002</v>
      </c>
      <c r="BD142" s="103">
        <f>BD122*BD4</f>
        <v>29.9695</v>
      </c>
      <c r="BE142" s="103">
        <f>BE122*BE4</f>
        <v>31.24</v>
      </c>
      <c r="BF142" s="103">
        <f>SUM(BB142:BE142)</f>
        <v>117.70274999999999</v>
      </c>
      <c r="BG142" s="103">
        <f>BG122*BG4</f>
        <v>31.454499999999999</v>
      </c>
      <c r="BH142" s="103">
        <f>BH122*BH4</f>
        <v>39.445250000000001</v>
      </c>
      <c r="BI142" s="103">
        <f>BI122*BI4</f>
        <v>35.75</v>
      </c>
      <c r="BJ142" s="103">
        <f>BJ122*BJ4</f>
        <v>36.368749999999999</v>
      </c>
      <c r="BK142" s="458">
        <f>SUM(BG142:BJ142)</f>
        <v>143.01849999999999</v>
      </c>
      <c r="BL142" s="103">
        <f>BL122*BL4</f>
        <v>36.929750000000006</v>
      </c>
      <c r="BM142" s="103">
        <f>BM122*BM4</f>
        <v>25.270000000000003</v>
      </c>
      <c r="BN142" s="103">
        <f>BN122*BN4</f>
        <v>25.436250000000001</v>
      </c>
      <c r="BO142" s="103">
        <f>BO122*BO4</f>
        <v>27.312249999999999</v>
      </c>
      <c r="BP142" s="103">
        <f>SUM(BL142:BO142)</f>
        <v>114.94825</v>
      </c>
      <c r="BQ142" s="103">
        <f>BQ122*BQ4</f>
        <v>29.111599999999996</v>
      </c>
      <c r="BR142" s="103">
        <f>BR122*BR4</f>
        <v>28.063200000000002</v>
      </c>
      <c r="BS142" s="103">
        <f>BS122*BS4</f>
        <v>31.203150000000001</v>
      </c>
      <c r="BT142" s="103">
        <f>BT122*BT4</f>
        <v>29.833649999999999</v>
      </c>
      <c r="BU142" s="103">
        <f>SUM(BQ142:BT142)</f>
        <v>118.2116</v>
      </c>
      <c r="BV142" s="103">
        <f t="shared" ref="BV142:CE142" si="223">BV122*BV4</f>
        <v>37.68</v>
      </c>
      <c r="BW142" s="103">
        <f t="shared" si="223"/>
        <v>40.68</v>
      </c>
      <c r="BX142" s="103">
        <f t="shared" si="223"/>
        <v>41.62</v>
      </c>
      <c r="BY142" s="103">
        <f t="shared" si="223"/>
        <v>43.76</v>
      </c>
      <c r="BZ142" s="103">
        <f t="shared" si="223"/>
        <v>163.74</v>
      </c>
      <c r="CA142" s="12">
        <f t="shared" si="223"/>
        <v>21.582271883654986</v>
      </c>
      <c r="CB142" s="12">
        <f t="shared" si="223"/>
        <v>23.315062354502924</v>
      </c>
      <c r="CC142" s="12">
        <f t="shared" si="223"/>
        <v>23.837875616175165</v>
      </c>
      <c r="CD142" s="12">
        <f t="shared" si="223"/>
        <v>25.087151714571409</v>
      </c>
      <c r="CE142" s="103">
        <f t="shared" si="223"/>
        <v>93.822361568904498</v>
      </c>
      <c r="CJ142" s="103">
        <f>CJ122*CJ4</f>
        <v>107.66880075016635</v>
      </c>
      <c r="CO142" s="103">
        <f>CO122*CO4</f>
        <v>123.80040445861862</v>
      </c>
      <c r="CP142"/>
      <c r="CQ142"/>
      <c r="CR142"/>
      <c r="CS142"/>
      <c r="CT142" s="103">
        <f>CT122*CT4</f>
        <v>138.82251934499976</v>
      </c>
      <c r="CU142"/>
      <c r="CV142"/>
      <c r="CW142"/>
      <c r="CX142"/>
      <c r="CY142" s="103">
        <f>CY122*CY4</f>
        <v>139.74533844932557</v>
      </c>
      <c r="CZ142"/>
      <c r="DA142"/>
      <c r="DB142"/>
      <c r="DC142"/>
      <c r="DD142" s="103">
        <f>DD122*DD4</f>
        <v>128.20138982941245</v>
      </c>
      <c r="DE142"/>
      <c r="DF142"/>
      <c r="DG142"/>
      <c r="DH142"/>
      <c r="DI142" s="103">
        <f>DI122*DI4</f>
        <v>110.84546557192618</v>
      </c>
      <c r="DJ142"/>
      <c r="DK142"/>
      <c r="DL142"/>
      <c r="DM142"/>
      <c r="DN142" s="103">
        <f>DN122*DN4</f>
        <v>89.167995507899818</v>
      </c>
      <c r="DO142"/>
      <c r="DP142"/>
      <c r="DQ142"/>
      <c r="DR142"/>
      <c r="DS142" s="103">
        <f>DS122*DS4</f>
        <v>32.321978792210679</v>
      </c>
      <c r="DT142"/>
      <c r="DU142"/>
      <c r="DV142"/>
      <c r="DW142"/>
      <c r="DX142" s="103">
        <f>DX122*DX4</f>
        <v>8.8029811201344703</v>
      </c>
      <c r="DY142"/>
      <c r="DZ142"/>
      <c r="EA142"/>
      <c r="EB142"/>
      <c r="EC142" s="103">
        <f>EC122*EC4</f>
        <v>4.0854018387796502</v>
      </c>
      <c r="ED142"/>
      <c r="EE142"/>
      <c r="EF142"/>
      <c r="EG142"/>
      <c r="EH142" s="103">
        <f>EH122*EH4</f>
        <v>2.473096535508875</v>
      </c>
      <c r="EI142"/>
      <c r="EJ142"/>
      <c r="EK142"/>
      <c r="EL142"/>
      <c r="EM142" s="103">
        <f>EM122*EM4</f>
        <v>2.1455136867773925</v>
      </c>
    </row>
    <row r="143" spans="2:143">
      <c r="B143" s="449" t="s">
        <v>129</v>
      </c>
      <c r="C143" s="41"/>
      <c r="D143" s="97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103"/>
      <c r="AI143" s="103"/>
      <c r="AJ143" s="103"/>
      <c r="AK143" s="103"/>
      <c r="AL143" s="103">
        <f>AL123*AL9</f>
        <v>83.252084999999994</v>
      </c>
      <c r="AM143" s="103">
        <f>AM123*AM9</f>
        <v>24.069000000000003</v>
      </c>
      <c r="AN143" s="103">
        <f>AN123*AN9</f>
        <v>27.67653</v>
      </c>
      <c r="AO143" s="103">
        <f>AO123*AO9</f>
        <v>28.284400000000002</v>
      </c>
      <c r="AP143" s="103">
        <f>AP123*AP9</f>
        <v>28.148399999999999</v>
      </c>
      <c r="AQ143" s="103">
        <f t="shared" ref="AQ143:AQ158" si="224">SUM(AM143:AP143)</f>
        <v>108.17833</v>
      </c>
      <c r="AR143" s="103">
        <f>AR123*AR9</f>
        <v>33.059360169698031</v>
      </c>
      <c r="AS143" s="103">
        <f>AS123*AS9</f>
        <v>32.738248080692188</v>
      </c>
      <c r="AT143" s="103">
        <f>AT123*AT9</f>
        <v>32.497540000000001</v>
      </c>
      <c r="AU143" s="103">
        <f>AU123*AU9</f>
        <v>24.594049999999996</v>
      </c>
      <c r="AV143" s="103">
        <f t="shared" ref="AV143:AV158" si="225">SUM(AR143:AU143)</f>
        <v>122.88919825039022</v>
      </c>
      <c r="AW143" s="103">
        <f>AW123*AW9</f>
        <v>24.208080000000002</v>
      </c>
      <c r="AX143" s="103">
        <f>AX123*AX9</f>
        <v>26.16835</v>
      </c>
      <c r="AY143" s="103">
        <f>AY123*AY9</f>
        <v>28.55021</v>
      </c>
      <c r="AZ143" s="103">
        <f>AZ123*AZ9</f>
        <v>28.088190000000015</v>
      </c>
      <c r="BA143" s="103">
        <f t="shared" ref="BA143:BA158" si="226">SUM(AW143:AZ143)</f>
        <v>107.01483</v>
      </c>
      <c r="BB143" s="103">
        <f>BB123*BB9</f>
        <v>26.533000000000001</v>
      </c>
      <c r="BC143" s="103">
        <f>BC123*BC9</f>
        <v>27.469000000000001</v>
      </c>
      <c r="BD143" s="103">
        <f>BD123*BD9</f>
        <v>28.652000000000001</v>
      </c>
      <c r="BE143" s="103">
        <f>BE123*BE9</f>
        <v>21.84</v>
      </c>
      <c r="BF143" s="103">
        <f t="shared" ref="BF143:BF151" si="227">SUM(BB143:BE143)</f>
        <v>104.494</v>
      </c>
      <c r="BG143" s="103">
        <f>BG123*BG9</f>
        <v>19.292000000000002</v>
      </c>
      <c r="BH143" s="103">
        <f>BH123*BH9</f>
        <v>19.760000000000002</v>
      </c>
      <c r="BI143" s="103">
        <f>BI123*BI9</f>
        <v>20.513999999999999</v>
      </c>
      <c r="BJ143" s="103">
        <f>BJ123*BJ9</f>
        <v>19.981000000000002</v>
      </c>
      <c r="BK143" s="458">
        <f>SUM(BG143:BJ143)</f>
        <v>79.546999999999997</v>
      </c>
      <c r="BL143" s="103">
        <f>BL123*BL9</f>
        <v>18.667999999999999</v>
      </c>
      <c r="BM143" s="103">
        <f>BM123*BM9</f>
        <v>19.773</v>
      </c>
      <c r="BN143" s="103">
        <f>BN123*BN9</f>
        <v>19.187999999999999</v>
      </c>
      <c r="BO143" s="103">
        <f>BO123*BO9</f>
        <v>19.162000000000003</v>
      </c>
      <c r="BP143" s="103">
        <f t="shared" ref="BP143:BP151" si="228">SUM(BL143:BO143)</f>
        <v>76.791000000000011</v>
      </c>
      <c r="BQ143" s="103">
        <f t="shared" ref="BQ143:CE143" si="229">BQ123*BQ9</f>
        <v>19.071000000000002</v>
      </c>
      <c r="BR143" s="103">
        <f t="shared" si="229"/>
        <v>20.033000000000005</v>
      </c>
      <c r="BS143" s="103">
        <f t="shared" si="229"/>
        <v>20.111000000000004</v>
      </c>
      <c r="BT143" s="103">
        <f t="shared" si="229"/>
        <v>19.825000000000006</v>
      </c>
      <c r="BU143" s="103">
        <f t="shared" si="229"/>
        <v>79.04000000000002</v>
      </c>
      <c r="BV143" s="103">
        <f t="shared" si="229"/>
        <v>20.540000000000006</v>
      </c>
      <c r="BW143" s="103">
        <f t="shared" si="229"/>
        <v>20.280000000000005</v>
      </c>
      <c r="BX143" s="103">
        <f t="shared" si="229"/>
        <v>19.630000000000006</v>
      </c>
      <c r="BY143" s="103">
        <f t="shared" si="229"/>
        <v>21.190000000000005</v>
      </c>
      <c r="BZ143" s="103">
        <f t="shared" si="229"/>
        <v>81.640000000000015</v>
      </c>
      <c r="CA143" s="12">
        <f t="shared" si="229"/>
        <v>19.827949133248424</v>
      </c>
      <c r="CB143" s="12">
        <f t="shared" si="229"/>
        <v>19.574630827711605</v>
      </c>
      <c r="CC143" s="12">
        <f t="shared" si="229"/>
        <v>19.033433565949775</v>
      </c>
      <c r="CD143" s="12">
        <f t="shared" si="229"/>
        <v>20.369146395010247</v>
      </c>
      <c r="CE143" s="103">
        <f t="shared" si="229"/>
        <v>78.805159921920037</v>
      </c>
      <c r="CJ143" s="103">
        <f>CJ123*CJ9</f>
        <v>31.670816476812295</v>
      </c>
      <c r="CO143" s="103">
        <f>CO123*CO9</f>
        <v>6.5750220503350656</v>
      </c>
      <c r="CP143"/>
      <c r="CQ143"/>
      <c r="CR143"/>
      <c r="CS143"/>
      <c r="CT143" s="103">
        <f>CT123*CT9</f>
        <v>0.42160559341301818</v>
      </c>
      <c r="CU143"/>
      <c r="CV143"/>
      <c r="CW143"/>
      <c r="CX143"/>
      <c r="CY143" s="103">
        <f>CY123*CY9</f>
        <v>0.43873754352797645</v>
      </c>
      <c r="CZ143"/>
      <c r="DA143"/>
      <c r="DB143"/>
      <c r="DC143"/>
      <c r="DD143" s="103">
        <f>DD123*DD9</f>
        <v>0.45669856250572249</v>
      </c>
      <c r="DE143"/>
      <c r="DF143"/>
      <c r="DG143"/>
      <c r="DH143"/>
      <c r="DI143" s="103">
        <f>DI123*DI9</f>
        <v>0.47553026099480117</v>
      </c>
      <c r="DJ143"/>
      <c r="DK143"/>
      <c r="DL143"/>
      <c r="DM143"/>
      <c r="DN143" s="103">
        <f>DN123*DN9</f>
        <v>0.49527635208076032</v>
      </c>
      <c r="DO143"/>
      <c r="DP143"/>
      <c r="DQ143"/>
      <c r="DR143"/>
      <c r="DS143" s="103">
        <f>DS123*DS9</f>
        <v>0.51598275764190915</v>
      </c>
      <c r="DT143"/>
      <c r="DU143"/>
      <c r="DV143"/>
      <c r="DW143"/>
      <c r="DX143" s="103">
        <f>DX123*DX9</f>
        <v>0.53769772008643035</v>
      </c>
      <c r="DY143"/>
      <c r="DZ143"/>
      <c r="EA143"/>
      <c r="EB143"/>
      <c r="EC143" s="103">
        <f>EC123*EC9</f>
        <v>0.56047191974314137</v>
      </c>
      <c r="ED143"/>
      <c r="EE143"/>
      <c r="EF143"/>
      <c r="EG143"/>
      <c r="EH143" s="103">
        <f>EH123*EH9</f>
        <v>0.58435859819197278</v>
      </c>
      <c r="EI143"/>
      <c r="EJ143"/>
      <c r="EK143"/>
      <c r="EL143"/>
      <c r="EM143" s="103">
        <f>EM123*EM9</f>
        <v>0.60941368783471572</v>
      </c>
    </row>
    <row r="144" spans="2:143">
      <c r="B144" s="449" t="s">
        <v>182</v>
      </c>
      <c r="C144" s="41"/>
      <c r="D144" s="99"/>
      <c r="E144" s="41"/>
      <c r="F144" s="41"/>
      <c r="G144" s="41"/>
      <c r="H144" s="98"/>
      <c r="I144" s="41"/>
      <c r="J144" s="41"/>
      <c r="K144" s="41"/>
      <c r="L144" s="41"/>
      <c r="M144" s="98"/>
      <c r="N144" s="41"/>
      <c r="O144" s="41"/>
      <c r="P144" s="41"/>
      <c r="Q144" s="41"/>
      <c r="R144" s="98"/>
      <c r="S144" s="41"/>
      <c r="T144" s="41"/>
      <c r="U144" s="41"/>
      <c r="V144" s="41"/>
      <c r="W144" s="98"/>
      <c r="X144" s="41"/>
      <c r="Y144" s="41"/>
      <c r="Z144" s="41"/>
      <c r="AA144" s="41"/>
      <c r="AB144" s="98"/>
      <c r="AC144" s="41"/>
      <c r="AD144" s="41"/>
      <c r="AE144" s="41"/>
      <c r="AF144" s="41"/>
      <c r="AG144" s="98"/>
      <c r="AH144" s="103"/>
      <c r="AI144" s="103"/>
      <c r="AJ144" s="103"/>
      <c r="AK144" s="103"/>
      <c r="AL144" s="103"/>
      <c r="AM144" s="103"/>
      <c r="AN144" s="103"/>
      <c r="AO144" s="103"/>
      <c r="AP144" s="103">
        <f>AP124*AP13</f>
        <v>2.1428699999999998</v>
      </c>
      <c r="AQ144" s="103">
        <f t="shared" si="224"/>
        <v>2.1428699999999998</v>
      </c>
      <c r="AR144" s="103">
        <f>AR124*AR13</f>
        <v>4.4429400000000001</v>
      </c>
      <c r="AS144" s="103">
        <f>AS124*AS13</f>
        <v>6.6225600000000009</v>
      </c>
      <c r="AT144" s="103">
        <f>AT124*AT13</f>
        <v>7.948430000000001</v>
      </c>
      <c r="AU144" s="103">
        <f>AU124*AU13</f>
        <v>7.2589299999999994</v>
      </c>
      <c r="AV144" s="103">
        <f t="shared" si="225"/>
        <v>26.272860000000001</v>
      </c>
      <c r="AW144" s="103">
        <f>AW124*AW13</f>
        <v>7.3002300000000009</v>
      </c>
      <c r="AX144" s="103">
        <f>AX124*AX13</f>
        <v>7.68201</v>
      </c>
      <c r="AY144" s="103">
        <f>AY124*AY13</f>
        <v>7.4440800000000005</v>
      </c>
      <c r="AZ144" s="103">
        <f>AZ124*AZ13</f>
        <v>7.4409300000000025</v>
      </c>
      <c r="BA144" s="103">
        <f t="shared" si="226"/>
        <v>29.867250000000002</v>
      </c>
      <c r="BB144" s="103">
        <f>BB124*BB13</f>
        <v>8.5890000000000004</v>
      </c>
      <c r="BC144" s="103">
        <f>BC124*BC13</f>
        <v>10.836000000000002</v>
      </c>
      <c r="BD144" s="103">
        <f>BD124*BD13</f>
        <v>11.872</v>
      </c>
      <c r="BE144" s="103">
        <f>BE124*BE13</f>
        <v>14.14</v>
      </c>
      <c r="BF144" s="103">
        <f t="shared" si="227"/>
        <v>45.437000000000005</v>
      </c>
      <c r="BG144" s="103">
        <f>BG124*BG13</f>
        <v>12.936000000000002</v>
      </c>
      <c r="BH144" s="103">
        <f>BH124*BH13</f>
        <v>15.071000000000002</v>
      </c>
      <c r="BI144" s="103">
        <f>BI124*BI13</f>
        <v>14.854000000000001</v>
      </c>
      <c r="BJ144" s="103">
        <f>BJ124*BJ13</f>
        <v>16.513000000000002</v>
      </c>
      <c r="BK144" s="458">
        <f>SUM(BG144:BJ144)</f>
        <v>59.374000000000009</v>
      </c>
      <c r="BL144" s="103">
        <f>BL124*BL13</f>
        <v>15.638</v>
      </c>
      <c r="BM144" s="103">
        <f>BM124*BM13</f>
        <v>17.094000000000001</v>
      </c>
      <c r="BN144" s="103">
        <f>BN124*BN13</f>
        <v>16.093</v>
      </c>
      <c r="BO144" s="103">
        <f>BO124*BO13</f>
        <v>18.900000000000002</v>
      </c>
      <c r="BP144" s="103">
        <f t="shared" si="228"/>
        <v>67.725000000000009</v>
      </c>
      <c r="BQ144" s="103">
        <f t="shared" ref="BQ144:CE144" si="230">BQ124*BQ13</f>
        <v>15.743000000000002</v>
      </c>
      <c r="BR144" s="103">
        <f t="shared" si="230"/>
        <v>17.437000000000001</v>
      </c>
      <c r="BS144" s="103">
        <f t="shared" si="230"/>
        <v>16.331000000000003</v>
      </c>
      <c r="BT144" s="103">
        <f t="shared" si="230"/>
        <v>18.627000000000002</v>
      </c>
      <c r="BU144" s="103">
        <f t="shared" si="230"/>
        <v>68.138000000000005</v>
      </c>
      <c r="BV144" s="103">
        <f t="shared" si="230"/>
        <v>16.520000000000003</v>
      </c>
      <c r="BW144" s="103">
        <f t="shared" si="230"/>
        <v>17.78</v>
      </c>
      <c r="BX144" s="103">
        <f t="shared" si="230"/>
        <v>17.57</v>
      </c>
      <c r="BY144" s="103">
        <f t="shared" si="230"/>
        <v>17.57</v>
      </c>
      <c r="BZ144" s="103">
        <f t="shared" si="230"/>
        <v>69.440000000000012</v>
      </c>
      <c r="CA144" s="12">
        <f t="shared" si="230"/>
        <v>17.169130871729728</v>
      </c>
      <c r="CB144" s="12">
        <f t="shared" si="230"/>
        <v>18.418614796255255</v>
      </c>
      <c r="CC144" s="12">
        <f t="shared" si="230"/>
        <v>18.275271168763869</v>
      </c>
      <c r="CD144" s="12">
        <f t="shared" si="230"/>
        <v>18.23118564126456</v>
      </c>
      <c r="CE144" s="103">
        <f t="shared" si="230"/>
        <v>72.094202478013415</v>
      </c>
      <c r="CJ144" s="103">
        <f>CJ124*CJ13</f>
        <v>74.983570969487118</v>
      </c>
      <c r="CO144" s="103">
        <f>CO124*CO13</f>
        <v>78.794362824374588</v>
      </c>
      <c r="CP144"/>
      <c r="CQ144"/>
      <c r="CR144"/>
      <c r="CS144"/>
      <c r="CT144" s="103">
        <f>CT124*CT13</f>
        <v>82.900354652604292</v>
      </c>
      <c r="CU144"/>
      <c r="CV144"/>
      <c r="CW144"/>
      <c r="CX144"/>
      <c r="CY144" s="103">
        <f>CY124*CY13</f>
        <v>87.329517743453508</v>
      </c>
      <c r="CZ144"/>
      <c r="DA144"/>
      <c r="DB144"/>
      <c r="DC144"/>
      <c r="DD144" s="103">
        <f>DD124*DD13</f>
        <v>85.3243254287338</v>
      </c>
      <c r="DE144"/>
      <c r="DF144"/>
      <c r="DG144"/>
      <c r="DH144"/>
      <c r="DI144" s="103">
        <f>DI124*DI13</f>
        <v>79.18720740800083</v>
      </c>
      <c r="DJ144"/>
      <c r="DK144"/>
      <c r="DL144"/>
      <c r="DM144"/>
      <c r="DN144" s="103">
        <f>DN124*DN13</f>
        <v>70.09634456985016</v>
      </c>
      <c r="DO144"/>
      <c r="DP144"/>
      <c r="DQ144"/>
      <c r="DR144"/>
      <c r="DS144" s="103">
        <f>DS124*DS13</f>
        <v>61.724782344140408</v>
      </c>
      <c r="DT144"/>
      <c r="DU144"/>
      <c r="DV144"/>
      <c r="DW144"/>
      <c r="DX144" s="103">
        <f>DX124*DX13</f>
        <v>50.969377976371263</v>
      </c>
      <c r="DY144"/>
      <c r="DZ144"/>
      <c r="EA144"/>
      <c r="EB144"/>
      <c r="EC144" s="103">
        <f>EC124*EC13</f>
        <v>45.932193756595488</v>
      </c>
      <c r="ED144"/>
      <c r="EE144"/>
      <c r="EF144"/>
      <c r="EG144"/>
      <c r="EH144" s="103">
        <f>EH124*EH13</f>
        <v>41.488153026993274</v>
      </c>
      <c r="EI144"/>
      <c r="EJ144"/>
      <c r="EK144"/>
      <c r="EL144"/>
      <c r="EM144" s="103">
        <f>EM124*EM13</f>
        <v>35.666931319851543</v>
      </c>
    </row>
    <row r="145" spans="2:143">
      <c r="B145" s="449" t="s">
        <v>95</v>
      </c>
      <c r="C145" s="41"/>
      <c r="D145" s="97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>
        <f t="shared" si="224"/>
        <v>0</v>
      </c>
      <c r="AR145" s="103"/>
      <c r="AS145" s="103"/>
      <c r="AT145" s="103"/>
      <c r="AU145" s="103"/>
      <c r="AV145" s="103">
        <f t="shared" si="225"/>
        <v>0</v>
      </c>
      <c r="AW145" s="103"/>
      <c r="AX145" s="103"/>
      <c r="AY145" s="103"/>
      <c r="AZ145" s="103"/>
      <c r="BA145" s="103">
        <f t="shared" si="226"/>
        <v>0</v>
      </c>
      <c r="BB145" s="103">
        <f>BB125*BB18</f>
        <v>1.425</v>
      </c>
      <c r="BC145" s="103">
        <f>BC125*BC18</f>
        <v>3.3100000000000005</v>
      </c>
      <c r="BD145" s="103">
        <f>BD125*BD18</f>
        <v>4.4750000000000005</v>
      </c>
      <c r="BE145" s="103">
        <f>BE125*BE18</f>
        <v>6.0500000000000007</v>
      </c>
      <c r="BF145" s="103">
        <f t="shared" si="227"/>
        <v>15.260000000000002</v>
      </c>
      <c r="BG145" s="103">
        <f>BG125*BG18</f>
        <v>7.4579999999999993</v>
      </c>
      <c r="BH145" s="103">
        <f>BH125*BH18</f>
        <v>8.8495000000000008</v>
      </c>
      <c r="BI145" s="103">
        <f>BI125*BI18</f>
        <v>9.9604999999999997</v>
      </c>
      <c r="BJ145" s="103">
        <f>BJ125*BJ18</f>
        <v>11.115500000000001</v>
      </c>
      <c r="BK145" s="458">
        <f>SUM(BG145:BJ145)</f>
        <v>37.383499999999998</v>
      </c>
      <c r="BL145" s="103">
        <f>BL125*BL18</f>
        <v>10.9175</v>
      </c>
      <c r="BM145" s="103">
        <f>BM125*BM18</f>
        <v>12.897500000000001</v>
      </c>
      <c r="BN145" s="103">
        <f>BN125*BN18</f>
        <v>14.1075</v>
      </c>
      <c r="BO145" s="103">
        <f>BO125*BO18</f>
        <v>16.158999999999999</v>
      </c>
      <c r="BP145" s="103">
        <f t="shared" si="228"/>
        <v>54.081499999999998</v>
      </c>
      <c r="BQ145" s="103">
        <f t="shared" ref="BQ145:CE145" si="231">BQ125*BQ18</f>
        <v>15.07</v>
      </c>
      <c r="BR145" s="103">
        <f t="shared" si="231"/>
        <v>17.473500000000001</v>
      </c>
      <c r="BS145" s="103">
        <f t="shared" si="231"/>
        <v>18.7605</v>
      </c>
      <c r="BT145" s="103">
        <f t="shared" si="231"/>
        <v>20.784499999999998</v>
      </c>
      <c r="BU145" s="103">
        <f t="shared" si="231"/>
        <v>72.088499999999996</v>
      </c>
      <c r="BV145" s="103">
        <f t="shared" si="231"/>
        <v>20.02</v>
      </c>
      <c r="BW145" s="103">
        <f t="shared" si="231"/>
        <v>21.504999999999999</v>
      </c>
      <c r="BX145" s="103">
        <f t="shared" si="231"/>
        <v>22.934999999999999</v>
      </c>
      <c r="BY145" s="103">
        <f t="shared" si="231"/>
        <v>24.31</v>
      </c>
      <c r="BZ145" s="103">
        <f t="shared" si="231"/>
        <v>88.77</v>
      </c>
      <c r="CA145" s="12">
        <f t="shared" si="231"/>
        <v>23.20775167291696</v>
      </c>
      <c r="CB145" s="12">
        <f t="shared" si="231"/>
        <v>24.871937960337384</v>
      </c>
      <c r="CC145" s="12">
        <f t="shared" si="231"/>
        <v>26.455824208946428</v>
      </c>
      <c r="CD145" s="12">
        <f t="shared" si="231"/>
        <v>28.048711768703757</v>
      </c>
      <c r="CE145" s="103">
        <f t="shared" si="231"/>
        <v>102.58422561090453</v>
      </c>
      <c r="CJ145" s="103">
        <f>CJ125*CJ18</f>
        <v>116.13314444201708</v>
      </c>
      <c r="CO145" s="103">
        <f>CO125*CO18</f>
        <v>129.94853040457571</v>
      </c>
      <c r="CP145"/>
      <c r="CQ145"/>
      <c r="CR145"/>
      <c r="CS145"/>
      <c r="CT145" s="103">
        <f>CT125*CT18</f>
        <v>142.26880210937452</v>
      </c>
      <c r="CU145"/>
      <c r="CV145"/>
      <c r="CW145"/>
      <c r="CX145"/>
      <c r="CY145" s="103">
        <f>CY125*CY18</f>
        <v>155.3481297057339</v>
      </c>
      <c r="CZ145"/>
      <c r="DA145"/>
      <c r="DB145"/>
      <c r="DC145"/>
      <c r="DD145" s="103">
        <f>DD125*DD18</f>
        <v>156.88148125166063</v>
      </c>
      <c r="DE145"/>
      <c r="DF145"/>
      <c r="DG145"/>
      <c r="DH145"/>
      <c r="DI145" s="103">
        <f>DI125*DI18</f>
        <v>139.02393892135325</v>
      </c>
      <c r="DJ145"/>
      <c r="DK145"/>
      <c r="DL145"/>
      <c r="DM145"/>
      <c r="DN145" s="103">
        <f>DN125*DN18</f>
        <v>85.553709802205788</v>
      </c>
      <c r="DO145"/>
      <c r="DP145"/>
      <c r="DQ145"/>
      <c r="DR145"/>
      <c r="DS145" s="103">
        <f>DS125*DS18</f>
        <v>28.404878495019947</v>
      </c>
      <c r="DT145"/>
      <c r="DU145"/>
      <c r="DV145"/>
      <c r="DW145"/>
      <c r="DX145" s="103">
        <f>DX125*DX18</f>
        <v>18.845625808869571</v>
      </c>
      <c r="DY145"/>
      <c r="DZ145"/>
      <c r="EA145"/>
      <c r="EB145"/>
      <c r="EC145" s="103">
        <f>EC125*EC18</f>
        <v>12.786690095607442</v>
      </c>
      <c r="ED145"/>
      <c r="EE145"/>
      <c r="EF145"/>
      <c r="EG145"/>
      <c r="EH145" s="103">
        <f>EH125*EH18</f>
        <v>7.7370162489163574</v>
      </c>
      <c r="EI145"/>
      <c r="EJ145"/>
      <c r="EK145"/>
      <c r="EL145"/>
      <c r="EM145" s="103">
        <f>EM125*EM18</f>
        <v>4.5341982530380776</v>
      </c>
    </row>
    <row r="146" spans="2:143">
      <c r="B146" s="449" t="s">
        <v>778</v>
      </c>
      <c r="C146" s="41"/>
      <c r="D146" s="97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>
        <f t="shared" si="224"/>
        <v>0</v>
      </c>
      <c r="AR146" s="103"/>
      <c r="AS146" s="103"/>
      <c r="AT146" s="103"/>
      <c r="AU146" s="103"/>
      <c r="AV146" s="103">
        <f t="shared" si="225"/>
        <v>0</v>
      </c>
      <c r="AW146" s="103"/>
      <c r="AX146" s="103"/>
      <c r="AY146" s="103"/>
      <c r="AZ146" s="103"/>
      <c r="BA146" s="103">
        <f t="shared" si="226"/>
        <v>0</v>
      </c>
      <c r="BB146" s="103"/>
      <c r="BC146" s="103"/>
      <c r="BD146" s="103"/>
      <c r="BE146" s="103"/>
      <c r="BF146" s="103">
        <f t="shared" si="227"/>
        <v>0</v>
      </c>
      <c r="BG146" s="103">
        <f>BG126*BG23</f>
        <v>0</v>
      </c>
      <c r="BH146" s="103">
        <f>BH126*BH23</f>
        <v>0.32200000000000001</v>
      </c>
      <c r="BI146" s="103">
        <f>BI126*BI23</f>
        <v>1.2320000000000002</v>
      </c>
      <c r="BJ146" s="103">
        <f>BJ126*BJ23</f>
        <v>3.3320000000000003</v>
      </c>
      <c r="BK146" s="458">
        <f>SUM(BG146:BJ146)</f>
        <v>4.886000000000001</v>
      </c>
      <c r="BL146" s="103">
        <f>BL126*BL23</f>
        <v>4.2210000000000001</v>
      </c>
      <c r="BM146" s="103">
        <f>BM126*BM23</f>
        <v>6.2790000000000008</v>
      </c>
      <c r="BN146" s="103">
        <f>BN126*BN23</f>
        <v>9.7090000000000014</v>
      </c>
      <c r="BO146" s="103">
        <f>BO126*BO23</f>
        <v>12.81</v>
      </c>
      <c r="BP146" s="103">
        <f t="shared" si="228"/>
        <v>33.019000000000005</v>
      </c>
      <c r="BQ146" s="103">
        <f t="shared" ref="BQ146:CE146" si="232">BQ126*BQ23</f>
        <v>9.7800000000000011</v>
      </c>
      <c r="BR146" s="103">
        <f t="shared" si="232"/>
        <v>12.095000000000001</v>
      </c>
      <c r="BS146" s="103">
        <f t="shared" si="232"/>
        <v>13.730000000000002</v>
      </c>
      <c r="BT146" s="103">
        <f t="shared" si="232"/>
        <v>15.255000000000003</v>
      </c>
      <c r="BU146" s="103">
        <f t="shared" si="232"/>
        <v>50.860000000000007</v>
      </c>
      <c r="BV146" s="103">
        <f t="shared" si="232"/>
        <v>12.100000000000001</v>
      </c>
      <c r="BW146" s="103">
        <f t="shared" si="232"/>
        <v>17.900000000000002</v>
      </c>
      <c r="BX146" s="103">
        <f t="shared" si="232"/>
        <v>15.4</v>
      </c>
      <c r="BY146" s="103">
        <f t="shared" si="232"/>
        <v>18.55</v>
      </c>
      <c r="BZ146" s="103">
        <f t="shared" si="232"/>
        <v>63.95</v>
      </c>
      <c r="CA146" s="12">
        <f t="shared" si="232"/>
        <v>16.837828054298644</v>
      </c>
      <c r="CB146" s="12">
        <f t="shared" si="232"/>
        <v>19.734117647058824</v>
      </c>
      <c r="CC146" s="12">
        <f t="shared" si="232"/>
        <v>18.164977375565609</v>
      </c>
      <c r="CD146" s="12">
        <f t="shared" si="232"/>
        <v>20.069376702994106</v>
      </c>
      <c r="CE146" s="103">
        <f t="shared" si="232"/>
        <v>74.806299779917182</v>
      </c>
      <c r="CJ146" s="103">
        <f>CJ126*CJ23</f>
        <v>93.076558148503693</v>
      </c>
      <c r="CO146" s="103">
        <f>CO126*CO23</f>
        <v>107.57520981720877</v>
      </c>
      <c r="CP146"/>
      <c r="CQ146"/>
      <c r="CR146"/>
      <c r="CS146"/>
      <c r="CT146" s="103">
        <f>CT126*CT23</f>
        <v>116.14135042667786</v>
      </c>
      <c r="CU146"/>
      <c r="CV146"/>
      <c r="CW146"/>
      <c r="CX146"/>
      <c r="CY146" s="103">
        <f>CY126*CY23</f>
        <v>123.48202113587102</v>
      </c>
      <c r="CZ146"/>
      <c r="DA146"/>
      <c r="DB146"/>
      <c r="DC146"/>
      <c r="DD146" s="103">
        <f>DD126*DD23</f>
        <v>131.28910487256528</v>
      </c>
      <c r="DE146"/>
      <c r="DF146"/>
      <c r="DG146"/>
      <c r="DH146"/>
      <c r="DI146" s="103">
        <f>DI126*DI23</f>
        <v>139.59240309884572</v>
      </c>
      <c r="DJ146"/>
      <c r="DK146"/>
      <c r="DL146"/>
      <c r="DM146"/>
      <c r="DN146" s="103">
        <f>DN126*DN23</f>
        <v>42.514355869631643</v>
      </c>
      <c r="DO146"/>
      <c r="DP146"/>
      <c r="DQ146"/>
      <c r="DR146"/>
      <c r="DS146" s="103">
        <f>DS126*DS23</f>
        <v>13.30884512155102</v>
      </c>
      <c r="DT146"/>
      <c r="DU146"/>
      <c r="DV146"/>
      <c r="DW146"/>
      <c r="DX146" s="103">
        <f>DX126*DX23</f>
        <v>5.8092878669746675</v>
      </c>
      <c r="DY146"/>
      <c r="DZ146"/>
      <c r="EA146"/>
      <c r="EB146"/>
      <c r="EC146" s="103">
        <f>EC126*EC23</f>
        <v>2.8147802799217683</v>
      </c>
      <c r="ED146"/>
      <c r="EE146"/>
      <c r="EF146"/>
      <c r="EG146"/>
      <c r="EH146" s="103">
        <f>EH126*EH23</f>
        <v>1.3975765963363109</v>
      </c>
      <c r="EI146"/>
      <c r="EJ146"/>
      <c r="EK146"/>
      <c r="EL146"/>
      <c r="EM146" s="103">
        <f>EM126*EM23</f>
        <v>0.69765426003169639</v>
      </c>
    </row>
    <row r="147" spans="2:143">
      <c r="B147" s="365" t="s">
        <v>811</v>
      </c>
      <c r="C147" s="41"/>
      <c r="D147" s="97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3"/>
      <c r="AS147" s="103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458"/>
      <c r="BP147" s="103">
        <f t="shared" si="228"/>
        <v>0</v>
      </c>
      <c r="BU147" s="103">
        <f t="shared" ref="BU147:CE147" si="233">BU127*BU28</f>
        <v>0</v>
      </c>
      <c r="BV147" s="103">
        <f t="shared" si="233"/>
        <v>0</v>
      </c>
      <c r="BW147" s="103">
        <f t="shared" si="233"/>
        <v>0</v>
      </c>
      <c r="BX147" s="103">
        <f t="shared" si="233"/>
        <v>0</v>
      </c>
      <c r="BY147" s="103">
        <f t="shared" si="233"/>
        <v>0</v>
      </c>
      <c r="BZ147" s="103">
        <f t="shared" si="233"/>
        <v>0</v>
      </c>
      <c r="CA147" s="12">
        <f t="shared" si="233"/>
        <v>0</v>
      </c>
      <c r="CB147" s="12">
        <f t="shared" si="233"/>
        <v>0</v>
      </c>
      <c r="CC147" s="12">
        <f t="shared" si="233"/>
        <v>0</v>
      </c>
      <c r="CD147" s="12">
        <f t="shared" si="233"/>
        <v>0</v>
      </c>
      <c r="CE147" s="103">
        <f t="shared" si="233"/>
        <v>0</v>
      </c>
      <c r="CJ147" s="103">
        <f>CJ127*CJ28</f>
        <v>0</v>
      </c>
      <c r="CO147" s="103">
        <f>CO127*CO28</f>
        <v>0</v>
      </c>
      <c r="CP147"/>
      <c r="CQ147"/>
      <c r="CR147"/>
      <c r="CS147"/>
      <c r="CT147" s="103">
        <f>CT127*CT28</f>
        <v>0</v>
      </c>
      <c r="CU147"/>
      <c r="CV147"/>
      <c r="CW147"/>
      <c r="CX147"/>
      <c r="CY147" s="103">
        <f>CY127*CY28</f>
        <v>0</v>
      </c>
      <c r="CZ147"/>
      <c r="DA147"/>
      <c r="DB147"/>
      <c r="DC147"/>
      <c r="DD147" s="103">
        <f>DD127*DD28</f>
        <v>0</v>
      </c>
      <c r="DE147"/>
      <c r="DF147"/>
      <c r="DG147"/>
      <c r="DH147"/>
      <c r="DI147" s="103">
        <f>DI127*DI28</f>
        <v>0</v>
      </c>
      <c r="DJ147"/>
      <c r="DK147"/>
      <c r="DL147"/>
      <c r="DM147"/>
      <c r="DN147" s="103">
        <f>DN127*DN28</f>
        <v>0</v>
      </c>
      <c r="DO147"/>
      <c r="DP147"/>
      <c r="DQ147"/>
      <c r="DR147"/>
      <c r="DS147" s="103">
        <f>DS127*DS28</f>
        <v>0</v>
      </c>
      <c r="DT147"/>
      <c r="DU147"/>
      <c r="DV147"/>
      <c r="DW147"/>
      <c r="DX147" s="103">
        <f>DX127*DX28</f>
        <v>0</v>
      </c>
      <c r="DY147"/>
      <c r="DZ147"/>
      <c r="EA147"/>
      <c r="EB147"/>
      <c r="EC147" s="103">
        <f>EC127*EC28</f>
        <v>0</v>
      </c>
      <c r="ED147"/>
      <c r="EE147"/>
      <c r="EF147"/>
      <c r="EG147"/>
      <c r="EH147" s="103">
        <f>EH127*EH28</f>
        <v>0</v>
      </c>
      <c r="EI147"/>
      <c r="EJ147"/>
      <c r="EK147"/>
      <c r="EL147"/>
      <c r="EM147" s="103">
        <f>EM127*EM28</f>
        <v>0</v>
      </c>
    </row>
    <row r="148" spans="2:143">
      <c r="B148" s="360" t="s">
        <v>999</v>
      </c>
      <c r="C148" s="41"/>
      <c r="D148" s="97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3"/>
      <c r="AS148" s="103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458"/>
      <c r="BP148" s="103">
        <f t="shared" si="228"/>
        <v>0</v>
      </c>
      <c r="BU148" s="103">
        <f t="shared" ref="BU148:CE148" si="234">BU128*BU32</f>
        <v>0</v>
      </c>
      <c r="BV148" s="103">
        <f t="shared" si="234"/>
        <v>0</v>
      </c>
      <c r="BW148" s="103">
        <f t="shared" si="234"/>
        <v>0</v>
      </c>
      <c r="BX148" s="103">
        <f t="shared" si="234"/>
        <v>0</v>
      </c>
      <c r="BY148" s="103">
        <f t="shared" si="234"/>
        <v>0</v>
      </c>
      <c r="BZ148" s="103">
        <f t="shared" si="234"/>
        <v>0</v>
      </c>
      <c r="CA148" s="12">
        <f t="shared" si="234"/>
        <v>0</v>
      </c>
      <c r="CB148" s="12">
        <f t="shared" si="234"/>
        <v>0</v>
      </c>
      <c r="CC148" s="12">
        <f t="shared" si="234"/>
        <v>0</v>
      </c>
      <c r="CD148" s="12">
        <f t="shared" si="234"/>
        <v>0</v>
      </c>
      <c r="CE148" s="103">
        <f t="shared" si="234"/>
        <v>0</v>
      </c>
      <c r="CJ148" s="103">
        <f>CJ128*CJ32</f>
        <v>25.875000000000004</v>
      </c>
      <c r="CO148" s="103">
        <f>CO128*CO32</f>
        <v>103.50000000000001</v>
      </c>
      <c r="CP148"/>
      <c r="CQ148"/>
      <c r="CR148"/>
      <c r="CS148"/>
      <c r="CT148" s="103">
        <f>CT128*CT32</f>
        <v>172.50000000000003</v>
      </c>
      <c r="CU148"/>
      <c r="CV148"/>
      <c r="CW148"/>
      <c r="CX148"/>
      <c r="CY148" s="103">
        <f>CY128*CY32</f>
        <v>207.00000000000003</v>
      </c>
      <c r="CZ148"/>
      <c r="DA148"/>
      <c r="DB148"/>
      <c r="DC148"/>
      <c r="DD148" s="103">
        <f>DD128*DD32</f>
        <v>232.87500000000003</v>
      </c>
      <c r="DE148"/>
      <c r="DF148"/>
      <c r="DG148"/>
      <c r="DH148"/>
      <c r="DI148" s="103">
        <f>DI128*DI32</f>
        <v>258.75</v>
      </c>
      <c r="DJ148"/>
      <c r="DK148"/>
      <c r="DL148"/>
      <c r="DM148"/>
      <c r="DN148" s="103">
        <f>DN128*DN32</f>
        <v>271.6875</v>
      </c>
      <c r="DO148"/>
      <c r="DP148"/>
      <c r="DQ148"/>
      <c r="DR148"/>
      <c r="DS148" s="103">
        <f>DS128*DS32</f>
        <v>285.27187500000002</v>
      </c>
      <c r="DT148"/>
      <c r="DU148"/>
      <c r="DV148"/>
      <c r="DW148"/>
      <c r="DX148" s="103">
        <f>DX128*DX32</f>
        <v>299.53546875000001</v>
      </c>
      <c r="DY148"/>
      <c r="DZ148"/>
      <c r="EA148"/>
      <c r="EB148"/>
      <c r="EC148" s="103">
        <f>EC128*EC32</f>
        <v>314.51224218750002</v>
      </c>
      <c r="ED148"/>
      <c r="EE148"/>
      <c r="EF148"/>
      <c r="EG148"/>
      <c r="EH148" s="103">
        <f>EH128*EH32</f>
        <v>330.23785429687507</v>
      </c>
      <c r="EI148"/>
      <c r="EJ148"/>
      <c r="EK148"/>
      <c r="EL148"/>
      <c r="EM148" s="103">
        <f>EM128*EM32</f>
        <v>346.74974701171885</v>
      </c>
    </row>
    <row r="149" spans="2:143">
      <c r="B149" s="365" t="s">
        <v>916</v>
      </c>
      <c r="C149" s="41"/>
      <c r="D149" s="97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3"/>
      <c r="AS149" s="103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458"/>
      <c r="BP149" s="103">
        <f t="shared" si="228"/>
        <v>0</v>
      </c>
      <c r="BQ149" s="12">
        <f t="shared" ref="BQ149:CE149" si="235">BQ129*BQ34</f>
        <v>0</v>
      </c>
      <c r="BR149" s="12">
        <f t="shared" si="235"/>
        <v>0</v>
      </c>
      <c r="BS149" s="12">
        <f t="shared" si="235"/>
        <v>0</v>
      </c>
      <c r="BT149" s="12">
        <f t="shared" si="235"/>
        <v>0</v>
      </c>
      <c r="BU149" s="103">
        <f t="shared" si="235"/>
        <v>0</v>
      </c>
      <c r="BV149" s="103">
        <f t="shared" si="235"/>
        <v>0</v>
      </c>
      <c r="BW149" s="103">
        <f t="shared" si="235"/>
        <v>0</v>
      </c>
      <c r="BX149" s="103">
        <f t="shared" si="235"/>
        <v>2.2050000000000001</v>
      </c>
      <c r="BY149" s="103">
        <f t="shared" si="235"/>
        <v>4.0949999999999998</v>
      </c>
      <c r="BZ149" s="103">
        <f t="shared" si="235"/>
        <v>6.3</v>
      </c>
      <c r="CA149" s="12">
        <f t="shared" si="235"/>
        <v>11.55</v>
      </c>
      <c r="CB149" s="12">
        <f t="shared" si="235"/>
        <v>12.127500000000001</v>
      </c>
      <c r="CC149" s="12">
        <f t="shared" si="235"/>
        <v>12.733874999999999</v>
      </c>
      <c r="CD149" s="12">
        <f t="shared" si="235"/>
        <v>13.088624999999999</v>
      </c>
      <c r="CE149" s="103">
        <f t="shared" si="235"/>
        <v>49.5</v>
      </c>
      <c r="CJ149" s="103">
        <f>CJ129*CJ34</f>
        <v>86.250000000000014</v>
      </c>
      <c r="CO149" s="103">
        <f>CO129*CO34</f>
        <v>103.50000000000001</v>
      </c>
      <c r="CP149"/>
      <c r="CQ149"/>
      <c r="CR149"/>
      <c r="CS149"/>
      <c r="CT149" s="103">
        <f>CT129*CT34</f>
        <v>108.67500000000001</v>
      </c>
      <c r="CU149"/>
      <c r="CV149"/>
      <c r="CW149"/>
      <c r="CX149"/>
      <c r="CY149" s="103">
        <f>CY129*CY34</f>
        <v>114.10875000000001</v>
      </c>
      <c r="CZ149"/>
      <c r="DA149"/>
      <c r="DB149"/>
      <c r="DC149"/>
      <c r="DD149" s="103">
        <f>DD129*DD34</f>
        <v>119.81418750000002</v>
      </c>
      <c r="DE149"/>
      <c r="DF149"/>
      <c r="DG149"/>
      <c r="DH149"/>
      <c r="DI149" s="103">
        <f>DI129*DI34</f>
        <v>125.80489687500001</v>
      </c>
      <c r="DJ149"/>
      <c r="DK149"/>
      <c r="DL149"/>
      <c r="DM149"/>
      <c r="DN149" s="103">
        <f>DN129*DN34</f>
        <v>132.09514171875003</v>
      </c>
      <c r="DO149"/>
      <c r="DP149"/>
      <c r="DQ149"/>
      <c r="DR149"/>
      <c r="DS149" s="103">
        <f>DS129*DS34</f>
        <v>138.69989880468754</v>
      </c>
      <c r="DT149"/>
      <c r="DU149"/>
      <c r="DV149"/>
      <c r="DW149"/>
      <c r="DX149" s="103">
        <f>DX129*DX34</f>
        <v>145.63489374492192</v>
      </c>
      <c r="DY149"/>
      <c r="DZ149"/>
      <c r="EA149"/>
      <c r="EB149"/>
      <c r="EC149" s="103">
        <f>EC129*EC34</f>
        <v>152.91663843216801</v>
      </c>
      <c r="ED149"/>
      <c r="EE149"/>
      <c r="EF149"/>
      <c r="EG149"/>
      <c r="EH149" s="103">
        <f>EH129*EH34</f>
        <v>160.56247035377643</v>
      </c>
      <c r="EI149"/>
      <c r="EJ149"/>
      <c r="EK149"/>
      <c r="EL149"/>
      <c r="EM149" s="103">
        <f>EM129*EM34</f>
        <v>168.59059387146525</v>
      </c>
    </row>
    <row r="150" spans="2:143">
      <c r="B150" s="449" t="s">
        <v>123</v>
      </c>
      <c r="C150" s="41"/>
      <c r="D150" s="97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103"/>
      <c r="AI150" s="103"/>
      <c r="AJ150" s="103"/>
      <c r="AK150" s="103"/>
      <c r="AL150" s="103">
        <f>AL130*AL36</f>
        <v>65.535899999999998</v>
      </c>
      <c r="AM150" s="103">
        <f>AM130*AM36</f>
        <v>15.602549999999999</v>
      </c>
      <c r="AN150" s="103">
        <f>AN130*AN36</f>
        <v>14.67315</v>
      </c>
      <c r="AO150" s="103">
        <f>AO130*AO36</f>
        <v>14.126849999999999</v>
      </c>
      <c r="AP150" s="103">
        <f>AP130*AP36</f>
        <v>14.038200000000007</v>
      </c>
      <c r="AQ150" s="103">
        <f t="shared" si="224"/>
        <v>58.440750000000008</v>
      </c>
      <c r="AR150" s="103">
        <f>AR130*AR36</f>
        <v>12.813300000000002</v>
      </c>
      <c r="AS150" s="103">
        <f>AS130*AS36</f>
        <v>13.225050000000003</v>
      </c>
      <c r="AT150" s="103">
        <f>AT130*AT36</f>
        <v>12.495750000000003</v>
      </c>
      <c r="AU150" s="103">
        <f>AU130*AU36</f>
        <v>12.325950000000002</v>
      </c>
      <c r="AV150" s="103">
        <f t="shared" si="225"/>
        <v>50.860050000000015</v>
      </c>
      <c r="AW150" s="103">
        <f>AW130*AW36</f>
        <v>10.12804</v>
      </c>
      <c r="AX150" s="103">
        <f>AX130*AX36</f>
        <v>9.9309600000000007</v>
      </c>
      <c r="AY150" s="103">
        <f>AY130*AY36</f>
        <v>9.7828900000000001</v>
      </c>
      <c r="AZ150" s="103">
        <f>AZ130*AZ36</f>
        <v>9.4357900000000061</v>
      </c>
      <c r="BA150" s="103">
        <f t="shared" si="226"/>
        <v>39.277680000000004</v>
      </c>
      <c r="BB150" s="103">
        <f>BB130*BB36</f>
        <v>7.4619999999999997</v>
      </c>
      <c r="BC150" s="103">
        <f>BC130*BC36</f>
        <v>8.6059999999999999</v>
      </c>
      <c r="BD150" s="103">
        <f>BD130*BD36</f>
        <v>7.8000000000000007</v>
      </c>
      <c r="BE150" s="103">
        <f>BE130*BE36</f>
        <v>7.9300000000000006</v>
      </c>
      <c r="BF150" s="103">
        <f t="shared" si="227"/>
        <v>31.797999999999998</v>
      </c>
      <c r="BG150" s="103">
        <f>BG130*BG36</f>
        <v>7.54</v>
      </c>
      <c r="BH150" s="103">
        <f>BH130*BH36</f>
        <v>7.0590000000000002</v>
      </c>
      <c r="BI150" s="103">
        <f>BI130*BI36</f>
        <v>6.7469999999999999</v>
      </c>
      <c r="BJ150" s="103">
        <f>BJ130*BJ36</f>
        <v>7.41</v>
      </c>
      <c r="BK150" s="458">
        <f>SUM(BG150:BJ150)</f>
        <v>28.756</v>
      </c>
      <c r="BL150" s="103">
        <f>BL130*BL36</f>
        <v>6.0970000000000004</v>
      </c>
      <c r="BM150" s="103">
        <f>BM130*BM36</f>
        <v>6.2270000000000003</v>
      </c>
      <c r="BN150" s="103">
        <f>BN130*BN36</f>
        <v>5.8630000000000004</v>
      </c>
      <c r="BO150" s="103">
        <f>BO130*BO36</f>
        <v>5.915</v>
      </c>
      <c r="BP150" s="103">
        <f t="shared" si="228"/>
        <v>24.102</v>
      </c>
      <c r="BQ150" s="103">
        <f t="shared" ref="BQ150:CE150" si="236">BQ130*BQ36</f>
        <v>5.33</v>
      </c>
      <c r="BR150" s="103">
        <f t="shared" si="236"/>
        <v>4.9010000000000007</v>
      </c>
      <c r="BS150" s="103">
        <f t="shared" si="236"/>
        <v>4.9790000000000001</v>
      </c>
      <c r="BT150" s="103">
        <f t="shared" si="236"/>
        <v>4.5630000000000006</v>
      </c>
      <c r="BU150" s="103">
        <f t="shared" si="236"/>
        <v>19.773</v>
      </c>
      <c r="BV150" s="103">
        <f t="shared" si="236"/>
        <v>4.68</v>
      </c>
      <c r="BW150" s="103">
        <f t="shared" si="236"/>
        <v>4.42</v>
      </c>
      <c r="BX150" s="103">
        <f t="shared" si="236"/>
        <v>4.42</v>
      </c>
      <c r="BY150" s="103">
        <f t="shared" si="236"/>
        <v>3.64</v>
      </c>
      <c r="BZ150" s="103">
        <f t="shared" si="236"/>
        <v>17.16</v>
      </c>
      <c r="CA150" s="12">
        <f t="shared" si="236"/>
        <v>4.2119999999999997</v>
      </c>
      <c r="CB150" s="12">
        <f t="shared" si="236"/>
        <v>3.9780000000000002</v>
      </c>
      <c r="CC150" s="12">
        <f t="shared" si="236"/>
        <v>3.9780000000000002</v>
      </c>
      <c r="CD150" s="12">
        <f t="shared" si="236"/>
        <v>3.2759999999999998</v>
      </c>
      <c r="CE150" s="103">
        <f t="shared" si="236"/>
        <v>15.444000000000001</v>
      </c>
      <c r="CJ150" s="103">
        <f>CJ130*CJ36</f>
        <v>13.899600000000001</v>
      </c>
      <c r="CO150" s="103">
        <f>CO130*CO36</f>
        <v>12.509640000000001</v>
      </c>
      <c r="CP150"/>
      <c r="CQ150"/>
      <c r="CR150"/>
      <c r="CS150"/>
      <c r="CT150" s="103">
        <f>CT130*CT36</f>
        <v>11.258676000000001</v>
      </c>
      <c r="CU150"/>
      <c r="CV150"/>
      <c r="CW150"/>
      <c r="CX150"/>
      <c r="CY150" s="103">
        <f>CY130*CY36</f>
        <v>10.132808400000002</v>
      </c>
      <c r="CZ150"/>
      <c r="DA150"/>
      <c r="DB150"/>
      <c r="DC150"/>
      <c r="DD150" s="103">
        <f>DD130*DD36</f>
        <v>9.1195275600000016</v>
      </c>
      <c r="DE150"/>
      <c r="DF150"/>
      <c r="DG150"/>
      <c r="DH150"/>
      <c r="DI150" s="103">
        <f>DI130*DI36</f>
        <v>4.5597637800000008</v>
      </c>
      <c r="DJ150"/>
      <c r="DK150"/>
      <c r="DL150"/>
      <c r="DM150"/>
      <c r="DN150" s="103">
        <f>DN130*DN36</f>
        <v>0.91195275600000025</v>
      </c>
      <c r="DO150"/>
      <c r="DP150"/>
      <c r="DQ150"/>
      <c r="DR150"/>
      <c r="DS150" s="103">
        <f>DS130*DS36</f>
        <v>0.45597637800000013</v>
      </c>
      <c r="DT150"/>
      <c r="DU150"/>
      <c r="DV150"/>
      <c r="DW150"/>
      <c r="DX150" s="103">
        <f>DX130*DX36</f>
        <v>0.22798818900000006</v>
      </c>
      <c r="DY150"/>
      <c r="DZ150"/>
      <c r="EA150"/>
      <c r="EB150"/>
      <c r="EC150" s="103">
        <f>EC130*EC36</f>
        <v>0.11399409450000003</v>
      </c>
      <c r="ED150"/>
      <c r="EE150"/>
      <c r="EF150"/>
      <c r="EG150"/>
      <c r="EH150" s="103">
        <f>EH130*EH36</f>
        <v>5.6997047250000016E-2</v>
      </c>
      <c r="EI150"/>
      <c r="EJ150"/>
      <c r="EK150"/>
      <c r="EL150"/>
      <c r="EM150" s="103">
        <f>EM130*EM36</f>
        <v>2.8498523625000008E-2</v>
      </c>
    </row>
    <row r="151" spans="2:143">
      <c r="B151" s="449" t="s">
        <v>177</v>
      </c>
      <c r="C151" s="41"/>
      <c r="D151" s="97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103"/>
      <c r="AI151" s="103"/>
      <c r="AJ151" s="103"/>
      <c r="AK151" s="103"/>
      <c r="AL151" s="103"/>
      <c r="AM151" s="103">
        <f>AM131*AM38</f>
        <v>0.1</v>
      </c>
      <c r="AN151" s="103">
        <f>AN131*AN38</f>
        <v>0.30000000000000004</v>
      </c>
      <c r="AO151" s="103">
        <f>AO131*AO38</f>
        <v>0.55000000000000004</v>
      </c>
      <c r="AP151" s="103">
        <f>AP131*AP38</f>
        <v>0.6281000000000001</v>
      </c>
      <c r="AQ151" s="103">
        <f t="shared" si="224"/>
        <v>1.5781000000000001</v>
      </c>
      <c r="AR151" s="103">
        <f>AR131*AR38</f>
        <v>0.57340000000000002</v>
      </c>
      <c r="AS151" s="103">
        <f>AS131*AS38</f>
        <v>0.69710000000000005</v>
      </c>
      <c r="AT151" s="103">
        <f>AT131*AT38</f>
        <v>0.82520000000000016</v>
      </c>
      <c r="AU151" s="103">
        <f>AU131*AU38</f>
        <v>0.99639999999999973</v>
      </c>
      <c r="AV151" s="103">
        <f t="shared" si="225"/>
        <v>3.0921000000000003</v>
      </c>
      <c r="AW151" s="103">
        <f>AW131*AW38</f>
        <v>1.0639799999999999</v>
      </c>
      <c r="AX151" s="103">
        <f>AX131*AX38</f>
        <v>1.09215</v>
      </c>
      <c r="AY151" s="103">
        <f>AY131*AY38</f>
        <v>1.1375999999999999</v>
      </c>
      <c r="AZ151" s="103">
        <f>AZ131*AZ38</f>
        <v>1.2063599999999999</v>
      </c>
      <c r="BA151" s="103">
        <f t="shared" si="226"/>
        <v>4.5000900000000001</v>
      </c>
      <c r="BB151" s="103">
        <f>BB131*BB38</f>
        <v>1.161</v>
      </c>
      <c r="BC151" s="103">
        <f>BC131*BC38</f>
        <v>1.2149999999999999</v>
      </c>
      <c r="BD151" s="103">
        <f>BD131*BD38</f>
        <v>1.26</v>
      </c>
      <c r="BE151" s="103">
        <f>BE131*BE38</f>
        <v>1.26</v>
      </c>
      <c r="BF151" s="103">
        <f t="shared" si="227"/>
        <v>4.8959999999999999</v>
      </c>
      <c r="BG151" s="103">
        <f>BG131*BG38</f>
        <v>1.4490000000000001</v>
      </c>
      <c r="BH151" s="103">
        <f>BH131*BH38</f>
        <v>1.5390000000000001</v>
      </c>
      <c r="BI151" s="103">
        <f>BI131*BI38</f>
        <v>1.4129999999999998</v>
      </c>
      <c r="BJ151" s="103">
        <f>BJ131*BJ38</f>
        <v>1.5029999999999999</v>
      </c>
      <c r="BK151" s="458">
        <f>SUM(BG151:BJ151)</f>
        <v>5.9039999999999999</v>
      </c>
      <c r="BL151" s="103">
        <f>BL131*BL38</f>
        <v>1.4849999999999999</v>
      </c>
      <c r="BM151" s="103">
        <f>BM131*BM38</f>
        <v>1.6109999999999998</v>
      </c>
      <c r="BN151" s="103">
        <f>BN131*BN38</f>
        <v>1.5569999999999999</v>
      </c>
      <c r="BO151" s="103">
        <f>BO131*BO38</f>
        <v>1.5659999999999998</v>
      </c>
      <c r="BP151" s="103">
        <f t="shared" si="228"/>
        <v>6.2189999999999994</v>
      </c>
      <c r="BQ151" s="103">
        <f t="shared" ref="BQ151:CE151" si="237">BQ131*BQ38</f>
        <v>1.665</v>
      </c>
      <c r="BR151" s="103">
        <f t="shared" si="237"/>
        <v>1.8629999999999998</v>
      </c>
      <c r="BS151" s="103">
        <f t="shared" si="237"/>
        <v>1.7459999999999998</v>
      </c>
      <c r="BT151" s="103">
        <f t="shared" si="237"/>
        <v>1.8629999999999998</v>
      </c>
      <c r="BU151" s="103">
        <f t="shared" si="237"/>
        <v>7.1369999999999996</v>
      </c>
      <c r="BV151" s="103">
        <f t="shared" si="237"/>
        <v>1.7999999999999998</v>
      </c>
      <c r="BW151" s="103">
        <f t="shared" si="237"/>
        <v>1.71</v>
      </c>
      <c r="BX151" s="103">
        <f t="shared" si="237"/>
        <v>1.71</v>
      </c>
      <c r="BY151" s="103">
        <f t="shared" si="237"/>
        <v>1.6199999999999999</v>
      </c>
      <c r="BZ151" s="103">
        <f t="shared" si="237"/>
        <v>6.84</v>
      </c>
      <c r="CA151" s="12">
        <f t="shared" si="237"/>
        <v>1.962</v>
      </c>
      <c r="CB151" s="12">
        <f t="shared" si="237"/>
        <v>1.8639000000000001</v>
      </c>
      <c r="CC151" s="12">
        <f t="shared" si="237"/>
        <v>1.8639000000000001</v>
      </c>
      <c r="CD151" s="12">
        <f t="shared" si="237"/>
        <v>1.7658</v>
      </c>
      <c r="CE151" s="103">
        <f t="shared" si="237"/>
        <v>7.4556000000000004</v>
      </c>
      <c r="CJ151" s="103">
        <f>CJ131*CJ38</f>
        <v>8.1266040000000004</v>
      </c>
      <c r="CO151" s="103">
        <f>CO131*CO38</f>
        <v>8.8579983600000016</v>
      </c>
      <c r="CP151"/>
      <c r="CQ151"/>
      <c r="CR151"/>
      <c r="CS151"/>
      <c r="CT151" s="103">
        <f>CT131*CT38</f>
        <v>9.655218212400003</v>
      </c>
      <c r="CU151"/>
      <c r="CV151"/>
      <c r="CW151"/>
      <c r="CX151"/>
      <c r="CY151" s="103">
        <f>CY131*CY38</f>
        <v>1.9310436424800006</v>
      </c>
      <c r="CZ151"/>
      <c r="DA151"/>
      <c r="DB151"/>
      <c r="DC151"/>
      <c r="DD151" s="103">
        <f>DD131*DD38</f>
        <v>0.38620872849600013</v>
      </c>
      <c r="DE151"/>
      <c r="DF151"/>
      <c r="DG151"/>
      <c r="DH151"/>
      <c r="DI151" s="103">
        <f>DI131*DI38</f>
        <v>7.7241745699200032E-2</v>
      </c>
      <c r="DJ151"/>
      <c r="DK151"/>
      <c r="DL151"/>
      <c r="DM151"/>
      <c r="DN151" s="103">
        <f>DN131*DN38</f>
        <v>1.5448349139840008E-2</v>
      </c>
      <c r="DO151"/>
      <c r="DP151"/>
      <c r="DQ151"/>
      <c r="DR151"/>
      <c r="DS151" s="103">
        <f>DS131*DS38</f>
        <v>3.0896698279680012E-3</v>
      </c>
      <c r="DT151"/>
      <c r="DU151"/>
      <c r="DV151"/>
      <c r="DW151"/>
      <c r="DX151" s="103">
        <f>DX131*DX38</f>
        <v>6.1793396559360028E-4</v>
      </c>
      <c r="DY151"/>
      <c r="DZ151"/>
      <c r="EA151"/>
      <c r="EB151"/>
      <c r="EC151" s="103">
        <f>EC131*EC38</f>
        <v>1.2358679311872005E-4</v>
      </c>
      <c r="ED151"/>
      <c r="EE151"/>
      <c r="EF151"/>
      <c r="EG151"/>
      <c r="EH151" s="103">
        <f>EH131*EH38</f>
        <v>2.4717358623744014E-5</v>
      </c>
      <c r="EI151"/>
      <c r="EJ151"/>
      <c r="EK151"/>
      <c r="EL151"/>
      <c r="EM151" s="103">
        <f>EM131*EM38</f>
        <v>4.9434717247488031E-6</v>
      </c>
    </row>
    <row r="152" spans="2:143">
      <c r="B152" s="365" t="s">
        <v>956</v>
      </c>
      <c r="C152" s="41"/>
      <c r="D152" s="97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103"/>
      <c r="AI152" s="103"/>
      <c r="AJ152" s="103"/>
      <c r="AK152" s="103"/>
      <c r="AL152" s="103"/>
      <c r="AM152" s="103"/>
      <c r="AN152" s="103"/>
      <c r="AO152" s="103"/>
      <c r="AP152" s="103"/>
      <c r="AQ152" s="103"/>
      <c r="AR152" s="103"/>
      <c r="AS152" s="103"/>
      <c r="AT152" s="103"/>
      <c r="AU152" s="103"/>
      <c r="AV152" s="103"/>
      <c r="AW152" s="103"/>
      <c r="AX152" s="103"/>
      <c r="AY152" s="103"/>
      <c r="AZ152" s="103"/>
      <c r="BA152" s="103"/>
      <c r="BB152" s="103"/>
      <c r="BC152" s="103"/>
      <c r="BD152" s="103"/>
      <c r="BE152" s="103"/>
      <c r="BF152" s="103"/>
      <c r="BG152" s="103"/>
      <c r="BH152" s="103"/>
      <c r="BI152" s="103"/>
      <c r="BJ152" s="103"/>
      <c r="BK152" s="458"/>
      <c r="BL152" s="103"/>
      <c r="BM152" s="103"/>
      <c r="BN152" s="103"/>
      <c r="BO152" s="103"/>
      <c r="BP152" s="103"/>
      <c r="BQ152" s="103"/>
      <c r="BR152" s="103"/>
      <c r="BS152" s="103"/>
      <c r="BT152" s="103"/>
      <c r="BU152" s="103"/>
      <c r="BV152" s="103"/>
      <c r="BW152" s="103"/>
      <c r="BX152" s="103"/>
      <c r="BY152" s="103"/>
      <c r="BZ152" s="103"/>
      <c r="CE152" s="103"/>
      <c r="CJ152" s="103"/>
      <c r="CO152" s="103">
        <f t="shared" ref="CO152:DT152" si="238">CO132*CO46</f>
        <v>0</v>
      </c>
      <c r="CP152">
        <f t="shared" si="238"/>
        <v>0</v>
      </c>
      <c r="CQ152">
        <f t="shared" si="238"/>
        <v>0</v>
      </c>
      <c r="CR152">
        <f t="shared" si="238"/>
        <v>0</v>
      </c>
      <c r="CS152">
        <f t="shared" si="238"/>
        <v>0</v>
      </c>
      <c r="CT152" s="103">
        <f t="shared" si="238"/>
        <v>0</v>
      </c>
      <c r="CU152">
        <f t="shared" si="238"/>
        <v>0</v>
      </c>
      <c r="CV152">
        <f t="shared" si="238"/>
        <v>0</v>
      </c>
      <c r="CW152">
        <f t="shared" si="238"/>
        <v>0</v>
      </c>
      <c r="CX152">
        <f t="shared" si="238"/>
        <v>0</v>
      </c>
      <c r="CY152" s="103">
        <f t="shared" si="238"/>
        <v>0</v>
      </c>
      <c r="CZ152">
        <f t="shared" si="238"/>
        <v>0</v>
      </c>
      <c r="DA152">
        <f t="shared" si="238"/>
        <v>0</v>
      </c>
      <c r="DB152">
        <f t="shared" si="238"/>
        <v>0</v>
      </c>
      <c r="DC152">
        <f t="shared" si="238"/>
        <v>0</v>
      </c>
      <c r="DD152" s="103">
        <f t="shared" si="238"/>
        <v>0</v>
      </c>
      <c r="DE152">
        <f t="shared" si="238"/>
        <v>0</v>
      </c>
      <c r="DF152">
        <f t="shared" si="238"/>
        <v>0</v>
      </c>
      <c r="DG152">
        <f t="shared" si="238"/>
        <v>0</v>
      </c>
      <c r="DH152">
        <f t="shared" si="238"/>
        <v>0</v>
      </c>
      <c r="DI152" s="103">
        <f t="shared" si="238"/>
        <v>0</v>
      </c>
      <c r="DJ152">
        <f t="shared" si="238"/>
        <v>0</v>
      </c>
      <c r="DK152">
        <f t="shared" si="238"/>
        <v>0</v>
      </c>
      <c r="DL152">
        <f t="shared" si="238"/>
        <v>0</v>
      </c>
      <c r="DM152">
        <f t="shared" si="238"/>
        <v>0</v>
      </c>
      <c r="DN152" s="103">
        <f t="shared" si="238"/>
        <v>0</v>
      </c>
      <c r="DO152">
        <f t="shared" si="238"/>
        <v>0</v>
      </c>
      <c r="DP152">
        <f t="shared" si="238"/>
        <v>0</v>
      </c>
      <c r="DQ152">
        <f t="shared" si="238"/>
        <v>0</v>
      </c>
      <c r="DR152">
        <f t="shared" si="238"/>
        <v>0</v>
      </c>
      <c r="DS152" s="103">
        <f t="shared" si="238"/>
        <v>0</v>
      </c>
      <c r="DT152">
        <f t="shared" si="238"/>
        <v>0</v>
      </c>
      <c r="DU152">
        <f t="shared" ref="DU152:EM152" si="239">DU132*DU46</f>
        <v>0</v>
      </c>
      <c r="DV152">
        <f t="shared" si="239"/>
        <v>0</v>
      </c>
      <c r="DW152">
        <f t="shared" si="239"/>
        <v>0</v>
      </c>
      <c r="DX152" s="103">
        <f t="shared" si="239"/>
        <v>0</v>
      </c>
      <c r="DY152">
        <f t="shared" si="239"/>
        <v>0</v>
      </c>
      <c r="DZ152">
        <f t="shared" si="239"/>
        <v>0</v>
      </c>
      <c r="EA152">
        <f t="shared" si="239"/>
        <v>0</v>
      </c>
      <c r="EB152">
        <f t="shared" si="239"/>
        <v>0</v>
      </c>
      <c r="EC152" s="103">
        <f t="shared" si="239"/>
        <v>0</v>
      </c>
      <c r="ED152">
        <f t="shared" si="239"/>
        <v>0</v>
      </c>
      <c r="EE152">
        <f t="shared" si="239"/>
        <v>0</v>
      </c>
      <c r="EF152">
        <f t="shared" si="239"/>
        <v>0</v>
      </c>
      <c r="EG152">
        <f t="shared" si="239"/>
        <v>0</v>
      </c>
      <c r="EH152" s="103">
        <f t="shared" si="239"/>
        <v>0</v>
      </c>
      <c r="EI152">
        <f t="shared" si="239"/>
        <v>0</v>
      </c>
      <c r="EJ152">
        <f t="shared" si="239"/>
        <v>0</v>
      </c>
      <c r="EK152">
        <f t="shared" si="239"/>
        <v>0</v>
      </c>
      <c r="EL152">
        <f t="shared" si="239"/>
        <v>0</v>
      </c>
      <c r="EM152" s="103">
        <f t="shared" si="239"/>
        <v>0</v>
      </c>
    </row>
    <row r="153" spans="2:143">
      <c r="B153" s="365" t="s">
        <v>1193</v>
      </c>
      <c r="C153" s="41"/>
      <c r="D153" s="97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103"/>
      <c r="AI153" s="103"/>
      <c r="AJ153" s="103"/>
      <c r="AK153" s="103"/>
      <c r="AL153" s="103"/>
      <c r="AM153" s="103"/>
      <c r="AN153" s="103"/>
      <c r="AO153" s="103"/>
      <c r="AP153" s="103"/>
      <c r="AQ153" s="103"/>
      <c r="AR153" s="103"/>
      <c r="AS153" s="103"/>
      <c r="AT153" s="103"/>
      <c r="AU153" s="103"/>
      <c r="AV153" s="103"/>
      <c r="AW153" s="103"/>
      <c r="AX153" s="103"/>
      <c r="AY153" s="103"/>
      <c r="AZ153" s="103"/>
      <c r="BA153" s="103"/>
      <c r="BB153" s="103"/>
      <c r="BC153" s="103"/>
      <c r="BD153" s="103"/>
      <c r="BE153" s="103"/>
      <c r="BF153" s="103"/>
      <c r="BG153" s="103"/>
      <c r="BH153" s="103"/>
      <c r="BI153" s="103"/>
      <c r="BJ153" s="103"/>
      <c r="BK153" s="458"/>
      <c r="BL153" s="103"/>
      <c r="BM153" s="103"/>
      <c r="BN153" s="103"/>
      <c r="BO153" s="103"/>
      <c r="BP153" s="103"/>
      <c r="BQ153" s="103"/>
      <c r="BR153" s="103"/>
      <c r="BS153" s="103"/>
      <c r="BT153" s="103"/>
      <c r="BU153" s="103"/>
      <c r="BV153" s="103"/>
      <c r="BW153" s="103"/>
      <c r="BX153" s="103"/>
      <c r="BY153" s="103"/>
      <c r="BZ153" s="103"/>
      <c r="CE153" s="103"/>
      <c r="CJ153" s="103">
        <f>CJ133*CJ44</f>
        <v>21.252484884257655</v>
      </c>
      <c r="CO153" s="103">
        <f t="shared" ref="CO153:DT153" si="240">CO133*CO44</f>
        <v>56.225737643925584</v>
      </c>
      <c r="CP153">
        <f t="shared" si="240"/>
        <v>0</v>
      </c>
      <c r="CQ153">
        <f t="shared" si="240"/>
        <v>0</v>
      </c>
      <c r="CR153">
        <f t="shared" si="240"/>
        <v>0</v>
      </c>
      <c r="CS153">
        <f t="shared" si="240"/>
        <v>0</v>
      </c>
      <c r="CT153" s="103">
        <f t="shared" si="240"/>
        <v>167.48033884327049</v>
      </c>
      <c r="CU153">
        <f t="shared" si="240"/>
        <v>0</v>
      </c>
      <c r="CV153">
        <f t="shared" si="240"/>
        <v>0</v>
      </c>
      <c r="CW153">
        <f t="shared" si="240"/>
        <v>0</v>
      </c>
      <c r="CX153">
        <f t="shared" si="240"/>
        <v>0</v>
      </c>
      <c r="CY153" s="103">
        <f t="shared" si="240"/>
        <v>257.58876695525072</v>
      </c>
      <c r="CZ153">
        <f t="shared" si="240"/>
        <v>0</v>
      </c>
      <c r="DA153">
        <f t="shared" si="240"/>
        <v>0</v>
      </c>
      <c r="DB153">
        <f t="shared" si="240"/>
        <v>0</v>
      </c>
      <c r="DC153">
        <f t="shared" si="240"/>
        <v>0</v>
      </c>
      <c r="DD153" s="103">
        <f t="shared" si="240"/>
        <v>328.26032508318445</v>
      </c>
      <c r="DE153">
        <f t="shared" si="240"/>
        <v>0</v>
      </c>
      <c r="DF153">
        <f t="shared" si="240"/>
        <v>0</v>
      </c>
      <c r="DG153">
        <f t="shared" si="240"/>
        <v>0</v>
      </c>
      <c r="DH153">
        <f t="shared" si="240"/>
        <v>0</v>
      </c>
      <c r="DI153" s="103">
        <f t="shared" si="240"/>
        <v>444.26711178593007</v>
      </c>
      <c r="DJ153">
        <f t="shared" si="240"/>
        <v>0</v>
      </c>
      <c r="DK153">
        <f t="shared" si="240"/>
        <v>0</v>
      </c>
      <c r="DL153">
        <f t="shared" si="240"/>
        <v>0</v>
      </c>
      <c r="DM153">
        <f t="shared" si="240"/>
        <v>0</v>
      </c>
      <c r="DN153" s="103">
        <f t="shared" si="240"/>
        <v>497.40186240134847</v>
      </c>
      <c r="DO153">
        <f t="shared" si="240"/>
        <v>0</v>
      </c>
      <c r="DP153">
        <f t="shared" si="240"/>
        <v>0</v>
      </c>
      <c r="DQ153">
        <f t="shared" si="240"/>
        <v>0</v>
      </c>
      <c r="DR153">
        <f t="shared" si="240"/>
        <v>0</v>
      </c>
      <c r="DS153" s="103">
        <f t="shared" si="240"/>
        <v>523.80228052188727</v>
      </c>
      <c r="DT153">
        <f t="shared" si="240"/>
        <v>0</v>
      </c>
      <c r="DU153">
        <f t="shared" ref="DU153:EM153" si="241">DU133*DU44</f>
        <v>0</v>
      </c>
      <c r="DV153">
        <f t="shared" si="241"/>
        <v>0</v>
      </c>
      <c r="DW153">
        <f t="shared" si="241"/>
        <v>0</v>
      </c>
      <c r="DX153" s="103">
        <f t="shared" si="241"/>
        <v>544.16937694705405</v>
      </c>
      <c r="DY153">
        <f t="shared" si="241"/>
        <v>0</v>
      </c>
      <c r="DZ153">
        <f t="shared" si="241"/>
        <v>0</v>
      </c>
      <c r="EA153">
        <f t="shared" si="241"/>
        <v>0</v>
      </c>
      <c r="EB153">
        <f t="shared" si="241"/>
        <v>0</v>
      </c>
      <c r="EC153" s="103">
        <f t="shared" si="241"/>
        <v>564.38438680744127</v>
      </c>
      <c r="ED153">
        <f t="shared" si="241"/>
        <v>0</v>
      </c>
      <c r="EE153">
        <f t="shared" si="241"/>
        <v>0</v>
      </c>
      <c r="EF153">
        <f t="shared" si="241"/>
        <v>0</v>
      </c>
      <c r="EG153">
        <f t="shared" si="241"/>
        <v>0</v>
      </c>
      <c r="EH153" s="103">
        <f t="shared" si="241"/>
        <v>577.82126249599776</v>
      </c>
      <c r="EI153">
        <f t="shared" si="241"/>
        <v>0</v>
      </c>
      <c r="EJ153">
        <f t="shared" si="241"/>
        <v>0</v>
      </c>
      <c r="EK153">
        <f t="shared" si="241"/>
        <v>0</v>
      </c>
      <c r="EL153">
        <f t="shared" si="241"/>
        <v>0</v>
      </c>
      <c r="EM153" s="103">
        <f t="shared" si="241"/>
        <v>591.42843700369338</v>
      </c>
    </row>
    <row r="154" spans="2:143">
      <c r="B154" s="365" t="s">
        <v>973</v>
      </c>
      <c r="C154" s="41"/>
      <c r="D154" s="97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103"/>
      <c r="AI154" s="103"/>
      <c r="AJ154" s="103"/>
      <c r="AK154" s="103"/>
      <c r="AL154" s="103"/>
      <c r="AM154" s="103"/>
      <c r="AN154" s="103"/>
      <c r="AO154" s="103"/>
      <c r="AP154" s="103"/>
      <c r="AQ154" s="103"/>
      <c r="AR154" s="103"/>
      <c r="AS154" s="103"/>
      <c r="AT154" s="103"/>
      <c r="AU154" s="103"/>
      <c r="AV154" s="103"/>
      <c r="AW154" s="103"/>
      <c r="AX154" s="103"/>
      <c r="AY154" s="103"/>
      <c r="AZ154" s="103"/>
      <c r="BA154" s="103"/>
      <c r="BB154" s="103"/>
      <c r="BC154" s="103"/>
      <c r="BD154" s="103"/>
      <c r="BE154" s="103"/>
      <c r="BF154" s="103"/>
      <c r="BG154" s="103"/>
      <c r="BH154" s="103"/>
      <c r="BI154" s="103"/>
      <c r="BJ154" s="103"/>
      <c r="BK154" s="458"/>
      <c r="BL154" s="103"/>
      <c r="BM154" s="103"/>
      <c r="BN154" s="103"/>
      <c r="BO154" s="103"/>
      <c r="BP154" s="103"/>
      <c r="BQ154" s="103"/>
      <c r="BR154" s="103"/>
      <c r="BS154" s="103"/>
      <c r="BT154" s="103"/>
      <c r="BU154" s="103"/>
      <c r="BV154" s="103"/>
      <c r="BW154" s="103"/>
      <c r="BX154" s="103"/>
      <c r="BY154" s="103"/>
      <c r="BZ154" s="103"/>
      <c r="CA154" s="115">
        <f>CA134*CA48</f>
        <v>0</v>
      </c>
      <c r="CB154" s="115">
        <f t="shared" ref="CB154:CD154" si="242">CB134*CB48</f>
        <v>0</v>
      </c>
      <c r="CC154" s="115">
        <f t="shared" si="242"/>
        <v>0</v>
      </c>
      <c r="CD154" s="115">
        <f t="shared" si="242"/>
        <v>0</v>
      </c>
      <c r="CE154" s="103">
        <f>CE134*CE48</f>
        <v>0</v>
      </c>
      <c r="CJ154" s="103">
        <f t="shared" ref="CJ154:DO154" si="243">CJ134*CJ48</f>
        <v>3.8168524683960872</v>
      </c>
      <c r="CK154">
        <f t="shared" si="243"/>
        <v>0</v>
      </c>
      <c r="CL154">
        <f t="shared" si="243"/>
        <v>0</v>
      </c>
      <c r="CM154">
        <f t="shared" si="243"/>
        <v>0</v>
      </c>
      <c r="CN154">
        <f t="shared" si="243"/>
        <v>0</v>
      </c>
      <c r="CO154" s="103">
        <f t="shared" si="243"/>
        <v>7.825053549415343</v>
      </c>
      <c r="CP154">
        <f t="shared" si="243"/>
        <v>0</v>
      </c>
      <c r="CQ154">
        <f t="shared" si="243"/>
        <v>0</v>
      </c>
      <c r="CR154">
        <f t="shared" si="243"/>
        <v>0</v>
      </c>
      <c r="CS154">
        <f t="shared" si="243"/>
        <v>0</v>
      </c>
      <c r="CT154" s="103">
        <f t="shared" si="243"/>
        <v>10.235555188795832</v>
      </c>
      <c r="CU154">
        <f t="shared" si="243"/>
        <v>0</v>
      </c>
      <c r="CV154">
        <f t="shared" si="243"/>
        <v>0</v>
      </c>
      <c r="CW154">
        <f t="shared" si="243"/>
        <v>0</v>
      </c>
      <c r="CX154">
        <f t="shared" si="243"/>
        <v>0</v>
      </c>
      <c r="CY154" s="103">
        <f t="shared" si="243"/>
        <v>11.223665667636752</v>
      </c>
      <c r="CZ154">
        <f t="shared" si="243"/>
        <v>0</v>
      </c>
      <c r="DA154">
        <f t="shared" si="243"/>
        <v>0</v>
      </c>
      <c r="DB154">
        <f t="shared" si="243"/>
        <v>0</v>
      </c>
      <c r="DC154">
        <f t="shared" si="243"/>
        <v>0</v>
      </c>
      <c r="DD154" s="103">
        <f t="shared" si="243"/>
        <v>11.486433122193768</v>
      </c>
      <c r="DE154">
        <f t="shared" si="243"/>
        <v>0</v>
      </c>
      <c r="DF154">
        <f t="shared" si="243"/>
        <v>0</v>
      </c>
      <c r="DG154">
        <f t="shared" si="243"/>
        <v>0</v>
      </c>
      <c r="DH154">
        <f t="shared" si="243"/>
        <v>0</v>
      </c>
      <c r="DI154" s="103">
        <f t="shared" si="243"/>
        <v>11.629467312647424</v>
      </c>
      <c r="DJ154">
        <f t="shared" si="243"/>
        <v>0</v>
      </c>
      <c r="DK154">
        <f t="shared" si="243"/>
        <v>0</v>
      </c>
      <c r="DL154">
        <f t="shared" si="243"/>
        <v>0</v>
      </c>
      <c r="DM154">
        <f t="shared" si="243"/>
        <v>0</v>
      </c>
      <c r="DN154" s="103">
        <f t="shared" si="243"/>
        <v>11.76988353999875</v>
      </c>
      <c r="DO154">
        <f t="shared" si="243"/>
        <v>0</v>
      </c>
      <c r="DP154">
        <f t="shared" ref="DP154:EM154" si="244">DP134*DP48</f>
        <v>0</v>
      </c>
      <c r="DQ154">
        <f t="shared" si="244"/>
        <v>0</v>
      </c>
      <c r="DR154">
        <f t="shared" si="244"/>
        <v>0</v>
      </c>
      <c r="DS154" s="103">
        <f t="shared" si="244"/>
        <v>11.925884421631801</v>
      </c>
      <c r="DT154">
        <f t="shared" si="244"/>
        <v>0</v>
      </c>
      <c r="DU154">
        <f t="shared" si="244"/>
        <v>0</v>
      </c>
      <c r="DV154">
        <f t="shared" si="244"/>
        <v>0</v>
      </c>
      <c r="DW154">
        <f t="shared" si="244"/>
        <v>0</v>
      </c>
      <c r="DX154" s="103">
        <f t="shared" si="244"/>
        <v>12.097246191563341</v>
      </c>
      <c r="DY154">
        <f t="shared" si="244"/>
        <v>0</v>
      </c>
      <c r="DZ154">
        <f t="shared" si="244"/>
        <v>0</v>
      </c>
      <c r="EA154">
        <f t="shared" si="244"/>
        <v>0</v>
      </c>
      <c r="EB154">
        <f t="shared" si="244"/>
        <v>0</v>
      </c>
      <c r="EC154" s="103">
        <f t="shared" si="244"/>
        <v>12.210161154571324</v>
      </c>
      <c r="ED154">
        <f t="shared" si="244"/>
        <v>0</v>
      </c>
      <c r="EE154">
        <f t="shared" si="244"/>
        <v>0</v>
      </c>
      <c r="EF154">
        <f t="shared" si="244"/>
        <v>0</v>
      </c>
      <c r="EG154">
        <f t="shared" si="244"/>
        <v>0</v>
      </c>
      <c r="EH154" s="103">
        <f t="shared" si="244"/>
        <v>12.317180869007942</v>
      </c>
      <c r="EI154">
        <f t="shared" si="244"/>
        <v>0</v>
      </c>
      <c r="EJ154">
        <f t="shared" si="244"/>
        <v>0</v>
      </c>
      <c r="EK154">
        <f t="shared" si="244"/>
        <v>0</v>
      </c>
      <c r="EL154">
        <f t="shared" si="244"/>
        <v>0</v>
      </c>
      <c r="EM154" s="103">
        <f t="shared" si="244"/>
        <v>4.9693360261323551</v>
      </c>
    </row>
    <row r="155" spans="2:143">
      <c r="B155" s="365" t="s">
        <v>974</v>
      </c>
      <c r="C155" s="41"/>
      <c r="D155" s="97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103"/>
      <c r="AI155" s="103"/>
      <c r="AJ155" s="103"/>
      <c r="AK155" s="103"/>
      <c r="AL155" s="103"/>
      <c r="AM155" s="103"/>
      <c r="AN155" s="103"/>
      <c r="AO155" s="103"/>
      <c r="AP155" s="103"/>
      <c r="AQ155" s="103"/>
      <c r="AR155" s="103"/>
      <c r="AS155" s="103"/>
      <c r="AT155" s="103"/>
      <c r="AU155" s="103"/>
      <c r="AV155" s="103"/>
      <c r="AW155" s="103"/>
      <c r="AX155" s="103"/>
      <c r="AY155" s="103"/>
      <c r="AZ155" s="103"/>
      <c r="BA155" s="103"/>
      <c r="BB155" s="103"/>
      <c r="BC155" s="103"/>
      <c r="BD155" s="103"/>
      <c r="BE155" s="103"/>
      <c r="BF155" s="103"/>
      <c r="BG155" s="103"/>
      <c r="BH155" s="103"/>
      <c r="BI155" s="103"/>
      <c r="BJ155" s="103"/>
      <c r="BK155" s="458"/>
      <c r="BL155" s="103"/>
      <c r="BM155" s="103"/>
      <c r="BN155" s="103"/>
      <c r="BO155" s="103"/>
      <c r="BP155" s="103"/>
      <c r="BQ155" s="103"/>
      <c r="BR155" s="103"/>
      <c r="BS155" s="103"/>
      <c r="BT155" s="103"/>
      <c r="BU155" s="103"/>
      <c r="BV155" s="103"/>
      <c r="BW155" s="103"/>
      <c r="BX155" s="103"/>
      <c r="BY155" s="103"/>
      <c r="BZ155" s="103"/>
      <c r="CE155" s="103"/>
      <c r="CJ155" s="103">
        <f>CJ135*CJ52</f>
        <v>0</v>
      </c>
      <c r="CO155" s="103">
        <f t="shared" ref="CO155:DT155" si="245">CO135*CO52</f>
        <v>3.1178527622291048</v>
      </c>
      <c r="CP155">
        <f t="shared" si="245"/>
        <v>0</v>
      </c>
      <c r="CQ155">
        <f t="shared" si="245"/>
        <v>0</v>
      </c>
      <c r="CR155">
        <f t="shared" si="245"/>
        <v>0</v>
      </c>
      <c r="CS155">
        <f t="shared" si="245"/>
        <v>0</v>
      </c>
      <c r="CT155" s="103">
        <f t="shared" si="245"/>
        <v>16.169340317558248</v>
      </c>
      <c r="CU155">
        <f t="shared" si="245"/>
        <v>0</v>
      </c>
      <c r="CV155">
        <f t="shared" si="245"/>
        <v>0</v>
      </c>
      <c r="CW155">
        <f t="shared" si="245"/>
        <v>0</v>
      </c>
      <c r="CX155">
        <f t="shared" si="245"/>
        <v>0</v>
      </c>
      <c r="CY155" s="103">
        <f t="shared" si="245"/>
        <v>41.92750367693646</v>
      </c>
      <c r="CZ155">
        <f t="shared" si="245"/>
        <v>0</v>
      </c>
      <c r="DA155">
        <f t="shared" si="245"/>
        <v>0</v>
      </c>
      <c r="DB155">
        <f t="shared" si="245"/>
        <v>0</v>
      </c>
      <c r="DC155">
        <f t="shared" si="245"/>
        <v>0</v>
      </c>
      <c r="DD155" s="103">
        <f t="shared" si="245"/>
        <v>76.103345655321718</v>
      </c>
      <c r="DE155">
        <f t="shared" si="245"/>
        <v>0</v>
      </c>
      <c r="DF155">
        <f t="shared" si="245"/>
        <v>0</v>
      </c>
      <c r="DG155">
        <f t="shared" si="245"/>
        <v>0</v>
      </c>
      <c r="DH155">
        <f t="shared" si="245"/>
        <v>0</v>
      </c>
      <c r="DI155" s="103">
        <f t="shared" si="245"/>
        <v>118.40272672073435</v>
      </c>
      <c r="DJ155">
        <f t="shared" si="245"/>
        <v>0</v>
      </c>
      <c r="DK155">
        <f t="shared" si="245"/>
        <v>0</v>
      </c>
      <c r="DL155">
        <f t="shared" si="245"/>
        <v>0</v>
      </c>
      <c r="DM155">
        <f t="shared" si="245"/>
        <v>0</v>
      </c>
      <c r="DN155" s="103">
        <f t="shared" si="245"/>
        <v>141.2297660093148</v>
      </c>
      <c r="DO155">
        <f t="shared" si="245"/>
        <v>0</v>
      </c>
      <c r="DP155">
        <f t="shared" si="245"/>
        <v>0</v>
      </c>
      <c r="DQ155">
        <f t="shared" si="245"/>
        <v>0</v>
      </c>
      <c r="DR155">
        <f t="shared" si="245"/>
        <v>0</v>
      </c>
      <c r="DS155" s="103">
        <f t="shared" si="245"/>
        <v>152.315878951748</v>
      </c>
      <c r="DT155">
        <f t="shared" si="245"/>
        <v>0</v>
      </c>
      <c r="DU155">
        <f t="shared" ref="DU155:EM155" si="246">DU135*DU52</f>
        <v>0</v>
      </c>
      <c r="DV155">
        <f t="shared" si="246"/>
        <v>0</v>
      </c>
      <c r="DW155">
        <f t="shared" si="246"/>
        <v>0</v>
      </c>
      <c r="DX155" s="103">
        <f t="shared" si="246"/>
        <v>156.44973190649836</v>
      </c>
      <c r="DY155">
        <f t="shared" si="246"/>
        <v>0</v>
      </c>
      <c r="DZ155">
        <f t="shared" si="246"/>
        <v>0</v>
      </c>
      <c r="EA155">
        <f t="shared" si="246"/>
        <v>0</v>
      </c>
      <c r="EB155">
        <f t="shared" si="246"/>
        <v>0</v>
      </c>
      <c r="EC155" s="103">
        <f t="shared" si="246"/>
        <v>160.69577763044072</v>
      </c>
      <c r="ED155">
        <f t="shared" si="246"/>
        <v>0</v>
      </c>
      <c r="EE155">
        <f t="shared" si="246"/>
        <v>0</v>
      </c>
      <c r="EF155">
        <f t="shared" si="246"/>
        <v>0</v>
      </c>
      <c r="EG155">
        <f t="shared" si="246"/>
        <v>0</v>
      </c>
      <c r="EH155" s="103">
        <f t="shared" si="246"/>
        <v>165.05706103533095</v>
      </c>
      <c r="EI155">
        <f t="shared" si="246"/>
        <v>0</v>
      </c>
      <c r="EJ155">
        <f t="shared" si="246"/>
        <v>0</v>
      </c>
      <c r="EK155">
        <f t="shared" si="246"/>
        <v>0</v>
      </c>
      <c r="EL155">
        <f t="shared" si="246"/>
        <v>0</v>
      </c>
      <c r="EM155" s="103">
        <f t="shared" si="246"/>
        <v>16.62124604625782</v>
      </c>
    </row>
    <row r="156" spans="2:143">
      <c r="B156" s="365" t="s">
        <v>1044</v>
      </c>
      <c r="C156" s="41"/>
      <c r="D156" s="97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AX156" s="103"/>
      <c r="AY156" s="103"/>
      <c r="AZ156" s="103"/>
      <c r="BA156" s="103"/>
      <c r="BB156" s="103"/>
      <c r="BC156" s="103"/>
      <c r="BD156" s="103"/>
      <c r="BE156" s="103"/>
      <c r="BF156" s="103"/>
      <c r="BG156" s="103"/>
      <c r="BH156" s="103"/>
      <c r="BI156" s="103"/>
      <c r="BJ156" s="103"/>
      <c r="BK156" s="458"/>
      <c r="BL156" s="103"/>
      <c r="BM156" s="103"/>
      <c r="BN156" s="103"/>
      <c r="BO156" s="103"/>
      <c r="BP156" s="103"/>
      <c r="BQ156" s="103"/>
      <c r="BR156" s="103"/>
      <c r="BS156" s="103"/>
      <c r="BT156" s="103"/>
      <c r="BU156" s="103"/>
      <c r="BV156" s="103"/>
      <c r="BW156" s="103"/>
      <c r="BX156" s="103"/>
      <c r="BY156" s="103"/>
      <c r="BZ156" s="103">
        <f>BZ136*BZ57</f>
        <v>0</v>
      </c>
      <c r="CE156" s="103">
        <f>CE136*CE57</f>
        <v>0</v>
      </c>
      <c r="CJ156" s="103">
        <f>CJ136*CJ57</f>
        <v>0</v>
      </c>
      <c r="CO156" s="103">
        <f>CO136*CO57</f>
        <v>0</v>
      </c>
      <c r="CP156"/>
      <c r="CQ156"/>
      <c r="CR156"/>
      <c r="CS156"/>
      <c r="CT156" s="103">
        <f>CT136*CT57</f>
        <v>2.9995641123068273</v>
      </c>
      <c r="CU156"/>
      <c r="CV156"/>
      <c r="CW156"/>
      <c r="CX156"/>
      <c r="CY156" s="103">
        <f>CY136*CY57</f>
        <v>11.744939823908005</v>
      </c>
      <c r="CZ156"/>
      <c r="DA156"/>
      <c r="DB156"/>
      <c r="DC156"/>
      <c r="DD156" s="103">
        <f>DD136*DD57</f>
        <v>26.035713565384395</v>
      </c>
      <c r="DE156"/>
      <c r="DF156"/>
      <c r="DG156"/>
      <c r="DH156"/>
      <c r="DI156" s="103">
        <f>DI136*DI57</f>
        <v>53.562489614451756</v>
      </c>
      <c r="DJ156"/>
      <c r="DK156"/>
      <c r="DL156"/>
      <c r="DM156"/>
      <c r="DN156" s="103">
        <f>DN136*DN57</f>
        <v>75.4836779655801</v>
      </c>
      <c r="DO156"/>
      <c r="DP156"/>
      <c r="DQ156"/>
      <c r="DR156"/>
      <c r="DS156" s="103">
        <f>DS136*DS57</f>
        <v>109.4921190822598</v>
      </c>
      <c r="DT156"/>
      <c r="DU156"/>
      <c r="DV156"/>
      <c r="DW156"/>
      <c r="DX156" s="103">
        <f>DX136*DX57</f>
        <v>137.74453271713116</v>
      </c>
      <c r="DY156"/>
      <c r="DZ156"/>
      <c r="EA156"/>
      <c r="EB156"/>
      <c r="EC156" s="103">
        <f>EC136*EC57</f>
        <v>160.42360842412796</v>
      </c>
      <c r="ED156"/>
      <c r="EE156"/>
      <c r="EF156"/>
      <c r="EG156"/>
      <c r="EH156" s="103">
        <f>EH136*EH57</f>
        <v>188.02955365542357</v>
      </c>
      <c r="EI156"/>
      <c r="EJ156"/>
      <c r="EK156"/>
      <c r="EL156"/>
      <c r="EM156" s="103">
        <f>EM136*EM57</f>
        <v>193.82545175624395</v>
      </c>
    </row>
    <row r="157" spans="2:143">
      <c r="B157" s="365" t="s">
        <v>1208</v>
      </c>
      <c r="C157" s="41"/>
      <c r="D157" s="97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3"/>
      <c r="AS157" s="103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458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E157" s="103">
        <f>CE137*CE59</f>
        <v>0</v>
      </c>
      <c r="CJ157" s="103">
        <f>CJ137*CJ59</f>
        <v>0</v>
      </c>
      <c r="CO157" s="103">
        <f>CO137*CO59</f>
        <v>2.4429367229758792</v>
      </c>
      <c r="CP157"/>
      <c r="CQ157"/>
      <c r="CR157"/>
      <c r="CS157"/>
      <c r="CT157" s="103">
        <f>CT137*CT59</f>
        <v>5.3396033453948144</v>
      </c>
      <c r="CU157"/>
      <c r="CV157"/>
      <c r="CW157"/>
      <c r="CX157"/>
      <c r="CY157" s="103">
        <f>CY137*CY59</f>
        <v>9.5449754902240471</v>
      </c>
      <c r="CZ157"/>
      <c r="DA157"/>
      <c r="DB157"/>
      <c r="DC157"/>
      <c r="DD157" s="103">
        <f>DD137*DD59</f>
        <v>13.730093094365206</v>
      </c>
      <c r="DE157"/>
      <c r="DF157"/>
      <c r="DG157"/>
      <c r="DH157"/>
      <c r="DI157" s="103">
        <f>DI137*DI59</f>
        <v>16.126642648112703</v>
      </c>
      <c r="DJ157"/>
      <c r="DK157"/>
      <c r="DL157"/>
      <c r="DM157"/>
      <c r="DN157" s="103">
        <f>DN137*DN59</f>
        <v>17.990445291129394</v>
      </c>
      <c r="DO157"/>
      <c r="DP157"/>
      <c r="DQ157"/>
      <c r="DR157"/>
      <c r="DS157" s="103">
        <f>DS137*DS59</f>
        <v>20.602160724273123</v>
      </c>
      <c r="DT157"/>
      <c r="DU157"/>
      <c r="DV157"/>
      <c r="DW157"/>
      <c r="DX157" s="103">
        <f>DX137*DX59</f>
        <v>22.664180114319759</v>
      </c>
      <c r="DY157"/>
      <c r="DZ157"/>
      <c r="EA157"/>
      <c r="EB157"/>
      <c r="EC157" s="103">
        <f>EC137*EC59</f>
        <v>23.570818594248241</v>
      </c>
      <c r="ED157"/>
      <c r="EE157"/>
      <c r="EF157"/>
      <c r="EG157"/>
      <c r="EH157" s="103">
        <f>EH137*EH59</f>
        <v>24.504037578635405</v>
      </c>
      <c r="EI157"/>
      <c r="EJ157"/>
      <c r="EK157"/>
      <c r="EL157"/>
      <c r="EM157" s="103">
        <f>EM137*EM59</f>
        <v>25.465293981558581</v>
      </c>
    </row>
    <row r="158" spans="2:143">
      <c r="B158" s="449" t="s">
        <v>111</v>
      </c>
      <c r="C158" s="41"/>
      <c r="D158" s="97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103"/>
      <c r="AI158" s="103"/>
      <c r="AJ158" s="103"/>
      <c r="AK158" s="103"/>
      <c r="AL158" s="107">
        <f>AL159-AL142-AL143-AL150</f>
        <v>3.6499050000000466</v>
      </c>
      <c r="AM158" s="107">
        <f>AM159-AM142-AM143-AM144-AM145-AM146-AM150-AM151</f>
        <v>0.4234699999999908</v>
      </c>
      <c r="AN158" s="107">
        <f t="shared" ref="AN158:AU158" si="247">AN159-AN142-AN143-AN144-AN145-AN146-AN150-AN151</f>
        <v>1.7300300000000035</v>
      </c>
      <c r="AO158" s="107">
        <f t="shared" si="247"/>
        <v>0.10459000000000773</v>
      </c>
      <c r="AP158" s="107">
        <f t="shared" si="247"/>
        <v>0.80036999999997049</v>
      </c>
      <c r="AQ158" s="106">
        <f t="shared" si="224"/>
        <v>3.0584599999999726</v>
      </c>
      <c r="AR158" s="107">
        <f t="shared" si="247"/>
        <v>1.8899830301964626E-2</v>
      </c>
      <c r="AS158" s="107">
        <f t="shared" si="247"/>
        <v>0.48069191930780053</v>
      </c>
      <c r="AT158" s="107">
        <f t="shared" si="247"/>
        <v>2.6975099999999874</v>
      </c>
      <c r="AU158" s="107">
        <f t="shared" si="247"/>
        <v>0.23110000000000297</v>
      </c>
      <c r="AV158" s="106">
        <f t="shared" si="225"/>
        <v>3.4282017496097552</v>
      </c>
      <c r="AW158" s="107">
        <f>AW159-AW142-AW143-AW144-AW145-AW146-AW150-AW151</f>
        <v>4.6752249999999878</v>
      </c>
      <c r="AX158" s="107">
        <f>AX159-AX142-AX143-AX144-AX145-AX146-AX150-AX151</f>
        <v>-1.1137574999999946</v>
      </c>
      <c r="AY158" s="107">
        <f>AY159-AY142-AY143-AY144-AY145-AY146-AY150-AY151</f>
        <v>-2.2719975000000039</v>
      </c>
      <c r="AZ158" s="107">
        <f>AZ159-AZ142-AZ143-AZ144-AZ145-AZ146-AZ150-AZ151</f>
        <v>2.7320799999999732</v>
      </c>
      <c r="BA158" s="106">
        <f t="shared" si="226"/>
        <v>4.0215499999999622</v>
      </c>
      <c r="BB158" s="107">
        <f>BB159-BB142-BB143-BB144-BB145-BB146-BB150-BB151</f>
        <v>4.953000000000003</v>
      </c>
      <c r="BC158" s="107">
        <f>BC159-BC142-BC143-BC144-BC145-BC146-BC150-BC151</f>
        <v>-3.1522500000000058</v>
      </c>
      <c r="BD158" s="107">
        <f>BD159-BD142-BD143-BD144-BD145-BD146-BD150-BD151</f>
        <v>-3.9284999999999899</v>
      </c>
      <c r="BE158" s="107">
        <f>BE159-BE142-BE143-BE144-BE145-BE146-BE150-BE151</f>
        <v>4.4399999999999915</v>
      </c>
      <c r="BF158" s="106">
        <f>SUM(BB158:BE158)</f>
        <v>2.3122499999999988</v>
      </c>
      <c r="BG158" s="107">
        <f>BG159-BG142-BG143-BG144-BG145-BG146-BG150-BG151</f>
        <v>-0.12949999999999595</v>
      </c>
      <c r="BH158" s="107">
        <f>BH159-BH142-BH143-BH144-BH145-BH146-BH150-BH151</f>
        <v>0.9542499999999916</v>
      </c>
      <c r="BI158" s="107">
        <f>BI159-BI142-BI143-BI144-BI145-BI146-BI150-BI151</f>
        <v>0.42950000000001198</v>
      </c>
      <c r="BJ158" s="107">
        <f>BJ159-BJ142-BJ143-BJ144-BJ145-BJ146-BJ150-BJ151</f>
        <v>-0.42325000000000634</v>
      </c>
      <c r="BK158" s="458">
        <f>SUM(BG158:BJ158)</f>
        <v>0.83100000000000129</v>
      </c>
      <c r="BL158" s="107">
        <f>BL159-BL142-BL143-BL144-BL145-BL146-BL150-BL151</f>
        <v>3.3437499999999933</v>
      </c>
      <c r="BM158" s="107">
        <f>BM159-BM142-BM143-BM144-BM145-BM146-BM150-BM151</f>
        <v>3.5485000000000086</v>
      </c>
      <c r="BN158" s="107">
        <f>BN159-BN142-BN143-BN144-BN145-BN146-BN150-BN151</f>
        <v>9.4462499999999938</v>
      </c>
      <c r="BO158" s="103">
        <f>BO138*BO42</f>
        <v>0.66910937499999956</v>
      </c>
      <c r="BP158" s="103">
        <f>SUM(BL158:BO158)</f>
        <v>17.007609374999994</v>
      </c>
      <c r="BQ158" s="107">
        <f>BQ159-BQ142-BQ143-BQ144-BQ145-BQ146-BQ150-BQ151</f>
        <v>1.1294000000000084</v>
      </c>
      <c r="BR158" s="107">
        <f>BR159-BR142-BR143-BR144-BR145-BR146-BR150-BR151</f>
        <v>0.43430000000001523</v>
      </c>
      <c r="BS158" s="107">
        <f>BS159-BS142-BS143-BS144-BS145-BS146-BS150-BS151</f>
        <v>-6.5606500000000203</v>
      </c>
      <c r="BT158" s="107">
        <f>BT159-BT142-BT143-BT144-BT145-BT146-BT150-BT151</f>
        <v>-5.0511499999999945</v>
      </c>
      <c r="BU158" s="103">
        <f>SUM(BQ158:BT158)</f>
        <v>-10.048099999999991</v>
      </c>
      <c r="BV158" s="107">
        <f>BV159-BV142-BV143-BV144-BV145-BV146-BV150-BV151</f>
        <v>-7.3400000000000167</v>
      </c>
      <c r="BW158" s="107">
        <f>BW159-BW142-BW143-BW144-BW145-BW146-BW150-BW151</f>
        <v>-21.275000000000013</v>
      </c>
      <c r="BX158" s="107">
        <f>BX159-BX142-BX143-BX144-BX145-BX146-BX150-BX151</f>
        <v>-12.285000000000014</v>
      </c>
      <c r="BY158" s="107">
        <f>BY159-BY142-BY143-BY144-BY145-BY146-BY150-BY151</f>
        <v>-18.639999999999997</v>
      </c>
      <c r="BZ158" s="103">
        <f>SUM(BV158:BY158)</f>
        <v>-59.540000000000049</v>
      </c>
      <c r="CE158" s="103">
        <f>CE138*CE42</f>
        <v>0</v>
      </c>
      <c r="CJ158" s="103">
        <f>CJ138*CJ42</f>
        <v>0</v>
      </c>
      <c r="CO158" s="103">
        <f>CO138*CO42</f>
        <v>0</v>
      </c>
      <c r="CP158"/>
      <c r="CQ158"/>
      <c r="CR158"/>
      <c r="CS158"/>
      <c r="CT158" s="103">
        <f>CT138*CT42</f>
        <v>0</v>
      </c>
      <c r="CU158"/>
      <c r="CV158"/>
      <c r="CW158"/>
      <c r="CX158"/>
      <c r="CY158" s="103">
        <f>CY138*CY42</f>
        <v>0</v>
      </c>
      <c r="CZ158"/>
      <c r="DA158"/>
      <c r="DB158"/>
      <c r="DC158"/>
      <c r="DD158" s="103">
        <f>DD138*DD42</f>
        <v>0</v>
      </c>
      <c r="DE158"/>
      <c r="DF158"/>
      <c r="DG158"/>
      <c r="DH158"/>
      <c r="DI158" s="103">
        <f>DI138*DI42</f>
        <v>0</v>
      </c>
      <c r="DJ158"/>
      <c r="DK158"/>
      <c r="DL158"/>
      <c r="DM158"/>
      <c r="DN158" s="103">
        <f>DN138*DN42</f>
        <v>0</v>
      </c>
      <c r="DO158"/>
      <c r="DP158"/>
      <c r="DQ158"/>
      <c r="DR158"/>
      <c r="DS158" s="103">
        <f>DS138*DS42</f>
        <v>0</v>
      </c>
      <c r="DT158"/>
      <c r="DU158"/>
      <c r="DV158"/>
      <c r="DW158"/>
      <c r="DX158" s="103">
        <f>DX138*DX42</f>
        <v>0</v>
      </c>
      <c r="DY158"/>
      <c r="DZ158"/>
      <c r="EA158"/>
      <c r="EB158"/>
      <c r="EC158" s="103">
        <f>EC138*EC42</f>
        <v>0</v>
      </c>
      <c r="ED158"/>
      <c r="EE158"/>
      <c r="EF158"/>
      <c r="EG158"/>
      <c r="EH158" s="103">
        <f>EH138*EH42</f>
        <v>0</v>
      </c>
      <c r="EI158"/>
      <c r="EJ158"/>
      <c r="EK158"/>
      <c r="EL158"/>
      <c r="EM158" s="103">
        <f>EM138*EM42</f>
        <v>0</v>
      </c>
    </row>
    <row r="159" spans="2:143" ht="13.5" thickBot="1">
      <c r="B159" s="100" t="s">
        <v>185</v>
      </c>
      <c r="C159" s="73"/>
      <c r="D159" s="94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102">
        <f>IS!AI9</f>
        <v>60.501000000000005</v>
      </c>
      <c r="AI159" s="102">
        <f>IS!AJ9</f>
        <v>47.901000000000003</v>
      </c>
      <c r="AJ159" s="102">
        <f>IS!AK9</f>
        <v>49.817</v>
      </c>
      <c r="AK159" s="102">
        <f>IS!AL9</f>
        <v>45.411999999999999</v>
      </c>
      <c r="AL159" s="102">
        <f>IS!AM9</f>
        <v>203.63100000000003</v>
      </c>
      <c r="AM159" s="102">
        <f>IS!AN9</f>
        <v>56.108999999999995</v>
      </c>
      <c r="AN159" s="102">
        <f>IS!AO9</f>
        <v>61.994</v>
      </c>
      <c r="AO159" s="102">
        <f>IS!AP9</f>
        <v>62.304000000000009</v>
      </c>
      <c r="AP159" s="102">
        <f>IS!AQ9</f>
        <v>67.066999999999979</v>
      </c>
      <c r="AQ159" s="102">
        <f>IS!AR9</f>
        <v>247.47399999999999</v>
      </c>
      <c r="AR159" s="102">
        <f>IS!AS9</f>
        <v>73.043999999999997</v>
      </c>
      <c r="AS159" s="102">
        <f>IS!AT9</f>
        <v>77.626999999999995</v>
      </c>
      <c r="AT159" s="102">
        <f>IS!AU9</f>
        <v>81.064999999999998</v>
      </c>
      <c r="AU159" s="102">
        <f>IS!AV9</f>
        <v>71.051000000000002</v>
      </c>
      <c r="AV159" s="102">
        <f>IS!AW9</f>
        <v>302.78699999999998</v>
      </c>
      <c r="AW159" s="102">
        <f>IS!AX9</f>
        <v>71.052999999999997</v>
      </c>
      <c r="AX159" s="102">
        <f>IS!AY9</f>
        <v>69.441000000000003</v>
      </c>
      <c r="AY159" s="102">
        <f>IS!AZ9</f>
        <v>71.320999999999998</v>
      </c>
      <c r="AZ159" s="102">
        <f>IS!BA9</f>
        <v>76.448999999999998</v>
      </c>
      <c r="BA159" s="102">
        <f>IS!BB9</f>
        <v>288.26400000000001</v>
      </c>
      <c r="BB159" s="102">
        <f>IS!BC9</f>
        <v>77.7</v>
      </c>
      <c r="BC159" s="102">
        <f>IS!BD9</f>
        <v>77.2</v>
      </c>
      <c r="BD159" s="102">
        <f>IS!BE9</f>
        <v>80.100000000000009</v>
      </c>
      <c r="BE159" s="729">
        <f>IS!BF9</f>
        <v>86.899999999999991</v>
      </c>
      <c r="BF159" s="729">
        <f>IS!BG9</f>
        <v>321.89999999999998</v>
      </c>
      <c r="BG159" s="729">
        <f>IS!BH9</f>
        <v>80</v>
      </c>
      <c r="BH159" s="729">
        <f>IS!BI9</f>
        <v>93</v>
      </c>
      <c r="BI159" s="729">
        <f>IS!BJ9</f>
        <v>90.9</v>
      </c>
      <c r="BJ159" s="729">
        <f>IS!BK9</f>
        <v>95.8</v>
      </c>
      <c r="BK159" s="459">
        <f>SUM(BG159:BJ159)</f>
        <v>359.7</v>
      </c>
      <c r="BL159" s="729">
        <f>IS!BM9</f>
        <v>97.3</v>
      </c>
      <c r="BM159" s="729">
        <f>IS!BN9</f>
        <v>92.7</v>
      </c>
      <c r="BN159" s="729">
        <f>IS!BO9</f>
        <v>101.4</v>
      </c>
      <c r="BO159" s="102">
        <f>SUM(BO142:BO158)</f>
        <v>102.49335937500003</v>
      </c>
      <c r="BP159" s="102">
        <f>SUM(BP142:BP158)</f>
        <v>393.89335937500005</v>
      </c>
      <c r="BQ159" s="729">
        <f>IS!BR9</f>
        <v>96.9</v>
      </c>
      <c r="BR159" s="729">
        <f>IS!BS9</f>
        <v>102.30000000000001</v>
      </c>
      <c r="BS159" s="729">
        <f>IS!BT9</f>
        <v>100.3</v>
      </c>
      <c r="BT159" s="729">
        <f>IS!BU9</f>
        <v>105.7</v>
      </c>
      <c r="BU159" s="102">
        <f>SUM(BU142:BU158)</f>
        <v>405.2000000000001</v>
      </c>
      <c r="BV159" s="729">
        <f>IS!BW9</f>
        <v>106</v>
      </c>
      <c r="BW159" s="729">
        <f>IS!BX9</f>
        <v>103</v>
      </c>
      <c r="BX159" s="729">
        <f>IS!BY9</f>
        <v>111</v>
      </c>
      <c r="BY159" s="729">
        <f>IS!BZ9</f>
        <v>112</v>
      </c>
      <c r="BZ159" s="729">
        <f>IS!CA9</f>
        <v>432</v>
      </c>
      <c r="CA159" s="102">
        <f t="shared" ref="CA159:CD159" si="248">SUM(CA142:CA158)</f>
        <v>116.34893161584874</v>
      </c>
      <c r="CB159" s="102">
        <f t="shared" si="248"/>
        <v>123.88376358586598</v>
      </c>
      <c r="CC159" s="102">
        <f t="shared" si="248"/>
        <v>124.34315693540084</v>
      </c>
      <c r="CD159" s="102">
        <f t="shared" si="248"/>
        <v>129.93599722254407</v>
      </c>
      <c r="CE159" s="102">
        <f>SUM(CE142:CE158)</f>
        <v>494.51184935965966</v>
      </c>
      <c r="CF159" s="73"/>
      <c r="CG159" s="73"/>
      <c r="CH159" s="73"/>
      <c r="CI159" s="73"/>
      <c r="CJ159" s="102">
        <f>SUM(CJ142:CJ158)</f>
        <v>582.75343213964038</v>
      </c>
      <c r="CK159" s="73"/>
      <c r="CL159" s="73"/>
      <c r="CM159" s="73"/>
      <c r="CN159" s="73"/>
      <c r="CO159" s="102">
        <f>SUM(CO142:CO158)</f>
        <v>744.67274859365864</v>
      </c>
      <c r="CP159" s="73"/>
      <c r="CQ159" s="73"/>
      <c r="CR159" s="73"/>
      <c r="CS159" s="73"/>
      <c r="CT159" s="102">
        <f>SUM(CT142:CT158)</f>
        <v>984.86792814679575</v>
      </c>
      <c r="CU159" s="73"/>
      <c r="CV159" s="73"/>
      <c r="CW159" s="73"/>
      <c r="CX159" s="73"/>
      <c r="CY159" s="102">
        <f>SUM(CY142:CY158)</f>
        <v>1171.5461982343481</v>
      </c>
      <c r="CZ159" s="73"/>
      <c r="DA159" s="73"/>
      <c r="DB159" s="73"/>
      <c r="DC159" s="73"/>
      <c r="DD159" s="102">
        <f>SUM(DD142:DD158)</f>
        <v>1319.9638342538235</v>
      </c>
      <c r="DE159" s="73"/>
      <c r="DF159" s="73"/>
      <c r="DG159" s="73"/>
      <c r="DH159" s="73"/>
      <c r="DI159" s="102">
        <f>SUM(DI142:DI158)</f>
        <v>1502.3048857436966</v>
      </c>
      <c r="DJ159" s="73"/>
      <c r="DK159" s="73"/>
      <c r="DL159" s="73"/>
      <c r="DM159" s="73"/>
      <c r="DN159" s="102">
        <f>SUM(DN142:DN158)</f>
        <v>1436.4133601329295</v>
      </c>
      <c r="DO159" s="73"/>
      <c r="DP159" s="73"/>
      <c r="DQ159" s="73"/>
      <c r="DR159" s="73"/>
      <c r="DS159" s="102">
        <f>SUM(DS142:DS158)</f>
        <v>1378.8456310648792</v>
      </c>
      <c r="DT159" s="73"/>
      <c r="DU159" s="73"/>
      <c r="DV159" s="73"/>
      <c r="DW159" s="73"/>
      <c r="DX159" s="102">
        <f>SUM(DX142:DX158)</f>
        <v>1403.4890069868904</v>
      </c>
      <c r="DY159" s="73"/>
      <c r="DZ159" s="73"/>
      <c r="EA159" s="73"/>
      <c r="EB159" s="73"/>
      <c r="EC159" s="102">
        <f>SUM(EC142:EC158)</f>
        <v>1455.0072888024381</v>
      </c>
      <c r="ED159" s="73"/>
      <c r="EE159" s="73"/>
      <c r="EF159" s="73"/>
      <c r="EG159" s="73"/>
      <c r="EH159" s="102">
        <f>SUM(EH142:EH158)</f>
        <v>1512.2666430556026</v>
      </c>
      <c r="EI159" s="73"/>
      <c r="EJ159" s="73"/>
      <c r="EK159" s="73"/>
      <c r="EL159" s="73"/>
      <c r="EM159" s="102">
        <f>SUM(EM142:EM158)</f>
        <v>1391.3323203717</v>
      </c>
    </row>
    <row r="160" spans="2:143">
      <c r="BO160" s="12"/>
      <c r="BR160" s="12"/>
    </row>
    <row r="161" spans="2:93" ht="13.5" thickBot="1">
      <c r="B161" s="25"/>
      <c r="BK161" s="25" t="s">
        <v>987</v>
      </c>
    </row>
    <row r="162" spans="2:93">
      <c r="B162" s="360"/>
      <c r="BK162" s="885" t="s">
        <v>776</v>
      </c>
      <c r="BL162" s="886"/>
      <c r="BM162" s="886"/>
      <c r="BN162" s="886"/>
      <c r="BO162" s="886"/>
      <c r="BP162" s="886"/>
      <c r="BQ162" s="886"/>
      <c r="BR162" s="886"/>
      <c r="BS162" s="886"/>
      <c r="BT162" s="886"/>
      <c r="BU162" s="895">
        <f>DCF!$C$40</f>
        <v>2</v>
      </c>
      <c r="BV162" s="886"/>
      <c r="BW162" s="886"/>
      <c r="BX162" s="886"/>
      <c r="BY162" s="886"/>
      <c r="BZ162" s="887">
        <v>1</v>
      </c>
      <c r="CA162" s="886"/>
      <c r="CB162" s="886"/>
      <c r="CC162" s="886"/>
      <c r="CD162" s="886"/>
      <c r="CE162" s="888" t="s">
        <v>985</v>
      </c>
      <c r="CF162" s="886"/>
      <c r="CG162" s="886"/>
      <c r="CH162" s="886"/>
      <c r="CI162" s="886"/>
      <c r="CJ162" s="886"/>
      <c r="CK162" s="886"/>
      <c r="CL162" s="886"/>
      <c r="CM162" s="886"/>
      <c r="CN162" s="886"/>
      <c r="CO162" s="889"/>
    </row>
    <row r="163" spans="2:93" ht="13.5" thickBot="1">
      <c r="BK163" s="890"/>
      <c r="BL163" s="891"/>
      <c r="BM163" s="891"/>
      <c r="BN163" s="891"/>
      <c r="BO163" s="891"/>
      <c r="BP163" s="891"/>
      <c r="BQ163" s="891"/>
      <c r="BR163" s="891"/>
      <c r="BS163" s="891"/>
      <c r="BT163" s="891"/>
      <c r="BU163" s="891"/>
      <c r="BV163" s="891"/>
      <c r="BW163" s="891"/>
      <c r="BX163" s="891"/>
      <c r="BY163" s="891"/>
      <c r="BZ163" s="892">
        <v>2</v>
      </c>
      <c r="CA163" s="891"/>
      <c r="CB163" s="891"/>
      <c r="CC163" s="891"/>
      <c r="CD163" s="891"/>
      <c r="CE163" s="893" t="s">
        <v>986</v>
      </c>
      <c r="CF163" s="891"/>
      <c r="CG163" s="891"/>
      <c r="CH163" s="891"/>
      <c r="CI163" s="891"/>
      <c r="CJ163" s="891"/>
      <c r="CK163" s="891"/>
      <c r="CL163" s="891"/>
      <c r="CM163" s="891"/>
      <c r="CN163" s="891"/>
      <c r="CO163" s="894"/>
    </row>
  </sheetData>
  <mergeCells count="56">
    <mergeCell ref="DY2:EC2"/>
    <mergeCell ref="DY70:EC70"/>
    <mergeCell ref="ED2:EH2"/>
    <mergeCell ref="ED70:EH70"/>
    <mergeCell ref="EI2:EM2"/>
    <mergeCell ref="EI70:EM70"/>
    <mergeCell ref="DO2:DS2"/>
    <mergeCell ref="DT2:DX2"/>
    <mergeCell ref="CP70:CT70"/>
    <mergeCell ref="CU70:CY70"/>
    <mergeCell ref="CZ70:DD70"/>
    <mergeCell ref="DE70:DI70"/>
    <mergeCell ref="DJ70:DN70"/>
    <mergeCell ref="DO70:DS70"/>
    <mergeCell ref="DT70:DX70"/>
    <mergeCell ref="CP2:CT2"/>
    <mergeCell ref="CU2:CY2"/>
    <mergeCell ref="CZ2:DD2"/>
    <mergeCell ref="DE2:DI2"/>
    <mergeCell ref="DJ2:DN2"/>
    <mergeCell ref="BL2:BP2"/>
    <mergeCell ref="BL70:BP70"/>
    <mergeCell ref="BB70:BF70"/>
    <mergeCell ref="BG70:BK70"/>
    <mergeCell ref="BB2:BF2"/>
    <mergeCell ref="BG2:BK2"/>
    <mergeCell ref="BQ2:BU2"/>
    <mergeCell ref="BV2:BZ2"/>
    <mergeCell ref="BV70:BZ70"/>
    <mergeCell ref="BQ70:BU70"/>
    <mergeCell ref="CK2:CO2"/>
    <mergeCell ref="CF70:CJ70"/>
    <mergeCell ref="CK70:CO70"/>
    <mergeCell ref="CA2:CE2"/>
    <mergeCell ref="CF2:CJ2"/>
    <mergeCell ref="CA70:CE70"/>
    <mergeCell ref="D2:H2"/>
    <mergeCell ref="S2:W2"/>
    <mergeCell ref="X2:AB2"/>
    <mergeCell ref="AC2:AG2"/>
    <mergeCell ref="N2:R2"/>
    <mergeCell ref="I2:M2"/>
    <mergeCell ref="AW2:BA2"/>
    <mergeCell ref="AH2:AL2"/>
    <mergeCell ref="AM2:AQ2"/>
    <mergeCell ref="AH70:AL70"/>
    <mergeCell ref="AR2:AV2"/>
    <mergeCell ref="AW70:BA70"/>
    <mergeCell ref="AR70:AV70"/>
    <mergeCell ref="AM70:AQ70"/>
    <mergeCell ref="X70:AB70"/>
    <mergeCell ref="AC70:AG70"/>
    <mergeCell ref="D70:H70"/>
    <mergeCell ref="I70:M70"/>
    <mergeCell ref="N70:R70"/>
    <mergeCell ref="S70:W70"/>
  </mergeCells>
  <phoneticPr fontId="9" type="noConversion"/>
  <pageMargins left="0" right="0" top="0" bottom="0" header="0" footer="0"/>
  <pageSetup paperSize="5" scale="33" orientation="landscape" horizontalDpi="90" verticalDpi="90" r:id="rId1"/>
  <headerFooter alignWithMargins="0"/>
  <ignoredErrors>
    <ignoredError sqref="BP4 BU9 BZ4 BZ9 BZ13 CE4:EH4 CE9:EH9 CE13:EH13 BZ18:EH18 BU23 BU18 BU13 BU4 BY117 CK61:CN61 CJ96:EH96 CA143:CD143 BZ23 DY61:EB61 DN136:EM136 DI132 CO153:EM153 DT61:DW61 DO61:DR61 DJ61:DM61 DE61:DH61 CZ61:DC61 CU61:CX61 CP61:CS61 CO61 CT61 CY61 DD61 DI61 DN61 DS61 DX61 ED61:EG61 EC61 EH61" formula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M220"/>
  <sheetViews>
    <sheetView showGridLines="0" zoomScaleNormal="100" workbookViewId="0">
      <pane xSplit="2" ySplit="1" topLeftCell="P2" activePane="bottomRight" state="frozen"/>
      <selection activeCell="AB62" sqref="AB62"/>
      <selection pane="topRight" activeCell="AB62" sqref="AB62"/>
      <selection pane="bottomLeft" activeCell="AB62" sqref="AB62"/>
      <selection pane="bottomRight" activeCell="B1" sqref="B1:Z44"/>
    </sheetView>
  </sheetViews>
  <sheetFormatPr defaultRowHeight="12.75" customHeight="1" outlineLevelRow="1" outlineLevelCol="1"/>
  <cols>
    <col min="1" max="1" width="1.5703125" style="183" customWidth="1"/>
    <col min="2" max="2" width="45.7109375" style="183" bestFit="1" customWidth="1"/>
    <col min="3" max="3" width="9.5703125" style="183" hidden="1" customWidth="1" outlineLevel="1"/>
    <col min="4" max="4" width="9.140625" style="183" hidden="1" customWidth="1" outlineLevel="1" collapsed="1"/>
    <col min="5" max="5" width="10.5703125" style="183" hidden="1" customWidth="1" outlineLevel="1"/>
    <col min="6" max="6" width="11" style="183" hidden="1" customWidth="1" outlineLevel="1" collapsed="1"/>
    <col min="7" max="9" width="11.42578125" style="183" hidden="1" customWidth="1" outlineLevel="1"/>
    <col min="10" max="10" width="11.42578125" style="183" customWidth="1" collapsed="1"/>
    <col min="11" max="11" width="11.42578125" style="183" customWidth="1"/>
    <col min="12" max="12" width="11" style="183" customWidth="1"/>
    <col min="13" max="15" width="11.42578125" style="183" customWidth="1"/>
    <col min="16" max="16" width="10.28515625" style="183" customWidth="1"/>
    <col min="17" max="17" width="10" style="183" customWidth="1"/>
    <col min="18" max="18" width="10.28515625" style="183" customWidth="1"/>
    <col min="19" max="21" width="10.28515625" style="183" bestFit="1" customWidth="1"/>
    <col min="22" max="22" width="9.28515625" style="183" bestFit="1" customWidth="1"/>
    <col min="23" max="23" width="10.28515625" style="183" bestFit="1" customWidth="1"/>
    <col min="24" max="25" width="9.140625" style="183"/>
    <col min="26" max="31" width="10.28515625" style="183" bestFit="1" customWidth="1"/>
    <col min="32" max="33" width="9.140625" style="183"/>
    <col min="34" max="34" width="17.7109375" customWidth="1"/>
    <col min="36" max="36" width="13.7109375" customWidth="1"/>
    <col min="40" max="16384" width="9.140625" style="183"/>
  </cols>
  <sheetData>
    <row r="1" spans="1:39" ht="12.75" customHeight="1">
      <c r="B1" s="196"/>
      <c r="C1" s="197" t="s">
        <v>133</v>
      </c>
      <c r="D1" s="197" t="s">
        <v>134</v>
      </c>
      <c r="E1" s="197" t="s">
        <v>116</v>
      </c>
      <c r="F1" s="197" t="s">
        <v>117</v>
      </c>
      <c r="G1" s="197" t="s">
        <v>118</v>
      </c>
      <c r="H1" s="197" t="s">
        <v>135</v>
      </c>
      <c r="I1" s="197" t="s">
        <v>136</v>
      </c>
      <c r="J1" s="198" t="s">
        <v>137</v>
      </c>
      <c r="K1" s="197" t="s">
        <v>131</v>
      </c>
      <c r="L1" s="198" t="s">
        <v>187</v>
      </c>
      <c r="M1" s="197" t="s">
        <v>30</v>
      </c>
      <c r="N1" s="197" t="s">
        <v>741</v>
      </c>
      <c r="O1" s="197" t="s">
        <v>920</v>
      </c>
      <c r="P1" s="197" t="s">
        <v>1010</v>
      </c>
      <c r="Q1" s="197" t="s">
        <v>1016</v>
      </c>
      <c r="R1" s="197" t="s">
        <v>1054</v>
      </c>
      <c r="S1" s="197" t="s">
        <v>119</v>
      </c>
      <c r="T1" s="197" t="s">
        <v>120</v>
      </c>
      <c r="U1" s="197" t="s">
        <v>121</v>
      </c>
      <c r="V1" s="197" t="s">
        <v>820</v>
      </c>
      <c r="W1" s="197" t="s">
        <v>817</v>
      </c>
      <c r="X1" s="197" t="s">
        <v>818</v>
      </c>
      <c r="Y1" s="197" t="s">
        <v>819</v>
      </c>
      <c r="Z1" s="197" t="s">
        <v>821</v>
      </c>
      <c r="AA1" s="197" t="s">
        <v>822</v>
      </c>
      <c r="AB1" s="197" t="s">
        <v>823</v>
      </c>
      <c r="AC1" s="197" t="s">
        <v>889</v>
      </c>
      <c r="AD1" s="197" t="s">
        <v>890</v>
      </c>
      <c r="AE1" s="197" t="s">
        <v>891</v>
      </c>
    </row>
    <row r="2" spans="1:39" ht="12.75" customHeight="1">
      <c r="B2" s="200"/>
      <c r="C2" s="199"/>
      <c r="D2" s="199"/>
      <c r="E2" s="199"/>
      <c r="F2" s="199"/>
      <c r="G2" s="199"/>
      <c r="H2" s="199"/>
      <c r="I2" s="199"/>
      <c r="J2" s="201"/>
      <c r="K2" s="202"/>
      <c r="L2" s="201"/>
      <c r="M2" s="199"/>
      <c r="N2" s="199"/>
      <c r="O2" s="199"/>
      <c r="P2" s="199"/>
      <c r="Q2" s="199"/>
      <c r="R2" s="199"/>
      <c r="S2" s="203"/>
    </row>
    <row r="3" spans="1:39" s="206" customFormat="1" ht="12.75" customHeight="1">
      <c r="B3" s="204" t="s">
        <v>473</v>
      </c>
      <c r="C3" s="205">
        <v>85.474999999999994</v>
      </c>
      <c r="D3" s="205">
        <v>60.328000000000003</v>
      </c>
      <c r="E3" s="205">
        <v>135.227</v>
      </c>
      <c r="F3" s="205">
        <v>123.316</v>
      </c>
      <c r="G3" s="205">
        <v>1439.415</v>
      </c>
      <c r="H3" s="205">
        <v>1218.2729999999999</v>
      </c>
      <c r="I3" s="205">
        <v>1092.386</v>
      </c>
      <c r="J3" s="633">
        <v>1102.172</v>
      </c>
      <c r="K3" s="633">
        <v>1351.1279999999999</v>
      </c>
      <c r="L3" s="633">
        <f>1859.464</f>
        <v>1859.4639999999999</v>
      </c>
      <c r="M3" s="633">
        <v>2090.3870000000002</v>
      </c>
      <c r="N3" s="633">
        <v>3234.4</v>
      </c>
      <c r="O3" s="633">
        <v>4121.6000000000004</v>
      </c>
      <c r="P3" s="633">
        <v>4880.3</v>
      </c>
      <c r="Q3" s="633">
        <v>6169.9</v>
      </c>
      <c r="R3" s="633">
        <v>7013</v>
      </c>
      <c r="S3" s="629">
        <f>R3+CF!S52</f>
        <v>2863.9527738818215</v>
      </c>
      <c r="T3" s="629">
        <f>S3+CF!T52</f>
        <v>5117.7235272726284</v>
      </c>
      <c r="U3" s="629">
        <f>T3+CF!U52</f>
        <v>4711.7956179055418</v>
      </c>
      <c r="V3" s="629">
        <f>U3+CF!V52</f>
        <v>8425.5196759214778</v>
      </c>
      <c r="W3" s="629">
        <f>V3+CF!W52</f>
        <v>10955.103815248709</v>
      </c>
      <c r="X3" s="629">
        <f>W3+CF!X52</f>
        <v>14325.914629759251</v>
      </c>
      <c r="Y3" s="629">
        <f>X3+CF!Y52</f>
        <v>19257.736341407432</v>
      </c>
      <c r="Z3" s="629">
        <f>Y3+CF!Z52</f>
        <v>20480.594205342386</v>
      </c>
      <c r="AA3" s="629">
        <f>Z3+CF!AA52</f>
        <v>20468.560420135807</v>
      </c>
      <c r="AB3" s="629">
        <f>AA3+CF!AB52</f>
        <v>17778.15845712438</v>
      </c>
      <c r="AC3" s="629">
        <f>AB3+CF!AC52</f>
        <v>18026.968862806119</v>
      </c>
      <c r="AD3" s="629">
        <f>AC3+CF!AD52</f>
        <v>20201.476807639552</v>
      </c>
      <c r="AE3" s="629">
        <f>AD3+CF!AE52</f>
        <v>22424.491699163304</v>
      </c>
      <c r="AH3"/>
      <c r="AI3"/>
      <c r="AJ3"/>
      <c r="AK3"/>
      <c r="AL3"/>
      <c r="AM3"/>
    </row>
    <row r="4" spans="1:39" s="209" customFormat="1" ht="12.75" customHeight="1">
      <c r="B4" s="207" t="s">
        <v>474</v>
      </c>
      <c r="C4" s="208">
        <v>175.70699999999999</v>
      </c>
      <c r="D4" s="208">
        <v>606.63900000000001</v>
      </c>
      <c r="E4" s="208">
        <v>613.30999999999995</v>
      </c>
      <c r="F4" s="208">
        <v>600.94399999999996</v>
      </c>
      <c r="G4" s="208">
        <v>542.80499999999995</v>
      </c>
      <c r="H4" s="208">
        <v>1520.645</v>
      </c>
      <c r="I4" s="208">
        <v>1129.7049999999999</v>
      </c>
      <c r="J4" s="633">
        <v>1894.58</v>
      </c>
      <c r="K4" s="633">
        <v>1250.173</v>
      </c>
      <c r="L4" s="634">
        <v>788.69</v>
      </c>
      <c r="M4" s="634">
        <v>1809.883</v>
      </c>
      <c r="N4" s="634">
        <v>2452.6</v>
      </c>
      <c r="O4" s="634">
        <v>3425.1</v>
      </c>
      <c r="P4" s="634">
        <v>1671.6</v>
      </c>
      <c r="Q4" s="634">
        <v>1799.8</v>
      </c>
      <c r="R4" s="634">
        <v>5029</v>
      </c>
      <c r="S4" s="630">
        <f>+R4-CF!S18-CF!S33-CF!S38-CF!S32</f>
        <v>1779</v>
      </c>
      <c r="T4" s="630">
        <f>+S4-CF!T18-CF!T33-CF!T38-CF!T32</f>
        <v>2029</v>
      </c>
      <c r="U4" s="630">
        <f>+T4-CF!U18-CF!U33-CF!U38-CF!U32</f>
        <v>2279</v>
      </c>
      <c r="V4" s="630">
        <f>+U4-CF!V18-CF!V33-CF!V38-CF!V32</f>
        <v>2529</v>
      </c>
      <c r="W4" s="630">
        <f>+V4-CF!W18-CF!W33-CF!W38-CF!W32</f>
        <v>2779</v>
      </c>
      <c r="X4" s="630">
        <f>+W4-CF!X18-CF!X33-CF!X38-CF!X32</f>
        <v>3029</v>
      </c>
      <c r="Y4" s="630">
        <f>+X4-CF!Y18-CF!Y33-CF!Y38-CF!Y32</f>
        <v>3279</v>
      </c>
      <c r="Z4" s="630">
        <f>+Y4-CF!Z18-CF!Z33-CF!Z38-CF!Z32</f>
        <v>3529</v>
      </c>
      <c r="AA4" s="630">
        <f>+Z4-CF!AA18-CF!AA33-CF!AA38-CF!AA32</f>
        <v>3779</v>
      </c>
      <c r="AB4" s="630">
        <f>+AA4-CF!AB18-CF!AB33-CF!AB38-CF!AB32</f>
        <v>4029</v>
      </c>
      <c r="AC4" s="630">
        <f>+AB4-CF!AC18-CF!AC33-CF!AC38-CF!AC32</f>
        <v>4279</v>
      </c>
      <c r="AD4" s="630">
        <f>+AC4-CF!AD18-CF!AD33-CF!AD38-CF!AD32</f>
        <v>4529</v>
      </c>
      <c r="AE4" s="630">
        <f>+AD4-CF!AE18-CF!AE33-CF!AE38-CF!AE32</f>
        <v>4779</v>
      </c>
      <c r="AH4"/>
      <c r="AI4"/>
      <c r="AJ4"/>
      <c r="AK4"/>
      <c r="AL4"/>
      <c r="AM4"/>
    </row>
    <row r="5" spans="1:39" s="209" customFormat="1" ht="12.75" customHeight="1">
      <c r="B5" s="207" t="s">
        <v>475</v>
      </c>
      <c r="C5" s="208">
        <v>17.658999999999999</v>
      </c>
      <c r="D5" s="208">
        <v>35.494999999999997</v>
      </c>
      <c r="E5" s="208">
        <v>46.073999999999998</v>
      </c>
      <c r="F5" s="208">
        <v>77.912999999999997</v>
      </c>
      <c r="G5" s="208">
        <v>127.777</v>
      </c>
      <c r="H5" s="208">
        <v>167.25200000000001</v>
      </c>
      <c r="I5" s="208">
        <v>312.24299999999999</v>
      </c>
      <c r="J5" s="633">
        <v>438.61700000000002</v>
      </c>
      <c r="K5" s="633">
        <v>706.42899999999997</v>
      </c>
      <c r="L5" s="634">
        <v>945.53099999999995</v>
      </c>
      <c r="M5" s="634">
        <v>960.52099999999996</v>
      </c>
      <c r="N5" s="634">
        <v>1061.4000000000001</v>
      </c>
      <c r="O5" s="634">
        <v>1166.7</v>
      </c>
      <c r="P5" s="634">
        <v>1420.9</v>
      </c>
      <c r="Q5" s="634">
        <v>1620.6</v>
      </c>
      <c r="R5" s="634">
        <v>1921</v>
      </c>
      <c r="S5" s="630">
        <f t="shared" ref="S5:U5" si="0">S62</f>
        <v>2182.6094721235313</v>
      </c>
      <c r="T5" s="630">
        <f t="shared" si="0"/>
        <v>2471.3709971360549</v>
      </c>
      <c r="U5" s="630">
        <f t="shared" si="0"/>
        <v>2843.8600886785875</v>
      </c>
      <c r="V5" s="630">
        <f t="shared" ref="V5:AE5" si="1">V62</f>
        <v>3266.3877621549641</v>
      </c>
      <c r="W5" s="630">
        <f t="shared" si="1"/>
        <v>3497.3721222945792</v>
      </c>
      <c r="X5" s="630">
        <f t="shared" si="1"/>
        <v>3544.2262809464178</v>
      </c>
      <c r="Y5" s="630">
        <f t="shared" si="1"/>
        <v>3469.7172115711746</v>
      </c>
      <c r="Z5" s="630">
        <f t="shared" si="1"/>
        <v>2827.0753603148037</v>
      </c>
      <c r="AA5" s="630">
        <f t="shared" si="1"/>
        <v>1818.7480421623645</v>
      </c>
      <c r="AB5" s="630">
        <f t="shared" si="1"/>
        <v>1463.5104758872478</v>
      </c>
      <c r="AC5" s="630">
        <f t="shared" si="1"/>
        <v>1411.1080749308881</v>
      </c>
      <c r="AD5" s="630">
        <f t="shared" si="1"/>
        <v>1400.972161218916</v>
      </c>
      <c r="AE5" s="630">
        <f t="shared" si="1"/>
        <v>1072.5556628765723</v>
      </c>
      <c r="AH5"/>
      <c r="AI5"/>
      <c r="AJ5"/>
      <c r="AK5"/>
      <c r="AL5"/>
      <c r="AM5"/>
    </row>
    <row r="6" spans="1:39" s="209" customFormat="1" ht="12.75" customHeight="1">
      <c r="B6" s="207" t="s">
        <v>476</v>
      </c>
      <c r="C6" s="208">
        <v>4.806</v>
      </c>
      <c r="D6" s="208">
        <v>9.6959999999999997</v>
      </c>
      <c r="E6" s="208">
        <v>24.404</v>
      </c>
      <c r="F6" s="208">
        <v>20.242000000000001</v>
      </c>
      <c r="G6" s="208">
        <v>25.370999999999999</v>
      </c>
      <c r="H6" s="208">
        <v>49.076000000000001</v>
      </c>
      <c r="I6" s="208">
        <v>100.176</v>
      </c>
      <c r="J6" s="633">
        <v>100.68300000000001</v>
      </c>
      <c r="K6" s="633">
        <v>260.13</v>
      </c>
      <c r="L6" s="634">
        <v>189.57300000000001</v>
      </c>
      <c r="M6" s="634">
        <v>259.495</v>
      </c>
      <c r="N6" s="634">
        <v>340.4</v>
      </c>
      <c r="O6" s="634">
        <v>393.1</v>
      </c>
      <c r="P6" s="634">
        <v>443.4</v>
      </c>
      <c r="Q6" s="634">
        <v>497.9</v>
      </c>
      <c r="R6" s="634">
        <v>541</v>
      </c>
      <c r="S6" s="630">
        <f t="shared" ref="S6:AE6" si="2">S79</f>
        <v>619.28451505457383</v>
      </c>
      <c r="T6" s="630">
        <f t="shared" si="2"/>
        <v>729.79075645265152</v>
      </c>
      <c r="U6" s="630">
        <f>U79</f>
        <v>932.56471525270672</v>
      </c>
      <c r="V6" s="630">
        <f>V79</f>
        <v>1233.364697054205</v>
      </c>
      <c r="W6" s="630">
        <f t="shared" si="2"/>
        <v>1467.1446602888479</v>
      </c>
      <c r="X6" s="630">
        <f t="shared" si="2"/>
        <v>1653.0102646558298</v>
      </c>
      <c r="Y6" s="630">
        <f t="shared" si="2"/>
        <v>1881.3586647855088</v>
      </c>
      <c r="Z6" s="630">
        <f t="shared" si="2"/>
        <v>1798.8417310923955</v>
      </c>
      <c r="AA6" s="630">
        <f t="shared" si="2"/>
        <v>1726.7488111252305</v>
      </c>
      <c r="AB6" s="630">
        <f t="shared" si="2"/>
        <v>1757.6100758794159</v>
      </c>
      <c r="AC6" s="630">
        <f t="shared" si="2"/>
        <v>1822.1271834308311</v>
      </c>
      <c r="AD6" s="630">
        <f t="shared" si="2"/>
        <v>1893.8339210487986</v>
      </c>
      <c r="AE6" s="630">
        <f t="shared" si="2"/>
        <v>1742.3860771321522</v>
      </c>
      <c r="AH6"/>
      <c r="AI6"/>
      <c r="AJ6"/>
      <c r="AK6"/>
      <c r="AL6"/>
      <c r="AM6"/>
    </row>
    <row r="7" spans="1:39" s="209" customFormat="1" ht="12.75" customHeight="1">
      <c r="B7" s="207" t="s">
        <v>477</v>
      </c>
      <c r="C7" s="208"/>
      <c r="D7" s="208"/>
      <c r="E7" s="208">
        <v>4.0819999999999999</v>
      </c>
      <c r="F7" s="208">
        <v>113.059</v>
      </c>
      <c r="G7" s="208">
        <v>87.978999999999999</v>
      </c>
      <c r="H7" s="208">
        <v>20.506</v>
      </c>
      <c r="I7" s="208">
        <v>16.414999999999999</v>
      </c>
      <c r="J7" s="633">
        <v>49.817</v>
      </c>
      <c r="K7" s="633">
        <v>151.779</v>
      </c>
      <c r="L7" s="634">
        <v>116.751</v>
      </c>
      <c r="M7" s="634">
        <v>93.168000000000006</v>
      </c>
      <c r="N7" s="634">
        <v>25.3</v>
      </c>
      <c r="O7" s="634">
        <v>11.7</v>
      </c>
      <c r="P7" s="634">
        <v>0</v>
      </c>
      <c r="Q7" s="634">
        <v>0</v>
      </c>
      <c r="R7" s="634">
        <v>0</v>
      </c>
      <c r="S7" s="630">
        <f t="shared" ref="S7:U7" si="3">R7</f>
        <v>0</v>
      </c>
      <c r="T7" s="630">
        <f t="shared" si="3"/>
        <v>0</v>
      </c>
      <c r="U7" s="630">
        <f t="shared" si="3"/>
        <v>0</v>
      </c>
      <c r="V7" s="630">
        <f t="shared" ref="V7:AE7" si="4">U7</f>
        <v>0</v>
      </c>
      <c r="W7" s="630">
        <f t="shared" si="4"/>
        <v>0</v>
      </c>
      <c r="X7" s="630">
        <f t="shared" si="4"/>
        <v>0</v>
      </c>
      <c r="Y7" s="630">
        <f t="shared" si="4"/>
        <v>0</v>
      </c>
      <c r="Z7" s="630">
        <f t="shared" si="4"/>
        <v>0</v>
      </c>
      <c r="AA7" s="630">
        <f t="shared" si="4"/>
        <v>0</v>
      </c>
      <c r="AB7" s="630">
        <f t="shared" si="4"/>
        <v>0</v>
      </c>
      <c r="AC7" s="630">
        <f t="shared" si="4"/>
        <v>0</v>
      </c>
      <c r="AD7" s="630">
        <f t="shared" si="4"/>
        <v>0</v>
      </c>
      <c r="AE7" s="630">
        <f t="shared" si="4"/>
        <v>0</v>
      </c>
      <c r="AH7"/>
      <c r="AI7"/>
      <c r="AJ7"/>
      <c r="AK7"/>
      <c r="AL7"/>
      <c r="AM7"/>
    </row>
    <row r="8" spans="1:39" s="209" customFormat="1" ht="12.75" customHeight="1">
      <c r="B8" s="207" t="s">
        <v>478</v>
      </c>
      <c r="C8" s="208">
        <v>12.449</v>
      </c>
      <c r="D8" s="208">
        <v>17.940999999999999</v>
      </c>
      <c r="E8" s="208">
        <f>(26783)/1000</f>
        <v>26.783000000000001</v>
      </c>
      <c r="F8" s="208">
        <v>37.363</v>
      </c>
      <c r="G8" s="208">
        <v>87.656999999999996</v>
      </c>
      <c r="H8" s="208">
        <v>108.669</v>
      </c>
      <c r="I8" s="208">
        <v>190.441</v>
      </c>
      <c r="J8" s="633">
        <v>258.935</v>
      </c>
      <c r="K8" s="633">
        <f>(275005)/1000</f>
        <v>275.005</v>
      </c>
      <c r="L8" s="634">
        <v>395.09399999999999</v>
      </c>
      <c r="M8" s="634">
        <v>320.21100000000001</v>
      </c>
      <c r="N8" s="634">
        <v>436.4</v>
      </c>
      <c r="O8" s="634">
        <v>594.4</v>
      </c>
      <c r="P8" s="634">
        <v>984.7</v>
      </c>
      <c r="Q8" s="634">
        <v>779.3</v>
      </c>
      <c r="R8" s="634">
        <v>388</v>
      </c>
      <c r="S8" s="630">
        <f t="shared" ref="S8:V8" si="5">+S77</f>
        <v>440.83939364077577</v>
      </c>
      <c r="T8" s="630">
        <f t="shared" si="5"/>
        <v>499.16290832315946</v>
      </c>
      <c r="U8" s="630">
        <f t="shared" si="5"/>
        <v>574.39756085751799</v>
      </c>
      <c r="V8" s="630">
        <f t="shared" si="5"/>
        <v>659.73891291833741</v>
      </c>
      <c r="W8" s="630">
        <f t="shared" ref="W8:AE8" si="6">+W77</f>
        <v>706.39270351394941</v>
      </c>
      <c r="X8" s="630">
        <f t="shared" si="6"/>
        <v>715.85621916044249</v>
      </c>
      <c r="Y8" s="630">
        <f t="shared" si="6"/>
        <v>700.80701618407898</v>
      </c>
      <c r="Z8" s="630">
        <f t="shared" si="6"/>
        <v>571.0074127028339</v>
      </c>
      <c r="AA8" s="630">
        <f t="shared" si="6"/>
        <v>367.34734011400184</v>
      </c>
      <c r="AB8" s="630">
        <f t="shared" si="6"/>
        <v>295.59711850299436</v>
      </c>
      <c r="AC8" s="630">
        <f t="shared" si="6"/>
        <v>285.01297921560882</v>
      </c>
      <c r="AD8" s="630">
        <f t="shared" si="6"/>
        <v>282.96574625348228</v>
      </c>
      <c r="AE8" s="630">
        <f t="shared" si="6"/>
        <v>216.63279395945344</v>
      </c>
      <c r="AH8"/>
      <c r="AI8"/>
      <c r="AJ8"/>
      <c r="AK8"/>
      <c r="AL8"/>
      <c r="AM8"/>
    </row>
    <row r="9" spans="1:39" s="209" customFormat="1" ht="12.75" customHeight="1">
      <c r="B9" s="207" t="s">
        <v>479</v>
      </c>
      <c r="C9" s="208"/>
      <c r="D9" s="208"/>
      <c r="E9" s="208"/>
      <c r="F9" s="208"/>
      <c r="G9" s="208"/>
      <c r="H9" s="208"/>
      <c r="I9" s="208"/>
      <c r="J9" s="633"/>
      <c r="K9" s="633">
        <v>348.55500000000001</v>
      </c>
      <c r="L9" s="634">
        <v>58.122</v>
      </c>
      <c r="M9" s="634">
        <v>0</v>
      </c>
      <c r="N9" s="634">
        <v>0</v>
      </c>
      <c r="O9" s="634">
        <v>0</v>
      </c>
      <c r="P9" s="634">
        <v>0</v>
      </c>
      <c r="Q9" s="634">
        <v>0</v>
      </c>
      <c r="R9" s="634">
        <v>0</v>
      </c>
      <c r="S9" s="630">
        <f t="shared" ref="S9:U9" si="7">+R9</f>
        <v>0</v>
      </c>
      <c r="T9" s="630">
        <f t="shared" si="7"/>
        <v>0</v>
      </c>
      <c r="U9" s="630">
        <f t="shared" si="7"/>
        <v>0</v>
      </c>
      <c r="V9" s="630">
        <f t="shared" ref="V9:AB9" si="8">+U9</f>
        <v>0</v>
      </c>
      <c r="W9" s="630">
        <f t="shared" si="8"/>
        <v>0</v>
      </c>
      <c r="X9" s="630">
        <f t="shared" si="8"/>
        <v>0</v>
      </c>
      <c r="Y9" s="630">
        <f t="shared" si="8"/>
        <v>0</v>
      </c>
      <c r="Z9" s="630">
        <f t="shared" si="8"/>
        <v>0</v>
      </c>
      <c r="AA9" s="630">
        <f t="shared" si="8"/>
        <v>0</v>
      </c>
      <c r="AB9" s="630">
        <f t="shared" si="8"/>
        <v>0</v>
      </c>
      <c r="AC9" s="630">
        <f>+AB9</f>
        <v>0</v>
      </c>
      <c r="AD9" s="630">
        <f>+AC9</f>
        <v>0</v>
      </c>
      <c r="AE9" s="630">
        <f>+AD9</f>
        <v>0</v>
      </c>
      <c r="AH9"/>
      <c r="AI9"/>
      <c r="AJ9"/>
      <c r="AK9"/>
      <c r="AL9"/>
      <c r="AM9"/>
    </row>
    <row r="10" spans="1:39" s="206" customFormat="1" ht="12.75" customHeight="1">
      <c r="A10" s="632" t="s">
        <v>766</v>
      </c>
      <c r="B10" s="643" t="s">
        <v>480</v>
      </c>
      <c r="C10" s="644">
        <f t="shared" ref="C10:R10" si="9">SUM(C3:C9)</f>
        <v>296.096</v>
      </c>
      <c r="D10" s="644">
        <f t="shared" si="9"/>
        <v>730.09900000000005</v>
      </c>
      <c r="E10" s="644">
        <f t="shared" si="9"/>
        <v>849.87999999999988</v>
      </c>
      <c r="F10" s="644">
        <f t="shared" si="9"/>
        <v>972.83699999999999</v>
      </c>
      <c r="G10" s="644">
        <f t="shared" si="9"/>
        <v>2311.0039999999999</v>
      </c>
      <c r="H10" s="644">
        <f t="shared" si="9"/>
        <v>3084.4209999999994</v>
      </c>
      <c r="I10" s="644">
        <f t="shared" si="9"/>
        <v>2841.3659999999995</v>
      </c>
      <c r="J10" s="645">
        <f t="shared" si="9"/>
        <v>3844.8040000000001</v>
      </c>
      <c r="K10" s="645">
        <f t="shared" si="9"/>
        <v>4343.1990000000005</v>
      </c>
      <c r="L10" s="645">
        <f t="shared" si="9"/>
        <v>4353.2250000000004</v>
      </c>
      <c r="M10" s="645">
        <f t="shared" si="9"/>
        <v>5533.665</v>
      </c>
      <c r="N10" s="645">
        <f t="shared" si="9"/>
        <v>7550.4999999999991</v>
      </c>
      <c r="O10" s="645">
        <f t="shared" si="9"/>
        <v>9712.6000000000022</v>
      </c>
      <c r="P10" s="645">
        <f t="shared" si="9"/>
        <v>9400.9</v>
      </c>
      <c r="Q10" s="645">
        <f t="shared" si="9"/>
        <v>10867.499999999998</v>
      </c>
      <c r="R10" s="645">
        <f t="shared" si="9"/>
        <v>14892</v>
      </c>
      <c r="S10" s="645">
        <f>SUM(S3:S9)</f>
        <v>7885.686154700702</v>
      </c>
      <c r="T10" s="645">
        <f>SUM(T3:T9)</f>
        <v>10847.048189184496</v>
      </c>
      <c r="U10" s="645">
        <f>SUM(U3:U9)</f>
        <v>11341.617982694355</v>
      </c>
      <c r="V10" s="645">
        <f t="shared" ref="V10:AE10" si="10">SUM(V3:V9)</f>
        <v>16114.011048048984</v>
      </c>
      <c r="W10" s="645">
        <f t="shared" si="10"/>
        <v>19405.013301346084</v>
      </c>
      <c r="X10" s="645">
        <f t="shared" si="10"/>
        <v>23268.007394521945</v>
      </c>
      <c r="Y10" s="645">
        <f t="shared" si="10"/>
        <v>28588.619233948197</v>
      </c>
      <c r="Z10" s="645">
        <f t="shared" si="10"/>
        <v>29206.518709452419</v>
      </c>
      <c r="AA10" s="645">
        <f t="shared" si="10"/>
        <v>28160.404613537408</v>
      </c>
      <c r="AB10" s="645">
        <f t="shared" si="10"/>
        <v>25323.87612739404</v>
      </c>
      <c r="AC10" s="645">
        <f t="shared" si="10"/>
        <v>25824.217100383448</v>
      </c>
      <c r="AD10" s="645">
        <f t="shared" si="10"/>
        <v>28308.248636160748</v>
      </c>
      <c r="AE10" s="645">
        <f t="shared" si="10"/>
        <v>30235.066233131482</v>
      </c>
      <c r="AH10"/>
      <c r="AI10"/>
      <c r="AJ10"/>
      <c r="AK10"/>
      <c r="AL10"/>
      <c r="AM10"/>
    </row>
    <row r="11" spans="1:39" s="206" customFormat="1" ht="6.75" customHeight="1">
      <c r="A11" s="632"/>
      <c r="B11" s="646"/>
      <c r="C11" s="210"/>
      <c r="D11" s="210"/>
      <c r="E11" s="210"/>
      <c r="F11" s="210"/>
      <c r="G11" s="210"/>
      <c r="H11" s="210"/>
      <c r="I11" s="210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  <c r="U11" s="631"/>
      <c r="AH11"/>
      <c r="AI11"/>
      <c r="AJ11"/>
      <c r="AK11"/>
      <c r="AL11"/>
      <c r="AM11"/>
    </row>
    <row r="12" spans="1:39" s="209" customFormat="1" ht="12.75" customHeight="1">
      <c r="B12" s="207" t="s">
        <v>481</v>
      </c>
      <c r="C12" s="208">
        <v>19.600000000000001</v>
      </c>
      <c r="D12" s="208">
        <v>22.545999999999999</v>
      </c>
      <c r="E12" s="208">
        <v>53.738</v>
      </c>
      <c r="F12" s="208">
        <v>77.477000000000004</v>
      </c>
      <c r="G12" s="208">
        <v>146.64500000000001</v>
      </c>
      <c r="H12" s="208">
        <v>197.428</v>
      </c>
      <c r="I12" s="208">
        <v>248.971</v>
      </c>
      <c r="J12" s="633">
        <v>297.79199999999997</v>
      </c>
      <c r="K12" s="633">
        <v>509.91899999999998</v>
      </c>
      <c r="L12" s="634">
        <v>506.04199999999997</v>
      </c>
      <c r="M12" s="634">
        <v>578.36199999999997</v>
      </c>
      <c r="N12" s="634">
        <v>593.4</v>
      </c>
      <c r="O12" s="634">
        <v>642.6</v>
      </c>
      <c r="P12" s="634">
        <v>814.1</v>
      </c>
      <c r="Q12" s="634">
        <v>929.8</v>
      </c>
      <c r="R12" s="634">
        <v>1070</v>
      </c>
      <c r="S12" s="630">
        <f t="shared" ref="S12:AE12" si="11">S108</f>
        <v>1164.1184200765877</v>
      </c>
      <c r="T12" s="630">
        <f t="shared" si="11"/>
        <v>1264.3782643144364</v>
      </c>
      <c r="U12" s="630">
        <f t="shared" si="11"/>
        <v>1438.909083738833</v>
      </c>
      <c r="V12" s="630">
        <f t="shared" si="11"/>
        <v>1629.7441701142664</v>
      </c>
      <c r="W12" s="630">
        <f t="shared" si="11"/>
        <v>1800.5536910493922</v>
      </c>
      <c r="X12" s="630">
        <f t="shared" si="11"/>
        <v>1919.3789354410135</v>
      </c>
      <c r="Y12" s="630">
        <f t="shared" si="11"/>
        <v>1966.9371597833563</v>
      </c>
      <c r="Z12" s="630">
        <f t="shared" si="11"/>
        <v>1944.0696434927268</v>
      </c>
      <c r="AA12" s="630">
        <f t="shared" si="11"/>
        <v>1679.5583381776278</v>
      </c>
      <c r="AB12" s="630">
        <f t="shared" si="11"/>
        <v>1313.2327184933279</v>
      </c>
      <c r="AC12" s="630">
        <f t="shared" si="11"/>
        <v>907.64832553832275</v>
      </c>
      <c r="AD12" s="630">
        <f t="shared" si="11"/>
        <v>471.59015643080659</v>
      </c>
      <c r="AE12" s="630">
        <f t="shared" si="11"/>
        <v>-52.908111493154365</v>
      </c>
      <c r="AH12"/>
      <c r="AI12"/>
      <c r="AJ12"/>
      <c r="AK12"/>
      <c r="AL12"/>
      <c r="AM12"/>
    </row>
    <row r="13" spans="1:39" s="209" customFormat="1" ht="12.75" customHeight="1">
      <c r="B13" s="207" t="s">
        <v>482</v>
      </c>
      <c r="C13" s="208"/>
      <c r="D13" s="208"/>
      <c r="E13" s="208"/>
      <c r="F13" s="208">
        <v>17.016999999999999</v>
      </c>
      <c r="G13" s="208">
        <v>16.379000000000001</v>
      </c>
      <c r="H13" s="208">
        <v>14.422000000000001</v>
      </c>
      <c r="I13" s="208">
        <v>18.391999999999999</v>
      </c>
      <c r="J13" s="633">
        <v>21.475999999999999</v>
      </c>
      <c r="K13" s="633">
        <v>23.073</v>
      </c>
      <c r="L13" s="634">
        <v>26.597000000000001</v>
      </c>
      <c r="M13" s="634">
        <v>0</v>
      </c>
      <c r="N13" s="634">
        <v>0</v>
      </c>
      <c r="O13" s="634">
        <v>0</v>
      </c>
      <c r="P13" s="634">
        <v>0</v>
      </c>
      <c r="Q13" s="634">
        <v>0</v>
      </c>
      <c r="R13" s="634">
        <v>0</v>
      </c>
      <c r="S13" s="630">
        <f>+R13-CF!S37-CF!S15</f>
        <v>0</v>
      </c>
      <c r="T13" s="630">
        <f>+S13-CF!T37-CF!T15</f>
        <v>0</v>
      </c>
      <c r="U13" s="630">
        <f>+T13-CF!U37-CF!U15</f>
        <v>0</v>
      </c>
      <c r="V13" s="630">
        <f>+U13-CF!V37-CF!V15</f>
        <v>0</v>
      </c>
      <c r="W13" s="630">
        <f>+V13-CF!W37-CF!W15</f>
        <v>0</v>
      </c>
      <c r="X13" s="630">
        <f>+W13-CF!X37-CF!X15</f>
        <v>0</v>
      </c>
      <c r="Y13" s="630">
        <f>+X13-CF!Y37-CF!Y15</f>
        <v>0</v>
      </c>
      <c r="Z13" s="630">
        <f>+Y13-CF!Z37-CF!Z15</f>
        <v>0</v>
      </c>
      <c r="AA13" s="630">
        <f>+Z13-CF!AA37-CF!AA15</f>
        <v>0</v>
      </c>
      <c r="AB13" s="630">
        <f>+AA13-CF!AB37-CF!AB15</f>
        <v>0</v>
      </c>
      <c r="AC13" s="630">
        <f>+AB13-CF!AC37-CF!AC15</f>
        <v>0</v>
      </c>
      <c r="AD13" s="630">
        <f>+AC13-CF!AD37-CF!AD15</f>
        <v>0</v>
      </c>
      <c r="AE13" s="630">
        <f>+AD13-CF!AE37-CF!AE15</f>
        <v>0</v>
      </c>
      <c r="AH13"/>
      <c r="AI13"/>
      <c r="AJ13"/>
      <c r="AK13"/>
      <c r="AL13"/>
      <c r="AM13"/>
    </row>
    <row r="14" spans="1:39" s="209" customFormat="1" ht="12.75" customHeight="1">
      <c r="B14" s="207" t="s">
        <v>483</v>
      </c>
      <c r="C14" s="208">
        <v>3.01</v>
      </c>
      <c r="D14" s="208">
        <v>2.6949999999999998</v>
      </c>
      <c r="E14" s="208">
        <v>108.955</v>
      </c>
      <c r="F14" s="208">
        <v>96.988</v>
      </c>
      <c r="G14" s="208">
        <v>100.509</v>
      </c>
      <c r="H14" s="208">
        <v>92.658000000000001</v>
      </c>
      <c r="I14" s="208">
        <v>434.76400000000001</v>
      </c>
      <c r="J14" s="633">
        <v>349.54199999999997</v>
      </c>
      <c r="K14" s="633">
        <v>3248.498</v>
      </c>
      <c r="L14" s="634">
        <v>2844.6979999999999</v>
      </c>
      <c r="M14" s="634">
        <v>3100.4229999999998</v>
      </c>
      <c r="N14" s="634">
        <v>2839.7</v>
      </c>
      <c r="O14" s="634">
        <v>4067.6</v>
      </c>
      <c r="P14" s="634">
        <v>10858.1</v>
      </c>
      <c r="Q14" s="634">
        <v>10391.799999999999</v>
      </c>
      <c r="R14" s="634">
        <v>8436</v>
      </c>
      <c r="S14" s="630">
        <f t="shared" ref="S14:AE14" si="12">S155</f>
        <v>10630.74</v>
      </c>
      <c r="T14" s="630">
        <f t="shared" si="12"/>
        <v>10307.0852</v>
      </c>
      <c r="U14" s="630">
        <f t="shared" si="12"/>
        <v>9989.903495999999</v>
      </c>
      <c r="V14" s="630">
        <f t="shared" si="12"/>
        <v>9679.0654260799984</v>
      </c>
      <c r="W14" s="630">
        <f t="shared" si="12"/>
        <v>9374.4441175583979</v>
      </c>
      <c r="X14" s="630">
        <f t="shared" si="12"/>
        <v>9075.9152352072306</v>
      </c>
      <c r="Y14" s="630">
        <f t="shared" si="12"/>
        <v>8783.3569305030869</v>
      </c>
      <c r="Z14" s="630">
        <f t="shared" si="12"/>
        <v>8496.6497918930254</v>
      </c>
      <c r="AA14" s="630">
        <f t="shared" si="12"/>
        <v>8215.6767960551642</v>
      </c>
      <c r="AB14" s="630">
        <f t="shared" si="12"/>
        <v>7940.3232601340605</v>
      </c>
      <c r="AC14" s="630">
        <f t="shared" si="12"/>
        <v>7670.4767949313791</v>
      </c>
      <c r="AD14" s="630">
        <f t="shared" si="12"/>
        <v>7406.0272590327513</v>
      </c>
      <c r="AE14" s="630">
        <f t="shared" si="12"/>
        <v>7146.8667138520959</v>
      </c>
      <c r="AH14"/>
      <c r="AI14"/>
      <c r="AJ14"/>
      <c r="AK14"/>
      <c r="AL14"/>
      <c r="AM14"/>
    </row>
    <row r="15" spans="1:39" s="209" customFormat="1" ht="12.75" customHeight="1">
      <c r="B15" s="207" t="s">
        <v>484</v>
      </c>
      <c r="C15" s="208">
        <v>2.9729999999999999</v>
      </c>
      <c r="D15" s="208">
        <v>3.49</v>
      </c>
      <c r="E15" s="208">
        <v>41.258000000000003</v>
      </c>
      <c r="F15" s="208">
        <v>33.814999999999998</v>
      </c>
      <c r="G15" s="208">
        <v>38.494</v>
      </c>
      <c r="H15" s="208">
        <v>39.033000000000001</v>
      </c>
      <c r="I15" s="208">
        <v>588.822</v>
      </c>
      <c r="J15" s="633">
        <v>578.11599999999999</v>
      </c>
      <c r="K15" s="633">
        <v>1896.3440000000001</v>
      </c>
      <c r="L15" s="634">
        <v>1887.22</v>
      </c>
      <c r="M15" s="634">
        <v>2042.7729999999999</v>
      </c>
      <c r="N15" s="634">
        <v>2041.2</v>
      </c>
      <c r="O15" s="634">
        <v>2191.1999999999998</v>
      </c>
      <c r="P15" s="634">
        <v>4879</v>
      </c>
      <c r="Q15" s="634">
        <v>4865.8</v>
      </c>
      <c r="R15" s="634">
        <v>4866</v>
      </c>
      <c r="S15" s="630">
        <f t="shared" ref="S15:AE15" si="13">S154</f>
        <v>12441</v>
      </c>
      <c r="T15" s="630">
        <f t="shared" si="13"/>
        <v>12441</v>
      </c>
      <c r="U15" s="630">
        <f t="shared" si="13"/>
        <v>12441</v>
      </c>
      <c r="V15" s="630">
        <f t="shared" si="13"/>
        <v>12441</v>
      </c>
      <c r="W15" s="630">
        <f t="shared" si="13"/>
        <v>12441</v>
      </c>
      <c r="X15" s="630">
        <f t="shared" si="13"/>
        <v>12441</v>
      </c>
      <c r="Y15" s="630">
        <f t="shared" si="13"/>
        <v>12441</v>
      </c>
      <c r="Z15" s="630">
        <f t="shared" si="13"/>
        <v>12441</v>
      </c>
      <c r="AA15" s="630">
        <f t="shared" si="13"/>
        <v>12441</v>
      </c>
      <c r="AB15" s="630">
        <f t="shared" si="13"/>
        <v>12441</v>
      </c>
      <c r="AC15" s="630">
        <f t="shared" si="13"/>
        <v>12441</v>
      </c>
      <c r="AD15" s="630">
        <f t="shared" si="13"/>
        <v>12441</v>
      </c>
      <c r="AE15" s="630">
        <f t="shared" si="13"/>
        <v>12441</v>
      </c>
      <c r="AH15"/>
      <c r="AI15"/>
      <c r="AJ15"/>
      <c r="AK15"/>
      <c r="AL15"/>
      <c r="AM15"/>
    </row>
    <row r="16" spans="1:39" s="209" customFormat="1" ht="12.75" customHeight="1">
      <c r="B16" s="207" t="s">
        <v>485</v>
      </c>
      <c r="C16" s="208">
        <f>(5608)/1000</f>
        <v>5.6079999999999997</v>
      </c>
      <c r="D16" s="208">
        <v>54.195999999999998</v>
      </c>
      <c r="E16" s="208">
        <f>(38849+14613)/1000</f>
        <v>53.462000000000003</v>
      </c>
      <c r="F16" s="208">
        <v>60.179000000000002</v>
      </c>
      <c r="G16" s="208">
        <v>122.76</v>
      </c>
      <c r="H16" s="208">
        <v>183.322</v>
      </c>
      <c r="I16" s="208">
        <v>312.95499999999998</v>
      </c>
      <c r="J16" s="633">
        <v>297.58100000000002</v>
      </c>
      <c r="K16" s="633">
        <v>156.12899999999999</v>
      </c>
      <c r="L16" s="634">
        <v>388.12799999999999</v>
      </c>
      <c r="M16" s="634">
        <v>479.08300000000003</v>
      </c>
      <c r="N16" s="634">
        <v>353.4</v>
      </c>
      <c r="O16" s="634">
        <v>726.1</v>
      </c>
      <c r="P16" s="634">
        <v>1101.3</v>
      </c>
      <c r="Q16" s="634">
        <v>1030.7</v>
      </c>
      <c r="R16" s="634">
        <v>877</v>
      </c>
      <c r="S16" s="630">
        <f>R16-CF!S39-CF!S7-CF!S8-CF!S12-CF!S17</f>
        <v>877</v>
      </c>
      <c r="T16" s="630">
        <f>S16-CF!T39-CF!T7-CF!T8-CF!T12-CF!T17</f>
        <v>877</v>
      </c>
      <c r="U16" s="630">
        <f>T16-CF!U39-CF!U7-CF!U8-CF!U12-CF!U17</f>
        <v>877</v>
      </c>
      <c r="V16" s="630">
        <f>U16-CF!V39-CF!V7-CF!V8-CF!V12-CF!V17</f>
        <v>877</v>
      </c>
      <c r="W16" s="630">
        <f>V16-CF!W39-CF!W7-CF!W8-CF!W12-CF!W17</f>
        <v>877</v>
      </c>
      <c r="X16" s="630">
        <f>W16-CF!X39-CF!X7-CF!X8-CF!X12-CF!X17</f>
        <v>877</v>
      </c>
      <c r="Y16" s="630">
        <f>X16-CF!Y39-CF!Y7-CF!Y8-CF!Y12-CF!Y17</f>
        <v>877</v>
      </c>
      <c r="Z16" s="630">
        <f>Y16-CF!Z39-CF!Z7-CF!Z8-CF!Z12-CF!Z17</f>
        <v>877</v>
      </c>
      <c r="AA16" s="630">
        <f>Z16-CF!AA39-CF!AA7-CF!AA8-CF!AA12-CF!AA17</f>
        <v>877</v>
      </c>
      <c r="AB16" s="630">
        <f>AA16-CF!AB39-CF!AB7-CF!AB8-CF!AB12-CF!AB17</f>
        <v>877</v>
      </c>
      <c r="AC16" s="630">
        <f>AB16-CF!AC39-CF!AC7-CF!AC8-CF!AC12-CF!AC17</f>
        <v>877</v>
      </c>
      <c r="AD16" s="630">
        <f>AC16-CF!AD39-CF!AD7-CF!AD8-CF!AD12-CF!AD17</f>
        <v>877</v>
      </c>
      <c r="AE16" s="630">
        <f>AD16-CF!AE39-CF!AE7-CF!AE8-CF!AE12-CF!AE17</f>
        <v>877</v>
      </c>
      <c r="AH16"/>
      <c r="AI16"/>
      <c r="AJ16"/>
      <c r="AK16"/>
      <c r="AL16"/>
      <c r="AM16"/>
    </row>
    <row r="17" spans="1:39" s="639" customFormat="1" ht="12.75" customHeight="1" thickBot="1">
      <c r="A17" s="639" t="s">
        <v>766</v>
      </c>
      <c r="B17" s="636" t="s">
        <v>486</v>
      </c>
      <c r="C17" s="637">
        <f t="shared" ref="C17:M17" si="14">SUM(C10:C16)</f>
        <v>327.28700000000003</v>
      </c>
      <c r="D17" s="637">
        <f t="shared" si="14"/>
        <v>813.02600000000018</v>
      </c>
      <c r="E17" s="637">
        <f t="shared" si="14"/>
        <v>1107.2929999999999</v>
      </c>
      <c r="F17" s="637">
        <f t="shared" si="14"/>
        <v>1258.3130000000003</v>
      </c>
      <c r="G17" s="637">
        <f t="shared" si="14"/>
        <v>2735.7910000000002</v>
      </c>
      <c r="H17" s="637">
        <f t="shared" si="14"/>
        <v>3611.2839999999992</v>
      </c>
      <c r="I17" s="637">
        <f t="shared" si="14"/>
        <v>4445.2699999999995</v>
      </c>
      <c r="J17" s="638">
        <f t="shared" si="14"/>
        <v>5389.3110000000006</v>
      </c>
      <c r="K17" s="638">
        <f t="shared" si="14"/>
        <v>10177.162</v>
      </c>
      <c r="L17" s="638">
        <f t="shared" si="14"/>
        <v>10005.91</v>
      </c>
      <c r="M17" s="638">
        <f t="shared" si="14"/>
        <v>11734.306</v>
      </c>
      <c r="N17" s="638">
        <f t="shared" ref="N17:AE17" si="15">SUM(N10:N16)</f>
        <v>13378.199999999999</v>
      </c>
      <c r="O17" s="638">
        <f t="shared" si="15"/>
        <v>17340.100000000002</v>
      </c>
      <c r="P17" s="638">
        <f t="shared" si="15"/>
        <v>27053.399999999998</v>
      </c>
      <c r="Q17" s="638">
        <f t="shared" si="15"/>
        <v>28085.599999999999</v>
      </c>
      <c r="R17" s="638">
        <f t="shared" si="15"/>
        <v>30141</v>
      </c>
      <c r="S17" s="638">
        <f t="shared" si="15"/>
        <v>32998.54457477729</v>
      </c>
      <c r="T17" s="638">
        <f t="shared" si="15"/>
        <v>35736.511653498936</v>
      </c>
      <c r="U17" s="638">
        <f t="shared" si="15"/>
        <v>36088.43056243319</v>
      </c>
      <c r="V17" s="638">
        <f t="shared" si="15"/>
        <v>40740.820644243249</v>
      </c>
      <c r="W17" s="638">
        <f t="shared" si="15"/>
        <v>43898.011109953877</v>
      </c>
      <c r="X17" s="638">
        <f t="shared" si="15"/>
        <v>47581.301565170186</v>
      </c>
      <c r="Y17" s="638">
        <f t="shared" si="15"/>
        <v>52656.913324234643</v>
      </c>
      <c r="Z17" s="638">
        <f t="shared" si="15"/>
        <v>52965.238144838171</v>
      </c>
      <c r="AA17" s="638">
        <f t="shared" si="15"/>
        <v>51373.639747770198</v>
      </c>
      <c r="AB17" s="638">
        <f t="shared" si="15"/>
        <v>47895.432106021428</v>
      </c>
      <c r="AC17" s="638">
        <f t="shared" si="15"/>
        <v>47720.342220853156</v>
      </c>
      <c r="AD17" s="638">
        <f t="shared" si="15"/>
        <v>49503.866051624311</v>
      </c>
      <c r="AE17" s="638">
        <f t="shared" si="15"/>
        <v>50647.024835490425</v>
      </c>
      <c r="AH17"/>
      <c r="AI17"/>
      <c r="AJ17"/>
      <c r="AK17"/>
      <c r="AL17"/>
      <c r="AM17"/>
    </row>
    <row r="18" spans="1:39" s="206" customFormat="1" ht="12.75" customHeight="1" thickTop="1">
      <c r="B18" s="213"/>
      <c r="C18" s="210"/>
      <c r="D18" s="210"/>
      <c r="E18" s="210"/>
      <c r="F18" s="210"/>
      <c r="G18" s="210"/>
      <c r="H18" s="210"/>
      <c r="I18" s="210"/>
      <c r="J18" s="210"/>
      <c r="K18" s="211"/>
      <c r="L18" s="211"/>
      <c r="M18" s="211"/>
      <c r="N18" s="211"/>
      <c r="O18" s="211"/>
      <c r="P18" s="210"/>
      <c r="Q18" s="210"/>
      <c r="R18" s="210"/>
      <c r="S18" s="210"/>
      <c r="T18" s="210"/>
      <c r="U18" s="210"/>
      <c r="AH18"/>
      <c r="AI18"/>
      <c r="AJ18"/>
      <c r="AK18"/>
      <c r="AL18"/>
      <c r="AM18"/>
    </row>
    <row r="19" spans="1:39" ht="12.75" customHeight="1">
      <c r="B19" s="215" t="s">
        <v>487</v>
      </c>
      <c r="C19" s="214"/>
      <c r="D19" s="214"/>
      <c r="E19" s="214"/>
      <c r="F19" s="214"/>
      <c r="G19" s="214"/>
      <c r="H19" s="214"/>
      <c r="I19" s="214"/>
      <c r="J19" s="634"/>
      <c r="K19" s="634"/>
      <c r="L19" s="634">
        <v>526.68399999999997</v>
      </c>
      <c r="M19" s="634">
        <v>308.459</v>
      </c>
      <c r="N19" s="634">
        <v>544.79999999999995</v>
      </c>
      <c r="O19" s="634">
        <v>605.9</v>
      </c>
      <c r="P19" s="634">
        <v>0</v>
      </c>
      <c r="Q19" s="634">
        <v>500.7</v>
      </c>
      <c r="R19" s="634">
        <v>0</v>
      </c>
      <c r="S19" s="630">
        <f t="shared" ref="S19:U19" si="16">R19</f>
        <v>0</v>
      </c>
      <c r="T19" s="630">
        <f t="shared" si="16"/>
        <v>0</v>
      </c>
      <c r="U19" s="630">
        <f t="shared" si="16"/>
        <v>0</v>
      </c>
      <c r="V19" s="630">
        <f t="shared" ref="V19:AE19" si="17">U19</f>
        <v>0</v>
      </c>
      <c r="W19" s="630">
        <f t="shared" si="17"/>
        <v>0</v>
      </c>
      <c r="X19" s="630">
        <f t="shared" si="17"/>
        <v>0</v>
      </c>
      <c r="Y19" s="630">
        <f t="shared" si="17"/>
        <v>0</v>
      </c>
      <c r="Z19" s="630">
        <f t="shared" si="17"/>
        <v>0</v>
      </c>
      <c r="AA19" s="630">
        <f t="shared" si="17"/>
        <v>0</v>
      </c>
      <c r="AB19" s="630">
        <f t="shared" si="17"/>
        <v>0</v>
      </c>
      <c r="AC19" s="630">
        <f t="shared" si="17"/>
        <v>0</v>
      </c>
      <c r="AD19" s="630">
        <f t="shared" si="17"/>
        <v>0</v>
      </c>
      <c r="AE19" s="630">
        <f t="shared" si="17"/>
        <v>0</v>
      </c>
    </row>
    <row r="20" spans="1:39" s="209" customFormat="1" ht="12.75" customHeight="1">
      <c r="B20" s="207" t="s">
        <v>488</v>
      </c>
      <c r="C20" s="208">
        <v>16.515999999999998</v>
      </c>
      <c r="D20" s="208">
        <v>15.34</v>
      </c>
      <c r="E20" s="208">
        <v>18.649999999999999</v>
      </c>
      <c r="F20" s="208">
        <v>16.414000000000001</v>
      </c>
      <c r="G20" s="208">
        <v>24.41</v>
      </c>
      <c r="H20" s="208">
        <v>37.875999999999998</v>
      </c>
      <c r="I20" s="208">
        <v>53.859000000000002</v>
      </c>
      <c r="J20" s="633">
        <v>36.628999999999998</v>
      </c>
      <c r="K20" s="633">
        <v>94.465000000000003</v>
      </c>
      <c r="L20" s="634">
        <v>121.52500000000001</v>
      </c>
      <c r="M20" s="634">
        <v>145.65199999999999</v>
      </c>
      <c r="N20" s="634">
        <v>156.19999999999999</v>
      </c>
      <c r="O20" s="634">
        <v>198.2</v>
      </c>
      <c r="P20" s="634">
        <v>240.8</v>
      </c>
      <c r="Q20" s="634">
        <v>247.1</v>
      </c>
      <c r="R20" s="634">
        <v>305</v>
      </c>
      <c r="S20" s="630">
        <f t="shared" ref="S20:AE20" si="18">S67</f>
        <v>349.13452327475972</v>
      </c>
      <c r="T20" s="630">
        <f t="shared" si="18"/>
        <v>411.43471482081094</v>
      </c>
      <c r="U20" s="630">
        <f t="shared" si="18"/>
        <v>525.75275074320814</v>
      </c>
      <c r="V20" s="630">
        <f t="shared" si="18"/>
        <v>695.33499556660354</v>
      </c>
      <c r="W20" s="630">
        <f t="shared" si="18"/>
        <v>827.13331125341711</v>
      </c>
      <c r="X20" s="630">
        <f t="shared" si="18"/>
        <v>931.91891075790784</v>
      </c>
      <c r="Y20" s="630">
        <f t="shared" si="18"/>
        <v>1060.6550697958969</v>
      </c>
      <c r="Z20" s="630">
        <f t="shared" si="18"/>
        <v>1014.1344325012582</v>
      </c>
      <c r="AA20" s="630">
        <f t="shared" si="18"/>
        <v>973.49054971015778</v>
      </c>
      <c r="AB20" s="630">
        <f t="shared" si="18"/>
        <v>990.88922946991113</v>
      </c>
      <c r="AC20" s="630">
        <f t="shared" si="18"/>
        <v>1027.2620904739435</v>
      </c>
      <c r="AD20" s="630">
        <f t="shared" si="18"/>
        <v>1067.6882549350898</v>
      </c>
      <c r="AE20" s="630">
        <f t="shared" si="18"/>
        <v>982.30638359576051</v>
      </c>
      <c r="AH20"/>
      <c r="AI20"/>
      <c r="AJ20"/>
      <c r="AK20"/>
      <c r="AL20"/>
      <c r="AM20"/>
    </row>
    <row r="21" spans="1:39" s="209" customFormat="1" ht="12.75" customHeight="1">
      <c r="B21" s="207" t="s">
        <v>489</v>
      </c>
      <c r="C21" s="208">
        <v>26.975999999999999</v>
      </c>
      <c r="D21" s="208">
        <v>55.276000000000003</v>
      </c>
      <c r="E21" s="208">
        <v>68.534000000000006</v>
      </c>
      <c r="F21" s="208">
        <v>92.908000000000001</v>
      </c>
      <c r="G21" s="208">
        <v>112.992</v>
      </c>
      <c r="H21" s="208">
        <v>159.22</v>
      </c>
      <c r="I21" s="208">
        <v>306.12</v>
      </c>
      <c r="J21" s="633">
        <v>315.608</v>
      </c>
      <c r="K21" s="633">
        <v>592.33600000000001</v>
      </c>
      <c r="L21" s="634">
        <v>701.70699999999999</v>
      </c>
      <c r="M21" s="634">
        <v>775.72400000000005</v>
      </c>
      <c r="N21" s="634">
        <v>1001.1</v>
      </c>
      <c r="O21" s="634">
        <v>991.1</v>
      </c>
      <c r="P21" s="634">
        <v>1376.7</v>
      </c>
      <c r="Q21" s="634">
        <f>2115-300</f>
        <v>1815</v>
      </c>
      <c r="R21" s="634">
        <f>2523-R24</f>
        <v>2223</v>
      </c>
      <c r="S21" s="630">
        <f t="shared" ref="S21:AE21" si="19">S69</f>
        <v>2592.3183047593679</v>
      </c>
      <c r="T21" s="630">
        <f t="shared" si="19"/>
        <v>2866.9309494727454</v>
      </c>
      <c r="U21" s="630">
        <f t="shared" si="19"/>
        <v>3255.7039681420106</v>
      </c>
      <c r="V21" s="630">
        <f t="shared" si="19"/>
        <v>3726.8413334991847</v>
      </c>
      <c r="W21" s="630">
        <f t="shared" si="19"/>
        <v>3969.5249533129172</v>
      </c>
      <c r="X21" s="630">
        <f t="shared" si="19"/>
        <v>4008.7365324884458</v>
      </c>
      <c r="Y21" s="630">
        <f t="shared" si="19"/>
        <v>3966.1420001229194</v>
      </c>
      <c r="Z21" s="630">
        <f t="shared" si="19"/>
        <v>3282.7587684517057</v>
      </c>
      <c r="AA21" s="630">
        <f t="shared" si="19"/>
        <v>2274.6759621157044</v>
      </c>
      <c r="AB21" s="630">
        <f t="shared" si="19"/>
        <v>1936.2835543695589</v>
      </c>
      <c r="AC21" s="630">
        <f t="shared" si="19"/>
        <v>1895.2286926350778</v>
      </c>
      <c r="AD21" s="630">
        <f t="shared" si="19"/>
        <v>1896.2485041317659</v>
      </c>
      <c r="AE21" s="630">
        <f t="shared" si="19"/>
        <v>1537.0226806620876</v>
      </c>
      <c r="AH21"/>
      <c r="AI21"/>
      <c r="AJ21"/>
      <c r="AK21"/>
      <c r="AL21"/>
      <c r="AM21"/>
    </row>
    <row r="22" spans="1:39" s="209" customFormat="1" ht="12.75" customHeight="1">
      <c r="B22" s="207" t="s">
        <v>490</v>
      </c>
      <c r="C22" s="208"/>
      <c r="D22" s="208">
        <v>0.28100000000000003</v>
      </c>
      <c r="E22" s="208">
        <v>41.188000000000002</v>
      </c>
      <c r="F22" s="208">
        <v>14.715</v>
      </c>
      <c r="G22" s="208">
        <v>84.858999999999995</v>
      </c>
      <c r="H22" s="208">
        <v>4.9889999999999999</v>
      </c>
      <c r="I22" s="208">
        <v>51.161999999999999</v>
      </c>
      <c r="J22" s="633">
        <v>46.874000000000002</v>
      </c>
      <c r="K22" s="633">
        <v>11.423</v>
      </c>
      <c r="L22" s="634">
        <v>30.042000000000002</v>
      </c>
      <c r="M22" s="634">
        <v>11.840999999999999</v>
      </c>
      <c r="N22" s="634">
        <v>16</v>
      </c>
      <c r="O22" s="634">
        <v>12.7</v>
      </c>
      <c r="P22" s="634">
        <v>19.8</v>
      </c>
      <c r="Q22" s="634">
        <v>41.3</v>
      </c>
      <c r="R22" s="634">
        <v>84</v>
      </c>
      <c r="S22" s="630">
        <f t="shared" ref="S22:U22" si="20">R22</f>
        <v>84</v>
      </c>
      <c r="T22" s="630">
        <f t="shared" si="20"/>
        <v>84</v>
      </c>
      <c r="U22" s="630">
        <f t="shared" si="20"/>
        <v>84</v>
      </c>
      <c r="V22" s="630">
        <f t="shared" ref="V22:AE22" si="21">U22</f>
        <v>84</v>
      </c>
      <c r="W22" s="630">
        <f t="shared" si="21"/>
        <v>84</v>
      </c>
      <c r="X22" s="630">
        <f t="shared" si="21"/>
        <v>84</v>
      </c>
      <c r="Y22" s="630">
        <f t="shared" si="21"/>
        <v>84</v>
      </c>
      <c r="Z22" s="630">
        <f t="shared" si="21"/>
        <v>84</v>
      </c>
      <c r="AA22" s="630">
        <f t="shared" si="21"/>
        <v>84</v>
      </c>
      <c r="AB22" s="630">
        <f t="shared" si="21"/>
        <v>84</v>
      </c>
      <c r="AC22" s="630">
        <f t="shared" si="21"/>
        <v>84</v>
      </c>
      <c r="AD22" s="630">
        <f t="shared" si="21"/>
        <v>84</v>
      </c>
      <c r="AE22" s="630">
        <f t="shared" si="21"/>
        <v>84</v>
      </c>
      <c r="AH22"/>
      <c r="AI22"/>
      <c r="AJ22"/>
      <c r="AK22"/>
      <c r="AL22"/>
      <c r="AM22"/>
    </row>
    <row r="23" spans="1:39" s="209" customFormat="1" ht="12.75" customHeight="1">
      <c r="B23" s="207" t="s">
        <v>491</v>
      </c>
      <c r="C23" s="208">
        <v>0.109</v>
      </c>
      <c r="D23" s="208">
        <v>0.58899999999999997</v>
      </c>
      <c r="E23" s="208">
        <v>6.9260000000000002</v>
      </c>
      <c r="F23" s="208">
        <v>6.4729999999999999</v>
      </c>
      <c r="G23" s="208">
        <v>7.6470000000000002</v>
      </c>
      <c r="H23" s="208">
        <v>7.6660000000000004</v>
      </c>
      <c r="I23" s="208">
        <v>1.419</v>
      </c>
      <c r="J23" s="633">
        <v>1.827</v>
      </c>
      <c r="K23" s="633">
        <v>16.361999999999998</v>
      </c>
      <c r="L23" s="634">
        <v>14.346</v>
      </c>
      <c r="M23" s="634">
        <v>17.263000000000002</v>
      </c>
      <c r="N23" s="634">
        <v>27.7</v>
      </c>
      <c r="O23" s="634">
        <v>28.5</v>
      </c>
      <c r="P23" s="634">
        <v>60.6</v>
      </c>
      <c r="Q23" s="634">
        <v>55.1</v>
      </c>
      <c r="R23" s="634">
        <v>75</v>
      </c>
      <c r="S23" s="630">
        <f t="shared" ref="S23:AE23" si="22">S73</f>
        <v>85.213800317160263</v>
      </c>
      <c r="T23" s="630">
        <f t="shared" si="22"/>
        <v>96.487675577930304</v>
      </c>
      <c r="U23" s="630">
        <f>U73</f>
        <v>111.03045635132435</v>
      </c>
      <c r="V23" s="630">
        <f>V73</f>
        <v>127.52685172390542</v>
      </c>
      <c r="W23" s="630">
        <f t="shared" si="22"/>
        <v>136.54498134934587</v>
      </c>
      <c r="X23" s="630">
        <f t="shared" si="22"/>
        <v>138.37426916761132</v>
      </c>
      <c r="Y23" s="630">
        <f t="shared" si="22"/>
        <v>135.46527374692249</v>
      </c>
      <c r="Z23" s="630">
        <f t="shared" si="22"/>
        <v>110.37514420802201</v>
      </c>
      <c r="AA23" s="630">
        <f t="shared" si="22"/>
        <v>71.007862135438486</v>
      </c>
      <c r="AB23" s="630">
        <f t="shared" si="22"/>
        <v>57.138618267331381</v>
      </c>
      <c r="AC23" s="630">
        <f t="shared" si="22"/>
        <v>55.092715054563563</v>
      </c>
      <c r="AD23" s="630">
        <f t="shared" si="22"/>
        <v>54.696987033533937</v>
      </c>
      <c r="AE23" s="630">
        <f t="shared" si="22"/>
        <v>41.874895739585071</v>
      </c>
      <c r="AH23"/>
      <c r="AI23"/>
      <c r="AJ23"/>
      <c r="AK23"/>
      <c r="AL23"/>
      <c r="AM23"/>
    </row>
    <row r="24" spans="1:39" s="209" customFormat="1" ht="12.75" customHeight="1">
      <c r="B24" s="207" t="s">
        <v>492</v>
      </c>
      <c r="C24" s="208">
        <f>(599+86)/1000</f>
        <v>0.68500000000000005</v>
      </c>
      <c r="D24" s="208">
        <f>(278+30)/1000</f>
        <v>0.308</v>
      </c>
      <c r="E24" s="208">
        <f>(5447+670)/1000</f>
        <v>6.117</v>
      </c>
      <c r="F24" s="208">
        <v>5.1269999999999998</v>
      </c>
      <c r="G24" s="208">
        <v>9.7949999999999999</v>
      </c>
      <c r="H24" s="208">
        <f>(26625+196555)/1000</f>
        <v>223.18</v>
      </c>
      <c r="I24" s="208">
        <v>114.688</v>
      </c>
      <c r="J24" s="633">
        <v>93.766999999999996</v>
      </c>
      <c r="K24" s="633">
        <f>(309214)/1000</f>
        <v>309.214</v>
      </c>
      <c r="L24" s="634">
        <v>138.42400000000001</v>
      </c>
      <c r="M24" s="634">
        <v>431.29599999999999</v>
      </c>
      <c r="N24" s="634">
        <v>199.7</v>
      </c>
      <c r="O24" s="634">
        <v>275.8</v>
      </c>
      <c r="P24" s="634">
        <v>271</v>
      </c>
      <c r="Q24" s="634">
        <v>300</v>
      </c>
      <c r="R24" s="634">
        <v>300</v>
      </c>
      <c r="S24" s="630">
        <f t="shared" ref="S24:AE24" si="23">S71</f>
        <v>349.84052695807935</v>
      </c>
      <c r="T24" s="630">
        <f t="shared" si="23"/>
        <v>386.90026308674027</v>
      </c>
      <c r="U24" s="630">
        <f t="shared" si="23"/>
        <v>439.36625750904329</v>
      </c>
      <c r="V24" s="630">
        <f t="shared" si="23"/>
        <v>502.94754838045674</v>
      </c>
      <c r="W24" s="630">
        <f t="shared" si="23"/>
        <v>535.69837426625065</v>
      </c>
      <c r="X24" s="630">
        <f t="shared" si="23"/>
        <v>540.99008535606561</v>
      </c>
      <c r="Y24" s="630">
        <f t="shared" si="23"/>
        <v>535.24183537421311</v>
      </c>
      <c r="Z24" s="630">
        <f t="shared" si="23"/>
        <v>443.01737765879972</v>
      </c>
      <c r="AA24" s="630">
        <f t="shared" si="23"/>
        <v>306.97381405070234</v>
      </c>
      <c r="AB24" s="630">
        <f t="shared" si="23"/>
        <v>261.30682245203224</v>
      </c>
      <c r="AC24" s="630">
        <f t="shared" si="23"/>
        <v>255.76635528138701</v>
      </c>
      <c r="AD24" s="630">
        <f t="shared" si="23"/>
        <v>255.90398166420593</v>
      </c>
      <c r="AE24" s="630">
        <f t="shared" si="23"/>
        <v>207.42546297733978</v>
      </c>
      <c r="AH24"/>
      <c r="AI24"/>
      <c r="AJ24"/>
      <c r="AK24"/>
      <c r="AL24"/>
      <c r="AM24"/>
    </row>
    <row r="25" spans="1:39" s="209" customFormat="1" ht="12.75" customHeight="1">
      <c r="B25" s="207" t="s">
        <v>493</v>
      </c>
      <c r="C25" s="208"/>
      <c r="D25" s="208"/>
      <c r="E25" s="208"/>
      <c r="F25" s="208"/>
      <c r="G25" s="208"/>
      <c r="H25" s="208"/>
      <c r="I25" s="208"/>
      <c r="J25" s="633"/>
      <c r="K25" s="633">
        <v>46.582000000000001</v>
      </c>
      <c r="L25" s="634">
        <v>7.2439999999999998</v>
      </c>
      <c r="M25" s="634">
        <v>0</v>
      </c>
      <c r="N25" s="634">
        <v>0</v>
      </c>
      <c r="O25" s="634">
        <v>0</v>
      </c>
      <c r="P25" s="634">
        <v>0</v>
      </c>
      <c r="Q25" s="634">
        <v>0</v>
      </c>
      <c r="R25" s="634">
        <v>0</v>
      </c>
      <c r="S25" s="630">
        <f t="shared" ref="S25:U25" si="24">+R25</f>
        <v>0</v>
      </c>
      <c r="T25" s="630">
        <f t="shared" si="24"/>
        <v>0</v>
      </c>
      <c r="U25" s="630">
        <f t="shared" si="24"/>
        <v>0</v>
      </c>
      <c r="V25" s="630">
        <f t="shared" ref="V25:AE25" si="25">+U25</f>
        <v>0</v>
      </c>
      <c r="W25" s="630">
        <f t="shared" si="25"/>
        <v>0</v>
      </c>
      <c r="X25" s="630">
        <f t="shared" si="25"/>
        <v>0</v>
      </c>
      <c r="Y25" s="630">
        <f t="shared" si="25"/>
        <v>0</v>
      </c>
      <c r="Z25" s="630">
        <f t="shared" si="25"/>
        <v>0</v>
      </c>
      <c r="AA25" s="630">
        <f t="shared" si="25"/>
        <v>0</v>
      </c>
      <c r="AB25" s="630">
        <f t="shared" si="25"/>
        <v>0</v>
      </c>
      <c r="AC25" s="630">
        <f t="shared" si="25"/>
        <v>0</v>
      </c>
      <c r="AD25" s="630">
        <f t="shared" si="25"/>
        <v>0</v>
      </c>
      <c r="AE25" s="630">
        <f t="shared" si="25"/>
        <v>0</v>
      </c>
      <c r="AH25"/>
      <c r="AI25"/>
      <c r="AJ25"/>
      <c r="AK25"/>
      <c r="AL25"/>
      <c r="AM25"/>
    </row>
    <row r="26" spans="1:39" s="206" customFormat="1" ht="12.75" customHeight="1">
      <c r="A26" s="632" t="s">
        <v>766</v>
      </c>
      <c r="B26" s="643" t="s">
        <v>494</v>
      </c>
      <c r="C26" s="644">
        <f t="shared" ref="C26:H26" si="26">SUM(C19:C25)</f>
        <v>44.286000000000001</v>
      </c>
      <c r="D26" s="644">
        <f t="shared" si="26"/>
        <v>71.794000000000011</v>
      </c>
      <c r="E26" s="644">
        <f t="shared" si="26"/>
        <v>141.41499999999999</v>
      </c>
      <c r="F26" s="644">
        <f t="shared" si="26"/>
        <v>135.63700000000003</v>
      </c>
      <c r="G26" s="644">
        <f t="shared" si="26"/>
        <v>239.703</v>
      </c>
      <c r="H26" s="644">
        <f t="shared" si="26"/>
        <v>432.93100000000004</v>
      </c>
      <c r="I26" s="644">
        <f>SUM(I19:I25)</f>
        <v>527.24799999999993</v>
      </c>
      <c r="J26" s="645">
        <f>SUM(J19:J25)</f>
        <v>494.70500000000004</v>
      </c>
      <c r="K26" s="645">
        <f>SUM(K19:K25)</f>
        <v>1070.3820000000001</v>
      </c>
      <c r="L26" s="645">
        <f>SUM(L19:L25)</f>
        <v>1539.9719999999998</v>
      </c>
      <c r="M26" s="645">
        <f t="shared" ref="M26:R26" si="27">SUM(M19:M25)</f>
        <v>1690.2349999999999</v>
      </c>
      <c r="N26" s="645">
        <f t="shared" si="27"/>
        <v>1945.5</v>
      </c>
      <c r="O26" s="645">
        <f t="shared" si="27"/>
        <v>2112.1999999999998</v>
      </c>
      <c r="P26" s="645">
        <f t="shared" si="27"/>
        <v>1968.8999999999999</v>
      </c>
      <c r="Q26" s="645">
        <f t="shared" si="27"/>
        <v>2959.2000000000003</v>
      </c>
      <c r="R26" s="645">
        <f t="shared" si="27"/>
        <v>2987</v>
      </c>
      <c r="S26" s="645">
        <f>SUM(S19:S25)</f>
        <v>3460.5071553093676</v>
      </c>
      <c r="T26" s="645">
        <f>SUM(T19:T25)</f>
        <v>3845.7536029582266</v>
      </c>
      <c r="U26" s="645">
        <f>SUM(U19:U25)</f>
        <v>4415.8534327455864</v>
      </c>
      <c r="V26" s="645">
        <f t="shared" ref="V26:AE26" si="28">SUM(V19:V25)</f>
        <v>5136.650729170151</v>
      </c>
      <c r="W26" s="645">
        <f t="shared" si="28"/>
        <v>5552.9016201819313</v>
      </c>
      <c r="X26" s="645">
        <f t="shared" si="28"/>
        <v>5704.0197977700309</v>
      </c>
      <c r="Y26" s="645">
        <f t="shared" si="28"/>
        <v>5781.5041790399519</v>
      </c>
      <c r="Z26" s="645">
        <f t="shared" si="28"/>
        <v>4934.2857228197854</v>
      </c>
      <c r="AA26" s="645">
        <f t="shared" si="28"/>
        <v>3710.1481880120032</v>
      </c>
      <c r="AB26" s="645">
        <f t="shared" si="28"/>
        <v>3329.6182245588334</v>
      </c>
      <c r="AC26" s="645">
        <f t="shared" si="28"/>
        <v>3317.3498534449718</v>
      </c>
      <c r="AD26" s="645">
        <f t="shared" si="28"/>
        <v>3358.5377277645953</v>
      </c>
      <c r="AE26" s="645">
        <f t="shared" si="28"/>
        <v>2852.6294229747732</v>
      </c>
      <c r="AH26"/>
      <c r="AI26"/>
      <c r="AJ26"/>
      <c r="AK26"/>
      <c r="AL26"/>
      <c r="AM26"/>
    </row>
    <row r="27" spans="1:39" s="206" customFormat="1" ht="5.25" customHeight="1">
      <c r="B27" s="646"/>
      <c r="C27" s="210"/>
      <c r="D27" s="210"/>
      <c r="E27" s="210"/>
      <c r="F27" s="210"/>
      <c r="G27" s="210"/>
      <c r="H27" s="210"/>
      <c r="I27" s="210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AH27"/>
      <c r="AI27"/>
      <c r="AJ27"/>
      <c r="AK27"/>
      <c r="AL27"/>
      <c r="AM27"/>
    </row>
    <row r="28" spans="1:39" s="209" customFormat="1" ht="12.75" customHeight="1">
      <c r="B28" s="207" t="s">
        <v>698</v>
      </c>
      <c r="C28" s="208">
        <v>1.39</v>
      </c>
      <c r="D28" s="208">
        <v>1.1220000000000001</v>
      </c>
      <c r="E28" s="208">
        <v>73.992000000000004</v>
      </c>
      <c r="F28" s="208">
        <v>59.067</v>
      </c>
      <c r="G28" s="208">
        <v>63.027000000000001</v>
      </c>
      <c r="H28" s="208">
        <v>60.302999999999997</v>
      </c>
      <c r="I28" s="208">
        <v>3.1269999999999998</v>
      </c>
      <c r="J28" s="633">
        <v>6.5270000000000001</v>
      </c>
      <c r="K28" s="633">
        <v>12.785</v>
      </c>
      <c r="L28" s="634">
        <v>12.622999999999999</v>
      </c>
      <c r="M28" s="634">
        <v>16.178000000000001</v>
      </c>
      <c r="N28" s="634">
        <v>23.7</v>
      </c>
      <c r="O28" s="634">
        <v>27.8</v>
      </c>
      <c r="P28" s="634">
        <v>30</v>
      </c>
      <c r="Q28" s="634">
        <v>27.9</v>
      </c>
      <c r="R28" s="634">
        <v>34</v>
      </c>
      <c r="S28" s="630">
        <f t="shared" ref="S28:AE28" si="29">S75</f>
        <v>38.63025614377932</v>
      </c>
      <c r="T28" s="630">
        <f t="shared" si="29"/>
        <v>43.741079595328408</v>
      </c>
      <c r="U28" s="630">
        <f>U75</f>
        <v>50.333806879267037</v>
      </c>
      <c r="V28" s="630">
        <f>V75</f>
        <v>57.812172781503797</v>
      </c>
      <c r="W28" s="630">
        <f t="shared" si="29"/>
        <v>61.900391545036804</v>
      </c>
      <c r="X28" s="630">
        <f t="shared" si="29"/>
        <v>62.72966868931713</v>
      </c>
      <c r="Y28" s="630">
        <f t="shared" si="29"/>
        <v>61.410924098604859</v>
      </c>
      <c r="Z28" s="630">
        <f t="shared" si="29"/>
        <v>50.03673204096998</v>
      </c>
      <c r="AA28" s="630">
        <f t="shared" si="29"/>
        <v>32.19023083473212</v>
      </c>
      <c r="AB28" s="630">
        <f t="shared" si="29"/>
        <v>25.902840281190226</v>
      </c>
      <c r="AC28" s="630">
        <f t="shared" si="29"/>
        <v>24.975364158068817</v>
      </c>
      <c r="AD28" s="630">
        <f t="shared" si="29"/>
        <v>24.795967455202053</v>
      </c>
      <c r="AE28" s="630">
        <f t="shared" si="29"/>
        <v>18.9832860686119</v>
      </c>
      <c r="AH28"/>
      <c r="AI28"/>
      <c r="AJ28"/>
      <c r="AK28"/>
      <c r="AL28"/>
      <c r="AM28"/>
    </row>
    <row r="29" spans="1:39" s="209" customFormat="1" ht="12.75" customHeight="1">
      <c r="B29" s="207" t="s">
        <v>495</v>
      </c>
      <c r="C29" s="208"/>
      <c r="D29" s="208"/>
      <c r="E29" s="208"/>
      <c r="F29" s="208"/>
      <c r="G29" s="208"/>
      <c r="H29" s="208">
        <v>211.30699999999999</v>
      </c>
      <c r="I29" s="208">
        <v>358.57799999999997</v>
      </c>
      <c r="J29" s="633">
        <v>422.358</v>
      </c>
      <c r="K29" s="633">
        <v>551.89599999999996</v>
      </c>
      <c r="L29" s="634">
        <v>616.46500000000003</v>
      </c>
      <c r="M29" s="634">
        <v>188.18100000000001</v>
      </c>
      <c r="N29" s="634">
        <v>235</v>
      </c>
      <c r="O29" s="634">
        <v>272.89999999999998</v>
      </c>
      <c r="P29" s="634">
        <v>324.2</v>
      </c>
      <c r="Q29" s="634">
        <v>420.3</v>
      </c>
      <c r="R29" s="634">
        <v>2490</v>
      </c>
      <c r="S29" s="630">
        <f t="shared" ref="S29:U29" si="30">+R29</f>
        <v>2490</v>
      </c>
      <c r="T29" s="630">
        <f t="shared" si="30"/>
        <v>2490</v>
      </c>
      <c r="U29" s="630">
        <f t="shared" si="30"/>
        <v>2490</v>
      </c>
      <c r="V29" s="630">
        <f t="shared" ref="V29:AE29" si="31">+U29</f>
        <v>2490</v>
      </c>
      <c r="W29" s="630">
        <f t="shared" si="31"/>
        <v>2490</v>
      </c>
      <c r="X29" s="630">
        <f t="shared" si="31"/>
        <v>2490</v>
      </c>
      <c r="Y29" s="630">
        <f t="shared" si="31"/>
        <v>2490</v>
      </c>
      <c r="Z29" s="630">
        <f t="shared" si="31"/>
        <v>2490</v>
      </c>
      <c r="AA29" s="630">
        <f t="shared" si="31"/>
        <v>2490</v>
      </c>
      <c r="AB29" s="630">
        <f t="shared" si="31"/>
        <v>2490</v>
      </c>
      <c r="AC29" s="630">
        <f t="shared" si="31"/>
        <v>2490</v>
      </c>
      <c r="AD29" s="630">
        <f t="shared" si="31"/>
        <v>2490</v>
      </c>
      <c r="AE29" s="630">
        <f t="shared" si="31"/>
        <v>2490</v>
      </c>
      <c r="AH29"/>
      <c r="AI29"/>
      <c r="AJ29"/>
      <c r="AK29"/>
      <c r="AL29"/>
      <c r="AM29"/>
    </row>
    <row r="30" spans="1:39" s="209" customFormat="1" ht="12.75" customHeight="1">
      <c r="B30" s="207" t="s">
        <v>496</v>
      </c>
      <c r="C30" s="208"/>
      <c r="D30" s="208"/>
      <c r="E30" s="208"/>
      <c r="F30" s="208"/>
      <c r="G30" s="208"/>
      <c r="H30" s="208"/>
      <c r="I30" s="208"/>
      <c r="J30" s="633"/>
      <c r="K30" s="633">
        <v>882.87</v>
      </c>
      <c r="L30" s="634">
        <v>775.02200000000005</v>
      </c>
      <c r="M30" s="634">
        <v>1018.366</v>
      </c>
      <c r="N30" s="634">
        <v>804.9</v>
      </c>
      <c r="O30" s="634">
        <v>555.6</v>
      </c>
      <c r="P30" s="634">
        <v>2519.1999999999998</v>
      </c>
      <c r="Q30" s="634">
        <v>2519.1999999999998</v>
      </c>
      <c r="R30" s="634">
        <v>1327</v>
      </c>
      <c r="S30" s="630">
        <f t="shared" ref="S30:U30" si="32">R30</f>
        <v>1327</v>
      </c>
      <c r="T30" s="630">
        <f t="shared" si="32"/>
        <v>1327</v>
      </c>
      <c r="U30" s="630">
        <f t="shared" si="32"/>
        <v>1327</v>
      </c>
      <c r="V30" s="630">
        <f t="shared" ref="V30:AE30" si="33">U30</f>
        <v>1327</v>
      </c>
      <c r="W30" s="630">
        <f t="shared" si="33"/>
        <v>1327</v>
      </c>
      <c r="X30" s="630">
        <f t="shared" si="33"/>
        <v>1327</v>
      </c>
      <c r="Y30" s="630">
        <f t="shared" si="33"/>
        <v>1327</v>
      </c>
      <c r="Z30" s="630">
        <f t="shared" si="33"/>
        <v>1327</v>
      </c>
      <c r="AA30" s="630">
        <f t="shared" si="33"/>
        <v>1327</v>
      </c>
      <c r="AB30" s="630">
        <f t="shared" si="33"/>
        <v>1327</v>
      </c>
      <c r="AC30" s="630">
        <f t="shared" si="33"/>
        <v>1327</v>
      </c>
      <c r="AD30" s="630">
        <f t="shared" si="33"/>
        <v>1327</v>
      </c>
      <c r="AE30" s="630">
        <f t="shared" si="33"/>
        <v>1327</v>
      </c>
      <c r="AH30"/>
      <c r="AI30"/>
      <c r="AJ30"/>
      <c r="AK30"/>
      <c r="AL30"/>
      <c r="AM30"/>
    </row>
    <row r="31" spans="1:39" s="209" customFormat="1" ht="12.75" customHeight="1">
      <c r="B31" s="207" t="s">
        <v>497</v>
      </c>
      <c r="C31" s="208"/>
      <c r="D31" s="208">
        <f>(400)</f>
        <v>400</v>
      </c>
      <c r="E31" s="208">
        <f>400</f>
        <v>400</v>
      </c>
      <c r="F31" s="208">
        <f>(399.984)</f>
        <v>399.98399999999998</v>
      </c>
      <c r="G31" s="208">
        <f>(399.889)</f>
        <v>399.88900000000001</v>
      </c>
      <c r="H31" s="208"/>
      <c r="I31" s="208"/>
      <c r="J31" s="633"/>
      <c r="K31" s="633">
        <v>1247.5840000000001</v>
      </c>
      <c r="L31" s="634">
        <v>1275.585</v>
      </c>
      <c r="M31" s="634">
        <v>2771.3330000000001</v>
      </c>
      <c r="N31" s="634">
        <v>4196.5</v>
      </c>
      <c r="O31" s="634">
        <v>6265.7</v>
      </c>
      <c r="P31" s="634">
        <v>14250.4</v>
      </c>
      <c r="Q31" s="634">
        <v>13788.5</v>
      </c>
      <c r="R31" s="634">
        <v>15838</v>
      </c>
      <c r="S31" s="630">
        <f>Debt!K104</f>
        <v>15838</v>
      </c>
      <c r="T31" s="630">
        <f>Debt!L104</f>
        <v>15333</v>
      </c>
      <c r="U31" s="630">
        <f>Debt!M104</f>
        <v>13324</v>
      </c>
      <c r="V31" s="630">
        <f>Debt!N104</f>
        <v>12827</v>
      </c>
      <c r="W31" s="630">
        <f>Debt!O104</f>
        <v>10789</v>
      </c>
      <c r="X31" s="630">
        <f>Debt!P104</f>
        <v>9306</v>
      </c>
      <c r="Y31" s="630">
        <f>Debt!Q104</f>
        <v>8305</v>
      </c>
      <c r="Z31" s="630">
        <f>Debt!R104</f>
        <v>5827</v>
      </c>
      <c r="AA31" s="630">
        <f>Debt!S104</f>
        <v>5827</v>
      </c>
      <c r="AB31" s="630">
        <f>Debt!T104</f>
        <v>4836</v>
      </c>
      <c r="AC31" s="630">
        <f>Debt!U104</f>
        <v>4836</v>
      </c>
      <c r="AD31" s="630">
        <f>Debt!V104</f>
        <v>4836</v>
      </c>
      <c r="AE31" s="630">
        <f>Debt!W104</f>
        <v>4836</v>
      </c>
      <c r="AH31"/>
      <c r="AI31"/>
      <c r="AJ31"/>
      <c r="AK31"/>
      <c r="AL31"/>
      <c r="AM31"/>
    </row>
    <row r="32" spans="1:39" s="209" customFormat="1" ht="12.75" customHeight="1">
      <c r="B32" s="207" t="s">
        <v>498</v>
      </c>
      <c r="C32" s="208">
        <f>(4.873+0.04)</f>
        <v>4.9130000000000003</v>
      </c>
      <c r="D32" s="208">
        <f>(0.016+8.35)</f>
        <v>8.3659999999999997</v>
      </c>
      <c r="E32" s="208">
        <f>(14.442)</f>
        <v>14.442</v>
      </c>
      <c r="F32" s="208">
        <f>(27.85)</f>
        <v>27.85</v>
      </c>
      <c r="G32" s="208">
        <f>(56.995)</f>
        <v>56.994999999999997</v>
      </c>
      <c r="H32" s="208">
        <f>(62.799)</f>
        <v>62.798999999999999</v>
      </c>
      <c r="I32" s="208">
        <f>(64.989)</f>
        <v>64.989000000000004</v>
      </c>
      <c r="J32" s="633">
        <f>(71.115)</f>
        <v>71.114999999999995</v>
      </c>
      <c r="K32" s="633">
        <v>416.173</v>
      </c>
      <c r="L32" s="634">
        <v>273.51600000000002</v>
      </c>
      <c r="M32" s="634">
        <v>355.54599999999999</v>
      </c>
      <c r="N32" s="634">
        <v>582.70000000000005</v>
      </c>
      <c r="O32" s="634">
        <v>1581.1</v>
      </c>
      <c r="P32" s="634">
        <v>2041.7</v>
      </c>
      <c r="Q32" s="634">
        <v>1771.2</v>
      </c>
      <c r="R32" s="634">
        <v>544</v>
      </c>
      <c r="S32" s="630">
        <f t="shared" ref="S32:U32" si="34">R32</f>
        <v>544</v>
      </c>
      <c r="T32" s="630">
        <f t="shared" si="34"/>
        <v>544</v>
      </c>
      <c r="U32" s="630">
        <f t="shared" si="34"/>
        <v>544</v>
      </c>
      <c r="V32" s="630">
        <f t="shared" ref="V32:AE32" si="35">U32</f>
        <v>544</v>
      </c>
      <c r="W32" s="630">
        <f t="shared" si="35"/>
        <v>544</v>
      </c>
      <c r="X32" s="630">
        <f t="shared" si="35"/>
        <v>544</v>
      </c>
      <c r="Y32" s="630">
        <f t="shared" si="35"/>
        <v>544</v>
      </c>
      <c r="Z32" s="630">
        <f t="shared" si="35"/>
        <v>544</v>
      </c>
      <c r="AA32" s="630">
        <f t="shared" si="35"/>
        <v>544</v>
      </c>
      <c r="AB32" s="630">
        <f t="shared" si="35"/>
        <v>544</v>
      </c>
      <c r="AC32" s="630">
        <f t="shared" si="35"/>
        <v>544</v>
      </c>
      <c r="AD32" s="630">
        <f t="shared" si="35"/>
        <v>544</v>
      </c>
      <c r="AE32" s="630">
        <f t="shared" si="35"/>
        <v>544</v>
      </c>
      <c r="AH32"/>
      <c r="AI32"/>
      <c r="AJ32"/>
      <c r="AK32"/>
      <c r="AL32"/>
      <c r="AM32"/>
    </row>
    <row r="33" spans="1:39" s="639" customFormat="1" ht="12.75" customHeight="1">
      <c r="A33" s="639" t="s">
        <v>766</v>
      </c>
      <c r="B33" s="640" t="s">
        <v>499</v>
      </c>
      <c r="C33" s="641">
        <f t="shared" ref="C33:M33" si="36">SUM(C26:C32)</f>
        <v>50.588999999999999</v>
      </c>
      <c r="D33" s="641">
        <f t="shared" si="36"/>
        <v>481.28199999999998</v>
      </c>
      <c r="E33" s="641">
        <f t="shared" si="36"/>
        <v>629.84899999999993</v>
      </c>
      <c r="F33" s="641">
        <f t="shared" si="36"/>
        <v>622.53800000000001</v>
      </c>
      <c r="G33" s="641">
        <f t="shared" si="36"/>
        <v>759.61400000000003</v>
      </c>
      <c r="H33" s="641">
        <f t="shared" si="36"/>
        <v>767.34</v>
      </c>
      <c r="I33" s="641">
        <f t="shared" si="36"/>
        <v>953.94199999999989</v>
      </c>
      <c r="J33" s="642">
        <f t="shared" si="36"/>
        <v>994.70500000000004</v>
      </c>
      <c r="K33" s="642">
        <f t="shared" si="36"/>
        <v>4181.6899999999996</v>
      </c>
      <c r="L33" s="642">
        <f t="shared" si="36"/>
        <v>4493.1829999999991</v>
      </c>
      <c r="M33" s="642">
        <f t="shared" si="36"/>
        <v>6039.8389999999999</v>
      </c>
      <c r="N33" s="642">
        <f t="shared" ref="N33:AA33" si="37">SUM(N26:N32)</f>
        <v>7788.3</v>
      </c>
      <c r="O33" s="642">
        <f t="shared" si="37"/>
        <v>10815.300000000001</v>
      </c>
      <c r="P33" s="642">
        <f t="shared" si="37"/>
        <v>21134.399999999998</v>
      </c>
      <c r="Q33" s="642">
        <f t="shared" si="37"/>
        <v>21486.3</v>
      </c>
      <c r="R33" s="642">
        <f t="shared" si="37"/>
        <v>23220</v>
      </c>
      <c r="S33" s="642">
        <f t="shared" si="37"/>
        <v>23698.137411453146</v>
      </c>
      <c r="T33" s="642">
        <f t="shared" si="37"/>
        <v>23583.494682553555</v>
      </c>
      <c r="U33" s="642">
        <f t="shared" si="37"/>
        <v>22151.187239624855</v>
      </c>
      <c r="V33" s="642">
        <f t="shared" si="37"/>
        <v>22382.462901951654</v>
      </c>
      <c r="W33" s="642">
        <f t="shared" si="37"/>
        <v>20764.80201172697</v>
      </c>
      <c r="X33" s="642">
        <f t="shared" si="37"/>
        <v>19433.749466459347</v>
      </c>
      <c r="Y33" s="642">
        <f t="shared" si="37"/>
        <v>18508.915103138555</v>
      </c>
      <c r="Z33" s="642">
        <f t="shared" si="37"/>
        <v>15172.322454860754</v>
      </c>
      <c r="AA33" s="642">
        <f t="shared" si="37"/>
        <v>13930.338418846735</v>
      </c>
      <c r="AB33" s="642">
        <f>SUM(AB26:AB32)</f>
        <v>12552.521064840024</v>
      </c>
      <c r="AC33" s="642">
        <f>SUM(AC26:AC32)</f>
        <v>12539.32521760304</v>
      </c>
      <c r="AD33" s="642">
        <f>SUM(AD26:AD32)</f>
        <v>12580.333695219797</v>
      </c>
      <c r="AE33" s="642">
        <f>SUM(AE26:AE32)</f>
        <v>12068.612709043386</v>
      </c>
      <c r="AH33"/>
      <c r="AI33"/>
      <c r="AJ33"/>
      <c r="AK33"/>
      <c r="AL33"/>
      <c r="AM33"/>
    </row>
    <row r="34" spans="1:39" s="206" customFormat="1" ht="12.75" customHeight="1">
      <c r="B34" s="217"/>
      <c r="C34" s="218"/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AH34"/>
      <c r="AI34"/>
      <c r="AJ34"/>
      <c r="AK34"/>
      <c r="AL34"/>
      <c r="AM34"/>
    </row>
    <row r="35" spans="1:39" s="209" customFormat="1" ht="12.75" customHeight="1" outlineLevel="1">
      <c r="B35" s="219" t="s">
        <v>500</v>
      </c>
      <c r="C35" s="208"/>
      <c r="D35" s="208"/>
      <c r="E35" s="208"/>
      <c r="F35" s="208"/>
      <c r="G35" s="208"/>
      <c r="H35" s="208"/>
      <c r="I35" s="208"/>
      <c r="J35" s="208"/>
      <c r="K35" s="208">
        <v>11.499000000000001</v>
      </c>
      <c r="L35" s="191"/>
      <c r="M35" s="191"/>
      <c r="N35" s="220">
        <f>+M35+CF!N9</f>
        <v>0</v>
      </c>
      <c r="O35" s="220">
        <f>+N35+CF!O9</f>
        <v>0</v>
      </c>
      <c r="P35" s="220">
        <f>+O35+CF!P9</f>
        <v>0</v>
      </c>
      <c r="Q35" s="220">
        <f>+P35+CF!Q9</f>
        <v>0</v>
      </c>
      <c r="R35" s="220">
        <f>+Q35+CF!R9</f>
        <v>0</v>
      </c>
      <c r="S35" s="220">
        <f>+R35+CF!S9</f>
        <v>0</v>
      </c>
      <c r="T35" s="220">
        <f>+S35+CF!T9</f>
        <v>0</v>
      </c>
      <c r="U35" s="220">
        <f>+T35+CF!U9</f>
        <v>0</v>
      </c>
      <c r="V35" s="220">
        <f>+U35+CF!V9</f>
        <v>0</v>
      </c>
      <c r="W35" s="220">
        <f>+V35+CF!W9</f>
        <v>0</v>
      </c>
      <c r="X35" s="220">
        <f>+W35+CF!X9</f>
        <v>0</v>
      </c>
      <c r="Y35" s="220">
        <f>+X35+CF!Y9</f>
        <v>0</v>
      </c>
      <c r="Z35" s="220">
        <f>+Y35+CF!Z9</f>
        <v>0</v>
      </c>
      <c r="AA35" s="220">
        <f>+Z35+CF!AA9</f>
        <v>0</v>
      </c>
      <c r="AB35" s="220">
        <f>+AA35+CF!AB9</f>
        <v>0</v>
      </c>
      <c r="AC35" s="220">
        <f>+AB35+CF!AC9</f>
        <v>0</v>
      </c>
      <c r="AD35" s="220">
        <f>+AC35+CF!AD9</f>
        <v>0</v>
      </c>
      <c r="AE35" s="220">
        <f>+AD35+CF!AE9</f>
        <v>0</v>
      </c>
      <c r="AH35"/>
      <c r="AI35"/>
      <c r="AJ35"/>
      <c r="AK35"/>
      <c r="AL35"/>
      <c r="AM35"/>
    </row>
    <row r="36" spans="1:39" s="209" customFormat="1" ht="12.75" customHeight="1" outlineLevel="1">
      <c r="B36" s="219" t="s">
        <v>501</v>
      </c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21">
        <f t="shared" ref="N36:U36" si="38">M36</f>
        <v>0</v>
      </c>
      <c r="O36" s="221">
        <f t="shared" si="38"/>
        <v>0</v>
      </c>
      <c r="P36" s="221">
        <f t="shared" si="38"/>
        <v>0</v>
      </c>
      <c r="Q36" s="221">
        <f t="shared" si="38"/>
        <v>0</v>
      </c>
      <c r="R36" s="221">
        <f t="shared" si="38"/>
        <v>0</v>
      </c>
      <c r="S36" s="221">
        <f t="shared" si="38"/>
        <v>0</v>
      </c>
      <c r="T36" s="221">
        <f t="shared" si="38"/>
        <v>0</v>
      </c>
      <c r="U36" s="221">
        <f t="shared" si="38"/>
        <v>0</v>
      </c>
      <c r="V36" s="221">
        <f t="shared" ref="V36:AE36" si="39">U36</f>
        <v>0</v>
      </c>
      <c r="W36" s="221">
        <f t="shared" si="39"/>
        <v>0</v>
      </c>
      <c r="X36" s="221">
        <f t="shared" si="39"/>
        <v>0</v>
      </c>
      <c r="Y36" s="221">
        <f t="shared" si="39"/>
        <v>0</v>
      </c>
      <c r="Z36" s="221">
        <f t="shared" si="39"/>
        <v>0</v>
      </c>
      <c r="AA36" s="221">
        <f t="shared" si="39"/>
        <v>0</v>
      </c>
      <c r="AB36" s="221">
        <f t="shared" si="39"/>
        <v>0</v>
      </c>
      <c r="AC36" s="221">
        <f t="shared" si="39"/>
        <v>0</v>
      </c>
      <c r="AD36" s="221">
        <f t="shared" si="39"/>
        <v>0</v>
      </c>
      <c r="AE36" s="221">
        <f t="shared" si="39"/>
        <v>0</v>
      </c>
      <c r="AH36"/>
      <c r="AI36"/>
      <c r="AJ36"/>
      <c r="AK36"/>
      <c r="AL36"/>
      <c r="AM36"/>
    </row>
    <row r="37" spans="1:39" ht="12.75" customHeight="1">
      <c r="B37" s="200" t="s">
        <v>706</v>
      </c>
      <c r="C37" s="221"/>
      <c r="D37" s="221"/>
      <c r="E37" s="221"/>
      <c r="F37" s="221"/>
      <c r="G37" s="221"/>
      <c r="H37" s="221"/>
      <c r="I37" s="221"/>
      <c r="J37" s="221"/>
      <c r="K37" s="221"/>
      <c r="L37" s="214"/>
      <c r="M37" s="214"/>
      <c r="N37" s="214"/>
      <c r="O37" s="214"/>
      <c r="P37" s="214"/>
      <c r="Q37" s="214"/>
      <c r="R37" s="214"/>
      <c r="S37" s="214"/>
      <c r="T37" s="214"/>
      <c r="U37" s="214"/>
    </row>
    <row r="38" spans="1:39" s="209" customFormat="1" ht="12.75" customHeight="1">
      <c r="B38" s="207" t="s">
        <v>502</v>
      </c>
      <c r="C38" s="208">
        <f>(802)/1000</f>
        <v>0.80200000000000005</v>
      </c>
      <c r="D38" s="208">
        <f>(814)/1000</f>
        <v>0.81399999999999995</v>
      </c>
      <c r="E38" s="208">
        <f>(1651)/1000</f>
        <v>1.651</v>
      </c>
      <c r="F38" s="208">
        <f>(3441)/1000</f>
        <v>3.4409999999999998</v>
      </c>
      <c r="G38" s="208">
        <f>(3801)/1000</f>
        <v>3.8010000000000002</v>
      </c>
      <c r="H38" s="208">
        <f>(4072)/1000</f>
        <v>4.0720000000000001</v>
      </c>
      <c r="I38" s="208">
        <f>(4633)/1000</f>
        <v>4.633</v>
      </c>
      <c r="J38" s="647">
        <f>(4676)/1000</f>
        <v>4.6760000000000002</v>
      </c>
      <c r="K38" s="647">
        <f>(4822)/1000</f>
        <v>4.8220000000000001</v>
      </c>
      <c r="L38" s="648">
        <v>4.8739999999999997</v>
      </c>
      <c r="M38" s="648">
        <v>4.984</v>
      </c>
      <c r="N38" s="648">
        <v>5.0999999999999996</v>
      </c>
      <c r="O38" s="648">
        <v>9.1999999999999993</v>
      </c>
      <c r="P38" s="648">
        <v>9.4</v>
      </c>
      <c r="Q38" s="648">
        <v>9.5</v>
      </c>
      <c r="R38" s="648">
        <v>10</v>
      </c>
      <c r="S38" s="191">
        <f t="shared" ref="S38:U38" si="40">R38</f>
        <v>10</v>
      </c>
      <c r="T38" s="191">
        <f t="shared" si="40"/>
        <v>10</v>
      </c>
      <c r="U38" s="191">
        <f t="shared" si="40"/>
        <v>10</v>
      </c>
      <c r="V38" s="191">
        <f t="shared" ref="V38:AE38" si="41">U38</f>
        <v>10</v>
      </c>
      <c r="W38" s="191">
        <f t="shared" si="41"/>
        <v>10</v>
      </c>
      <c r="X38" s="191">
        <f t="shared" si="41"/>
        <v>10</v>
      </c>
      <c r="Y38" s="191">
        <f t="shared" si="41"/>
        <v>10</v>
      </c>
      <c r="Z38" s="191">
        <f t="shared" si="41"/>
        <v>10</v>
      </c>
      <c r="AA38" s="191">
        <f t="shared" si="41"/>
        <v>10</v>
      </c>
      <c r="AB38" s="191">
        <f t="shared" si="41"/>
        <v>10</v>
      </c>
      <c r="AC38" s="191">
        <f t="shared" si="41"/>
        <v>10</v>
      </c>
      <c r="AD38" s="191">
        <f t="shared" si="41"/>
        <v>10</v>
      </c>
      <c r="AE38" s="191">
        <f t="shared" si="41"/>
        <v>10</v>
      </c>
      <c r="AH38"/>
      <c r="AI38"/>
      <c r="AJ38"/>
      <c r="AK38"/>
      <c r="AL38"/>
      <c r="AM38"/>
    </row>
    <row r="39" spans="1:39" s="209" customFormat="1" ht="12.75" customHeight="1">
      <c r="B39" s="207" t="s">
        <v>503</v>
      </c>
      <c r="C39" s="208"/>
      <c r="D39" s="208"/>
      <c r="E39" s="208">
        <v>-0.30599999999999999</v>
      </c>
      <c r="F39" s="208">
        <v>-50.600999999999999</v>
      </c>
      <c r="G39" s="208">
        <v>-148.09700000000001</v>
      </c>
      <c r="H39" s="208">
        <v>-149.51900000000001</v>
      </c>
      <c r="I39" s="208">
        <v>-157.16499999999999</v>
      </c>
      <c r="J39" s="647">
        <v>-362.52100000000002</v>
      </c>
      <c r="K39" s="647">
        <f>-545.588</f>
        <v>-545.58799999999997</v>
      </c>
      <c r="L39" s="648">
        <v>-2760.7049999999999</v>
      </c>
      <c r="M39" s="648">
        <v>-4823.1530000000002</v>
      </c>
      <c r="N39" s="648">
        <v>-7662.1</v>
      </c>
      <c r="O39" s="648">
        <v>-10698.8</v>
      </c>
      <c r="P39" s="648">
        <v>-14051.8</v>
      </c>
      <c r="Q39" s="648">
        <v>-16281.1</v>
      </c>
      <c r="R39" s="648">
        <v>-20243</v>
      </c>
      <c r="S39" s="191">
        <f>R39+CF!S44</f>
        <v>-24296.194103191236</v>
      </c>
      <c r="T39" s="191">
        <f>S39+CF!T44</f>
        <v>-29126.250409494125</v>
      </c>
      <c r="U39" s="191">
        <f>T39+CF!U44</f>
        <v>-36482.797706786223</v>
      </c>
      <c r="V39" s="191">
        <f>U39+CF!V44</f>
        <v>-42776.732616691683</v>
      </c>
      <c r="W39" s="191">
        <f>V39+CF!W44</f>
        <v>-49700.061017587694</v>
      </c>
      <c r="X39" s="191">
        <f>W39+CF!X44</f>
        <v>-56771.746455645756</v>
      </c>
      <c r="Y39" s="191">
        <f>X39+CF!Y44</f>
        <v>-62755.480287848732</v>
      </c>
      <c r="Z39" s="191">
        <f>Y39+CF!Z44</f>
        <v>-69337.587503272007</v>
      </c>
      <c r="AA39" s="191">
        <f>Z39+CF!AA44</f>
        <v>-76577.905440237606</v>
      </c>
      <c r="AB39" s="191">
        <f>AA39+CF!AB44</f>
        <v>-84542.255170899778</v>
      </c>
      <c r="AC39" s="191">
        <f>AB39+CF!AC44</f>
        <v>-90674.804463509645</v>
      </c>
      <c r="AD39" s="191">
        <f>AC39+CF!AD44</f>
        <v>-95493.236050560256</v>
      </c>
      <c r="AE39" s="191">
        <f>AD39+CF!AE44</f>
        <v>-99733.455847164791</v>
      </c>
      <c r="AH39"/>
      <c r="AI39"/>
      <c r="AJ39"/>
      <c r="AK39"/>
      <c r="AL39"/>
      <c r="AM39"/>
    </row>
    <row r="40" spans="1:39" s="209" customFormat="1" ht="12.75" customHeight="1">
      <c r="B40" s="207" t="s">
        <v>504</v>
      </c>
      <c r="C40" s="208">
        <v>591.27700000000004</v>
      </c>
      <c r="D40" s="208">
        <v>607.48400000000004</v>
      </c>
      <c r="E40" s="208">
        <v>641.90700000000004</v>
      </c>
      <c r="F40" s="208">
        <v>853.601</v>
      </c>
      <c r="G40" s="208">
        <v>2209.8890000000001</v>
      </c>
      <c r="H40" s="208">
        <v>2780.8490000000002</v>
      </c>
      <c r="I40" s="208">
        <v>5180.3969999999999</v>
      </c>
      <c r="J40" s="648">
        <v>5474.1220000000003</v>
      </c>
      <c r="K40" s="648">
        <v>6350.24</v>
      </c>
      <c r="L40" s="648">
        <v>6764.4790000000003</v>
      </c>
      <c r="M40" s="648">
        <v>7539.7870000000003</v>
      </c>
      <c r="N40" s="648">
        <v>8680.4</v>
      </c>
      <c r="O40" s="648">
        <v>9827.2000000000007</v>
      </c>
      <c r="P40" s="648">
        <v>11119.3</v>
      </c>
      <c r="Q40" s="648">
        <v>12378.2</v>
      </c>
      <c r="R40" s="648">
        <v>13806</v>
      </c>
      <c r="S40" s="191">
        <f>+R40+CF!S47+CF!S48+CF!S14+CF!S16</f>
        <v>15087.56665547673</v>
      </c>
      <c r="T40" s="191">
        <f>+S40+CF!T47+CF!T48+CF!T14+CF!T16</f>
        <v>16492.61022843462</v>
      </c>
      <c r="U40" s="191">
        <f>+T40+CF!U47+CF!U48+CF!U14+CF!U16</f>
        <v>18023.871829836444</v>
      </c>
      <c r="V40" s="191">
        <f>+U40+CF!V47+CF!V48+CF!V14+CF!V16</f>
        <v>19691.857355000702</v>
      </c>
      <c r="W40" s="191">
        <f>+V40+CF!W47+CF!W48+CF!W14+CF!W16</f>
        <v>21515.361167294323</v>
      </c>
      <c r="X40" s="191">
        <f>+W40+CF!X47+CF!X48+CF!X14+CF!X16</f>
        <v>23516.002740614389</v>
      </c>
      <c r="Y40" s="191">
        <f>+X40+CF!Y47+CF!Y48+CF!Y14+CF!Y16</f>
        <v>25718.667757254789</v>
      </c>
      <c r="Z40" s="191">
        <f>+Y40+CF!Z47+CF!Z48+CF!Z14+CF!Z16</f>
        <v>28152.020094563668</v>
      </c>
      <c r="AA40" s="191">
        <f>+Z40+CF!AA47+CF!AA48+CF!AA14+CF!AA16</f>
        <v>30849.096366667469</v>
      </c>
      <c r="AB40" s="191">
        <f>+AA40+CF!AB47+CF!AB48+CF!AB14+CF!AB16</f>
        <v>33847.996644251129</v>
      </c>
      <c r="AC40" s="191">
        <f>+AB40+CF!AC47+CF!AC48+CF!AC14+CF!AC16</f>
        <v>37192.687265129578</v>
      </c>
      <c r="AD40" s="191">
        <f>+AC40+CF!AD47+CF!AD48+CF!AD14+CF!AD16</f>
        <v>40313.601769808767</v>
      </c>
      <c r="AE40" s="191">
        <f>+AD40+CF!AE47+CF!AE48+CF!AE14+CF!AE16</f>
        <v>43871.697932437841</v>
      </c>
      <c r="AH40"/>
      <c r="AI40"/>
      <c r="AJ40"/>
      <c r="AK40"/>
      <c r="AL40"/>
      <c r="AM40"/>
    </row>
    <row r="41" spans="1:39" s="209" customFormat="1" ht="12.75" customHeight="1">
      <c r="B41" s="207" t="s">
        <v>505</v>
      </c>
      <c r="C41" s="208">
        <f>(-322367)/1000</f>
        <v>-322.36700000000002</v>
      </c>
      <c r="D41" s="208">
        <v>-287.166</v>
      </c>
      <c r="E41" s="208">
        <v>-234.41</v>
      </c>
      <c r="F41" s="208">
        <v>-170.75399999999999</v>
      </c>
      <c r="G41" s="208">
        <v>-101.773</v>
      </c>
      <c r="H41" s="208">
        <v>124.66</v>
      </c>
      <c r="I41" s="208">
        <f>(-1408993)/1000</f>
        <v>-1408.9929999999999</v>
      </c>
      <c r="J41" s="647">
        <v>-632.24599999999998</v>
      </c>
      <c r="K41" s="647">
        <v>248.26599999999999</v>
      </c>
      <c r="L41" s="648">
        <v>1566.4159999999999</v>
      </c>
      <c r="M41" s="648">
        <v>3022.596</v>
      </c>
      <c r="N41" s="648">
        <v>4472.5</v>
      </c>
      <c r="O41" s="648">
        <v>6472.4</v>
      </c>
      <c r="P41" s="648">
        <v>8074.4</v>
      </c>
      <c r="Q41" s="648">
        <v>10073.6</v>
      </c>
      <c r="R41" s="648">
        <v>13061</v>
      </c>
      <c r="S41" s="191">
        <f>R41+CF!S3</f>
        <v>18212.034611038653</v>
      </c>
      <c r="T41" s="191">
        <f>S41+CF!T3</f>
        <v>24489.657152004886</v>
      </c>
      <c r="U41" s="191">
        <f>T41+CF!U3</f>
        <v>32099.169199758115</v>
      </c>
      <c r="V41" s="191">
        <f>U41+CF!V3</f>
        <v>41146.233003982576</v>
      </c>
      <c r="W41" s="191">
        <f>V41+CF!W3</f>
        <v>51020.908948520278</v>
      </c>
      <c r="X41" s="191">
        <f>W41+CF!X3</f>
        <v>61106.29581374221</v>
      </c>
      <c r="Y41" s="191">
        <f>X41+CF!Y3</f>
        <v>70887.810751690035</v>
      </c>
      <c r="Z41" s="191">
        <f>Y41+CF!Z3</f>
        <v>78681.483098685771</v>
      </c>
      <c r="AA41" s="191">
        <f>Z41+CF!AA3</f>
        <v>82875.110402493621</v>
      </c>
      <c r="AB41" s="191">
        <f>AA41+CF!AB3</f>
        <v>85740.16956783006</v>
      </c>
      <c r="AC41" s="191">
        <f>AB41+CF!AC3</f>
        <v>88366.134201630193</v>
      </c>
      <c r="AD41" s="191">
        <f>AC41+CF!AD3</f>
        <v>91806.166637156013</v>
      </c>
      <c r="AE41" s="191">
        <f>AD41+CF!AE3</f>
        <v>94143.170041174002</v>
      </c>
      <c r="AH41"/>
      <c r="AI41"/>
      <c r="AJ41"/>
      <c r="AK41"/>
      <c r="AL41"/>
      <c r="AM41"/>
    </row>
    <row r="42" spans="1:39" s="209" customFormat="1" ht="12.75" customHeight="1">
      <c r="B42" s="207" t="s">
        <v>506</v>
      </c>
      <c r="C42" s="208">
        <f>(7028-42)/1000</f>
        <v>6.9859999999999998</v>
      </c>
      <c r="D42" s="208">
        <v>10.612</v>
      </c>
      <c r="E42" s="208">
        <v>68.602000000000004</v>
      </c>
      <c r="F42" s="208">
        <v>8.7999999999999995E-2</v>
      </c>
      <c r="G42" s="208">
        <v>12.356999999999999</v>
      </c>
      <c r="H42" s="208">
        <v>83.882000000000005</v>
      </c>
      <c r="I42" s="208">
        <v>-127.544</v>
      </c>
      <c r="J42" s="647">
        <v>-89.424999999999997</v>
      </c>
      <c r="K42" s="647">
        <v>-73.766999999999996</v>
      </c>
      <c r="L42" s="648">
        <v>-62.337000000000003</v>
      </c>
      <c r="M42" s="648">
        <v>-49.747</v>
      </c>
      <c r="N42" s="648">
        <v>94</v>
      </c>
      <c r="O42" s="648">
        <v>914.8</v>
      </c>
      <c r="P42" s="648">
        <v>767.7</v>
      </c>
      <c r="Q42" s="648">
        <v>419.1</v>
      </c>
      <c r="R42" s="648">
        <v>287</v>
      </c>
      <c r="S42" s="191">
        <f>R42+CF!S51</f>
        <v>287</v>
      </c>
      <c r="T42" s="191">
        <f>S42+CF!T51</f>
        <v>287</v>
      </c>
      <c r="U42" s="191">
        <f>T42+CF!U51</f>
        <v>287</v>
      </c>
      <c r="V42" s="191">
        <f>U42+CF!V51</f>
        <v>287</v>
      </c>
      <c r="W42" s="191">
        <f>V42+CF!W51</f>
        <v>287</v>
      </c>
      <c r="X42" s="191">
        <f>W42+CF!X51</f>
        <v>287</v>
      </c>
      <c r="Y42" s="191">
        <f>X42+CF!Y51</f>
        <v>287</v>
      </c>
      <c r="Z42" s="191">
        <f>Y42+CF!Z51</f>
        <v>287</v>
      </c>
      <c r="AA42" s="191">
        <f>Z42+CF!AA51</f>
        <v>287</v>
      </c>
      <c r="AB42" s="191">
        <f>AA42+CF!AB51</f>
        <v>287</v>
      </c>
      <c r="AC42" s="191">
        <f>AB42+CF!AC51</f>
        <v>287</v>
      </c>
      <c r="AD42" s="191">
        <f>AC42+CF!AD51</f>
        <v>287</v>
      </c>
      <c r="AE42" s="191">
        <f>AD42+CF!AE51</f>
        <v>287</v>
      </c>
      <c r="AH42"/>
      <c r="AI42"/>
      <c r="AJ42"/>
      <c r="AK42"/>
      <c r="AL42"/>
      <c r="AM42"/>
    </row>
    <row r="43" spans="1:39" s="212" customFormat="1" ht="12.75" customHeight="1">
      <c r="B43" s="715" t="s">
        <v>507</v>
      </c>
      <c r="C43" s="716">
        <f t="shared" ref="C43:R43" si="42">SUM(C38:C42)</f>
        <v>276.69800000000004</v>
      </c>
      <c r="D43" s="716">
        <f t="shared" si="42"/>
        <v>331.74400000000003</v>
      </c>
      <c r="E43" s="716">
        <f t="shared" si="42"/>
        <v>477.44400000000007</v>
      </c>
      <c r="F43" s="716">
        <f t="shared" si="42"/>
        <v>635.77499999999998</v>
      </c>
      <c r="G43" s="716">
        <f t="shared" si="42"/>
        <v>1976.1770000000004</v>
      </c>
      <c r="H43" s="716">
        <f t="shared" si="42"/>
        <v>2843.944</v>
      </c>
      <c r="I43" s="716">
        <f t="shared" si="42"/>
        <v>3491.328</v>
      </c>
      <c r="J43" s="716">
        <f t="shared" si="42"/>
        <v>4394.6059999999998</v>
      </c>
      <c r="K43" s="716">
        <f t="shared" si="42"/>
        <v>5983.973</v>
      </c>
      <c r="L43" s="716">
        <f t="shared" si="42"/>
        <v>5512.7269999999999</v>
      </c>
      <c r="M43" s="716">
        <f t="shared" si="42"/>
        <v>5694.4669999999996</v>
      </c>
      <c r="N43" s="716">
        <f t="shared" si="42"/>
        <v>5589.9</v>
      </c>
      <c r="O43" s="716">
        <f t="shared" si="42"/>
        <v>6524.800000000002</v>
      </c>
      <c r="P43" s="717">
        <f t="shared" si="42"/>
        <v>5918.9999999999991</v>
      </c>
      <c r="Q43" s="717">
        <f t="shared" si="42"/>
        <v>6599.3000000000011</v>
      </c>
      <c r="R43" s="717">
        <f t="shared" si="42"/>
        <v>6921</v>
      </c>
      <c r="S43" s="717">
        <f>SUM(S38:S42)</f>
        <v>9300.4071633241474</v>
      </c>
      <c r="T43" s="717">
        <f>SUM(T38:T42)</f>
        <v>12153.01697094538</v>
      </c>
      <c r="U43" s="717">
        <f>SUM(U38:U42)</f>
        <v>13937.243322808336</v>
      </c>
      <c r="V43" s="717">
        <f t="shared" ref="V43:AE43" si="43">SUM(V38:V42)</f>
        <v>18358.357742291595</v>
      </c>
      <c r="W43" s="717">
        <f t="shared" si="43"/>
        <v>23133.209098226907</v>
      </c>
      <c r="X43" s="717">
        <f t="shared" si="43"/>
        <v>28147.552098710847</v>
      </c>
      <c r="Y43" s="717">
        <f t="shared" si="43"/>
        <v>34147.998221096088</v>
      </c>
      <c r="Z43" s="717">
        <f t="shared" si="43"/>
        <v>37792.915689977432</v>
      </c>
      <c r="AA43" s="717">
        <f t="shared" si="43"/>
        <v>37443.30132892348</v>
      </c>
      <c r="AB43" s="717">
        <f t="shared" si="43"/>
        <v>35342.911041181411</v>
      </c>
      <c r="AC43" s="717">
        <f t="shared" si="43"/>
        <v>35181.017003250126</v>
      </c>
      <c r="AD43" s="717">
        <f t="shared" si="43"/>
        <v>36923.532356404525</v>
      </c>
      <c r="AE43" s="717">
        <f t="shared" si="43"/>
        <v>38578.412126447052</v>
      </c>
      <c r="AH43"/>
      <c r="AI43"/>
      <c r="AJ43"/>
      <c r="AK43"/>
      <c r="AL43"/>
      <c r="AM43"/>
    </row>
    <row r="44" spans="1:39" s="212" customFormat="1" ht="12.75" customHeight="1" thickBot="1">
      <c r="B44" s="718" t="s">
        <v>508</v>
      </c>
      <c r="C44" s="719">
        <f t="shared" ref="C44:R44" si="44">C33+C43+C35+C36</f>
        <v>327.28700000000003</v>
      </c>
      <c r="D44" s="719">
        <f t="shared" si="44"/>
        <v>813.02600000000007</v>
      </c>
      <c r="E44" s="719">
        <f t="shared" si="44"/>
        <v>1107.2930000000001</v>
      </c>
      <c r="F44" s="719">
        <f t="shared" si="44"/>
        <v>1258.3130000000001</v>
      </c>
      <c r="G44" s="719">
        <f t="shared" si="44"/>
        <v>2735.7910000000002</v>
      </c>
      <c r="H44" s="719">
        <f t="shared" si="44"/>
        <v>3611.2840000000001</v>
      </c>
      <c r="I44" s="719">
        <f t="shared" si="44"/>
        <v>4445.2699999999995</v>
      </c>
      <c r="J44" s="719">
        <f t="shared" si="44"/>
        <v>5389.3109999999997</v>
      </c>
      <c r="K44" s="720">
        <f t="shared" si="44"/>
        <v>10177.162</v>
      </c>
      <c r="L44" s="720">
        <f t="shared" si="44"/>
        <v>10005.91</v>
      </c>
      <c r="M44" s="720">
        <f t="shared" si="44"/>
        <v>11734.306</v>
      </c>
      <c r="N44" s="720">
        <f t="shared" si="44"/>
        <v>13378.2</v>
      </c>
      <c r="O44" s="720">
        <f t="shared" si="44"/>
        <v>17340.100000000002</v>
      </c>
      <c r="P44" s="720">
        <f t="shared" si="44"/>
        <v>27053.399999999998</v>
      </c>
      <c r="Q44" s="720">
        <f t="shared" si="44"/>
        <v>28085.599999999999</v>
      </c>
      <c r="R44" s="720">
        <f t="shared" si="44"/>
        <v>30141</v>
      </c>
      <c r="S44" s="720">
        <f>S33+S43+S35+S36</f>
        <v>32998.54457477729</v>
      </c>
      <c r="T44" s="720">
        <f>T33+T43+T35+T36</f>
        <v>35736.511653498936</v>
      </c>
      <c r="U44" s="720">
        <f>U33+U43+U35+U36</f>
        <v>36088.43056243319</v>
      </c>
      <c r="V44" s="720">
        <f t="shared" ref="V44:AE44" si="45">V33+V43+V35+V36</f>
        <v>40740.820644243249</v>
      </c>
      <c r="W44" s="720">
        <f t="shared" si="45"/>
        <v>43898.011109953877</v>
      </c>
      <c r="X44" s="720">
        <f t="shared" si="45"/>
        <v>47581.301565170193</v>
      </c>
      <c r="Y44" s="720">
        <f>Y33+Y43+Y35+Y36</f>
        <v>52656.913324234643</v>
      </c>
      <c r="Z44" s="720">
        <f t="shared" si="45"/>
        <v>52965.238144838186</v>
      </c>
      <c r="AA44" s="720">
        <f t="shared" si="45"/>
        <v>51373.639747770212</v>
      </c>
      <c r="AB44" s="720">
        <f t="shared" si="45"/>
        <v>47895.432106021435</v>
      </c>
      <c r="AC44" s="720">
        <f t="shared" si="45"/>
        <v>47720.34222085317</v>
      </c>
      <c r="AD44" s="720">
        <f t="shared" si="45"/>
        <v>49503.866051624325</v>
      </c>
      <c r="AE44" s="720">
        <f t="shared" si="45"/>
        <v>50647.02483549044</v>
      </c>
      <c r="AH44"/>
      <c r="AI44"/>
      <c r="AJ44"/>
      <c r="AK44"/>
      <c r="AL44"/>
      <c r="AM44"/>
    </row>
    <row r="45" spans="1:39" ht="12.75" customHeight="1" thickTop="1">
      <c r="B45" s="203" t="s">
        <v>618</v>
      </c>
      <c r="C45" s="222">
        <f t="shared" ref="C45:T45" si="46">ROUND(C17-C33-C43-C35-C36,3)</f>
        <v>0</v>
      </c>
      <c r="D45" s="222">
        <f t="shared" si="46"/>
        <v>0</v>
      </c>
      <c r="E45" s="222">
        <f t="shared" si="46"/>
        <v>0</v>
      </c>
      <c r="F45" s="222">
        <f t="shared" si="46"/>
        <v>0</v>
      </c>
      <c r="G45" s="222">
        <f t="shared" si="46"/>
        <v>0</v>
      </c>
      <c r="H45" s="222">
        <f t="shared" si="46"/>
        <v>0</v>
      </c>
      <c r="I45" s="222">
        <f t="shared" si="46"/>
        <v>0</v>
      </c>
      <c r="J45" s="222">
        <f t="shared" si="46"/>
        <v>0</v>
      </c>
      <c r="K45" s="222">
        <f t="shared" si="46"/>
        <v>0</v>
      </c>
      <c r="L45" s="222">
        <f t="shared" si="46"/>
        <v>0</v>
      </c>
      <c r="M45" s="223">
        <f t="shared" si="46"/>
        <v>0</v>
      </c>
      <c r="N45" s="223">
        <f t="shared" si="46"/>
        <v>0</v>
      </c>
      <c r="O45" s="223">
        <f t="shared" si="46"/>
        <v>0</v>
      </c>
      <c r="P45" s="222">
        <f t="shared" si="46"/>
        <v>0</v>
      </c>
      <c r="Q45" s="761">
        <f t="shared" si="46"/>
        <v>0</v>
      </c>
      <c r="R45" s="761">
        <f t="shared" si="46"/>
        <v>0</v>
      </c>
      <c r="S45" s="761">
        <f t="shared" si="46"/>
        <v>0</v>
      </c>
      <c r="T45" s="761">
        <f t="shared" si="46"/>
        <v>0</v>
      </c>
      <c r="U45" s="761">
        <f>ROUND(U17-U33-U43-U35-U36,3)</f>
        <v>0</v>
      </c>
      <c r="V45" s="761">
        <f>ROUND(V17-V33-V43-V35-V36,3)</f>
        <v>0</v>
      </c>
      <c r="W45" s="761">
        <f t="shared" ref="W45:AE45" si="47">ROUND(W17-W33-W43-W35-W36,3)</f>
        <v>0</v>
      </c>
      <c r="X45" s="761">
        <f t="shared" si="47"/>
        <v>0</v>
      </c>
      <c r="Y45" s="761">
        <f t="shared" si="47"/>
        <v>0</v>
      </c>
      <c r="Z45" s="761">
        <f t="shared" si="47"/>
        <v>0</v>
      </c>
      <c r="AA45" s="761">
        <f t="shared" si="47"/>
        <v>0</v>
      </c>
      <c r="AB45" s="761">
        <f t="shared" si="47"/>
        <v>0</v>
      </c>
      <c r="AC45" s="761">
        <f t="shared" si="47"/>
        <v>0</v>
      </c>
      <c r="AD45" s="761">
        <f t="shared" si="47"/>
        <v>0</v>
      </c>
      <c r="AE45" s="761">
        <f t="shared" si="47"/>
        <v>0</v>
      </c>
    </row>
    <row r="46" spans="1:39" ht="12.75" customHeight="1">
      <c r="B46" s="224"/>
      <c r="C46" s="225"/>
      <c r="D46" s="226"/>
      <c r="E46" s="201"/>
      <c r="F46" s="201"/>
      <c r="G46" s="201"/>
      <c r="H46" s="227"/>
      <c r="I46" s="201"/>
      <c r="J46" s="228"/>
      <c r="K46" s="229"/>
      <c r="L46" s="228"/>
      <c r="M46" s="230"/>
      <c r="N46" s="230"/>
      <c r="O46" s="231"/>
      <c r="P46" s="223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  <c r="AC46" s="229"/>
      <c r="AD46" s="229"/>
      <c r="AE46" s="229"/>
    </row>
    <row r="47" spans="1:39" ht="12.75" customHeight="1">
      <c r="B47" s="232" t="s">
        <v>509</v>
      </c>
      <c r="C47" s="233"/>
      <c r="D47" s="233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</row>
    <row r="48" spans="1:39" s="206" customFormat="1" ht="12.75" customHeight="1" outlineLevel="1">
      <c r="B48" s="234" t="s">
        <v>510</v>
      </c>
      <c r="C48" s="189">
        <f>IS!D6</f>
        <v>135.74600000000001</v>
      </c>
      <c r="D48" s="189">
        <f>IS!I6</f>
        <v>271.47500000000002</v>
      </c>
      <c r="E48" s="189">
        <f>IS!N6</f>
        <v>377.50200000000001</v>
      </c>
      <c r="F48" s="189">
        <f>IS!S6</f>
        <v>536.94100000000003</v>
      </c>
      <c r="G48" s="189">
        <f>IS!X6</f>
        <v>898.87300000000005</v>
      </c>
      <c r="H48" s="189">
        <f>IS!AC6</f>
        <v>1405.8199999999997</v>
      </c>
      <c r="I48" s="189">
        <f>IS!AH6</f>
        <v>2237.817</v>
      </c>
      <c r="J48" s="677">
        <f>IS!AM6</f>
        <v>2677.239</v>
      </c>
      <c r="K48" s="677">
        <f>IS!AR6</f>
        <v>3600.7040000000002</v>
      </c>
      <c r="L48" s="677">
        <f>IS!AW6</f>
        <v>4813.6680000000006</v>
      </c>
      <c r="M48" s="677">
        <f>IS!BB6</f>
        <v>5506.7129999999997</v>
      </c>
      <c r="N48" s="677">
        <f>IS!BG6</f>
        <v>6471.0000000000009</v>
      </c>
      <c r="O48" s="677">
        <f>IS!BL6</f>
        <v>7670.4</v>
      </c>
      <c r="P48" s="677">
        <f>IS!BQ6</f>
        <v>9256</v>
      </c>
      <c r="Q48" s="677">
        <f>IS!BV6</f>
        <v>11229.2</v>
      </c>
      <c r="R48" s="677">
        <f>IS!CA6</f>
        <v>13003</v>
      </c>
      <c r="S48" s="677">
        <f>IS!CF6</f>
        <v>14773.800606987132</v>
      </c>
      <c r="T48" s="677">
        <f>IS!CK6</f>
        <v>16728.389940531037</v>
      </c>
      <c r="U48" s="677">
        <f>IS!CP6</f>
        <v>19249.720319150274</v>
      </c>
      <c r="V48" s="677">
        <f>IS!CU6</f>
        <v>22109.75537287923</v>
      </c>
      <c r="W48" s="677">
        <f>IS!CZ6</f>
        <v>23673.258566473927</v>
      </c>
      <c r="X48" s="677">
        <f>IS!DE6</f>
        <v>23990.408293152665</v>
      </c>
      <c r="Y48" s="677">
        <f>IS!DJ6</f>
        <v>23486.06606041644</v>
      </c>
      <c r="Z48" s="677">
        <f>IS!DO6</f>
        <v>19136.106668492135</v>
      </c>
      <c r="AA48" s="677">
        <f>IS!DT6</f>
        <v>12310.869751294756</v>
      </c>
      <c r="AB48" s="677">
        <f>IS!DY6</f>
        <v>9906.3127110681326</v>
      </c>
      <c r="AC48" s="677">
        <f>IS!ED6</f>
        <v>9551.6076513932003</v>
      </c>
      <c r="AD48" s="677">
        <f>IS!EI6</f>
        <v>9482.9989652938912</v>
      </c>
      <c r="AE48" s="677">
        <f>IS!EN6</f>
        <v>7259.9902573576628</v>
      </c>
      <c r="AH48"/>
      <c r="AI48"/>
      <c r="AJ48"/>
      <c r="AK48"/>
      <c r="AL48"/>
      <c r="AM48"/>
    </row>
    <row r="49" spans="2:39" s="209" customFormat="1" ht="12.75" customHeight="1" outlineLevel="1">
      <c r="B49" s="235" t="s">
        <v>184</v>
      </c>
      <c r="C49" s="189">
        <f>IS!D9</f>
        <v>20.867000000000001</v>
      </c>
      <c r="D49" s="189">
        <f>IS!I9</f>
        <v>45.195999999999998</v>
      </c>
      <c r="E49" s="189">
        <f>IS!N9</f>
        <v>59.725999999999999</v>
      </c>
      <c r="F49" s="189">
        <f>IS!S9</f>
        <v>81.414000000000001</v>
      </c>
      <c r="G49" s="189">
        <f>IS!X9</f>
        <v>125.08699999999999</v>
      </c>
      <c r="H49" s="189">
        <f>IS!AC9</f>
        <v>129.08800000000002</v>
      </c>
      <c r="I49" s="189">
        <f>IS!AH9</f>
        <v>224.98099999999999</v>
      </c>
      <c r="J49" s="677">
        <f>IS!AM9</f>
        <v>203.63100000000003</v>
      </c>
      <c r="K49" s="677">
        <f>IS!AR9</f>
        <v>247.47399999999999</v>
      </c>
      <c r="L49" s="677">
        <f>IS!AW9</f>
        <v>302.78699999999998</v>
      </c>
      <c r="M49" s="677">
        <f>IS!BB9</f>
        <v>288.26400000000001</v>
      </c>
      <c r="N49" s="677">
        <f>IS!BG9</f>
        <v>321.89999999999998</v>
      </c>
      <c r="O49" s="677">
        <f>IS!BL9</f>
        <v>359.7</v>
      </c>
      <c r="P49" s="677">
        <f>IS!BQ9</f>
        <v>388.4</v>
      </c>
      <c r="Q49" s="677">
        <f>IS!BV9</f>
        <v>405.2</v>
      </c>
      <c r="R49" s="677">
        <f>IS!CA9</f>
        <v>432</v>
      </c>
      <c r="S49" s="677">
        <f>IS!CF9</f>
        <v>494.51184935965966</v>
      </c>
      <c r="T49" s="677">
        <f>IS!CK9</f>
        <v>582.75343213964038</v>
      </c>
      <c r="U49" s="677">
        <f>IS!CP9</f>
        <v>744.67274859365864</v>
      </c>
      <c r="V49" s="677">
        <f>IS!CU9</f>
        <v>984.86792814679575</v>
      </c>
      <c r="W49" s="677">
        <f>IS!CZ9</f>
        <v>1171.5461982343481</v>
      </c>
      <c r="X49" s="677">
        <f>IS!DE9</f>
        <v>1319.9638342538235</v>
      </c>
      <c r="Y49" s="677">
        <f>IS!DJ9</f>
        <v>1502.3048857436966</v>
      </c>
      <c r="Z49" s="677">
        <f>IS!DO9</f>
        <v>1436.4133601329295</v>
      </c>
      <c r="AA49" s="677">
        <f>IS!DT9</f>
        <v>1378.8456310648792</v>
      </c>
      <c r="AB49" s="677">
        <f>IS!DY9</f>
        <v>1403.4890069868904</v>
      </c>
      <c r="AC49" s="677">
        <f>IS!ED9</f>
        <v>1455.0072888024381</v>
      </c>
      <c r="AD49" s="677">
        <f>IS!EI9</f>
        <v>1512.2666430556026</v>
      </c>
      <c r="AE49" s="677">
        <f>IS!EN9</f>
        <v>1391.3323203717</v>
      </c>
      <c r="AH49"/>
      <c r="AI49"/>
      <c r="AJ49"/>
      <c r="AK49"/>
      <c r="AL49"/>
      <c r="AM49"/>
    </row>
    <row r="50" spans="2:39" s="209" customFormat="1" ht="12.75" customHeight="1" outlineLevel="1">
      <c r="B50" s="235" t="s">
        <v>511</v>
      </c>
      <c r="C50" s="189">
        <f>IS!D12+IS!D13+C49</f>
        <v>171.96299999999999</v>
      </c>
      <c r="D50" s="189">
        <f>IS!I12+IS!I13+D49</f>
        <v>270.23500000000001</v>
      </c>
      <c r="E50" s="189">
        <f>IS!N12+IS!N13+E49</f>
        <v>334.774</v>
      </c>
      <c r="F50" s="189">
        <f>IS!S12+IS!S13+F49</f>
        <v>451.58800000000002</v>
      </c>
      <c r="G50" s="189">
        <f>IS!X12+IS!X13+G49</f>
        <v>639.45399999999995</v>
      </c>
      <c r="H50" s="189">
        <f>IS!AC12+IS!AC13+H49</f>
        <v>877.47</v>
      </c>
      <c r="I50" s="189">
        <f>IS!AH12+IS!AH13+I49</f>
        <v>1389.6339999999998</v>
      </c>
      <c r="J50" s="677">
        <f>IS!AM12+IS!AM13+J49</f>
        <v>1578.6360000000002</v>
      </c>
      <c r="K50" s="677">
        <f>IS!AR12+IS!AR13+K49</f>
        <v>2006.9780000000001</v>
      </c>
      <c r="L50" s="677">
        <f>IS!AW12+IS!AW13+L49</f>
        <v>2641.8389999999999</v>
      </c>
      <c r="M50" s="677">
        <f>IS!BB12+IS!BB13+M49</f>
        <v>2855.3220000000001</v>
      </c>
      <c r="N50" s="677">
        <f>IS!BG12+IS!BG13+N49</f>
        <v>3349.5000000000005</v>
      </c>
      <c r="O50" s="677">
        <f>IS!BL12+IS!BL13+O49</f>
        <v>3789</v>
      </c>
      <c r="P50" s="677">
        <f>IS!BQ12+IS!BQ13+P49</f>
        <v>4443.8999999999996</v>
      </c>
      <c r="Q50" s="677">
        <f>IS!BV12+IS!BV13+Q49</f>
        <v>5052.5</v>
      </c>
      <c r="R50" s="677">
        <f>IS!CA12+IS!CA13+R49</f>
        <v>5460</v>
      </c>
      <c r="S50" s="677">
        <f>IS!CF12+IS!CF13+S49</f>
        <v>6367.097590637044</v>
      </c>
      <c r="T50" s="677">
        <f>IS!CK12+IS!CK13+T49</f>
        <v>7041.5847881786731</v>
      </c>
      <c r="U50" s="677">
        <f>IS!CP12+IS!CP13+U49</f>
        <v>7996.4658866645877</v>
      </c>
      <c r="V50" s="677">
        <f>IS!CU12+IS!CU13+V49</f>
        <v>9153.6453805243127</v>
      </c>
      <c r="W50" s="677">
        <f>IS!CZ12+IS!CZ13+W49</f>
        <v>9749.7104116457613</v>
      </c>
      <c r="X50" s="677">
        <f>IS!DE12+IS!DE13+X49</f>
        <v>9846.0195534803934</v>
      </c>
      <c r="Y50" s="677">
        <f>IS!DJ12+IS!DJ13+Y49</f>
        <v>9741.4014038106798</v>
      </c>
      <c r="Z50" s="677">
        <f>IS!DO12+IS!DO13+Z49</f>
        <v>8062.9162733901549</v>
      </c>
      <c r="AA50" s="677">
        <f>IS!DT12+IS!DT13+AA49</f>
        <v>5586.9234157227829</v>
      </c>
      <c r="AB50" s="677">
        <f>IS!DY12+IS!DY13+AB49</f>
        <v>4755.7841686269867</v>
      </c>
      <c r="AC50" s="677">
        <f>IS!ED12+IS!ED13+AC49</f>
        <v>4654.9476661212439</v>
      </c>
      <c r="AD50" s="677">
        <f>IS!EI12+IS!EI13+AD49</f>
        <v>4657.4524662885478</v>
      </c>
      <c r="AE50" s="677">
        <f>IS!EN12+IS!EN13+AE49</f>
        <v>3775.1434261875838</v>
      </c>
      <c r="AH50"/>
      <c r="AI50"/>
      <c r="AJ50"/>
      <c r="AK50"/>
      <c r="AL50"/>
      <c r="AM50"/>
    </row>
    <row r="51" spans="2:39" s="209" customFormat="1" ht="12.75" customHeight="1" outlineLevel="1">
      <c r="B51" s="235" t="s">
        <v>196</v>
      </c>
      <c r="C51" s="189">
        <f>IS!D29</f>
        <v>-9.8000000000000004E-2</v>
      </c>
      <c r="D51" s="189">
        <f>IS!I29</f>
        <v>0.71799999999999997</v>
      </c>
      <c r="E51" s="189">
        <f>IS!N29</f>
        <v>5.4710000000000001</v>
      </c>
      <c r="F51" s="189">
        <f>IS!S29</f>
        <v>31.658999999999999</v>
      </c>
      <c r="G51" s="189">
        <f>IS!X29</f>
        <v>85.826999999999998</v>
      </c>
      <c r="H51" s="189">
        <f>IS!AC29</f>
        <v>176.14400000000001</v>
      </c>
      <c r="I51" s="189">
        <f>IS!AH29</f>
        <v>228.387</v>
      </c>
      <c r="J51" s="677">
        <f>IS!AM29</f>
        <v>262.92899999999997</v>
      </c>
      <c r="K51" s="677">
        <f>IS!AR29</f>
        <v>308.52699999999999</v>
      </c>
      <c r="L51" s="677">
        <f>IS!AW29</f>
        <v>395.43900000000002</v>
      </c>
      <c r="M51" s="677">
        <f>IS!BB29</f>
        <v>423.95400000000001</v>
      </c>
      <c r="N51" s="677">
        <f>IS!BG29</f>
        <v>517.79999999999995</v>
      </c>
      <c r="O51" s="677">
        <f>IS!BL29</f>
        <v>591.20000000000005</v>
      </c>
      <c r="P51" s="677">
        <f>IS!BQ29</f>
        <v>698.6</v>
      </c>
      <c r="Q51" s="677">
        <f>IS!BV29</f>
        <v>885.00000000000011</v>
      </c>
      <c r="R51" s="677">
        <f>IS!CA29</f>
        <v>1128</v>
      </c>
      <c r="S51" s="677">
        <f>IS!CF29</f>
        <v>1443.1387079430158</v>
      </c>
      <c r="T51" s="677">
        <f>IS!CK29</f>
        <v>1528.9271936765929</v>
      </c>
      <c r="U51" s="677">
        <f>IS!CP29</f>
        <v>1795.6152926451387</v>
      </c>
      <c r="V51" s="677">
        <f>IS!CU29</f>
        <v>2081.6787701233329</v>
      </c>
      <c r="W51" s="677">
        <f>IS!CZ29</f>
        <v>2247.3753642792826</v>
      </c>
      <c r="X51" s="677">
        <f>IS!DE29</f>
        <v>2291.3385426935051</v>
      </c>
      <c r="Y51" s="677">
        <f>IS!DJ29</f>
        <v>2233.7969535345023</v>
      </c>
      <c r="Z51" s="677">
        <f>IS!DO29</f>
        <v>1808.1941751734878</v>
      </c>
      <c r="AA51" s="677">
        <f>IS!DT29</f>
        <v>1099.7058693387828</v>
      </c>
      <c r="AB51" s="677">
        <f>IS!DY29</f>
        <v>840.28825559940117</v>
      </c>
      <c r="AC51" s="677">
        <f>IS!ED29</f>
        <v>796.38661204700054</v>
      </c>
      <c r="AD51" s="677">
        <f>IS!EI29</f>
        <v>785.06440539769687</v>
      </c>
      <c r="AE51" s="677">
        <f>IS!EN29</f>
        <v>565.84917925936566</v>
      </c>
      <c r="AH51"/>
      <c r="AI51"/>
      <c r="AJ51"/>
      <c r="AK51"/>
      <c r="AL51"/>
      <c r="AM51"/>
    </row>
    <row r="52" spans="2:39" s="209" customFormat="1" ht="12.75" customHeight="1" outlineLevel="1">
      <c r="B52" s="235" t="s">
        <v>512</v>
      </c>
      <c r="C52" s="189">
        <f>IS!D32</f>
        <v>-90.492000000000004</v>
      </c>
      <c r="D52" s="189">
        <f>IS!I32</f>
        <v>16.650000000000009</v>
      </c>
      <c r="E52" s="189">
        <f>IS!N32</f>
        <v>61.838000000000008</v>
      </c>
      <c r="F52" s="189">
        <f>IS!S32</f>
        <v>68.12</v>
      </c>
      <c r="G52" s="189">
        <f>IS!X32</f>
        <v>210.11800000000005</v>
      </c>
      <c r="H52" s="189">
        <f>IS!AC32</f>
        <v>452.93899999999962</v>
      </c>
      <c r="I52" s="189">
        <f>IS!AH32</f>
        <v>718.76100000000019</v>
      </c>
      <c r="J52" s="677">
        <f>IS!AM32</f>
        <v>971.30100000000004</v>
      </c>
      <c r="K52" s="677">
        <f>IS!AR32</f>
        <v>1315.2969999999996</v>
      </c>
      <c r="L52" s="677">
        <f>IS!AW32</f>
        <v>1752.9950000000001</v>
      </c>
      <c r="M52" s="677">
        <f>IS!BB32</f>
        <v>2162.4859999999994</v>
      </c>
      <c r="N52" s="677">
        <f>IS!BG32</f>
        <v>2540.2000000000007</v>
      </c>
      <c r="O52" s="677">
        <f>IS!BL32</f>
        <v>3098.5999999999995</v>
      </c>
      <c r="P52" s="677">
        <f>IS!BQ32</f>
        <v>3882.4</v>
      </c>
      <c r="Q52" s="677">
        <f>IS!BV32</f>
        <v>4769.7999999999993</v>
      </c>
      <c r="R52" s="677">
        <f>IS!CA32</f>
        <v>5990</v>
      </c>
      <c r="S52" s="677">
        <f>IS!CF32</f>
        <v>6574.2985584070721</v>
      </c>
      <c r="T52" s="677">
        <f>IS!CK32</f>
        <v>7737.2982225451815</v>
      </c>
      <c r="U52" s="677">
        <f>IS!CP32</f>
        <v>9086.9016324769145</v>
      </c>
      <c r="V52" s="677">
        <f>IS!CU32</f>
        <v>10534.556200321109</v>
      </c>
      <c r="W52" s="677">
        <f>IS!CZ32</f>
        <v>11373.081388928491</v>
      </c>
      <c r="X52" s="677">
        <f>IS!DE32</f>
        <v>11595.56171605501</v>
      </c>
      <c r="Y52" s="677">
        <f>IS!DJ32</f>
        <v>11304.366401220057</v>
      </c>
      <c r="Z52" s="677">
        <f>IS!DO32</f>
        <v>9150.5584016355278</v>
      </c>
      <c r="AA52" s="677">
        <f>IS!DT32</f>
        <v>5565.1781872599013</v>
      </c>
      <c r="AB52" s="677">
        <f>IS!DY32</f>
        <v>4252.367838942424</v>
      </c>
      <c r="AC52" s="677">
        <f>IS!ED32</f>
        <v>4030.198915510578</v>
      </c>
      <c r="AD52" s="677">
        <f>IS!EI32</f>
        <v>3972.9016879216779</v>
      </c>
      <c r="AE52" s="677">
        <f>IS!EN32</f>
        <v>2863.5397859489112</v>
      </c>
      <c r="AH52"/>
      <c r="AI52"/>
      <c r="AJ52"/>
      <c r="AK52"/>
      <c r="AL52"/>
      <c r="AM52"/>
    </row>
    <row r="53" spans="2:39" s="209" customFormat="1" ht="12.75" customHeight="1" outlineLevel="1">
      <c r="B53" s="235" t="s">
        <v>513</v>
      </c>
      <c r="C53" s="236">
        <f>CF!C29</f>
        <v>-37.817999999999998</v>
      </c>
      <c r="D53" s="236">
        <f>+CF!D29</f>
        <v>18.725000000000001</v>
      </c>
      <c r="E53" s="236">
        <f>+CF!E29</f>
        <v>155.93899999999999</v>
      </c>
      <c r="F53" s="236">
        <f>+CF!F29</f>
        <v>41.916999999999987</v>
      </c>
      <c r="G53" s="236">
        <f>+CF!G29</f>
        <v>83.561000000000007</v>
      </c>
      <c r="H53" s="236">
        <f>+CF!H29</f>
        <v>477.50000000000006</v>
      </c>
      <c r="I53" s="236">
        <f>CF!I29</f>
        <v>182.18700000000013</v>
      </c>
      <c r="J53" s="677">
        <f>CF!J29</f>
        <v>909.8549999999999</v>
      </c>
      <c r="K53" s="677">
        <f>CF!K29</f>
        <v>1181.556</v>
      </c>
      <c r="L53" s="677">
        <f>CF!L29</f>
        <v>1808.6849999999999</v>
      </c>
      <c r="M53" s="677">
        <f>CF!M29</f>
        <v>2018.5530000000001</v>
      </c>
      <c r="N53" s="677">
        <f>CF!N29</f>
        <v>2225.9</v>
      </c>
      <c r="O53" s="677">
        <f>CF!O29</f>
        <v>2806.3</v>
      </c>
      <c r="P53" s="677">
        <f>CF!P29</f>
        <v>2483.8999999999996</v>
      </c>
      <c r="Q53" s="677">
        <f>CF!Q29</f>
        <v>3976.2999999999997</v>
      </c>
      <c r="R53" s="677">
        <f>CF!R29</f>
        <v>5246</v>
      </c>
      <c r="S53" s="677">
        <f>CF!S29</f>
        <v>6390.4635587761659</v>
      </c>
      <c r="T53" s="677">
        <f>CF!T29</f>
        <v>7435.1391648857089</v>
      </c>
      <c r="U53" s="677">
        <f>CF!U29</f>
        <v>8819.7803688769418</v>
      </c>
      <c r="V53" s="677">
        <f>CF!V29</f>
        <v>10311.939159094742</v>
      </c>
      <c r="W53" s="677">
        <f>CF!W29</f>
        <v>11194.563372014825</v>
      </c>
      <c r="X53" s="677">
        <f>CF!X29</f>
        <v>11473.232786669818</v>
      </c>
      <c r="Y53" s="677">
        <f>CF!Y29</f>
        <v>11263.485707032289</v>
      </c>
      <c r="Z53" s="677">
        <f>CF!Z29</f>
        <v>9400.5371190289043</v>
      </c>
      <c r="AA53" s="677">
        <f>CF!AA29</f>
        <v>5892.3898620306318</v>
      </c>
      <c r="AB53" s="677">
        <f>CF!AB29</f>
        <v>4570.7739043669262</v>
      </c>
      <c r="AC53" s="677">
        <f>CF!AC29</f>
        <v>4347.1560306793481</v>
      </c>
      <c r="AD53" s="677">
        <f>CF!AD29</f>
        <v>4577.3027409085471</v>
      </c>
      <c r="AE53" s="677">
        <f>CF!AE29</f>
        <v>3543.7259779648248</v>
      </c>
      <c r="AH53"/>
      <c r="AI53"/>
      <c r="AJ53"/>
      <c r="AK53"/>
      <c r="AL53"/>
      <c r="AM53"/>
    </row>
    <row r="54" spans="2:39" s="209" customFormat="1" ht="12.75" customHeight="1" outlineLevel="1">
      <c r="B54" s="237" t="s">
        <v>514</v>
      </c>
      <c r="C54" s="236">
        <f>CF!C34</f>
        <v>-11.077</v>
      </c>
      <c r="D54" s="236">
        <f>CF!D34</f>
        <v>-11.227</v>
      </c>
      <c r="E54" s="236">
        <f>CF!E34</f>
        <v>-36.015000000000001</v>
      </c>
      <c r="F54" s="236">
        <f>CF!F34</f>
        <v>-35.860999999999997</v>
      </c>
      <c r="G54" s="236">
        <f>CF!G34</f>
        <v>-58.582000000000001</v>
      </c>
      <c r="H54" s="236">
        <f>CF!H34</f>
        <v>-64.358999999999995</v>
      </c>
      <c r="I54" s="236">
        <f>CF!I34</f>
        <v>-77.379000000000005</v>
      </c>
      <c r="J54" s="677">
        <f>CF!J34</f>
        <v>-93.384</v>
      </c>
      <c r="K54" s="677">
        <f>CF!K34</f>
        <v>-98.632000000000005</v>
      </c>
      <c r="L54" s="677">
        <f>CF!L34</f>
        <v>-132.119</v>
      </c>
      <c r="M54" s="677">
        <f>CF!M34</f>
        <v>-111.524</v>
      </c>
      <c r="N54" s="677">
        <f>CF!N34</f>
        <v>-119.7</v>
      </c>
      <c r="O54" s="677">
        <f>CF!O34</f>
        <v>-150.30000000000001</v>
      </c>
      <c r="P54" s="677">
        <f>CF!P34</f>
        <v>-286.3</v>
      </c>
      <c r="Q54" s="677">
        <f>CF!Q34</f>
        <v>-236.2</v>
      </c>
      <c r="R54" s="677">
        <f>CF!R34</f>
        <v>-279</v>
      </c>
      <c r="S54" s="677">
        <f>CF!S34</f>
        <v>-316.99533717983616</v>
      </c>
      <c r="T54" s="677">
        <f>CF!T34</f>
        <v>-358.93415314990074</v>
      </c>
      <c r="U54" s="677">
        <f>CF!U34</f>
        <v>-481.24300797875685</v>
      </c>
      <c r="V54" s="677">
        <f>CF!V34</f>
        <v>-552.74388432198077</v>
      </c>
      <c r="W54" s="677">
        <f>CF!W34</f>
        <v>-591.8314641618482</v>
      </c>
      <c r="X54" s="677">
        <f>CF!X34</f>
        <v>-599.76020732881659</v>
      </c>
      <c r="Y54" s="677">
        <f>CF!Y34</f>
        <v>-587.15165151041106</v>
      </c>
      <c r="Z54" s="677">
        <f>CF!Z34</f>
        <v>-574.08320005476401</v>
      </c>
      <c r="AA54" s="677">
        <f>CF!AA34</f>
        <v>-369.32609253884266</v>
      </c>
      <c r="AB54" s="677">
        <f>CF!AB34</f>
        <v>-297.18938133204398</v>
      </c>
      <c r="AC54" s="677">
        <f>CF!AC34</f>
        <v>-286.54822954179599</v>
      </c>
      <c r="AD54" s="677">
        <f>CF!AD34</f>
        <v>-284.48996895881675</v>
      </c>
      <c r="AE54" s="677">
        <f>CF!AE34</f>
        <v>-217.79970772072988</v>
      </c>
      <c r="AH54"/>
      <c r="AI54"/>
      <c r="AJ54"/>
      <c r="AK54"/>
      <c r="AL54"/>
      <c r="AM54"/>
    </row>
    <row r="55" spans="2:39" ht="12.75" customHeight="1" outlineLevel="1">
      <c r="B55" s="238" t="s">
        <v>515</v>
      </c>
      <c r="C55" s="239"/>
      <c r="D55" s="239"/>
      <c r="E55" s="239"/>
      <c r="F55" s="239"/>
      <c r="G55" s="239"/>
      <c r="H55" s="239"/>
      <c r="I55" s="239"/>
      <c r="J55" s="239"/>
      <c r="K55" s="239"/>
      <c r="L55" s="239"/>
      <c r="M55" s="239"/>
      <c r="N55" s="239"/>
      <c r="O55" s="239"/>
      <c r="P55" s="239"/>
      <c r="Q55" s="239"/>
      <c r="R55" s="239"/>
      <c r="S55" s="239"/>
      <c r="T55" s="239"/>
      <c r="U55" s="239"/>
    </row>
    <row r="56" spans="2:39" s="209" customFormat="1" ht="12.75" customHeight="1" outlineLevel="1">
      <c r="B56" s="235" t="s">
        <v>516</v>
      </c>
      <c r="C56" s="191" t="s">
        <v>707</v>
      </c>
      <c r="D56" s="191">
        <f t="shared" ref="D56:L56" si="48">D$48/D62</f>
        <v>7.6482603183546987</v>
      </c>
      <c r="E56" s="191">
        <f t="shared" si="48"/>
        <v>8.1933845552806357</v>
      </c>
      <c r="F56" s="191">
        <f t="shared" si="48"/>
        <v>6.8915456984071986</v>
      </c>
      <c r="G56" s="191">
        <f t="shared" si="48"/>
        <v>7.0347010807891879</v>
      </c>
      <c r="H56" s="191">
        <f t="shared" si="48"/>
        <v>8.4054002343768666</v>
      </c>
      <c r="I56" s="191">
        <f t="shared" si="48"/>
        <v>7.1669084655220452</v>
      </c>
      <c r="J56" s="191">
        <f t="shared" si="48"/>
        <v>6.1038195053999269</v>
      </c>
      <c r="K56" s="191">
        <f t="shared" si="48"/>
        <v>5.0970500927906421</v>
      </c>
      <c r="L56" s="191">
        <f t="shared" si="48"/>
        <v>5.0909679323047055</v>
      </c>
      <c r="M56" s="680">
        <f t="shared" ref="M56:R56" si="49">M$48/M62</f>
        <v>5.7330480020738745</v>
      </c>
      <c r="N56" s="680">
        <f t="shared" si="49"/>
        <v>6.0966647823629172</v>
      </c>
      <c r="O56" s="680">
        <f t="shared" si="49"/>
        <v>6.5744407302648487</v>
      </c>
      <c r="P56" s="680">
        <f t="shared" si="49"/>
        <v>6.5141811527904849</v>
      </c>
      <c r="Q56" s="680">
        <f t="shared" si="49"/>
        <v>6.9290386276687652</v>
      </c>
      <c r="R56" s="680">
        <f t="shared" si="49"/>
        <v>6.7688703800104113</v>
      </c>
      <c r="S56" s="191">
        <f t="shared" ref="S56:U58" si="50">+R56</f>
        <v>6.7688703800104113</v>
      </c>
      <c r="T56" s="191">
        <f t="shared" si="50"/>
        <v>6.7688703800104113</v>
      </c>
      <c r="U56" s="191">
        <f t="shared" si="50"/>
        <v>6.7688703800104113</v>
      </c>
      <c r="V56" s="191">
        <f t="shared" ref="V56:AE56" si="51">+U56</f>
        <v>6.7688703800104113</v>
      </c>
      <c r="W56" s="191">
        <f t="shared" si="51"/>
        <v>6.7688703800104113</v>
      </c>
      <c r="X56" s="191">
        <f t="shared" si="51"/>
        <v>6.7688703800104113</v>
      </c>
      <c r="Y56" s="191">
        <f t="shared" si="51"/>
        <v>6.7688703800104113</v>
      </c>
      <c r="Z56" s="191">
        <f t="shared" si="51"/>
        <v>6.7688703800104113</v>
      </c>
      <c r="AA56" s="191">
        <f t="shared" si="51"/>
        <v>6.7688703800104113</v>
      </c>
      <c r="AB56" s="191">
        <f t="shared" si="51"/>
        <v>6.7688703800104113</v>
      </c>
      <c r="AC56" s="191">
        <f t="shared" si="51"/>
        <v>6.7688703800104113</v>
      </c>
      <c r="AD56" s="191">
        <f t="shared" si="51"/>
        <v>6.7688703800104113</v>
      </c>
      <c r="AE56" s="191">
        <f t="shared" si="51"/>
        <v>6.7688703800104113</v>
      </c>
      <c r="AH56"/>
      <c r="AI56"/>
      <c r="AJ56"/>
      <c r="AK56"/>
      <c r="AL56"/>
      <c r="AM56"/>
    </row>
    <row r="57" spans="2:39" s="209" customFormat="1" ht="12.75" customHeight="1" outlineLevel="1">
      <c r="B57" s="235" t="s">
        <v>518</v>
      </c>
      <c r="C57" s="191">
        <f t="shared" ref="C57:L57" si="52">C49/C79</f>
        <v>4.3418643362463589</v>
      </c>
      <c r="D57" s="191">
        <f t="shared" si="52"/>
        <v>4.6613036303630366</v>
      </c>
      <c r="E57" s="191">
        <f t="shared" si="52"/>
        <v>2.4473856744795937</v>
      </c>
      <c r="F57" s="191">
        <f t="shared" si="52"/>
        <v>4.0220333959094949</v>
      </c>
      <c r="G57" s="191">
        <f t="shared" si="52"/>
        <v>4.9303141381892708</v>
      </c>
      <c r="H57" s="191">
        <f t="shared" si="52"/>
        <v>2.6303692232455789</v>
      </c>
      <c r="I57" s="191">
        <f t="shared" si="52"/>
        <v>2.2458572911675452</v>
      </c>
      <c r="J57" s="191">
        <f t="shared" si="52"/>
        <v>2.0224963499299782</v>
      </c>
      <c r="K57" s="191">
        <f t="shared" si="52"/>
        <v>0.95134740322146616</v>
      </c>
      <c r="L57" s="191">
        <f t="shared" si="52"/>
        <v>1.597205298222848</v>
      </c>
      <c r="M57" s="680">
        <f t="shared" ref="M57:R57" si="53">M49/M79</f>
        <v>1.1108653345921886</v>
      </c>
      <c r="N57" s="680">
        <f t="shared" si="53"/>
        <v>0.94565217391304346</v>
      </c>
      <c r="O57" s="680">
        <f t="shared" si="53"/>
        <v>0.91503434240651227</v>
      </c>
      <c r="P57" s="680">
        <f t="shared" si="53"/>
        <v>0.87595850248082996</v>
      </c>
      <c r="Q57" s="680">
        <f t="shared" si="53"/>
        <v>0.81381803575015066</v>
      </c>
      <c r="R57" s="680">
        <f t="shared" si="53"/>
        <v>0.79852125693160814</v>
      </c>
      <c r="S57" s="191">
        <f t="shared" si="50"/>
        <v>0.79852125693160814</v>
      </c>
      <c r="T57" s="191">
        <f t="shared" si="50"/>
        <v>0.79852125693160814</v>
      </c>
      <c r="U57" s="191">
        <f t="shared" si="50"/>
        <v>0.79852125693160814</v>
      </c>
      <c r="V57" s="191">
        <f t="shared" ref="V57:AE57" si="54">+U57</f>
        <v>0.79852125693160814</v>
      </c>
      <c r="W57" s="191">
        <f t="shared" si="54"/>
        <v>0.79852125693160814</v>
      </c>
      <c r="X57" s="191">
        <f t="shared" si="54"/>
        <v>0.79852125693160814</v>
      </c>
      <c r="Y57" s="191">
        <f t="shared" si="54"/>
        <v>0.79852125693160814</v>
      </c>
      <c r="Z57" s="191">
        <f t="shared" si="54"/>
        <v>0.79852125693160814</v>
      </c>
      <c r="AA57" s="191">
        <f t="shared" si="54"/>
        <v>0.79852125693160814</v>
      </c>
      <c r="AB57" s="191">
        <f t="shared" si="54"/>
        <v>0.79852125693160814</v>
      </c>
      <c r="AC57" s="191">
        <f t="shared" si="54"/>
        <v>0.79852125693160814</v>
      </c>
      <c r="AD57" s="191">
        <f t="shared" si="54"/>
        <v>0.79852125693160814</v>
      </c>
      <c r="AE57" s="191">
        <f t="shared" si="54"/>
        <v>0.79852125693160814</v>
      </c>
      <c r="AH57"/>
      <c r="AI57"/>
      <c r="AJ57"/>
      <c r="AK57"/>
      <c r="AL57"/>
      <c r="AM57"/>
    </row>
    <row r="58" spans="2:39" s="209" customFormat="1" ht="12.75" customHeight="1" outlineLevel="1">
      <c r="B58" s="235" t="s">
        <v>519</v>
      </c>
      <c r="C58" s="191">
        <f t="shared" ref="C58:L58" si="55">C49/C67</f>
        <v>1.2634415112618069</v>
      </c>
      <c r="D58" s="191">
        <f t="shared" si="55"/>
        <v>2.9462842242503258</v>
      </c>
      <c r="E58" s="191">
        <f t="shared" si="55"/>
        <v>3.202466487935657</v>
      </c>
      <c r="F58" s="191">
        <f t="shared" si="55"/>
        <v>4.9600341172170097</v>
      </c>
      <c r="G58" s="191">
        <f t="shared" si="55"/>
        <v>5.124416222859483</v>
      </c>
      <c r="H58" s="191">
        <f t="shared" si="55"/>
        <v>3.4081740416094632</v>
      </c>
      <c r="I58" s="191">
        <f t="shared" si="55"/>
        <v>4.1772220056072333</v>
      </c>
      <c r="J58" s="191">
        <f t="shared" si="55"/>
        <v>5.559283627726666</v>
      </c>
      <c r="K58" s="191">
        <f t="shared" si="55"/>
        <v>2.6197427618694751</v>
      </c>
      <c r="L58" s="191">
        <f t="shared" si="55"/>
        <v>2.4915614071178767</v>
      </c>
      <c r="M58" s="680">
        <f t="shared" ref="M58:R58" si="56">M49/M67</f>
        <v>1.9791283332875624</v>
      </c>
      <c r="N58" s="680">
        <f t="shared" si="56"/>
        <v>2.0608194622279128</v>
      </c>
      <c r="O58" s="680">
        <f t="shared" si="56"/>
        <v>1.8148335015136225</v>
      </c>
      <c r="P58" s="680">
        <f t="shared" si="56"/>
        <v>1.6129568106312291</v>
      </c>
      <c r="Q58" s="680">
        <f t="shared" si="56"/>
        <v>1.6398219344394982</v>
      </c>
      <c r="R58" s="680">
        <f t="shared" si="56"/>
        <v>1.4163934426229507</v>
      </c>
      <c r="S58" s="191">
        <f t="shared" si="50"/>
        <v>1.4163934426229507</v>
      </c>
      <c r="T58" s="191">
        <f t="shared" si="50"/>
        <v>1.4163934426229507</v>
      </c>
      <c r="U58" s="191">
        <f t="shared" si="50"/>
        <v>1.4163934426229507</v>
      </c>
      <c r="V58" s="191">
        <f t="shared" ref="V58:AE58" si="57">+U58</f>
        <v>1.4163934426229507</v>
      </c>
      <c r="W58" s="191">
        <f t="shared" si="57"/>
        <v>1.4163934426229507</v>
      </c>
      <c r="X58" s="191">
        <f t="shared" si="57"/>
        <v>1.4163934426229507</v>
      </c>
      <c r="Y58" s="191">
        <f t="shared" si="57"/>
        <v>1.4163934426229507</v>
      </c>
      <c r="Z58" s="191">
        <f t="shared" si="57"/>
        <v>1.4163934426229507</v>
      </c>
      <c r="AA58" s="191">
        <f t="shared" si="57"/>
        <v>1.4163934426229507</v>
      </c>
      <c r="AB58" s="191">
        <f t="shared" si="57"/>
        <v>1.4163934426229507</v>
      </c>
      <c r="AC58" s="191">
        <f t="shared" si="57"/>
        <v>1.4163934426229507</v>
      </c>
      <c r="AD58" s="191">
        <f t="shared" si="57"/>
        <v>1.4163934426229507</v>
      </c>
      <c r="AE58" s="191">
        <f t="shared" si="57"/>
        <v>1.4163934426229507</v>
      </c>
      <c r="AH58"/>
      <c r="AI58"/>
      <c r="AJ58"/>
      <c r="AK58"/>
      <c r="AL58"/>
      <c r="AM58"/>
    </row>
    <row r="59" spans="2:39" s="242" customFormat="1" ht="12.75" customHeight="1" outlineLevel="1">
      <c r="B59" s="240" t="s">
        <v>520</v>
      </c>
      <c r="C59" s="241" t="s">
        <v>517</v>
      </c>
      <c r="D59" s="241">
        <f t="shared" ref="D59:Q59" si="58">365/(D$48/D62)</f>
        <v>47.723271019430882</v>
      </c>
      <c r="E59" s="241">
        <f t="shared" si="58"/>
        <v>44.548134844318703</v>
      </c>
      <c r="F59" s="241">
        <f t="shared" si="58"/>
        <v>52.963444773261863</v>
      </c>
      <c r="G59" s="241">
        <f t="shared" si="58"/>
        <v>51.885644579378841</v>
      </c>
      <c r="H59" s="241">
        <f t="shared" si="58"/>
        <v>43.424464013885142</v>
      </c>
      <c r="I59" s="241">
        <f t="shared" si="58"/>
        <v>50.928514261890051</v>
      </c>
      <c r="J59" s="241">
        <f t="shared" si="58"/>
        <v>59.798622760239191</v>
      </c>
      <c r="K59" s="241">
        <f t="shared" si="58"/>
        <v>71.610047646238058</v>
      </c>
      <c r="L59" s="241">
        <f t="shared" si="58"/>
        <v>71.695599904272584</v>
      </c>
      <c r="M59" s="241">
        <f>365/(M$48/M62)</f>
        <v>63.665959166566331</v>
      </c>
      <c r="N59" s="241">
        <f t="shared" si="58"/>
        <v>59.868799258229018</v>
      </c>
      <c r="O59" s="241">
        <f t="shared" si="58"/>
        <v>55.518030350438053</v>
      </c>
      <c r="P59" s="241">
        <f t="shared" si="58"/>
        <v>56.031601123595507</v>
      </c>
      <c r="Q59" s="241">
        <f t="shared" si="58"/>
        <v>52.676860328429449</v>
      </c>
      <c r="R59" s="241">
        <f>365/(R$48/R62)</f>
        <v>53.923325386449278</v>
      </c>
      <c r="S59" s="241">
        <f>365/(S$48/S62)</f>
        <v>53.923325386449271</v>
      </c>
      <c r="T59" s="241">
        <f>365/(T$48/T62)</f>
        <v>53.923325386449278</v>
      </c>
      <c r="U59" s="241">
        <f>365/(U$48/U62)</f>
        <v>53.923325386449278</v>
      </c>
      <c r="V59" s="241">
        <f t="shared" ref="V59:AB59" si="59">365/(V$48/V62)</f>
        <v>53.923325386449278</v>
      </c>
      <c r="W59" s="241">
        <f t="shared" si="59"/>
        <v>53.923325386449278</v>
      </c>
      <c r="X59" s="241">
        <f t="shared" si="59"/>
        <v>53.923325386449278</v>
      </c>
      <c r="Y59" s="241">
        <f t="shared" si="59"/>
        <v>53.923325386449278</v>
      </c>
      <c r="Z59" s="241">
        <f t="shared" si="59"/>
        <v>53.923325386449278</v>
      </c>
      <c r="AA59" s="241">
        <f t="shared" si="59"/>
        <v>53.923325386449278</v>
      </c>
      <c r="AB59" s="241">
        <f t="shared" si="59"/>
        <v>53.923325386449278</v>
      </c>
      <c r="AC59" s="241">
        <f>365/(AC$48/AC62)</f>
        <v>53.923325386449278</v>
      </c>
      <c r="AD59" s="241">
        <f>365/(AD$48/AD62)</f>
        <v>53.923325386449278</v>
      </c>
      <c r="AE59" s="241">
        <f>365/(AE$48/AE62)</f>
        <v>53.923325386449278</v>
      </c>
      <c r="AH59"/>
      <c r="AI59"/>
      <c r="AJ59"/>
      <c r="AK59"/>
      <c r="AL59"/>
      <c r="AM59"/>
    </row>
    <row r="60" spans="2:39" s="242" customFormat="1" ht="12.75" customHeight="1" outlineLevel="1">
      <c r="B60" s="240" t="s">
        <v>521</v>
      </c>
      <c r="C60" s="241">
        <f t="shared" ref="C60:Q60" si="60">365/(C$48/C79)</f>
        <v>12.92259072090522</v>
      </c>
      <c r="D60" s="241">
        <f t="shared" si="60"/>
        <v>13.036338521042452</v>
      </c>
      <c r="E60" s="241">
        <f t="shared" si="60"/>
        <v>23.595795518964138</v>
      </c>
      <c r="F60" s="241">
        <f t="shared" si="60"/>
        <v>13.760040674859994</v>
      </c>
      <c r="G60" s="241">
        <f t="shared" si="60"/>
        <v>10.302250707274553</v>
      </c>
      <c r="H60" s="241">
        <f t="shared" si="60"/>
        <v>12.741844617376339</v>
      </c>
      <c r="I60" s="241">
        <f t="shared" si="60"/>
        <v>16.339244898041258</v>
      </c>
      <c r="J60" s="241">
        <f t="shared" si="60"/>
        <v>13.72656494246498</v>
      </c>
      <c r="K60" s="241">
        <f t="shared" si="60"/>
        <v>26.369135035815216</v>
      </c>
      <c r="L60" s="241">
        <f t="shared" si="60"/>
        <v>14.374515442278112</v>
      </c>
      <c r="M60" s="241">
        <f>365/(M$48/M79)</f>
        <v>17.200038389507501</v>
      </c>
      <c r="N60" s="241">
        <f t="shared" si="60"/>
        <v>19.200432699737284</v>
      </c>
      <c r="O60" s="241">
        <f t="shared" si="60"/>
        <v>18.705869315811434</v>
      </c>
      <c r="P60" s="241">
        <f t="shared" si="60"/>
        <v>17.484982713915297</v>
      </c>
      <c r="Q60" s="241">
        <f t="shared" si="60"/>
        <v>16.184011327610158</v>
      </c>
      <c r="R60" s="241">
        <f>365/(R$48/R79)</f>
        <v>15.186110897485197</v>
      </c>
      <c r="S60" s="241">
        <f>365/(S$48/S79)</f>
        <v>15.299979606332068</v>
      </c>
      <c r="T60" s="241">
        <f>365/(T$48/T79)</f>
        <v>15.923446730508356</v>
      </c>
      <c r="U60" s="241">
        <f>365/(U$48/U79)</f>
        <v>17.682652808654591</v>
      </c>
      <c r="V60" s="241">
        <f>365/(V$48/V79)</f>
        <v>20.361062654586966</v>
      </c>
      <c r="W60" s="241">
        <f t="shared" ref="W60:AB60" si="61">365/(W$48/W79)</f>
        <v>22.62078959268479</v>
      </c>
      <c r="X60" s="241">
        <f t="shared" si="61"/>
        <v>25.149582250819194</v>
      </c>
      <c r="Y60" s="241">
        <f t="shared" si="61"/>
        <v>29.238439118762091</v>
      </c>
      <c r="Z60" s="241">
        <f t="shared" si="61"/>
        <v>34.310909905711796</v>
      </c>
      <c r="AA60" s="241">
        <f t="shared" si="61"/>
        <v>51.195677380505401</v>
      </c>
      <c r="AB60" s="241">
        <f t="shared" si="61"/>
        <v>64.759481797825771</v>
      </c>
      <c r="AC60" s="241">
        <f>365/(AC$48/AC79)</f>
        <v>69.629788641417349</v>
      </c>
      <c r="AD60" s="241">
        <f>365/(AD$48/AD79)</f>
        <v>72.893541770136508</v>
      </c>
      <c r="AE60" s="241">
        <f>365/(AE$48/AE79)</f>
        <v>87.599417576174929</v>
      </c>
      <c r="AH60"/>
      <c r="AI60"/>
      <c r="AJ60"/>
      <c r="AK60"/>
      <c r="AL60"/>
      <c r="AM60"/>
    </row>
    <row r="61" spans="2:39" s="242" customFormat="1" ht="12.75" customHeight="1" outlineLevel="1">
      <c r="B61" s="240" t="s">
        <v>522</v>
      </c>
      <c r="C61" s="241">
        <f t="shared" ref="C61:Q61" si="62">365/(C49/C67)</f>
        <v>288.89346815546071</v>
      </c>
      <c r="D61" s="241">
        <f t="shared" si="62"/>
        <v>123.88485706699709</v>
      </c>
      <c r="E61" s="241">
        <f t="shared" si="62"/>
        <v>113.97465090580316</v>
      </c>
      <c r="F61" s="241">
        <f t="shared" si="62"/>
        <v>73.588203503083008</v>
      </c>
      <c r="G61" s="241">
        <f t="shared" si="62"/>
        <v>71.227625572601482</v>
      </c>
      <c r="H61" s="241">
        <f t="shared" si="62"/>
        <v>107.09546975706492</v>
      </c>
      <c r="I61" s="241">
        <f t="shared" si="62"/>
        <v>87.378645307826005</v>
      </c>
      <c r="J61" s="241">
        <f t="shared" si="62"/>
        <v>65.655941384170376</v>
      </c>
      <c r="K61" s="241">
        <f t="shared" si="62"/>
        <v>139.3266565376565</v>
      </c>
      <c r="L61" s="241">
        <f t="shared" si="62"/>
        <v>146.49448292033676</v>
      </c>
      <c r="M61" s="241">
        <f>365/(M49/M67)</f>
        <v>184.42462464962671</v>
      </c>
      <c r="N61" s="241">
        <f t="shared" si="62"/>
        <v>177.11401056228644</v>
      </c>
      <c r="O61" s="241">
        <f t="shared" si="62"/>
        <v>201.12037809285516</v>
      </c>
      <c r="P61" s="241">
        <f t="shared" si="62"/>
        <v>226.29248197734296</v>
      </c>
      <c r="Q61" s="241">
        <f t="shared" si="62"/>
        <v>222.58514313919051</v>
      </c>
      <c r="R61" s="241">
        <f>365/(R49/R67)</f>
        <v>257.6967592592593</v>
      </c>
      <c r="S61" s="241">
        <f>365/(S49/S67)</f>
        <v>257.6967592592593</v>
      </c>
      <c r="T61" s="241">
        <f>365/(T49/T67)</f>
        <v>257.6967592592593</v>
      </c>
      <c r="U61" s="241">
        <f>365/(U49/U67)</f>
        <v>257.6967592592593</v>
      </c>
      <c r="V61" s="241">
        <f t="shared" ref="V61:AB61" si="63">365/(V49/V67)</f>
        <v>257.6967592592593</v>
      </c>
      <c r="W61" s="241">
        <f t="shared" si="63"/>
        <v>257.6967592592593</v>
      </c>
      <c r="X61" s="241">
        <f t="shared" si="63"/>
        <v>257.6967592592593</v>
      </c>
      <c r="Y61" s="241">
        <f t="shared" si="63"/>
        <v>257.6967592592593</v>
      </c>
      <c r="Z61" s="241">
        <f t="shared" si="63"/>
        <v>257.6967592592593</v>
      </c>
      <c r="AA61" s="241">
        <f t="shared" si="63"/>
        <v>257.6967592592593</v>
      </c>
      <c r="AB61" s="241">
        <f t="shared" si="63"/>
        <v>257.6967592592593</v>
      </c>
      <c r="AC61" s="241">
        <f>365/(AC49/AC67)</f>
        <v>257.6967592592593</v>
      </c>
      <c r="AD61" s="241">
        <f>365/(AD49/AD67)</f>
        <v>257.6967592592593</v>
      </c>
      <c r="AE61" s="241">
        <f>365/(AE49/AE67)</f>
        <v>257.6967592592593</v>
      </c>
      <c r="AH61"/>
      <c r="AI61"/>
      <c r="AJ61"/>
      <c r="AK61"/>
      <c r="AL61"/>
      <c r="AM61"/>
    </row>
    <row r="62" spans="2:39" s="209" customFormat="1" ht="12.75" customHeight="1" outlineLevel="1">
      <c r="B62" s="243" t="s">
        <v>523</v>
      </c>
      <c r="C62" s="244">
        <f t="shared" ref="C62:R62" si="64">C5</f>
        <v>17.658999999999999</v>
      </c>
      <c r="D62" s="244">
        <f t="shared" si="64"/>
        <v>35.494999999999997</v>
      </c>
      <c r="E62" s="244">
        <f t="shared" si="64"/>
        <v>46.073999999999998</v>
      </c>
      <c r="F62" s="244">
        <f t="shared" si="64"/>
        <v>77.912999999999997</v>
      </c>
      <c r="G62" s="244">
        <f t="shared" si="64"/>
        <v>127.777</v>
      </c>
      <c r="H62" s="244">
        <f t="shared" si="64"/>
        <v>167.25200000000001</v>
      </c>
      <c r="I62" s="244">
        <f t="shared" si="64"/>
        <v>312.24299999999999</v>
      </c>
      <c r="J62" s="244">
        <f t="shared" si="64"/>
        <v>438.61700000000002</v>
      </c>
      <c r="K62" s="244">
        <f t="shared" si="64"/>
        <v>706.42899999999997</v>
      </c>
      <c r="L62" s="244">
        <f t="shared" si="64"/>
        <v>945.53099999999995</v>
      </c>
      <c r="M62" s="678">
        <f t="shared" si="64"/>
        <v>960.52099999999996</v>
      </c>
      <c r="N62" s="678">
        <f t="shared" si="64"/>
        <v>1061.4000000000001</v>
      </c>
      <c r="O62" s="678">
        <f t="shared" si="64"/>
        <v>1166.7</v>
      </c>
      <c r="P62" s="678">
        <f t="shared" si="64"/>
        <v>1420.9</v>
      </c>
      <c r="Q62" s="678">
        <f t="shared" si="64"/>
        <v>1620.6</v>
      </c>
      <c r="R62" s="678">
        <f t="shared" si="64"/>
        <v>1921</v>
      </c>
      <c r="S62" s="244">
        <f t="shared" ref="S62:AB62" si="65">S$48/S56</f>
        <v>2182.6094721235313</v>
      </c>
      <c r="T62" s="244">
        <f t="shared" si="65"/>
        <v>2471.3709971360549</v>
      </c>
      <c r="U62" s="244">
        <f t="shared" si="65"/>
        <v>2843.8600886785875</v>
      </c>
      <c r="V62" s="244">
        <f t="shared" si="65"/>
        <v>3266.3877621549641</v>
      </c>
      <c r="W62" s="244">
        <f t="shared" si="65"/>
        <v>3497.3721222945792</v>
      </c>
      <c r="X62" s="244">
        <f t="shared" si="65"/>
        <v>3544.2262809464178</v>
      </c>
      <c r="Y62" s="244">
        <f t="shared" si="65"/>
        <v>3469.7172115711746</v>
      </c>
      <c r="Z62" s="244">
        <f t="shared" si="65"/>
        <v>2827.0753603148037</v>
      </c>
      <c r="AA62" s="244">
        <f t="shared" si="65"/>
        <v>1818.7480421623645</v>
      </c>
      <c r="AB62" s="244">
        <f t="shared" si="65"/>
        <v>1463.5104758872478</v>
      </c>
      <c r="AC62" s="244">
        <f>AC$48/AC56</f>
        <v>1411.1080749308881</v>
      </c>
      <c r="AD62" s="244">
        <f>AD$48/AD56</f>
        <v>1400.972161218916</v>
      </c>
      <c r="AE62" s="244">
        <f>AE$48/AE56</f>
        <v>1072.5556628765723</v>
      </c>
      <c r="AH62"/>
      <c r="AI62"/>
      <c r="AJ62"/>
      <c r="AK62"/>
      <c r="AL62"/>
      <c r="AM62"/>
    </row>
    <row r="63" spans="2:39" s="247" customFormat="1" ht="12.75" customHeight="1" outlineLevel="1">
      <c r="B63" s="245" t="s">
        <v>524</v>
      </c>
      <c r="C63" s="246">
        <f t="shared" ref="C63:R63" si="66">C62/C48</f>
        <v>0.13008854772884651</v>
      </c>
      <c r="D63" s="246">
        <f t="shared" si="66"/>
        <v>0.13074868772446815</v>
      </c>
      <c r="E63" s="246">
        <f t="shared" si="66"/>
        <v>0.12204968450498274</v>
      </c>
      <c r="F63" s="246">
        <f t="shared" si="66"/>
        <v>0.14510532814592292</v>
      </c>
      <c r="G63" s="246">
        <f t="shared" si="66"/>
        <v>0.14215245090240777</v>
      </c>
      <c r="H63" s="246">
        <f t="shared" si="66"/>
        <v>0.11897113428461684</v>
      </c>
      <c r="I63" s="246">
        <f t="shared" si="66"/>
        <v>0.13953017605997273</v>
      </c>
      <c r="J63" s="246">
        <f t="shared" si="66"/>
        <v>0.1638318431787375</v>
      </c>
      <c r="K63" s="246">
        <f t="shared" si="66"/>
        <v>0.19619191135955633</v>
      </c>
      <c r="L63" s="246">
        <f t="shared" si="66"/>
        <v>0.1964263011075961</v>
      </c>
      <c r="M63" s="682">
        <f t="shared" si="66"/>
        <v>0.17442728538785296</v>
      </c>
      <c r="N63" s="246">
        <f t="shared" si="66"/>
        <v>0.16402410755679184</v>
      </c>
      <c r="O63" s="246">
        <f t="shared" si="66"/>
        <v>0.15210419274092618</v>
      </c>
      <c r="P63" s="246">
        <f t="shared" si="66"/>
        <v>0.1535112359550562</v>
      </c>
      <c r="Q63" s="246">
        <f t="shared" si="66"/>
        <v>0.14432016528336836</v>
      </c>
      <c r="R63" s="246">
        <f t="shared" si="66"/>
        <v>0.14773513804506652</v>
      </c>
      <c r="S63" s="246">
        <f>S62/S48</f>
        <v>0.14773513804506652</v>
      </c>
      <c r="T63" s="246">
        <f>T62/T48</f>
        <v>0.14773513804506652</v>
      </c>
      <c r="U63" s="246">
        <f>U62/U48</f>
        <v>0.14773513804506652</v>
      </c>
      <c r="V63" s="246">
        <f t="shared" ref="V63:AB63" si="67">V62/V48</f>
        <v>0.14773513804506652</v>
      </c>
      <c r="W63" s="246">
        <f t="shared" si="67"/>
        <v>0.14773513804506652</v>
      </c>
      <c r="X63" s="246">
        <f t="shared" si="67"/>
        <v>0.14773513804506652</v>
      </c>
      <c r="Y63" s="246">
        <f t="shared" si="67"/>
        <v>0.14773513804506652</v>
      </c>
      <c r="Z63" s="246">
        <f t="shared" si="67"/>
        <v>0.14773513804506652</v>
      </c>
      <c r="AA63" s="246">
        <f t="shared" si="67"/>
        <v>0.14773513804506652</v>
      </c>
      <c r="AB63" s="246">
        <f t="shared" si="67"/>
        <v>0.14773513804506652</v>
      </c>
      <c r="AC63" s="246">
        <f>AC62/AC48</f>
        <v>0.14773513804506652</v>
      </c>
      <c r="AD63" s="246">
        <f>AD62/AD48</f>
        <v>0.14773513804506652</v>
      </c>
      <c r="AE63" s="246">
        <f>AE62/AE48</f>
        <v>0.14773513804506652</v>
      </c>
      <c r="AH63"/>
      <c r="AI63"/>
      <c r="AJ63"/>
      <c r="AK63"/>
      <c r="AL63"/>
      <c r="AM63"/>
    </row>
    <row r="64" spans="2:39" s="209" customFormat="1" ht="12.75" customHeight="1" outlineLevel="1">
      <c r="B64" s="243" t="s">
        <v>525</v>
      </c>
      <c r="C64" s="244">
        <f t="shared" ref="C64:R64" si="68">C8</f>
        <v>12.449</v>
      </c>
      <c r="D64" s="244">
        <f t="shared" si="68"/>
        <v>17.940999999999999</v>
      </c>
      <c r="E64" s="244">
        <f t="shared" si="68"/>
        <v>26.783000000000001</v>
      </c>
      <c r="F64" s="244">
        <f t="shared" si="68"/>
        <v>37.363</v>
      </c>
      <c r="G64" s="244">
        <f t="shared" si="68"/>
        <v>87.656999999999996</v>
      </c>
      <c r="H64" s="244">
        <f t="shared" si="68"/>
        <v>108.669</v>
      </c>
      <c r="I64" s="244">
        <f t="shared" si="68"/>
        <v>190.441</v>
      </c>
      <c r="J64" s="244">
        <f t="shared" si="68"/>
        <v>258.935</v>
      </c>
      <c r="K64" s="244">
        <f t="shared" si="68"/>
        <v>275.005</v>
      </c>
      <c r="L64" s="244">
        <f t="shared" si="68"/>
        <v>395.09399999999999</v>
      </c>
      <c r="M64" s="678">
        <f t="shared" si="68"/>
        <v>320.21100000000001</v>
      </c>
      <c r="N64" s="678">
        <f t="shared" si="68"/>
        <v>436.4</v>
      </c>
      <c r="O64" s="678">
        <f t="shared" si="68"/>
        <v>594.4</v>
      </c>
      <c r="P64" s="678">
        <f t="shared" si="68"/>
        <v>984.7</v>
      </c>
      <c r="Q64" s="678">
        <f t="shared" si="68"/>
        <v>779.3</v>
      </c>
      <c r="R64" s="678">
        <f t="shared" si="68"/>
        <v>388</v>
      </c>
      <c r="S64" s="244">
        <f t="shared" ref="S64:AB64" si="69">S65*S48</f>
        <v>440.83939364077577</v>
      </c>
      <c r="T64" s="244">
        <f t="shared" si="69"/>
        <v>499.16290832315946</v>
      </c>
      <c r="U64" s="244">
        <f t="shared" si="69"/>
        <v>574.39756085751799</v>
      </c>
      <c r="V64" s="244">
        <f t="shared" si="69"/>
        <v>659.73891291833741</v>
      </c>
      <c r="W64" s="244">
        <f t="shared" si="69"/>
        <v>706.39270351394941</v>
      </c>
      <c r="X64" s="244">
        <f t="shared" si="69"/>
        <v>715.85621916044249</v>
      </c>
      <c r="Y64" s="244">
        <f t="shared" si="69"/>
        <v>700.80701618407898</v>
      </c>
      <c r="Z64" s="244">
        <f t="shared" si="69"/>
        <v>571.0074127028339</v>
      </c>
      <c r="AA64" s="244">
        <f t="shared" si="69"/>
        <v>367.34734011400184</v>
      </c>
      <c r="AB64" s="244">
        <f t="shared" si="69"/>
        <v>295.59711850299436</v>
      </c>
      <c r="AC64" s="244">
        <f>AC65*AC48</f>
        <v>285.01297921560882</v>
      </c>
      <c r="AD64" s="244">
        <f>AD65*AD48</f>
        <v>282.96574625348228</v>
      </c>
      <c r="AE64" s="244">
        <f>AE65*AE48</f>
        <v>216.63279395945344</v>
      </c>
      <c r="AH64"/>
      <c r="AI64"/>
      <c r="AJ64"/>
      <c r="AK64"/>
      <c r="AL64"/>
      <c r="AM64"/>
    </row>
    <row r="65" spans="2:39" s="247" customFormat="1" ht="12.75" customHeight="1" outlineLevel="1">
      <c r="B65" s="245" t="s">
        <v>526</v>
      </c>
      <c r="C65" s="246">
        <f t="shared" ref="C65:R65" si="70">C64/C48</f>
        <v>9.1708042962591899E-2</v>
      </c>
      <c r="D65" s="246">
        <f t="shared" si="70"/>
        <v>6.6087116677410435E-2</v>
      </c>
      <c r="E65" s="246">
        <f t="shared" si="70"/>
        <v>7.0947968487584168E-2</v>
      </c>
      <c r="F65" s="246">
        <f t="shared" si="70"/>
        <v>6.958492646305646E-2</v>
      </c>
      <c r="G65" s="246">
        <f t="shared" si="70"/>
        <v>9.7518781852386258E-2</v>
      </c>
      <c r="H65" s="246">
        <f t="shared" si="70"/>
        <v>7.7299369762843045E-2</v>
      </c>
      <c r="I65" s="246">
        <f t="shared" si="70"/>
        <v>8.5101239288109795E-2</v>
      </c>
      <c r="J65" s="246">
        <f t="shared" si="70"/>
        <v>9.6717177659521619E-2</v>
      </c>
      <c r="K65" s="246">
        <f t="shared" si="70"/>
        <v>7.6375342155311846E-2</v>
      </c>
      <c r="L65" s="246">
        <f t="shared" si="70"/>
        <v>8.2077534221304829E-2</v>
      </c>
      <c r="M65" s="679">
        <f t="shared" si="70"/>
        <v>5.8149208066590727E-2</v>
      </c>
      <c r="N65" s="679">
        <f t="shared" si="70"/>
        <v>6.7439344768969234E-2</v>
      </c>
      <c r="O65" s="679">
        <f t="shared" si="70"/>
        <v>7.7492699207342516E-2</v>
      </c>
      <c r="P65" s="679">
        <f t="shared" si="70"/>
        <v>0.10638504753673293</v>
      </c>
      <c r="Q65" s="679">
        <f t="shared" si="70"/>
        <v>6.9399422933067348E-2</v>
      </c>
      <c r="R65" s="679">
        <f t="shared" si="70"/>
        <v>2.9839267861262786E-2</v>
      </c>
      <c r="S65" s="246">
        <f t="shared" ref="S65:U65" si="71">R65</f>
        <v>2.9839267861262786E-2</v>
      </c>
      <c r="T65" s="246">
        <f t="shared" si="71"/>
        <v>2.9839267861262786E-2</v>
      </c>
      <c r="U65" s="246">
        <f t="shared" si="71"/>
        <v>2.9839267861262786E-2</v>
      </c>
      <c r="V65" s="246">
        <f t="shared" ref="V65:AE65" si="72">U65</f>
        <v>2.9839267861262786E-2</v>
      </c>
      <c r="W65" s="246">
        <f t="shared" si="72"/>
        <v>2.9839267861262786E-2</v>
      </c>
      <c r="X65" s="246">
        <f t="shared" si="72"/>
        <v>2.9839267861262786E-2</v>
      </c>
      <c r="Y65" s="246">
        <f t="shared" si="72"/>
        <v>2.9839267861262786E-2</v>
      </c>
      <c r="Z65" s="246">
        <f t="shared" si="72"/>
        <v>2.9839267861262786E-2</v>
      </c>
      <c r="AA65" s="246">
        <f t="shared" si="72"/>
        <v>2.9839267861262786E-2</v>
      </c>
      <c r="AB65" s="246">
        <f t="shared" si="72"/>
        <v>2.9839267861262786E-2</v>
      </c>
      <c r="AC65" s="246">
        <f t="shared" si="72"/>
        <v>2.9839267861262786E-2</v>
      </c>
      <c r="AD65" s="246">
        <f t="shared" si="72"/>
        <v>2.9839267861262786E-2</v>
      </c>
      <c r="AE65" s="246">
        <f t="shared" si="72"/>
        <v>2.9839267861262786E-2</v>
      </c>
      <c r="AH65"/>
      <c r="AI65"/>
      <c r="AJ65"/>
      <c r="AK65"/>
      <c r="AL65"/>
      <c r="AM65"/>
    </row>
    <row r="66" spans="2:39" s="247" customFormat="1" ht="12.75" customHeight="1" outlineLevel="1">
      <c r="B66" s="245" t="s">
        <v>527</v>
      </c>
      <c r="C66" s="246">
        <f t="shared" ref="C66:AB66" si="73">C64/C10</f>
        <v>4.2043796606506E-2</v>
      </c>
      <c r="D66" s="246">
        <f t="shared" si="73"/>
        <v>2.4573379774523726E-2</v>
      </c>
      <c r="E66" s="246">
        <f t="shared" si="73"/>
        <v>3.1513860780345467E-2</v>
      </c>
      <c r="F66" s="246">
        <f t="shared" si="73"/>
        <v>3.8406228381527428E-2</v>
      </c>
      <c r="G66" s="246">
        <f t="shared" si="73"/>
        <v>3.793026753739933E-2</v>
      </c>
      <c r="H66" s="246">
        <f t="shared" si="73"/>
        <v>3.5231571824987581E-2</v>
      </c>
      <c r="I66" s="246">
        <f t="shared" si="73"/>
        <v>6.7024452323283953E-2</v>
      </c>
      <c r="J66" s="246">
        <f t="shared" si="73"/>
        <v>6.734673601047024E-2</v>
      </c>
      <c r="K66" s="246">
        <f t="shared" si="73"/>
        <v>6.3318535485019214E-2</v>
      </c>
      <c r="L66" s="246">
        <f t="shared" si="73"/>
        <v>9.0758920110952213E-2</v>
      </c>
      <c r="M66" s="682">
        <f t="shared" si="73"/>
        <v>5.7865989357866805E-2</v>
      </c>
      <c r="N66" s="246">
        <f t="shared" si="73"/>
        <v>5.779749685451295E-2</v>
      </c>
      <c r="O66" s="246">
        <f t="shared" si="73"/>
        <v>6.1198855095443018E-2</v>
      </c>
      <c r="P66" s="246">
        <f t="shared" si="73"/>
        <v>0.10474529034454148</v>
      </c>
      <c r="Q66" s="246">
        <f t="shared" si="73"/>
        <v>7.1709224752703027E-2</v>
      </c>
      <c r="R66" s="246">
        <f t="shared" si="73"/>
        <v>2.6054257319366104E-2</v>
      </c>
      <c r="S66" s="246">
        <f t="shared" si="73"/>
        <v>5.5903745722620336E-2</v>
      </c>
      <c r="T66" s="246">
        <f t="shared" si="73"/>
        <v>4.6018317575178727E-2</v>
      </c>
      <c r="U66" s="246">
        <f t="shared" si="73"/>
        <v>5.064511622009879E-2</v>
      </c>
      <c r="V66" s="246">
        <f t="shared" si="73"/>
        <v>4.0941942446925145E-2</v>
      </c>
      <c r="W66" s="246">
        <f t="shared" si="73"/>
        <v>3.6402587957254762E-2</v>
      </c>
      <c r="X66" s="246">
        <f t="shared" si="73"/>
        <v>3.0765686421819628E-2</v>
      </c>
      <c r="Y66" s="246">
        <f t="shared" si="73"/>
        <v>2.4513496452878352E-2</v>
      </c>
      <c r="Z66" s="246">
        <f t="shared" si="73"/>
        <v>1.955068381765173E-2</v>
      </c>
      <c r="AA66" s="246">
        <f t="shared" si="73"/>
        <v>1.3044817542763886E-2</v>
      </c>
      <c r="AB66" s="246">
        <f t="shared" si="73"/>
        <v>1.1672664840720529E-2</v>
      </c>
      <c r="AC66" s="246">
        <f>AC64/AC10</f>
        <v>1.1036655171682895E-2</v>
      </c>
      <c r="AD66" s="246">
        <f>AD64/AD10</f>
        <v>9.9958761098354887E-3</v>
      </c>
      <c r="AE66" s="246">
        <f>AE64/AE10</f>
        <v>7.1649518571938161E-3</v>
      </c>
      <c r="AH66"/>
      <c r="AI66"/>
      <c r="AJ66"/>
      <c r="AK66"/>
      <c r="AL66"/>
      <c r="AM66"/>
    </row>
    <row r="67" spans="2:39" s="209" customFormat="1" ht="12.75" customHeight="1" outlineLevel="1">
      <c r="B67" s="243" t="s">
        <v>528</v>
      </c>
      <c r="C67" s="191">
        <f t="shared" ref="C67:R67" si="74">C20</f>
        <v>16.515999999999998</v>
      </c>
      <c r="D67" s="191">
        <f t="shared" si="74"/>
        <v>15.34</v>
      </c>
      <c r="E67" s="191">
        <f t="shared" si="74"/>
        <v>18.649999999999999</v>
      </c>
      <c r="F67" s="191">
        <f t="shared" si="74"/>
        <v>16.414000000000001</v>
      </c>
      <c r="G67" s="191">
        <f t="shared" si="74"/>
        <v>24.41</v>
      </c>
      <c r="H67" s="191">
        <f t="shared" si="74"/>
        <v>37.875999999999998</v>
      </c>
      <c r="I67" s="191">
        <f t="shared" si="74"/>
        <v>53.859000000000002</v>
      </c>
      <c r="J67" s="191">
        <f t="shared" si="74"/>
        <v>36.628999999999998</v>
      </c>
      <c r="K67" s="191">
        <f t="shared" si="74"/>
        <v>94.465000000000003</v>
      </c>
      <c r="L67" s="191">
        <f t="shared" si="74"/>
        <v>121.52500000000001</v>
      </c>
      <c r="M67" s="680">
        <f t="shared" si="74"/>
        <v>145.65199999999999</v>
      </c>
      <c r="N67" s="680">
        <f t="shared" si="74"/>
        <v>156.19999999999999</v>
      </c>
      <c r="O67" s="680">
        <f t="shared" si="74"/>
        <v>198.2</v>
      </c>
      <c r="P67" s="680">
        <f t="shared" si="74"/>
        <v>240.8</v>
      </c>
      <c r="Q67" s="680">
        <f t="shared" si="74"/>
        <v>247.1</v>
      </c>
      <c r="R67" s="680">
        <f t="shared" si="74"/>
        <v>305</v>
      </c>
      <c r="S67" s="191">
        <f t="shared" ref="S67:AB67" si="75">S49/S58</f>
        <v>349.13452327475972</v>
      </c>
      <c r="T67" s="191">
        <f t="shared" si="75"/>
        <v>411.43471482081094</v>
      </c>
      <c r="U67" s="191">
        <f t="shared" si="75"/>
        <v>525.75275074320814</v>
      </c>
      <c r="V67" s="191">
        <f t="shared" si="75"/>
        <v>695.33499556660354</v>
      </c>
      <c r="W67" s="191">
        <f t="shared" si="75"/>
        <v>827.13331125341711</v>
      </c>
      <c r="X67" s="191">
        <f t="shared" si="75"/>
        <v>931.91891075790784</v>
      </c>
      <c r="Y67" s="191">
        <f t="shared" si="75"/>
        <v>1060.6550697958969</v>
      </c>
      <c r="Z67" s="191">
        <f t="shared" si="75"/>
        <v>1014.1344325012582</v>
      </c>
      <c r="AA67" s="191">
        <f t="shared" si="75"/>
        <v>973.49054971015778</v>
      </c>
      <c r="AB67" s="191">
        <f t="shared" si="75"/>
        <v>990.88922946991113</v>
      </c>
      <c r="AC67" s="191">
        <f>AC49/AC58</f>
        <v>1027.2620904739435</v>
      </c>
      <c r="AD67" s="191">
        <f>AD49/AD58</f>
        <v>1067.6882549350898</v>
      </c>
      <c r="AE67" s="191">
        <f>AE49/AE58</f>
        <v>982.30638359576051</v>
      </c>
      <c r="AH67"/>
      <c r="AI67"/>
      <c r="AJ67"/>
      <c r="AK67"/>
      <c r="AL67"/>
      <c r="AM67"/>
    </row>
    <row r="68" spans="2:39" s="247" customFormat="1" ht="12.75" customHeight="1" outlineLevel="1">
      <c r="B68" s="245" t="s">
        <v>529</v>
      </c>
      <c r="C68" s="248">
        <f t="shared" ref="C68:R68" si="76">C67/C50</f>
        <v>9.6043916423881881E-2</v>
      </c>
      <c r="D68" s="248">
        <f t="shared" si="76"/>
        <v>5.6765407885729084E-2</v>
      </c>
      <c r="E68" s="248">
        <f t="shared" si="76"/>
        <v>5.5709224730713852E-2</v>
      </c>
      <c r="F68" s="248">
        <f t="shared" si="76"/>
        <v>3.6347290007706139E-2</v>
      </c>
      <c r="G68" s="248">
        <f t="shared" si="76"/>
        <v>3.8173191504001856E-2</v>
      </c>
      <c r="H68" s="248">
        <f t="shared" si="76"/>
        <v>4.3165008490318756E-2</v>
      </c>
      <c r="I68" s="248">
        <f t="shared" si="76"/>
        <v>3.8757687275930215E-2</v>
      </c>
      <c r="J68" s="248">
        <f t="shared" si="76"/>
        <v>2.3202942286885637E-2</v>
      </c>
      <c r="K68" s="248">
        <f t="shared" si="76"/>
        <v>4.7068278775352794E-2</v>
      </c>
      <c r="L68" s="246">
        <f t="shared" si="76"/>
        <v>4.6000153680826127E-2</v>
      </c>
      <c r="M68" s="682">
        <f t="shared" si="76"/>
        <v>5.1010709124925308E-2</v>
      </c>
      <c r="N68" s="682">
        <f t="shared" si="76"/>
        <v>4.6633825944170759E-2</v>
      </c>
      <c r="O68" s="246">
        <f t="shared" si="76"/>
        <v>5.2309316442333068E-2</v>
      </c>
      <c r="P68" s="246">
        <f t="shared" si="76"/>
        <v>5.4186637863138244E-2</v>
      </c>
      <c r="Q68" s="246">
        <f t="shared" si="76"/>
        <v>4.8906481939633845E-2</v>
      </c>
      <c r="R68" s="246">
        <f t="shared" si="76"/>
        <v>5.5860805860805864E-2</v>
      </c>
      <c r="S68" s="246">
        <f>S67/S50</f>
        <v>5.4834171819224141E-2</v>
      </c>
      <c r="T68" s="246">
        <f>T67/T50</f>
        <v>5.8429277953383811E-2</v>
      </c>
      <c r="U68" s="246">
        <f>U67/U50</f>
        <v>6.5748139014759843E-2</v>
      </c>
      <c r="V68" s="246">
        <f t="shared" ref="V68:AB68" si="77">V67/V50</f>
        <v>7.5962632007356104E-2</v>
      </c>
      <c r="W68" s="246">
        <f t="shared" si="77"/>
        <v>8.4836705535933574E-2</v>
      </c>
      <c r="X68" s="246">
        <f t="shared" si="77"/>
        <v>9.4649305305156639E-2</v>
      </c>
      <c r="Y68" s="246">
        <f t="shared" si="77"/>
        <v>0.10888115845231321</v>
      </c>
      <c r="Z68" s="246">
        <f t="shared" si="77"/>
        <v>0.125777621658826</v>
      </c>
      <c r="AA68" s="246">
        <f t="shared" si="77"/>
        <v>0.17424447719661768</v>
      </c>
      <c r="AB68" s="246">
        <f t="shared" si="77"/>
        <v>0.20835454140383849</v>
      </c>
      <c r="AC68" s="246">
        <f>AC67/AC50</f>
        <v>0.22068177005519685</v>
      </c>
      <c r="AD68" s="246">
        <f>AD67/AD50</f>
        <v>0.22924297406429875</v>
      </c>
      <c r="AE68" s="246">
        <f>AE67/AE50</f>
        <v>0.26020372544832432</v>
      </c>
      <c r="AH68"/>
      <c r="AI68"/>
      <c r="AJ68"/>
      <c r="AK68"/>
      <c r="AL68"/>
      <c r="AM68"/>
    </row>
    <row r="69" spans="2:39" s="209" customFormat="1" ht="12.75" customHeight="1" outlineLevel="1">
      <c r="B69" s="243" t="s">
        <v>708</v>
      </c>
      <c r="C69" s="191">
        <f t="shared" ref="C69:R69" si="78">C21</f>
        <v>26.975999999999999</v>
      </c>
      <c r="D69" s="191">
        <f t="shared" si="78"/>
        <v>55.276000000000003</v>
      </c>
      <c r="E69" s="191">
        <f t="shared" si="78"/>
        <v>68.534000000000006</v>
      </c>
      <c r="F69" s="191">
        <f t="shared" si="78"/>
        <v>92.908000000000001</v>
      </c>
      <c r="G69" s="191">
        <f t="shared" si="78"/>
        <v>112.992</v>
      </c>
      <c r="H69" s="191">
        <f t="shared" si="78"/>
        <v>159.22</v>
      </c>
      <c r="I69" s="191">
        <f t="shared" si="78"/>
        <v>306.12</v>
      </c>
      <c r="J69" s="191">
        <f t="shared" si="78"/>
        <v>315.608</v>
      </c>
      <c r="K69" s="191">
        <f t="shared" si="78"/>
        <v>592.33600000000001</v>
      </c>
      <c r="L69" s="191">
        <f t="shared" si="78"/>
        <v>701.70699999999999</v>
      </c>
      <c r="M69" s="680">
        <f t="shared" si="78"/>
        <v>775.72400000000005</v>
      </c>
      <c r="N69" s="680">
        <f t="shared" si="78"/>
        <v>1001.1</v>
      </c>
      <c r="O69" s="680">
        <f t="shared" si="78"/>
        <v>991.1</v>
      </c>
      <c r="P69" s="680">
        <f t="shared" si="78"/>
        <v>1376.7</v>
      </c>
      <c r="Q69" s="680">
        <f t="shared" si="78"/>
        <v>1815</v>
      </c>
      <c r="R69" s="680">
        <f t="shared" si="78"/>
        <v>2223</v>
      </c>
      <c r="S69" s="191">
        <f t="shared" ref="S69:AB69" si="79">S70*S50</f>
        <v>2592.3183047593679</v>
      </c>
      <c r="T69" s="191">
        <f t="shared" si="79"/>
        <v>2866.9309494727454</v>
      </c>
      <c r="U69" s="191">
        <f t="shared" si="79"/>
        <v>3255.7039681420106</v>
      </c>
      <c r="V69" s="191">
        <f t="shared" si="79"/>
        <v>3726.8413334991847</v>
      </c>
      <c r="W69" s="191">
        <f t="shared" si="79"/>
        <v>3969.5249533129172</v>
      </c>
      <c r="X69" s="191">
        <f t="shared" si="79"/>
        <v>4008.7365324884458</v>
      </c>
      <c r="Y69" s="191">
        <f t="shared" si="79"/>
        <v>3966.1420001229194</v>
      </c>
      <c r="Z69" s="191">
        <f t="shared" si="79"/>
        <v>3282.7587684517057</v>
      </c>
      <c r="AA69" s="191">
        <f t="shared" si="79"/>
        <v>2274.6759621157044</v>
      </c>
      <c r="AB69" s="191">
        <f t="shared" si="79"/>
        <v>1936.2835543695589</v>
      </c>
      <c r="AC69" s="191">
        <f>AC70*AC50</f>
        <v>1895.2286926350778</v>
      </c>
      <c r="AD69" s="191">
        <f>AD70*AD50</f>
        <v>1896.2485041317659</v>
      </c>
      <c r="AE69" s="191">
        <f>AE70*AE50</f>
        <v>1537.0226806620876</v>
      </c>
      <c r="AH69"/>
      <c r="AI69"/>
      <c r="AJ69"/>
      <c r="AK69"/>
      <c r="AL69"/>
      <c r="AM69"/>
    </row>
    <row r="70" spans="2:39" s="247" customFormat="1" ht="12.75" customHeight="1" outlineLevel="1">
      <c r="B70" s="245" t="s">
        <v>529</v>
      </c>
      <c r="C70" s="248">
        <f t="shared" ref="C70:K70" si="80">C69/C50</f>
        <v>0.15687095479841595</v>
      </c>
      <c r="D70" s="248">
        <f t="shared" si="80"/>
        <v>0.20454789350010177</v>
      </c>
      <c r="E70" s="248">
        <f t="shared" si="80"/>
        <v>0.20471721220883343</v>
      </c>
      <c r="F70" s="248">
        <f t="shared" si="80"/>
        <v>0.20573620202485451</v>
      </c>
      <c r="G70" s="248">
        <f t="shared" si="80"/>
        <v>0.17670074782548864</v>
      </c>
      <c r="H70" s="248">
        <f t="shared" si="80"/>
        <v>0.18145349698565191</v>
      </c>
      <c r="I70" s="248">
        <f t="shared" si="80"/>
        <v>0.22028821977585469</v>
      </c>
      <c r="J70" s="248">
        <f t="shared" si="80"/>
        <v>0.19992449177644495</v>
      </c>
      <c r="K70" s="248">
        <f t="shared" si="80"/>
        <v>0.29513826260178239</v>
      </c>
      <c r="L70" s="248">
        <f t="shared" ref="L70:R70" si="81">L69/L50</f>
        <v>0.26561308240206916</v>
      </c>
      <c r="M70" s="681">
        <f t="shared" si="81"/>
        <v>0.27167653945859699</v>
      </c>
      <c r="N70" s="681">
        <f t="shared" si="81"/>
        <v>0.29888042991491265</v>
      </c>
      <c r="O70" s="681">
        <f t="shared" si="81"/>
        <v>0.26157297439957772</v>
      </c>
      <c r="P70" s="681">
        <f t="shared" si="81"/>
        <v>0.30979544994261798</v>
      </c>
      <c r="Q70" s="681">
        <f t="shared" si="81"/>
        <v>0.35922810489856505</v>
      </c>
      <c r="R70" s="681">
        <f t="shared" si="81"/>
        <v>0.40714285714285714</v>
      </c>
      <c r="S70" s="246">
        <f t="shared" ref="S70:U70" si="82">R70</f>
        <v>0.40714285714285714</v>
      </c>
      <c r="T70" s="246">
        <f t="shared" si="82"/>
        <v>0.40714285714285714</v>
      </c>
      <c r="U70" s="246">
        <f t="shared" si="82"/>
        <v>0.40714285714285714</v>
      </c>
      <c r="V70" s="246">
        <f t="shared" ref="V70:AE70" si="83">U70</f>
        <v>0.40714285714285714</v>
      </c>
      <c r="W70" s="246">
        <f t="shared" si="83"/>
        <v>0.40714285714285714</v>
      </c>
      <c r="X70" s="246">
        <f t="shared" si="83"/>
        <v>0.40714285714285714</v>
      </c>
      <c r="Y70" s="246">
        <f t="shared" si="83"/>
        <v>0.40714285714285714</v>
      </c>
      <c r="Z70" s="246">
        <f t="shared" si="83"/>
        <v>0.40714285714285714</v>
      </c>
      <c r="AA70" s="246">
        <f t="shared" si="83"/>
        <v>0.40714285714285714</v>
      </c>
      <c r="AB70" s="246">
        <f t="shared" si="83"/>
        <v>0.40714285714285714</v>
      </c>
      <c r="AC70" s="246">
        <f t="shared" si="83"/>
        <v>0.40714285714285714</v>
      </c>
      <c r="AD70" s="246">
        <f t="shared" si="83"/>
        <v>0.40714285714285714</v>
      </c>
      <c r="AE70" s="246">
        <f t="shared" si="83"/>
        <v>0.40714285714285714</v>
      </c>
      <c r="AH70"/>
      <c r="AI70"/>
      <c r="AJ70"/>
      <c r="AK70"/>
      <c r="AL70"/>
      <c r="AM70"/>
    </row>
    <row r="71" spans="2:39" s="209" customFormat="1" ht="12.75" customHeight="1" outlineLevel="1">
      <c r="B71" s="243" t="s">
        <v>492</v>
      </c>
      <c r="C71" s="191">
        <f t="shared" ref="C71:O71" si="84">C24</f>
        <v>0.68500000000000005</v>
      </c>
      <c r="D71" s="191">
        <f t="shared" si="84"/>
        <v>0.308</v>
      </c>
      <c r="E71" s="191">
        <f t="shared" si="84"/>
        <v>6.117</v>
      </c>
      <c r="F71" s="191">
        <f t="shared" si="84"/>
        <v>5.1269999999999998</v>
      </c>
      <c r="G71" s="191">
        <f t="shared" si="84"/>
        <v>9.7949999999999999</v>
      </c>
      <c r="H71" s="191">
        <f t="shared" si="84"/>
        <v>223.18</v>
      </c>
      <c r="I71" s="191">
        <f t="shared" si="84"/>
        <v>114.688</v>
      </c>
      <c r="J71" s="191">
        <f t="shared" si="84"/>
        <v>93.766999999999996</v>
      </c>
      <c r="K71" s="191">
        <f t="shared" si="84"/>
        <v>309.214</v>
      </c>
      <c r="L71" s="191">
        <f t="shared" si="84"/>
        <v>138.42400000000001</v>
      </c>
      <c r="M71" s="680">
        <f t="shared" si="84"/>
        <v>431.29599999999999</v>
      </c>
      <c r="N71" s="680">
        <f t="shared" si="84"/>
        <v>199.7</v>
      </c>
      <c r="O71" s="680">
        <f t="shared" si="84"/>
        <v>275.8</v>
      </c>
      <c r="P71" s="680">
        <f t="shared" ref="P71:R71" si="85">P24</f>
        <v>271</v>
      </c>
      <c r="Q71" s="680">
        <f t="shared" si="85"/>
        <v>300</v>
      </c>
      <c r="R71" s="680">
        <f t="shared" si="85"/>
        <v>300</v>
      </c>
      <c r="S71" s="191">
        <f t="shared" ref="S71:AB71" si="86">S72*S50</f>
        <v>349.84052695807935</v>
      </c>
      <c r="T71" s="191">
        <f t="shared" si="86"/>
        <v>386.90026308674027</v>
      </c>
      <c r="U71" s="191">
        <f>U72*U50</f>
        <v>439.36625750904329</v>
      </c>
      <c r="V71" s="191">
        <f t="shared" si="86"/>
        <v>502.94754838045674</v>
      </c>
      <c r="W71" s="191">
        <f t="shared" si="86"/>
        <v>535.69837426625065</v>
      </c>
      <c r="X71" s="191">
        <f t="shared" si="86"/>
        <v>540.99008535606561</v>
      </c>
      <c r="Y71" s="191">
        <f t="shared" si="86"/>
        <v>535.24183537421311</v>
      </c>
      <c r="Z71" s="191">
        <f t="shared" si="86"/>
        <v>443.01737765879972</v>
      </c>
      <c r="AA71" s="191">
        <f t="shared" si="86"/>
        <v>306.97381405070234</v>
      </c>
      <c r="AB71" s="191">
        <f t="shared" si="86"/>
        <v>261.30682245203224</v>
      </c>
      <c r="AC71" s="191">
        <f>AC72*AC50</f>
        <v>255.76635528138701</v>
      </c>
      <c r="AD71" s="191">
        <f>AD72*AD50</f>
        <v>255.90398166420593</v>
      </c>
      <c r="AE71" s="191">
        <f>AE72*AE50</f>
        <v>207.42546297733978</v>
      </c>
      <c r="AH71"/>
      <c r="AI71"/>
      <c r="AJ71"/>
      <c r="AK71"/>
      <c r="AL71"/>
      <c r="AM71"/>
    </row>
    <row r="72" spans="2:39" s="247" customFormat="1" ht="12.75" customHeight="1" outlineLevel="1">
      <c r="B72" s="245" t="s">
        <v>529</v>
      </c>
      <c r="C72" s="248">
        <f t="shared" ref="C72:O72" si="87">C71/C50</f>
        <v>3.9834150369556249E-3</v>
      </c>
      <c r="D72" s="248">
        <f t="shared" si="87"/>
        <v>1.139748737210206E-3</v>
      </c>
      <c r="E72" s="248">
        <f t="shared" si="87"/>
        <v>1.8272028293714566E-2</v>
      </c>
      <c r="F72" s="248">
        <f t="shared" si="87"/>
        <v>1.1353268908828399E-2</v>
      </c>
      <c r="G72" s="248">
        <f t="shared" si="87"/>
        <v>1.5317755460126922E-2</v>
      </c>
      <c r="H72" s="248">
        <f t="shared" si="87"/>
        <v>0.2543448778875631</v>
      </c>
      <c r="I72" s="248">
        <f t="shared" si="87"/>
        <v>8.253108372420366E-2</v>
      </c>
      <c r="J72" s="248">
        <f t="shared" si="87"/>
        <v>5.9397479849693013E-2</v>
      </c>
      <c r="K72" s="248">
        <f t="shared" si="87"/>
        <v>0.15406945168307773</v>
      </c>
      <c r="L72" s="248">
        <f t="shared" si="87"/>
        <v>5.23968341749819E-2</v>
      </c>
      <c r="M72" s="681">
        <f t="shared" si="87"/>
        <v>0.15104986407837714</v>
      </c>
      <c r="N72" s="681">
        <f t="shared" si="87"/>
        <v>5.9620838931183751E-2</v>
      </c>
      <c r="O72" s="681">
        <f t="shared" si="87"/>
        <v>7.2789654262338355E-2</v>
      </c>
      <c r="P72" s="681">
        <f t="shared" ref="P72:R72" si="88">P71/P50</f>
        <v>6.0982470352618202E-2</v>
      </c>
      <c r="Q72" s="681">
        <f t="shared" si="88"/>
        <v>5.937654626422563E-2</v>
      </c>
      <c r="R72" s="681">
        <f t="shared" si="88"/>
        <v>5.4945054945054944E-2</v>
      </c>
      <c r="S72" s="249">
        <f t="shared" ref="S72:U72" si="89">R72</f>
        <v>5.4945054945054944E-2</v>
      </c>
      <c r="T72" s="249">
        <f t="shared" si="89"/>
        <v>5.4945054945054944E-2</v>
      </c>
      <c r="U72" s="249">
        <f t="shared" si="89"/>
        <v>5.4945054945054944E-2</v>
      </c>
      <c r="V72" s="249">
        <f t="shared" ref="V72:AB72" si="90">U72</f>
        <v>5.4945054945054944E-2</v>
      </c>
      <c r="W72" s="249">
        <f t="shared" si="90"/>
        <v>5.4945054945054944E-2</v>
      </c>
      <c r="X72" s="249">
        <f t="shared" si="90"/>
        <v>5.4945054945054944E-2</v>
      </c>
      <c r="Y72" s="249">
        <f t="shared" si="90"/>
        <v>5.4945054945054944E-2</v>
      </c>
      <c r="Z72" s="249">
        <f t="shared" si="90"/>
        <v>5.4945054945054944E-2</v>
      </c>
      <c r="AA72" s="249">
        <f t="shared" si="90"/>
        <v>5.4945054945054944E-2</v>
      </c>
      <c r="AB72" s="249">
        <f t="shared" si="90"/>
        <v>5.4945054945054944E-2</v>
      </c>
      <c r="AC72" s="249">
        <f>AB72</f>
        <v>5.4945054945054944E-2</v>
      </c>
      <c r="AD72" s="249">
        <f>AC72</f>
        <v>5.4945054945054944E-2</v>
      </c>
      <c r="AE72" s="249">
        <f>AD72</f>
        <v>5.4945054945054944E-2</v>
      </c>
      <c r="AH72"/>
      <c r="AI72"/>
      <c r="AJ72"/>
      <c r="AK72"/>
      <c r="AL72"/>
      <c r="AM72"/>
    </row>
    <row r="73" spans="2:39" s="209" customFormat="1" ht="12.75" customHeight="1" outlineLevel="1">
      <c r="B73" s="243" t="s">
        <v>530</v>
      </c>
      <c r="C73" s="191">
        <f t="shared" ref="C73:O73" si="91">C23</f>
        <v>0.109</v>
      </c>
      <c r="D73" s="191">
        <f t="shared" si="91"/>
        <v>0.58899999999999997</v>
      </c>
      <c r="E73" s="191">
        <f t="shared" si="91"/>
        <v>6.9260000000000002</v>
      </c>
      <c r="F73" s="191">
        <f t="shared" si="91"/>
        <v>6.4729999999999999</v>
      </c>
      <c r="G73" s="191">
        <f t="shared" si="91"/>
        <v>7.6470000000000002</v>
      </c>
      <c r="H73" s="191">
        <f t="shared" si="91"/>
        <v>7.6660000000000004</v>
      </c>
      <c r="I73" s="191">
        <f t="shared" si="91"/>
        <v>1.419</v>
      </c>
      <c r="J73" s="191">
        <f t="shared" si="91"/>
        <v>1.827</v>
      </c>
      <c r="K73" s="191">
        <f t="shared" si="91"/>
        <v>16.361999999999998</v>
      </c>
      <c r="L73" s="191">
        <f t="shared" si="91"/>
        <v>14.346</v>
      </c>
      <c r="M73" s="680">
        <f t="shared" si="91"/>
        <v>17.263000000000002</v>
      </c>
      <c r="N73" s="680">
        <f t="shared" si="91"/>
        <v>27.7</v>
      </c>
      <c r="O73" s="680">
        <f t="shared" si="91"/>
        <v>28.5</v>
      </c>
      <c r="P73" s="680">
        <f t="shared" ref="P73:R73" si="92">P23</f>
        <v>60.6</v>
      </c>
      <c r="Q73" s="680">
        <f t="shared" si="92"/>
        <v>55.1</v>
      </c>
      <c r="R73" s="680">
        <f t="shared" si="92"/>
        <v>75</v>
      </c>
      <c r="S73" s="191">
        <f t="shared" ref="S73:U73" si="93">S74*S48</f>
        <v>85.213800317160263</v>
      </c>
      <c r="T73" s="191">
        <f t="shared" si="93"/>
        <v>96.487675577930304</v>
      </c>
      <c r="U73" s="191">
        <f t="shared" si="93"/>
        <v>111.03045635132435</v>
      </c>
      <c r="V73" s="191">
        <f t="shared" ref="V73:AB73" si="94">V74*V48</f>
        <v>127.52685172390542</v>
      </c>
      <c r="W73" s="191">
        <f t="shared" si="94"/>
        <v>136.54498134934587</v>
      </c>
      <c r="X73" s="191">
        <f t="shared" si="94"/>
        <v>138.37426916761132</v>
      </c>
      <c r="Y73" s="191">
        <f t="shared" si="94"/>
        <v>135.46527374692249</v>
      </c>
      <c r="Z73" s="191">
        <f t="shared" si="94"/>
        <v>110.37514420802201</v>
      </c>
      <c r="AA73" s="191">
        <f t="shared" si="94"/>
        <v>71.007862135438486</v>
      </c>
      <c r="AB73" s="191">
        <f t="shared" si="94"/>
        <v>57.138618267331381</v>
      </c>
      <c r="AC73" s="191">
        <f>AC74*AC48</f>
        <v>55.092715054563563</v>
      </c>
      <c r="AD73" s="191">
        <f>AD74*AD48</f>
        <v>54.696987033533937</v>
      </c>
      <c r="AE73" s="191">
        <f>AE74*AE48</f>
        <v>41.874895739585071</v>
      </c>
      <c r="AH73"/>
      <c r="AI73"/>
      <c r="AJ73"/>
      <c r="AK73"/>
      <c r="AL73"/>
      <c r="AM73"/>
    </row>
    <row r="74" spans="2:39" s="247" customFormat="1" ht="12.75" customHeight="1" outlineLevel="1">
      <c r="B74" s="245" t="s">
        <v>524</v>
      </c>
      <c r="C74" s="248">
        <f t="shared" ref="C74:K74" si="95">C73/C48</f>
        <v>8.0297025326713119E-4</v>
      </c>
      <c r="D74" s="248">
        <f t="shared" si="95"/>
        <v>2.1696288792706509E-3</v>
      </c>
      <c r="E74" s="248">
        <f t="shared" si="95"/>
        <v>1.8346922665310381E-2</v>
      </c>
      <c r="F74" s="248">
        <f t="shared" si="95"/>
        <v>1.2055328239043022E-2</v>
      </c>
      <c r="G74" s="248">
        <f t="shared" si="95"/>
        <v>8.5073197214734445E-3</v>
      </c>
      <c r="H74" s="248">
        <f t="shared" si="95"/>
        <v>5.4530451978204901E-3</v>
      </c>
      <c r="I74" s="248">
        <f t="shared" si="95"/>
        <v>6.3410010738143465E-4</v>
      </c>
      <c r="J74" s="248">
        <f t="shared" si="95"/>
        <v>6.8241946273754411E-4</v>
      </c>
      <c r="K74" s="248">
        <f t="shared" si="95"/>
        <v>4.5441113737757942E-3</v>
      </c>
      <c r="L74" s="248">
        <f t="shared" ref="L74:R74" si="96">L73/L48</f>
        <v>2.9802636991167648E-3</v>
      </c>
      <c r="M74" s="681">
        <f t="shared" si="96"/>
        <v>3.1349009835813131E-3</v>
      </c>
      <c r="N74" s="681">
        <f t="shared" si="96"/>
        <v>4.2806366867562968E-3</v>
      </c>
      <c r="O74" s="681">
        <f t="shared" si="96"/>
        <v>3.7155819774718399E-3</v>
      </c>
      <c r="P74" s="681">
        <f t="shared" si="96"/>
        <v>6.5471045808124465E-3</v>
      </c>
      <c r="Q74" s="681">
        <f t="shared" si="96"/>
        <v>4.906849998218929E-3</v>
      </c>
      <c r="R74" s="681">
        <f t="shared" si="96"/>
        <v>5.7678997154502806E-3</v>
      </c>
      <c r="S74" s="246">
        <f t="shared" ref="S74:U74" si="97">R74</f>
        <v>5.7678997154502806E-3</v>
      </c>
      <c r="T74" s="246">
        <f t="shared" si="97"/>
        <v>5.7678997154502806E-3</v>
      </c>
      <c r="U74" s="246">
        <f t="shared" si="97"/>
        <v>5.7678997154502806E-3</v>
      </c>
      <c r="V74" s="246">
        <f t="shared" ref="V74:AB74" si="98">U74</f>
        <v>5.7678997154502806E-3</v>
      </c>
      <c r="W74" s="246">
        <f t="shared" si="98"/>
        <v>5.7678997154502806E-3</v>
      </c>
      <c r="X74" s="246">
        <f t="shared" si="98"/>
        <v>5.7678997154502806E-3</v>
      </c>
      <c r="Y74" s="246">
        <f t="shared" si="98"/>
        <v>5.7678997154502806E-3</v>
      </c>
      <c r="Z74" s="246">
        <f t="shared" si="98"/>
        <v>5.7678997154502806E-3</v>
      </c>
      <c r="AA74" s="246">
        <f t="shared" si="98"/>
        <v>5.7678997154502806E-3</v>
      </c>
      <c r="AB74" s="246">
        <f t="shared" si="98"/>
        <v>5.7678997154502806E-3</v>
      </c>
      <c r="AC74" s="246">
        <f>AB74</f>
        <v>5.7678997154502806E-3</v>
      </c>
      <c r="AD74" s="246">
        <f>AC74</f>
        <v>5.7678997154502806E-3</v>
      </c>
      <c r="AE74" s="246">
        <f>AD74</f>
        <v>5.7678997154502806E-3</v>
      </c>
      <c r="AH74"/>
      <c r="AI74"/>
      <c r="AJ74"/>
      <c r="AK74"/>
      <c r="AL74"/>
      <c r="AM74"/>
    </row>
    <row r="75" spans="2:39" s="209" customFormat="1" ht="12.75" customHeight="1" outlineLevel="1">
      <c r="B75" s="243" t="s">
        <v>531</v>
      </c>
      <c r="C75" s="191">
        <f t="shared" ref="C75:O75" si="99">C28</f>
        <v>1.39</v>
      </c>
      <c r="D75" s="191">
        <f t="shared" si="99"/>
        <v>1.1220000000000001</v>
      </c>
      <c r="E75" s="191">
        <f t="shared" si="99"/>
        <v>73.992000000000004</v>
      </c>
      <c r="F75" s="191">
        <f t="shared" si="99"/>
        <v>59.067</v>
      </c>
      <c r="G75" s="191">
        <f t="shared" si="99"/>
        <v>63.027000000000001</v>
      </c>
      <c r="H75" s="191">
        <f t="shared" si="99"/>
        <v>60.302999999999997</v>
      </c>
      <c r="I75" s="191">
        <f t="shared" si="99"/>
        <v>3.1269999999999998</v>
      </c>
      <c r="J75" s="191">
        <f t="shared" si="99"/>
        <v>6.5270000000000001</v>
      </c>
      <c r="K75" s="191">
        <f t="shared" si="99"/>
        <v>12.785</v>
      </c>
      <c r="L75" s="191">
        <f t="shared" si="99"/>
        <v>12.622999999999999</v>
      </c>
      <c r="M75" s="680">
        <f t="shared" si="99"/>
        <v>16.178000000000001</v>
      </c>
      <c r="N75" s="680">
        <f t="shared" si="99"/>
        <v>23.7</v>
      </c>
      <c r="O75" s="680">
        <f t="shared" si="99"/>
        <v>27.8</v>
      </c>
      <c r="P75" s="680">
        <f t="shared" ref="P75:R75" si="100">P28</f>
        <v>30</v>
      </c>
      <c r="Q75" s="680">
        <f t="shared" si="100"/>
        <v>27.9</v>
      </c>
      <c r="R75" s="680">
        <f t="shared" si="100"/>
        <v>34</v>
      </c>
      <c r="S75" s="250">
        <f t="shared" ref="S75:U75" si="101">S76*S48</f>
        <v>38.63025614377932</v>
      </c>
      <c r="T75" s="250">
        <f t="shared" si="101"/>
        <v>43.741079595328408</v>
      </c>
      <c r="U75" s="250">
        <f t="shared" si="101"/>
        <v>50.333806879267037</v>
      </c>
      <c r="V75" s="250">
        <f t="shared" ref="V75:AB75" si="102">V76*V48</f>
        <v>57.812172781503797</v>
      </c>
      <c r="W75" s="250">
        <f t="shared" si="102"/>
        <v>61.900391545036804</v>
      </c>
      <c r="X75" s="250">
        <f t="shared" si="102"/>
        <v>62.72966868931713</v>
      </c>
      <c r="Y75" s="250">
        <f t="shared" si="102"/>
        <v>61.410924098604859</v>
      </c>
      <c r="Z75" s="250">
        <f t="shared" si="102"/>
        <v>50.03673204096998</v>
      </c>
      <c r="AA75" s="250">
        <f t="shared" si="102"/>
        <v>32.19023083473212</v>
      </c>
      <c r="AB75" s="250">
        <f t="shared" si="102"/>
        <v>25.902840281190226</v>
      </c>
      <c r="AC75" s="250">
        <f>AC76*AC48</f>
        <v>24.975364158068817</v>
      </c>
      <c r="AD75" s="250">
        <f>AD76*AD48</f>
        <v>24.795967455202053</v>
      </c>
      <c r="AE75" s="250">
        <f>AE76*AE48</f>
        <v>18.9832860686119</v>
      </c>
      <c r="AH75"/>
      <c r="AI75"/>
      <c r="AJ75"/>
      <c r="AK75"/>
      <c r="AL75"/>
      <c r="AM75"/>
    </row>
    <row r="76" spans="2:39" s="247" customFormat="1" ht="12.75" customHeight="1" outlineLevel="1">
      <c r="B76" s="245" t="s">
        <v>524</v>
      </c>
      <c r="C76" s="248">
        <f t="shared" ref="C76:K76" si="103">C75/C48</f>
        <v>1.0239712404048737E-2</v>
      </c>
      <c r="D76" s="248">
        <f t="shared" si="103"/>
        <v>4.132977253890782E-3</v>
      </c>
      <c r="E76" s="248">
        <f t="shared" si="103"/>
        <v>0.19600425958008169</v>
      </c>
      <c r="F76" s="248">
        <f t="shared" si="103"/>
        <v>0.11000649978303016</v>
      </c>
      <c r="G76" s="248">
        <f t="shared" si="103"/>
        <v>7.0117803071179124E-2</v>
      </c>
      <c r="H76" s="248">
        <f t="shared" si="103"/>
        <v>4.2895249747478346E-2</v>
      </c>
      <c r="I76" s="248">
        <f t="shared" si="103"/>
        <v>1.3973439293740281E-3</v>
      </c>
      <c r="J76" s="248">
        <f t="shared" si="103"/>
        <v>2.4379594051931858E-3</v>
      </c>
      <c r="K76" s="248">
        <f t="shared" si="103"/>
        <v>3.5506945308473007E-3</v>
      </c>
      <c r="L76" s="248">
        <f t="shared" ref="L76:R76" si="104">L75/L48</f>
        <v>2.6223245973756391E-3</v>
      </c>
      <c r="M76" s="681">
        <f t="shared" si="104"/>
        <v>2.9378687431140865E-3</v>
      </c>
      <c r="N76" s="681">
        <f t="shared" si="104"/>
        <v>3.6624942049142319E-3</v>
      </c>
      <c r="O76" s="681">
        <f t="shared" si="104"/>
        <v>3.6243220692532335E-3</v>
      </c>
      <c r="P76" s="681">
        <f t="shared" si="104"/>
        <v>3.2411408815903198E-3</v>
      </c>
      <c r="Q76" s="681">
        <f t="shared" si="104"/>
        <v>2.484593737755138E-3</v>
      </c>
      <c r="R76" s="681">
        <f t="shared" si="104"/>
        <v>2.6147812043374606E-3</v>
      </c>
      <c r="S76" s="246">
        <f t="shared" ref="S76:U76" si="105">R76</f>
        <v>2.6147812043374606E-3</v>
      </c>
      <c r="T76" s="246">
        <f t="shared" si="105"/>
        <v>2.6147812043374606E-3</v>
      </c>
      <c r="U76" s="246">
        <f t="shared" si="105"/>
        <v>2.6147812043374606E-3</v>
      </c>
      <c r="V76" s="246">
        <f t="shared" ref="V76:AB76" si="106">U76</f>
        <v>2.6147812043374606E-3</v>
      </c>
      <c r="W76" s="246">
        <f t="shared" si="106"/>
        <v>2.6147812043374606E-3</v>
      </c>
      <c r="X76" s="246">
        <f t="shared" si="106"/>
        <v>2.6147812043374606E-3</v>
      </c>
      <c r="Y76" s="246">
        <f t="shared" si="106"/>
        <v>2.6147812043374606E-3</v>
      </c>
      <c r="Z76" s="246">
        <f t="shared" si="106"/>
        <v>2.6147812043374606E-3</v>
      </c>
      <c r="AA76" s="246">
        <f t="shared" si="106"/>
        <v>2.6147812043374606E-3</v>
      </c>
      <c r="AB76" s="246">
        <f t="shared" si="106"/>
        <v>2.6147812043374606E-3</v>
      </c>
      <c r="AC76" s="246">
        <f>AB76</f>
        <v>2.6147812043374606E-3</v>
      </c>
      <c r="AD76" s="246">
        <f>AC76</f>
        <v>2.6147812043374606E-3</v>
      </c>
      <c r="AE76" s="246">
        <f>AD76</f>
        <v>2.6147812043374606E-3</v>
      </c>
      <c r="AH76"/>
      <c r="AI76"/>
      <c r="AJ76"/>
      <c r="AK76"/>
      <c r="AL76"/>
      <c r="AM76"/>
    </row>
    <row r="77" spans="2:39" s="209" customFormat="1" ht="12.75" customHeight="1" outlineLevel="1">
      <c r="B77" s="243" t="s">
        <v>478</v>
      </c>
      <c r="C77" s="191">
        <f t="shared" ref="C77:O77" si="107">C8</f>
        <v>12.449</v>
      </c>
      <c r="D77" s="191">
        <f t="shared" si="107"/>
        <v>17.940999999999999</v>
      </c>
      <c r="E77" s="191">
        <f t="shared" si="107"/>
        <v>26.783000000000001</v>
      </c>
      <c r="F77" s="191">
        <f t="shared" si="107"/>
        <v>37.363</v>
      </c>
      <c r="G77" s="191">
        <f t="shared" si="107"/>
        <v>87.656999999999996</v>
      </c>
      <c r="H77" s="191">
        <f t="shared" si="107"/>
        <v>108.669</v>
      </c>
      <c r="I77" s="191">
        <f t="shared" si="107"/>
        <v>190.441</v>
      </c>
      <c r="J77" s="191">
        <f t="shared" si="107"/>
        <v>258.935</v>
      </c>
      <c r="K77" s="191">
        <f t="shared" si="107"/>
        <v>275.005</v>
      </c>
      <c r="L77" s="191">
        <f t="shared" si="107"/>
        <v>395.09399999999999</v>
      </c>
      <c r="M77" s="680">
        <f t="shared" si="107"/>
        <v>320.21100000000001</v>
      </c>
      <c r="N77" s="680">
        <f t="shared" si="107"/>
        <v>436.4</v>
      </c>
      <c r="O77" s="680">
        <f t="shared" si="107"/>
        <v>594.4</v>
      </c>
      <c r="P77" s="680">
        <f t="shared" ref="P77:R77" si="108">P8</f>
        <v>984.7</v>
      </c>
      <c r="Q77" s="680">
        <f t="shared" si="108"/>
        <v>779.3</v>
      </c>
      <c r="R77" s="680">
        <f t="shared" si="108"/>
        <v>388</v>
      </c>
      <c r="S77" s="191">
        <f t="shared" ref="S77:U77" si="109">S78*S48</f>
        <v>440.83939364077577</v>
      </c>
      <c r="T77" s="191">
        <f t="shared" si="109"/>
        <v>499.16290832315946</v>
      </c>
      <c r="U77" s="191">
        <f t="shared" si="109"/>
        <v>574.39756085751799</v>
      </c>
      <c r="V77" s="191">
        <f t="shared" ref="V77:AB77" si="110">V78*V48</f>
        <v>659.73891291833741</v>
      </c>
      <c r="W77" s="191">
        <f t="shared" si="110"/>
        <v>706.39270351394941</v>
      </c>
      <c r="X77" s="191">
        <f t="shared" si="110"/>
        <v>715.85621916044249</v>
      </c>
      <c r="Y77" s="191">
        <f t="shared" si="110"/>
        <v>700.80701618407898</v>
      </c>
      <c r="Z77" s="191">
        <f t="shared" si="110"/>
        <v>571.0074127028339</v>
      </c>
      <c r="AA77" s="191">
        <f t="shared" si="110"/>
        <v>367.34734011400184</v>
      </c>
      <c r="AB77" s="191">
        <f t="shared" si="110"/>
        <v>295.59711850299436</v>
      </c>
      <c r="AC77" s="191">
        <f>AC78*AC48</f>
        <v>285.01297921560882</v>
      </c>
      <c r="AD77" s="191">
        <f>AD78*AD48</f>
        <v>282.96574625348228</v>
      </c>
      <c r="AE77" s="191">
        <f>AE78*AE48</f>
        <v>216.63279395945344</v>
      </c>
      <c r="AH77"/>
      <c r="AI77"/>
      <c r="AJ77"/>
      <c r="AK77"/>
      <c r="AL77"/>
      <c r="AM77"/>
    </row>
    <row r="78" spans="2:39" s="247" customFormat="1" ht="12.75" customHeight="1" outlineLevel="1">
      <c r="B78" s="245" t="s">
        <v>524</v>
      </c>
      <c r="C78" s="248">
        <f t="shared" ref="C78:K78" si="111">C77/C48</f>
        <v>9.1708042962591899E-2</v>
      </c>
      <c r="D78" s="248">
        <f t="shared" si="111"/>
        <v>6.6087116677410435E-2</v>
      </c>
      <c r="E78" s="248">
        <f t="shared" si="111"/>
        <v>7.0947968487584168E-2</v>
      </c>
      <c r="F78" s="248">
        <f t="shared" si="111"/>
        <v>6.958492646305646E-2</v>
      </c>
      <c r="G78" s="248">
        <f t="shared" si="111"/>
        <v>9.7518781852386258E-2</v>
      </c>
      <c r="H78" s="248">
        <f t="shared" si="111"/>
        <v>7.7299369762843045E-2</v>
      </c>
      <c r="I78" s="248">
        <f t="shared" si="111"/>
        <v>8.5101239288109795E-2</v>
      </c>
      <c r="J78" s="248">
        <f t="shared" si="111"/>
        <v>9.6717177659521619E-2</v>
      </c>
      <c r="K78" s="248">
        <f t="shared" si="111"/>
        <v>7.6375342155311846E-2</v>
      </c>
      <c r="L78" s="248">
        <f t="shared" ref="L78:R78" si="112">L77/L48</f>
        <v>8.2077534221304829E-2</v>
      </c>
      <c r="M78" s="681">
        <f t="shared" si="112"/>
        <v>5.8149208066590727E-2</v>
      </c>
      <c r="N78" s="681">
        <f t="shared" si="112"/>
        <v>6.7439344768969234E-2</v>
      </c>
      <c r="O78" s="681">
        <f t="shared" si="112"/>
        <v>7.7492699207342516E-2</v>
      </c>
      <c r="P78" s="681">
        <f t="shared" si="112"/>
        <v>0.10638504753673293</v>
      </c>
      <c r="Q78" s="681">
        <f t="shared" si="112"/>
        <v>6.9399422933067348E-2</v>
      </c>
      <c r="R78" s="681">
        <f t="shared" si="112"/>
        <v>2.9839267861262786E-2</v>
      </c>
      <c r="S78" s="246">
        <f t="shared" ref="S78:U78" si="113">+R78</f>
        <v>2.9839267861262786E-2</v>
      </c>
      <c r="T78" s="246">
        <f t="shared" si="113"/>
        <v>2.9839267861262786E-2</v>
      </c>
      <c r="U78" s="246">
        <f t="shared" si="113"/>
        <v>2.9839267861262786E-2</v>
      </c>
      <c r="V78" s="246">
        <f t="shared" ref="V78:AB78" si="114">+U78</f>
        <v>2.9839267861262786E-2</v>
      </c>
      <c r="W78" s="246">
        <f t="shared" si="114"/>
        <v>2.9839267861262786E-2</v>
      </c>
      <c r="X78" s="246">
        <f t="shared" si="114"/>
        <v>2.9839267861262786E-2</v>
      </c>
      <c r="Y78" s="246">
        <f t="shared" si="114"/>
        <v>2.9839267861262786E-2</v>
      </c>
      <c r="Z78" s="246">
        <f t="shared" si="114"/>
        <v>2.9839267861262786E-2</v>
      </c>
      <c r="AA78" s="246">
        <f t="shared" si="114"/>
        <v>2.9839267861262786E-2</v>
      </c>
      <c r="AB78" s="246">
        <f t="shared" si="114"/>
        <v>2.9839267861262786E-2</v>
      </c>
      <c r="AC78" s="246">
        <f>+AB78</f>
        <v>2.9839267861262786E-2</v>
      </c>
      <c r="AD78" s="246">
        <f>+AC78</f>
        <v>2.9839267861262786E-2</v>
      </c>
      <c r="AE78" s="246">
        <f>+AD78</f>
        <v>2.9839267861262786E-2</v>
      </c>
      <c r="AH78"/>
      <c r="AI78"/>
      <c r="AJ78"/>
      <c r="AK78"/>
      <c r="AL78"/>
      <c r="AM78"/>
    </row>
    <row r="79" spans="2:39" s="209" customFormat="1" ht="12.75" customHeight="1" outlineLevel="1">
      <c r="B79" s="243" t="s">
        <v>476</v>
      </c>
      <c r="C79" s="191">
        <f t="shared" ref="C79:O79" si="115">C6</f>
        <v>4.806</v>
      </c>
      <c r="D79" s="191">
        <f t="shared" si="115"/>
        <v>9.6959999999999997</v>
      </c>
      <c r="E79" s="191">
        <f t="shared" si="115"/>
        <v>24.404</v>
      </c>
      <c r="F79" s="191">
        <f t="shared" si="115"/>
        <v>20.242000000000001</v>
      </c>
      <c r="G79" s="191">
        <f t="shared" si="115"/>
        <v>25.370999999999999</v>
      </c>
      <c r="H79" s="191">
        <f t="shared" si="115"/>
        <v>49.076000000000001</v>
      </c>
      <c r="I79" s="191">
        <f t="shared" si="115"/>
        <v>100.176</v>
      </c>
      <c r="J79" s="191">
        <f t="shared" si="115"/>
        <v>100.68300000000001</v>
      </c>
      <c r="K79" s="191">
        <f t="shared" si="115"/>
        <v>260.13</v>
      </c>
      <c r="L79" s="191">
        <f t="shared" si="115"/>
        <v>189.57300000000001</v>
      </c>
      <c r="M79" s="680">
        <f t="shared" si="115"/>
        <v>259.495</v>
      </c>
      <c r="N79" s="680">
        <f t="shared" si="115"/>
        <v>340.4</v>
      </c>
      <c r="O79" s="680">
        <f t="shared" si="115"/>
        <v>393.1</v>
      </c>
      <c r="P79" s="680">
        <f t="shared" ref="P79:R79" si="116">P6</f>
        <v>443.4</v>
      </c>
      <c r="Q79" s="680">
        <f t="shared" si="116"/>
        <v>497.9</v>
      </c>
      <c r="R79" s="680">
        <f t="shared" si="116"/>
        <v>541</v>
      </c>
      <c r="S79" s="191">
        <f t="shared" ref="S79:U79" si="117">S49/S57</f>
        <v>619.28451505457383</v>
      </c>
      <c r="T79" s="191">
        <f t="shared" si="117"/>
        <v>729.79075645265152</v>
      </c>
      <c r="U79" s="191">
        <f t="shared" si="117"/>
        <v>932.56471525270672</v>
      </c>
      <c r="V79" s="191">
        <f t="shared" ref="V79:AB79" si="118">V49/V57</f>
        <v>1233.364697054205</v>
      </c>
      <c r="W79" s="191">
        <f t="shared" si="118"/>
        <v>1467.1446602888479</v>
      </c>
      <c r="X79" s="191">
        <f t="shared" si="118"/>
        <v>1653.0102646558298</v>
      </c>
      <c r="Y79" s="191">
        <f t="shared" si="118"/>
        <v>1881.3586647855088</v>
      </c>
      <c r="Z79" s="191">
        <f t="shared" si="118"/>
        <v>1798.8417310923955</v>
      </c>
      <c r="AA79" s="191">
        <f t="shared" si="118"/>
        <v>1726.7488111252305</v>
      </c>
      <c r="AB79" s="191">
        <f t="shared" si="118"/>
        <v>1757.6100758794159</v>
      </c>
      <c r="AC79" s="191">
        <f>AC49/AC57</f>
        <v>1822.1271834308311</v>
      </c>
      <c r="AD79" s="191">
        <f>AD49/AD57</f>
        <v>1893.8339210487986</v>
      </c>
      <c r="AE79" s="191">
        <f>AE49/AE57</f>
        <v>1742.3860771321522</v>
      </c>
      <c r="AH79"/>
      <c r="AI79"/>
      <c r="AJ79"/>
      <c r="AK79"/>
      <c r="AL79"/>
      <c r="AM79"/>
    </row>
    <row r="80" spans="2:39" s="247" customFormat="1" ht="12.75" customHeight="1" outlineLevel="1">
      <c r="B80" s="245" t="s">
        <v>526</v>
      </c>
      <c r="C80" s="248">
        <f t="shared" ref="C80:R80" si="119">C79/C48</f>
        <v>3.5404358139466352E-2</v>
      </c>
      <c r="D80" s="248">
        <f t="shared" si="119"/>
        <v>3.5715995948061512E-2</v>
      </c>
      <c r="E80" s="248">
        <f t="shared" si="119"/>
        <v>6.4646015120449693E-2</v>
      </c>
      <c r="F80" s="248">
        <f t="shared" si="119"/>
        <v>3.7698741574958887E-2</v>
      </c>
      <c r="G80" s="248">
        <f t="shared" si="119"/>
        <v>2.8225344403491927E-2</v>
      </c>
      <c r="H80" s="248">
        <f t="shared" si="119"/>
        <v>3.4909163335277639E-2</v>
      </c>
      <c r="I80" s="248">
        <f t="shared" si="119"/>
        <v>4.4765054515181535E-2</v>
      </c>
      <c r="J80" s="248">
        <f t="shared" si="119"/>
        <v>3.7607027239630081E-2</v>
      </c>
      <c r="K80" s="248">
        <f t="shared" si="119"/>
        <v>7.2244205577575937E-2</v>
      </c>
      <c r="L80" s="248">
        <f>L79/L48</f>
        <v>3.9382234088433186E-2</v>
      </c>
      <c r="M80" s="683">
        <f>M79/M48</f>
        <v>4.7123392847965746E-2</v>
      </c>
      <c r="N80" s="246">
        <f t="shared" si="119"/>
        <v>5.2603925204759684E-2</v>
      </c>
      <c r="O80" s="246">
        <f t="shared" si="119"/>
        <v>5.1248957029620366E-2</v>
      </c>
      <c r="P80" s="246">
        <f t="shared" si="119"/>
        <v>4.7904062229904926E-2</v>
      </c>
      <c r="Q80" s="246">
        <f t="shared" si="119"/>
        <v>4.4339757061945637E-2</v>
      </c>
      <c r="R80" s="246">
        <f t="shared" si="119"/>
        <v>4.1605783280781357E-2</v>
      </c>
      <c r="S80" s="246">
        <f>S79/S48</f>
        <v>4.1917752346115257E-2</v>
      </c>
      <c r="T80" s="246">
        <f>T79/T48</f>
        <v>4.3625881453447549E-2</v>
      </c>
      <c r="U80" s="246">
        <f>U79/U48</f>
        <v>4.8445624133300252E-2</v>
      </c>
      <c r="V80" s="246">
        <f t="shared" ref="V80:AB80" si="120">V79/V48</f>
        <v>5.578373330023826E-2</v>
      </c>
      <c r="W80" s="246">
        <f t="shared" si="120"/>
        <v>6.1974766007355596E-2</v>
      </c>
      <c r="X80" s="246">
        <f t="shared" si="120"/>
        <v>6.8902965070737524E-2</v>
      </c>
      <c r="Y80" s="246">
        <f t="shared" si="120"/>
        <v>8.010531265414271E-2</v>
      </c>
      <c r="Z80" s="246">
        <f t="shared" si="120"/>
        <v>9.4002492892361081E-2</v>
      </c>
      <c r="AA80" s="246">
        <f t="shared" si="120"/>
        <v>0.14026212980960384</v>
      </c>
      <c r="AB80" s="246">
        <f t="shared" si="120"/>
        <v>0.17742323780226238</v>
      </c>
      <c r="AC80" s="246">
        <f>AC79/AC48</f>
        <v>0.19076654422306125</v>
      </c>
      <c r="AD80" s="246">
        <f>AD79/AD48</f>
        <v>0.19970833361681234</v>
      </c>
      <c r="AE80" s="246">
        <f>AE79/AE48</f>
        <v>0.23999840431828745</v>
      </c>
      <c r="AH80"/>
      <c r="AI80"/>
      <c r="AJ80"/>
      <c r="AK80"/>
      <c r="AL80"/>
      <c r="AM80"/>
    </row>
    <row r="81" spans="2:39" ht="12.75" customHeight="1" outlineLevel="1">
      <c r="B81" s="238" t="s">
        <v>532</v>
      </c>
      <c r="C81" s="251"/>
      <c r="D81" s="252"/>
      <c r="E81" s="252"/>
      <c r="F81" s="252"/>
      <c r="G81" s="252"/>
      <c r="H81" s="252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</row>
    <row r="82" spans="2:39" s="209" customFormat="1" ht="12.75" customHeight="1" outlineLevel="1">
      <c r="B82" s="237" t="s">
        <v>533</v>
      </c>
      <c r="C82" s="253">
        <f t="shared" ref="C82:U82" si="121">+C10/C26</f>
        <v>6.685995574222102</v>
      </c>
      <c r="D82" s="253">
        <f t="shared" si="121"/>
        <v>10.169359556508899</v>
      </c>
      <c r="E82" s="253">
        <f t="shared" si="121"/>
        <v>6.0098292260368416</v>
      </c>
      <c r="F82" s="253">
        <f t="shared" si="121"/>
        <v>7.1723571002012712</v>
      </c>
      <c r="G82" s="253">
        <f t="shared" si="121"/>
        <v>9.6411142121708941</v>
      </c>
      <c r="H82" s="253">
        <f t="shared" si="121"/>
        <v>7.1245094483878475</v>
      </c>
      <c r="I82" s="253">
        <f t="shared" si="121"/>
        <v>5.3890503140836952</v>
      </c>
      <c r="J82" s="253">
        <f t="shared" si="121"/>
        <v>7.771912553946291</v>
      </c>
      <c r="K82" s="253">
        <f t="shared" si="121"/>
        <v>4.0576158791907941</v>
      </c>
      <c r="L82" s="253">
        <f t="shared" si="121"/>
        <v>2.8268208772627044</v>
      </c>
      <c r="M82" s="253">
        <f t="shared" si="121"/>
        <v>3.2739027413347848</v>
      </c>
      <c r="N82" s="253">
        <f t="shared" si="121"/>
        <v>3.8810074530968897</v>
      </c>
      <c r="O82" s="253">
        <f t="shared" si="121"/>
        <v>4.5983334911466729</v>
      </c>
      <c r="P82" s="253">
        <f t="shared" si="121"/>
        <v>4.774696531057951</v>
      </c>
      <c r="Q82" s="253">
        <f t="shared" si="121"/>
        <v>3.6724452554744516</v>
      </c>
      <c r="R82" s="253">
        <f t="shared" si="121"/>
        <v>4.9856042852360227</v>
      </c>
      <c r="S82" s="253">
        <f t="shared" si="121"/>
        <v>2.2787660307541615</v>
      </c>
      <c r="T82" s="253">
        <f t="shared" si="121"/>
        <v>2.8205260422406524</v>
      </c>
      <c r="U82" s="253">
        <f t="shared" si="121"/>
        <v>2.5683864184873157</v>
      </c>
      <c r="V82" s="253">
        <f t="shared" ref="V82:AB82" si="122">+V10/V26</f>
        <v>3.1370657452998123</v>
      </c>
      <c r="W82" s="253">
        <f t="shared" si="122"/>
        <v>3.4945717804217664</v>
      </c>
      <c r="X82" s="253">
        <f t="shared" si="122"/>
        <v>4.0792297746965218</v>
      </c>
      <c r="Y82" s="253">
        <f t="shared" si="122"/>
        <v>4.9448410566911472</v>
      </c>
      <c r="Z82" s="253">
        <f t="shared" si="122"/>
        <v>5.9190975857721178</v>
      </c>
      <c r="AA82" s="253">
        <f t="shared" si="122"/>
        <v>7.5901023858096917</v>
      </c>
      <c r="AB82" s="253">
        <f t="shared" si="122"/>
        <v>7.6056395717107756</v>
      </c>
      <c r="AC82" s="253">
        <f>+AC10/AC26</f>
        <v>7.7845925938639686</v>
      </c>
      <c r="AD82" s="253">
        <f>+AD10/AD26</f>
        <v>8.4287421880481297</v>
      </c>
      <c r="AE82" s="253">
        <f>+AE10/AE26</f>
        <v>10.599016468673247</v>
      </c>
      <c r="AH82"/>
      <c r="AI82"/>
      <c r="AJ82"/>
      <c r="AK82"/>
      <c r="AL82"/>
      <c r="AM82"/>
    </row>
    <row r="83" spans="2:39" s="209" customFormat="1" ht="12.75" customHeight="1" outlineLevel="1">
      <c r="B83" s="237" t="s">
        <v>534</v>
      </c>
      <c r="C83" s="253">
        <f t="shared" ref="C83:U83" si="123">+(C3+C4+C5)/C26</f>
        <v>6.2963690556835115</v>
      </c>
      <c r="D83" s="253">
        <f t="shared" si="123"/>
        <v>9.7844109535615775</v>
      </c>
      <c r="E83" s="253">
        <f t="shared" si="123"/>
        <v>5.6190008132093476</v>
      </c>
      <c r="F83" s="253">
        <f t="shared" si="123"/>
        <v>5.9141163546819806</v>
      </c>
      <c r="G83" s="253">
        <f t="shared" si="123"/>
        <v>8.8025473189738968</v>
      </c>
      <c r="H83" s="253">
        <f t="shared" si="123"/>
        <v>6.7127787106952361</v>
      </c>
      <c r="I83" s="253">
        <f t="shared" si="123"/>
        <v>4.8067209358783725</v>
      </c>
      <c r="J83" s="253">
        <f t="shared" si="123"/>
        <v>6.9442779029926927</v>
      </c>
      <c r="K83" s="253">
        <f t="shared" si="123"/>
        <v>3.0902332064627394</v>
      </c>
      <c r="L83" s="253">
        <f t="shared" si="123"/>
        <v>2.3336041174774609</v>
      </c>
      <c r="M83" s="253">
        <f t="shared" si="123"/>
        <v>2.8758078018737043</v>
      </c>
      <c r="N83" s="253">
        <f t="shared" si="123"/>
        <v>3.4687226933950139</v>
      </c>
      <c r="O83" s="253">
        <f t="shared" si="123"/>
        <v>4.1252722280087122</v>
      </c>
      <c r="P83" s="253">
        <f t="shared" si="123"/>
        <v>4.0493676672253542</v>
      </c>
      <c r="Q83" s="253">
        <f t="shared" si="123"/>
        <v>3.240842119491754</v>
      </c>
      <c r="R83" s="253">
        <f t="shared" si="123"/>
        <v>4.6745898895212585</v>
      </c>
      <c r="S83" s="253">
        <f t="shared" si="123"/>
        <v>1.972416741151096</v>
      </c>
      <c r="T83" s="253">
        <f t="shared" si="123"/>
        <v>2.50096483482724</v>
      </c>
      <c r="U83" s="253">
        <f t="shared" si="123"/>
        <v>2.2271245765667018</v>
      </c>
      <c r="V83" s="253">
        <f t="shared" ref="V83:AB83" si="124">+(V3+V4+V5)/V26</f>
        <v>2.7685175005803622</v>
      </c>
      <c r="W83" s="253">
        <f t="shared" si="124"/>
        <v>3.1031480685549635</v>
      </c>
      <c r="X83" s="253">
        <f t="shared" si="124"/>
        <v>3.6639320429561142</v>
      </c>
      <c r="Y83" s="253">
        <f t="shared" si="124"/>
        <v>4.4982158185168188</v>
      </c>
      <c r="Z83" s="253">
        <f t="shared" si="124"/>
        <v>5.4388154787114553</v>
      </c>
      <c r="AA83" s="253">
        <f t="shared" si="124"/>
        <v>7.0256785285617394</v>
      </c>
      <c r="AB83" s="253">
        <f t="shared" si="124"/>
        <v>6.988990137478881</v>
      </c>
      <c r="AC83" s="253">
        <f>+(AC3+AC4+AC5)/AC26</f>
        <v>7.1494047916313415</v>
      </c>
      <c r="AD83" s="253">
        <f>+(AD3+AD4+AD5)/AD26</f>
        <v>7.7806030740203314</v>
      </c>
      <c r="AE83" s="253">
        <f>+(AE3+AE4+AE5)/AE26</f>
        <v>9.9122750169747267</v>
      </c>
      <c r="AH83"/>
      <c r="AI83"/>
      <c r="AJ83"/>
      <c r="AK83"/>
      <c r="AL83"/>
      <c r="AM83"/>
    </row>
    <row r="84" spans="2:39" ht="12.75" customHeight="1" outlineLevel="1">
      <c r="B84" s="238" t="s">
        <v>535</v>
      </c>
      <c r="C84" s="251"/>
      <c r="D84" s="251"/>
      <c r="E84" s="251"/>
      <c r="F84" s="251"/>
      <c r="G84" s="251"/>
      <c r="H84" s="251"/>
      <c r="I84" s="251"/>
      <c r="J84" s="251"/>
      <c r="K84" s="251"/>
      <c r="L84" s="251"/>
      <c r="M84" s="251"/>
      <c r="N84" s="251"/>
      <c r="O84" s="251"/>
      <c r="P84" s="251"/>
      <c r="Q84" s="251"/>
      <c r="R84" s="251"/>
      <c r="S84" s="251"/>
      <c r="T84" s="251"/>
      <c r="U84" s="251"/>
    </row>
    <row r="85" spans="2:39" s="247" customFormat="1" ht="12.75" customHeight="1" outlineLevel="1">
      <c r="B85" s="254" t="s">
        <v>536</v>
      </c>
      <c r="C85" s="246"/>
      <c r="D85" s="246">
        <f t="shared" ref="D85:R85" si="125">D52/AVERAGE(D43,C43)</f>
        <v>5.4729949609001384E-2</v>
      </c>
      <c r="E85" s="246">
        <f t="shared" si="125"/>
        <v>0.15283963677167728</v>
      </c>
      <c r="F85" s="246">
        <f t="shared" si="125"/>
        <v>0.12238382564437007</v>
      </c>
      <c r="G85" s="246">
        <f t="shared" si="125"/>
        <v>0.16088963350015623</v>
      </c>
      <c r="H85" s="246">
        <f t="shared" si="125"/>
        <v>0.18793677586102076</v>
      </c>
      <c r="I85" s="246">
        <f t="shared" si="125"/>
        <v>0.22690770025343829</v>
      </c>
      <c r="J85" s="246">
        <f t="shared" si="125"/>
        <v>0.24633759298518099</v>
      </c>
      <c r="K85" s="246">
        <f t="shared" si="125"/>
        <v>0.25346379306839589</v>
      </c>
      <c r="L85" s="246">
        <f t="shared" si="125"/>
        <v>0.30495620482399299</v>
      </c>
      <c r="M85" s="246">
        <f t="shared" si="125"/>
        <v>0.38591033580751782</v>
      </c>
      <c r="N85" s="246">
        <f t="shared" si="125"/>
        <v>0.45021577196133394</v>
      </c>
      <c r="O85" s="246">
        <f t="shared" si="125"/>
        <v>0.51154382692101319</v>
      </c>
      <c r="P85" s="246">
        <f t="shared" si="125"/>
        <v>0.62398945659685945</v>
      </c>
      <c r="Q85" s="246">
        <f t="shared" si="125"/>
        <v>0.76205235535176497</v>
      </c>
      <c r="R85" s="246">
        <f t="shared" si="125"/>
        <v>0.88607501312840686</v>
      </c>
      <c r="S85" s="246">
        <f>S52/AVERAGE(S43,R43)</f>
        <v>0.81057068504775065</v>
      </c>
      <c r="T85" s="246">
        <f>T52/AVERAGE(T43,S43)</f>
        <v>0.72131126239989662</v>
      </c>
      <c r="U85" s="246">
        <f>U52/AVERAGE(U43,T43)</f>
        <v>0.69657424112801314</v>
      </c>
      <c r="V85" s="246">
        <f t="shared" ref="V85:AB85" si="126">V52/AVERAGE(V43,U43)</f>
        <v>0.65238334961384081</v>
      </c>
      <c r="W85" s="246">
        <f t="shared" si="126"/>
        <v>0.54821170926821361</v>
      </c>
      <c r="X85" s="246">
        <f t="shared" si="126"/>
        <v>0.45223828373075875</v>
      </c>
      <c r="Y85" s="246">
        <f t="shared" si="126"/>
        <v>0.36292692955393385</v>
      </c>
      <c r="Z85" s="246">
        <f t="shared" si="126"/>
        <v>0.2543909412367647</v>
      </c>
      <c r="AA85" s="246">
        <f t="shared" si="126"/>
        <v>0.14793880946623919</v>
      </c>
      <c r="AB85" s="246">
        <f t="shared" si="126"/>
        <v>0.11684542169387503</v>
      </c>
      <c r="AC85" s="246">
        <f>AC52/AVERAGE(AC43,AB43)</f>
        <v>0.11429309249398216</v>
      </c>
      <c r="AD85" s="246">
        <f>AD52/AVERAGE(AD43,AC43)</f>
        <v>0.11019836399240221</v>
      </c>
      <c r="AE85" s="246">
        <f>AE52/AVERAGE(AE43,AD43)</f>
        <v>7.5853404983478132E-2</v>
      </c>
      <c r="AH85"/>
      <c r="AI85"/>
      <c r="AJ85"/>
      <c r="AK85"/>
      <c r="AL85"/>
      <c r="AM85"/>
    </row>
    <row r="86" spans="2:39" s="247" customFormat="1" ht="12.75" customHeight="1" outlineLevel="1">
      <c r="B86" s="254" t="s">
        <v>537</v>
      </c>
      <c r="C86" s="246"/>
      <c r="D86" s="246">
        <f t="shared" ref="D86:U86" si="127">D52/AVERAGE(D17,C17)</f>
        <v>2.9202508434087848E-2</v>
      </c>
      <c r="E86" s="246">
        <f t="shared" si="127"/>
        <v>6.4403882896539588E-2</v>
      </c>
      <c r="F86" s="246">
        <f t="shared" si="127"/>
        <v>5.7592008136604318E-2</v>
      </c>
      <c r="G86" s="246">
        <f t="shared" si="127"/>
        <v>0.10521408556211859</v>
      </c>
      <c r="H86" s="246">
        <f t="shared" si="127"/>
        <v>0.14272369556055339</v>
      </c>
      <c r="I86" s="246">
        <f t="shared" si="127"/>
        <v>0.1784288915583512</v>
      </c>
      <c r="J86" s="246">
        <f t="shared" si="127"/>
        <v>0.19752768318243555</v>
      </c>
      <c r="K86" s="246">
        <f t="shared" si="127"/>
        <v>0.16899101035925085</v>
      </c>
      <c r="L86" s="246">
        <f t="shared" si="127"/>
        <v>0.17370943333106081</v>
      </c>
      <c r="M86" s="246">
        <f t="shared" si="127"/>
        <v>0.19893877779319205</v>
      </c>
      <c r="N86" s="246">
        <f t="shared" si="127"/>
        <v>0.20230557635307289</v>
      </c>
      <c r="O86" s="246">
        <f t="shared" si="127"/>
        <v>0.20174293499314735</v>
      </c>
      <c r="P86" s="246">
        <f t="shared" si="127"/>
        <v>0.17490848885535046</v>
      </c>
      <c r="Q86" s="246">
        <f t="shared" si="127"/>
        <v>0.17301002919893357</v>
      </c>
      <c r="R86" s="246">
        <f t="shared" si="127"/>
        <v>0.2057478884221301</v>
      </c>
      <c r="S86" s="246">
        <f t="shared" si="127"/>
        <v>0.20824662587234891</v>
      </c>
      <c r="T86" s="246">
        <f t="shared" si="127"/>
        <v>0.22513397521197376</v>
      </c>
      <c r="U86" s="246">
        <f t="shared" si="127"/>
        <v>0.25302913868439614</v>
      </c>
      <c r="V86" s="246">
        <f t="shared" ref="V86:AE86" si="128">V52/AVERAGE(V17,U17)</f>
        <v>0.27423295255038638</v>
      </c>
      <c r="W86" s="246">
        <f t="shared" si="128"/>
        <v>0.26874381777757733</v>
      </c>
      <c r="X86" s="246">
        <f t="shared" si="128"/>
        <v>0.25351221772369498</v>
      </c>
      <c r="Y86" s="246">
        <f t="shared" si="128"/>
        <v>0.22555003425973674</v>
      </c>
      <c r="Z86" s="246">
        <f t="shared" si="128"/>
        <v>0.17326968395100148</v>
      </c>
      <c r="AA86" s="246">
        <f t="shared" si="128"/>
        <v>0.10667506301894306</v>
      </c>
      <c r="AB86" s="246">
        <f t="shared" si="128"/>
        <v>8.5673569008593548E-2</v>
      </c>
      <c r="AC86" s="246">
        <f t="shared" si="128"/>
        <v>8.429987507569274E-2</v>
      </c>
      <c r="AD86" s="246">
        <f t="shared" si="128"/>
        <v>8.1726593787986426E-2</v>
      </c>
      <c r="AE86" s="246">
        <f t="shared" si="128"/>
        <v>5.7184509505293475E-2</v>
      </c>
      <c r="AH86"/>
      <c r="AI86"/>
      <c r="AJ86"/>
      <c r="AK86"/>
      <c r="AL86"/>
      <c r="AM86"/>
    </row>
    <row r="87" spans="2:39" s="247" customFormat="1" ht="12.75" customHeight="1" outlineLevel="1">
      <c r="B87" s="254" t="s">
        <v>538</v>
      </c>
      <c r="C87" s="246">
        <f t="shared" ref="C87:R87" si="129">1-C49/C48</f>
        <v>0.84627908004655761</v>
      </c>
      <c r="D87" s="246">
        <f t="shared" si="129"/>
        <v>0.83351689842526944</v>
      </c>
      <c r="E87" s="246">
        <f t="shared" si="129"/>
        <v>0.84178626868202022</v>
      </c>
      <c r="F87" s="246">
        <f t="shared" si="129"/>
        <v>0.84837440240175366</v>
      </c>
      <c r="G87" s="246">
        <f t="shared" si="129"/>
        <v>0.86084018543220231</v>
      </c>
      <c r="H87" s="246">
        <f t="shared" si="129"/>
        <v>0.90817601115363278</v>
      </c>
      <c r="I87" s="246">
        <f t="shared" si="129"/>
        <v>0.89946407592756694</v>
      </c>
      <c r="J87" s="246">
        <f t="shared" si="129"/>
        <v>0.92393992467613084</v>
      </c>
      <c r="K87" s="246">
        <f t="shared" si="129"/>
        <v>0.93127066262597535</v>
      </c>
      <c r="L87" s="246">
        <f t="shared" si="129"/>
        <v>0.93709848705810206</v>
      </c>
      <c r="M87" s="246">
        <f t="shared" si="129"/>
        <v>0.94765225643682538</v>
      </c>
      <c r="N87" s="246">
        <f t="shared" si="129"/>
        <v>0.95025498377375983</v>
      </c>
      <c r="O87" s="246">
        <f t="shared" si="129"/>
        <v>0.95310544430538169</v>
      </c>
      <c r="P87" s="246">
        <f t="shared" si="129"/>
        <v>0.95803802938634397</v>
      </c>
      <c r="Q87" s="246">
        <f t="shared" si="129"/>
        <v>0.96391550600220854</v>
      </c>
      <c r="R87" s="246">
        <f t="shared" si="129"/>
        <v>0.96677689763900643</v>
      </c>
      <c r="S87" s="246">
        <f>1-S49/S48</f>
        <v>0.96652778370883219</v>
      </c>
      <c r="T87" s="246">
        <f>1-T49/T48</f>
        <v>0.96516380630704368</v>
      </c>
      <c r="U87" s="246">
        <f>1-U49/U48</f>
        <v>0.96131513932424084</v>
      </c>
      <c r="V87" s="246">
        <f t="shared" ref="V87:AB87" si="130">1-V49/V48</f>
        <v>0.95545550316875616</v>
      </c>
      <c r="W87" s="246">
        <f t="shared" si="130"/>
        <v>0.95051183194976407</v>
      </c>
      <c r="X87" s="246">
        <f t="shared" si="130"/>
        <v>0.94497951772540001</v>
      </c>
      <c r="Y87" s="246">
        <f t="shared" si="130"/>
        <v>0.93603420505251456</v>
      </c>
      <c r="Z87" s="246">
        <f t="shared" si="130"/>
        <v>0.92493701122088723</v>
      </c>
      <c r="AA87" s="246">
        <f t="shared" si="130"/>
        <v>0.88799770780453069</v>
      </c>
      <c r="AB87" s="246">
        <f t="shared" si="130"/>
        <v>0.85832377314126185</v>
      </c>
      <c r="AC87" s="246">
        <f>1-AC49/AC48</f>
        <v>0.84766885932650193</v>
      </c>
      <c r="AD87" s="246">
        <f>1-AD49/AD48</f>
        <v>0.84052865042058611</v>
      </c>
      <c r="AE87" s="246">
        <f>1-AE49/AE48</f>
        <v>0.80835617252218084</v>
      </c>
      <c r="AH87"/>
      <c r="AI87"/>
      <c r="AJ87"/>
      <c r="AK87"/>
      <c r="AL87"/>
      <c r="AM87"/>
    </row>
    <row r="88" spans="2:39" s="247" customFormat="1" ht="12.75" customHeight="1" outlineLevel="1">
      <c r="B88" s="254" t="s">
        <v>539</v>
      </c>
      <c r="C88" s="246">
        <f t="shared" ref="C88:R88" si="131">C52/C48</f>
        <v>-0.66662737760228663</v>
      </c>
      <c r="D88" s="246">
        <f t="shared" si="131"/>
        <v>6.133161432912794E-2</v>
      </c>
      <c r="E88" s="246">
        <f t="shared" si="131"/>
        <v>0.16380840366408655</v>
      </c>
      <c r="F88" s="246">
        <f t="shared" si="131"/>
        <v>0.12686682521915815</v>
      </c>
      <c r="G88" s="246">
        <f t="shared" si="131"/>
        <v>0.23375716035524488</v>
      </c>
      <c r="H88" s="246">
        <f t="shared" si="131"/>
        <v>0.32218847363104786</v>
      </c>
      <c r="I88" s="246">
        <f t="shared" si="131"/>
        <v>0.32118846179111171</v>
      </c>
      <c r="J88" s="246">
        <f t="shared" si="131"/>
        <v>0.36279951098874624</v>
      </c>
      <c r="K88" s="246">
        <f t="shared" si="131"/>
        <v>0.36528884351504581</v>
      </c>
      <c r="L88" s="246">
        <f t="shared" si="131"/>
        <v>0.36417031668989219</v>
      </c>
      <c r="M88" s="246">
        <f t="shared" si="131"/>
        <v>0.39269996457051592</v>
      </c>
      <c r="N88" s="246">
        <f t="shared" si="131"/>
        <v>0.39255138309380316</v>
      </c>
      <c r="O88" s="246">
        <f t="shared" si="131"/>
        <v>0.40396850229453479</v>
      </c>
      <c r="P88" s="246">
        <f t="shared" si="131"/>
        <v>0.4194468452895419</v>
      </c>
      <c r="Q88" s="246">
        <f t="shared" si="131"/>
        <v>0.42476757026324219</v>
      </c>
      <c r="R88" s="246">
        <f t="shared" si="131"/>
        <v>0.46066292394062908</v>
      </c>
      <c r="S88" s="246">
        <f>S52/S48</f>
        <v>0.44499710895636552</v>
      </c>
      <c r="T88" s="246">
        <f>T52/T48</f>
        <v>0.4625249799921608</v>
      </c>
      <c r="U88" s="246">
        <f>U52/U48</f>
        <v>0.47205369646004453</v>
      </c>
      <c r="V88" s="246">
        <f t="shared" ref="V88:AB88" si="132">V52/V48</f>
        <v>0.47646642953106777</v>
      </c>
      <c r="W88" s="246">
        <f t="shared" si="132"/>
        <v>0.48041892319104101</v>
      </c>
      <c r="X88" s="246">
        <f t="shared" si="132"/>
        <v>0.48334157444767673</v>
      </c>
      <c r="Y88" s="246">
        <f t="shared" si="132"/>
        <v>0.48132226027723329</v>
      </c>
      <c r="Z88" s="246">
        <f t="shared" si="132"/>
        <v>0.47818286970055662</v>
      </c>
      <c r="AA88" s="246">
        <f t="shared" si="132"/>
        <v>0.45205402215181439</v>
      </c>
      <c r="AB88" s="246">
        <f t="shared" si="132"/>
        <v>0.42925838936937</v>
      </c>
      <c r="AC88" s="246">
        <f>AC52/AC48</f>
        <v>0.42193932818447921</v>
      </c>
      <c r="AD88" s="246">
        <f>AD52/AD48</f>
        <v>0.41894992316901009</v>
      </c>
      <c r="AE88" s="246">
        <f>AE52/AE48</f>
        <v>0.39442749706817398</v>
      </c>
      <c r="AH88"/>
      <c r="AI88"/>
      <c r="AJ88"/>
      <c r="AK88"/>
      <c r="AL88"/>
      <c r="AM88"/>
    </row>
    <row r="89" spans="2:39" s="209" customFormat="1" ht="12.75" customHeight="1" outlineLevel="1">
      <c r="B89" s="237" t="s">
        <v>540</v>
      </c>
      <c r="C89" s="191"/>
      <c r="D89" s="191">
        <f t="shared" ref="D89:U89" si="133">D48/AVERAGE(D12,C12)</f>
        <v>12.882598585868173</v>
      </c>
      <c r="E89" s="191">
        <f t="shared" si="133"/>
        <v>9.8972785905301262</v>
      </c>
      <c r="F89" s="191">
        <f t="shared" si="133"/>
        <v>8.1841405327134851</v>
      </c>
      <c r="G89" s="191">
        <f t="shared" si="133"/>
        <v>8.021283051195331</v>
      </c>
      <c r="H89" s="191">
        <f t="shared" si="133"/>
        <v>8.1716379954253888</v>
      </c>
      <c r="I89" s="191">
        <f t="shared" si="133"/>
        <v>10.026084287823226</v>
      </c>
      <c r="J89" s="191">
        <f t="shared" si="133"/>
        <v>9.7930511025800957</v>
      </c>
      <c r="K89" s="191">
        <f t="shared" si="133"/>
        <v>8.9158226147718675</v>
      </c>
      <c r="L89" s="191">
        <f t="shared" si="133"/>
        <v>9.4760881569272843</v>
      </c>
      <c r="M89" s="191">
        <f t="shared" si="133"/>
        <v>10.156201932121238</v>
      </c>
      <c r="N89" s="191">
        <f t="shared" si="133"/>
        <v>11.044905023375057</v>
      </c>
      <c r="O89" s="191">
        <f t="shared" si="133"/>
        <v>12.411650485436892</v>
      </c>
      <c r="P89" s="191">
        <f t="shared" si="133"/>
        <v>12.708176014278848</v>
      </c>
      <c r="Q89" s="191">
        <f t="shared" si="133"/>
        <v>12.878261368197718</v>
      </c>
      <c r="R89" s="191">
        <f t="shared" si="133"/>
        <v>13.004300430043005</v>
      </c>
      <c r="S89" s="191">
        <f t="shared" si="133"/>
        <v>13.225619979876155</v>
      </c>
      <c r="T89" s="191">
        <f t="shared" si="133"/>
        <v>13.776745134594153</v>
      </c>
      <c r="U89" s="191">
        <f t="shared" si="133"/>
        <v>14.241712286348443</v>
      </c>
      <c r="V89" s="191">
        <f t="shared" ref="V89:AE89" si="134">V48/AVERAGE(V12,U12)</f>
        <v>14.410070831637634</v>
      </c>
      <c r="W89" s="191">
        <f t="shared" si="134"/>
        <v>13.802450705224331</v>
      </c>
      <c r="X89" s="191">
        <f t="shared" si="134"/>
        <v>12.898302578015542</v>
      </c>
      <c r="Y89" s="191">
        <f t="shared" si="134"/>
        <v>12.086544421477642</v>
      </c>
      <c r="Z89" s="191">
        <f t="shared" si="134"/>
        <v>9.7857700745816345</v>
      </c>
      <c r="AA89" s="191">
        <f t="shared" si="134"/>
        <v>6.7947757405383067</v>
      </c>
      <c r="AB89" s="191">
        <f t="shared" si="134"/>
        <v>6.620116488912168</v>
      </c>
      <c r="AC89" s="191">
        <f t="shared" si="134"/>
        <v>8.6016382345754092</v>
      </c>
      <c r="AD89" s="191">
        <f t="shared" si="134"/>
        <v>13.751064938030266</v>
      </c>
      <c r="AE89" s="191">
        <f t="shared" si="134"/>
        <v>34.680208263713723</v>
      </c>
      <c r="AH89"/>
      <c r="AI89"/>
      <c r="AJ89"/>
      <c r="AK89"/>
      <c r="AL89"/>
      <c r="AM89"/>
    </row>
    <row r="90" spans="2:39" s="209" customFormat="1" ht="12.75" customHeight="1" outlineLevel="1">
      <c r="B90" s="237" t="s">
        <v>541</v>
      </c>
      <c r="C90" s="191"/>
      <c r="D90" s="191">
        <f t="shared" ref="D90:U90" si="135">D48/AVERAGE(D17,C17)</f>
        <v>0.47614119982846814</v>
      </c>
      <c r="E90" s="191">
        <f t="shared" si="135"/>
        <v>0.39316592711940052</v>
      </c>
      <c r="F90" s="191">
        <f t="shared" si="135"/>
        <v>0.45395640694181533</v>
      </c>
      <c r="G90" s="191">
        <f t="shared" si="135"/>
        <v>0.45009994732235314</v>
      </c>
      <c r="H90" s="191">
        <f t="shared" si="135"/>
        <v>0.44298200352130707</v>
      </c>
      <c r="I90" s="191">
        <f t="shared" si="135"/>
        <v>0.55552709011818213</v>
      </c>
      <c r="J90" s="191">
        <f t="shared" si="135"/>
        <v>0.54445410536554628</v>
      </c>
      <c r="K90" s="191">
        <f t="shared" si="135"/>
        <v>0.46262297181898554</v>
      </c>
      <c r="L90" s="191">
        <f t="shared" si="135"/>
        <v>0.47700052796719949</v>
      </c>
      <c r="M90" s="191">
        <f t="shared" si="135"/>
        <v>0.50659229880696677</v>
      </c>
      <c r="N90" s="191">
        <f t="shared" si="135"/>
        <v>0.51536075292525574</v>
      </c>
      <c r="O90" s="191">
        <f t="shared" si="135"/>
        <v>0.49940263621359249</v>
      </c>
      <c r="P90" s="191">
        <f t="shared" si="135"/>
        <v>0.41699798393909016</v>
      </c>
      <c r="Q90" s="191">
        <f t="shared" si="135"/>
        <v>0.40730517419612255</v>
      </c>
      <c r="R90" s="191">
        <f t="shared" si="135"/>
        <v>0.44663435611902463</v>
      </c>
      <c r="S90" s="191">
        <f t="shared" si="135"/>
        <v>0.46797298607341886</v>
      </c>
      <c r="T90" s="191">
        <f t="shared" si="135"/>
        <v>0.48674987287343813</v>
      </c>
      <c r="U90" s="191">
        <f t="shared" si="135"/>
        <v>0.5360177043032921</v>
      </c>
      <c r="V90" s="191">
        <f t="shared" ref="V90:AE90" si="136">V48/AVERAGE(V17,U17)</f>
        <v>0.57555566468824038</v>
      </c>
      <c r="W90" s="191">
        <f t="shared" si="136"/>
        <v>0.55939473822664143</v>
      </c>
      <c r="X90" s="191">
        <f t="shared" si="136"/>
        <v>0.52449909365522307</v>
      </c>
      <c r="Y90" s="191">
        <f t="shared" si="136"/>
        <v>0.46860503424425837</v>
      </c>
      <c r="Z90" s="191">
        <f t="shared" si="136"/>
        <v>0.36235025328177245</v>
      </c>
      <c r="AA90" s="191">
        <f t="shared" si="136"/>
        <v>0.23597857289525037</v>
      </c>
      <c r="AB90" s="191">
        <f t="shared" si="136"/>
        <v>0.19958507773012399</v>
      </c>
      <c r="AC90" s="191">
        <f t="shared" si="136"/>
        <v>0.19979146157912867</v>
      </c>
      <c r="AD90" s="191">
        <f t="shared" si="136"/>
        <v>0.19507485087905557</v>
      </c>
      <c r="AE90" s="191">
        <f t="shared" si="136"/>
        <v>0.14498104196678138</v>
      </c>
      <c r="AH90"/>
      <c r="AI90"/>
      <c r="AJ90"/>
      <c r="AK90"/>
      <c r="AL90"/>
      <c r="AM90"/>
    </row>
    <row r="91" spans="2:39" s="209" customFormat="1" ht="12.75" customHeight="1" outlineLevel="1">
      <c r="B91" s="237" t="s">
        <v>542</v>
      </c>
      <c r="C91" s="191"/>
      <c r="D91" s="191">
        <f t="shared" ref="D91:U91" si="137">AVERAGE(D17,C17)/AVERAGE(C43,D43)</f>
        <v>1.8741523431978728</v>
      </c>
      <c r="E91" s="191">
        <f t="shared" si="137"/>
        <v>2.3731432003440482</v>
      </c>
      <c r="F91" s="191">
        <f t="shared" si="137"/>
        <v>2.1250140358725464</v>
      </c>
      <c r="G91" s="191">
        <f t="shared" si="137"/>
        <v>1.5291643950577958</v>
      </c>
      <c r="H91" s="191">
        <f t="shared" si="137"/>
        <v>1.3167874831357966</v>
      </c>
      <c r="I91" s="191">
        <f t="shared" si="137"/>
        <v>1.2716982001719892</v>
      </c>
      <c r="J91" s="191">
        <f t="shared" si="137"/>
        <v>1.2471041477141454</v>
      </c>
      <c r="K91" s="191">
        <f t="shared" si="137"/>
        <v>1.4998655403596197</v>
      </c>
      <c r="L91" s="191">
        <f t="shared" si="137"/>
        <v>1.7555535066584322</v>
      </c>
      <c r="M91" s="191">
        <f t="shared" si="137"/>
        <v>1.9398447104600849</v>
      </c>
      <c r="N91" s="191">
        <f t="shared" si="137"/>
        <v>2.2254244300987378</v>
      </c>
      <c r="O91" s="191">
        <f t="shared" si="137"/>
        <v>2.5356220129264448</v>
      </c>
      <c r="P91" s="191">
        <f t="shared" si="137"/>
        <v>3.567519567977627</v>
      </c>
      <c r="Q91" s="191">
        <f t="shared" si="137"/>
        <v>4.404671560834938</v>
      </c>
      <c r="R91" s="191">
        <f t="shared" si="137"/>
        <v>4.3066056226563019</v>
      </c>
      <c r="S91" s="191">
        <f t="shared" si="137"/>
        <v>3.8923592718597733</v>
      </c>
      <c r="T91" s="191">
        <f t="shared" si="137"/>
        <v>3.2039200734618114</v>
      </c>
      <c r="U91" s="191">
        <f t="shared" si="137"/>
        <v>2.7529408065402774</v>
      </c>
      <c r="V91" s="191">
        <f t="shared" ref="V91:AE91" si="138">AVERAGE(V17,U17)/AVERAGE(U43,V43)</f>
        <v>2.3789385759319885</v>
      </c>
      <c r="W91" s="191">
        <f t="shared" si="138"/>
        <v>2.0399044480417952</v>
      </c>
      <c r="X91" s="191">
        <f t="shared" si="138"/>
        <v>1.7838914739156948</v>
      </c>
      <c r="Y91" s="191">
        <f t="shared" si="138"/>
        <v>1.6090750362555828</v>
      </c>
      <c r="Z91" s="191">
        <f t="shared" si="138"/>
        <v>1.4681791726976505</v>
      </c>
      <c r="AA91" s="191">
        <f t="shared" si="138"/>
        <v>1.3868171743190687</v>
      </c>
      <c r="AB91" s="191">
        <f t="shared" si="138"/>
        <v>1.363844451048313</v>
      </c>
      <c r="AC91" s="191">
        <f t="shared" si="138"/>
        <v>1.3557919556981379</v>
      </c>
      <c r="AD91" s="191">
        <f t="shared" si="138"/>
        <v>1.3483782803707285</v>
      </c>
      <c r="AE91" s="191">
        <f t="shared" si="138"/>
        <v>1.3264677032240089</v>
      </c>
      <c r="AH91"/>
      <c r="AI91"/>
      <c r="AJ91"/>
      <c r="AK91"/>
      <c r="AL91"/>
      <c r="AM91"/>
    </row>
    <row r="92" spans="2:39" ht="12.75" customHeight="1" outlineLevel="1">
      <c r="B92" s="238" t="s">
        <v>543</v>
      </c>
      <c r="C92" s="251"/>
      <c r="D92" s="251"/>
      <c r="E92" s="251"/>
      <c r="F92" s="251"/>
      <c r="G92" s="251"/>
      <c r="H92" s="251"/>
      <c r="I92" s="251"/>
      <c r="J92" s="251"/>
      <c r="K92" s="251"/>
      <c r="L92" s="251"/>
      <c r="M92" s="251"/>
      <c r="N92" s="251"/>
      <c r="O92" s="251"/>
      <c r="P92" s="251"/>
      <c r="Q92" s="251"/>
      <c r="R92" s="251"/>
      <c r="S92" s="251"/>
      <c r="T92" s="251"/>
      <c r="U92" s="251"/>
    </row>
    <row r="93" spans="2:39" s="209" customFormat="1" ht="12.75" customHeight="1" outlineLevel="1">
      <c r="B93" s="237" t="s">
        <v>544</v>
      </c>
      <c r="C93" s="253">
        <f>(+C31+C32+C24)/IS!D91</f>
        <v>-0.18037699371677143</v>
      </c>
      <c r="D93" s="253">
        <f>(+D31+D32+D24)/IS!I91</f>
        <v>44.099924463148767</v>
      </c>
      <c r="E93" s="253">
        <f>(+E31+E32+E24)/IS!N91</f>
        <v>8.0231790606280278</v>
      </c>
      <c r="F93" s="253">
        <f>(+F31+F32+F24)/IS!S91</f>
        <v>4.3452965204387839</v>
      </c>
      <c r="G93" s="253">
        <f>(+G31+G32+G24)/IS!X91</f>
        <v>1.6367063791283365</v>
      </c>
      <c r="H93" s="253">
        <f>(+H31+H32+H24)/IS!AC91</f>
        <v>0.51078167838038202</v>
      </c>
      <c r="I93" s="253">
        <f>(+I31+I32+I24)/IS!AH91</f>
        <v>0.18216445564178865</v>
      </c>
      <c r="J93" s="253">
        <f>(+J31+J32+J24)/IS!AM91</f>
        <v>0.13463370978817985</v>
      </c>
      <c r="K93" s="253">
        <f>(+K31+K32+K24)/IS!AR91</f>
        <v>1.0648505112490996</v>
      </c>
      <c r="L93" s="253">
        <f>(+L31+L32+L24)/IS!AW91</f>
        <v>0.66577437783073201</v>
      </c>
      <c r="M93" s="253">
        <f>(+M31+M32+M24)/IS!BB91</f>
        <v>1.2123923024030627</v>
      </c>
      <c r="N93" s="253">
        <f>(+N31+N32+N24)/IS!BG91</f>
        <v>1.4243334477629015</v>
      </c>
      <c r="O93" s="253">
        <f>(+O31+O32+O24)/IS!BL91</f>
        <v>1.9089541715628671</v>
      </c>
      <c r="P93" s="253">
        <f>(+P31+P32+P24)/IS!BQ91</f>
        <v>3.1723999233863243</v>
      </c>
      <c r="Q93" s="253">
        <f>(+Q31+Q32+Q24)/IS!BV91</f>
        <v>2.3737091028826298</v>
      </c>
      <c r="R93" s="253">
        <f>(+R31+R32+R24)/IS!CA91</f>
        <v>2.0816071874220117</v>
      </c>
      <c r="S93" s="253">
        <f>(+S31+S32+S24)/IS!CF91</f>
        <v>1.8674262767224712</v>
      </c>
      <c r="T93" s="253">
        <f>(+T31+T32+T24)/IS!CK91</f>
        <v>1.5837654712953573</v>
      </c>
      <c r="U93" s="253">
        <f>(+U31+U32+U24)/IS!CP91</f>
        <v>1.2046129143091928</v>
      </c>
      <c r="V93" s="253">
        <f>(+V31+V32+V24)/IS!CU91</f>
        <v>1.0179832168370879</v>
      </c>
      <c r="W93" s="253">
        <f>(+W31+W32+W24)/IS!CZ91</f>
        <v>0.81019477764062897</v>
      </c>
      <c r="X93" s="253">
        <f>(+X31+X32+X24)/IS!DE91</f>
        <v>0.69626726920550552</v>
      </c>
      <c r="Y93" s="253">
        <f>(+Y31+Y32+Y24)/IS!DJ91</f>
        <v>0.64377855803904105</v>
      </c>
      <c r="Z93" s="253">
        <f>(+Z31+Z32+Z24)/IS!DO91</f>
        <v>0.56988407272176167</v>
      </c>
      <c r="AA93" s="253">
        <f>(+AA31+AA32+AA24)/IS!DT91</f>
        <v>0.87422260594680934</v>
      </c>
      <c r="AB93" s="253">
        <f>(+AB31+AB32+AB24)/IS!DY91</f>
        <v>0.92641467602039063</v>
      </c>
      <c r="AC93" s="253">
        <f>(+AC31+AC32+AC24)/IS!ED91</f>
        <v>0.96195827820862623</v>
      </c>
      <c r="AD93" s="253">
        <f>(+AD31+AD32+AD24)/IS!EI91</f>
        <v>0.96994426234319053</v>
      </c>
      <c r="AE93" s="253">
        <f>(+AE31+AE32+AE24)/IS!EN91</f>
        <v>1.6033489371758973</v>
      </c>
      <c r="AH93"/>
      <c r="AI93"/>
      <c r="AJ93"/>
      <c r="AK93"/>
      <c r="AL93"/>
      <c r="AM93"/>
    </row>
    <row r="94" spans="2:39" s="209" customFormat="1" ht="12.75" customHeight="1" outlineLevel="1">
      <c r="B94" s="237" t="s">
        <v>545</v>
      </c>
      <c r="C94" s="253" t="str">
        <f>+IF((IS!D22+IS!D23)&gt;0,"NM",IS!D91/-(IS!D22+IS!D23))</f>
        <v>NM</v>
      </c>
      <c r="D94" s="253" t="str">
        <f>+IF((IS!I22+IS!I23)&gt;0,"NM",IS!I91/-(IS!I22+IS!I23))</f>
        <v>NM</v>
      </c>
      <c r="E94" s="253" t="str">
        <f>+IF((IS!N22+IS!N23)&gt;0,"NM",IS!N91/-(IS!N22+IS!N23))</f>
        <v>NM</v>
      </c>
      <c r="F94" s="253" t="str">
        <f>+IF((IS!S22+IS!S23)&gt;0,"NM",IS!S91/-(IS!S22+IS!S23))</f>
        <v>NM</v>
      </c>
      <c r="G94" s="253" t="str">
        <f>+IF((IS!X22+IS!X23)&gt;0,"NM",IS!X91/-(IS!X22+IS!X23))</f>
        <v>NM</v>
      </c>
      <c r="H94" s="253" t="str">
        <f>+IF((IS!AC22+IS!AC23)&gt;0,"NM",IS!AC91/-(IS!AC22+IS!AC23))</f>
        <v>NM</v>
      </c>
      <c r="I94" s="253" t="str">
        <f>+IF((IS!AH22+IS!AH23)&gt;0,"NM",IS!AH91/-(IS!AH22+IS!AH23))</f>
        <v>NM</v>
      </c>
      <c r="J94" s="253" t="str">
        <f>+IF((IS!AM22+IS!AM23)&gt;0,"NM",IS!AM91/-(IS!AM22+IS!AM23))</f>
        <v>NM</v>
      </c>
      <c r="K94" s="253" t="str">
        <f>+IF((IS!AR22+IS!AR23)&gt;0,"NM",IS!AR91/-(IS!AR22+IS!AR23))</f>
        <v>NM</v>
      </c>
      <c r="L94" s="253">
        <f>+IF((IS!AW22+IS!AW23)&gt;0,"NM",IS!AW91/-(IS!AW22+IS!AW23))</f>
        <v>150.18545950109618</v>
      </c>
      <c r="M94" s="253">
        <f>+IF((IS!BB22+IS!BB23)&gt;0,"NM",IS!BB91/-(IS!BB22+IS!BB23))</f>
        <v>61.212597768276147</v>
      </c>
      <c r="N94" s="253">
        <f>+IF((IS!BG22+IS!BG23)&gt;0,"NM",IS!BG91/-(IS!BG22+IS!BG23))</f>
        <v>37.931529644572556</v>
      </c>
      <c r="O94" s="253">
        <f>+IF((IS!BL22+IS!BL23)&gt;0,"NM",IS!BL91/-(IS!BL22+IS!BL23))</f>
        <v>35.547201336675023</v>
      </c>
      <c r="P94" s="253">
        <f>+IF((IS!BQ22+IS!BQ23)&gt;0,"NM",IS!BQ91/-(IS!BQ22+IS!BQ23))</f>
        <v>18.679785330948121</v>
      </c>
      <c r="Q94" s="253">
        <f>+IF((IS!BV22+IS!BV23)&gt;0,"NM",IS!BV91/-(IS!BV22+IS!BV23))</f>
        <v>14.221796509152828</v>
      </c>
      <c r="R94" s="253">
        <f>+IF((IS!CA22+IS!CA23)&gt;0,"NM",IS!CA91/-(IS!CA22+IS!CA23))</f>
        <v>19.218225419664268</v>
      </c>
      <c r="S94" s="253">
        <f>+IF((IS!CF22+IS!CF23)&gt;0,"NM",IS!CF91/-(IS!CF22+IS!CF23))</f>
        <v>23.017283008981238</v>
      </c>
      <c r="T94" s="253">
        <f>+IF((IS!CK22+IS!CK23)&gt;0,"NM",IS!CK91/-(IS!CK22+IS!CK23))</f>
        <v>24.416616824534387</v>
      </c>
      <c r="U94" s="253">
        <f>+IF((IS!CP22+IS!CP23)&gt;0,"NM",IS!CP91/-(IS!CP22+IS!CP23))</f>
        <v>32.036543616803208</v>
      </c>
      <c r="V94" s="253">
        <f>+IF((IS!CU22+IS!CU23)&gt;0,"NM",IS!CU91/-(IS!CU22+IS!CU23))</f>
        <v>40.099613038970219</v>
      </c>
      <c r="W94" s="253">
        <f>+IF((IS!CZ22+IS!CZ23)&gt;0,"NM",IS!CZ91/-(IS!CZ22+IS!CZ23))</f>
        <v>48.332586567150116</v>
      </c>
      <c r="X94" s="253">
        <f>+IF((IS!DE22+IS!DE23)&gt;0,"NM",IS!DE91/-(IS!DE22+IS!DE23))</f>
        <v>57.959301835252411</v>
      </c>
      <c r="Y94" s="253">
        <f>+IF((IS!DJ22+IS!DJ23)&gt;0,"NM",IS!DJ91/-(IS!DJ22+IS!DJ23))</f>
        <v>70.589464849870168</v>
      </c>
      <c r="Z94" s="253">
        <f>+IF((IS!DO22+IS!DO23)&gt;0,"NM",IS!DO91/-(IS!DO22+IS!DO23))</f>
        <v>104.48336422709225</v>
      </c>
      <c r="AA94" s="253">
        <f>+IF((IS!DT22+IS!DT23)&gt;0,"NM",IS!DT91/-(IS!DT22+IS!DT23))</f>
        <v>129.33393126801849</v>
      </c>
      <c r="AB94" s="253">
        <f>+IF((IS!DY22+IS!DY23)&gt;0,"NM",IS!DY91/-(IS!DY22+IS!DY23))</f>
        <v>105.22100412915212</v>
      </c>
      <c r="AC94" s="253">
        <f>+IF((IS!ED22+IS!ED23)&gt;0,"NM",IS!ED91/-(IS!ED22+IS!ED23))</f>
        <v>83.605913824565278</v>
      </c>
      <c r="AD94" s="253">
        <f>+IF((IS!EI22+IS!EI23)&gt;0,"NM",IS!EI91/-(IS!EA22+IS!EI23))</f>
        <v>32.441159414217246</v>
      </c>
      <c r="AE94" s="253">
        <f>+IF((IS!EN22+IS!EN23)&gt;0,"NM",IS!EN91/-(IS!EN22+IS!EN23))</f>
        <v>62.837737636178424</v>
      </c>
      <c r="AH94"/>
      <c r="AI94"/>
      <c r="AJ94"/>
      <c r="AK94"/>
      <c r="AL94"/>
      <c r="AM94"/>
    </row>
    <row r="95" spans="2:39" s="209" customFormat="1" ht="12.75" customHeight="1" outlineLevel="1">
      <c r="B95" s="237" t="s">
        <v>546</v>
      </c>
      <c r="C95" s="253">
        <f t="shared" ref="C95:R95" si="139">(+C31+C32)/C43</f>
        <v>1.7755820425156669E-2</v>
      </c>
      <c r="D95" s="253">
        <f t="shared" si="139"/>
        <v>1.2309672518568533</v>
      </c>
      <c r="E95" s="253">
        <f t="shared" si="139"/>
        <v>0.86804316317725205</v>
      </c>
      <c r="F95" s="253">
        <f t="shared" si="139"/>
        <v>0.67293303448547048</v>
      </c>
      <c r="G95" s="253">
        <f t="shared" si="139"/>
        <v>0.23119588984185119</v>
      </c>
      <c r="H95" s="253">
        <f t="shared" si="139"/>
        <v>2.20816584292799E-2</v>
      </c>
      <c r="I95" s="253">
        <f t="shared" si="139"/>
        <v>1.8614406896172459E-2</v>
      </c>
      <c r="J95" s="253">
        <f t="shared" si="139"/>
        <v>1.6182338075358748E-2</v>
      </c>
      <c r="K95" s="253">
        <f t="shared" si="139"/>
        <v>0.27803551252654385</v>
      </c>
      <c r="L95" s="253">
        <f t="shared" si="139"/>
        <v>0.2810044828992983</v>
      </c>
      <c r="M95" s="253">
        <f t="shared" si="139"/>
        <v>0.5491082835320672</v>
      </c>
      <c r="N95" s="253">
        <f t="shared" si="139"/>
        <v>0.85497057192436365</v>
      </c>
      <c r="O95" s="253">
        <f t="shared" si="139"/>
        <v>1.2026115743011274</v>
      </c>
      <c r="P95" s="253">
        <f t="shared" si="139"/>
        <v>2.752508869741511</v>
      </c>
      <c r="Q95" s="253">
        <f t="shared" si="139"/>
        <v>2.3577803706453713</v>
      </c>
      <c r="R95" s="253">
        <f t="shared" si="139"/>
        <v>2.3669989885854643</v>
      </c>
      <c r="S95" s="253">
        <f>(+S31+S32)/S43</f>
        <v>1.7614282592488943</v>
      </c>
      <c r="T95" s="253">
        <f>(+T31+T32)/T43</f>
        <v>1.3064245724298476</v>
      </c>
      <c r="U95" s="253">
        <f>(+U31+U32)/U43</f>
        <v>0.99503177771926976</v>
      </c>
      <c r="V95" s="253">
        <f t="shared" ref="V95:AE95" si="140">(+V31+V32)/V43</f>
        <v>0.72833312149689899</v>
      </c>
      <c r="W95" s="253">
        <f t="shared" si="140"/>
        <v>0.4899017664120211</v>
      </c>
      <c r="X95" s="253">
        <f t="shared" si="140"/>
        <v>0.3499416206942958</v>
      </c>
      <c r="Y95" s="253">
        <f t="shared" si="140"/>
        <v>0.25913671257406912</v>
      </c>
      <c r="Z95" s="253">
        <f t="shared" si="140"/>
        <v>0.16857656742503119</v>
      </c>
      <c r="AA95" s="253">
        <f t="shared" si="140"/>
        <v>0.17015059500318827</v>
      </c>
      <c r="AB95" s="253">
        <f t="shared" si="140"/>
        <v>0.15222288831079156</v>
      </c>
      <c r="AC95" s="253">
        <f t="shared" si="140"/>
        <v>0.15292337909114395</v>
      </c>
      <c r="AD95" s="253">
        <f t="shared" si="140"/>
        <v>0.14570653609382578</v>
      </c>
      <c r="AE95" s="253">
        <f t="shared" si="140"/>
        <v>0.13945623221521328</v>
      </c>
      <c r="AH95"/>
      <c r="AI95"/>
      <c r="AJ95"/>
      <c r="AK95"/>
      <c r="AL95"/>
      <c r="AM95"/>
    </row>
    <row r="96" spans="2:39" s="209" customFormat="1" ht="12.75" customHeight="1" outlineLevel="1">
      <c r="B96" s="237" t="s">
        <v>547</v>
      </c>
      <c r="C96" s="253"/>
      <c r="D96" s="253">
        <f t="shared" ref="D96:R96" si="141">D53/AVERAGE(D26,C26)</f>
        <v>0.32262232942798069</v>
      </c>
      <c r="E96" s="253">
        <f t="shared" si="141"/>
        <v>1.4627806518486555</v>
      </c>
      <c r="F96" s="253">
        <f t="shared" si="141"/>
        <v>0.3025930150296694</v>
      </c>
      <c r="G96" s="253">
        <f t="shared" si="141"/>
        <v>0.44525496882826238</v>
      </c>
      <c r="H96" s="253">
        <f t="shared" si="141"/>
        <v>1.419791446760051</v>
      </c>
      <c r="I96" s="253">
        <f t="shared" si="141"/>
        <v>0.37948549176768109</v>
      </c>
      <c r="J96" s="253">
        <f t="shared" si="141"/>
        <v>1.780620048084403</v>
      </c>
      <c r="K96" s="253">
        <f t="shared" si="141"/>
        <v>1.5098917823737594</v>
      </c>
      <c r="L96" s="253">
        <f t="shared" si="141"/>
        <v>1.3857775612043424</v>
      </c>
      <c r="M96" s="253">
        <f t="shared" si="141"/>
        <v>1.2497979231671534</v>
      </c>
      <c r="N96" s="253">
        <f t="shared" si="141"/>
        <v>1.2244566779482005</v>
      </c>
      <c r="O96" s="253">
        <f t="shared" si="141"/>
        <v>1.3831973778248763</v>
      </c>
      <c r="P96" s="253">
        <f t="shared" si="141"/>
        <v>1.2172698537159099</v>
      </c>
      <c r="Q96" s="253">
        <f t="shared" si="141"/>
        <v>1.6137253708325721</v>
      </c>
      <c r="R96" s="253">
        <f t="shared" si="141"/>
        <v>1.7644882445931853</v>
      </c>
      <c r="S96" s="253">
        <f>S53/AVERAGE(S26,R26)</f>
        <v>1.982305224279983</v>
      </c>
      <c r="T96" s="253">
        <f>T53/AVERAGE(T26,S26)</f>
        <v>2.0352788959721373</v>
      </c>
      <c r="U96" s="253">
        <f>U53/AVERAGE(U26,T26)</f>
        <v>2.1351246387684371</v>
      </c>
      <c r="V96" s="253">
        <f t="shared" ref="V96:AB96" si="142">V53/AVERAGE(V26,U26)</f>
        <v>2.1590022855382247</v>
      </c>
      <c r="W96" s="253">
        <f t="shared" si="142"/>
        <v>2.0944868421348541</v>
      </c>
      <c r="X96" s="253">
        <f t="shared" si="142"/>
        <v>2.0384317098230591</v>
      </c>
      <c r="Y96" s="253">
        <f t="shared" si="142"/>
        <v>1.9613359790592049</v>
      </c>
      <c r="Z96" s="253">
        <f t="shared" si="142"/>
        <v>1.7545206102626985</v>
      </c>
      <c r="AA96" s="253">
        <f t="shared" si="142"/>
        <v>1.3632795213223283</v>
      </c>
      <c r="AB96" s="253">
        <f t="shared" si="142"/>
        <v>1.2985583999505848</v>
      </c>
      <c r="AC96" s="253">
        <f>AC53/AVERAGE(AC26,AB26)</f>
        <v>1.3080117068908419</v>
      </c>
      <c r="AD96" s="253">
        <f>AD53/AVERAGE(AD26,AC26)</f>
        <v>1.3712941343686351</v>
      </c>
      <c r="AE96" s="253">
        <f>AE53/AVERAGE(AE26,AD26)</f>
        <v>1.1410821483182867</v>
      </c>
      <c r="AH96"/>
      <c r="AI96"/>
      <c r="AJ96"/>
      <c r="AK96"/>
      <c r="AL96"/>
      <c r="AM96"/>
    </row>
    <row r="97" spans="1:39" s="209" customFormat="1" ht="12.75" customHeight="1" outlineLevel="1">
      <c r="B97" s="237" t="s">
        <v>548</v>
      </c>
      <c r="C97" s="253"/>
      <c r="D97" s="253">
        <f t="shared" ref="D97:R97" si="143">D53/AVERAGE(D33,C33)</f>
        <v>7.0411810382592782E-2</v>
      </c>
      <c r="E97" s="253">
        <f t="shared" si="143"/>
        <v>0.28068517573535434</v>
      </c>
      <c r="F97" s="253">
        <f t="shared" si="143"/>
        <v>6.6939372574132419E-2</v>
      </c>
      <c r="G97" s="253">
        <f t="shared" si="143"/>
        <v>0.12091434227205113</v>
      </c>
      <c r="H97" s="253">
        <f t="shared" si="143"/>
        <v>0.62542813994396684</v>
      </c>
      <c r="I97" s="253">
        <f t="shared" si="143"/>
        <v>0.2116875677547318</v>
      </c>
      <c r="J97" s="253">
        <f t="shared" si="143"/>
        <v>0.93383255150881606</v>
      </c>
      <c r="K97" s="253">
        <f t="shared" si="143"/>
        <v>0.45651693891211942</v>
      </c>
      <c r="L97" s="253">
        <f t="shared" si="143"/>
        <v>0.41699400094963929</v>
      </c>
      <c r="M97" s="253">
        <f t="shared" si="143"/>
        <v>0.38328088558060552</v>
      </c>
      <c r="N97" s="253">
        <f t="shared" si="143"/>
        <v>0.32193775315680589</v>
      </c>
      <c r="O97" s="253">
        <f t="shared" si="143"/>
        <v>0.30169429572770862</v>
      </c>
      <c r="P97" s="253">
        <f t="shared" si="143"/>
        <v>0.15548815794827495</v>
      </c>
      <c r="Q97" s="253">
        <f t="shared" si="143"/>
        <v>0.1865900841609828</v>
      </c>
      <c r="R97" s="253">
        <f t="shared" si="143"/>
        <v>0.23468728121092552</v>
      </c>
      <c r="S97" s="253">
        <f>S53/AVERAGE(S33,R33)</f>
        <v>0.27240909001712393</v>
      </c>
      <c r="T97" s="253">
        <f>T53/AVERAGE(T33,S33)</f>
        <v>0.31450433648749482</v>
      </c>
      <c r="U97" s="253">
        <f>U53/AVERAGE(U33,T33)</f>
        <v>0.38569330749406217</v>
      </c>
      <c r="V97" s="253">
        <f t="shared" ref="V97:AB97" si="144">V53/AVERAGE(V33,U33)</f>
        <v>0.4631077455502593</v>
      </c>
      <c r="W97" s="253">
        <f t="shared" si="144"/>
        <v>0.51890025448477062</v>
      </c>
      <c r="X97" s="253">
        <f t="shared" si="144"/>
        <v>0.57082816991033869</v>
      </c>
      <c r="Y97" s="253">
        <f t="shared" si="144"/>
        <v>0.59371084423297549</v>
      </c>
      <c r="Z97" s="253">
        <f t="shared" si="144"/>
        <v>0.55820615871617651</v>
      </c>
      <c r="AA97" s="253">
        <f t="shared" si="144"/>
        <v>0.40493822112012123</v>
      </c>
      <c r="AB97" s="253">
        <f t="shared" si="144"/>
        <v>0.34518733954560216</v>
      </c>
      <c r="AC97" s="253">
        <f>AC53/AVERAGE(AC33,AB33)</f>
        <v>0.3464994948355859</v>
      </c>
      <c r="AD97" s="253">
        <f>AD53/AVERAGE(AD33,AC33)</f>
        <v>0.36443988007910177</v>
      </c>
      <c r="AE97" s="253">
        <f>AE53/AVERAGE(AE33,AD33)</f>
        <v>0.2875356958341973</v>
      </c>
      <c r="AH97"/>
      <c r="AI97"/>
      <c r="AJ97"/>
      <c r="AK97"/>
      <c r="AL97"/>
      <c r="AM97"/>
    </row>
    <row r="98" spans="1:39" s="209" customFormat="1" ht="12.75" customHeight="1" outlineLevel="1">
      <c r="B98" s="237" t="s">
        <v>549</v>
      </c>
      <c r="C98" s="253">
        <f t="shared" ref="C98:R98" si="145">-C53/C54</f>
        <v>-3.4141012909632571</v>
      </c>
      <c r="D98" s="253">
        <f t="shared" si="145"/>
        <v>1.6678542798610494</v>
      </c>
      <c r="E98" s="253">
        <f t="shared" si="145"/>
        <v>4.3298347910592803</v>
      </c>
      <c r="F98" s="253">
        <f t="shared" si="145"/>
        <v>1.1688742645213461</v>
      </c>
      <c r="G98" s="253">
        <f t="shared" si="145"/>
        <v>1.4263937728312452</v>
      </c>
      <c r="H98" s="253">
        <f t="shared" si="145"/>
        <v>7.4193197532590638</v>
      </c>
      <c r="I98" s="253">
        <f t="shared" si="145"/>
        <v>2.3544760206257527</v>
      </c>
      <c r="J98" s="253">
        <f t="shared" si="145"/>
        <v>9.7431572860447169</v>
      </c>
      <c r="K98" s="253">
        <f t="shared" si="145"/>
        <v>11.979438721713034</v>
      </c>
      <c r="L98" s="253">
        <f t="shared" si="145"/>
        <v>13.689817512999644</v>
      </c>
      <c r="M98" s="253">
        <f t="shared" si="145"/>
        <v>18.099718446253721</v>
      </c>
      <c r="N98" s="253">
        <f t="shared" si="145"/>
        <v>18.595655806182123</v>
      </c>
      <c r="O98" s="253">
        <f t="shared" si="145"/>
        <v>18.671324018629409</v>
      </c>
      <c r="P98" s="253">
        <f t="shared" si="145"/>
        <v>8.6758644778204665</v>
      </c>
      <c r="Q98" s="253">
        <f t="shared" si="145"/>
        <v>16.83446232006774</v>
      </c>
      <c r="R98" s="253">
        <f t="shared" si="145"/>
        <v>18.802867383512545</v>
      </c>
      <c r="S98" s="253">
        <f>-S53/S54</f>
        <v>20.159487567322675</v>
      </c>
      <c r="T98" s="253">
        <f>-T53/T54</f>
        <v>20.714493451339504</v>
      </c>
      <c r="U98" s="253">
        <f>-U53/U54</f>
        <v>18.327082622811357</v>
      </c>
      <c r="V98" s="253">
        <f>-V53/V54</f>
        <v>18.655908191085292</v>
      </c>
      <c r="W98" s="253">
        <f t="shared" ref="W98:AB98" si="146">-W53/W54</f>
        <v>18.915120350805559</v>
      </c>
      <c r="X98" s="253">
        <f t="shared" si="146"/>
        <v>19.129699914185295</v>
      </c>
      <c r="Y98" s="253">
        <f t="shared" si="146"/>
        <v>19.183264967504858</v>
      </c>
      <c r="Z98" s="253">
        <f t="shared" si="146"/>
        <v>16.374868865927709</v>
      </c>
      <c r="AA98" s="253">
        <f t="shared" si="146"/>
        <v>15.954436962535809</v>
      </c>
      <c r="AB98" s="253">
        <f t="shared" si="146"/>
        <v>15.380004103377059</v>
      </c>
      <c r="AC98" s="253">
        <f>-AC53/AC54</f>
        <v>15.170765625146782</v>
      </c>
      <c r="AD98" s="253">
        <f>-AD53/AD54</f>
        <v>16.089504869576491</v>
      </c>
      <c r="AE98" s="253">
        <f>-AE53/AE54</f>
        <v>16.270572697502008</v>
      </c>
      <c r="AH98"/>
      <c r="AI98"/>
      <c r="AJ98"/>
      <c r="AK98"/>
      <c r="AL98"/>
      <c r="AM98"/>
    </row>
    <row r="99" spans="1:39" s="209" customFormat="1" ht="12.75" customHeight="1" outlineLevel="1">
      <c r="B99" s="237" t="s">
        <v>550</v>
      </c>
      <c r="C99" s="191">
        <f t="shared" ref="C99:AB99" si="147">(C31+C32+C24-C3-C4)/(C31+C32+C24+C43)</f>
        <v>-0.90537591747669099</v>
      </c>
      <c r="D99" s="191">
        <f t="shared" si="147"/>
        <v>-0.34884754287443037</v>
      </c>
      <c r="E99" s="191">
        <f t="shared" si="147"/>
        <v>-0.36523040568906773</v>
      </c>
      <c r="F99" s="191">
        <f t="shared" si="147"/>
        <v>-0.27256403826576442</v>
      </c>
      <c r="G99" s="191">
        <f t="shared" si="147"/>
        <v>-0.62039719082909495</v>
      </c>
      <c r="H99" s="191">
        <f t="shared" si="147"/>
        <v>-0.78370586113460305</v>
      </c>
      <c r="I99" s="191">
        <f t="shared" si="147"/>
        <v>-0.55636372056153549</v>
      </c>
      <c r="J99" s="191">
        <f t="shared" si="147"/>
        <v>-0.62109385966143571</v>
      </c>
      <c r="K99" s="191">
        <f t="shared" si="147"/>
        <v>-7.896624633778998E-2</v>
      </c>
      <c r="L99" s="191">
        <f t="shared" si="147"/>
        <v>-0.13341602488357349</v>
      </c>
      <c r="M99" s="191">
        <f t="shared" si="147"/>
        <v>-3.6972683045556121E-2</v>
      </c>
      <c r="N99" s="191">
        <f t="shared" si="147"/>
        <v>-6.6999091666035918E-2</v>
      </c>
      <c r="O99" s="191">
        <f t="shared" si="147"/>
        <v>3.9317558064912488E-2</v>
      </c>
      <c r="P99" s="191">
        <f t="shared" si="147"/>
        <v>0.44529648031100294</v>
      </c>
      <c r="Q99" s="191">
        <f t="shared" si="147"/>
        <v>0.35130682577140571</v>
      </c>
      <c r="R99" s="191">
        <f t="shared" si="147"/>
        <v>0.19658517985001905</v>
      </c>
      <c r="S99" s="191">
        <f t="shared" si="147"/>
        <v>0.46438125116599172</v>
      </c>
      <c r="T99" s="191">
        <f t="shared" si="147"/>
        <v>0.3208362350049489</v>
      </c>
      <c r="U99" s="191">
        <f t="shared" si="147"/>
        <v>0.25904307931033144</v>
      </c>
      <c r="V99" s="191">
        <f t="shared" si="147"/>
        <v>9.0574591116939246E-2</v>
      </c>
      <c r="W99" s="191">
        <f t="shared" si="147"/>
        <v>-5.3294393811206403E-2</v>
      </c>
      <c r="X99" s="191">
        <f t="shared" si="147"/>
        <v>-0.18070025874726259</v>
      </c>
      <c r="Y99" s="191">
        <f t="shared" si="147"/>
        <v>-0.30213226999051096</v>
      </c>
      <c r="Z99" s="191">
        <f t="shared" si="147"/>
        <v>-0.38549112537305402</v>
      </c>
      <c r="AA99" s="191">
        <f t="shared" si="147"/>
        <v>-0.39821121554513511</v>
      </c>
      <c r="AB99" s="191">
        <f t="shared" si="147"/>
        <v>-0.39444089645582342</v>
      </c>
      <c r="AC99" s="191">
        <f>(AC31+AC32+AC24-AC3-AC4)/(AC31+AC32+AC24+AC43)</f>
        <v>-0.40841539033330831</v>
      </c>
      <c r="AD99" s="191">
        <f>(AD31+AD32+AD24-AD3-AD4)/(AD31+AD32+AD24+AD43)</f>
        <v>-0.44865661928176331</v>
      </c>
      <c r="AE99" s="191">
        <f>(AE31+AE32+AE24-AE3-AE4)/(AE31+AE32+AE24+AE43)</f>
        <v>-0.48942955496811363</v>
      </c>
      <c r="AH99"/>
      <c r="AI99"/>
      <c r="AJ99"/>
      <c r="AK99"/>
      <c r="AL99"/>
      <c r="AM99"/>
    </row>
    <row r="100" spans="1:39" ht="12.75" customHeight="1">
      <c r="P100" s="687"/>
    </row>
    <row r="101" spans="1:39" ht="12.75" customHeight="1">
      <c r="B101" s="255" t="s">
        <v>551</v>
      </c>
      <c r="C101" s="233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3"/>
      <c r="U101" s="233"/>
    </row>
    <row r="102" spans="1:39" ht="12.75" customHeight="1" outlineLevel="1">
      <c r="B102" s="256" t="s">
        <v>552</v>
      </c>
      <c r="C102" s="257"/>
      <c r="D102" s="257"/>
      <c r="E102" s="257"/>
      <c r="F102" s="257"/>
      <c r="G102" s="257"/>
      <c r="H102" s="257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39" s="209" customFormat="1" ht="12.75" customHeight="1" outlineLevel="1">
      <c r="B103" s="219" t="s">
        <v>553</v>
      </c>
      <c r="C103" s="259"/>
      <c r="D103" s="259">
        <f t="shared" ref="D103:R103" si="148">C108</f>
        <v>19.600000000000001</v>
      </c>
      <c r="E103" s="259">
        <f t="shared" si="148"/>
        <v>22.545999999999999</v>
      </c>
      <c r="F103" s="259">
        <f t="shared" si="148"/>
        <v>53.738</v>
      </c>
      <c r="G103" s="259">
        <f t="shared" si="148"/>
        <v>77.477000000000004</v>
      </c>
      <c r="H103" s="259">
        <f t="shared" si="148"/>
        <v>146.64500000000001</v>
      </c>
      <c r="I103" s="259">
        <f t="shared" si="148"/>
        <v>197.428</v>
      </c>
      <c r="J103" s="259">
        <f t="shared" si="148"/>
        <v>248.971</v>
      </c>
      <c r="K103" s="259">
        <f t="shared" si="148"/>
        <v>297.79199999999997</v>
      </c>
      <c r="L103" s="259">
        <f t="shared" si="148"/>
        <v>509.91899999999998</v>
      </c>
      <c r="M103" s="259">
        <f>L108</f>
        <v>506.04199999999997</v>
      </c>
      <c r="N103" s="259">
        <f t="shared" si="148"/>
        <v>578.36199999999997</v>
      </c>
      <c r="O103" s="259">
        <f t="shared" si="148"/>
        <v>593.4</v>
      </c>
      <c r="P103" s="259">
        <f t="shared" si="148"/>
        <v>642.6</v>
      </c>
      <c r="Q103" s="259">
        <f t="shared" si="148"/>
        <v>814.1</v>
      </c>
      <c r="R103" s="259">
        <f t="shared" si="148"/>
        <v>929.8</v>
      </c>
      <c r="S103" s="259">
        <f>R108</f>
        <v>1070</v>
      </c>
      <c r="T103" s="259">
        <f>S108</f>
        <v>1164.1184200765877</v>
      </c>
      <c r="U103" s="259">
        <f>T108</f>
        <v>1264.3782643144364</v>
      </c>
      <c r="V103" s="259">
        <f t="shared" ref="V103:AB103" si="149">U108</f>
        <v>1438.909083738833</v>
      </c>
      <c r="W103" s="259">
        <f t="shared" si="149"/>
        <v>1629.7441701142664</v>
      </c>
      <c r="X103" s="259">
        <f t="shared" si="149"/>
        <v>1800.5536910493922</v>
      </c>
      <c r="Y103" s="259">
        <f t="shared" si="149"/>
        <v>1919.3789354410135</v>
      </c>
      <c r="Z103" s="259">
        <f t="shared" si="149"/>
        <v>1966.9371597833563</v>
      </c>
      <c r="AA103" s="259">
        <f t="shared" si="149"/>
        <v>1944.0696434927268</v>
      </c>
      <c r="AB103" s="259">
        <f t="shared" si="149"/>
        <v>1679.5583381776278</v>
      </c>
      <c r="AC103" s="259">
        <f>AB108</f>
        <v>1313.2327184933279</v>
      </c>
      <c r="AD103" s="259">
        <f>AC108</f>
        <v>907.64832553832275</v>
      </c>
      <c r="AE103" s="259">
        <f>AD108</f>
        <v>471.59015643080659</v>
      </c>
      <c r="AH103"/>
      <c r="AI103"/>
      <c r="AJ103"/>
      <c r="AK103"/>
      <c r="AL103"/>
      <c r="AM103"/>
    </row>
    <row r="104" spans="1:39" s="209" customFormat="1" ht="12.75" customHeight="1" outlineLevel="1">
      <c r="B104" s="219" t="s">
        <v>554</v>
      </c>
      <c r="C104" s="259">
        <f>-CF!C34</f>
        <v>11.077</v>
      </c>
      <c r="D104" s="259">
        <f>-CF!D34</f>
        <v>11.227</v>
      </c>
      <c r="E104" s="259">
        <f>-CF!E34</f>
        <v>36.015000000000001</v>
      </c>
      <c r="F104" s="259">
        <f>-CF!F34</f>
        <v>35.860999999999997</v>
      </c>
      <c r="G104" s="259">
        <f>-CF!G34</f>
        <v>58.582000000000001</v>
      </c>
      <c r="H104" s="259">
        <f>-CF!H34</f>
        <v>64.358999999999995</v>
      </c>
      <c r="I104" s="259">
        <f>-CF!I34</f>
        <v>77.379000000000005</v>
      </c>
      <c r="J104" s="259">
        <f>-CF!J34</f>
        <v>93.384</v>
      </c>
      <c r="K104" s="259">
        <f>-CF!K34</f>
        <v>98.632000000000005</v>
      </c>
      <c r="L104" s="259">
        <f>-CF!L34</f>
        <v>132.119</v>
      </c>
      <c r="M104" s="259">
        <f>-CF!M34</f>
        <v>111.524</v>
      </c>
      <c r="N104" s="685">
        <f>-CF!N34</f>
        <v>119.7</v>
      </c>
      <c r="O104" s="685">
        <f>-CF!O34</f>
        <v>150.30000000000001</v>
      </c>
      <c r="P104" s="685">
        <f>-CF!P34</f>
        <v>286.3</v>
      </c>
      <c r="Q104" s="685">
        <f>-CF!Q34</f>
        <v>236.2</v>
      </c>
      <c r="R104" s="685">
        <f>-CF!R34</f>
        <v>279</v>
      </c>
      <c r="S104" s="259">
        <f t="shared" ref="S104:AB104" si="150">S105*S48</f>
        <v>316.99533717983616</v>
      </c>
      <c r="T104" s="259">
        <f t="shared" si="150"/>
        <v>358.93415314990074</v>
      </c>
      <c r="U104" s="259">
        <f t="shared" si="150"/>
        <v>481.24300797875685</v>
      </c>
      <c r="V104" s="259">
        <f t="shared" si="150"/>
        <v>552.74388432198077</v>
      </c>
      <c r="W104" s="259">
        <f t="shared" si="150"/>
        <v>591.8314641618482</v>
      </c>
      <c r="X104" s="259">
        <f t="shared" si="150"/>
        <v>599.76020732881659</v>
      </c>
      <c r="Y104" s="259">
        <f t="shared" si="150"/>
        <v>587.15165151041106</v>
      </c>
      <c r="Z104" s="259">
        <f t="shared" si="150"/>
        <v>574.08320005476401</v>
      </c>
      <c r="AA104" s="259">
        <f t="shared" si="150"/>
        <v>369.32609253884266</v>
      </c>
      <c r="AB104" s="259">
        <f t="shared" si="150"/>
        <v>297.18938133204398</v>
      </c>
      <c r="AC104" s="259">
        <f>AC105*AC48</f>
        <v>286.54822954179599</v>
      </c>
      <c r="AD104" s="259">
        <f>AD105*AD48</f>
        <v>284.48996895881675</v>
      </c>
      <c r="AE104" s="259">
        <f>AE105*AE48</f>
        <v>217.79970772072988</v>
      </c>
      <c r="AH104"/>
      <c r="AI104"/>
      <c r="AJ104"/>
      <c r="AK104"/>
      <c r="AL104"/>
      <c r="AM104"/>
    </row>
    <row r="105" spans="1:39" ht="12.75" customHeight="1" outlineLevel="1">
      <c r="B105" s="260" t="s">
        <v>555</v>
      </c>
      <c r="C105" s="261">
        <f t="shared" ref="C105:R105" si="151">C104/C48</f>
        <v>8.1600931150825798E-2</v>
      </c>
      <c r="D105" s="261">
        <f t="shared" si="151"/>
        <v>4.1355557601989133E-2</v>
      </c>
      <c r="E105" s="261">
        <f t="shared" si="151"/>
        <v>9.5403468061096369E-2</v>
      </c>
      <c r="F105" s="261">
        <f t="shared" si="151"/>
        <v>6.678759863746668E-2</v>
      </c>
      <c r="G105" s="261">
        <f t="shared" si="151"/>
        <v>6.5172721841683975E-2</v>
      </c>
      <c r="H105" s="261">
        <f t="shared" si="151"/>
        <v>4.5780398628558427E-2</v>
      </c>
      <c r="I105" s="261">
        <f t="shared" si="151"/>
        <v>3.4577894439089527E-2</v>
      </c>
      <c r="J105" s="261">
        <f t="shared" si="151"/>
        <v>3.488071106091014E-2</v>
      </c>
      <c r="K105" s="261">
        <f t="shared" si="151"/>
        <v>2.7392421037663747E-2</v>
      </c>
      <c r="L105" s="261">
        <f t="shared" si="151"/>
        <v>2.7446637366764802E-2</v>
      </c>
      <c r="M105" s="261">
        <f t="shared" si="151"/>
        <v>2.0252371968540944E-2</v>
      </c>
      <c r="N105" s="684">
        <f t="shared" si="151"/>
        <v>1.849791376912378E-2</v>
      </c>
      <c r="O105" s="684">
        <f t="shared" si="151"/>
        <v>1.9594806007509388E-2</v>
      </c>
      <c r="P105" s="684">
        <f t="shared" si="151"/>
        <v>3.0931287813310285E-2</v>
      </c>
      <c r="Q105" s="684">
        <f t="shared" si="151"/>
        <v>2.1034445908880418E-2</v>
      </c>
      <c r="R105" s="684">
        <f t="shared" si="151"/>
        <v>2.1456586941475043E-2</v>
      </c>
      <c r="S105" s="261">
        <f t="shared" ref="S105:T105" si="152">R105</f>
        <v>2.1456586941475043E-2</v>
      </c>
      <c r="T105" s="261">
        <f t="shared" si="152"/>
        <v>2.1456586941475043E-2</v>
      </c>
      <c r="U105" s="978">
        <v>2.5000000000000001E-2</v>
      </c>
      <c r="V105" s="261">
        <f t="shared" ref="V105:AE105" si="153">U105</f>
        <v>2.5000000000000001E-2</v>
      </c>
      <c r="W105" s="261">
        <f t="shared" si="153"/>
        <v>2.5000000000000001E-2</v>
      </c>
      <c r="X105" s="261">
        <f t="shared" si="153"/>
        <v>2.5000000000000001E-2</v>
      </c>
      <c r="Y105" s="261">
        <f t="shared" si="153"/>
        <v>2.5000000000000001E-2</v>
      </c>
      <c r="Z105" s="978">
        <v>0.03</v>
      </c>
      <c r="AA105" s="261">
        <f t="shared" si="153"/>
        <v>0.03</v>
      </c>
      <c r="AB105" s="261">
        <f t="shared" si="153"/>
        <v>0.03</v>
      </c>
      <c r="AC105" s="261">
        <f t="shared" si="153"/>
        <v>0.03</v>
      </c>
      <c r="AD105" s="261">
        <f t="shared" si="153"/>
        <v>0.03</v>
      </c>
      <c r="AE105" s="261">
        <f t="shared" si="153"/>
        <v>0.03</v>
      </c>
    </row>
    <row r="106" spans="1:39" s="209" customFormat="1" ht="12.75" customHeight="1" outlineLevel="1">
      <c r="B106" s="219" t="s">
        <v>556</v>
      </c>
      <c r="C106" s="191">
        <f t="shared" ref="C106:Q106" si="154">-C141</f>
        <v>-5.1820000000000004</v>
      </c>
      <c r="D106" s="191">
        <f t="shared" si="154"/>
        <v>-8.0269999999999992</v>
      </c>
      <c r="E106" s="191">
        <f t="shared" si="154"/>
        <v>-9.69</v>
      </c>
      <c r="F106" s="191">
        <f t="shared" si="154"/>
        <v>-14.286</v>
      </c>
      <c r="G106" s="191">
        <f t="shared" si="154"/>
        <v>-16.678999999999998</v>
      </c>
      <c r="H106" s="191">
        <f t="shared" si="154"/>
        <v>-22.056999999999999</v>
      </c>
      <c r="I106" s="191">
        <f t="shared" si="154"/>
        <v>-33.796999999999997</v>
      </c>
      <c r="J106" s="191">
        <f t="shared" si="154"/>
        <v>-41.682000000000002</v>
      </c>
      <c r="K106" s="191">
        <f t="shared" si="154"/>
        <v>-54.234000000000002</v>
      </c>
      <c r="L106" s="191">
        <f t="shared" si="154"/>
        <v>-71.153000000000006</v>
      </c>
      <c r="M106" s="191">
        <f t="shared" si="154"/>
        <v>-84.873999999999995</v>
      </c>
      <c r="N106" s="191">
        <f t="shared" si="154"/>
        <v>-96.663314832340177</v>
      </c>
      <c r="O106" s="191">
        <f t="shared" si="154"/>
        <v>-111.53069818144635</v>
      </c>
      <c r="P106" s="191">
        <f t="shared" si="154"/>
        <v>-140.01434319564189</v>
      </c>
      <c r="Q106" s="191">
        <f t="shared" si="154"/>
        <v>-163.50262370841787</v>
      </c>
      <c r="R106" s="191">
        <f>-R141</f>
        <v>-191.28407616991629</v>
      </c>
      <c r="S106" s="191">
        <f>-S141</f>
        <v>-222.87691710324847</v>
      </c>
      <c r="T106" s="191">
        <f>-T141</f>
        <v>-258.6743089120522</v>
      </c>
      <c r="U106" s="191">
        <f>-U141</f>
        <v>-306.71218855436024</v>
      </c>
      <c r="V106" s="191">
        <f t="shared" ref="V106:AB106" si="155">-V141</f>
        <v>-361.90879794654739</v>
      </c>
      <c r="W106" s="191">
        <f t="shared" si="155"/>
        <v>-421.02194322672239</v>
      </c>
      <c r="X106" s="191">
        <f t="shared" si="155"/>
        <v>-480.93496293719517</v>
      </c>
      <c r="Y106" s="191">
        <f t="shared" si="155"/>
        <v>-539.59342716806827</v>
      </c>
      <c r="Z106" s="191">
        <f t="shared" si="155"/>
        <v>-596.95071634539352</v>
      </c>
      <c r="AA106" s="191">
        <f t="shared" si="155"/>
        <v>-633.83739785394175</v>
      </c>
      <c r="AB106" s="191">
        <f t="shared" si="155"/>
        <v>-663.51500101634372</v>
      </c>
      <c r="AC106" s="191">
        <f>-AC141</f>
        <v>-692.1326224968011</v>
      </c>
      <c r="AD106" s="191">
        <f>-AD141</f>
        <v>-720.54813806633285</v>
      </c>
      <c r="AE106" s="191">
        <f>-AE141</f>
        <v>-742.29797564469084</v>
      </c>
      <c r="AH106"/>
      <c r="AI106"/>
      <c r="AJ106"/>
      <c r="AK106"/>
      <c r="AL106"/>
      <c r="AM106"/>
    </row>
    <row r="107" spans="1:39" s="209" customFormat="1" ht="12.75" customHeight="1" outlineLevel="1">
      <c r="B107" s="219" t="s">
        <v>557</v>
      </c>
      <c r="C107" s="191">
        <f t="shared" ref="C107:J107" si="156">C108-C103-C104-C106</f>
        <v>13.705000000000002</v>
      </c>
      <c r="D107" s="191">
        <f t="shared" si="156"/>
        <v>-0.25400000000000311</v>
      </c>
      <c r="E107" s="191">
        <f t="shared" si="156"/>
        <v>4.8669999999999991</v>
      </c>
      <c r="F107" s="191">
        <f t="shared" si="156"/>
        <v>2.1640000000000068</v>
      </c>
      <c r="G107" s="191">
        <f t="shared" si="156"/>
        <v>27.265000000000004</v>
      </c>
      <c r="H107" s="191">
        <f t="shared" si="156"/>
        <v>8.480999999999991</v>
      </c>
      <c r="I107" s="191">
        <f t="shared" si="156"/>
        <v>7.9609999999999985</v>
      </c>
      <c r="J107" s="191">
        <f t="shared" si="156"/>
        <v>-2.8810000000000286</v>
      </c>
      <c r="K107" s="191">
        <f t="shared" ref="K107:R107" si="157">K108-K103-K104-K106</f>
        <v>167.72900000000001</v>
      </c>
      <c r="L107" s="191">
        <f t="shared" si="157"/>
        <v>-64.843000000000004</v>
      </c>
      <c r="M107" s="191">
        <f t="shared" si="157"/>
        <v>45.669999999999987</v>
      </c>
      <c r="N107" s="680">
        <f t="shared" si="157"/>
        <v>-7.998685167659815</v>
      </c>
      <c r="O107" s="680">
        <f t="shared" si="157"/>
        <v>10.430698181446388</v>
      </c>
      <c r="P107" s="680">
        <f t="shared" si="157"/>
        <v>25.214343195641874</v>
      </c>
      <c r="Q107" s="680">
        <f t="shared" si="157"/>
        <v>43.002623708417815</v>
      </c>
      <c r="R107" s="680">
        <f t="shared" si="157"/>
        <v>52.484076169916335</v>
      </c>
      <c r="S107" s="191"/>
      <c r="T107" s="191"/>
      <c r="U107" s="191"/>
      <c r="AH107"/>
      <c r="AI107"/>
      <c r="AJ107"/>
      <c r="AK107"/>
      <c r="AL107"/>
      <c r="AM107"/>
    </row>
    <row r="108" spans="1:39" s="206" customFormat="1" ht="12.75" customHeight="1" outlineLevel="1">
      <c r="B108" s="262" t="s">
        <v>558</v>
      </c>
      <c r="C108" s="263">
        <f t="shared" ref="C108:R108" si="158">C12</f>
        <v>19.600000000000001</v>
      </c>
      <c r="D108" s="263">
        <f t="shared" si="158"/>
        <v>22.545999999999999</v>
      </c>
      <c r="E108" s="263">
        <f t="shared" si="158"/>
        <v>53.738</v>
      </c>
      <c r="F108" s="263">
        <f t="shared" si="158"/>
        <v>77.477000000000004</v>
      </c>
      <c r="G108" s="263">
        <f t="shared" si="158"/>
        <v>146.64500000000001</v>
      </c>
      <c r="H108" s="263">
        <f t="shared" si="158"/>
        <v>197.428</v>
      </c>
      <c r="I108" s="263">
        <f t="shared" si="158"/>
        <v>248.971</v>
      </c>
      <c r="J108" s="263">
        <f t="shared" si="158"/>
        <v>297.79199999999997</v>
      </c>
      <c r="K108" s="263">
        <f t="shared" si="158"/>
        <v>509.91899999999998</v>
      </c>
      <c r="L108" s="263">
        <f t="shared" si="158"/>
        <v>506.04199999999997</v>
      </c>
      <c r="M108" s="263">
        <f t="shared" si="158"/>
        <v>578.36199999999997</v>
      </c>
      <c r="N108" s="686">
        <f t="shared" si="158"/>
        <v>593.4</v>
      </c>
      <c r="O108" s="686">
        <f t="shared" si="158"/>
        <v>642.6</v>
      </c>
      <c r="P108" s="686">
        <f t="shared" si="158"/>
        <v>814.1</v>
      </c>
      <c r="Q108" s="686">
        <f t="shared" si="158"/>
        <v>929.8</v>
      </c>
      <c r="R108" s="686">
        <f t="shared" si="158"/>
        <v>1070</v>
      </c>
      <c r="S108" s="263">
        <f t="shared" ref="S108:AB108" si="159">+S103+S104+S106+S107</f>
        <v>1164.1184200765877</v>
      </c>
      <c r="T108" s="263">
        <f t="shared" si="159"/>
        <v>1264.3782643144364</v>
      </c>
      <c r="U108" s="263">
        <f t="shared" si="159"/>
        <v>1438.909083738833</v>
      </c>
      <c r="V108" s="263">
        <f t="shared" si="159"/>
        <v>1629.7441701142664</v>
      </c>
      <c r="W108" s="263">
        <f t="shared" si="159"/>
        <v>1800.5536910493922</v>
      </c>
      <c r="X108" s="263">
        <f t="shared" si="159"/>
        <v>1919.3789354410135</v>
      </c>
      <c r="Y108" s="263">
        <f t="shared" si="159"/>
        <v>1966.9371597833563</v>
      </c>
      <c r="Z108" s="263">
        <f t="shared" si="159"/>
        <v>1944.0696434927268</v>
      </c>
      <c r="AA108" s="263">
        <f t="shared" si="159"/>
        <v>1679.5583381776278</v>
      </c>
      <c r="AB108" s="263">
        <f t="shared" si="159"/>
        <v>1313.2327184933279</v>
      </c>
      <c r="AC108" s="263">
        <f>+AC103+AC104+AC106+AC107</f>
        <v>907.64832553832275</v>
      </c>
      <c r="AD108" s="263">
        <f>+AD103+AD104+AD106+AD107</f>
        <v>471.59015643080659</v>
      </c>
      <c r="AE108" s="263">
        <f>+AE103+AE104+AE106+AE107</f>
        <v>-52.908111493154365</v>
      </c>
      <c r="AH108"/>
      <c r="AI108"/>
      <c r="AJ108"/>
      <c r="AK108"/>
      <c r="AL108"/>
      <c r="AM108"/>
    </row>
    <row r="109" spans="1:39" s="209" customFormat="1" ht="12.75" customHeight="1" outlineLevel="1">
      <c r="B109" s="264" t="s">
        <v>559</v>
      </c>
      <c r="C109" s="236"/>
      <c r="D109" s="236"/>
      <c r="E109" s="236">
        <f t="shared" ref="E109:R109" si="160">E48/AVERAGE(E103,D103)</f>
        <v>17.91401319223651</v>
      </c>
      <c r="F109" s="236">
        <f t="shared" si="160"/>
        <v>14.077421215458028</v>
      </c>
      <c r="G109" s="236">
        <f t="shared" si="160"/>
        <v>13.700765918530657</v>
      </c>
      <c r="H109" s="236">
        <f t="shared" si="160"/>
        <v>12.54513166935865</v>
      </c>
      <c r="I109" s="236">
        <f t="shared" si="160"/>
        <v>13.007803576566602</v>
      </c>
      <c r="J109" s="236">
        <f t="shared" si="160"/>
        <v>11.994825257225038</v>
      </c>
      <c r="K109" s="236">
        <f t="shared" si="160"/>
        <v>13.170986332286569</v>
      </c>
      <c r="L109" s="236">
        <f t="shared" si="160"/>
        <v>11.919283010878893</v>
      </c>
      <c r="M109" s="236">
        <f t="shared" si="160"/>
        <v>10.840402338278732</v>
      </c>
      <c r="N109" s="236">
        <f t="shared" si="160"/>
        <v>11.934666415837642</v>
      </c>
      <c r="O109" s="236">
        <f t="shared" si="160"/>
        <v>13.092078425482308</v>
      </c>
      <c r="P109" s="236">
        <f t="shared" si="160"/>
        <v>14.977346278317151</v>
      </c>
      <c r="Q109" s="236">
        <f t="shared" si="160"/>
        <v>15.417313104963274</v>
      </c>
      <c r="R109" s="236">
        <f t="shared" si="160"/>
        <v>14.912552325248006</v>
      </c>
      <c r="S109" s="236">
        <f>S48/AVERAGE(S103,R103)</f>
        <v>14.775278134800612</v>
      </c>
      <c r="T109" s="236">
        <f>T48/AVERAGE(T103,S103)</f>
        <v>14.975383390785144</v>
      </c>
      <c r="U109" s="236">
        <f>U48/AVERAGE(U103,T103)</f>
        <v>15.853198765208429</v>
      </c>
      <c r="V109" s="236">
        <f t="shared" ref="V109:AB109" si="161">V48/AVERAGE(V103,U103)</f>
        <v>16.357680502445461</v>
      </c>
      <c r="W109" s="236">
        <f t="shared" si="161"/>
        <v>15.429086708802323</v>
      </c>
      <c r="X109" s="236">
        <f t="shared" si="161"/>
        <v>13.987361601895648</v>
      </c>
      <c r="Y109" s="236">
        <f t="shared" si="161"/>
        <v>12.627145929024268</v>
      </c>
      <c r="Z109" s="236">
        <f t="shared" si="161"/>
        <v>9.8479414435728465</v>
      </c>
      <c r="AA109" s="236">
        <f t="shared" si="161"/>
        <v>6.2954990213683439</v>
      </c>
      <c r="AB109" s="236">
        <f t="shared" si="161"/>
        <v>5.467621268616929</v>
      </c>
      <c r="AC109" s="236">
        <f>AC48/AVERAGE(AC103,AB103)</f>
        <v>6.3830768473479553</v>
      </c>
      <c r="AD109" s="236">
        <f>AD48/AVERAGE(AD103,AC103)</f>
        <v>8.5398531279091277</v>
      </c>
      <c r="AE109" s="236">
        <f>AE48/AVERAGE(AE103,AD103)</f>
        <v>10.527534363734725</v>
      </c>
      <c r="AH109"/>
      <c r="AI109"/>
      <c r="AJ109"/>
      <c r="AK109"/>
      <c r="AL109"/>
      <c r="AM109"/>
    </row>
    <row r="110" spans="1:39" s="209" customFormat="1" ht="12.75" customHeight="1" outlineLevel="1">
      <c r="B110" s="264"/>
      <c r="C110" s="236"/>
      <c r="D110" s="236"/>
      <c r="E110" s="236"/>
      <c r="F110" s="236"/>
      <c r="G110" s="236"/>
      <c r="H110" s="236"/>
      <c r="I110" s="236"/>
      <c r="J110" s="236"/>
      <c r="K110" s="236"/>
      <c r="L110" s="236"/>
      <c r="M110" s="236"/>
      <c r="N110" s="236"/>
      <c r="O110" s="236"/>
      <c r="P110" s="236"/>
      <c r="Q110" s="236"/>
      <c r="R110" s="236"/>
      <c r="S110" s="236"/>
      <c r="T110" s="236"/>
      <c r="U110" s="236"/>
      <c r="AH110"/>
      <c r="AI110"/>
      <c r="AJ110"/>
      <c r="AK110"/>
      <c r="AL110"/>
      <c r="AM110"/>
    </row>
    <row r="111" spans="1:39" ht="12.75" customHeight="1" outlineLevel="1">
      <c r="B111" s="256" t="s">
        <v>560</v>
      </c>
      <c r="C111" s="265"/>
      <c r="D111" s="265"/>
      <c r="E111" s="265"/>
      <c r="F111" s="265"/>
      <c r="G111" s="265"/>
      <c r="H111" s="265"/>
      <c r="I111" s="265"/>
      <c r="J111" s="201"/>
      <c r="K111" s="265"/>
      <c r="L111" s="201"/>
      <c r="M111" s="265"/>
      <c r="N111" s="265"/>
      <c r="O111" s="265"/>
      <c r="P111" s="265"/>
      <c r="Q111" s="265"/>
      <c r="R111" s="265"/>
      <c r="S111" s="265"/>
      <c r="T111" s="265"/>
      <c r="U111" s="265"/>
    </row>
    <row r="112" spans="1:39" s="209" customFormat="1" ht="12.75" customHeight="1" outlineLevel="1">
      <c r="A112" s="266">
        <v>10</v>
      </c>
      <c r="B112" s="267" t="s">
        <v>561</v>
      </c>
      <c r="C112" s="259">
        <f>+C141</f>
        <v>5.1820000000000004</v>
      </c>
      <c r="D112" s="236">
        <f t="shared" ref="D112:R112" si="162">C112-((C112*(1/$A$112)))</f>
        <v>4.6638000000000002</v>
      </c>
      <c r="E112" s="236">
        <f t="shared" si="162"/>
        <v>4.1974200000000002</v>
      </c>
      <c r="F112" s="236">
        <f t="shared" si="162"/>
        <v>3.7776779999999999</v>
      </c>
      <c r="G112" s="236">
        <f t="shared" si="162"/>
        <v>3.3999101999999999</v>
      </c>
      <c r="H112" s="236">
        <f t="shared" si="162"/>
        <v>3.0599191799999996</v>
      </c>
      <c r="I112" s="236">
        <f t="shared" si="162"/>
        <v>2.7539272619999995</v>
      </c>
      <c r="J112" s="236">
        <f t="shared" si="162"/>
        <v>2.4785345357999997</v>
      </c>
      <c r="K112" s="236">
        <f t="shared" si="162"/>
        <v>2.2306810822199998</v>
      </c>
      <c r="L112" s="236">
        <f t="shared" si="162"/>
        <v>2.007612973998</v>
      </c>
      <c r="M112" s="236">
        <f t="shared" si="162"/>
        <v>1.8068516765981999</v>
      </c>
      <c r="N112" s="236">
        <f t="shared" si="162"/>
        <v>1.6261665089383799</v>
      </c>
      <c r="O112" s="236">
        <f t="shared" si="162"/>
        <v>1.4635498580445419</v>
      </c>
      <c r="P112" s="236">
        <f t="shared" si="162"/>
        <v>1.3171948722400877</v>
      </c>
      <c r="Q112" s="236">
        <f t="shared" si="162"/>
        <v>1.1854753850160789</v>
      </c>
      <c r="R112" s="236">
        <f t="shared" si="162"/>
        <v>1.0669278465144709</v>
      </c>
      <c r="S112" s="236">
        <f>R112-((R112*(1/$A$112)))</f>
        <v>0.96023506186302376</v>
      </c>
      <c r="T112" s="236">
        <f>S112-((S112*(1/$A$112)))</f>
        <v>0.86421155567672137</v>
      </c>
      <c r="U112" s="236">
        <f>T112-((T112*(1/$A$112)))</f>
        <v>0.77779040010904921</v>
      </c>
      <c r="V112" s="236">
        <f t="shared" ref="V112:AA112" si="163">U112-((U112*(1/$A$112)))</f>
        <v>0.70001136009814424</v>
      </c>
      <c r="W112" s="236">
        <f t="shared" si="163"/>
        <v>0.63001022408832985</v>
      </c>
      <c r="X112" s="236">
        <f t="shared" si="163"/>
        <v>0.56700920167949687</v>
      </c>
      <c r="Y112" s="236">
        <f t="shared" si="163"/>
        <v>0.51030828151154717</v>
      </c>
      <c r="Z112" s="236">
        <f t="shared" si="163"/>
        <v>0.45927745336039244</v>
      </c>
      <c r="AA112" s="236">
        <f t="shared" si="163"/>
        <v>0.41334970802435322</v>
      </c>
      <c r="AB112" s="236">
        <f>AA112-((AA112*(1/$A$112)))</f>
        <v>0.37201473722191791</v>
      </c>
      <c r="AC112" s="236">
        <f>AB112-((AB112*(1/$A$112)))</f>
        <v>0.33481326349972612</v>
      </c>
      <c r="AD112" s="236">
        <f>AC112-((AC112*(1/$A$112)))</f>
        <v>0.30133193714975348</v>
      </c>
      <c r="AE112" s="236">
        <f>AD112-((AD112*(1/$A$112)))</f>
        <v>0.27119874343477812</v>
      </c>
      <c r="AH112"/>
      <c r="AI112"/>
      <c r="AJ112"/>
      <c r="AK112"/>
      <c r="AL112"/>
      <c r="AM112"/>
    </row>
    <row r="113" spans="2:39" s="209" customFormat="1" ht="12.75" customHeight="1" outlineLevel="1">
      <c r="B113" s="267" t="s">
        <v>562</v>
      </c>
      <c r="C113" s="259"/>
      <c r="D113" s="259">
        <f>D141-D112</f>
        <v>3.3631999999999991</v>
      </c>
      <c r="E113" s="259">
        <f>+D113</f>
        <v>3.3631999999999991</v>
      </c>
      <c r="F113" s="259">
        <f>+E113</f>
        <v>3.3631999999999991</v>
      </c>
      <c r="G113" s="259">
        <f>+F113</f>
        <v>3.3631999999999991</v>
      </c>
      <c r="H113" s="259">
        <f>+G113</f>
        <v>3.3631999999999991</v>
      </c>
      <c r="I113" s="259">
        <f>+H113</f>
        <v>3.3631999999999991</v>
      </c>
      <c r="J113" s="259">
        <f t="shared" ref="J113:R121" si="164">+I113</f>
        <v>3.3631999999999991</v>
      </c>
      <c r="K113" s="259">
        <f t="shared" si="164"/>
        <v>3.3631999999999991</v>
      </c>
      <c r="L113" s="259">
        <f t="shared" si="164"/>
        <v>3.3631999999999991</v>
      </c>
      <c r="M113" s="259">
        <f t="shared" si="164"/>
        <v>3.3631999999999991</v>
      </c>
      <c r="N113" s="259">
        <f t="shared" si="164"/>
        <v>3.3631999999999991</v>
      </c>
      <c r="O113" s="259">
        <f t="shared" si="164"/>
        <v>3.3631999999999991</v>
      </c>
      <c r="P113" s="259">
        <f t="shared" si="164"/>
        <v>3.3631999999999991</v>
      </c>
      <c r="Q113" s="259">
        <f t="shared" si="164"/>
        <v>3.3631999999999991</v>
      </c>
      <c r="R113" s="259">
        <f>+Q113</f>
        <v>3.3631999999999991</v>
      </c>
      <c r="S113" s="259">
        <f t="shared" ref="S113:U121" si="165">+R113</f>
        <v>3.3631999999999991</v>
      </c>
      <c r="T113" s="259">
        <f t="shared" si="165"/>
        <v>3.3631999999999991</v>
      </c>
      <c r="U113" s="259">
        <f t="shared" si="165"/>
        <v>3.3631999999999991</v>
      </c>
      <c r="V113" s="259">
        <f t="shared" ref="V113:V128" si="166">+U113</f>
        <v>3.3631999999999991</v>
      </c>
      <c r="W113" s="259">
        <f t="shared" ref="W113:W130" si="167">+V113</f>
        <v>3.3631999999999991</v>
      </c>
      <c r="X113" s="259">
        <f t="shared" ref="X113:X131" si="168">+W113</f>
        <v>3.3631999999999991</v>
      </c>
      <c r="Y113" s="259">
        <f t="shared" ref="Y113:Y132" si="169">+X113</f>
        <v>3.3631999999999991</v>
      </c>
      <c r="Z113" s="259">
        <f t="shared" ref="Z113:Z133" si="170">+Y113</f>
        <v>3.3631999999999991</v>
      </c>
      <c r="AA113" s="259">
        <f t="shared" ref="AA113:AA134" si="171">+Z113</f>
        <v>3.3631999999999991</v>
      </c>
      <c r="AB113" s="259">
        <f t="shared" ref="AB113:AB134" si="172">+AA113</f>
        <v>3.3631999999999991</v>
      </c>
      <c r="AC113" s="259">
        <f t="shared" ref="AC113:AC137" si="173">+AB113</f>
        <v>3.3631999999999991</v>
      </c>
      <c r="AD113" s="259">
        <f t="shared" ref="AD113:AD138" si="174">+AC113</f>
        <v>3.3631999999999991</v>
      </c>
      <c r="AE113" s="259">
        <f t="shared" ref="AE113:AE138" si="175">+AD113</f>
        <v>3.3631999999999991</v>
      </c>
      <c r="AH113"/>
      <c r="AI113"/>
      <c r="AJ113"/>
      <c r="AK113"/>
      <c r="AL113"/>
      <c r="AM113"/>
    </row>
    <row r="114" spans="2:39" s="209" customFormat="1" ht="12.75" customHeight="1" outlineLevel="1">
      <c r="B114" s="267" t="s">
        <v>563</v>
      </c>
      <c r="C114" s="259"/>
      <c r="D114" s="259"/>
      <c r="E114" s="259">
        <f>+E141-E113-E112</f>
        <v>2.1293800000000003</v>
      </c>
      <c r="F114" s="259">
        <f>+E114</f>
        <v>2.1293800000000003</v>
      </c>
      <c r="G114" s="259">
        <f>+F114</f>
        <v>2.1293800000000003</v>
      </c>
      <c r="H114" s="259">
        <f>+G114</f>
        <v>2.1293800000000003</v>
      </c>
      <c r="I114" s="259">
        <f>+H114</f>
        <v>2.1293800000000003</v>
      </c>
      <c r="J114" s="259">
        <f t="shared" si="164"/>
        <v>2.1293800000000003</v>
      </c>
      <c r="K114" s="259">
        <f t="shared" si="164"/>
        <v>2.1293800000000003</v>
      </c>
      <c r="L114" s="259">
        <f t="shared" si="164"/>
        <v>2.1293800000000003</v>
      </c>
      <c r="M114" s="259">
        <f t="shared" si="164"/>
        <v>2.1293800000000003</v>
      </c>
      <c r="N114" s="259">
        <f t="shared" si="164"/>
        <v>2.1293800000000003</v>
      </c>
      <c r="O114" s="259">
        <f t="shared" si="164"/>
        <v>2.1293800000000003</v>
      </c>
      <c r="P114" s="259">
        <f t="shared" si="164"/>
        <v>2.1293800000000003</v>
      </c>
      <c r="Q114" s="259">
        <f t="shared" si="164"/>
        <v>2.1293800000000003</v>
      </c>
      <c r="R114" s="259">
        <f t="shared" si="164"/>
        <v>2.1293800000000003</v>
      </c>
      <c r="S114" s="259">
        <f t="shared" si="165"/>
        <v>2.1293800000000003</v>
      </c>
      <c r="T114" s="259">
        <f t="shared" si="165"/>
        <v>2.1293800000000003</v>
      </c>
      <c r="U114" s="259">
        <f>+T114</f>
        <v>2.1293800000000003</v>
      </c>
      <c r="V114" s="259">
        <f t="shared" si="166"/>
        <v>2.1293800000000003</v>
      </c>
      <c r="W114" s="259">
        <f t="shared" si="167"/>
        <v>2.1293800000000003</v>
      </c>
      <c r="X114" s="259">
        <f t="shared" si="168"/>
        <v>2.1293800000000003</v>
      </c>
      <c r="Y114" s="259">
        <f t="shared" si="169"/>
        <v>2.1293800000000003</v>
      </c>
      <c r="Z114" s="259">
        <f t="shared" si="170"/>
        <v>2.1293800000000003</v>
      </c>
      <c r="AA114" s="259">
        <f t="shared" si="171"/>
        <v>2.1293800000000003</v>
      </c>
      <c r="AB114" s="259">
        <f t="shared" si="172"/>
        <v>2.1293800000000003</v>
      </c>
      <c r="AC114" s="259">
        <f t="shared" si="173"/>
        <v>2.1293800000000003</v>
      </c>
      <c r="AD114" s="259">
        <f t="shared" si="174"/>
        <v>2.1293800000000003</v>
      </c>
      <c r="AE114" s="259">
        <f t="shared" si="175"/>
        <v>2.1293800000000003</v>
      </c>
      <c r="AH114"/>
      <c r="AI114"/>
      <c r="AJ114"/>
      <c r="AK114"/>
      <c r="AL114"/>
      <c r="AM114"/>
    </row>
    <row r="115" spans="2:39" s="209" customFormat="1" ht="12.75" customHeight="1" outlineLevel="1">
      <c r="B115" s="267" t="s">
        <v>564</v>
      </c>
      <c r="C115" s="259"/>
      <c r="D115" s="259"/>
      <c r="E115" s="259"/>
      <c r="F115" s="259">
        <f>+F141-F114-F113-F112</f>
        <v>5.0157420000000013</v>
      </c>
      <c r="G115" s="259">
        <f>+F115</f>
        <v>5.0157420000000013</v>
      </c>
      <c r="H115" s="259">
        <f>+G115</f>
        <v>5.0157420000000013</v>
      </c>
      <c r="I115" s="259">
        <f>+H115</f>
        <v>5.0157420000000013</v>
      </c>
      <c r="J115" s="259">
        <f t="shared" si="164"/>
        <v>5.0157420000000013</v>
      </c>
      <c r="K115" s="259">
        <f t="shared" si="164"/>
        <v>5.0157420000000013</v>
      </c>
      <c r="L115" s="259">
        <f t="shared" si="164"/>
        <v>5.0157420000000013</v>
      </c>
      <c r="M115" s="259">
        <f t="shared" si="164"/>
        <v>5.0157420000000013</v>
      </c>
      <c r="N115" s="259">
        <f t="shared" si="164"/>
        <v>5.0157420000000013</v>
      </c>
      <c r="O115" s="259">
        <f t="shared" si="164"/>
        <v>5.0157420000000013</v>
      </c>
      <c r="P115" s="259">
        <f t="shared" si="164"/>
        <v>5.0157420000000013</v>
      </c>
      <c r="Q115" s="259">
        <f t="shared" si="164"/>
        <v>5.0157420000000013</v>
      </c>
      <c r="R115" s="259">
        <f t="shared" si="164"/>
        <v>5.0157420000000013</v>
      </c>
      <c r="S115" s="259">
        <f t="shared" si="165"/>
        <v>5.0157420000000013</v>
      </c>
      <c r="T115" s="259">
        <f t="shared" si="165"/>
        <v>5.0157420000000013</v>
      </c>
      <c r="U115" s="259">
        <f t="shared" si="165"/>
        <v>5.0157420000000013</v>
      </c>
      <c r="V115" s="259">
        <f t="shared" si="166"/>
        <v>5.0157420000000013</v>
      </c>
      <c r="W115" s="259">
        <f t="shared" si="167"/>
        <v>5.0157420000000013</v>
      </c>
      <c r="X115" s="259">
        <f t="shared" si="168"/>
        <v>5.0157420000000013</v>
      </c>
      <c r="Y115" s="259">
        <f t="shared" si="169"/>
        <v>5.0157420000000013</v>
      </c>
      <c r="Z115" s="259">
        <f t="shared" si="170"/>
        <v>5.0157420000000013</v>
      </c>
      <c r="AA115" s="259">
        <f t="shared" si="171"/>
        <v>5.0157420000000013</v>
      </c>
      <c r="AB115" s="259">
        <f t="shared" si="172"/>
        <v>5.0157420000000013</v>
      </c>
      <c r="AC115" s="259">
        <f t="shared" si="173"/>
        <v>5.0157420000000013</v>
      </c>
      <c r="AD115" s="259">
        <f t="shared" si="174"/>
        <v>5.0157420000000013</v>
      </c>
      <c r="AE115" s="259">
        <f t="shared" si="175"/>
        <v>5.0157420000000013</v>
      </c>
      <c r="AH115"/>
      <c r="AI115"/>
      <c r="AJ115"/>
      <c r="AK115"/>
      <c r="AL115"/>
      <c r="AM115"/>
    </row>
    <row r="116" spans="2:39" s="209" customFormat="1" ht="12.75" customHeight="1" outlineLevel="1">
      <c r="B116" s="267" t="s">
        <v>565</v>
      </c>
      <c r="C116" s="259"/>
      <c r="D116" s="259"/>
      <c r="E116" s="259"/>
      <c r="F116" s="259"/>
      <c r="G116" s="259">
        <f>+G141-G115-G114-G113-G112</f>
        <v>2.7707677999999989</v>
      </c>
      <c r="H116" s="259">
        <f>+G116</f>
        <v>2.7707677999999989</v>
      </c>
      <c r="I116" s="259">
        <f>+H116</f>
        <v>2.7707677999999989</v>
      </c>
      <c r="J116" s="259">
        <f t="shared" si="164"/>
        <v>2.7707677999999989</v>
      </c>
      <c r="K116" s="259">
        <f t="shared" si="164"/>
        <v>2.7707677999999989</v>
      </c>
      <c r="L116" s="259">
        <f t="shared" si="164"/>
        <v>2.7707677999999989</v>
      </c>
      <c r="M116" s="259">
        <f t="shared" si="164"/>
        <v>2.7707677999999989</v>
      </c>
      <c r="N116" s="259">
        <f t="shared" si="164"/>
        <v>2.7707677999999989</v>
      </c>
      <c r="O116" s="259">
        <f t="shared" si="164"/>
        <v>2.7707677999999989</v>
      </c>
      <c r="P116" s="259">
        <f t="shared" si="164"/>
        <v>2.7707677999999989</v>
      </c>
      <c r="Q116" s="259">
        <f t="shared" si="164"/>
        <v>2.7707677999999989</v>
      </c>
      <c r="R116" s="259">
        <f t="shared" si="164"/>
        <v>2.7707677999999989</v>
      </c>
      <c r="S116" s="259">
        <f t="shared" si="165"/>
        <v>2.7707677999999989</v>
      </c>
      <c r="T116" s="259">
        <f t="shared" si="165"/>
        <v>2.7707677999999989</v>
      </c>
      <c r="U116" s="259">
        <f t="shared" si="165"/>
        <v>2.7707677999999989</v>
      </c>
      <c r="V116" s="259">
        <f t="shared" si="166"/>
        <v>2.7707677999999989</v>
      </c>
      <c r="W116" s="259">
        <f t="shared" si="167"/>
        <v>2.7707677999999989</v>
      </c>
      <c r="X116" s="259">
        <f t="shared" si="168"/>
        <v>2.7707677999999989</v>
      </c>
      <c r="Y116" s="259">
        <f t="shared" si="169"/>
        <v>2.7707677999999989</v>
      </c>
      <c r="Z116" s="259">
        <f t="shared" si="170"/>
        <v>2.7707677999999989</v>
      </c>
      <c r="AA116" s="259">
        <f t="shared" si="171"/>
        <v>2.7707677999999989</v>
      </c>
      <c r="AB116" s="259">
        <f t="shared" si="172"/>
        <v>2.7707677999999989</v>
      </c>
      <c r="AC116" s="259">
        <f t="shared" si="173"/>
        <v>2.7707677999999989</v>
      </c>
      <c r="AD116" s="259">
        <f t="shared" si="174"/>
        <v>2.7707677999999989</v>
      </c>
      <c r="AE116" s="259">
        <f t="shared" si="175"/>
        <v>2.7707677999999989</v>
      </c>
      <c r="AH116"/>
      <c r="AI116"/>
      <c r="AJ116"/>
      <c r="AK116"/>
      <c r="AL116"/>
      <c r="AM116"/>
    </row>
    <row r="117" spans="2:39" s="209" customFormat="1" ht="12.75" customHeight="1" outlineLevel="1">
      <c r="B117" s="267" t="s">
        <v>566</v>
      </c>
      <c r="C117" s="259"/>
      <c r="D117" s="259"/>
      <c r="E117" s="259"/>
      <c r="F117" s="259"/>
      <c r="G117" s="259"/>
      <c r="H117" s="259">
        <f>+H141-H116-H115-H114-H113-H112</f>
        <v>5.7179910200000013</v>
      </c>
      <c r="I117" s="259">
        <f>+H117</f>
        <v>5.7179910200000013</v>
      </c>
      <c r="J117" s="259">
        <f t="shared" si="164"/>
        <v>5.7179910200000013</v>
      </c>
      <c r="K117" s="259">
        <f t="shared" si="164"/>
        <v>5.7179910200000013</v>
      </c>
      <c r="L117" s="259">
        <f t="shared" si="164"/>
        <v>5.7179910200000013</v>
      </c>
      <c r="M117" s="259">
        <f t="shared" si="164"/>
        <v>5.7179910200000013</v>
      </c>
      <c r="N117" s="259">
        <f t="shared" si="164"/>
        <v>5.7179910200000013</v>
      </c>
      <c r="O117" s="259">
        <f t="shared" si="164"/>
        <v>5.7179910200000013</v>
      </c>
      <c r="P117" s="259">
        <f t="shared" si="164"/>
        <v>5.7179910200000013</v>
      </c>
      <c r="Q117" s="259">
        <f t="shared" si="164"/>
        <v>5.7179910200000013</v>
      </c>
      <c r="R117" s="259">
        <f t="shared" si="164"/>
        <v>5.7179910200000013</v>
      </c>
      <c r="S117" s="259">
        <f t="shared" si="165"/>
        <v>5.7179910200000013</v>
      </c>
      <c r="T117" s="259">
        <f t="shared" si="165"/>
        <v>5.7179910200000013</v>
      </c>
      <c r="U117" s="259">
        <f t="shared" si="165"/>
        <v>5.7179910200000013</v>
      </c>
      <c r="V117" s="259">
        <f t="shared" si="166"/>
        <v>5.7179910200000013</v>
      </c>
      <c r="W117" s="259">
        <f t="shared" si="167"/>
        <v>5.7179910200000013</v>
      </c>
      <c r="X117" s="259">
        <f t="shared" si="168"/>
        <v>5.7179910200000013</v>
      </c>
      <c r="Y117" s="259">
        <f t="shared" si="169"/>
        <v>5.7179910200000013</v>
      </c>
      <c r="Z117" s="259">
        <f t="shared" si="170"/>
        <v>5.7179910200000013</v>
      </c>
      <c r="AA117" s="259">
        <f t="shared" si="171"/>
        <v>5.7179910200000013</v>
      </c>
      <c r="AB117" s="259">
        <f t="shared" si="172"/>
        <v>5.7179910200000013</v>
      </c>
      <c r="AC117" s="259">
        <f t="shared" si="173"/>
        <v>5.7179910200000013</v>
      </c>
      <c r="AD117" s="259">
        <f t="shared" si="174"/>
        <v>5.7179910200000013</v>
      </c>
      <c r="AE117" s="259">
        <f t="shared" si="175"/>
        <v>5.7179910200000013</v>
      </c>
      <c r="AH117"/>
      <c r="AI117"/>
      <c r="AJ117"/>
      <c r="AK117"/>
      <c r="AL117"/>
      <c r="AM117"/>
    </row>
    <row r="118" spans="2:39" s="209" customFormat="1" ht="12.75" customHeight="1" outlineLevel="1">
      <c r="B118" s="267" t="s">
        <v>567</v>
      </c>
      <c r="C118" s="259"/>
      <c r="D118" s="259"/>
      <c r="E118" s="259"/>
      <c r="F118" s="259"/>
      <c r="G118" s="259"/>
      <c r="H118" s="259"/>
      <c r="I118" s="259">
        <f>+I141-I117-I116-I115-I114-I113-I112</f>
        <v>12.045991918</v>
      </c>
      <c r="J118" s="259">
        <f t="shared" si="164"/>
        <v>12.045991918</v>
      </c>
      <c r="K118" s="259">
        <f t="shared" si="164"/>
        <v>12.045991918</v>
      </c>
      <c r="L118" s="259">
        <f t="shared" si="164"/>
        <v>12.045991918</v>
      </c>
      <c r="M118" s="259">
        <f t="shared" si="164"/>
        <v>12.045991918</v>
      </c>
      <c r="N118" s="259">
        <f t="shared" si="164"/>
        <v>12.045991918</v>
      </c>
      <c r="O118" s="259">
        <f t="shared" si="164"/>
        <v>12.045991918</v>
      </c>
      <c r="P118" s="259">
        <f t="shared" si="164"/>
        <v>12.045991918</v>
      </c>
      <c r="Q118" s="259">
        <f t="shared" si="164"/>
        <v>12.045991918</v>
      </c>
      <c r="R118" s="259">
        <f t="shared" si="164"/>
        <v>12.045991918</v>
      </c>
      <c r="S118" s="259">
        <f t="shared" si="165"/>
        <v>12.045991918</v>
      </c>
      <c r="T118" s="259">
        <f t="shared" si="165"/>
        <v>12.045991918</v>
      </c>
      <c r="U118" s="259">
        <f t="shared" si="165"/>
        <v>12.045991918</v>
      </c>
      <c r="V118" s="259">
        <f t="shared" si="166"/>
        <v>12.045991918</v>
      </c>
      <c r="W118" s="259">
        <f t="shared" si="167"/>
        <v>12.045991918</v>
      </c>
      <c r="X118" s="259">
        <f t="shared" si="168"/>
        <v>12.045991918</v>
      </c>
      <c r="Y118" s="259">
        <f t="shared" si="169"/>
        <v>12.045991918</v>
      </c>
      <c r="Z118" s="259">
        <f t="shared" si="170"/>
        <v>12.045991918</v>
      </c>
      <c r="AA118" s="259">
        <f t="shared" si="171"/>
        <v>12.045991918</v>
      </c>
      <c r="AB118" s="259">
        <f t="shared" si="172"/>
        <v>12.045991918</v>
      </c>
      <c r="AC118" s="259">
        <f t="shared" si="173"/>
        <v>12.045991918</v>
      </c>
      <c r="AD118" s="259">
        <f t="shared" si="174"/>
        <v>12.045991918</v>
      </c>
      <c r="AE118" s="259">
        <f t="shared" si="175"/>
        <v>12.045991918</v>
      </c>
      <c r="AH118"/>
      <c r="AI118"/>
      <c r="AJ118"/>
      <c r="AK118"/>
      <c r="AL118"/>
      <c r="AM118"/>
    </row>
    <row r="119" spans="2:39" s="209" customFormat="1" ht="12.75" customHeight="1" outlineLevel="1">
      <c r="B119" s="267" t="s">
        <v>568</v>
      </c>
      <c r="C119" s="259"/>
      <c r="D119" s="259"/>
      <c r="E119" s="259"/>
      <c r="F119" s="259"/>
      <c r="G119" s="259"/>
      <c r="H119" s="259"/>
      <c r="I119" s="259"/>
      <c r="J119" s="259">
        <f>+J141-J118-J117-J116-J115-J114-J113-J112</f>
        <v>8.1603927262000067</v>
      </c>
      <c r="K119" s="259">
        <f t="shared" si="164"/>
        <v>8.1603927262000067</v>
      </c>
      <c r="L119" s="259">
        <f t="shared" si="164"/>
        <v>8.1603927262000067</v>
      </c>
      <c r="M119" s="259">
        <f t="shared" si="164"/>
        <v>8.1603927262000067</v>
      </c>
      <c r="N119" s="259">
        <f t="shared" si="164"/>
        <v>8.1603927262000067</v>
      </c>
      <c r="O119" s="259">
        <f t="shared" si="164"/>
        <v>8.1603927262000067</v>
      </c>
      <c r="P119" s="259">
        <f t="shared" si="164"/>
        <v>8.1603927262000067</v>
      </c>
      <c r="Q119" s="259">
        <f t="shared" si="164"/>
        <v>8.1603927262000067</v>
      </c>
      <c r="R119" s="259">
        <f t="shared" si="164"/>
        <v>8.1603927262000067</v>
      </c>
      <c r="S119" s="259">
        <f t="shared" si="165"/>
        <v>8.1603927262000067</v>
      </c>
      <c r="T119" s="259">
        <f t="shared" si="165"/>
        <v>8.1603927262000067</v>
      </c>
      <c r="U119" s="259">
        <f t="shared" si="165"/>
        <v>8.1603927262000067</v>
      </c>
      <c r="V119" s="259">
        <f t="shared" si="166"/>
        <v>8.1603927262000067</v>
      </c>
      <c r="W119" s="259">
        <f t="shared" si="167"/>
        <v>8.1603927262000067</v>
      </c>
      <c r="X119" s="259">
        <f t="shared" si="168"/>
        <v>8.1603927262000067</v>
      </c>
      <c r="Y119" s="259">
        <f t="shared" si="169"/>
        <v>8.1603927262000067</v>
      </c>
      <c r="Z119" s="259">
        <f t="shared" si="170"/>
        <v>8.1603927262000067</v>
      </c>
      <c r="AA119" s="259">
        <f t="shared" si="171"/>
        <v>8.1603927262000067</v>
      </c>
      <c r="AB119" s="259">
        <f t="shared" si="172"/>
        <v>8.1603927262000067</v>
      </c>
      <c r="AC119" s="259">
        <f t="shared" si="173"/>
        <v>8.1603927262000067</v>
      </c>
      <c r="AD119" s="259">
        <f t="shared" si="174"/>
        <v>8.1603927262000067</v>
      </c>
      <c r="AE119" s="259">
        <f t="shared" si="175"/>
        <v>8.1603927262000067</v>
      </c>
      <c r="AH119"/>
      <c r="AI119"/>
      <c r="AJ119"/>
      <c r="AK119"/>
      <c r="AL119"/>
      <c r="AM119"/>
    </row>
    <row r="120" spans="2:39" s="209" customFormat="1" ht="12.75" customHeight="1" outlineLevel="1">
      <c r="B120" s="267" t="s">
        <v>569</v>
      </c>
      <c r="C120" s="259"/>
      <c r="D120" s="259"/>
      <c r="E120" s="259"/>
      <c r="F120" s="259"/>
      <c r="G120" s="259"/>
      <c r="H120" s="259"/>
      <c r="I120" s="250"/>
      <c r="J120" s="250"/>
      <c r="K120" s="259">
        <f>+K141-K119-K118-K117-K116-K115-K114-K113-K112</f>
        <v>12.799853453579997</v>
      </c>
      <c r="L120" s="259">
        <f t="shared" si="164"/>
        <v>12.799853453579997</v>
      </c>
      <c r="M120" s="259">
        <f t="shared" si="164"/>
        <v>12.799853453579997</v>
      </c>
      <c r="N120" s="259">
        <f t="shared" si="164"/>
        <v>12.799853453579997</v>
      </c>
      <c r="O120" s="259">
        <f t="shared" si="164"/>
        <v>12.799853453579997</v>
      </c>
      <c r="P120" s="259">
        <f t="shared" si="164"/>
        <v>12.799853453579997</v>
      </c>
      <c r="Q120" s="259">
        <f t="shared" si="164"/>
        <v>12.799853453579997</v>
      </c>
      <c r="R120" s="259">
        <f t="shared" si="164"/>
        <v>12.799853453579997</v>
      </c>
      <c r="S120" s="259">
        <f t="shared" si="165"/>
        <v>12.799853453579997</v>
      </c>
      <c r="T120" s="259">
        <f t="shared" si="165"/>
        <v>12.799853453579997</v>
      </c>
      <c r="U120" s="259">
        <f t="shared" si="165"/>
        <v>12.799853453579997</v>
      </c>
      <c r="V120" s="259">
        <f t="shared" si="166"/>
        <v>12.799853453579997</v>
      </c>
      <c r="W120" s="259">
        <f t="shared" si="167"/>
        <v>12.799853453579997</v>
      </c>
      <c r="X120" s="259">
        <f t="shared" si="168"/>
        <v>12.799853453579997</v>
      </c>
      <c r="Y120" s="259">
        <f t="shared" si="169"/>
        <v>12.799853453579997</v>
      </c>
      <c r="Z120" s="259">
        <f t="shared" si="170"/>
        <v>12.799853453579997</v>
      </c>
      <c r="AA120" s="259">
        <f t="shared" si="171"/>
        <v>12.799853453579997</v>
      </c>
      <c r="AB120" s="259">
        <f t="shared" si="172"/>
        <v>12.799853453579997</v>
      </c>
      <c r="AC120" s="259">
        <f t="shared" si="173"/>
        <v>12.799853453579997</v>
      </c>
      <c r="AD120" s="259">
        <f t="shared" si="174"/>
        <v>12.799853453579997</v>
      </c>
      <c r="AE120" s="259">
        <f t="shared" si="175"/>
        <v>12.799853453579997</v>
      </c>
      <c r="AH120"/>
      <c r="AI120"/>
      <c r="AJ120"/>
      <c r="AK120"/>
      <c r="AL120"/>
      <c r="AM120"/>
    </row>
    <row r="121" spans="2:39" s="209" customFormat="1" ht="12.75" customHeight="1" outlineLevel="1">
      <c r="B121" s="267" t="s">
        <v>570</v>
      </c>
      <c r="C121" s="259"/>
      <c r="D121" s="259"/>
      <c r="E121" s="259"/>
      <c r="F121" s="259"/>
      <c r="G121" s="259"/>
      <c r="H121" s="259"/>
      <c r="I121" s="250"/>
      <c r="J121" s="250"/>
      <c r="K121" s="250"/>
      <c r="L121" s="259">
        <f>L141-SUM(L112:L120)</f>
        <v>17.142068108221999</v>
      </c>
      <c r="M121" s="259">
        <f t="shared" si="164"/>
        <v>17.142068108221999</v>
      </c>
      <c r="N121" s="259">
        <f t="shared" si="164"/>
        <v>17.142068108221999</v>
      </c>
      <c r="O121" s="259">
        <f t="shared" si="164"/>
        <v>17.142068108221999</v>
      </c>
      <c r="P121" s="259">
        <f t="shared" si="164"/>
        <v>17.142068108221999</v>
      </c>
      <c r="Q121" s="259">
        <f t="shared" si="164"/>
        <v>17.142068108221999</v>
      </c>
      <c r="R121" s="259">
        <f t="shared" si="164"/>
        <v>17.142068108221999</v>
      </c>
      <c r="S121" s="259">
        <f t="shared" si="165"/>
        <v>17.142068108221999</v>
      </c>
      <c r="T121" s="259">
        <f t="shared" si="165"/>
        <v>17.142068108221999</v>
      </c>
      <c r="U121" s="259">
        <f t="shared" si="165"/>
        <v>17.142068108221999</v>
      </c>
      <c r="V121" s="259">
        <f t="shared" si="166"/>
        <v>17.142068108221999</v>
      </c>
      <c r="W121" s="259">
        <f t="shared" si="167"/>
        <v>17.142068108221999</v>
      </c>
      <c r="X121" s="259">
        <f t="shared" si="168"/>
        <v>17.142068108221999</v>
      </c>
      <c r="Y121" s="259">
        <f t="shared" si="169"/>
        <v>17.142068108221999</v>
      </c>
      <c r="Z121" s="259">
        <f t="shared" si="170"/>
        <v>17.142068108221999</v>
      </c>
      <c r="AA121" s="259">
        <f t="shared" si="171"/>
        <v>17.142068108221999</v>
      </c>
      <c r="AB121" s="259">
        <f t="shared" si="172"/>
        <v>17.142068108221999</v>
      </c>
      <c r="AC121" s="259">
        <f t="shared" si="173"/>
        <v>17.142068108221999</v>
      </c>
      <c r="AD121" s="259">
        <f t="shared" si="174"/>
        <v>17.142068108221999</v>
      </c>
      <c r="AE121" s="259">
        <f t="shared" si="175"/>
        <v>17.142068108221999</v>
      </c>
      <c r="AH121"/>
      <c r="AI121"/>
      <c r="AJ121"/>
      <c r="AK121"/>
      <c r="AL121"/>
      <c r="AM121"/>
    </row>
    <row r="122" spans="2:39" s="209" customFormat="1" ht="12.75" customHeight="1" outlineLevel="1">
      <c r="B122" s="267" t="s">
        <v>571</v>
      </c>
      <c r="C122" s="259"/>
      <c r="D122" s="259"/>
      <c r="E122" s="259"/>
      <c r="F122" s="259"/>
      <c r="G122" s="259"/>
      <c r="H122" s="259"/>
      <c r="I122" s="250"/>
      <c r="J122" s="250"/>
      <c r="K122" s="250"/>
      <c r="L122" s="250"/>
      <c r="M122" s="259">
        <f>M141-SUM(M112:M121)</f>
        <v>13.921761297399797</v>
      </c>
      <c r="N122" s="259">
        <f t="shared" ref="N122:U122" si="176">+M122</f>
        <v>13.921761297399797</v>
      </c>
      <c r="O122" s="259">
        <f t="shared" si="176"/>
        <v>13.921761297399797</v>
      </c>
      <c r="P122" s="259">
        <f t="shared" si="176"/>
        <v>13.921761297399797</v>
      </c>
      <c r="Q122" s="259">
        <f t="shared" si="176"/>
        <v>13.921761297399797</v>
      </c>
      <c r="R122" s="259">
        <f t="shared" si="176"/>
        <v>13.921761297399797</v>
      </c>
      <c r="S122" s="259">
        <f t="shared" si="176"/>
        <v>13.921761297399797</v>
      </c>
      <c r="T122" s="259">
        <f t="shared" si="176"/>
        <v>13.921761297399797</v>
      </c>
      <c r="U122" s="259">
        <f t="shared" si="176"/>
        <v>13.921761297399797</v>
      </c>
      <c r="V122" s="259">
        <f t="shared" si="166"/>
        <v>13.921761297399797</v>
      </c>
      <c r="W122" s="259">
        <f t="shared" si="167"/>
        <v>13.921761297399797</v>
      </c>
      <c r="X122" s="259">
        <f t="shared" si="168"/>
        <v>13.921761297399797</v>
      </c>
      <c r="Y122" s="259">
        <f t="shared" si="169"/>
        <v>13.921761297399797</v>
      </c>
      <c r="Z122" s="259">
        <f t="shared" si="170"/>
        <v>13.921761297399797</v>
      </c>
      <c r="AA122" s="259">
        <f t="shared" si="171"/>
        <v>13.921761297399797</v>
      </c>
      <c r="AB122" s="259">
        <f t="shared" si="172"/>
        <v>13.921761297399797</v>
      </c>
      <c r="AC122" s="259">
        <f t="shared" si="173"/>
        <v>13.921761297399797</v>
      </c>
      <c r="AD122" s="259">
        <f t="shared" si="174"/>
        <v>13.921761297399797</v>
      </c>
      <c r="AE122" s="259">
        <f t="shared" si="175"/>
        <v>13.921761297399797</v>
      </c>
      <c r="AH122"/>
      <c r="AI122"/>
      <c r="AJ122"/>
      <c r="AK122"/>
      <c r="AL122"/>
      <c r="AM122"/>
    </row>
    <row r="123" spans="2:39" s="209" customFormat="1" ht="12.75" customHeight="1" outlineLevel="1">
      <c r="B123" s="267" t="s">
        <v>572</v>
      </c>
      <c r="C123" s="259"/>
      <c r="D123" s="259"/>
      <c r="E123" s="259"/>
      <c r="F123" s="259"/>
      <c r="G123" s="259"/>
      <c r="H123" s="259"/>
      <c r="I123" s="250"/>
      <c r="J123" s="250"/>
      <c r="K123" s="250"/>
      <c r="L123" s="250"/>
      <c r="M123" s="250"/>
      <c r="N123" s="259">
        <f>N$104/$A$112</f>
        <v>11.97</v>
      </c>
      <c r="O123" s="259">
        <f t="shared" ref="O123:U123" si="177">+N123</f>
        <v>11.97</v>
      </c>
      <c r="P123" s="259">
        <f t="shared" si="177"/>
        <v>11.97</v>
      </c>
      <c r="Q123" s="259">
        <f t="shared" si="177"/>
        <v>11.97</v>
      </c>
      <c r="R123" s="259">
        <f t="shared" si="177"/>
        <v>11.97</v>
      </c>
      <c r="S123" s="259">
        <f t="shared" si="177"/>
        <v>11.97</v>
      </c>
      <c r="T123" s="259">
        <f t="shared" si="177"/>
        <v>11.97</v>
      </c>
      <c r="U123" s="259">
        <f t="shared" si="177"/>
        <v>11.97</v>
      </c>
      <c r="V123" s="259">
        <f t="shared" si="166"/>
        <v>11.97</v>
      </c>
      <c r="W123" s="259">
        <f t="shared" si="167"/>
        <v>11.97</v>
      </c>
      <c r="X123" s="259">
        <f t="shared" si="168"/>
        <v>11.97</v>
      </c>
      <c r="Y123" s="259">
        <f t="shared" si="169"/>
        <v>11.97</v>
      </c>
      <c r="Z123" s="259">
        <f t="shared" si="170"/>
        <v>11.97</v>
      </c>
      <c r="AA123" s="259">
        <f t="shared" si="171"/>
        <v>11.97</v>
      </c>
      <c r="AB123" s="259">
        <f t="shared" si="172"/>
        <v>11.97</v>
      </c>
      <c r="AC123" s="259">
        <f t="shared" si="173"/>
        <v>11.97</v>
      </c>
      <c r="AD123" s="259">
        <f t="shared" si="174"/>
        <v>11.97</v>
      </c>
      <c r="AE123" s="259">
        <f t="shared" si="175"/>
        <v>11.97</v>
      </c>
      <c r="AH123"/>
      <c r="AI123"/>
      <c r="AJ123"/>
      <c r="AK123"/>
      <c r="AL123"/>
      <c r="AM123"/>
    </row>
    <row r="124" spans="2:39" s="209" customFormat="1" ht="12.75" customHeight="1" outlineLevel="1">
      <c r="B124" s="267" t="s">
        <v>573</v>
      </c>
      <c r="C124" s="259"/>
      <c r="D124" s="259"/>
      <c r="E124" s="259"/>
      <c r="F124" s="259"/>
      <c r="G124" s="259"/>
      <c r="H124" s="259"/>
      <c r="I124" s="250"/>
      <c r="J124" s="250"/>
      <c r="K124" s="250"/>
      <c r="L124" s="250"/>
      <c r="M124" s="250"/>
      <c r="N124" s="250"/>
      <c r="O124" s="259">
        <f>O$104/$A$112</f>
        <v>15.030000000000001</v>
      </c>
      <c r="P124" s="259">
        <f t="shared" ref="P124:U124" si="178">+O124</f>
        <v>15.030000000000001</v>
      </c>
      <c r="Q124" s="259">
        <f t="shared" si="178"/>
        <v>15.030000000000001</v>
      </c>
      <c r="R124" s="259">
        <f t="shared" si="178"/>
        <v>15.030000000000001</v>
      </c>
      <c r="S124" s="259">
        <f t="shared" si="178"/>
        <v>15.030000000000001</v>
      </c>
      <c r="T124" s="259">
        <f t="shared" si="178"/>
        <v>15.030000000000001</v>
      </c>
      <c r="U124" s="259">
        <f t="shared" si="178"/>
        <v>15.030000000000001</v>
      </c>
      <c r="V124" s="259">
        <f t="shared" si="166"/>
        <v>15.030000000000001</v>
      </c>
      <c r="W124" s="259">
        <f t="shared" si="167"/>
        <v>15.030000000000001</v>
      </c>
      <c r="X124" s="259">
        <f t="shared" si="168"/>
        <v>15.030000000000001</v>
      </c>
      <c r="Y124" s="259">
        <f t="shared" si="169"/>
        <v>15.030000000000001</v>
      </c>
      <c r="Z124" s="259">
        <f t="shared" si="170"/>
        <v>15.030000000000001</v>
      </c>
      <c r="AA124" s="259">
        <f t="shared" si="171"/>
        <v>15.030000000000001</v>
      </c>
      <c r="AB124" s="259">
        <f t="shared" si="172"/>
        <v>15.030000000000001</v>
      </c>
      <c r="AC124" s="259">
        <f t="shared" si="173"/>
        <v>15.030000000000001</v>
      </c>
      <c r="AD124" s="259">
        <f t="shared" si="174"/>
        <v>15.030000000000001</v>
      </c>
      <c r="AE124" s="259">
        <f t="shared" si="175"/>
        <v>15.030000000000001</v>
      </c>
      <c r="AH124"/>
      <c r="AI124"/>
      <c r="AJ124"/>
      <c r="AK124"/>
      <c r="AL124"/>
      <c r="AM124"/>
    </row>
    <row r="125" spans="2:39" s="209" customFormat="1" ht="12.75" customHeight="1" outlineLevel="1">
      <c r="B125" s="267" t="s">
        <v>574</v>
      </c>
      <c r="C125" s="259"/>
      <c r="D125" s="259"/>
      <c r="E125" s="259"/>
      <c r="F125" s="259"/>
      <c r="G125" s="259"/>
      <c r="H125" s="259"/>
      <c r="I125" s="250"/>
      <c r="J125" s="250"/>
      <c r="K125" s="250"/>
      <c r="L125" s="250"/>
      <c r="M125" s="250"/>
      <c r="N125" s="250"/>
      <c r="O125" s="250"/>
      <c r="P125" s="259">
        <f>P$104/$A$112</f>
        <v>28.630000000000003</v>
      </c>
      <c r="Q125" s="259">
        <f>+P125</f>
        <v>28.630000000000003</v>
      </c>
      <c r="R125" s="259">
        <f>+Q125</f>
        <v>28.630000000000003</v>
      </c>
      <c r="S125" s="259">
        <f>+R125</f>
        <v>28.630000000000003</v>
      </c>
      <c r="T125" s="259">
        <f>+S125</f>
        <v>28.630000000000003</v>
      </c>
      <c r="U125" s="259">
        <f>+T125</f>
        <v>28.630000000000003</v>
      </c>
      <c r="V125" s="259">
        <f t="shared" si="166"/>
        <v>28.630000000000003</v>
      </c>
      <c r="W125" s="259">
        <f t="shared" si="167"/>
        <v>28.630000000000003</v>
      </c>
      <c r="X125" s="259">
        <f t="shared" si="168"/>
        <v>28.630000000000003</v>
      </c>
      <c r="Y125" s="259">
        <f t="shared" si="169"/>
        <v>28.630000000000003</v>
      </c>
      <c r="Z125" s="259">
        <f t="shared" si="170"/>
        <v>28.630000000000003</v>
      </c>
      <c r="AA125" s="259">
        <f t="shared" si="171"/>
        <v>28.630000000000003</v>
      </c>
      <c r="AB125" s="259">
        <f t="shared" si="172"/>
        <v>28.630000000000003</v>
      </c>
      <c r="AC125" s="259">
        <f t="shared" si="173"/>
        <v>28.630000000000003</v>
      </c>
      <c r="AD125" s="259">
        <f t="shared" si="174"/>
        <v>28.630000000000003</v>
      </c>
      <c r="AE125" s="259">
        <f t="shared" si="175"/>
        <v>28.630000000000003</v>
      </c>
      <c r="AH125"/>
      <c r="AI125"/>
      <c r="AJ125"/>
      <c r="AK125"/>
      <c r="AL125"/>
      <c r="AM125"/>
    </row>
    <row r="126" spans="2:39" s="209" customFormat="1" ht="12.75" customHeight="1" outlineLevel="1">
      <c r="B126" s="267" t="s">
        <v>575</v>
      </c>
      <c r="C126" s="259"/>
      <c r="D126" s="259"/>
      <c r="E126" s="259"/>
      <c r="F126" s="259"/>
      <c r="G126" s="259"/>
      <c r="H126" s="259"/>
      <c r="I126" s="250"/>
      <c r="J126" s="250"/>
      <c r="K126" s="250"/>
      <c r="L126" s="250"/>
      <c r="M126" s="250"/>
      <c r="N126" s="250"/>
      <c r="O126" s="250"/>
      <c r="P126" s="250"/>
      <c r="Q126" s="259">
        <f>Q$104/$A$112</f>
        <v>23.619999999999997</v>
      </c>
      <c r="R126" s="259">
        <f>+Q126</f>
        <v>23.619999999999997</v>
      </c>
      <c r="S126" s="259">
        <f t="shared" ref="S126:U129" si="179">+R126</f>
        <v>23.619999999999997</v>
      </c>
      <c r="T126" s="259">
        <f t="shared" si="179"/>
        <v>23.619999999999997</v>
      </c>
      <c r="U126" s="259">
        <f t="shared" si="179"/>
        <v>23.619999999999997</v>
      </c>
      <c r="V126" s="259">
        <f t="shared" si="166"/>
        <v>23.619999999999997</v>
      </c>
      <c r="W126" s="259">
        <f t="shared" si="167"/>
        <v>23.619999999999997</v>
      </c>
      <c r="X126" s="259">
        <f t="shared" si="168"/>
        <v>23.619999999999997</v>
      </c>
      <c r="Y126" s="259">
        <f t="shared" si="169"/>
        <v>23.619999999999997</v>
      </c>
      <c r="Z126" s="259">
        <f t="shared" si="170"/>
        <v>23.619999999999997</v>
      </c>
      <c r="AA126" s="259">
        <f t="shared" si="171"/>
        <v>23.619999999999997</v>
      </c>
      <c r="AB126" s="259">
        <f t="shared" si="172"/>
        <v>23.619999999999997</v>
      </c>
      <c r="AC126" s="259">
        <f t="shared" si="173"/>
        <v>23.619999999999997</v>
      </c>
      <c r="AD126" s="259">
        <f t="shared" si="174"/>
        <v>23.619999999999997</v>
      </c>
      <c r="AE126" s="259">
        <f t="shared" si="175"/>
        <v>23.619999999999997</v>
      </c>
      <c r="AH126"/>
      <c r="AI126"/>
      <c r="AJ126"/>
      <c r="AK126"/>
      <c r="AL126"/>
      <c r="AM126"/>
    </row>
    <row r="127" spans="2:39" ht="12.75" customHeight="1" outlineLevel="1">
      <c r="B127" s="267" t="s">
        <v>576</v>
      </c>
      <c r="C127" s="257"/>
      <c r="D127" s="257"/>
      <c r="E127" s="268"/>
      <c r="F127" s="268"/>
      <c r="G127" s="268"/>
      <c r="H127" s="268"/>
      <c r="I127" s="184"/>
      <c r="J127" s="184"/>
      <c r="K127" s="184"/>
      <c r="L127" s="184"/>
      <c r="M127" s="184"/>
      <c r="N127" s="184"/>
      <c r="O127" s="184"/>
      <c r="P127" s="184"/>
      <c r="Q127" s="184"/>
      <c r="R127" s="259">
        <f>R$104/$A$112</f>
        <v>27.9</v>
      </c>
      <c r="S127" s="259">
        <f t="shared" si="179"/>
        <v>27.9</v>
      </c>
      <c r="T127" s="259">
        <f t="shared" si="179"/>
        <v>27.9</v>
      </c>
      <c r="U127" s="259">
        <f t="shared" si="179"/>
        <v>27.9</v>
      </c>
      <c r="V127" s="259">
        <f t="shared" si="166"/>
        <v>27.9</v>
      </c>
      <c r="W127" s="259">
        <f t="shared" si="167"/>
        <v>27.9</v>
      </c>
      <c r="X127" s="259">
        <f t="shared" si="168"/>
        <v>27.9</v>
      </c>
      <c r="Y127" s="259">
        <f t="shared" si="169"/>
        <v>27.9</v>
      </c>
      <c r="Z127" s="259">
        <f t="shared" si="170"/>
        <v>27.9</v>
      </c>
      <c r="AA127" s="259">
        <f t="shared" si="171"/>
        <v>27.9</v>
      </c>
      <c r="AB127" s="259">
        <f t="shared" si="172"/>
        <v>27.9</v>
      </c>
      <c r="AC127" s="259">
        <f t="shared" si="173"/>
        <v>27.9</v>
      </c>
      <c r="AD127" s="259">
        <f t="shared" si="174"/>
        <v>27.9</v>
      </c>
      <c r="AE127" s="259">
        <f t="shared" si="175"/>
        <v>27.9</v>
      </c>
    </row>
    <row r="128" spans="2:39" ht="12.75" customHeight="1" outlineLevel="1">
      <c r="B128" s="267" t="s">
        <v>721</v>
      </c>
      <c r="C128" s="257"/>
      <c r="D128" s="257"/>
      <c r="E128" s="268"/>
      <c r="F128" s="268"/>
      <c r="G128" s="268"/>
      <c r="H128" s="268"/>
      <c r="I128" s="184"/>
      <c r="J128" s="184"/>
      <c r="K128" s="184"/>
      <c r="L128" s="184"/>
      <c r="M128" s="184"/>
      <c r="N128" s="184"/>
      <c r="O128" s="184"/>
      <c r="P128" s="184"/>
      <c r="Q128" s="184"/>
      <c r="R128" s="259"/>
      <c r="S128" s="259">
        <f>S$104/$A$112</f>
        <v>31.699533717983616</v>
      </c>
      <c r="T128" s="259">
        <f t="shared" si="179"/>
        <v>31.699533717983616</v>
      </c>
      <c r="U128" s="259">
        <f t="shared" si="179"/>
        <v>31.699533717983616</v>
      </c>
      <c r="V128" s="259">
        <f t="shared" si="166"/>
        <v>31.699533717983616</v>
      </c>
      <c r="W128" s="259">
        <f t="shared" si="167"/>
        <v>31.699533717983616</v>
      </c>
      <c r="X128" s="259">
        <f t="shared" si="168"/>
        <v>31.699533717983616</v>
      </c>
      <c r="Y128" s="259">
        <f t="shared" si="169"/>
        <v>31.699533717983616</v>
      </c>
      <c r="Z128" s="259">
        <f t="shared" si="170"/>
        <v>31.699533717983616</v>
      </c>
      <c r="AA128" s="259">
        <f t="shared" si="171"/>
        <v>31.699533717983616</v>
      </c>
      <c r="AB128" s="259">
        <f t="shared" si="172"/>
        <v>31.699533717983616</v>
      </c>
      <c r="AC128" s="259">
        <f t="shared" si="173"/>
        <v>31.699533717983616</v>
      </c>
      <c r="AD128" s="259">
        <f t="shared" si="174"/>
        <v>31.699533717983616</v>
      </c>
      <c r="AE128" s="259">
        <f t="shared" si="175"/>
        <v>31.699533717983616</v>
      </c>
    </row>
    <row r="129" spans="2:39" ht="12.75" customHeight="1" outlineLevel="1">
      <c r="B129" s="267" t="s">
        <v>722</v>
      </c>
      <c r="C129" s="184"/>
      <c r="D129" s="184"/>
      <c r="E129" s="184"/>
      <c r="F129" s="184"/>
      <c r="G129" s="184"/>
      <c r="H129" s="184"/>
      <c r="I129" s="184"/>
      <c r="J129" s="184"/>
      <c r="K129" s="184"/>
      <c r="L129" s="184"/>
      <c r="M129" s="184"/>
      <c r="N129" s="184"/>
      <c r="O129" s="184"/>
      <c r="P129" s="184"/>
      <c r="Q129" s="184"/>
      <c r="R129" s="259"/>
      <c r="S129" s="259"/>
      <c r="T129" s="259">
        <f>T$104/$A$112</f>
        <v>35.893415314990072</v>
      </c>
      <c r="U129" s="259">
        <f t="shared" si="179"/>
        <v>35.893415314990072</v>
      </c>
      <c r="V129" s="259">
        <f>+U129</f>
        <v>35.893415314990072</v>
      </c>
      <c r="W129" s="259">
        <f t="shared" si="167"/>
        <v>35.893415314990072</v>
      </c>
      <c r="X129" s="259">
        <f t="shared" si="168"/>
        <v>35.893415314990072</v>
      </c>
      <c r="Y129" s="259">
        <f t="shared" si="169"/>
        <v>35.893415314990072</v>
      </c>
      <c r="Z129" s="259">
        <f t="shared" si="170"/>
        <v>35.893415314990072</v>
      </c>
      <c r="AA129" s="259">
        <f t="shared" si="171"/>
        <v>35.893415314990072</v>
      </c>
      <c r="AB129" s="259">
        <f t="shared" si="172"/>
        <v>35.893415314990072</v>
      </c>
      <c r="AC129" s="259">
        <f t="shared" si="173"/>
        <v>35.893415314990072</v>
      </c>
      <c r="AD129" s="259">
        <f t="shared" si="174"/>
        <v>35.893415314990072</v>
      </c>
      <c r="AE129" s="259">
        <f t="shared" si="175"/>
        <v>35.893415314990072</v>
      </c>
    </row>
    <row r="130" spans="2:39" ht="12.75" customHeight="1" outlineLevel="1">
      <c r="B130" s="267" t="s">
        <v>723</v>
      </c>
      <c r="C130" s="257"/>
      <c r="D130" s="257"/>
      <c r="E130" s="268"/>
      <c r="F130" s="268"/>
      <c r="G130" s="268"/>
      <c r="H130" s="268"/>
      <c r="I130" s="184"/>
      <c r="J130" s="184"/>
      <c r="K130" s="184"/>
      <c r="L130" s="184"/>
      <c r="M130" s="184"/>
      <c r="N130" s="184"/>
      <c r="O130" s="184"/>
      <c r="P130" s="184"/>
      <c r="Q130" s="184"/>
      <c r="R130" s="259"/>
      <c r="S130" s="259"/>
      <c r="T130" s="259"/>
      <c r="U130" s="259">
        <f>U$104/$A$112</f>
        <v>48.124300797875684</v>
      </c>
      <c r="V130" s="259">
        <f>+U130</f>
        <v>48.124300797875684</v>
      </c>
      <c r="W130" s="259">
        <f t="shared" si="167"/>
        <v>48.124300797875684</v>
      </c>
      <c r="X130" s="259">
        <f t="shared" si="168"/>
        <v>48.124300797875684</v>
      </c>
      <c r="Y130" s="259">
        <f t="shared" si="169"/>
        <v>48.124300797875684</v>
      </c>
      <c r="Z130" s="259">
        <f t="shared" si="170"/>
        <v>48.124300797875684</v>
      </c>
      <c r="AA130" s="259">
        <f t="shared" si="171"/>
        <v>48.124300797875684</v>
      </c>
      <c r="AB130" s="259">
        <f t="shared" si="172"/>
        <v>48.124300797875684</v>
      </c>
      <c r="AC130" s="259">
        <f t="shared" si="173"/>
        <v>48.124300797875684</v>
      </c>
      <c r="AD130" s="259">
        <f t="shared" si="174"/>
        <v>48.124300797875684</v>
      </c>
      <c r="AE130" s="259">
        <f t="shared" si="175"/>
        <v>48.124300797875684</v>
      </c>
    </row>
    <row r="131" spans="2:39" ht="12.75" customHeight="1" outlineLevel="1">
      <c r="B131" s="267" t="s">
        <v>824</v>
      </c>
      <c r="C131" s="257"/>
      <c r="D131" s="257"/>
      <c r="E131" s="268"/>
      <c r="F131" s="268"/>
      <c r="G131" s="268"/>
      <c r="H131" s="268"/>
      <c r="I131" s="184"/>
      <c r="J131" s="184"/>
      <c r="K131" s="184"/>
      <c r="L131" s="184"/>
      <c r="M131" s="184"/>
      <c r="N131" s="184"/>
      <c r="O131" s="184"/>
      <c r="P131" s="184"/>
      <c r="Q131" s="184"/>
      <c r="R131" s="259"/>
      <c r="S131" s="259"/>
      <c r="T131" s="259"/>
      <c r="U131" s="259"/>
      <c r="V131" s="259">
        <f>V$104/$A$112</f>
        <v>55.27438843219808</v>
      </c>
      <c r="W131" s="259">
        <f>+V131</f>
        <v>55.27438843219808</v>
      </c>
      <c r="X131" s="259">
        <f t="shared" si="168"/>
        <v>55.27438843219808</v>
      </c>
      <c r="Y131" s="259">
        <f t="shared" si="169"/>
        <v>55.27438843219808</v>
      </c>
      <c r="Z131" s="259">
        <f t="shared" si="170"/>
        <v>55.27438843219808</v>
      </c>
      <c r="AA131" s="259">
        <f t="shared" si="171"/>
        <v>55.27438843219808</v>
      </c>
      <c r="AB131" s="259">
        <f t="shared" si="172"/>
        <v>55.27438843219808</v>
      </c>
      <c r="AC131" s="259">
        <f t="shared" si="173"/>
        <v>55.27438843219808</v>
      </c>
      <c r="AD131" s="259">
        <f t="shared" si="174"/>
        <v>55.27438843219808</v>
      </c>
      <c r="AE131" s="259">
        <f t="shared" si="175"/>
        <v>55.27438843219808</v>
      </c>
    </row>
    <row r="132" spans="2:39" ht="12.75" customHeight="1" outlineLevel="1">
      <c r="B132" s="267" t="s">
        <v>825</v>
      </c>
      <c r="C132" s="257"/>
      <c r="D132" s="257"/>
      <c r="E132" s="268"/>
      <c r="F132" s="268"/>
      <c r="G132" s="268"/>
      <c r="H132" s="268"/>
      <c r="I132" s="184"/>
      <c r="J132" s="184"/>
      <c r="K132" s="184"/>
      <c r="L132" s="184"/>
      <c r="M132" s="184"/>
      <c r="N132" s="184"/>
      <c r="O132" s="184"/>
      <c r="P132" s="184"/>
      <c r="Q132" s="184"/>
      <c r="R132" s="259"/>
      <c r="S132" s="259"/>
      <c r="T132" s="259"/>
      <c r="U132" s="259"/>
      <c r="W132" s="259">
        <f>W$104/$A$112</f>
        <v>59.183146416184819</v>
      </c>
      <c r="X132" s="259">
        <f>+W132</f>
        <v>59.183146416184819</v>
      </c>
      <c r="Y132" s="259">
        <f t="shared" si="169"/>
        <v>59.183146416184819</v>
      </c>
      <c r="Z132" s="259">
        <f t="shared" si="170"/>
        <v>59.183146416184819</v>
      </c>
      <c r="AA132" s="259">
        <f t="shared" si="171"/>
        <v>59.183146416184819</v>
      </c>
      <c r="AB132" s="259">
        <f t="shared" si="172"/>
        <v>59.183146416184819</v>
      </c>
      <c r="AC132" s="259">
        <f t="shared" si="173"/>
        <v>59.183146416184819</v>
      </c>
      <c r="AD132" s="259">
        <f t="shared" si="174"/>
        <v>59.183146416184819</v>
      </c>
      <c r="AE132" s="259">
        <f t="shared" si="175"/>
        <v>59.183146416184819</v>
      </c>
    </row>
    <row r="133" spans="2:39" ht="12.75" customHeight="1" outlineLevel="1">
      <c r="B133" s="267" t="s">
        <v>826</v>
      </c>
      <c r="C133" s="257"/>
      <c r="D133" s="257"/>
      <c r="E133" s="268"/>
      <c r="F133" s="268"/>
      <c r="G133" s="268"/>
      <c r="H133" s="268"/>
      <c r="I133" s="184"/>
      <c r="J133" s="184"/>
      <c r="K133" s="184"/>
      <c r="L133" s="184"/>
      <c r="M133" s="184"/>
      <c r="N133" s="184"/>
      <c r="O133" s="184"/>
      <c r="P133" s="184"/>
      <c r="Q133" s="184"/>
      <c r="R133" s="259"/>
      <c r="S133" s="259"/>
      <c r="T133" s="259"/>
      <c r="U133" s="259"/>
      <c r="X133" s="259">
        <f>X$104/$A$112</f>
        <v>59.976020732881658</v>
      </c>
      <c r="Y133" s="259">
        <f>+X133</f>
        <v>59.976020732881658</v>
      </c>
      <c r="Z133" s="259">
        <f t="shared" si="170"/>
        <v>59.976020732881658</v>
      </c>
      <c r="AA133" s="259">
        <f t="shared" si="171"/>
        <v>59.976020732881658</v>
      </c>
      <c r="AB133" s="259">
        <f t="shared" si="172"/>
        <v>59.976020732881658</v>
      </c>
      <c r="AC133" s="259">
        <f t="shared" si="173"/>
        <v>59.976020732881658</v>
      </c>
      <c r="AD133" s="259">
        <f t="shared" si="174"/>
        <v>59.976020732881658</v>
      </c>
      <c r="AE133" s="259">
        <f t="shared" si="175"/>
        <v>59.976020732881658</v>
      </c>
    </row>
    <row r="134" spans="2:39" ht="12.75" customHeight="1" outlineLevel="1">
      <c r="B134" s="267" t="s">
        <v>827</v>
      </c>
      <c r="C134" s="257"/>
      <c r="D134" s="257"/>
      <c r="E134" s="268"/>
      <c r="F134" s="268"/>
      <c r="G134" s="268"/>
      <c r="H134" s="268"/>
      <c r="I134" s="184"/>
      <c r="J134" s="184"/>
      <c r="K134" s="184"/>
      <c r="L134" s="184"/>
      <c r="M134" s="184"/>
      <c r="N134" s="184"/>
      <c r="O134" s="184"/>
      <c r="P134" s="184"/>
      <c r="Q134" s="184"/>
      <c r="R134" s="259"/>
      <c r="S134" s="259"/>
      <c r="T134" s="259"/>
      <c r="U134" s="259"/>
      <c r="Y134" s="259">
        <f>Y$104/$A$112</f>
        <v>58.715165151041106</v>
      </c>
      <c r="Z134" s="259">
        <f>+Y134</f>
        <v>58.715165151041106</v>
      </c>
      <c r="AA134" s="259">
        <f t="shared" si="171"/>
        <v>58.715165151041106</v>
      </c>
      <c r="AB134" s="259">
        <f t="shared" si="172"/>
        <v>58.715165151041106</v>
      </c>
      <c r="AC134" s="259">
        <f t="shared" si="173"/>
        <v>58.715165151041106</v>
      </c>
      <c r="AD134" s="259">
        <f t="shared" si="174"/>
        <v>58.715165151041106</v>
      </c>
      <c r="AE134" s="259">
        <f t="shared" si="175"/>
        <v>58.715165151041106</v>
      </c>
    </row>
    <row r="135" spans="2:39" ht="12.75" customHeight="1" outlineLevel="1">
      <c r="B135" s="267" t="s">
        <v>828</v>
      </c>
      <c r="C135" s="257"/>
      <c r="D135" s="257"/>
      <c r="E135" s="268"/>
      <c r="F135" s="268"/>
      <c r="G135" s="268"/>
      <c r="H135" s="268"/>
      <c r="I135" s="184"/>
      <c r="J135" s="184"/>
      <c r="K135" s="184"/>
      <c r="L135" s="184"/>
      <c r="M135" s="184"/>
      <c r="N135" s="184"/>
      <c r="O135" s="184"/>
      <c r="P135" s="184"/>
      <c r="Q135" s="184"/>
      <c r="R135" s="259"/>
      <c r="S135" s="259"/>
      <c r="T135" s="259"/>
      <c r="U135" s="259"/>
      <c r="Z135" s="259">
        <f>Z$104/$A$112</f>
        <v>57.408320005476398</v>
      </c>
      <c r="AA135" s="259">
        <f>+Z135</f>
        <v>57.408320005476398</v>
      </c>
      <c r="AB135" s="259">
        <f>+AA135</f>
        <v>57.408320005476398</v>
      </c>
      <c r="AC135" s="259">
        <f t="shared" si="173"/>
        <v>57.408320005476398</v>
      </c>
      <c r="AD135" s="259">
        <f t="shared" si="174"/>
        <v>57.408320005476398</v>
      </c>
      <c r="AE135" s="259">
        <f t="shared" si="175"/>
        <v>57.408320005476398</v>
      </c>
    </row>
    <row r="136" spans="2:39" ht="12.75" customHeight="1" outlineLevel="1">
      <c r="B136" s="267" t="s">
        <v>829</v>
      </c>
      <c r="C136" s="257"/>
      <c r="D136" s="257"/>
      <c r="E136" s="268"/>
      <c r="F136" s="268"/>
      <c r="G136" s="268"/>
      <c r="H136" s="268"/>
      <c r="I136" s="184"/>
      <c r="J136" s="184"/>
      <c r="K136" s="184"/>
      <c r="L136" s="184"/>
      <c r="M136" s="184"/>
      <c r="N136" s="184"/>
      <c r="O136" s="184"/>
      <c r="P136" s="184"/>
      <c r="Q136" s="184"/>
      <c r="R136" s="259"/>
      <c r="S136" s="259"/>
      <c r="T136" s="259"/>
      <c r="U136" s="259"/>
      <c r="AA136" s="259">
        <f>AA$104/$A$112</f>
        <v>36.932609253884266</v>
      </c>
      <c r="AB136" s="259">
        <f>+AA136</f>
        <v>36.932609253884266</v>
      </c>
      <c r="AC136" s="259">
        <f t="shared" si="173"/>
        <v>36.932609253884266</v>
      </c>
      <c r="AD136" s="259">
        <f t="shared" si="174"/>
        <v>36.932609253884266</v>
      </c>
      <c r="AE136" s="259">
        <f t="shared" si="175"/>
        <v>36.932609253884266</v>
      </c>
    </row>
    <row r="137" spans="2:39" ht="12.75" customHeight="1" outlineLevel="1">
      <c r="B137" s="267" t="s">
        <v>830</v>
      </c>
      <c r="C137" s="257"/>
      <c r="D137" s="257"/>
      <c r="E137" s="268"/>
      <c r="F137" s="268"/>
      <c r="G137" s="268"/>
      <c r="H137" s="268"/>
      <c r="I137" s="184"/>
      <c r="J137" s="184"/>
      <c r="K137" s="184"/>
      <c r="L137" s="184"/>
      <c r="M137" s="184"/>
      <c r="N137" s="184"/>
      <c r="O137" s="184"/>
      <c r="P137" s="184"/>
      <c r="Q137" s="184"/>
      <c r="R137" s="259"/>
      <c r="S137" s="259"/>
      <c r="T137" s="259"/>
      <c r="U137" s="259"/>
      <c r="AB137" s="259">
        <f>AB$104/$A$112</f>
        <v>29.718938133204396</v>
      </c>
      <c r="AC137" s="259">
        <f t="shared" si="173"/>
        <v>29.718938133204396</v>
      </c>
      <c r="AD137" s="259">
        <f t="shared" si="174"/>
        <v>29.718938133204396</v>
      </c>
      <c r="AE137" s="259">
        <f t="shared" si="175"/>
        <v>29.718938133204396</v>
      </c>
    </row>
    <row r="138" spans="2:39" ht="12.75" customHeight="1" outlineLevel="1">
      <c r="B138" s="267" t="s">
        <v>908</v>
      </c>
      <c r="C138" s="257"/>
      <c r="D138" s="257"/>
      <c r="E138" s="268"/>
      <c r="F138" s="268"/>
      <c r="G138" s="268"/>
      <c r="H138" s="268"/>
      <c r="I138" s="184"/>
      <c r="J138" s="184"/>
      <c r="K138" s="184"/>
      <c r="L138" s="184"/>
      <c r="M138" s="184"/>
      <c r="N138" s="184"/>
      <c r="O138" s="184"/>
      <c r="P138" s="184"/>
      <c r="Q138" s="184"/>
      <c r="R138" s="259"/>
      <c r="S138" s="259"/>
      <c r="T138" s="259"/>
      <c r="U138" s="259"/>
      <c r="AB138" s="259"/>
      <c r="AC138" s="259">
        <f>AC$104/$A$112</f>
        <v>28.6548229541796</v>
      </c>
      <c r="AD138" s="259">
        <f t="shared" si="174"/>
        <v>28.6548229541796</v>
      </c>
      <c r="AE138" s="259">
        <f t="shared" si="175"/>
        <v>28.6548229541796</v>
      </c>
    </row>
    <row r="139" spans="2:39" ht="12.75" customHeight="1" outlineLevel="1">
      <c r="B139" s="267" t="s">
        <v>909</v>
      </c>
      <c r="C139" s="257"/>
      <c r="D139" s="257"/>
      <c r="E139" s="268"/>
      <c r="F139" s="268"/>
      <c r="G139" s="268"/>
      <c r="H139" s="268"/>
      <c r="I139" s="184"/>
      <c r="J139" s="184"/>
      <c r="K139" s="184"/>
      <c r="L139" s="184"/>
      <c r="M139" s="184"/>
      <c r="N139" s="184"/>
      <c r="O139" s="184"/>
      <c r="P139" s="184"/>
      <c r="Q139" s="184"/>
      <c r="R139" s="259"/>
      <c r="S139" s="259"/>
      <c r="T139" s="259"/>
      <c r="U139" s="259"/>
      <c r="AB139" s="259"/>
      <c r="AC139" s="259"/>
      <c r="AD139" s="259">
        <f>AD$104/$A$112</f>
        <v>28.448996895881674</v>
      </c>
      <c r="AE139" s="259">
        <f>+AD139</f>
        <v>28.448996895881674</v>
      </c>
    </row>
    <row r="140" spans="2:39" ht="12.75" customHeight="1" outlineLevel="1">
      <c r="B140" s="267" t="s">
        <v>910</v>
      </c>
      <c r="C140" s="257"/>
      <c r="D140" s="257"/>
      <c r="E140" s="268"/>
      <c r="F140" s="268"/>
      <c r="G140" s="268"/>
      <c r="H140" s="268"/>
      <c r="I140" s="184"/>
      <c r="J140" s="184"/>
      <c r="K140" s="184"/>
      <c r="L140" s="184"/>
      <c r="M140" s="184"/>
      <c r="N140" s="184"/>
      <c r="O140" s="184"/>
      <c r="P140" s="184"/>
      <c r="Q140" s="184"/>
      <c r="R140" s="259"/>
      <c r="S140" s="259"/>
      <c r="T140" s="259"/>
      <c r="U140" s="259"/>
      <c r="AB140" s="259"/>
      <c r="AC140" s="259"/>
      <c r="AD140" s="259"/>
      <c r="AE140" s="259">
        <f>AE$104/$A$112</f>
        <v>21.779970772072989</v>
      </c>
    </row>
    <row r="141" spans="2:39" s="206" customFormat="1" ht="12.75" customHeight="1" outlineLevel="1">
      <c r="B141" s="190" t="s">
        <v>577</v>
      </c>
      <c r="C141" s="189">
        <f>+CF!C4</f>
        <v>5.1820000000000004</v>
      </c>
      <c r="D141" s="189">
        <f>+CF!D4</f>
        <v>8.0269999999999992</v>
      </c>
      <c r="E141" s="189">
        <f>+CF!E4</f>
        <v>9.69</v>
      </c>
      <c r="F141" s="189">
        <f>+CF!F4</f>
        <v>14.286</v>
      </c>
      <c r="G141" s="189">
        <f>+CF!G4</f>
        <v>16.678999999999998</v>
      </c>
      <c r="H141" s="189">
        <f>+CF!H4</f>
        <v>22.056999999999999</v>
      </c>
      <c r="I141" s="189">
        <f>+CF!I4</f>
        <v>33.796999999999997</v>
      </c>
      <c r="J141" s="189">
        <f>+CF!J4</f>
        <v>41.682000000000002</v>
      </c>
      <c r="K141" s="189">
        <f>+CF!K4</f>
        <v>54.234000000000002</v>
      </c>
      <c r="L141" s="189">
        <f>+CF!L4</f>
        <v>71.153000000000006</v>
      </c>
      <c r="M141" s="189">
        <f>+CF!M4</f>
        <v>84.873999999999995</v>
      </c>
      <c r="N141" s="189">
        <f t="shared" ref="N141:U141" si="180">+SUM(N112:N130)</f>
        <v>96.663314832340177</v>
      </c>
      <c r="O141" s="189">
        <f t="shared" si="180"/>
        <v>111.53069818144635</v>
      </c>
      <c r="P141" s="189">
        <f t="shared" si="180"/>
        <v>140.01434319564189</v>
      </c>
      <c r="Q141" s="189">
        <f t="shared" si="180"/>
        <v>163.50262370841787</v>
      </c>
      <c r="R141" s="189">
        <f t="shared" si="180"/>
        <v>191.28407616991629</v>
      </c>
      <c r="S141" s="189">
        <f t="shared" si="180"/>
        <v>222.87691710324847</v>
      </c>
      <c r="T141" s="189">
        <f t="shared" si="180"/>
        <v>258.6743089120522</v>
      </c>
      <c r="U141" s="189">
        <f t="shared" si="180"/>
        <v>306.71218855436024</v>
      </c>
      <c r="V141" s="189">
        <f>+SUM(V112:V131)</f>
        <v>361.90879794654739</v>
      </c>
      <c r="W141" s="189">
        <f>+SUM(W112:W132)</f>
        <v>421.02194322672239</v>
      </c>
      <c r="X141" s="189">
        <f>+SUM(X112:X133)</f>
        <v>480.93496293719517</v>
      </c>
      <c r="Y141" s="189">
        <f>+SUM(Y112:Y134)</f>
        <v>539.59342716806827</v>
      </c>
      <c r="Z141" s="189">
        <f>+SUM(Z112:Z135)</f>
        <v>596.95071634539352</v>
      </c>
      <c r="AA141" s="189">
        <f>+SUM(AA112:AA136)</f>
        <v>633.83739785394175</v>
      </c>
      <c r="AB141" s="189">
        <f>+SUM(AB112:AB137)</f>
        <v>663.51500101634372</v>
      </c>
      <c r="AC141" s="189">
        <f>+SUM(AC112:AC138)</f>
        <v>692.1326224968011</v>
      </c>
      <c r="AD141" s="189">
        <f>+SUM(AD112:AD139)</f>
        <v>720.54813806633285</v>
      </c>
      <c r="AE141" s="189">
        <f>+SUM(AE112:AE140)</f>
        <v>742.29797564469084</v>
      </c>
      <c r="AH141"/>
      <c r="AI141"/>
      <c r="AJ141"/>
      <c r="AK141"/>
      <c r="AL141"/>
      <c r="AM141"/>
    </row>
    <row r="142" spans="2:39" s="206" customFormat="1" ht="12.75" customHeight="1" outlineLevel="1">
      <c r="B142" s="269" t="s">
        <v>578</v>
      </c>
      <c r="C142" s="189">
        <f>+CF!C6</f>
        <v>5.1820000000000004</v>
      </c>
      <c r="D142" s="189">
        <f t="shared" ref="D142:R142" si="181">+D141+D156</f>
        <v>8.0269999999999992</v>
      </c>
      <c r="E142" s="189">
        <f t="shared" si="181"/>
        <v>9.69</v>
      </c>
      <c r="F142" s="189">
        <f t="shared" si="181"/>
        <v>14.286</v>
      </c>
      <c r="G142" s="189">
        <f t="shared" si="181"/>
        <v>25.713999999999999</v>
      </c>
      <c r="H142" s="189">
        <f t="shared" si="181"/>
        <v>31.534999999999997</v>
      </c>
      <c r="I142" s="189">
        <f t="shared" si="181"/>
        <v>138.16199999999998</v>
      </c>
      <c r="J142" s="189">
        <f t="shared" si="181"/>
        <v>126.068</v>
      </c>
      <c r="K142" s="189">
        <f t="shared" si="181"/>
        <v>259.089</v>
      </c>
      <c r="L142" s="189">
        <f t="shared" si="181"/>
        <v>362.851</v>
      </c>
      <c r="M142" s="189">
        <f t="shared" si="181"/>
        <v>283.447</v>
      </c>
      <c r="N142" s="189">
        <f t="shared" si="181"/>
        <v>373.86331483234017</v>
      </c>
      <c r="O142" s="189">
        <f t="shared" si="181"/>
        <v>380.83069818144634</v>
      </c>
      <c r="P142" s="189">
        <f t="shared" si="181"/>
        <v>434.01434319564191</v>
      </c>
      <c r="Q142" s="189">
        <f t="shared" si="181"/>
        <v>547.10262370841792</v>
      </c>
      <c r="R142" s="189">
        <f t="shared" si="181"/>
        <v>528.28407616991626</v>
      </c>
      <c r="S142" s="189">
        <f>+S141+S156</f>
        <v>553.13691710324849</v>
      </c>
      <c r="T142" s="189">
        <f>+T141+T156</f>
        <v>582.32910891205211</v>
      </c>
      <c r="U142" s="189">
        <f>+U141+U156</f>
        <v>623.89389255436026</v>
      </c>
      <c r="V142" s="189">
        <f t="shared" ref="V142:AE142" si="182">+V141+V156</f>
        <v>672.74686786654729</v>
      </c>
      <c r="W142" s="189">
        <f t="shared" si="182"/>
        <v>725.64325174832231</v>
      </c>
      <c r="X142" s="189">
        <f t="shared" si="182"/>
        <v>779.46384528836302</v>
      </c>
      <c r="Y142" s="189">
        <f t="shared" si="182"/>
        <v>832.15173187221285</v>
      </c>
      <c r="Z142" s="189">
        <f>+Z141+Z156</f>
        <v>883.65785495545515</v>
      </c>
      <c r="AA142" s="189">
        <f t="shared" si="182"/>
        <v>914.81039369180212</v>
      </c>
      <c r="AB142" s="189">
        <f t="shared" si="182"/>
        <v>938.86853693744695</v>
      </c>
      <c r="AC142" s="189">
        <f>+AC141+AC156</f>
        <v>961.97908769948231</v>
      </c>
      <c r="AD142" s="189">
        <f t="shared" si="182"/>
        <v>984.99767396496031</v>
      </c>
      <c r="AE142" s="189">
        <f t="shared" si="182"/>
        <v>1001.4585208253458</v>
      </c>
      <c r="AH142"/>
      <c r="AI142"/>
      <c r="AJ142"/>
      <c r="AK142"/>
      <c r="AL142"/>
      <c r="AM142"/>
    </row>
    <row r="143" spans="2:39" s="247" customFormat="1" ht="12.75" customHeight="1" outlineLevel="1">
      <c r="B143" s="270" t="s">
        <v>699</v>
      </c>
      <c r="C143" s="261"/>
      <c r="D143" s="261"/>
      <c r="E143" s="261"/>
      <c r="F143" s="261">
        <f t="shared" ref="F143:R143" si="183">F141/F50</f>
        <v>3.1635030160234549E-2</v>
      </c>
      <c r="G143" s="261">
        <f t="shared" si="183"/>
        <v>2.6083189721230925E-2</v>
      </c>
      <c r="H143" s="261">
        <f t="shared" si="183"/>
        <v>2.513704172222412E-2</v>
      </c>
      <c r="I143" s="261">
        <f t="shared" si="183"/>
        <v>2.4320792381303281E-2</v>
      </c>
      <c r="J143" s="261">
        <f t="shared" si="183"/>
        <v>2.6403806830707012E-2</v>
      </c>
      <c r="K143" s="261">
        <f t="shared" si="183"/>
        <v>2.7022717737812771E-2</v>
      </c>
      <c r="L143" s="261">
        <f t="shared" si="183"/>
        <v>2.6933132564096452E-2</v>
      </c>
      <c r="M143" s="261">
        <f t="shared" si="183"/>
        <v>2.9724843642853587E-2</v>
      </c>
      <c r="N143" s="261">
        <f t="shared" si="183"/>
        <v>2.8859028163110961E-2</v>
      </c>
      <c r="O143" s="261">
        <f t="shared" si="183"/>
        <v>2.9435391444034405E-2</v>
      </c>
      <c r="P143" s="261">
        <f t="shared" si="183"/>
        <v>3.1507086837156979E-2</v>
      </c>
      <c r="Q143" s="261">
        <f t="shared" si="183"/>
        <v>3.2360737003150494E-2</v>
      </c>
      <c r="R143" s="261">
        <f t="shared" si="183"/>
        <v>3.5033713584233753E-2</v>
      </c>
      <c r="S143" s="261">
        <f>S141/S50</f>
        <v>3.5004476361567609E-2</v>
      </c>
      <c r="T143" s="261">
        <f>T141/T50</f>
        <v>3.6735240246813683E-2</v>
      </c>
      <c r="U143" s="261">
        <f>U141/U50</f>
        <v>3.8355967861484021E-2</v>
      </c>
      <c r="V143" s="261">
        <f t="shared" ref="V143:AE143" si="184">V141/V50</f>
        <v>3.9537122414263506E-2</v>
      </c>
      <c r="W143" s="261">
        <f t="shared" si="184"/>
        <v>4.3183020361694358E-2</v>
      </c>
      <c r="X143" s="261">
        <f t="shared" si="184"/>
        <v>4.884562338363356E-2</v>
      </c>
      <c r="Y143" s="261">
        <f t="shared" si="184"/>
        <v>5.5391766009866714E-2</v>
      </c>
      <c r="Z143" s="261">
        <f t="shared" si="184"/>
        <v>7.4036576358295483E-2</v>
      </c>
      <c r="AA143" s="261">
        <f t="shared" si="184"/>
        <v>0.11345016759495744</v>
      </c>
      <c r="AB143" s="261">
        <f>AB141/AB50</f>
        <v>0.13951747545513679</v>
      </c>
      <c r="AC143" s="768">
        <f>AC141/AC50</f>
        <v>0.14868751963295943</v>
      </c>
      <c r="AD143" s="261">
        <f t="shared" si="184"/>
        <v>0.15470864024523831</v>
      </c>
      <c r="AE143" s="261">
        <f t="shared" si="184"/>
        <v>0.19662775472197561</v>
      </c>
      <c r="AH143"/>
      <c r="AI143"/>
      <c r="AJ143"/>
      <c r="AK143"/>
      <c r="AL143"/>
      <c r="AM143"/>
    </row>
    <row r="144" spans="2:39" s="247" customFormat="1" ht="12.75" customHeight="1" outlineLevel="1">
      <c r="B144" s="270" t="s">
        <v>700</v>
      </c>
      <c r="C144" s="261"/>
      <c r="D144" s="261"/>
      <c r="E144" s="261"/>
      <c r="F144" s="261">
        <f t="shared" ref="F144:R144" si="185">F156/F50</f>
        <v>0</v>
      </c>
      <c r="G144" s="261">
        <f t="shared" si="185"/>
        <v>1.4129241509162506E-2</v>
      </c>
      <c r="H144" s="261">
        <f t="shared" si="185"/>
        <v>1.0801508883494591E-2</v>
      </c>
      <c r="I144" s="261">
        <f t="shared" si="185"/>
        <v>7.5102509005968487E-2</v>
      </c>
      <c r="J144" s="261">
        <f t="shared" si="185"/>
        <v>5.3455007994243124E-2</v>
      </c>
      <c r="K144" s="261">
        <f t="shared" si="185"/>
        <v>0.1020713729796739</v>
      </c>
      <c r="L144" s="261">
        <f t="shared" si="185"/>
        <v>0.11041475275366894</v>
      </c>
      <c r="M144" s="261">
        <f t="shared" si="185"/>
        <v>6.9544870946254042E-2</v>
      </c>
      <c r="N144" s="261">
        <f t="shared" si="185"/>
        <v>8.2758620689655157E-2</v>
      </c>
      <c r="O144" s="261">
        <f t="shared" si="185"/>
        <v>7.1074162048033782E-2</v>
      </c>
      <c r="P144" s="261">
        <f t="shared" si="185"/>
        <v>6.6158104367785062E-2</v>
      </c>
      <c r="Q144" s="261">
        <f t="shared" si="185"/>
        <v>7.592281048985651E-2</v>
      </c>
      <c r="R144" s="261">
        <f t="shared" si="185"/>
        <v>6.1721611721611724E-2</v>
      </c>
      <c r="S144" s="261">
        <f>S156/S50</f>
        <v>5.1869787654213836E-2</v>
      </c>
      <c r="T144" s="261">
        <f>T156/T50</f>
        <v>4.5963346282977054E-2</v>
      </c>
      <c r="U144" s="261">
        <f>U156/U50</f>
        <v>3.9665235679796025E-2</v>
      </c>
      <c r="V144" s="261">
        <f t="shared" ref="V144:AE144" si="186">V156/V50</f>
        <v>3.3957844880177716E-2</v>
      </c>
      <c r="W144" s="261">
        <f t="shared" si="186"/>
        <v>3.1244139124146513E-2</v>
      </c>
      <c r="X144" s="261">
        <f t="shared" si="186"/>
        <v>3.0319753147924965E-2</v>
      </c>
      <c r="Y144" s="261">
        <f t="shared" si="186"/>
        <v>3.0032465820544096E-2</v>
      </c>
      <c r="Z144" s="261">
        <f t="shared" si="186"/>
        <v>3.5558739405030682E-2</v>
      </c>
      <c r="AA144" s="261">
        <f t="shared" si="186"/>
        <v>5.0291184419522031E-2</v>
      </c>
      <c r="AB144" s="261">
        <f t="shared" si="186"/>
        <v>5.7898661116195869E-2</v>
      </c>
      <c r="AC144" s="768">
        <f>AC156/AC50</f>
        <v>5.7969817183257819E-2</v>
      </c>
      <c r="AD144" s="261">
        <f t="shared" si="186"/>
        <v>5.6779867924097845E-2</v>
      </c>
      <c r="AE144" s="261">
        <f t="shared" si="186"/>
        <v>6.8649191811600715E-2</v>
      </c>
      <c r="AH144"/>
      <c r="AI144"/>
      <c r="AJ144"/>
      <c r="AK144"/>
      <c r="AL144"/>
      <c r="AM144"/>
    </row>
    <row r="145" spans="2:39" ht="12.75" customHeight="1">
      <c r="B145" s="271"/>
      <c r="C145" s="261"/>
      <c r="D145" s="261"/>
      <c r="E145" s="261"/>
      <c r="F145" s="261"/>
      <c r="G145" s="261"/>
      <c r="H145" s="261"/>
      <c r="I145" s="261"/>
      <c r="J145" s="261"/>
      <c r="K145" s="261"/>
      <c r="L145" s="261"/>
      <c r="M145" s="261"/>
      <c r="N145" s="261"/>
      <c r="O145" s="261"/>
      <c r="P145" s="261"/>
      <c r="Q145" s="261"/>
      <c r="R145" s="261"/>
      <c r="S145" s="261"/>
      <c r="T145" s="261"/>
      <c r="U145" s="261"/>
    </row>
    <row r="146" spans="2:39" ht="12.75" customHeight="1">
      <c r="B146" s="255" t="s">
        <v>579</v>
      </c>
      <c r="C146" s="233"/>
      <c r="D146" s="233"/>
      <c r="E146" s="233"/>
      <c r="F146" s="233"/>
      <c r="G146" s="233"/>
      <c r="H146" s="233"/>
      <c r="I146" s="233"/>
      <c r="J146" s="233"/>
      <c r="K146" s="233"/>
      <c r="L146" s="233"/>
      <c r="M146" s="233"/>
      <c r="N146" s="233"/>
      <c r="O146" s="233"/>
      <c r="P146" s="233"/>
      <c r="Q146" s="233"/>
      <c r="R146" s="233"/>
      <c r="S146" s="233"/>
      <c r="T146" s="233"/>
      <c r="U146" s="233"/>
    </row>
    <row r="147" spans="2:39" s="209" customFormat="1" ht="12.75" customHeight="1" outlineLevel="1">
      <c r="B147" s="235" t="s">
        <v>580</v>
      </c>
      <c r="C147" s="253"/>
      <c r="D147" s="253"/>
      <c r="E147" s="253"/>
      <c r="F147" s="253"/>
      <c r="G147" s="253"/>
      <c r="H147" s="253"/>
      <c r="I147" s="253"/>
      <c r="J147" s="253"/>
      <c r="K147" s="253"/>
      <c r="L147" s="192">
        <f>-(100+125+185)</f>
        <v>-410</v>
      </c>
      <c r="M147" s="192"/>
      <c r="N147" s="192"/>
      <c r="O147" s="192"/>
      <c r="P147" s="863">
        <v>7200</v>
      </c>
      <c r="Q147" s="192"/>
      <c r="R147" s="192"/>
      <c r="S147" s="863">
        <v>10100</v>
      </c>
      <c r="T147" s="192"/>
      <c r="U147" s="192"/>
      <c r="AH147"/>
      <c r="AI147"/>
      <c r="AJ147"/>
      <c r="AK147"/>
      <c r="AL147"/>
      <c r="AM147"/>
    </row>
    <row r="148" spans="2:39" s="209" customFormat="1" ht="12.75" customHeight="1" outlineLevel="1">
      <c r="B148" s="272" t="s">
        <v>581</v>
      </c>
      <c r="C148" s="253"/>
      <c r="D148" s="253"/>
      <c r="E148" s="253"/>
      <c r="F148" s="253"/>
      <c r="G148" s="253"/>
      <c r="H148" s="253"/>
      <c r="I148" s="253"/>
      <c r="J148" s="253"/>
      <c r="K148" s="253"/>
      <c r="L148" s="253">
        <f>IS!AW54</f>
        <v>118</v>
      </c>
      <c r="M148" s="253">
        <f>IS!BB54</f>
        <v>122.50900000000001</v>
      </c>
      <c r="N148" s="253">
        <f>IS!BG54</f>
        <v>0</v>
      </c>
      <c r="O148" s="253">
        <f>IS!BL54</f>
        <v>129.19999999999999</v>
      </c>
      <c r="P148" s="253">
        <f t="shared" ref="P148:AB148" si="187">+P147*P149</f>
        <v>2160</v>
      </c>
      <c r="Q148" s="253">
        <f t="shared" si="187"/>
        <v>0</v>
      </c>
      <c r="R148" s="253">
        <f t="shared" si="187"/>
        <v>0</v>
      </c>
      <c r="S148" s="253">
        <f t="shared" si="187"/>
        <v>0</v>
      </c>
      <c r="T148" s="253">
        <f t="shared" si="187"/>
        <v>0</v>
      </c>
      <c r="U148" s="253">
        <f t="shared" si="187"/>
        <v>0</v>
      </c>
      <c r="V148" s="253">
        <f t="shared" si="187"/>
        <v>0</v>
      </c>
      <c r="W148" s="253">
        <f t="shared" si="187"/>
        <v>0</v>
      </c>
      <c r="X148" s="253">
        <f t="shared" si="187"/>
        <v>0</v>
      </c>
      <c r="Y148" s="253">
        <f t="shared" si="187"/>
        <v>0</v>
      </c>
      <c r="Z148" s="253">
        <f t="shared" si="187"/>
        <v>0</v>
      </c>
      <c r="AA148" s="253">
        <f t="shared" si="187"/>
        <v>0</v>
      </c>
      <c r="AB148" s="253">
        <f t="shared" si="187"/>
        <v>0</v>
      </c>
      <c r="AC148" s="253">
        <f>+AC147*AC149</f>
        <v>0</v>
      </c>
      <c r="AD148" s="253">
        <f>+AD147*AD149</f>
        <v>0</v>
      </c>
      <c r="AE148" s="253">
        <f>+AE147*AE149</f>
        <v>0</v>
      </c>
      <c r="AH148"/>
      <c r="AI148"/>
      <c r="AJ148"/>
      <c r="AK148"/>
      <c r="AL148"/>
      <c r="AM148"/>
    </row>
    <row r="149" spans="2:39" s="274" customFormat="1" ht="12.75" customHeight="1" outlineLevel="1">
      <c r="B149" s="273" t="s">
        <v>582</v>
      </c>
      <c r="C149" s="246"/>
      <c r="D149" s="246"/>
      <c r="E149" s="246"/>
      <c r="F149" s="246"/>
      <c r="G149" s="246"/>
      <c r="H149" s="246"/>
      <c r="I149" s="246"/>
      <c r="J149" s="246"/>
      <c r="K149" s="246"/>
      <c r="L149" s="246">
        <f>L148/L147</f>
        <v>-0.28780487804878047</v>
      </c>
      <c r="M149" s="246">
        <v>0.3</v>
      </c>
      <c r="N149" s="246">
        <f>M149</f>
        <v>0.3</v>
      </c>
      <c r="O149" s="246">
        <f t="shared" ref="O149:U149" si="188">N149</f>
        <v>0.3</v>
      </c>
      <c r="P149" s="246">
        <f t="shared" si="188"/>
        <v>0.3</v>
      </c>
      <c r="Q149" s="246">
        <f t="shared" si="188"/>
        <v>0.3</v>
      </c>
      <c r="R149" s="246">
        <f t="shared" si="188"/>
        <v>0.3</v>
      </c>
      <c r="S149" s="246">
        <v>0</v>
      </c>
      <c r="T149" s="246">
        <f t="shared" si="188"/>
        <v>0</v>
      </c>
      <c r="U149" s="246">
        <f t="shared" si="188"/>
        <v>0</v>
      </c>
      <c r="V149" s="246">
        <f t="shared" ref="V149:AE149" si="189">U149</f>
        <v>0</v>
      </c>
      <c r="W149" s="246">
        <f t="shared" si="189"/>
        <v>0</v>
      </c>
      <c r="X149" s="246">
        <f t="shared" si="189"/>
        <v>0</v>
      </c>
      <c r="Y149" s="246">
        <f t="shared" si="189"/>
        <v>0</v>
      </c>
      <c r="Z149" s="246">
        <f t="shared" si="189"/>
        <v>0</v>
      </c>
      <c r="AA149" s="246">
        <f t="shared" si="189"/>
        <v>0</v>
      </c>
      <c r="AB149" s="246">
        <f t="shared" si="189"/>
        <v>0</v>
      </c>
      <c r="AC149" s="246">
        <f t="shared" si="189"/>
        <v>0</v>
      </c>
      <c r="AD149" s="246">
        <f t="shared" si="189"/>
        <v>0</v>
      </c>
      <c r="AE149" s="246">
        <f t="shared" si="189"/>
        <v>0</v>
      </c>
      <c r="AH149"/>
      <c r="AI149"/>
      <c r="AJ149"/>
      <c r="AK149"/>
      <c r="AL149"/>
      <c r="AM149"/>
    </row>
    <row r="150" spans="2:39" s="209" customFormat="1" ht="12.75" customHeight="1" outlineLevel="1">
      <c r="B150" s="272" t="s">
        <v>583</v>
      </c>
      <c r="C150" s="253"/>
      <c r="D150" s="253"/>
      <c r="E150" s="253"/>
      <c r="F150" s="253"/>
      <c r="G150" s="253"/>
      <c r="H150" s="253"/>
      <c r="I150" s="253"/>
      <c r="J150" s="253"/>
      <c r="K150" s="253"/>
      <c r="L150" s="253">
        <f>-K154+L154</f>
        <v>-9.1240000000000236</v>
      </c>
      <c r="M150" s="253">
        <f>-L154+M154</f>
        <v>155.55299999999988</v>
      </c>
      <c r="N150" s="253">
        <f t="shared" ref="N150:AB150" si="190">+N151*N147</f>
        <v>0</v>
      </c>
      <c r="O150" s="253">
        <f t="shared" si="190"/>
        <v>0</v>
      </c>
      <c r="P150" s="253">
        <f t="shared" si="190"/>
        <v>0</v>
      </c>
      <c r="Q150" s="253">
        <f t="shared" si="190"/>
        <v>0</v>
      </c>
      <c r="R150" s="253">
        <f t="shared" si="190"/>
        <v>0</v>
      </c>
      <c r="S150" s="253">
        <f t="shared" si="190"/>
        <v>7575</v>
      </c>
      <c r="T150" s="253">
        <f t="shared" si="190"/>
        <v>0</v>
      </c>
      <c r="U150" s="253">
        <f t="shared" si="190"/>
        <v>0</v>
      </c>
      <c r="V150" s="253">
        <f t="shared" si="190"/>
        <v>0</v>
      </c>
      <c r="W150" s="253">
        <f t="shared" si="190"/>
        <v>0</v>
      </c>
      <c r="X150" s="253">
        <f t="shared" si="190"/>
        <v>0</v>
      </c>
      <c r="Y150" s="253">
        <f t="shared" si="190"/>
        <v>0</v>
      </c>
      <c r="Z150" s="253">
        <f t="shared" si="190"/>
        <v>0</v>
      </c>
      <c r="AA150" s="253">
        <f t="shared" si="190"/>
        <v>0</v>
      </c>
      <c r="AB150" s="253">
        <f t="shared" si="190"/>
        <v>0</v>
      </c>
      <c r="AC150" s="253">
        <f>+AC151*AC147</f>
        <v>0</v>
      </c>
      <c r="AD150" s="253">
        <f>+AD151*AD147</f>
        <v>0</v>
      </c>
      <c r="AE150" s="253">
        <f>+AE151*AE147</f>
        <v>0</v>
      </c>
      <c r="AH150"/>
      <c r="AI150"/>
      <c r="AJ150"/>
      <c r="AK150"/>
      <c r="AL150"/>
      <c r="AM150"/>
    </row>
    <row r="151" spans="2:39" s="274" customFormat="1" ht="12.75" customHeight="1" outlineLevel="1">
      <c r="B151" s="273" t="s">
        <v>582</v>
      </c>
      <c r="C151" s="246"/>
      <c r="D151" s="246"/>
      <c r="E151" s="246"/>
      <c r="F151" s="246"/>
      <c r="G151" s="246"/>
      <c r="H151" s="246"/>
      <c r="I151" s="246"/>
      <c r="J151" s="246"/>
      <c r="K151" s="246"/>
      <c r="L151" s="246">
        <f>L150/L147</f>
        <v>2.2253658536585424E-2</v>
      </c>
      <c r="M151" s="246"/>
      <c r="N151" s="246"/>
      <c r="O151" s="246"/>
      <c r="P151" s="246"/>
      <c r="Q151" s="246"/>
      <c r="R151" s="246"/>
      <c r="S151" s="1220">
        <v>0.75</v>
      </c>
      <c r="T151" s="246"/>
      <c r="U151" s="246"/>
      <c r="AH151"/>
      <c r="AI151"/>
      <c r="AJ151"/>
      <c r="AK151"/>
      <c r="AL151"/>
      <c r="AM151"/>
    </row>
    <row r="152" spans="2:39" s="209" customFormat="1" ht="12.75" customHeight="1" outlineLevel="1">
      <c r="B152" s="272" t="s">
        <v>584</v>
      </c>
      <c r="C152" s="253"/>
      <c r="D152" s="253"/>
      <c r="E152" s="253"/>
      <c r="F152" s="253"/>
      <c r="G152" s="253"/>
      <c r="H152" s="253"/>
      <c r="I152" s="253"/>
      <c r="J152" s="253"/>
      <c r="K152" s="253"/>
      <c r="L152" s="253">
        <f t="shared" ref="L152:Q152" si="191">+L153*L147</f>
        <v>-518.87599999999998</v>
      </c>
      <c r="M152" s="253"/>
      <c r="N152" s="253">
        <f t="shared" si="191"/>
        <v>0</v>
      </c>
      <c r="O152" s="253">
        <f t="shared" si="191"/>
        <v>0</v>
      </c>
      <c r="P152" s="253">
        <f t="shared" si="191"/>
        <v>5040</v>
      </c>
      <c r="Q152" s="253">
        <f t="shared" si="191"/>
        <v>0</v>
      </c>
      <c r="R152" s="253">
        <f t="shared" ref="R152" si="192">+R153*R147</f>
        <v>0</v>
      </c>
      <c r="S152" s="253">
        <f>+S153*S147</f>
        <v>2525</v>
      </c>
      <c r="T152" s="253">
        <f>+T153*T147</f>
        <v>0</v>
      </c>
      <c r="U152" s="253">
        <f>+U153*U147</f>
        <v>0</v>
      </c>
      <c r="V152" s="253">
        <f t="shared" ref="V152:AE152" si="193">+V153*V147</f>
        <v>0</v>
      </c>
      <c r="W152" s="253">
        <f t="shared" si="193"/>
        <v>0</v>
      </c>
      <c r="X152" s="253">
        <f t="shared" si="193"/>
        <v>0</v>
      </c>
      <c r="Y152" s="253">
        <f t="shared" si="193"/>
        <v>0</v>
      </c>
      <c r="Z152" s="253">
        <f t="shared" si="193"/>
        <v>0</v>
      </c>
      <c r="AA152" s="253">
        <f t="shared" si="193"/>
        <v>0</v>
      </c>
      <c r="AB152" s="253">
        <f t="shared" si="193"/>
        <v>0</v>
      </c>
      <c r="AC152" s="253">
        <f t="shared" si="193"/>
        <v>0</v>
      </c>
      <c r="AD152" s="253">
        <f t="shared" si="193"/>
        <v>0</v>
      </c>
      <c r="AE152" s="253">
        <f t="shared" si="193"/>
        <v>0</v>
      </c>
      <c r="AH152"/>
      <c r="AI152"/>
      <c r="AJ152"/>
      <c r="AK152"/>
      <c r="AL152"/>
      <c r="AM152"/>
    </row>
    <row r="153" spans="2:39" s="274" customFormat="1" ht="12.75" customHeight="1" outlineLevel="1">
      <c r="B153" s="273" t="s">
        <v>582</v>
      </c>
      <c r="C153" s="246"/>
      <c r="D153" s="246"/>
      <c r="E153" s="246"/>
      <c r="F153" s="246"/>
      <c r="G153" s="246"/>
      <c r="H153" s="246"/>
      <c r="I153" s="246"/>
      <c r="J153" s="246"/>
      <c r="K153" s="246"/>
      <c r="L153" s="246">
        <f t="shared" ref="L153:Q153" si="194">1-L149-L151</f>
        <v>1.2655512195121952</v>
      </c>
      <c r="M153" s="246">
        <f t="shared" si="194"/>
        <v>0.7</v>
      </c>
      <c r="N153" s="246">
        <f t="shared" si="194"/>
        <v>0.7</v>
      </c>
      <c r="O153" s="246">
        <f t="shared" si="194"/>
        <v>0.7</v>
      </c>
      <c r="P153" s="246">
        <f t="shared" si="194"/>
        <v>0.7</v>
      </c>
      <c r="Q153" s="246">
        <f t="shared" si="194"/>
        <v>0.7</v>
      </c>
      <c r="R153" s="246">
        <f t="shared" ref="R153" si="195">1-R149-R151</f>
        <v>0.7</v>
      </c>
      <c r="S153" s="1220">
        <v>0.25</v>
      </c>
      <c r="T153" s="246">
        <f>1-T149-T151</f>
        <v>1</v>
      </c>
      <c r="U153" s="246">
        <f>1-U149-U151</f>
        <v>1</v>
      </c>
      <c r="V153" s="246">
        <f t="shared" ref="V153:AE153" si="196">1-V149-V151</f>
        <v>1</v>
      </c>
      <c r="W153" s="246">
        <f t="shared" si="196"/>
        <v>1</v>
      </c>
      <c r="X153" s="246">
        <f t="shared" si="196"/>
        <v>1</v>
      </c>
      <c r="Y153" s="246">
        <f t="shared" si="196"/>
        <v>1</v>
      </c>
      <c r="Z153" s="246">
        <f t="shared" si="196"/>
        <v>1</v>
      </c>
      <c r="AA153" s="246">
        <f t="shared" si="196"/>
        <v>1</v>
      </c>
      <c r="AB153" s="246">
        <f t="shared" si="196"/>
        <v>1</v>
      </c>
      <c r="AC153" s="246">
        <f t="shared" si="196"/>
        <v>1</v>
      </c>
      <c r="AD153" s="246">
        <f t="shared" si="196"/>
        <v>1</v>
      </c>
      <c r="AE153" s="246">
        <f t="shared" si="196"/>
        <v>1</v>
      </c>
      <c r="AH153"/>
      <c r="AI153"/>
      <c r="AJ153"/>
      <c r="AK153"/>
      <c r="AL153"/>
      <c r="AM153"/>
    </row>
    <row r="154" spans="2:39" s="206" customFormat="1" ht="12.75" customHeight="1" outlineLevel="1">
      <c r="B154" s="275" t="s">
        <v>585</v>
      </c>
      <c r="C154" s="276">
        <f t="shared" ref="C154:Q154" si="197">+C15</f>
        <v>2.9729999999999999</v>
      </c>
      <c r="D154" s="276">
        <f t="shared" si="197"/>
        <v>3.49</v>
      </c>
      <c r="E154" s="276">
        <f t="shared" si="197"/>
        <v>41.258000000000003</v>
      </c>
      <c r="F154" s="276">
        <f t="shared" si="197"/>
        <v>33.814999999999998</v>
      </c>
      <c r="G154" s="276">
        <f t="shared" si="197"/>
        <v>38.494</v>
      </c>
      <c r="H154" s="276">
        <f t="shared" si="197"/>
        <v>39.033000000000001</v>
      </c>
      <c r="I154" s="276">
        <f t="shared" si="197"/>
        <v>588.822</v>
      </c>
      <c r="J154" s="276">
        <f t="shared" si="197"/>
        <v>578.11599999999999</v>
      </c>
      <c r="K154" s="276">
        <f t="shared" si="197"/>
        <v>1896.3440000000001</v>
      </c>
      <c r="L154" s="276">
        <f t="shared" si="197"/>
        <v>1887.22</v>
      </c>
      <c r="M154" s="276">
        <f t="shared" si="197"/>
        <v>2042.7729999999999</v>
      </c>
      <c r="N154" s="276">
        <f t="shared" si="197"/>
        <v>2041.2</v>
      </c>
      <c r="O154" s="276">
        <f t="shared" si="197"/>
        <v>2191.1999999999998</v>
      </c>
      <c r="P154" s="276">
        <f t="shared" si="197"/>
        <v>4879</v>
      </c>
      <c r="Q154" s="276">
        <f t="shared" si="197"/>
        <v>4865.8</v>
      </c>
      <c r="R154" s="276">
        <f t="shared" ref="R154" si="198">+R15</f>
        <v>4866</v>
      </c>
      <c r="S154" s="276">
        <f t="shared" ref="S154:U154" si="199">+R154+S150</f>
        <v>12441</v>
      </c>
      <c r="T154" s="276">
        <f t="shared" si="199"/>
        <v>12441</v>
      </c>
      <c r="U154" s="276">
        <f t="shared" si="199"/>
        <v>12441</v>
      </c>
      <c r="V154" s="282">
        <f t="shared" ref="V154:AE154" si="200">+U154+V150</f>
        <v>12441</v>
      </c>
      <c r="W154" s="276">
        <f t="shared" si="200"/>
        <v>12441</v>
      </c>
      <c r="X154" s="282">
        <f t="shared" si="200"/>
        <v>12441</v>
      </c>
      <c r="Y154" s="282">
        <f t="shared" si="200"/>
        <v>12441</v>
      </c>
      <c r="Z154" s="276">
        <f t="shared" si="200"/>
        <v>12441</v>
      </c>
      <c r="AA154" s="276">
        <f t="shared" si="200"/>
        <v>12441</v>
      </c>
      <c r="AB154" s="276">
        <f t="shared" si="200"/>
        <v>12441</v>
      </c>
      <c r="AC154" s="276">
        <f t="shared" si="200"/>
        <v>12441</v>
      </c>
      <c r="AD154" s="276">
        <f t="shared" si="200"/>
        <v>12441</v>
      </c>
      <c r="AE154" s="276">
        <f t="shared" si="200"/>
        <v>12441</v>
      </c>
      <c r="AH154"/>
      <c r="AI154"/>
      <c r="AJ154"/>
      <c r="AK154"/>
      <c r="AL154"/>
      <c r="AM154"/>
    </row>
    <row r="155" spans="2:39" s="206" customFormat="1" ht="12.75" customHeight="1" outlineLevel="1">
      <c r="B155" s="275" t="s">
        <v>586</v>
      </c>
      <c r="C155" s="276">
        <f t="shared" ref="C155:P155" si="201">+C14</f>
        <v>3.01</v>
      </c>
      <c r="D155" s="276">
        <f t="shared" si="201"/>
        <v>2.6949999999999998</v>
      </c>
      <c r="E155" s="276">
        <f t="shared" si="201"/>
        <v>108.955</v>
      </c>
      <c r="F155" s="276">
        <f t="shared" si="201"/>
        <v>96.988</v>
      </c>
      <c r="G155" s="276">
        <f t="shared" si="201"/>
        <v>100.509</v>
      </c>
      <c r="H155" s="276">
        <f t="shared" si="201"/>
        <v>92.658000000000001</v>
      </c>
      <c r="I155" s="276">
        <f t="shared" si="201"/>
        <v>434.76400000000001</v>
      </c>
      <c r="J155" s="276">
        <f t="shared" si="201"/>
        <v>349.54199999999997</v>
      </c>
      <c r="K155" s="276">
        <f t="shared" si="201"/>
        <v>3248.498</v>
      </c>
      <c r="L155" s="276">
        <f t="shared" si="201"/>
        <v>2844.6979999999999</v>
      </c>
      <c r="M155" s="276">
        <f t="shared" si="201"/>
        <v>3100.4229999999998</v>
      </c>
      <c r="N155" s="276">
        <f t="shared" si="201"/>
        <v>2839.7</v>
      </c>
      <c r="O155" s="276">
        <f t="shared" si="201"/>
        <v>4067.6</v>
      </c>
      <c r="P155" s="276">
        <f t="shared" si="201"/>
        <v>10858.1</v>
      </c>
      <c r="Q155" s="276">
        <f>+Q14</f>
        <v>10391.799999999999</v>
      </c>
      <c r="R155" s="276">
        <f>+R14</f>
        <v>8436</v>
      </c>
      <c r="S155" s="276">
        <f t="shared" ref="S155:U155" si="202">+R155+S152-S156+S148</f>
        <v>10630.74</v>
      </c>
      <c r="T155" s="276">
        <f t="shared" si="202"/>
        <v>10307.0852</v>
      </c>
      <c r="U155" s="276">
        <f t="shared" si="202"/>
        <v>9989.903495999999</v>
      </c>
      <c r="V155" s="282">
        <f t="shared" ref="V155:AE155" si="203">+U155+V152-V156+V148</f>
        <v>9679.0654260799984</v>
      </c>
      <c r="W155" s="282">
        <f t="shared" si="203"/>
        <v>9374.4441175583979</v>
      </c>
      <c r="X155" s="282">
        <f t="shared" si="203"/>
        <v>9075.9152352072306</v>
      </c>
      <c r="Y155" s="282">
        <f t="shared" si="203"/>
        <v>8783.3569305030869</v>
      </c>
      <c r="Z155" s="282">
        <f t="shared" si="203"/>
        <v>8496.6497918930254</v>
      </c>
      <c r="AA155" s="282">
        <f t="shared" si="203"/>
        <v>8215.6767960551642</v>
      </c>
      <c r="AB155" s="282">
        <f t="shared" si="203"/>
        <v>7940.3232601340605</v>
      </c>
      <c r="AC155" s="282">
        <f t="shared" si="203"/>
        <v>7670.4767949313791</v>
      </c>
      <c r="AD155" s="282">
        <f t="shared" si="203"/>
        <v>7406.0272590327513</v>
      </c>
      <c r="AE155" s="282">
        <f t="shared" si="203"/>
        <v>7146.8667138520959</v>
      </c>
      <c r="AH155"/>
      <c r="AI155"/>
      <c r="AJ155"/>
      <c r="AK155"/>
      <c r="AL155"/>
      <c r="AM155"/>
    </row>
    <row r="156" spans="2:39" s="206" customFormat="1" ht="12.75" customHeight="1" outlineLevel="1">
      <c r="B156" s="262" t="s">
        <v>587</v>
      </c>
      <c r="C156" s="189">
        <f>+CF!C5</f>
        <v>0</v>
      </c>
      <c r="D156" s="189">
        <f>+CF!D5</f>
        <v>0</v>
      </c>
      <c r="E156" s="189">
        <f>+CF!E5</f>
        <v>0</v>
      </c>
      <c r="F156" s="189">
        <f>+CF!F5</f>
        <v>0</v>
      </c>
      <c r="G156" s="189">
        <f>+CF!G5</f>
        <v>9.0350000000000001</v>
      </c>
      <c r="H156" s="189">
        <f>+CF!H5</f>
        <v>9.4779999999999998</v>
      </c>
      <c r="I156" s="189">
        <f>+CF!I5</f>
        <v>104.36499999999999</v>
      </c>
      <c r="J156" s="189">
        <f>+CF!J5</f>
        <v>84.385999999999996</v>
      </c>
      <c r="K156" s="189">
        <f>+CF!K5</f>
        <v>204.85499999999999</v>
      </c>
      <c r="L156" s="189">
        <f>+CF!L5</f>
        <v>291.69799999999998</v>
      </c>
      <c r="M156" s="189">
        <f>+CF!M5</f>
        <v>198.57300000000001</v>
      </c>
      <c r="N156" s="189">
        <f>+CF!N5</f>
        <v>277.2</v>
      </c>
      <c r="O156" s="189">
        <f>+CF!O5</f>
        <v>269.3</v>
      </c>
      <c r="P156" s="189">
        <f>+CF!P5</f>
        <v>294</v>
      </c>
      <c r="Q156" s="972">
        <f>+CF!Q5</f>
        <v>383.6</v>
      </c>
      <c r="R156" s="972">
        <f>+CF!R5</f>
        <v>337</v>
      </c>
      <c r="S156" s="189">
        <f t="shared" ref="S156:U156" si="204">R156*0.98</f>
        <v>330.26</v>
      </c>
      <c r="T156" s="189">
        <f t="shared" si="204"/>
        <v>323.65479999999997</v>
      </c>
      <c r="U156" s="189">
        <f t="shared" si="204"/>
        <v>317.18170399999997</v>
      </c>
      <c r="V156" s="189">
        <f t="shared" ref="V156:AE156" si="205">U156*0.98</f>
        <v>310.83806991999995</v>
      </c>
      <c r="W156" s="189">
        <f t="shared" si="205"/>
        <v>304.62130852159993</v>
      </c>
      <c r="X156" s="189">
        <f t="shared" si="205"/>
        <v>298.52888235116791</v>
      </c>
      <c r="Y156" s="189">
        <f t="shared" si="205"/>
        <v>292.55830470414452</v>
      </c>
      <c r="Z156" s="189">
        <f t="shared" si="205"/>
        <v>286.70713861006163</v>
      </c>
      <c r="AA156" s="189">
        <f t="shared" si="205"/>
        <v>280.97299583786042</v>
      </c>
      <c r="AB156" s="189">
        <f t="shared" si="205"/>
        <v>275.35353592110323</v>
      </c>
      <c r="AC156" s="189">
        <f t="shared" si="205"/>
        <v>269.84646520268115</v>
      </c>
      <c r="AD156" s="189">
        <f t="shared" si="205"/>
        <v>264.44953589862752</v>
      </c>
      <c r="AE156" s="189">
        <f t="shared" si="205"/>
        <v>259.16054518065494</v>
      </c>
      <c r="AH156"/>
      <c r="AI156"/>
      <c r="AJ156"/>
      <c r="AK156"/>
      <c r="AL156"/>
      <c r="AM156"/>
    </row>
    <row r="157" spans="2:39" s="209" customFormat="1" ht="12.75" customHeight="1" outlineLevel="1">
      <c r="B157" s="277" t="s">
        <v>588</v>
      </c>
      <c r="C157" s="278"/>
      <c r="D157" s="278"/>
      <c r="E157" s="278"/>
      <c r="F157" s="278"/>
      <c r="G157" s="278"/>
      <c r="H157" s="278"/>
      <c r="I157" s="278">
        <f t="shared" ref="I157:R157" si="206">AVERAGE(I155/I156,H155/H156)</f>
        <v>6.9709579078337152</v>
      </c>
      <c r="J157" s="278">
        <f t="shared" si="206"/>
        <v>4.1539913470492946</v>
      </c>
      <c r="K157" s="278">
        <f t="shared" si="206"/>
        <v>9.9998640021165208</v>
      </c>
      <c r="L157" s="278">
        <f t="shared" si="206"/>
        <v>12.804875321144991</v>
      </c>
      <c r="M157" s="278">
        <f>AVERAGE(M155/M156,L155/L156)</f>
        <v>12.682860033751357</v>
      </c>
      <c r="N157" s="278">
        <f t="shared" si="206"/>
        <v>12.928872720606112</v>
      </c>
      <c r="O157" s="278">
        <f t="shared" si="206"/>
        <v>12.674286295665798</v>
      </c>
      <c r="P157" s="278">
        <f t="shared" si="206"/>
        <v>26.018328761136836</v>
      </c>
      <c r="Q157" s="278">
        <f t="shared" si="206"/>
        <v>32.011255524107455</v>
      </c>
      <c r="R157" s="278">
        <f t="shared" si="206"/>
        <v>26.061419536299866</v>
      </c>
      <c r="S157" s="278">
        <f>AVERAGE(S155/S156,R155/R156)</f>
        <v>28.610821776781929</v>
      </c>
      <c r="T157" s="278">
        <f>AVERAGE(T155/T156,S155/S156)</f>
        <v>32.017461814253949</v>
      </c>
      <c r="U157" s="278">
        <f>AVERAGE(U155/U156,T155/T156)</f>
        <v>31.670879402299953</v>
      </c>
      <c r="V157" s="278">
        <f t="shared" ref="V157:AB157" si="207">AVERAGE(V155/V156,U155/U156)</f>
        <v>31.317223879897909</v>
      </c>
      <c r="W157" s="278">
        <f t="shared" si="207"/>
        <v>30.95635089785501</v>
      </c>
      <c r="X157" s="278">
        <f t="shared" si="207"/>
        <v>30.588113161076542</v>
      </c>
      <c r="Y157" s="278">
        <f t="shared" si="207"/>
        <v>30.212360368445456</v>
      </c>
      <c r="Z157" s="278">
        <f t="shared" si="207"/>
        <v>29.828939151474959</v>
      </c>
      <c r="AA157" s="278">
        <f t="shared" si="207"/>
        <v>29.43769301170914</v>
      </c>
      <c r="AB157" s="278">
        <f t="shared" si="207"/>
        <v>29.038462256846056</v>
      </c>
      <c r="AC157" s="278">
        <f>AVERAGE(AC155/AC156,AB155/AB156)</f>
        <v>28.6310839355572</v>
      </c>
      <c r="AD157" s="278">
        <f>AVERAGE(AD155/AD156,AC155/AC156)</f>
        <v>28.215391770976737</v>
      </c>
      <c r="AE157" s="278">
        <f>AVERAGE(AE155/AE156,AD155/AD156)</f>
        <v>27.791216092833402</v>
      </c>
      <c r="AH157"/>
      <c r="AI157"/>
      <c r="AJ157"/>
      <c r="AK157"/>
      <c r="AL157"/>
      <c r="AM157"/>
    </row>
    <row r="158" spans="2:39" ht="12.75" customHeight="1">
      <c r="B158" s="279"/>
      <c r="C158" s="265"/>
      <c r="D158" s="265"/>
      <c r="E158" s="265"/>
      <c r="F158" s="265"/>
      <c r="G158" s="265"/>
      <c r="H158" s="265"/>
      <c r="I158" s="265"/>
      <c r="J158" s="201"/>
      <c r="K158" s="265"/>
      <c r="L158" s="201"/>
      <c r="M158" s="265"/>
      <c r="N158" s="265"/>
      <c r="O158" s="265"/>
      <c r="P158" s="265"/>
      <c r="Q158" s="265"/>
      <c r="R158" s="265"/>
      <c r="S158" s="265"/>
      <c r="T158" s="265"/>
      <c r="U158" s="265"/>
    </row>
    <row r="159" spans="2:39" s="247" customFormat="1" ht="12.75" customHeight="1">
      <c r="B159" s="280" t="s">
        <v>589</v>
      </c>
      <c r="C159" s="281"/>
      <c r="D159" s="281">
        <f t="shared" ref="D159:R159" si="208">D165*D178</f>
        <v>2.7022297942710959E-2</v>
      </c>
      <c r="E159" s="281">
        <f t="shared" si="208"/>
        <v>0.32164356704198926</v>
      </c>
      <c r="F159" s="281">
        <f t="shared" si="208"/>
        <v>0.18471539805409215</v>
      </c>
      <c r="G159" s="281">
        <f t="shared" si="208"/>
        <v>0.51943648111788421</v>
      </c>
      <c r="H159" s="281">
        <f t="shared" si="208"/>
        <v>0.68172490909048722</v>
      </c>
      <c r="I159" s="281">
        <f t="shared" si="208"/>
        <v>1.2532727059174946</v>
      </c>
      <c r="J159" s="281">
        <f t="shared" si="208"/>
        <v>0.44227072134994444</v>
      </c>
      <c r="K159" s="281">
        <f t="shared" si="208"/>
        <v>0.60899378850646146</v>
      </c>
      <c r="L159" s="281">
        <f t="shared" si="208"/>
        <v>0.28432489921343118</v>
      </c>
      <c r="M159" s="281">
        <f t="shared" si="208"/>
        <v>0.33471999543839343</v>
      </c>
      <c r="N159" s="281">
        <f t="shared" si="208"/>
        <v>0.38084684776782179</v>
      </c>
      <c r="O159" s="281">
        <f t="shared" si="208"/>
        <v>0.48451842444831561</v>
      </c>
      <c r="P159" s="281">
        <f t="shared" si="208"/>
        <v>0.52782043539444934</v>
      </c>
      <c r="Q159" s="281">
        <f t="shared" si="208"/>
        <v>0.29028417948629942</v>
      </c>
      <c r="R159" s="281">
        <f t="shared" si="208"/>
        <v>0.35665761791926814</v>
      </c>
      <c r="S159" s="281">
        <f>S165*S178</f>
        <v>0.40669595713316053</v>
      </c>
      <c r="T159" s="281">
        <f>T165*T178</f>
        <v>0.29832909071812641</v>
      </c>
      <c r="U159" s="281">
        <f>U165*U178</f>
        <v>0.34485672477265422</v>
      </c>
      <c r="V159" s="281">
        <f t="shared" ref="V159:AE159" si="209">V165*V178</f>
        <v>0.39213243179172236</v>
      </c>
      <c r="W159" s="281">
        <f t="shared" si="209"/>
        <v>0.41456835940374842</v>
      </c>
      <c r="X159" s="281">
        <f t="shared" si="209"/>
        <v>0.41796839704767952</v>
      </c>
      <c r="Y159" s="281">
        <f t="shared" si="209"/>
        <v>0.40684180731604985</v>
      </c>
      <c r="Z159" s="281">
        <f t="shared" si="209"/>
        <v>0.33045108748905588</v>
      </c>
      <c r="AA159" s="281">
        <f t="shared" si="209"/>
        <v>0.20829534324974727</v>
      </c>
      <c r="AB159" s="281">
        <f t="shared" si="209"/>
        <v>0.16997694965633711</v>
      </c>
      <c r="AC159" s="281">
        <f t="shared" si="209"/>
        <v>0.16831459027659362</v>
      </c>
      <c r="AD159" s="281">
        <f t="shared" si="209"/>
        <v>0.17082598069652685</v>
      </c>
      <c r="AE159" s="281">
        <f t="shared" si="209"/>
        <v>0.1759088027092135</v>
      </c>
      <c r="AH159"/>
      <c r="AI159"/>
      <c r="AJ159"/>
      <c r="AK159"/>
      <c r="AL159"/>
      <c r="AM159"/>
    </row>
    <row r="160" spans="2:39" s="687" customFormat="1" ht="12.75" customHeight="1" outlineLevel="1">
      <c r="B160" s="688" t="s">
        <v>590</v>
      </c>
      <c r="C160" s="689">
        <f t="shared" ref="C160:R160" si="210">+C48</f>
        <v>135.74600000000001</v>
      </c>
      <c r="D160" s="689">
        <f t="shared" si="210"/>
        <v>271.47500000000002</v>
      </c>
      <c r="E160" s="689">
        <f t="shared" si="210"/>
        <v>377.50200000000001</v>
      </c>
      <c r="F160" s="689">
        <f t="shared" si="210"/>
        <v>536.94100000000003</v>
      </c>
      <c r="G160" s="689">
        <f t="shared" si="210"/>
        <v>898.87300000000005</v>
      </c>
      <c r="H160" s="689">
        <f t="shared" si="210"/>
        <v>1405.8199999999997</v>
      </c>
      <c r="I160" s="689">
        <f t="shared" si="210"/>
        <v>2237.817</v>
      </c>
      <c r="J160" s="689">
        <f t="shared" si="210"/>
        <v>2677.239</v>
      </c>
      <c r="K160" s="689">
        <f t="shared" si="210"/>
        <v>3600.7040000000002</v>
      </c>
      <c r="L160" s="689">
        <f t="shared" si="210"/>
        <v>4813.6680000000006</v>
      </c>
      <c r="M160" s="689">
        <f t="shared" si="210"/>
        <v>5506.7129999999997</v>
      </c>
      <c r="N160" s="689">
        <f t="shared" si="210"/>
        <v>6471.0000000000009</v>
      </c>
      <c r="O160" s="689">
        <f t="shared" si="210"/>
        <v>7670.4</v>
      </c>
      <c r="P160" s="689">
        <f t="shared" si="210"/>
        <v>9256</v>
      </c>
      <c r="Q160" s="689">
        <f t="shared" si="210"/>
        <v>11229.2</v>
      </c>
      <c r="R160" s="689">
        <f t="shared" si="210"/>
        <v>13003</v>
      </c>
      <c r="S160" s="689">
        <f>+S48</f>
        <v>14773.800606987132</v>
      </c>
      <c r="T160" s="689">
        <f>+T48</f>
        <v>16728.389940531037</v>
      </c>
      <c r="U160" s="689">
        <f>+U48</f>
        <v>19249.720319150274</v>
      </c>
      <c r="V160" s="689">
        <f t="shared" ref="V160:AA160" si="211">+V48</f>
        <v>22109.75537287923</v>
      </c>
      <c r="W160" s="689">
        <f t="shared" si="211"/>
        <v>23673.258566473927</v>
      </c>
      <c r="X160" s="689">
        <f t="shared" si="211"/>
        <v>23990.408293152665</v>
      </c>
      <c r="Y160" s="689">
        <f t="shared" si="211"/>
        <v>23486.06606041644</v>
      </c>
      <c r="Z160" s="689">
        <f t="shared" si="211"/>
        <v>19136.106668492135</v>
      </c>
      <c r="AA160" s="689">
        <f t="shared" si="211"/>
        <v>12310.869751294756</v>
      </c>
      <c r="AB160" s="689">
        <f>+AB48</f>
        <v>9906.3127110681326</v>
      </c>
      <c r="AC160" s="689">
        <f>+AC48</f>
        <v>9551.6076513932003</v>
      </c>
      <c r="AD160" s="689">
        <f>+AD48</f>
        <v>9482.9989652938912</v>
      </c>
      <c r="AE160" s="689">
        <f>+AE48</f>
        <v>7259.9902573576628</v>
      </c>
      <c r="AH160"/>
      <c r="AI160"/>
      <c r="AJ160"/>
      <c r="AK160"/>
      <c r="AL160"/>
      <c r="AM160"/>
    </row>
    <row r="161" spans="2:39" s="687" customFormat="1" ht="12.75" customHeight="1" outlineLevel="1">
      <c r="B161" s="688" t="s">
        <v>591</v>
      </c>
      <c r="C161" s="677">
        <f>IS!D20</f>
        <v>-36.216999999999999</v>
      </c>
      <c r="D161" s="677">
        <f>IS!I20</f>
        <v>1.2400000000000091</v>
      </c>
      <c r="E161" s="677">
        <f>IS!N20</f>
        <v>42.728000000000009</v>
      </c>
      <c r="F161" s="677">
        <f>IS!S20</f>
        <v>85.353000000000009</v>
      </c>
      <c r="G161" s="677">
        <f>IS!X20</f>
        <v>259.41900000000004</v>
      </c>
      <c r="H161" s="677">
        <f>IS!AC20</f>
        <v>528.34999999999968</v>
      </c>
      <c r="I161" s="677">
        <f>IS!AH20</f>
        <v>848.18300000000011</v>
      </c>
      <c r="J161" s="677">
        <f>IS!AM20</f>
        <v>1098.6030000000001</v>
      </c>
      <c r="K161" s="677">
        <f>IS!AR20</f>
        <v>1593.7259999999997</v>
      </c>
      <c r="L161" s="677">
        <f>IS!AW20</f>
        <v>2171.8290000000002</v>
      </c>
      <c r="M161" s="677">
        <f>IS!BB20</f>
        <v>2651.3909999999996</v>
      </c>
      <c r="N161" s="677">
        <f>IS!BG20</f>
        <v>3121.5000000000009</v>
      </c>
      <c r="O161" s="677">
        <f>IS!BL20</f>
        <v>3881.3999999999996</v>
      </c>
      <c r="P161" s="677">
        <f>IS!BQ20</f>
        <v>4812.1000000000004</v>
      </c>
      <c r="Q161" s="677">
        <f>IS!BV20</f>
        <v>6176.6999999999989</v>
      </c>
      <c r="R161" s="677">
        <f>IS!CA20</f>
        <v>7543</v>
      </c>
      <c r="S161" s="677">
        <f>IS!CF20</f>
        <v>8406.7030163500876</v>
      </c>
      <c r="T161" s="677">
        <f>IS!CK20</f>
        <v>9686.8051523523645</v>
      </c>
      <c r="U161" s="677">
        <f>IS!CP20</f>
        <v>11253.25443248569</v>
      </c>
      <c r="V161" s="677">
        <f>IS!CU20</f>
        <v>12956.109992354915</v>
      </c>
      <c r="W161" s="677">
        <f>IS!CZ20</f>
        <v>13923.548154828166</v>
      </c>
      <c r="X161" s="677">
        <f>IS!DE20</f>
        <v>14144.388739672271</v>
      </c>
      <c r="Y161" s="677">
        <f>IS!DJ20</f>
        <v>13744.664656605763</v>
      </c>
      <c r="Z161" s="677">
        <f>IS!DO20</f>
        <v>11073.190395101979</v>
      </c>
      <c r="AA161" s="677">
        <f>IS!DT20</f>
        <v>6723.9463355719718</v>
      </c>
      <c r="AB161" s="677">
        <f>IS!DY20</f>
        <v>5150.5285424411459</v>
      </c>
      <c r="AC161" s="677">
        <f>IS!ED20</f>
        <v>4896.6599852719564</v>
      </c>
      <c r="AD161" s="677">
        <f>IS!EI20</f>
        <v>4825.5464990053442</v>
      </c>
      <c r="AE161" s="677">
        <f>IS!EI20</f>
        <v>4825.5464990053442</v>
      </c>
      <c r="AH161"/>
      <c r="AI161"/>
      <c r="AJ161"/>
      <c r="AK161"/>
      <c r="AL161"/>
      <c r="AM161"/>
    </row>
    <row r="162" spans="2:39" s="247" customFormat="1" ht="12.75" customHeight="1" outlineLevel="1">
      <c r="B162" s="283" t="s">
        <v>198</v>
      </c>
      <c r="C162" s="246">
        <f>IS!D30</f>
        <v>1.0817971078485485E-3</v>
      </c>
      <c r="D162" s="246">
        <f>IS!I30</f>
        <v>4.134039613081527E-2</v>
      </c>
      <c r="E162" s="246">
        <f>IS!N30</f>
        <v>8.128184938121201E-2</v>
      </c>
      <c r="F162" s="246">
        <f>IS!S30</f>
        <v>0.31729121358201623</v>
      </c>
      <c r="G162" s="246">
        <f>IS!X30</f>
        <v>0.29000996806839102</v>
      </c>
      <c r="H162" s="246">
        <f>IS!AC30</f>
        <v>0.28000120810767437</v>
      </c>
      <c r="I162" s="246">
        <f>IS!AH30</f>
        <v>0.24113126987545766</v>
      </c>
      <c r="J162" s="246">
        <f>IS!AM30</f>
        <v>0.21303079652900997</v>
      </c>
      <c r="K162" s="246">
        <f>IS!AR30</f>
        <v>0.19000027096532632</v>
      </c>
      <c r="L162" s="246">
        <f>IS!AW30</f>
        <v>0.18405917984913661</v>
      </c>
      <c r="M162" s="246">
        <f>IS!BB30</f>
        <v>0.16391410587525715</v>
      </c>
      <c r="N162" s="246">
        <f>IS!BG30</f>
        <v>0.16932635709614122</v>
      </c>
      <c r="O162" s="246">
        <f>IS!BL30</f>
        <v>0.1602254864762318</v>
      </c>
      <c r="P162" s="246">
        <f>IS!BQ30</f>
        <v>0.15249945426762715</v>
      </c>
      <c r="Q162" s="246">
        <f>IS!BV30</f>
        <v>0.15650420881375118</v>
      </c>
      <c r="R162" s="246">
        <f>IS!CA30</f>
        <v>0.1584714807530205</v>
      </c>
      <c r="S162" s="246">
        <f>IS!CF30</f>
        <v>0.18</v>
      </c>
      <c r="T162" s="246">
        <f>IS!CK30</f>
        <v>0.16500000000000001</v>
      </c>
      <c r="U162" s="246">
        <f>IS!CP30</f>
        <v>0.16500000000000001</v>
      </c>
      <c r="V162" s="246">
        <f>IS!CU30</f>
        <v>0.16500000000000001</v>
      </c>
      <c r="W162" s="246">
        <f>IS!CZ30</f>
        <v>0.16500000000000001</v>
      </c>
      <c r="X162" s="246">
        <f>IS!DE30</f>
        <v>0.16500000000000001</v>
      </c>
      <c r="Y162" s="246">
        <f>IS!DJ30</f>
        <v>0.16500000000000001</v>
      </c>
      <c r="Z162" s="246">
        <f>IS!DO30</f>
        <v>0.16500000000000001</v>
      </c>
      <c r="AA162" s="246">
        <f>IS!DT30</f>
        <v>0.16500000000000001</v>
      </c>
      <c r="AB162" s="246">
        <f>IS!DY30</f>
        <v>0.16500000000000001</v>
      </c>
      <c r="AC162" s="246">
        <f>IS!ED30</f>
        <v>0.16500000000000001</v>
      </c>
      <c r="AD162" s="246">
        <f>IS!EI30</f>
        <v>0.16500000000000001</v>
      </c>
      <c r="AE162" s="246">
        <f>IS!EN30</f>
        <v>0.16500000000000001</v>
      </c>
      <c r="AH162"/>
      <c r="AI162"/>
      <c r="AJ162"/>
      <c r="AK162"/>
      <c r="AL162"/>
      <c r="AM162"/>
    </row>
    <row r="163" spans="2:39" s="209" customFormat="1" ht="12.75" customHeight="1" outlineLevel="1">
      <c r="B163" s="272" t="s">
        <v>196</v>
      </c>
      <c r="C163" s="253">
        <f t="shared" ref="C163:R163" si="212">+C161*C162</f>
        <v>-3.9179445854950881E-2</v>
      </c>
      <c r="D163" s="253">
        <f t="shared" si="212"/>
        <v>5.1262091202211313E-2</v>
      </c>
      <c r="E163" s="253">
        <f t="shared" si="212"/>
        <v>3.4730108603604273</v>
      </c>
      <c r="F163" s="253">
        <f t="shared" si="212"/>
        <v>27.081756952865835</v>
      </c>
      <c r="G163" s="253">
        <f t="shared" si="212"/>
        <v>75.234095906333948</v>
      </c>
      <c r="H163" s="253">
        <f t="shared" si="212"/>
        <v>147.93863830368966</v>
      </c>
      <c r="I163" s="253">
        <f t="shared" si="212"/>
        <v>204.52344387677533</v>
      </c>
      <c r="J163" s="253">
        <f t="shared" si="212"/>
        <v>234.03627215915995</v>
      </c>
      <c r="K163" s="253">
        <f t="shared" si="212"/>
        <v>302.80837184448558</v>
      </c>
      <c r="L163" s="253">
        <f t="shared" si="212"/>
        <v>399.74506451257054</v>
      </c>
      <c r="M163" s="253">
        <f t="shared" si="212"/>
        <v>434.60038509070387</v>
      </c>
      <c r="N163" s="253">
        <f t="shared" si="212"/>
        <v>528.55222367560498</v>
      </c>
      <c r="O163" s="253">
        <f t="shared" si="212"/>
        <v>621.89920320884607</v>
      </c>
      <c r="P163" s="253">
        <f t="shared" si="212"/>
        <v>733.84262388124864</v>
      </c>
      <c r="Q163" s="253">
        <f t="shared" si="212"/>
        <v>966.67954657989674</v>
      </c>
      <c r="R163" s="253">
        <f t="shared" si="212"/>
        <v>1195.3503793200337</v>
      </c>
      <c r="S163" s="253">
        <f>+S161*S162</f>
        <v>1513.2065429430156</v>
      </c>
      <c r="T163" s="253">
        <f>+T161*T162</f>
        <v>1598.3228501381402</v>
      </c>
      <c r="U163" s="253">
        <f>+U161*U162</f>
        <v>1856.786981360139</v>
      </c>
      <c r="V163" s="253">
        <f t="shared" ref="V163:AE163" si="213">+V161*V162</f>
        <v>2137.758148738561</v>
      </c>
      <c r="W163" s="253">
        <f t="shared" si="213"/>
        <v>2297.3854455466476</v>
      </c>
      <c r="X163" s="253">
        <f t="shared" si="213"/>
        <v>2333.8241420459249</v>
      </c>
      <c r="Y163" s="253">
        <f t="shared" si="213"/>
        <v>2267.8696683399507</v>
      </c>
      <c r="Z163" s="253">
        <f t="shared" si="213"/>
        <v>1827.0764151918268</v>
      </c>
      <c r="AA163" s="253">
        <f t="shared" si="213"/>
        <v>1109.4511453693754</v>
      </c>
      <c r="AB163" s="253">
        <f t="shared" si="213"/>
        <v>849.83720950278916</v>
      </c>
      <c r="AC163" s="253">
        <f t="shared" si="213"/>
        <v>807.94889756987288</v>
      </c>
      <c r="AD163" s="253">
        <f t="shared" si="213"/>
        <v>796.21517233588179</v>
      </c>
      <c r="AE163" s="253">
        <f t="shared" si="213"/>
        <v>796.21517233588179</v>
      </c>
      <c r="AH163"/>
      <c r="AI163"/>
      <c r="AJ163"/>
      <c r="AK163"/>
      <c r="AL163"/>
      <c r="AM163"/>
    </row>
    <row r="164" spans="2:39" s="209" customFormat="1" ht="12.75" customHeight="1" outlineLevel="1">
      <c r="B164" s="272" t="s">
        <v>592</v>
      </c>
      <c r="C164" s="253">
        <f t="shared" ref="C164:R164" si="214">+C161-C163</f>
        <v>-36.17782055414505</v>
      </c>
      <c r="D164" s="253">
        <f t="shared" si="214"/>
        <v>1.1887379087977978</v>
      </c>
      <c r="E164" s="253">
        <f t="shared" si="214"/>
        <v>39.254989139639584</v>
      </c>
      <c r="F164" s="253">
        <f t="shared" si="214"/>
        <v>58.271243047134178</v>
      </c>
      <c r="G164" s="253">
        <f t="shared" si="214"/>
        <v>184.18490409366609</v>
      </c>
      <c r="H164" s="253">
        <f t="shared" si="214"/>
        <v>380.41136169631</v>
      </c>
      <c r="I164" s="253">
        <f t="shared" si="214"/>
        <v>643.65955612322477</v>
      </c>
      <c r="J164" s="253">
        <f t="shared" si="214"/>
        <v>864.56672784084014</v>
      </c>
      <c r="K164" s="253">
        <f t="shared" si="214"/>
        <v>1290.9176281555142</v>
      </c>
      <c r="L164" s="253">
        <f t="shared" si="214"/>
        <v>1772.0839354874297</v>
      </c>
      <c r="M164" s="253">
        <f t="shared" si="214"/>
        <v>2216.790614909296</v>
      </c>
      <c r="N164" s="253">
        <f t="shared" si="214"/>
        <v>2592.9477763243958</v>
      </c>
      <c r="O164" s="253">
        <f t="shared" si="214"/>
        <v>3259.5007967911533</v>
      </c>
      <c r="P164" s="253">
        <f t="shared" si="214"/>
        <v>4078.2573761187518</v>
      </c>
      <c r="Q164" s="253">
        <f t="shared" si="214"/>
        <v>5210.0204534201021</v>
      </c>
      <c r="R164" s="253">
        <f t="shared" si="214"/>
        <v>6347.6496206799666</v>
      </c>
      <c r="S164" s="253">
        <f>+S161-S163</f>
        <v>6893.4964734070718</v>
      </c>
      <c r="T164" s="253">
        <f>+T161-T163</f>
        <v>8088.4823022142245</v>
      </c>
      <c r="U164" s="253">
        <f>+U161-U163</f>
        <v>9396.4674511255507</v>
      </c>
      <c r="V164" s="253">
        <f t="shared" ref="V164:AE164" si="215">+V161-V163</f>
        <v>10818.351843616354</v>
      </c>
      <c r="W164" s="253">
        <f t="shared" si="215"/>
        <v>11626.162709281518</v>
      </c>
      <c r="X164" s="253">
        <f t="shared" si="215"/>
        <v>11810.564597626346</v>
      </c>
      <c r="Y164" s="253">
        <f t="shared" si="215"/>
        <v>11476.794988265812</v>
      </c>
      <c r="Z164" s="253">
        <f t="shared" si="215"/>
        <v>9246.1139799101529</v>
      </c>
      <c r="AA164" s="253">
        <f t="shared" si="215"/>
        <v>5614.4951902025969</v>
      </c>
      <c r="AB164" s="253">
        <f t="shared" si="215"/>
        <v>4300.6913329383569</v>
      </c>
      <c r="AC164" s="253">
        <f t="shared" si="215"/>
        <v>4088.7110877020837</v>
      </c>
      <c r="AD164" s="253">
        <f t="shared" si="215"/>
        <v>4029.3313266694622</v>
      </c>
      <c r="AE164" s="253">
        <f t="shared" si="215"/>
        <v>4029.3313266694622</v>
      </c>
      <c r="AH164"/>
      <c r="AI164"/>
      <c r="AJ164"/>
      <c r="AK164"/>
      <c r="AL164"/>
      <c r="AM164"/>
    </row>
    <row r="165" spans="2:39" s="247" customFormat="1" ht="12.75" customHeight="1" outlineLevel="1">
      <c r="B165" s="284" t="s">
        <v>593</v>
      </c>
      <c r="C165" s="281">
        <f t="shared" ref="C165:R165" si="216">+C164/C160</f>
        <v>-0.26651113516527225</v>
      </c>
      <c r="D165" s="281">
        <f t="shared" si="216"/>
        <v>4.3788117093573912E-3</v>
      </c>
      <c r="E165" s="281">
        <f t="shared" si="216"/>
        <v>0.10398617527758683</v>
      </c>
      <c r="F165" s="281">
        <f t="shared" si="216"/>
        <v>0.10852448043106072</v>
      </c>
      <c r="G165" s="281">
        <f t="shared" si="216"/>
        <v>0.20490648188750366</v>
      </c>
      <c r="H165" s="281">
        <f t="shared" si="216"/>
        <v>0.27059748879394951</v>
      </c>
      <c r="I165" s="281">
        <f t="shared" si="216"/>
        <v>0.28762832533814192</v>
      </c>
      <c r="J165" s="281">
        <f t="shared" si="216"/>
        <v>0.32293221779633424</v>
      </c>
      <c r="K165" s="281">
        <f t="shared" si="216"/>
        <v>0.35851811983309767</v>
      </c>
      <c r="L165" s="281">
        <f t="shared" si="216"/>
        <v>0.36813588629033606</v>
      </c>
      <c r="M165" s="281">
        <f t="shared" si="216"/>
        <v>0.40256149447216444</v>
      </c>
      <c r="N165" s="281">
        <f t="shared" si="216"/>
        <v>0.40070279343600612</v>
      </c>
      <c r="O165" s="281">
        <f t="shared" si="216"/>
        <v>0.42494534793376532</v>
      </c>
      <c r="P165" s="281">
        <f t="shared" si="216"/>
        <v>0.44060689024619187</v>
      </c>
      <c r="Q165" s="281">
        <f t="shared" si="216"/>
        <v>0.46397075957504558</v>
      </c>
      <c r="R165" s="281">
        <f t="shared" si="216"/>
        <v>0.4881680858786408</v>
      </c>
      <c r="S165" s="281">
        <f>+S164/S160</f>
        <v>0.46660278264124239</v>
      </c>
      <c r="T165" s="281">
        <f>+T164/T160</f>
        <v>0.48351827826638161</v>
      </c>
      <c r="U165" s="281">
        <f>+U164/U160</f>
        <v>0.48813527133574125</v>
      </c>
      <c r="V165" s="281">
        <f t="shared" ref="V165:AE165" si="217">+V164/V160</f>
        <v>0.48930219539591135</v>
      </c>
      <c r="W165" s="281">
        <f t="shared" si="217"/>
        <v>0.49110952244430311</v>
      </c>
      <c r="X165" s="281">
        <f t="shared" si="217"/>
        <v>0.49230360956371527</v>
      </c>
      <c r="Y165" s="281">
        <f t="shared" si="217"/>
        <v>0.48866400012426403</v>
      </c>
      <c r="Z165" s="281">
        <f t="shared" si="217"/>
        <v>0.48317633989436354</v>
      </c>
      <c r="AA165" s="281">
        <f t="shared" si="217"/>
        <v>0.4560599944298907</v>
      </c>
      <c r="AB165" s="281">
        <f t="shared" si="217"/>
        <v>0.43413643990193013</v>
      </c>
      <c r="AC165" s="281">
        <f t="shared" si="217"/>
        <v>0.42806522597331592</v>
      </c>
      <c r="AD165" s="281">
        <f t="shared" si="217"/>
        <v>0.42490053425251934</v>
      </c>
      <c r="AE165" s="281">
        <f t="shared" si="217"/>
        <v>0.55500505976380921</v>
      </c>
      <c r="AH165"/>
      <c r="AI165"/>
      <c r="AJ165"/>
      <c r="AK165"/>
      <c r="AL165"/>
      <c r="AM165"/>
    </row>
    <row r="166" spans="2:39" s="209" customFormat="1" ht="12.75" customHeight="1" outlineLevel="1">
      <c r="B166" s="272" t="s">
        <v>594</v>
      </c>
      <c r="C166" s="253">
        <f t="shared" ref="C166:R166" si="218">+C62</f>
        <v>17.658999999999999</v>
      </c>
      <c r="D166" s="253">
        <f t="shared" si="218"/>
        <v>35.494999999999997</v>
      </c>
      <c r="E166" s="253">
        <f t="shared" si="218"/>
        <v>46.073999999999998</v>
      </c>
      <c r="F166" s="253">
        <f t="shared" si="218"/>
        <v>77.912999999999997</v>
      </c>
      <c r="G166" s="253">
        <f t="shared" si="218"/>
        <v>127.777</v>
      </c>
      <c r="H166" s="253">
        <f t="shared" si="218"/>
        <v>167.25200000000001</v>
      </c>
      <c r="I166" s="253">
        <f t="shared" si="218"/>
        <v>312.24299999999999</v>
      </c>
      <c r="J166" s="253">
        <f t="shared" si="218"/>
        <v>438.61700000000002</v>
      </c>
      <c r="K166" s="253">
        <f t="shared" si="218"/>
        <v>706.42899999999997</v>
      </c>
      <c r="L166" s="253">
        <f t="shared" si="218"/>
        <v>945.53099999999995</v>
      </c>
      <c r="M166" s="253">
        <f t="shared" si="218"/>
        <v>960.52099999999996</v>
      </c>
      <c r="N166" s="253">
        <f t="shared" si="218"/>
        <v>1061.4000000000001</v>
      </c>
      <c r="O166" s="253">
        <f t="shared" si="218"/>
        <v>1166.7</v>
      </c>
      <c r="P166" s="253">
        <f t="shared" si="218"/>
        <v>1420.9</v>
      </c>
      <c r="Q166" s="253">
        <f t="shared" si="218"/>
        <v>1620.6</v>
      </c>
      <c r="R166" s="253">
        <f t="shared" si="218"/>
        <v>1921</v>
      </c>
      <c r="S166" s="253">
        <f>+S62</f>
        <v>2182.6094721235313</v>
      </c>
      <c r="T166" s="253">
        <f>+T62</f>
        <v>2471.3709971360549</v>
      </c>
      <c r="U166" s="253">
        <f>+U62</f>
        <v>2843.8600886785875</v>
      </c>
      <c r="V166" s="253">
        <f t="shared" ref="V166:AE166" si="219">+V62</f>
        <v>3266.3877621549641</v>
      </c>
      <c r="W166" s="253">
        <f t="shared" si="219"/>
        <v>3497.3721222945792</v>
      </c>
      <c r="X166" s="253">
        <f t="shared" si="219"/>
        <v>3544.2262809464178</v>
      </c>
      <c r="Y166" s="253">
        <f t="shared" si="219"/>
        <v>3469.7172115711746</v>
      </c>
      <c r="Z166" s="253">
        <f t="shared" si="219"/>
        <v>2827.0753603148037</v>
      </c>
      <c r="AA166" s="253">
        <f t="shared" si="219"/>
        <v>1818.7480421623645</v>
      </c>
      <c r="AB166" s="253">
        <f t="shared" si="219"/>
        <v>1463.5104758872478</v>
      </c>
      <c r="AC166" s="253">
        <f t="shared" si="219"/>
        <v>1411.1080749308881</v>
      </c>
      <c r="AD166" s="253">
        <f t="shared" si="219"/>
        <v>1400.972161218916</v>
      </c>
      <c r="AE166" s="253">
        <f t="shared" si="219"/>
        <v>1072.5556628765723</v>
      </c>
      <c r="AH166"/>
      <c r="AI166"/>
      <c r="AJ166"/>
      <c r="AK166"/>
      <c r="AL166"/>
      <c r="AM166"/>
    </row>
    <row r="167" spans="2:39" s="209" customFormat="1" ht="12.75" customHeight="1" outlineLevel="1">
      <c r="B167" s="272" t="s">
        <v>595</v>
      </c>
      <c r="C167" s="253">
        <f t="shared" ref="C167:R167" si="220">+C79</f>
        <v>4.806</v>
      </c>
      <c r="D167" s="253">
        <f t="shared" si="220"/>
        <v>9.6959999999999997</v>
      </c>
      <c r="E167" s="253">
        <f t="shared" si="220"/>
        <v>24.404</v>
      </c>
      <c r="F167" s="253">
        <f t="shared" si="220"/>
        <v>20.242000000000001</v>
      </c>
      <c r="G167" s="253">
        <f t="shared" si="220"/>
        <v>25.370999999999999</v>
      </c>
      <c r="H167" s="253">
        <f t="shared" si="220"/>
        <v>49.076000000000001</v>
      </c>
      <c r="I167" s="253">
        <f t="shared" si="220"/>
        <v>100.176</v>
      </c>
      <c r="J167" s="253">
        <f t="shared" si="220"/>
        <v>100.68300000000001</v>
      </c>
      <c r="K167" s="253">
        <f t="shared" si="220"/>
        <v>260.13</v>
      </c>
      <c r="L167" s="253">
        <f t="shared" si="220"/>
        <v>189.57300000000001</v>
      </c>
      <c r="M167" s="253">
        <f t="shared" si="220"/>
        <v>259.495</v>
      </c>
      <c r="N167" s="253">
        <f t="shared" si="220"/>
        <v>340.4</v>
      </c>
      <c r="O167" s="253">
        <f t="shared" si="220"/>
        <v>393.1</v>
      </c>
      <c r="P167" s="253">
        <f t="shared" si="220"/>
        <v>443.4</v>
      </c>
      <c r="Q167" s="253">
        <f t="shared" si="220"/>
        <v>497.9</v>
      </c>
      <c r="R167" s="253">
        <f t="shared" si="220"/>
        <v>541</v>
      </c>
      <c r="S167" s="253">
        <f>+S79</f>
        <v>619.28451505457383</v>
      </c>
      <c r="T167" s="253">
        <f>+T79</f>
        <v>729.79075645265152</v>
      </c>
      <c r="U167" s="253">
        <f>+U79</f>
        <v>932.56471525270672</v>
      </c>
      <c r="V167" s="253">
        <f t="shared" ref="V167:AE167" si="221">+V79</f>
        <v>1233.364697054205</v>
      </c>
      <c r="W167" s="253">
        <f t="shared" si="221"/>
        <v>1467.1446602888479</v>
      </c>
      <c r="X167" s="253">
        <f t="shared" si="221"/>
        <v>1653.0102646558298</v>
      </c>
      <c r="Y167" s="253">
        <f t="shared" si="221"/>
        <v>1881.3586647855088</v>
      </c>
      <c r="Z167" s="253">
        <f t="shared" si="221"/>
        <v>1798.8417310923955</v>
      </c>
      <c r="AA167" s="253">
        <f t="shared" si="221"/>
        <v>1726.7488111252305</v>
      </c>
      <c r="AB167" s="253">
        <f t="shared" si="221"/>
        <v>1757.6100758794159</v>
      </c>
      <c r="AC167" s="253">
        <f t="shared" si="221"/>
        <v>1822.1271834308311</v>
      </c>
      <c r="AD167" s="253">
        <f t="shared" si="221"/>
        <v>1893.8339210487986</v>
      </c>
      <c r="AE167" s="253">
        <f t="shared" si="221"/>
        <v>1742.3860771321522</v>
      </c>
      <c r="AH167"/>
      <c r="AI167"/>
      <c r="AJ167"/>
      <c r="AK167"/>
      <c r="AL167"/>
      <c r="AM167"/>
    </row>
    <row r="168" spans="2:39" s="209" customFormat="1" ht="12.75" customHeight="1" outlineLevel="1">
      <c r="B168" s="272" t="s">
        <v>525</v>
      </c>
      <c r="C168" s="253">
        <f t="shared" ref="C168:R168" si="222">+C64</f>
        <v>12.449</v>
      </c>
      <c r="D168" s="253">
        <f t="shared" si="222"/>
        <v>17.940999999999999</v>
      </c>
      <c r="E168" s="253">
        <f t="shared" si="222"/>
        <v>26.783000000000001</v>
      </c>
      <c r="F168" s="253">
        <f t="shared" si="222"/>
        <v>37.363</v>
      </c>
      <c r="G168" s="253">
        <f t="shared" si="222"/>
        <v>87.656999999999996</v>
      </c>
      <c r="H168" s="253">
        <f t="shared" si="222"/>
        <v>108.669</v>
      </c>
      <c r="I168" s="253">
        <f t="shared" si="222"/>
        <v>190.441</v>
      </c>
      <c r="J168" s="253">
        <f t="shared" si="222"/>
        <v>258.935</v>
      </c>
      <c r="K168" s="253">
        <f t="shared" si="222"/>
        <v>275.005</v>
      </c>
      <c r="L168" s="253">
        <f t="shared" si="222"/>
        <v>395.09399999999999</v>
      </c>
      <c r="M168" s="253">
        <f t="shared" si="222"/>
        <v>320.21100000000001</v>
      </c>
      <c r="N168" s="253">
        <f t="shared" si="222"/>
        <v>436.4</v>
      </c>
      <c r="O168" s="253">
        <f t="shared" si="222"/>
        <v>594.4</v>
      </c>
      <c r="P168" s="253">
        <f t="shared" si="222"/>
        <v>984.7</v>
      </c>
      <c r="Q168" s="253">
        <f t="shared" si="222"/>
        <v>779.3</v>
      </c>
      <c r="R168" s="253">
        <f t="shared" si="222"/>
        <v>388</v>
      </c>
      <c r="S168" s="253">
        <f>+S64</f>
        <v>440.83939364077577</v>
      </c>
      <c r="T168" s="253">
        <f>+T64</f>
        <v>499.16290832315946</v>
      </c>
      <c r="U168" s="253">
        <f>+U64</f>
        <v>574.39756085751799</v>
      </c>
      <c r="V168" s="253">
        <f t="shared" ref="V168:AE168" si="223">+V64</f>
        <v>659.73891291833741</v>
      </c>
      <c r="W168" s="253">
        <f t="shared" si="223"/>
        <v>706.39270351394941</v>
      </c>
      <c r="X168" s="253">
        <f t="shared" si="223"/>
        <v>715.85621916044249</v>
      </c>
      <c r="Y168" s="253">
        <f t="shared" si="223"/>
        <v>700.80701618407898</v>
      </c>
      <c r="Z168" s="253">
        <f t="shared" si="223"/>
        <v>571.0074127028339</v>
      </c>
      <c r="AA168" s="253">
        <f t="shared" si="223"/>
        <v>367.34734011400184</v>
      </c>
      <c r="AB168" s="253">
        <f t="shared" si="223"/>
        <v>295.59711850299436</v>
      </c>
      <c r="AC168" s="253">
        <f t="shared" si="223"/>
        <v>285.01297921560882</v>
      </c>
      <c r="AD168" s="253">
        <f t="shared" si="223"/>
        <v>282.96574625348228</v>
      </c>
      <c r="AE168" s="253">
        <f t="shared" si="223"/>
        <v>216.63279395945344</v>
      </c>
      <c r="AH168"/>
      <c r="AI168"/>
      <c r="AJ168"/>
      <c r="AK168"/>
      <c r="AL168"/>
      <c r="AM168"/>
    </row>
    <row r="169" spans="2:39" s="209" customFormat="1" ht="12.75" customHeight="1" outlineLevel="1">
      <c r="B169" s="272" t="s">
        <v>596</v>
      </c>
      <c r="C169" s="253">
        <f t="shared" ref="C169:AE169" si="224">+C12</f>
        <v>19.600000000000001</v>
      </c>
      <c r="D169" s="253">
        <f t="shared" si="224"/>
        <v>22.545999999999999</v>
      </c>
      <c r="E169" s="253">
        <f t="shared" si="224"/>
        <v>53.738</v>
      </c>
      <c r="F169" s="253">
        <f t="shared" si="224"/>
        <v>77.477000000000004</v>
      </c>
      <c r="G169" s="253">
        <f t="shared" si="224"/>
        <v>146.64500000000001</v>
      </c>
      <c r="H169" s="253">
        <f t="shared" si="224"/>
        <v>197.428</v>
      </c>
      <c r="I169" s="253">
        <f t="shared" si="224"/>
        <v>248.971</v>
      </c>
      <c r="J169" s="253">
        <f t="shared" si="224"/>
        <v>297.79199999999997</v>
      </c>
      <c r="K169" s="253">
        <f t="shared" si="224"/>
        <v>509.91899999999998</v>
      </c>
      <c r="L169" s="253">
        <f t="shared" si="224"/>
        <v>506.04199999999997</v>
      </c>
      <c r="M169" s="253">
        <f t="shared" si="224"/>
        <v>578.36199999999997</v>
      </c>
      <c r="N169" s="253">
        <f t="shared" si="224"/>
        <v>593.4</v>
      </c>
      <c r="O169" s="253">
        <f t="shared" si="224"/>
        <v>642.6</v>
      </c>
      <c r="P169" s="253">
        <f t="shared" si="224"/>
        <v>814.1</v>
      </c>
      <c r="Q169" s="253">
        <f t="shared" si="224"/>
        <v>929.8</v>
      </c>
      <c r="R169" s="253">
        <f t="shared" si="224"/>
        <v>1070</v>
      </c>
      <c r="S169" s="253">
        <f t="shared" si="224"/>
        <v>1164.1184200765877</v>
      </c>
      <c r="T169" s="253">
        <f t="shared" si="224"/>
        <v>1264.3782643144364</v>
      </c>
      <c r="U169" s="253">
        <f t="shared" si="224"/>
        <v>1438.909083738833</v>
      </c>
      <c r="V169" s="253">
        <f t="shared" si="224"/>
        <v>1629.7441701142664</v>
      </c>
      <c r="W169" s="253">
        <f t="shared" si="224"/>
        <v>1800.5536910493922</v>
      </c>
      <c r="X169" s="253">
        <f t="shared" si="224"/>
        <v>1919.3789354410135</v>
      </c>
      <c r="Y169" s="253">
        <f t="shared" si="224"/>
        <v>1966.9371597833563</v>
      </c>
      <c r="Z169" s="253">
        <f t="shared" si="224"/>
        <v>1944.0696434927268</v>
      </c>
      <c r="AA169" s="253">
        <f t="shared" si="224"/>
        <v>1679.5583381776278</v>
      </c>
      <c r="AB169" s="253">
        <f t="shared" si="224"/>
        <v>1313.2327184933279</v>
      </c>
      <c r="AC169" s="253">
        <f t="shared" si="224"/>
        <v>907.64832553832275</v>
      </c>
      <c r="AD169" s="253">
        <f t="shared" si="224"/>
        <v>471.59015643080659</v>
      </c>
      <c r="AE169" s="253">
        <f t="shared" si="224"/>
        <v>-52.908111493154365</v>
      </c>
      <c r="AH169"/>
      <c r="AI169"/>
      <c r="AJ169"/>
      <c r="AK169"/>
      <c r="AL169"/>
      <c r="AM169"/>
    </row>
    <row r="170" spans="2:39" s="209" customFormat="1" ht="12.75" customHeight="1" outlineLevel="1">
      <c r="B170" s="272" t="s">
        <v>597</v>
      </c>
      <c r="C170" s="253">
        <f t="shared" ref="C170:U170" si="225">+C16</f>
        <v>5.6079999999999997</v>
      </c>
      <c r="D170" s="253">
        <f t="shared" si="225"/>
        <v>54.195999999999998</v>
      </c>
      <c r="E170" s="253">
        <f t="shared" si="225"/>
        <v>53.462000000000003</v>
      </c>
      <c r="F170" s="253">
        <f t="shared" si="225"/>
        <v>60.179000000000002</v>
      </c>
      <c r="G170" s="253">
        <f t="shared" si="225"/>
        <v>122.76</v>
      </c>
      <c r="H170" s="253">
        <f t="shared" si="225"/>
        <v>183.322</v>
      </c>
      <c r="I170" s="253">
        <f t="shared" si="225"/>
        <v>312.95499999999998</v>
      </c>
      <c r="J170" s="253">
        <f t="shared" si="225"/>
        <v>297.58100000000002</v>
      </c>
      <c r="K170" s="253">
        <f t="shared" si="225"/>
        <v>156.12899999999999</v>
      </c>
      <c r="L170" s="253">
        <f t="shared" si="225"/>
        <v>388.12799999999999</v>
      </c>
      <c r="M170" s="253">
        <f t="shared" si="225"/>
        <v>479.08300000000003</v>
      </c>
      <c r="N170" s="253">
        <f t="shared" si="225"/>
        <v>353.4</v>
      </c>
      <c r="O170" s="253">
        <f t="shared" si="225"/>
        <v>726.1</v>
      </c>
      <c r="P170" s="253">
        <f t="shared" si="225"/>
        <v>1101.3</v>
      </c>
      <c r="Q170" s="253">
        <f t="shared" si="225"/>
        <v>1030.7</v>
      </c>
      <c r="R170" s="253">
        <f t="shared" si="225"/>
        <v>877</v>
      </c>
      <c r="S170" s="253">
        <f t="shared" si="225"/>
        <v>877</v>
      </c>
      <c r="T170" s="253">
        <f t="shared" si="225"/>
        <v>877</v>
      </c>
      <c r="U170" s="253">
        <f t="shared" si="225"/>
        <v>877</v>
      </c>
      <c r="V170" s="253">
        <f t="shared" ref="V170:AE170" si="226">+V16</f>
        <v>877</v>
      </c>
      <c r="W170" s="253">
        <f t="shared" si="226"/>
        <v>877</v>
      </c>
      <c r="X170" s="253">
        <f t="shared" si="226"/>
        <v>877</v>
      </c>
      <c r="Y170" s="253">
        <f t="shared" si="226"/>
        <v>877</v>
      </c>
      <c r="Z170" s="253">
        <f t="shared" si="226"/>
        <v>877</v>
      </c>
      <c r="AA170" s="253">
        <f t="shared" si="226"/>
        <v>877</v>
      </c>
      <c r="AB170" s="253">
        <f t="shared" si="226"/>
        <v>877</v>
      </c>
      <c r="AC170" s="253">
        <f t="shared" si="226"/>
        <v>877</v>
      </c>
      <c r="AD170" s="253">
        <f t="shared" si="226"/>
        <v>877</v>
      </c>
      <c r="AE170" s="253">
        <f t="shared" si="226"/>
        <v>877</v>
      </c>
      <c r="AH170"/>
      <c r="AI170"/>
      <c r="AJ170"/>
      <c r="AK170"/>
      <c r="AL170"/>
      <c r="AM170"/>
    </row>
    <row r="171" spans="2:39" s="209" customFormat="1" ht="12.75" customHeight="1" outlineLevel="1">
      <c r="B171" s="272" t="s">
        <v>598</v>
      </c>
      <c r="C171" s="253">
        <f t="shared" ref="C171:U171" si="227">+C15+C14</f>
        <v>5.9829999999999997</v>
      </c>
      <c r="D171" s="253">
        <f t="shared" si="227"/>
        <v>6.1850000000000005</v>
      </c>
      <c r="E171" s="253">
        <f t="shared" si="227"/>
        <v>150.21299999999999</v>
      </c>
      <c r="F171" s="253">
        <f t="shared" si="227"/>
        <v>130.803</v>
      </c>
      <c r="G171" s="253">
        <f t="shared" si="227"/>
        <v>139.00299999999999</v>
      </c>
      <c r="H171" s="253">
        <f t="shared" si="227"/>
        <v>131.691</v>
      </c>
      <c r="I171" s="253">
        <f t="shared" si="227"/>
        <v>1023.586</v>
      </c>
      <c r="J171" s="253">
        <f t="shared" si="227"/>
        <v>927.6579999999999</v>
      </c>
      <c r="K171" s="253">
        <f t="shared" si="227"/>
        <v>5144.8420000000006</v>
      </c>
      <c r="L171" s="253">
        <f t="shared" si="227"/>
        <v>4731.9179999999997</v>
      </c>
      <c r="M171" s="253">
        <f t="shared" si="227"/>
        <v>5143.1959999999999</v>
      </c>
      <c r="N171" s="253">
        <f t="shared" si="227"/>
        <v>4880.8999999999996</v>
      </c>
      <c r="O171" s="253">
        <f t="shared" si="227"/>
        <v>6258.7999999999993</v>
      </c>
      <c r="P171" s="253">
        <f t="shared" si="227"/>
        <v>15737.1</v>
      </c>
      <c r="Q171" s="253">
        <f t="shared" si="227"/>
        <v>15257.599999999999</v>
      </c>
      <c r="R171" s="253">
        <f t="shared" si="227"/>
        <v>13302</v>
      </c>
      <c r="S171" s="253">
        <f t="shared" si="227"/>
        <v>23071.739999999998</v>
      </c>
      <c r="T171" s="253">
        <f t="shared" si="227"/>
        <v>22748.085200000001</v>
      </c>
      <c r="U171" s="253">
        <f t="shared" si="227"/>
        <v>22430.903495999999</v>
      </c>
      <c r="V171" s="253">
        <f t="shared" ref="V171:AE171" si="228">+V15+V14</f>
        <v>22120.06542608</v>
      </c>
      <c r="W171" s="253">
        <f t="shared" si="228"/>
        <v>21815.4441175584</v>
      </c>
      <c r="X171" s="253">
        <f t="shared" si="228"/>
        <v>21516.915235207231</v>
      </c>
      <c r="Y171" s="253">
        <f t="shared" si="228"/>
        <v>21224.356930503087</v>
      </c>
      <c r="Z171" s="253">
        <f t="shared" si="228"/>
        <v>20937.649791893025</v>
      </c>
      <c r="AA171" s="253">
        <f t="shared" si="228"/>
        <v>20656.676796055166</v>
      </c>
      <c r="AB171" s="253">
        <f t="shared" si="228"/>
        <v>20381.323260134061</v>
      </c>
      <c r="AC171" s="253">
        <f t="shared" si="228"/>
        <v>20111.476794931379</v>
      </c>
      <c r="AD171" s="253">
        <f t="shared" si="228"/>
        <v>19847.027259032751</v>
      </c>
      <c r="AE171" s="253">
        <f t="shared" si="228"/>
        <v>19587.866713852098</v>
      </c>
      <c r="AH171"/>
      <c r="AI171"/>
      <c r="AJ171"/>
      <c r="AK171"/>
      <c r="AL171"/>
      <c r="AM171"/>
    </row>
    <row r="172" spans="2:39" s="206" customFormat="1" ht="12.75" customHeight="1" outlineLevel="1">
      <c r="B172" s="262" t="s">
        <v>599</v>
      </c>
      <c r="C172" s="276">
        <f t="shared" ref="C172:R172" si="229">+SUM(C166:C171)</f>
        <v>66.105000000000004</v>
      </c>
      <c r="D172" s="276">
        <f t="shared" si="229"/>
        <v>146.059</v>
      </c>
      <c r="E172" s="276">
        <f t="shared" si="229"/>
        <v>354.67399999999998</v>
      </c>
      <c r="F172" s="276">
        <f t="shared" si="229"/>
        <v>403.97699999999998</v>
      </c>
      <c r="G172" s="276">
        <f t="shared" si="229"/>
        <v>649.21299999999997</v>
      </c>
      <c r="H172" s="276">
        <f t="shared" si="229"/>
        <v>837.43799999999999</v>
      </c>
      <c r="I172" s="276">
        <f t="shared" si="229"/>
        <v>2188.3720000000003</v>
      </c>
      <c r="J172" s="276">
        <f t="shared" si="229"/>
        <v>2321.2660000000001</v>
      </c>
      <c r="K172" s="276">
        <f t="shared" si="229"/>
        <v>7052.4539999999997</v>
      </c>
      <c r="L172" s="276">
        <f t="shared" si="229"/>
        <v>7156.2860000000001</v>
      </c>
      <c r="M172" s="276">
        <f t="shared" si="229"/>
        <v>7740.8680000000004</v>
      </c>
      <c r="N172" s="276">
        <f t="shared" si="229"/>
        <v>7665.9</v>
      </c>
      <c r="O172" s="276">
        <f t="shared" si="229"/>
        <v>9781.6999999999989</v>
      </c>
      <c r="P172" s="276">
        <f t="shared" si="229"/>
        <v>20501.5</v>
      </c>
      <c r="Q172" s="276">
        <f t="shared" si="229"/>
        <v>20115.899999999998</v>
      </c>
      <c r="R172" s="276">
        <f t="shared" si="229"/>
        <v>18099</v>
      </c>
      <c r="S172" s="282">
        <f>+SUM(S166:S171)</f>
        <v>28355.591800895465</v>
      </c>
      <c r="T172" s="282">
        <f>+SUM(T166:T171)</f>
        <v>28589.788126226304</v>
      </c>
      <c r="U172" s="282">
        <f>+SUM(U166:U171)</f>
        <v>29097.634944527643</v>
      </c>
      <c r="V172" s="282">
        <f t="shared" ref="V172:AE172" si="230">+SUM(V166:V171)</f>
        <v>29786.300968321772</v>
      </c>
      <c r="W172" s="282">
        <f t="shared" si="230"/>
        <v>30163.907294705168</v>
      </c>
      <c r="X172" s="282">
        <f t="shared" si="230"/>
        <v>30226.386935410934</v>
      </c>
      <c r="Y172" s="282">
        <f t="shared" si="230"/>
        <v>30120.176982827204</v>
      </c>
      <c r="Z172" s="282">
        <f t="shared" si="230"/>
        <v>28955.643939495785</v>
      </c>
      <c r="AA172" s="282">
        <f t="shared" si="230"/>
        <v>27126.07932763439</v>
      </c>
      <c r="AB172" s="282">
        <f t="shared" si="230"/>
        <v>26088.273648897048</v>
      </c>
      <c r="AC172" s="282">
        <f>+SUM(AC166:AC171)</f>
        <v>25414.373358047029</v>
      </c>
      <c r="AD172" s="282">
        <f t="shared" si="230"/>
        <v>24773.389243984755</v>
      </c>
      <c r="AE172" s="282">
        <f t="shared" si="230"/>
        <v>23443.533136327122</v>
      </c>
      <c r="AH172"/>
      <c r="AI172"/>
      <c r="AJ172"/>
      <c r="AK172"/>
      <c r="AL172"/>
      <c r="AM172"/>
    </row>
    <row r="173" spans="2:39" s="209" customFormat="1" ht="12.75" customHeight="1" outlineLevel="1">
      <c r="B173" s="272" t="s">
        <v>600</v>
      </c>
      <c r="C173" s="253">
        <f t="shared" ref="C173:R173" si="231">+C67</f>
        <v>16.515999999999998</v>
      </c>
      <c r="D173" s="253">
        <f t="shared" si="231"/>
        <v>15.34</v>
      </c>
      <c r="E173" s="253">
        <f t="shared" si="231"/>
        <v>18.649999999999999</v>
      </c>
      <c r="F173" s="253">
        <f t="shared" si="231"/>
        <v>16.414000000000001</v>
      </c>
      <c r="G173" s="253">
        <f t="shared" si="231"/>
        <v>24.41</v>
      </c>
      <c r="H173" s="253">
        <f t="shared" si="231"/>
        <v>37.875999999999998</v>
      </c>
      <c r="I173" s="253">
        <f t="shared" si="231"/>
        <v>53.859000000000002</v>
      </c>
      <c r="J173" s="253">
        <f t="shared" si="231"/>
        <v>36.628999999999998</v>
      </c>
      <c r="K173" s="253">
        <f t="shared" si="231"/>
        <v>94.465000000000003</v>
      </c>
      <c r="L173" s="253">
        <f t="shared" si="231"/>
        <v>121.52500000000001</v>
      </c>
      <c r="M173" s="253">
        <f t="shared" si="231"/>
        <v>145.65199999999999</v>
      </c>
      <c r="N173" s="253">
        <f t="shared" si="231"/>
        <v>156.19999999999999</v>
      </c>
      <c r="O173" s="253">
        <f t="shared" si="231"/>
        <v>198.2</v>
      </c>
      <c r="P173" s="253">
        <f t="shared" si="231"/>
        <v>240.8</v>
      </c>
      <c r="Q173" s="253">
        <f t="shared" si="231"/>
        <v>247.1</v>
      </c>
      <c r="R173" s="253">
        <f t="shared" si="231"/>
        <v>305</v>
      </c>
      <c r="S173" s="253">
        <f>+S67</f>
        <v>349.13452327475972</v>
      </c>
      <c r="T173" s="253">
        <f>+T67</f>
        <v>411.43471482081094</v>
      </c>
      <c r="U173" s="253">
        <f>+U67</f>
        <v>525.75275074320814</v>
      </c>
      <c r="V173" s="253">
        <f t="shared" ref="V173:AE173" si="232">+V67</f>
        <v>695.33499556660354</v>
      </c>
      <c r="W173" s="253">
        <f t="shared" si="232"/>
        <v>827.13331125341711</v>
      </c>
      <c r="X173" s="253">
        <f t="shared" si="232"/>
        <v>931.91891075790784</v>
      </c>
      <c r="Y173" s="253">
        <f t="shared" si="232"/>
        <v>1060.6550697958969</v>
      </c>
      <c r="Z173" s="253">
        <f t="shared" si="232"/>
        <v>1014.1344325012582</v>
      </c>
      <c r="AA173" s="253">
        <f t="shared" si="232"/>
        <v>973.49054971015778</v>
      </c>
      <c r="AB173" s="253">
        <f t="shared" si="232"/>
        <v>990.88922946991113</v>
      </c>
      <c r="AC173" s="253">
        <f t="shared" si="232"/>
        <v>1027.2620904739435</v>
      </c>
      <c r="AD173" s="253">
        <f t="shared" si="232"/>
        <v>1067.6882549350898</v>
      </c>
      <c r="AE173" s="253">
        <f t="shared" si="232"/>
        <v>982.30638359576051</v>
      </c>
      <c r="AH173"/>
      <c r="AI173"/>
      <c r="AJ173"/>
      <c r="AK173"/>
      <c r="AL173"/>
      <c r="AM173"/>
    </row>
    <row r="174" spans="2:39" s="209" customFormat="1" ht="12.75" customHeight="1" outlineLevel="1">
      <c r="B174" s="272" t="s">
        <v>601</v>
      </c>
      <c r="C174" s="253">
        <f t="shared" ref="C174:R174" si="233">+C71</f>
        <v>0.68500000000000005</v>
      </c>
      <c r="D174" s="253">
        <f t="shared" si="233"/>
        <v>0.308</v>
      </c>
      <c r="E174" s="253">
        <f t="shared" si="233"/>
        <v>6.117</v>
      </c>
      <c r="F174" s="253">
        <f t="shared" si="233"/>
        <v>5.1269999999999998</v>
      </c>
      <c r="G174" s="253">
        <f t="shared" si="233"/>
        <v>9.7949999999999999</v>
      </c>
      <c r="H174" s="253">
        <f t="shared" si="233"/>
        <v>223.18</v>
      </c>
      <c r="I174" s="253">
        <f t="shared" si="233"/>
        <v>114.688</v>
      </c>
      <c r="J174" s="253">
        <f t="shared" si="233"/>
        <v>93.766999999999996</v>
      </c>
      <c r="K174" s="253">
        <f t="shared" si="233"/>
        <v>309.214</v>
      </c>
      <c r="L174" s="253">
        <f t="shared" si="233"/>
        <v>138.42400000000001</v>
      </c>
      <c r="M174" s="253">
        <f t="shared" si="233"/>
        <v>431.29599999999999</v>
      </c>
      <c r="N174" s="253">
        <f t="shared" si="233"/>
        <v>199.7</v>
      </c>
      <c r="O174" s="253">
        <f t="shared" si="233"/>
        <v>275.8</v>
      </c>
      <c r="P174" s="253">
        <f t="shared" si="233"/>
        <v>271</v>
      </c>
      <c r="Q174" s="253">
        <f t="shared" si="233"/>
        <v>300</v>
      </c>
      <c r="R174" s="253">
        <f t="shared" si="233"/>
        <v>300</v>
      </c>
      <c r="S174" s="253">
        <f>+S71</f>
        <v>349.84052695807935</v>
      </c>
      <c r="T174" s="253">
        <f>+T71</f>
        <v>386.90026308674027</v>
      </c>
      <c r="U174" s="253">
        <f>+U71</f>
        <v>439.36625750904329</v>
      </c>
      <c r="V174" s="253">
        <f t="shared" ref="V174:AE174" si="234">+V71</f>
        <v>502.94754838045674</v>
      </c>
      <c r="W174" s="253">
        <f t="shared" si="234"/>
        <v>535.69837426625065</v>
      </c>
      <c r="X174" s="253">
        <f t="shared" si="234"/>
        <v>540.99008535606561</v>
      </c>
      <c r="Y174" s="253">
        <f t="shared" si="234"/>
        <v>535.24183537421311</v>
      </c>
      <c r="Z174" s="253">
        <f t="shared" si="234"/>
        <v>443.01737765879972</v>
      </c>
      <c r="AA174" s="253">
        <f t="shared" si="234"/>
        <v>306.97381405070234</v>
      </c>
      <c r="AB174" s="253">
        <f t="shared" si="234"/>
        <v>261.30682245203224</v>
      </c>
      <c r="AC174" s="253">
        <f t="shared" si="234"/>
        <v>255.76635528138701</v>
      </c>
      <c r="AD174" s="253">
        <f t="shared" si="234"/>
        <v>255.90398166420593</v>
      </c>
      <c r="AE174" s="253">
        <f t="shared" si="234"/>
        <v>207.42546297733978</v>
      </c>
      <c r="AH174"/>
      <c r="AI174"/>
      <c r="AJ174"/>
      <c r="AK174"/>
      <c r="AL174"/>
      <c r="AM174"/>
    </row>
    <row r="175" spans="2:39" s="209" customFormat="1" ht="12.75" customHeight="1" outlineLevel="1">
      <c r="B175" s="272" t="s">
        <v>602</v>
      </c>
      <c r="C175" s="253">
        <f t="shared" ref="C175:R175" si="235">+C32</f>
        <v>4.9130000000000003</v>
      </c>
      <c r="D175" s="253">
        <f t="shared" si="235"/>
        <v>8.3659999999999997</v>
      </c>
      <c r="E175" s="253">
        <f t="shared" si="235"/>
        <v>14.442</v>
      </c>
      <c r="F175" s="253">
        <f t="shared" si="235"/>
        <v>27.85</v>
      </c>
      <c r="G175" s="253">
        <f t="shared" si="235"/>
        <v>56.994999999999997</v>
      </c>
      <c r="H175" s="253">
        <f t="shared" si="235"/>
        <v>62.798999999999999</v>
      </c>
      <c r="I175" s="253">
        <f t="shared" si="235"/>
        <v>64.989000000000004</v>
      </c>
      <c r="J175" s="253">
        <f t="shared" si="235"/>
        <v>71.114999999999995</v>
      </c>
      <c r="K175" s="253">
        <f t="shared" si="235"/>
        <v>416.173</v>
      </c>
      <c r="L175" s="253">
        <f t="shared" si="235"/>
        <v>273.51600000000002</v>
      </c>
      <c r="M175" s="253">
        <f t="shared" si="235"/>
        <v>355.54599999999999</v>
      </c>
      <c r="N175" s="253">
        <f t="shared" si="235"/>
        <v>582.70000000000005</v>
      </c>
      <c r="O175" s="253">
        <f t="shared" si="235"/>
        <v>1581.1</v>
      </c>
      <c r="P175" s="253">
        <f t="shared" si="235"/>
        <v>2041.7</v>
      </c>
      <c r="Q175" s="253">
        <f t="shared" si="235"/>
        <v>1771.2</v>
      </c>
      <c r="R175" s="253">
        <f t="shared" si="235"/>
        <v>544</v>
      </c>
      <c r="S175" s="253">
        <f>+S32</f>
        <v>544</v>
      </c>
      <c r="T175" s="253">
        <f>+T32</f>
        <v>544</v>
      </c>
      <c r="U175" s="253">
        <f>+U32</f>
        <v>544</v>
      </c>
      <c r="V175" s="253">
        <f t="shared" ref="V175:AE175" si="236">+V32</f>
        <v>544</v>
      </c>
      <c r="W175" s="253">
        <f t="shared" si="236"/>
        <v>544</v>
      </c>
      <c r="X175" s="253">
        <f t="shared" si="236"/>
        <v>544</v>
      </c>
      <c r="Y175" s="253">
        <f t="shared" si="236"/>
        <v>544</v>
      </c>
      <c r="Z175" s="253">
        <f t="shared" si="236"/>
        <v>544</v>
      </c>
      <c r="AA175" s="253">
        <f t="shared" si="236"/>
        <v>544</v>
      </c>
      <c r="AB175" s="253">
        <f t="shared" si="236"/>
        <v>544</v>
      </c>
      <c r="AC175" s="253">
        <f t="shared" si="236"/>
        <v>544</v>
      </c>
      <c r="AD175" s="253">
        <f t="shared" si="236"/>
        <v>544</v>
      </c>
      <c r="AE175" s="253">
        <f t="shared" si="236"/>
        <v>544</v>
      </c>
      <c r="AH175"/>
      <c r="AI175"/>
      <c r="AJ175"/>
      <c r="AK175"/>
      <c r="AL175"/>
      <c r="AM175"/>
    </row>
    <row r="176" spans="2:39" s="206" customFormat="1" ht="12.75" customHeight="1" outlineLevel="1">
      <c r="B176" s="262" t="s">
        <v>603</v>
      </c>
      <c r="C176" s="276">
        <f t="shared" ref="C176:R176" si="237">+SUM(C173:C175)</f>
        <v>22.113999999999997</v>
      </c>
      <c r="D176" s="276">
        <f t="shared" si="237"/>
        <v>24.013999999999999</v>
      </c>
      <c r="E176" s="276">
        <f t="shared" si="237"/>
        <v>39.209000000000003</v>
      </c>
      <c r="F176" s="276">
        <f t="shared" si="237"/>
        <v>49.391000000000005</v>
      </c>
      <c r="G176" s="276">
        <f t="shared" si="237"/>
        <v>91.199999999999989</v>
      </c>
      <c r="H176" s="276">
        <f t="shared" si="237"/>
        <v>323.85499999999996</v>
      </c>
      <c r="I176" s="276">
        <f t="shared" si="237"/>
        <v>233.536</v>
      </c>
      <c r="J176" s="276">
        <f t="shared" si="237"/>
        <v>201.51099999999997</v>
      </c>
      <c r="K176" s="276">
        <f t="shared" si="237"/>
        <v>819.85199999999998</v>
      </c>
      <c r="L176" s="276">
        <f t="shared" si="237"/>
        <v>533.46500000000003</v>
      </c>
      <c r="M176" s="276">
        <f t="shared" si="237"/>
        <v>932.49399999999991</v>
      </c>
      <c r="N176" s="276">
        <f t="shared" si="237"/>
        <v>938.6</v>
      </c>
      <c r="O176" s="276">
        <f t="shared" si="237"/>
        <v>2055.1</v>
      </c>
      <c r="P176" s="276">
        <f t="shared" si="237"/>
        <v>2553.5</v>
      </c>
      <c r="Q176" s="276">
        <f t="shared" si="237"/>
        <v>2318.3000000000002</v>
      </c>
      <c r="R176" s="276">
        <f t="shared" si="237"/>
        <v>1149</v>
      </c>
      <c r="S176" s="276">
        <f>+SUM(S173:S175)</f>
        <v>1242.9750502328391</v>
      </c>
      <c r="T176" s="282">
        <f>+SUM(T173:T175)</f>
        <v>1342.3349779075511</v>
      </c>
      <c r="U176" s="282">
        <f>+SUM(U173:U175)</f>
        <v>1509.1190082522514</v>
      </c>
      <c r="V176" s="282">
        <f t="shared" ref="V176:AE176" si="238">+SUM(V173:V175)</f>
        <v>1742.2825439470603</v>
      </c>
      <c r="W176" s="282">
        <f t="shared" si="238"/>
        <v>1906.8316855196676</v>
      </c>
      <c r="X176" s="282">
        <f t="shared" si="238"/>
        <v>2016.9089961139734</v>
      </c>
      <c r="Y176" s="282">
        <f t="shared" si="238"/>
        <v>2139.8969051701101</v>
      </c>
      <c r="Z176" s="282">
        <f t="shared" si="238"/>
        <v>2001.1518101600579</v>
      </c>
      <c r="AA176" s="282">
        <f t="shared" si="238"/>
        <v>1824.4643637608601</v>
      </c>
      <c r="AB176" s="282">
        <f t="shared" si="238"/>
        <v>1796.1960519219433</v>
      </c>
      <c r="AC176" s="282">
        <f t="shared" si="238"/>
        <v>1827.0284457553305</v>
      </c>
      <c r="AD176" s="282">
        <f t="shared" si="238"/>
        <v>1867.5922365992958</v>
      </c>
      <c r="AE176" s="282">
        <f t="shared" si="238"/>
        <v>1733.7318465731003</v>
      </c>
      <c r="AH176"/>
      <c r="AI176"/>
      <c r="AJ176"/>
      <c r="AK176"/>
      <c r="AL176"/>
      <c r="AM176"/>
    </row>
    <row r="177" spans="2:39" s="206" customFormat="1" ht="12.75" customHeight="1" outlineLevel="1">
      <c r="B177" s="262" t="s">
        <v>604</v>
      </c>
      <c r="C177" s="276">
        <f t="shared" ref="C177:R177" si="239">+C172-C176</f>
        <v>43.991000000000007</v>
      </c>
      <c r="D177" s="276">
        <f t="shared" si="239"/>
        <v>122.045</v>
      </c>
      <c r="E177" s="276">
        <f t="shared" si="239"/>
        <v>315.46499999999997</v>
      </c>
      <c r="F177" s="276">
        <f t="shared" si="239"/>
        <v>354.58599999999996</v>
      </c>
      <c r="G177" s="276">
        <f t="shared" si="239"/>
        <v>558.01299999999992</v>
      </c>
      <c r="H177" s="276">
        <f t="shared" si="239"/>
        <v>513.58300000000008</v>
      </c>
      <c r="I177" s="276">
        <f t="shared" si="239"/>
        <v>1954.8360000000002</v>
      </c>
      <c r="J177" s="276">
        <f t="shared" si="239"/>
        <v>2119.7550000000001</v>
      </c>
      <c r="K177" s="276">
        <f t="shared" si="239"/>
        <v>6232.6019999999999</v>
      </c>
      <c r="L177" s="276">
        <f t="shared" si="239"/>
        <v>6622.8209999999999</v>
      </c>
      <c r="M177" s="276">
        <f t="shared" si="239"/>
        <v>6808.3740000000007</v>
      </c>
      <c r="N177" s="276">
        <f t="shared" si="239"/>
        <v>6727.2999999999993</v>
      </c>
      <c r="O177" s="276">
        <f t="shared" si="239"/>
        <v>7726.5999999999985</v>
      </c>
      <c r="P177" s="276">
        <f t="shared" si="239"/>
        <v>17948</v>
      </c>
      <c r="Q177" s="276">
        <f t="shared" si="239"/>
        <v>17797.599999999999</v>
      </c>
      <c r="R177" s="276">
        <f t="shared" si="239"/>
        <v>16950</v>
      </c>
      <c r="S177" s="282">
        <f>+S172-S176</f>
        <v>27112.616750662626</v>
      </c>
      <c r="T177" s="282">
        <f>+T172-T176</f>
        <v>27247.453148318753</v>
      </c>
      <c r="U177" s="282">
        <f>+U172-U176</f>
        <v>27588.515936275391</v>
      </c>
      <c r="V177" s="282">
        <f t="shared" ref="V177:AE177" si="240">+V172-V176</f>
        <v>28044.01842437471</v>
      </c>
      <c r="W177" s="282">
        <f t="shared" si="240"/>
        <v>28257.0756091855</v>
      </c>
      <c r="X177" s="282">
        <f t="shared" si="240"/>
        <v>28209.477939296961</v>
      </c>
      <c r="Y177" s="282">
        <f t="shared" si="240"/>
        <v>27980.280077657095</v>
      </c>
      <c r="Z177" s="282">
        <f t="shared" si="240"/>
        <v>26954.492129335726</v>
      </c>
      <c r="AA177" s="282">
        <f t="shared" si="240"/>
        <v>25301.61496387353</v>
      </c>
      <c r="AB177" s="282">
        <f t="shared" si="240"/>
        <v>24292.077596975105</v>
      </c>
      <c r="AC177" s="282">
        <f t="shared" si="240"/>
        <v>23587.344912291697</v>
      </c>
      <c r="AD177" s="282">
        <f t="shared" si="240"/>
        <v>22905.797007385459</v>
      </c>
      <c r="AE177" s="282">
        <f t="shared" si="240"/>
        <v>21709.801289754021</v>
      </c>
      <c r="AH177"/>
      <c r="AI177"/>
      <c r="AJ177"/>
      <c r="AK177"/>
      <c r="AL177"/>
      <c r="AM177"/>
    </row>
    <row r="178" spans="2:39" s="209" customFormat="1" ht="12.75" customHeight="1" outlineLevel="1">
      <c r="B178" s="272" t="s">
        <v>605</v>
      </c>
      <c r="C178" s="253"/>
      <c r="D178" s="253">
        <f t="shared" ref="D178:R178" si="241">D160/C177</f>
        <v>6.1711486440408265</v>
      </c>
      <c r="E178" s="253">
        <f t="shared" si="241"/>
        <v>3.0931377770494488</v>
      </c>
      <c r="F178" s="253">
        <f t="shared" si="241"/>
        <v>1.7020620354080487</v>
      </c>
      <c r="G178" s="253">
        <f t="shared" si="241"/>
        <v>2.5349929213223312</v>
      </c>
      <c r="H178" s="253">
        <f t="shared" si="241"/>
        <v>2.5193319868891941</v>
      </c>
      <c r="I178" s="253">
        <f t="shared" si="241"/>
        <v>4.3572645512020447</v>
      </c>
      <c r="J178" s="253">
        <f t="shared" si="241"/>
        <v>1.3695466013517246</v>
      </c>
      <c r="K178" s="253">
        <f t="shared" si="241"/>
        <v>1.6986415882967607</v>
      </c>
      <c r="L178" s="253">
        <f t="shared" si="241"/>
        <v>0.77233681855507552</v>
      </c>
      <c r="M178" s="253">
        <f>M160/L177</f>
        <v>0.8314754392425826</v>
      </c>
      <c r="N178" s="253">
        <f t="shared" si="241"/>
        <v>0.95044719928723076</v>
      </c>
      <c r="O178" s="253">
        <f t="shared" si="241"/>
        <v>1.1401899722028155</v>
      </c>
      <c r="P178" s="253">
        <f t="shared" si="241"/>
        <v>1.1979395853286052</v>
      </c>
      <c r="Q178" s="253">
        <f t="shared" si="241"/>
        <v>0.62565188321818588</v>
      </c>
      <c r="R178" s="253">
        <f t="shared" si="241"/>
        <v>0.73060412639906513</v>
      </c>
      <c r="S178" s="253">
        <f>S160/R177</f>
        <v>0.87161065527947679</v>
      </c>
      <c r="T178" s="253">
        <f>T160/S177</f>
        <v>0.61699651104765452</v>
      </c>
      <c r="U178" s="253">
        <f>U160/T177</f>
        <v>0.7064777839736569</v>
      </c>
      <c r="V178" s="253">
        <f t="shared" ref="V178:AB178" si="242">V160/U177</f>
        <v>0.80141155196418934</v>
      </c>
      <c r="W178" s="253">
        <f t="shared" si="242"/>
        <v>0.84414644892324353</v>
      </c>
      <c r="X178" s="253">
        <f t="shared" si="242"/>
        <v>0.84900534736701927</v>
      </c>
      <c r="Y178" s="253">
        <f t="shared" si="242"/>
        <v>0.83255940116847704</v>
      </c>
      <c r="Z178" s="253">
        <f t="shared" si="242"/>
        <v>0.68391405001598826</v>
      </c>
      <c r="AA178" s="253">
        <f t="shared" si="242"/>
        <v>0.45672794323942428</v>
      </c>
      <c r="AB178" s="253">
        <f t="shared" si="242"/>
        <v>0.39152886980584789</v>
      </c>
      <c r="AC178" s="253">
        <f>AC160/AB177</f>
        <v>0.39319846617740856</v>
      </c>
      <c r="AD178" s="253">
        <f>AD160/AC177</f>
        <v>0.40203757568119364</v>
      </c>
      <c r="AE178" s="253">
        <f>AE160/AD177</f>
        <v>0.31694990813970986</v>
      </c>
      <c r="AH178"/>
      <c r="AI178"/>
      <c r="AJ178"/>
      <c r="AK178"/>
      <c r="AL178"/>
      <c r="AM178"/>
    </row>
    <row r="179" spans="2:39" ht="12.75" customHeight="1">
      <c r="B179" s="285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86"/>
      <c r="R179" s="286"/>
      <c r="S179" s="287"/>
    </row>
    <row r="180" spans="2:39" ht="12.75" customHeight="1">
      <c r="B180" s="285"/>
      <c r="C180" s="265"/>
      <c r="D180" s="265"/>
      <c r="E180" s="265"/>
      <c r="F180" s="265"/>
      <c r="G180" s="265"/>
      <c r="H180" s="265"/>
      <c r="I180" s="265"/>
      <c r="J180" s="265"/>
      <c r="K180" s="265"/>
      <c r="L180" s="265"/>
      <c r="M180" s="265"/>
      <c r="N180" s="265"/>
      <c r="O180" s="265"/>
      <c r="P180" s="265"/>
      <c r="Q180" s="265"/>
      <c r="R180" s="265"/>
      <c r="S180" s="287"/>
    </row>
    <row r="181" spans="2:39" ht="12.75" customHeight="1">
      <c r="B181" s="285"/>
      <c r="C181" s="265"/>
      <c r="D181" s="265"/>
      <c r="E181" s="265"/>
      <c r="F181" s="265"/>
      <c r="G181" s="265"/>
      <c r="H181" s="265"/>
      <c r="I181" s="265"/>
      <c r="J181" s="265"/>
      <c r="K181" s="265"/>
      <c r="L181" s="265"/>
      <c r="M181" s="265"/>
      <c r="N181" s="265"/>
      <c r="O181" s="265"/>
      <c r="P181" s="265"/>
      <c r="Q181" s="265"/>
      <c r="R181" s="265"/>
      <c r="S181" s="287"/>
    </row>
    <row r="182" spans="2:39" customFormat="1" ht="12.75" customHeight="1"/>
    <row r="183" spans="2:39" ht="12.75" customHeight="1">
      <c r="B183" s="285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7"/>
    </row>
    <row r="184" spans="2:39" ht="12.75" customHeight="1">
      <c r="M184" s="209"/>
    </row>
    <row r="185" spans="2:39" ht="12.75" customHeight="1">
      <c r="B185" s="242"/>
      <c r="C185" s="290"/>
      <c r="D185" s="291"/>
      <c r="E185" s="290"/>
      <c r="F185" s="290"/>
      <c r="G185" s="290"/>
      <c r="H185" s="290"/>
      <c r="I185" s="290"/>
      <c r="J185" s="290"/>
      <c r="K185" s="290"/>
      <c r="L185" s="290"/>
      <c r="M185" s="290"/>
      <c r="N185" s="290"/>
      <c r="O185" s="290"/>
      <c r="P185" s="290"/>
      <c r="Q185" s="290"/>
      <c r="R185" s="290"/>
    </row>
    <row r="186" spans="2:39" s="209" customFormat="1" ht="12.75" customHeight="1">
      <c r="C186" s="292"/>
      <c r="D186" s="292"/>
      <c r="E186" s="292"/>
      <c r="F186" s="292"/>
      <c r="G186" s="292"/>
      <c r="H186" s="292"/>
      <c r="I186" s="292"/>
      <c r="J186" s="292"/>
      <c r="K186" s="292"/>
      <c r="L186" s="292"/>
      <c r="M186" s="292"/>
      <c r="N186" s="292"/>
      <c r="O186" s="292"/>
      <c r="P186" s="292"/>
      <c r="Q186" s="292"/>
      <c r="R186" s="292"/>
      <c r="AH186"/>
      <c r="AI186"/>
      <c r="AJ186"/>
      <c r="AK186"/>
      <c r="AL186"/>
      <c r="AM186"/>
    </row>
    <row r="187" spans="2:39" s="247" customFormat="1" ht="12.75" customHeight="1">
      <c r="B187" s="274"/>
      <c r="C187" s="293"/>
      <c r="D187" s="293"/>
      <c r="E187" s="293"/>
      <c r="F187" s="293"/>
      <c r="G187" s="293"/>
      <c r="H187" s="293"/>
      <c r="I187" s="293"/>
      <c r="J187" s="293"/>
      <c r="K187" s="293"/>
      <c r="L187" s="293"/>
      <c r="M187" s="293"/>
      <c r="N187" s="293"/>
      <c r="O187" s="293"/>
      <c r="P187" s="293"/>
      <c r="Q187" s="293"/>
      <c r="R187" s="293"/>
      <c r="S187" s="274"/>
      <c r="AH187"/>
      <c r="AI187"/>
      <c r="AJ187"/>
      <c r="AK187"/>
      <c r="AL187"/>
      <c r="AM187"/>
    </row>
    <row r="188" spans="2:39" s="209" customFormat="1" ht="12.75" customHeight="1">
      <c r="C188" s="292"/>
      <c r="D188" s="292"/>
      <c r="E188" s="292"/>
      <c r="F188" s="292"/>
      <c r="G188" s="292"/>
      <c r="H188" s="292"/>
      <c r="I188" s="292"/>
      <c r="J188" s="292"/>
      <c r="K188" s="292"/>
      <c r="L188" s="292"/>
      <c r="M188" s="292"/>
      <c r="N188" s="292"/>
      <c r="O188" s="292"/>
      <c r="P188" s="292"/>
      <c r="Q188" s="292"/>
      <c r="R188" s="292"/>
      <c r="AH188"/>
      <c r="AI188"/>
      <c r="AJ188"/>
      <c r="AK188"/>
      <c r="AL188"/>
      <c r="AM188"/>
    </row>
    <row r="189" spans="2:39" s="209" customFormat="1" ht="12.75" customHeight="1">
      <c r="C189" s="292"/>
      <c r="D189" s="292"/>
      <c r="E189" s="292"/>
      <c r="F189" s="292"/>
      <c r="G189" s="292"/>
      <c r="H189" s="292"/>
      <c r="I189" s="292"/>
      <c r="J189" s="292"/>
      <c r="K189" s="292"/>
      <c r="L189" s="292"/>
      <c r="M189" s="292"/>
      <c r="N189" s="292"/>
      <c r="O189" s="292"/>
      <c r="P189" s="292"/>
      <c r="Q189" s="292"/>
      <c r="R189" s="292"/>
      <c r="AH189"/>
      <c r="AI189"/>
      <c r="AJ189"/>
      <c r="AK189"/>
      <c r="AL189"/>
      <c r="AM189"/>
    </row>
    <row r="190" spans="2:39" s="209" customFormat="1" ht="12.75" customHeight="1">
      <c r="C190" s="292"/>
      <c r="D190" s="292"/>
      <c r="E190" s="292"/>
      <c r="F190" s="292"/>
      <c r="G190" s="292"/>
      <c r="H190" s="292"/>
      <c r="I190" s="292"/>
      <c r="J190" s="292"/>
      <c r="K190" s="292"/>
      <c r="L190" s="292"/>
      <c r="M190" s="292"/>
      <c r="N190" s="292"/>
      <c r="O190" s="292"/>
      <c r="P190" s="292"/>
      <c r="Q190" s="292"/>
      <c r="R190" s="292"/>
      <c r="AH190"/>
      <c r="AI190"/>
      <c r="AJ190"/>
      <c r="AK190"/>
      <c r="AL190"/>
      <c r="AM190"/>
    </row>
    <row r="191" spans="2:39" s="247" customFormat="1" ht="12.75" customHeight="1">
      <c r="B191" s="274"/>
      <c r="C191" s="293"/>
      <c r="D191" s="293"/>
      <c r="E191" s="293"/>
      <c r="F191" s="293"/>
      <c r="G191" s="293"/>
      <c r="H191" s="293"/>
      <c r="I191" s="293"/>
      <c r="J191" s="293"/>
      <c r="K191" s="293"/>
      <c r="L191" s="293"/>
      <c r="M191" s="293"/>
      <c r="N191" s="293"/>
      <c r="O191" s="293"/>
      <c r="P191" s="293"/>
      <c r="Q191" s="293"/>
      <c r="R191" s="293"/>
      <c r="S191" s="274"/>
      <c r="AH191"/>
      <c r="AI191"/>
      <c r="AJ191"/>
      <c r="AK191"/>
      <c r="AL191"/>
      <c r="AM191"/>
    </row>
    <row r="192" spans="2:39" s="209" customFormat="1" ht="12.75" customHeight="1">
      <c r="C192" s="292"/>
      <c r="D192" s="292"/>
      <c r="E192" s="292"/>
      <c r="F192" s="292"/>
      <c r="G192" s="292"/>
      <c r="H192" s="292"/>
      <c r="I192" s="292"/>
      <c r="J192" s="292"/>
      <c r="K192" s="292"/>
      <c r="L192" s="292"/>
      <c r="M192" s="292"/>
      <c r="N192" s="292"/>
      <c r="O192" s="292"/>
      <c r="P192" s="292"/>
      <c r="Q192" s="292"/>
      <c r="R192" s="292"/>
      <c r="AH192"/>
      <c r="AI192"/>
      <c r="AJ192"/>
      <c r="AK192"/>
      <c r="AL192"/>
      <c r="AM192"/>
    </row>
    <row r="193" spans="2:39" ht="12.75" customHeight="1">
      <c r="B193" s="294"/>
      <c r="C193" s="291"/>
      <c r="D193" s="291"/>
      <c r="E193" s="291"/>
      <c r="F193" s="291"/>
      <c r="G193" s="291"/>
      <c r="H193" s="291"/>
      <c r="I193" s="291"/>
      <c r="J193" s="291"/>
      <c r="K193" s="295"/>
      <c r="L193" s="291"/>
      <c r="M193" s="291"/>
      <c r="N193" s="291"/>
      <c r="O193" s="291"/>
      <c r="P193" s="291"/>
      <c r="Q193" s="291"/>
      <c r="R193" s="191"/>
    </row>
    <row r="194" spans="2:39" s="209" customFormat="1" ht="12.75" customHeight="1">
      <c r="C194" s="292"/>
      <c r="D194" s="292"/>
      <c r="E194" s="292"/>
      <c r="F194" s="292"/>
      <c r="G194" s="292"/>
      <c r="H194" s="292"/>
      <c r="I194" s="292"/>
      <c r="J194" s="292"/>
      <c r="K194" s="292"/>
      <c r="L194" s="292"/>
      <c r="M194" s="292"/>
      <c r="N194" s="292"/>
      <c r="O194" s="292"/>
      <c r="P194" s="292"/>
      <c r="Q194" s="292"/>
      <c r="R194" s="292"/>
      <c r="AH194"/>
      <c r="AI194"/>
      <c r="AJ194"/>
      <c r="AK194"/>
      <c r="AL194"/>
      <c r="AM194"/>
    </row>
    <row r="195" spans="2:39" s="247" customFormat="1" ht="12.75" customHeight="1">
      <c r="B195" s="274"/>
      <c r="C195" s="293"/>
      <c r="D195" s="293"/>
      <c r="E195" s="293"/>
      <c r="F195" s="293"/>
      <c r="G195" s="293"/>
      <c r="H195" s="293"/>
      <c r="I195" s="293"/>
      <c r="J195" s="293"/>
      <c r="K195" s="293"/>
      <c r="L195" s="293"/>
      <c r="M195" s="293"/>
      <c r="N195" s="293"/>
      <c r="O195" s="293"/>
      <c r="P195" s="293"/>
      <c r="Q195" s="293"/>
      <c r="R195" s="293"/>
      <c r="S195" s="274"/>
      <c r="AH195"/>
      <c r="AI195"/>
      <c r="AJ195"/>
      <c r="AK195"/>
      <c r="AL195"/>
      <c r="AM195"/>
    </row>
    <row r="196" spans="2:39" s="209" customFormat="1" ht="12.75" customHeight="1">
      <c r="C196" s="292"/>
      <c r="D196" s="292"/>
      <c r="E196" s="292"/>
      <c r="F196" s="292"/>
      <c r="G196" s="292"/>
      <c r="H196" s="292"/>
      <c r="I196" s="292"/>
      <c r="J196" s="292"/>
      <c r="K196" s="292"/>
      <c r="L196" s="292"/>
      <c r="M196" s="292"/>
      <c r="N196" s="292"/>
      <c r="O196" s="292"/>
      <c r="P196" s="292"/>
      <c r="Q196" s="292"/>
      <c r="R196" s="292"/>
      <c r="AH196"/>
      <c r="AI196"/>
      <c r="AJ196"/>
      <c r="AK196"/>
      <c r="AL196"/>
      <c r="AM196"/>
    </row>
    <row r="197" spans="2:39" s="209" customFormat="1" ht="12.75" customHeight="1">
      <c r="C197" s="292"/>
      <c r="D197" s="292"/>
      <c r="E197" s="292"/>
      <c r="F197" s="292"/>
      <c r="G197" s="292"/>
      <c r="H197" s="292"/>
      <c r="I197" s="292"/>
      <c r="J197" s="292"/>
      <c r="K197" s="292"/>
      <c r="L197" s="292"/>
      <c r="M197" s="292"/>
      <c r="N197" s="292"/>
      <c r="O197" s="292"/>
      <c r="P197" s="292"/>
      <c r="Q197" s="292"/>
      <c r="R197" s="292"/>
      <c r="AH197"/>
      <c r="AI197"/>
      <c r="AJ197"/>
      <c r="AK197"/>
      <c r="AL197"/>
      <c r="AM197"/>
    </row>
    <row r="198" spans="2:39" s="209" customFormat="1" ht="12.75" customHeight="1">
      <c r="C198" s="292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AH198"/>
      <c r="AI198"/>
      <c r="AJ198"/>
      <c r="AK198"/>
      <c r="AL198"/>
      <c r="AM198"/>
    </row>
    <row r="199" spans="2:39" s="247" customFormat="1" ht="12.75" customHeight="1">
      <c r="B199" s="274"/>
      <c r="C199" s="293"/>
      <c r="D199" s="293"/>
      <c r="E199" s="293"/>
      <c r="F199" s="293"/>
      <c r="G199" s="293"/>
      <c r="H199" s="293"/>
      <c r="I199" s="293"/>
      <c r="J199" s="293"/>
      <c r="K199" s="293"/>
      <c r="L199" s="293"/>
      <c r="M199" s="293"/>
      <c r="N199" s="293"/>
      <c r="O199" s="293"/>
      <c r="P199" s="293"/>
      <c r="Q199" s="293"/>
      <c r="R199" s="293"/>
      <c r="S199" s="274"/>
      <c r="AH199"/>
      <c r="AI199"/>
      <c r="AJ199"/>
      <c r="AK199"/>
      <c r="AL199"/>
      <c r="AM199"/>
    </row>
    <row r="200" spans="2:39" s="209" customFormat="1" ht="12.75" customHeight="1">
      <c r="C200" s="292"/>
      <c r="D200" s="292"/>
      <c r="E200" s="292"/>
      <c r="F200" s="292"/>
      <c r="G200" s="292"/>
      <c r="H200" s="292"/>
      <c r="I200" s="292"/>
      <c r="J200" s="292"/>
      <c r="K200" s="292"/>
      <c r="L200" s="292"/>
      <c r="M200" s="292"/>
      <c r="N200" s="292"/>
      <c r="O200" s="292"/>
      <c r="P200" s="292"/>
      <c r="Q200" s="292"/>
      <c r="R200" s="292"/>
      <c r="AH200"/>
      <c r="AI200"/>
      <c r="AJ200"/>
      <c r="AK200"/>
      <c r="AL200"/>
      <c r="AM200"/>
    </row>
    <row r="201" spans="2:39" ht="12.75" customHeight="1">
      <c r="B201" s="294"/>
      <c r="C201" s="291"/>
      <c r="D201" s="291"/>
      <c r="E201" s="291"/>
      <c r="F201" s="291"/>
      <c r="G201" s="291"/>
      <c r="H201" s="291"/>
      <c r="I201" s="291"/>
      <c r="J201" s="291"/>
      <c r="K201" s="295"/>
      <c r="L201" s="291"/>
      <c r="M201" s="291"/>
      <c r="N201" s="291"/>
      <c r="O201" s="291"/>
      <c r="P201" s="291"/>
      <c r="Q201" s="291"/>
      <c r="R201" s="291"/>
    </row>
    <row r="202" spans="2:39" s="209" customFormat="1" ht="12.75" customHeight="1">
      <c r="C202" s="292"/>
      <c r="D202" s="292"/>
      <c r="E202" s="292"/>
      <c r="F202" s="292"/>
      <c r="G202" s="292"/>
      <c r="H202" s="292"/>
      <c r="I202" s="292"/>
      <c r="J202" s="292"/>
      <c r="K202" s="292"/>
      <c r="L202" s="292"/>
      <c r="M202" s="292"/>
      <c r="N202" s="292"/>
      <c r="O202" s="292"/>
      <c r="P202" s="292"/>
      <c r="Q202" s="292"/>
      <c r="R202" s="292"/>
      <c r="AH202"/>
      <c r="AI202"/>
      <c r="AJ202"/>
      <c r="AK202"/>
      <c r="AL202"/>
      <c r="AM202"/>
    </row>
    <row r="203" spans="2:39" s="247" customFormat="1" ht="12.75" customHeight="1">
      <c r="B203" s="274"/>
      <c r="C203" s="293"/>
      <c r="D203" s="293"/>
      <c r="E203" s="293"/>
      <c r="F203" s="293"/>
      <c r="G203" s="293"/>
      <c r="H203" s="293"/>
      <c r="I203" s="293"/>
      <c r="J203" s="293"/>
      <c r="K203" s="293"/>
      <c r="L203" s="293"/>
      <c r="M203" s="293"/>
      <c r="N203" s="293"/>
      <c r="O203" s="293"/>
      <c r="P203" s="293"/>
      <c r="Q203" s="293"/>
      <c r="R203" s="293"/>
      <c r="S203" s="274"/>
      <c r="AH203"/>
      <c r="AI203"/>
      <c r="AJ203"/>
      <c r="AK203"/>
      <c r="AL203"/>
      <c r="AM203"/>
    </row>
    <row r="204" spans="2:39" s="209" customFormat="1" ht="12.75" customHeight="1">
      <c r="C204" s="292"/>
      <c r="D204" s="292"/>
      <c r="E204" s="292"/>
      <c r="F204" s="292"/>
      <c r="G204" s="292"/>
      <c r="H204" s="292"/>
      <c r="I204" s="292"/>
      <c r="J204" s="292"/>
      <c r="K204" s="292"/>
      <c r="L204" s="292"/>
      <c r="M204" s="292"/>
      <c r="N204" s="292"/>
      <c r="O204" s="292"/>
      <c r="P204" s="292"/>
      <c r="Q204" s="292"/>
      <c r="R204" s="292"/>
      <c r="AH204"/>
      <c r="AI204"/>
      <c r="AJ204"/>
      <c r="AK204"/>
      <c r="AL204"/>
      <c r="AM204"/>
    </row>
    <row r="205" spans="2:39" s="209" customFormat="1" ht="12.75" customHeight="1">
      <c r="C205" s="292"/>
      <c r="D205" s="292"/>
      <c r="E205" s="292"/>
      <c r="F205" s="292"/>
      <c r="G205" s="292"/>
      <c r="H205" s="292"/>
      <c r="I205" s="292"/>
      <c r="J205" s="292"/>
      <c r="K205" s="292"/>
      <c r="L205" s="292"/>
      <c r="M205" s="292"/>
      <c r="N205" s="292"/>
      <c r="O205" s="292"/>
      <c r="P205" s="292"/>
      <c r="Q205" s="292"/>
      <c r="R205" s="292"/>
      <c r="AH205"/>
      <c r="AI205"/>
      <c r="AJ205"/>
      <c r="AK205"/>
      <c r="AL205"/>
      <c r="AM205"/>
    </row>
    <row r="206" spans="2:39" s="206" customFormat="1" ht="12.75" customHeight="1">
      <c r="C206" s="296"/>
      <c r="D206" s="296"/>
      <c r="E206" s="296"/>
      <c r="F206" s="296"/>
      <c r="G206" s="296"/>
      <c r="H206" s="296"/>
      <c r="I206" s="296"/>
      <c r="J206" s="296"/>
      <c r="K206" s="296"/>
      <c r="L206" s="296"/>
      <c r="M206" s="296"/>
      <c r="N206" s="296"/>
      <c r="O206" s="296"/>
      <c r="P206" s="296"/>
      <c r="Q206" s="296"/>
      <c r="R206" s="296"/>
      <c r="AH206"/>
      <c r="AI206"/>
      <c r="AJ206"/>
      <c r="AK206"/>
      <c r="AL206"/>
      <c r="AM206"/>
    </row>
    <row r="207" spans="2:39" s="209" customFormat="1" ht="12.75" customHeight="1">
      <c r="C207" s="292"/>
      <c r="D207" s="292"/>
      <c r="E207" s="292"/>
      <c r="F207" s="292"/>
      <c r="G207" s="292"/>
      <c r="H207" s="292"/>
      <c r="I207" s="292"/>
      <c r="J207" s="292"/>
      <c r="K207" s="292"/>
      <c r="L207" s="297"/>
      <c r="M207" s="292"/>
      <c r="N207" s="292"/>
      <c r="O207" s="292"/>
      <c r="P207" s="292"/>
      <c r="Q207" s="292"/>
      <c r="R207" s="292"/>
      <c r="AH207"/>
      <c r="AI207"/>
      <c r="AJ207"/>
      <c r="AK207"/>
      <c r="AL207"/>
      <c r="AM207"/>
    </row>
    <row r="208" spans="2:39" s="209" customFormat="1" ht="12.75" customHeight="1">
      <c r="C208" s="292"/>
      <c r="D208" s="292"/>
      <c r="E208" s="292"/>
      <c r="F208" s="292"/>
      <c r="G208" s="292"/>
      <c r="H208" s="292"/>
      <c r="I208" s="292"/>
      <c r="J208" s="292"/>
      <c r="K208" s="292"/>
      <c r="L208" s="292"/>
      <c r="M208" s="292"/>
      <c r="N208" s="292"/>
      <c r="O208" s="292"/>
      <c r="P208" s="292"/>
      <c r="Q208" s="292"/>
      <c r="R208" s="292"/>
      <c r="AH208"/>
      <c r="AI208"/>
      <c r="AJ208"/>
      <c r="AK208"/>
      <c r="AL208"/>
      <c r="AM208"/>
    </row>
    <row r="209" spans="3:39" s="209" customFormat="1" ht="12.75" customHeight="1">
      <c r="C209" s="292"/>
      <c r="D209" s="292"/>
      <c r="E209" s="292"/>
      <c r="F209" s="292"/>
      <c r="G209" s="292"/>
      <c r="H209" s="292"/>
      <c r="I209" s="292"/>
      <c r="J209" s="292"/>
      <c r="K209" s="298"/>
      <c r="L209" s="298"/>
      <c r="M209" s="298"/>
      <c r="N209" s="298"/>
      <c r="O209" s="298"/>
      <c r="P209" s="298"/>
      <c r="Q209" s="298"/>
      <c r="R209" s="298"/>
      <c r="AH209"/>
      <c r="AI209"/>
      <c r="AJ209"/>
      <c r="AK209"/>
      <c r="AL209"/>
      <c r="AM209"/>
    </row>
    <row r="210" spans="3:39" ht="12.75" customHeight="1">
      <c r="L210" s="299"/>
      <c r="M210" s="209"/>
      <c r="N210" s="209"/>
    </row>
    <row r="211" spans="3:39" ht="12.75" customHeight="1">
      <c r="M211" s="300"/>
      <c r="N211" s="300"/>
    </row>
    <row r="215" spans="3:39" ht="12.75" customHeight="1">
      <c r="L215" s="286"/>
      <c r="M215" s="286"/>
    </row>
    <row r="216" spans="3:39" ht="12.75" customHeight="1">
      <c r="L216" s="292"/>
      <c r="M216" s="292"/>
    </row>
    <row r="217" spans="3:39" ht="12.75" customHeight="1">
      <c r="L217" s="292"/>
      <c r="M217" s="292"/>
    </row>
    <row r="218" spans="3:39" ht="12.75" customHeight="1">
      <c r="L218" s="209"/>
      <c r="M218" s="209"/>
    </row>
    <row r="219" spans="3:39" ht="12.75" customHeight="1">
      <c r="L219" s="209"/>
      <c r="M219" s="209"/>
    </row>
    <row r="220" spans="3:39" ht="12.75" customHeight="1">
      <c r="L220" s="209"/>
      <c r="M220" s="209"/>
    </row>
  </sheetData>
  <phoneticPr fontId="52" type="noConversion"/>
  <pageMargins left="0" right="0" top="0" bottom="0" header="0" footer="0"/>
  <pageSetup paperSize="5" scale="26" orientation="landscape" r:id="rId1"/>
  <ignoredErrors>
    <ignoredError sqref="T31:AE31 S31 S75:AB75 AC71:AE75 S71:AB71 S72:AB72 S73:AB73 S74:AB74" formula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O118"/>
  <sheetViews>
    <sheetView showGridLines="0" zoomScale="85" zoomScaleNormal="85" workbookViewId="0">
      <pane xSplit="2" ySplit="1" topLeftCell="M11" activePane="bottomRight" state="frozen"/>
      <selection activeCell="AB62" sqref="AB62"/>
      <selection pane="topRight" activeCell="AB62" sqref="AB62"/>
      <selection pane="bottomLeft" activeCell="AB62" sqref="AB62"/>
      <selection pane="bottomRight" activeCell="B1" sqref="B1:Z55"/>
    </sheetView>
  </sheetViews>
  <sheetFormatPr defaultRowHeight="12.75" customHeight="1" outlineLevelRow="2" outlineLevelCol="1"/>
  <cols>
    <col min="1" max="1" width="2" style="660" customWidth="1"/>
    <col min="2" max="2" width="61.140625" style="183" customWidth="1"/>
    <col min="3" max="3" width="9.140625" style="183" hidden="1" customWidth="1" outlineLevel="1"/>
    <col min="4" max="4" width="10.28515625" style="183" hidden="1" customWidth="1" outlineLevel="1" collapsed="1"/>
    <col min="5" max="5" width="9.140625" style="183" hidden="1" customWidth="1" outlineLevel="1"/>
    <col min="6" max="6" width="9.5703125" style="183" hidden="1" customWidth="1" outlineLevel="1" collapsed="1"/>
    <col min="7" max="7" width="11" style="183" hidden="1" customWidth="1" outlineLevel="1"/>
    <col min="8" max="8" width="10.28515625" style="183" hidden="1" customWidth="1" outlineLevel="1"/>
    <col min="9" max="9" width="11" style="183" hidden="1" customWidth="1" outlineLevel="1"/>
    <col min="10" max="10" width="8.28515625" style="183" customWidth="1" collapsed="1"/>
    <col min="11" max="13" width="9.5703125" style="183" customWidth="1"/>
    <col min="14" max="14" width="9.140625" style="183" customWidth="1"/>
    <col min="15" max="15" width="8.7109375" style="183" customWidth="1"/>
    <col min="16" max="16" width="9.5703125" style="183" customWidth="1"/>
    <col min="17" max="17" width="10" style="183" customWidth="1"/>
    <col min="18" max="20" width="9.5703125" style="183" customWidth="1"/>
    <col min="21" max="21" width="10" style="183" customWidth="1"/>
    <col min="22" max="22" width="9.140625" style="183"/>
    <col min="23" max="23" width="9.85546875" style="183" bestFit="1" customWidth="1"/>
    <col min="24" max="28" width="9.7109375" style="183" bestFit="1" customWidth="1"/>
    <col min="29" max="31" width="9.7109375" style="183" customWidth="1"/>
    <col min="32" max="35" width="9.140625" style="183"/>
    <col min="36" max="36" width="24.5703125" customWidth="1"/>
    <col min="38" max="38" width="13.42578125" customWidth="1"/>
    <col min="42" max="16384" width="9.140625" style="183"/>
  </cols>
  <sheetData>
    <row r="1" spans="1:41" ht="12.75" customHeight="1">
      <c r="A1" s="301"/>
      <c r="B1" s="301"/>
      <c r="C1" s="302" t="s">
        <v>133</v>
      </c>
      <c r="D1" s="302" t="s">
        <v>134</v>
      </c>
      <c r="E1" s="302" t="s">
        <v>116</v>
      </c>
      <c r="F1" s="302" t="s">
        <v>117</v>
      </c>
      <c r="G1" s="302" t="s">
        <v>118</v>
      </c>
      <c r="H1" s="302" t="s">
        <v>135</v>
      </c>
      <c r="I1" s="302" t="s">
        <v>136</v>
      </c>
      <c r="J1" s="302" t="s">
        <v>137</v>
      </c>
      <c r="K1" s="302" t="s">
        <v>131</v>
      </c>
      <c r="L1" s="302" t="s">
        <v>187</v>
      </c>
      <c r="M1" s="302" t="s">
        <v>30</v>
      </c>
      <c r="N1" s="302" t="s">
        <v>741</v>
      </c>
      <c r="O1" s="302" t="s">
        <v>920</v>
      </c>
      <c r="P1" s="302" t="s">
        <v>1010</v>
      </c>
      <c r="Q1" s="302" t="s">
        <v>1016</v>
      </c>
      <c r="R1" s="302" t="s">
        <v>1054</v>
      </c>
      <c r="S1" s="302" t="s">
        <v>119</v>
      </c>
      <c r="T1" s="302" t="s">
        <v>120</v>
      </c>
      <c r="U1" s="302" t="s">
        <v>121</v>
      </c>
      <c r="V1" s="302" t="s">
        <v>820</v>
      </c>
      <c r="W1" s="302" t="s">
        <v>817</v>
      </c>
      <c r="X1" s="302" t="s">
        <v>818</v>
      </c>
      <c r="Y1" s="302" t="s">
        <v>819</v>
      </c>
      <c r="Z1" s="302" t="s">
        <v>821</v>
      </c>
      <c r="AA1" s="302" t="s">
        <v>822</v>
      </c>
      <c r="AB1" s="302" t="s">
        <v>823</v>
      </c>
      <c r="AC1" s="302" t="s">
        <v>889</v>
      </c>
      <c r="AD1" s="302" t="s">
        <v>890</v>
      </c>
      <c r="AE1" s="302" t="s">
        <v>891</v>
      </c>
    </row>
    <row r="2" spans="1:41" ht="12.75" customHeight="1">
      <c r="A2" s="653"/>
      <c r="B2" s="651" t="s">
        <v>701</v>
      </c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958"/>
      <c r="W2" s="958"/>
      <c r="X2" s="958"/>
      <c r="Y2" s="958"/>
      <c r="Z2" s="958"/>
      <c r="AA2" s="958"/>
      <c r="AB2" s="958"/>
      <c r="AC2" s="958"/>
      <c r="AD2" s="958"/>
      <c r="AE2" s="958"/>
    </row>
    <row r="3" spans="1:41" s="206" customFormat="1" ht="12.75" customHeight="1" outlineLevel="1">
      <c r="A3" s="654"/>
      <c r="B3" s="667" t="s">
        <v>767</v>
      </c>
      <c r="C3" s="304">
        <v>-101</v>
      </c>
      <c r="D3" s="304">
        <v>24.943000000000001</v>
      </c>
      <c r="E3" s="304">
        <v>52.756</v>
      </c>
      <c r="F3" s="304">
        <v>63.655999999999999</v>
      </c>
      <c r="G3" s="304">
        <v>68.980999999999995</v>
      </c>
      <c r="H3" s="304">
        <v>226.43299999999999</v>
      </c>
      <c r="I3" s="305">
        <v>-1533.653</v>
      </c>
      <c r="J3" s="650">
        <v>776.74699999999996</v>
      </c>
      <c r="K3" s="650">
        <v>880.19200000000001</v>
      </c>
      <c r="L3" s="650">
        <v>1317.4559999999999</v>
      </c>
      <c r="M3" s="650">
        <v>1456.18</v>
      </c>
      <c r="N3" s="650">
        <v>1449.9</v>
      </c>
      <c r="O3" s="650">
        <v>1999.9</v>
      </c>
      <c r="P3" s="650">
        <v>1602</v>
      </c>
      <c r="Q3" s="650">
        <v>1999.2</v>
      </c>
      <c r="R3" s="650">
        <v>2940</v>
      </c>
      <c r="S3" s="649">
        <f>IS!CF82</f>
        <v>5151.0346110386508</v>
      </c>
      <c r="T3" s="649">
        <f>IS!CK82</f>
        <v>6277.6225409662338</v>
      </c>
      <c r="U3" s="649">
        <f>IS!CP82</f>
        <v>7609.51204775323</v>
      </c>
      <c r="V3" s="649">
        <f>IS!CU82</f>
        <v>9047.0638042244627</v>
      </c>
      <c r="W3" s="649">
        <f>IS!CZ82</f>
        <v>9874.6759445377011</v>
      </c>
      <c r="X3" s="649">
        <f>IS!DE82</f>
        <v>10085.38686522193</v>
      </c>
      <c r="Y3" s="649">
        <f>IS!DJ82</f>
        <v>9781.5149379478171</v>
      </c>
      <c r="Z3" s="649">
        <f>IS!DO82</f>
        <v>7793.6723469957305</v>
      </c>
      <c r="AA3" s="649">
        <f>IS!DT82</f>
        <v>4193.627303807848</v>
      </c>
      <c r="AB3" s="649">
        <f>IS!DY82</f>
        <v>2865.0591653364449</v>
      </c>
      <c r="AC3" s="649">
        <f>IS!ED82</f>
        <v>2625.9646338001326</v>
      </c>
      <c r="AD3" s="649">
        <f>IS!EI82</f>
        <v>3440.0324355258217</v>
      </c>
      <c r="AE3" s="649">
        <f>IS!EN82</f>
        <v>2337.0034040179958</v>
      </c>
      <c r="AJ3"/>
      <c r="AK3"/>
      <c r="AL3"/>
      <c r="AM3"/>
      <c r="AN3"/>
      <c r="AO3"/>
    </row>
    <row r="4" spans="1:41" s="209" customFormat="1" ht="12.75" customHeight="1" outlineLevel="2">
      <c r="A4" s="655"/>
      <c r="B4" s="235" t="s">
        <v>620</v>
      </c>
      <c r="C4" s="192">
        <v>5.1820000000000004</v>
      </c>
      <c r="D4" s="192">
        <v>8.0269999999999992</v>
      </c>
      <c r="E4" s="192">
        <f>(9690)/1000</f>
        <v>9.69</v>
      </c>
      <c r="F4" s="192">
        <f>(14286)/1000</f>
        <v>14.286</v>
      </c>
      <c r="G4" s="192">
        <f>25.714-G5</f>
        <v>16.678999999999998</v>
      </c>
      <c r="H4" s="192">
        <v>22.056999999999999</v>
      </c>
      <c r="I4" s="192">
        <v>33.796999999999997</v>
      </c>
      <c r="J4" s="650">
        <f>(41682)/1000</f>
        <v>41.682000000000002</v>
      </c>
      <c r="K4" s="650">
        <v>54.234000000000002</v>
      </c>
      <c r="L4" s="650">
        <v>71.153000000000006</v>
      </c>
      <c r="M4" s="650">
        <v>84.873999999999995</v>
      </c>
      <c r="N4" s="650">
        <v>96.9</v>
      </c>
      <c r="O4" s="650">
        <v>104.3</v>
      </c>
      <c r="P4" s="650">
        <v>114.9</v>
      </c>
      <c r="Q4" s="650">
        <v>121.1</v>
      </c>
      <c r="R4" s="650">
        <v>134</v>
      </c>
      <c r="S4" s="649">
        <f>BS!S141</f>
        <v>222.87691710324847</v>
      </c>
      <c r="T4" s="649">
        <f>BS!T141</f>
        <v>258.6743089120522</v>
      </c>
      <c r="U4" s="649">
        <f>BS!U141</f>
        <v>306.71218855436024</v>
      </c>
      <c r="V4" s="649">
        <f>BS!V141</f>
        <v>361.90879794654739</v>
      </c>
      <c r="W4" s="649">
        <f>BS!W141</f>
        <v>421.02194322672239</v>
      </c>
      <c r="X4" s="649">
        <f>BS!X141</f>
        <v>480.93496293719517</v>
      </c>
      <c r="Y4" s="649">
        <f>BS!Y141</f>
        <v>539.59342716806827</v>
      </c>
      <c r="Z4" s="649">
        <f>BS!Z141</f>
        <v>596.95071634539352</v>
      </c>
      <c r="AA4" s="649">
        <f>BS!AA141</f>
        <v>633.83739785394175</v>
      </c>
      <c r="AB4" s="649">
        <f>BS!AB141</f>
        <v>663.51500101634372</v>
      </c>
      <c r="AC4" s="649">
        <f>BS!AC141</f>
        <v>692.1326224968011</v>
      </c>
      <c r="AD4" s="649">
        <f>BS!AD141</f>
        <v>720.54813806633285</v>
      </c>
      <c r="AE4" s="649">
        <f>BS!AE141</f>
        <v>742.29797564469084</v>
      </c>
      <c r="AJ4"/>
      <c r="AK4"/>
      <c r="AL4"/>
      <c r="AM4"/>
      <c r="AN4"/>
      <c r="AO4"/>
    </row>
    <row r="5" spans="1:41" s="209" customFormat="1" ht="12.75" customHeight="1" outlineLevel="2">
      <c r="A5" s="655"/>
      <c r="B5" s="235" t="s">
        <v>621</v>
      </c>
      <c r="C5" s="192">
        <v>0</v>
      </c>
      <c r="D5" s="192">
        <v>0</v>
      </c>
      <c r="E5" s="192">
        <v>0</v>
      </c>
      <c r="F5" s="192">
        <v>0</v>
      </c>
      <c r="G5" s="192">
        <v>9.0350000000000001</v>
      </c>
      <c r="H5" s="192">
        <v>9.4779999999999998</v>
      </c>
      <c r="I5" s="192">
        <v>104.36499999999999</v>
      </c>
      <c r="J5" s="650">
        <v>84.385999999999996</v>
      </c>
      <c r="K5" s="650">
        <v>204.85499999999999</v>
      </c>
      <c r="L5" s="650">
        <v>291.69799999999998</v>
      </c>
      <c r="M5" s="650">
        <v>198.57300000000001</v>
      </c>
      <c r="N5" s="650">
        <v>277.2</v>
      </c>
      <c r="O5" s="650">
        <v>269.3</v>
      </c>
      <c r="P5" s="650">
        <v>294</v>
      </c>
      <c r="Q5" s="650">
        <v>383.6</v>
      </c>
      <c r="R5" s="650">
        <v>337</v>
      </c>
      <c r="S5" s="649">
        <f>BS!S156</f>
        <v>330.26</v>
      </c>
      <c r="T5" s="649">
        <f>BS!T156</f>
        <v>323.65479999999997</v>
      </c>
      <c r="U5" s="649">
        <f>BS!U156</f>
        <v>317.18170399999997</v>
      </c>
      <c r="V5" s="649">
        <f>BS!V156</f>
        <v>310.83806991999995</v>
      </c>
      <c r="W5" s="649">
        <f>BS!W156</f>
        <v>304.62130852159993</v>
      </c>
      <c r="X5" s="649">
        <f>BS!X156</f>
        <v>298.52888235116791</v>
      </c>
      <c r="Y5" s="649">
        <f>BS!Y156</f>
        <v>292.55830470414452</v>
      </c>
      <c r="Z5" s="649">
        <f>BS!Z156</f>
        <v>286.70713861006163</v>
      </c>
      <c r="AA5" s="649">
        <f>BS!AA156</f>
        <v>280.97299583786042</v>
      </c>
      <c r="AB5" s="649">
        <f>BS!AB156</f>
        <v>275.35353592110323</v>
      </c>
      <c r="AC5" s="649">
        <f>BS!AC156</f>
        <v>269.84646520268115</v>
      </c>
      <c r="AD5" s="649">
        <f>BS!AD156</f>
        <v>264.44953589862752</v>
      </c>
      <c r="AE5" s="649">
        <f>BS!AE156</f>
        <v>259.16054518065494</v>
      </c>
      <c r="AJ5"/>
      <c r="AK5"/>
      <c r="AL5"/>
      <c r="AM5"/>
      <c r="AN5"/>
      <c r="AO5"/>
    </row>
    <row r="6" spans="1:41" s="209" customFormat="1" ht="12.75" customHeight="1" outlineLevel="1">
      <c r="A6" s="656" t="s">
        <v>766</v>
      </c>
      <c r="B6" s="235" t="s">
        <v>619</v>
      </c>
      <c r="C6" s="192">
        <f t="shared" ref="C6:AE6" si="0">C4+C5</f>
        <v>5.1820000000000004</v>
      </c>
      <c r="D6" s="192">
        <f t="shared" si="0"/>
        <v>8.0269999999999992</v>
      </c>
      <c r="E6" s="192">
        <f t="shared" si="0"/>
        <v>9.69</v>
      </c>
      <c r="F6" s="192">
        <f t="shared" si="0"/>
        <v>14.286</v>
      </c>
      <c r="G6" s="192">
        <f t="shared" si="0"/>
        <v>25.713999999999999</v>
      </c>
      <c r="H6" s="192">
        <f t="shared" si="0"/>
        <v>31.534999999999997</v>
      </c>
      <c r="I6" s="192">
        <f t="shared" si="0"/>
        <v>138.16199999999998</v>
      </c>
      <c r="J6" s="649">
        <f t="shared" si="0"/>
        <v>126.068</v>
      </c>
      <c r="K6" s="649">
        <f t="shared" si="0"/>
        <v>259.089</v>
      </c>
      <c r="L6" s="649">
        <f t="shared" si="0"/>
        <v>362.851</v>
      </c>
      <c r="M6" s="649">
        <f t="shared" si="0"/>
        <v>283.447</v>
      </c>
      <c r="N6" s="649">
        <f t="shared" si="0"/>
        <v>374.1</v>
      </c>
      <c r="O6" s="649">
        <f t="shared" si="0"/>
        <v>373.6</v>
      </c>
      <c r="P6" s="649">
        <f t="shared" si="0"/>
        <v>408.9</v>
      </c>
      <c r="Q6" s="649">
        <f t="shared" si="0"/>
        <v>504.70000000000005</v>
      </c>
      <c r="R6" s="649">
        <f t="shared" si="0"/>
        <v>471</v>
      </c>
      <c r="S6" s="649">
        <f t="shared" si="0"/>
        <v>553.13691710324849</v>
      </c>
      <c r="T6" s="649">
        <f t="shared" si="0"/>
        <v>582.32910891205211</v>
      </c>
      <c r="U6" s="649">
        <f t="shared" si="0"/>
        <v>623.89389255436026</v>
      </c>
      <c r="V6" s="649">
        <f t="shared" si="0"/>
        <v>672.74686786654729</v>
      </c>
      <c r="W6" s="649">
        <f t="shared" si="0"/>
        <v>725.64325174832231</v>
      </c>
      <c r="X6" s="649">
        <f t="shared" si="0"/>
        <v>779.46384528836302</v>
      </c>
      <c r="Y6" s="649">
        <f t="shared" si="0"/>
        <v>832.15173187221285</v>
      </c>
      <c r="Z6" s="649">
        <f t="shared" si="0"/>
        <v>883.65785495545515</v>
      </c>
      <c r="AA6" s="649">
        <f t="shared" si="0"/>
        <v>914.81039369180212</v>
      </c>
      <c r="AB6" s="649">
        <f t="shared" si="0"/>
        <v>938.86853693744695</v>
      </c>
      <c r="AC6" s="649">
        <f t="shared" si="0"/>
        <v>961.97908769948231</v>
      </c>
      <c r="AD6" s="649">
        <f t="shared" si="0"/>
        <v>984.99767396496031</v>
      </c>
      <c r="AE6" s="649">
        <f t="shared" si="0"/>
        <v>1001.4585208253458</v>
      </c>
      <c r="AJ6"/>
      <c r="AK6"/>
      <c r="AL6"/>
      <c r="AM6"/>
      <c r="AN6"/>
      <c r="AO6"/>
    </row>
    <row r="7" spans="1:41" s="209" customFormat="1" ht="12.75" customHeight="1" outlineLevel="1">
      <c r="A7" s="655"/>
      <c r="B7" s="235" t="s">
        <v>622</v>
      </c>
      <c r="C7" s="192">
        <v>0</v>
      </c>
      <c r="D7" s="192">
        <v>0</v>
      </c>
      <c r="E7" s="192">
        <v>0</v>
      </c>
      <c r="F7" s="192">
        <v>0</v>
      </c>
      <c r="G7" s="192">
        <v>0</v>
      </c>
      <c r="H7" s="192">
        <v>0</v>
      </c>
      <c r="I7" s="192">
        <v>10.739000000000001</v>
      </c>
      <c r="J7" s="650">
        <v>36.045000000000002</v>
      </c>
      <c r="K7" s="650">
        <v>47.241</v>
      </c>
      <c r="L7" s="650">
        <v>16.742000000000001</v>
      </c>
      <c r="M7" s="650">
        <v>1.444</v>
      </c>
      <c r="N7" s="650">
        <v>0</v>
      </c>
      <c r="O7" s="650">
        <v>0</v>
      </c>
      <c r="P7" s="650">
        <v>0</v>
      </c>
      <c r="Q7" s="650">
        <v>0</v>
      </c>
      <c r="R7" s="650">
        <v>0</v>
      </c>
      <c r="S7" s="649">
        <v>0</v>
      </c>
      <c r="T7" s="649">
        <v>0</v>
      </c>
      <c r="U7" s="649">
        <v>0</v>
      </c>
      <c r="V7" s="649">
        <v>0</v>
      </c>
      <c r="W7" s="649">
        <v>0</v>
      </c>
      <c r="X7" s="649">
        <v>0</v>
      </c>
      <c r="Y7" s="649">
        <v>0</v>
      </c>
      <c r="Z7" s="649">
        <v>0</v>
      </c>
      <c r="AA7" s="649">
        <v>0</v>
      </c>
      <c r="AB7" s="649">
        <v>0</v>
      </c>
      <c r="AC7" s="649">
        <v>0</v>
      </c>
      <c r="AD7" s="649">
        <v>0</v>
      </c>
      <c r="AE7" s="649">
        <v>0</v>
      </c>
      <c r="AH7" s="671" t="s">
        <v>766</v>
      </c>
      <c r="AJ7"/>
      <c r="AK7"/>
      <c r="AL7"/>
      <c r="AM7"/>
      <c r="AN7"/>
      <c r="AO7"/>
    </row>
    <row r="8" spans="1:41" s="209" customFormat="1" ht="12.75" customHeight="1" outlineLevel="1">
      <c r="A8" s="655"/>
      <c r="B8" s="235" t="s">
        <v>623</v>
      </c>
      <c r="C8" s="192">
        <v>0.29499999999999998</v>
      </c>
      <c r="D8" s="192">
        <v>0.44800000000000001</v>
      </c>
      <c r="E8" s="192">
        <v>8.3149999999999995</v>
      </c>
      <c r="F8" s="192">
        <v>1.028</v>
      </c>
      <c r="G8" s="192">
        <v>2.169</v>
      </c>
      <c r="H8" s="192">
        <v>9.4890000000000008</v>
      </c>
      <c r="I8" s="192">
        <v>6.2320000000000002</v>
      </c>
      <c r="J8" s="650">
        <v>2.6640000000000001</v>
      </c>
      <c r="K8" s="650">
        <v>-2.3090000000000002</v>
      </c>
      <c r="L8" s="650">
        <v>6.3540000000000001</v>
      </c>
      <c r="M8" s="650">
        <v>12.452999999999999</v>
      </c>
      <c r="N8" s="650">
        <v>6.2</v>
      </c>
      <c r="O8" s="650">
        <v>0</v>
      </c>
      <c r="P8" s="650">
        <v>0</v>
      </c>
      <c r="Q8" s="650">
        <v>0</v>
      </c>
      <c r="R8" s="650">
        <v>0</v>
      </c>
      <c r="S8" s="649">
        <v>0</v>
      </c>
      <c r="T8" s="649">
        <v>0</v>
      </c>
      <c r="U8" s="649">
        <v>0</v>
      </c>
      <c r="V8" s="649">
        <v>0</v>
      </c>
      <c r="W8" s="649">
        <v>0</v>
      </c>
      <c r="X8" s="649">
        <v>0</v>
      </c>
      <c r="Y8" s="649">
        <v>0</v>
      </c>
      <c r="Z8" s="649">
        <v>0</v>
      </c>
      <c r="AA8" s="649">
        <v>0</v>
      </c>
      <c r="AB8" s="649">
        <v>0</v>
      </c>
      <c r="AC8" s="649">
        <v>0</v>
      </c>
      <c r="AD8" s="649">
        <v>0</v>
      </c>
      <c r="AE8" s="649">
        <v>0</v>
      </c>
      <c r="AH8" s="671" t="s">
        <v>766</v>
      </c>
      <c r="AJ8"/>
      <c r="AK8"/>
      <c r="AL8"/>
      <c r="AM8"/>
      <c r="AN8"/>
      <c r="AO8"/>
    </row>
    <row r="9" spans="1:41" s="209" customFormat="1" ht="12.75" customHeight="1" outlineLevel="1">
      <c r="A9" s="655"/>
      <c r="B9" s="235" t="s">
        <v>500</v>
      </c>
      <c r="C9" s="192">
        <v>0</v>
      </c>
      <c r="D9" s="192">
        <v>0</v>
      </c>
      <c r="E9" s="192">
        <v>0</v>
      </c>
      <c r="F9" s="192">
        <v>0</v>
      </c>
      <c r="G9" s="192">
        <v>0</v>
      </c>
      <c r="H9" s="192">
        <v>0</v>
      </c>
      <c r="I9" s="192">
        <v>0</v>
      </c>
      <c r="J9" s="650">
        <v>0</v>
      </c>
      <c r="K9" s="650">
        <v>0</v>
      </c>
      <c r="L9" s="650">
        <v>0</v>
      </c>
      <c r="M9" s="650">
        <v>0</v>
      </c>
      <c r="N9" s="650">
        <v>0</v>
      </c>
      <c r="O9" s="650">
        <v>0</v>
      </c>
      <c r="P9" s="650">
        <v>0</v>
      </c>
      <c r="Q9" s="650">
        <v>0</v>
      </c>
      <c r="R9" s="650">
        <v>0</v>
      </c>
      <c r="S9" s="649">
        <v>0</v>
      </c>
      <c r="T9" s="649">
        <v>0</v>
      </c>
      <c r="U9" s="649">
        <v>0</v>
      </c>
      <c r="V9" s="649">
        <v>0</v>
      </c>
      <c r="W9" s="649">
        <v>0</v>
      </c>
      <c r="X9" s="649">
        <v>0</v>
      </c>
      <c r="Y9" s="649">
        <v>0</v>
      </c>
      <c r="Z9" s="649">
        <v>0</v>
      </c>
      <c r="AA9" s="649">
        <v>0</v>
      </c>
      <c r="AB9" s="649">
        <v>0</v>
      </c>
      <c r="AC9" s="649">
        <v>0</v>
      </c>
      <c r="AD9" s="649">
        <v>0</v>
      </c>
      <c r="AE9" s="649">
        <v>0</v>
      </c>
      <c r="AJ9"/>
      <c r="AK9"/>
      <c r="AL9"/>
      <c r="AM9"/>
      <c r="AN9"/>
      <c r="AO9"/>
    </row>
    <row r="10" spans="1:41" s="209" customFormat="1" ht="12.75" customHeight="1" outlineLevel="1">
      <c r="A10" s="655"/>
      <c r="B10" s="235" t="s">
        <v>496</v>
      </c>
      <c r="C10" s="192">
        <v>0</v>
      </c>
      <c r="D10" s="192">
        <v>0</v>
      </c>
      <c r="E10" s="192">
        <v>-79.846999999999994</v>
      </c>
      <c r="F10" s="192">
        <v>-47.12</v>
      </c>
      <c r="G10" s="192">
        <v>-55.491</v>
      </c>
      <c r="H10" s="192">
        <v>-10.077</v>
      </c>
      <c r="I10" s="192">
        <v>-104.58799999999999</v>
      </c>
      <c r="J10" s="650">
        <v>-26.939</v>
      </c>
      <c r="K10" s="650">
        <v>-103.923</v>
      </c>
      <c r="L10" s="650">
        <v>-85.822000000000003</v>
      </c>
      <c r="M10" s="650">
        <v>100.199</v>
      </c>
      <c r="N10" s="650">
        <v>-246.6</v>
      </c>
      <c r="O10" s="650">
        <v>-272.3</v>
      </c>
      <c r="P10" s="650">
        <v>-33.4</v>
      </c>
      <c r="Q10" s="650">
        <v>-344</v>
      </c>
      <c r="R10" s="650">
        <v>-1330</v>
      </c>
      <c r="S10" s="649">
        <f>BS!R7-BS!S7+BS!S30-BS!R30</f>
        <v>0</v>
      </c>
      <c r="T10" s="649">
        <f>BS!S7-BS!T7+BS!T30-BS!S30</f>
        <v>0</v>
      </c>
      <c r="U10" s="649">
        <f>BS!T7-BS!U7+BS!U30-BS!T30</f>
        <v>0</v>
      </c>
      <c r="V10" s="649">
        <f>BS!U7-BS!V7+BS!V30-BS!U30</f>
        <v>0</v>
      </c>
      <c r="W10" s="649">
        <f>BS!V7-BS!W7+BS!W30-BS!V30</f>
        <v>0</v>
      </c>
      <c r="X10" s="649">
        <f>BS!W7-BS!X7+BS!X30-BS!W30</f>
        <v>0</v>
      </c>
      <c r="Y10" s="649">
        <f>BS!X7-BS!Y7+BS!Y30-BS!X30</f>
        <v>0</v>
      </c>
      <c r="Z10" s="649">
        <f>BS!Y7-BS!Z7+BS!Z30-BS!Y30</f>
        <v>0</v>
      </c>
      <c r="AA10" s="649">
        <f>BS!Z7-BS!AA7+BS!AA30-BS!Z30</f>
        <v>0</v>
      </c>
      <c r="AB10" s="649">
        <f>BS!AA7-BS!AB7+BS!AB30-BS!AA30</f>
        <v>0</v>
      </c>
      <c r="AC10" s="649">
        <f>BS!AB7-BS!AC7+BS!AC30-BS!AB30</f>
        <v>0</v>
      </c>
      <c r="AD10" s="649">
        <f>BS!AC7-BS!AD7+BS!AD30-BS!AC30</f>
        <v>0</v>
      </c>
      <c r="AE10" s="649">
        <f>BS!AD7-BS!AE7+BS!AE30-BS!AD30</f>
        <v>0</v>
      </c>
      <c r="AJ10"/>
      <c r="AK10"/>
      <c r="AL10"/>
      <c r="AM10"/>
      <c r="AN10"/>
      <c r="AO10"/>
    </row>
    <row r="11" spans="1:41" s="209" customFormat="1" ht="12.75" customHeight="1" outlineLevel="1">
      <c r="A11" s="655"/>
      <c r="B11" s="235" t="s">
        <v>624</v>
      </c>
      <c r="C11" s="192"/>
      <c r="D11" s="192"/>
      <c r="E11" s="192"/>
      <c r="F11" s="192"/>
      <c r="G11" s="192"/>
      <c r="H11" s="192"/>
      <c r="I11" s="192">
        <v>0</v>
      </c>
      <c r="J11" s="650">
        <v>0</v>
      </c>
      <c r="K11" s="650">
        <v>0</v>
      </c>
      <c r="L11" s="650">
        <v>118</v>
      </c>
      <c r="M11" s="650">
        <v>148.01</v>
      </c>
      <c r="N11" s="650">
        <v>105.4</v>
      </c>
      <c r="O11" s="650">
        <v>133.19999999999999</v>
      </c>
      <c r="P11" s="650">
        <v>48.9</v>
      </c>
      <c r="Q11" s="650">
        <v>488.6</v>
      </c>
      <c r="R11" s="650">
        <v>1679</v>
      </c>
      <c r="S11" s="649">
        <v>0</v>
      </c>
      <c r="T11" s="649">
        <f t="shared" ref="T11:AE11" si="1">S11</f>
        <v>0</v>
      </c>
      <c r="U11" s="649">
        <f t="shared" si="1"/>
        <v>0</v>
      </c>
      <c r="V11" s="649">
        <f t="shared" si="1"/>
        <v>0</v>
      </c>
      <c r="W11" s="649">
        <f t="shared" si="1"/>
        <v>0</v>
      </c>
      <c r="X11" s="649">
        <f t="shared" si="1"/>
        <v>0</v>
      </c>
      <c r="Y11" s="649">
        <f t="shared" si="1"/>
        <v>0</v>
      </c>
      <c r="Z11" s="649">
        <f t="shared" si="1"/>
        <v>0</v>
      </c>
      <c r="AA11" s="649">
        <f t="shared" si="1"/>
        <v>0</v>
      </c>
      <c r="AB11" s="649">
        <f t="shared" si="1"/>
        <v>0</v>
      </c>
      <c r="AC11" s="649">
        <f t="shared" si="1"/>
        <v>0</v>
      </c>
      <c r="AD11" s="649">
        <f t="shared" si="1"/>
        <v>0</v>
      </c>
      <c r="AE11" s="649">
        <f t="shared" si="1"/>
        <v>0</v>
      </c>
      <c r="AJ11"/>
      <c r="AK11"/>
      <c r="AL11"/>
      <c r="AM11"/>
      <c r="AN11"/>
      <c r="AO11"/>
    </row>
    <row r="12" spans="1:41" s="209" customFormat="1" ht="12.75" customHeight="1" outlineLevel="1">
      <c r="A12" s="655"/>
      <c r="B12" s="235" t="s">
        <v>625</v>
      </c>
      <c r="C12" s="192">
        <v>0</v>
      </c>
      <c r="D12" s="192">
        <v>0</v>
      </c>
      <c r="E12" s="192">
        <v>0</v>
      </c>
      <c r="F12" s="192">
        <v>0</v>
      </c>
      <c r="G12" s="192">
        <v>0</v>
      </c>
      <c r="H12" s="192">
        <v>0</v>
      </c>
      <c r="I12" s="192">
        <v>0</v>
      </c>
      <c r="J12" s="650">
        <v>0</v>
      </c>
      <c r="K12" s="650">
        <v>9.7119999999999997</v>
      </c>
      <c r="L12" s="650">
        <v>-147.46299999999999</v>
      </c>
      <c r="M12" s="650">
        <v>166.374</v>
      </c>
      <c r="N12" s="650">
        <v>171.1</v>
      </c>
      <c r="O12" s="650">
        <v>48.7</v>
      </c>
      <c r="P12" s="650">
        <v>-7.9</v>
      </c>
      <c r="Q12" s="650">
        <v>21.2</v>
      </c>
      <c r="R12" s="650">
        <v>-1350</v>
      </c>
      <c r="S12" s="649">
        <v>0</v>
      </c>
      <c r="T12" s="649">
        <v>0</v>
      </c>
      <c r="U12" s="649">
        <v>0</v>
      </c>
      <c r="V12" s="649">
        <v>0</v>
      </c>
      <c r="W12" s="649">
        <v>0</v>
      </c>
      <c r="X12" s="649">
        <v>0</v>
      </c>
      <c r="Y12" s="649">
        <v>0</v>
      </c>
      <c r="Z12" s="649">
        <v>0</v>
      </c>
      <c r="AA12" s="649">
        <v>0</v>
      </c>
      <c r="AB12" s="649">
        <v>0</v>
      </c>
      <c r="AC12" s="649">
        <v>0</v>
      </c>
      <c r="AD12" s="649">
        <v>0</v>
      </c>
      <c r="AE12" s="649">
        <v>0</v>
      </c>
      <c r="AH12" s="671" t="s">
        <v>766</v>
      </c>
      <c r="AJ12"/>
      <c r="AK12"/>
      <c r="AL12"/>
      <c r="AM12"/>
      <c r="AN12"/>
      <c r="AO12"/>
    </row>
    <row r="13" spans="1:41" s="209" customFormat="1" ht="12.75" customHeight="1" outlineLevel="1">
      <c r="A13" s="655"/>
      <c r="B13" s="235" t="s">
        <v>626</v>
      </c>
      <c r="C13" s="192">
        <v>0</v>
      </c>
      <c r="D13" s="192">
        <v>0</v>
      </c>
      <c r="E13" s="192">
        <v>0</v>
      </c>
      <c r="F13" s="192">
        <v>0</v>
      </c>
      <c r="G13" s="192">
        <v>0</v>
      </c>
      <c r="H13" s="192">
        <v>0</v>
      </c>
      <c r="I13" s="192">
        <v>1740</v>
      </c>
      <c r="J13" s="650">
        <v>0</v>
      </c>
      <c r="K13" s="650">
        <v>0</v>
      </c>
      <c r="L13" s="650">
        <v>0</v>
      </c>
      <c r="M13" s="650">
        <v>0</v>
      </c>
      <c r="N13" s="650">
        <v>0</v>
      </c>
      <c r="O13" s="650">
        <v>0</v>
      </c>
      <c r="P13" s="650">
        <v>0</v>
      </c>
      <c r="Q13" s="650">
        <v>0</v>
      </c>
      <c r="R13" s="650">
        <v>0</v>
      </c>
      <c r="S13" s="649">
        <v>0</v>
      </c>
      <c r="T13" s="649">
        <v>0</v>
      </c>
      <c r="U13" s="649">
        <v>0</v>
      </c>
      <c r="V13" s="649">
        <v>0</v>
      </c>
      <c r="W13" s="649">
        <v>0</v>
      </c>
      <c r="X13" s="649">
        <v>0</v>
      </c>
      <c r="Y13" s="649">
        <v>0</v>
      </c>
      <c r="Z13" s="649">
        <v>0</v>
      </c>
      <c r="AA13" s="649">
        <v>0</v>
      </c>
      <c r="AB13" s="649">
        <v>0</v>
      </c>
      <c r="AC13" s="649">
        <v>0</v>
      </c>
      <c r="AD13" s="649">
        <v>0</v>
      </c>
      <c r="AE13" s="649">
        <v>0</v>
      </c>
      <c r="AH13" s="671"/>
      <c r="AJ13"/>
      <c r="AK13"/>
      <c r="AL13"/>
      <c r="AM13"/>
      <c r="AN13"/>
      <c r="AO13"/>
    </row>
    <row r="14" spans="1:41" s="209" customFormat="1" ht="12.75" customHeight="1" outlineLevel="1">
      <c r="A14" s="655"/>
      <c r="B14" s="235" t="s">
        <v>627</v>
      </c>
      <c r="C14" s="192">
        <v>0.46700000000000003</v>
      </c>
      <c r="D14" s="192">
        <v>0.70399999999999996</v>
      </c>
      <c r="E14" s="192">
        <v>0.44900000000000001</v>
      </c>
      <c r="F14" s="192">
        <v>-0.24299999999999999</v>
      </c>
      <c r="G14" s="192">
        <v>76.748000000000005</v>
      </c>
      <c r="H14" s="192">
        <v>58.825000000000003</v>
      </c>
      <c r="I14" s="192">
        <v>106.578</v>
      </c>
      <c r="J14" s="650">
        <v>145.929</v>
      </c>
      <c r="K14" s="650">
        <v>186.989</v>
      </c>
      <c r="L14" s="650">
        <v>225.154</v>
      </c>
      <c r="M14" s="650">
        <v>231.04300000000001</v>
      </c>
      <c r="N14" s="650">
        <v>325.8</v>
      </c>
      <c r="O14" s="650">
        <v>447.6</v>
      </c>
      <c r="P14" s="650">
        <v>576.6</v>
      </c>
      <c r="Q14" s="650">
        <v>606.20000000000005</v>
      </c>
      <c r="R14" s="650">
        <v>644</v>
      </c>
      <c r="S14" s="649">
        <f t="shared" ref="S14:AE14" si="2">+S89</f>
        <v>580.88800000000003</v>
      </c>
      <c r="T14" s="649">
        <f t="shared" si="2"/>
        <v>622.42152500000009</v>
      </c>
      <c r="U14" s="649">
        <f t="shared" si="2"/>
        <v>640.17957437500013</v>
      </c>
      <c r="V14" s="649">
        <f t="shared" si="2"/>
        <v>652.52183201562502</v>
      </c>
      <c r="W14" s="649">
        <f t="shared" si="2"/>
        <v>665.32317992335925</v>
      </c>
      <c r="X14" s="649">
        <f t="shared" si="2"/>
        <v>678.61790009245965</v>
      </c>
      <c r="Y14" s="649">
        <f t="shared" si="2"/>
        <v>692.44352831112144</v>
      </c>
      <c r="Z14" s="649">
        <f t="shared" si="2"/>
        <v>706.84117692479083</v>
      </c>
      <c r="AA14" s="649">
        <f t="shared" si="2"/>
        <v>721.85588983656521</v>
      </c>
      <c r="AB14" s="649">
        <f t="shared" si="2"/>
        <v>737.53703296780679</v>
      </c>
      <c r="AC14" s="649">
        <f t="shared" si="2"/>
        <v>753.93872372438614</v>
      </c>
      <c r="AD14" s="649">
        <f t="shared" si="2"/>
        <v>150.78774474487724</v>
      </c>
      <c r="AE14" s="649">
        <f t="shared" si="2"/>
        <v>150.78774474487724</v>
      </c>
      <c r="AJ14"/>
      <c r="AK14"/>
      <c r="AL14"/>
      <c r="AM14"/>
      <c r="AN14"/>
      <c r="AO14"/>
    </row>
    <row r="15" spans="1:41" s="209" customFormat="1" ht="12.75" customHeight="1" outlineLevel="1">
      <c r="A15" s="655"/>
      <c r="B15" s="235" t="s">
        <v>628</v>
      </c>
      <c r="C15" s="192">
        <v>0</v>
      </c>
      <c r="D15" s="192">
        <v>4.3920000000000003</v>
      </c>
      <c r="E15" s="192">
        <v>0</v>
      </c>
      <c r="F15" s="192">
        <v>6.2359999999999998</v>
      </c>
      <c r="G15" s="192">
        <v>7.4009999999999998</v>
      </c>
      <c r="H15" s="192">
        <v>3.5779999999999998</v>
      </c>
      <c r="I15" s="192">
        <v>8.8840000000000003</v>
      </c>
      <c r="J15" s="650">
        <v>0.51800000000000002</v>
      </c>
      <c r="K15" s="650">
        <v>1.9279999999999999</v>
      </c>
      <c r="L15" s="650">
        <v>2.8039999999999998</v>
      </c>
      <c r="M15" s="650">
        <v>0</v>
      </c>
      <c r="N15" s="650">
        <v>0</v>
      </c>
      <c r="O15" s="650">
        <v>0</v>
      </c>
      <c r="P15" s="650">
        <v>0</v>
      </c>
      <c r="Q15" s="650">
        <v>0</v>
      </c>
      <c r="R15" s="650">
        <v>0</v>
      </c>
      <c r="S15" s="649">
        <v>0</v>
      </c>
      <c r="T15" s="649">
        <v>0</v>
      </c>
      <c r="U15" s="649">
        <v>0</v>
      </c>
      <c r="V15" s="649">
        <v>0</v>
      </c>
      <c r="W15" s="649">
        <v>0</v>
      </c>
      <c r="X15" s="649">
        <v>0</v>
      </c>
      <c r="Y15" s="649">
        <v>0</v>
      </c>
      <c r="Z15" s="649">
        <v>0</v>
      </c>
      <c r="AA15" s="649">
        <v>0</v>
      </c>
      <c r="AB15" s="649">
        <v>0</v>
      </c>
      <c r="AC15" s="649">
        <v>0</v>
      </c>
      <c r="AD15" s="649">
        <v>0</v>
      </c>
      <c r="AE15" s="649">
        <v>0</v>
      </c>
      <c r="AJ15"/>
      <c r="AK15"/>
      <c r="AL15"/>
      <c r="AM15"/>
      <c r="AN15"/>
      <c r="AO15"/>
    </row>
    <row r="16" spans="1:41" s="209" customFormat="1" ht="12.75" customHeight="1" outlineLevel="1">
      <c r="A16" s="655"/>
      <c r="B16" s="235" t="s">
        <v>629</v>
      </c>
      <c r="C16" s="192">
        <v>0.96599999999999997</v>
      </c>
      <c r="D16" s="192">
        <v>2.7749999999999999</v>
      </c>
      <c r="E16" s="192">
        <v>4.2670000000000003</v>
      </c>
      <c r="F16" s="192">
        <v>3.5059999999999998</v>
      </c>
      <c r="G16" s="192">
        <v>6.5170000000000003</v>
      </c>
      <c r="H16" s="192">
        <v>5.3650000000000002</v>
      </c>
      <c r="I16" s="192">
        <v>8.3140000000000001</v>
      </c>
      <c r="J16" s="650">
        <v>11.515000000000001</v>
      </c>
      <c r="K16" s="650">
        <v>14.403</v>
      </c>
      <c r="L16" s="650">
        <v>20.664000000000001</v>
      </c>
      <c r="M16" s="650">
        <v>19.324000000000002</v>
      </c>
      <c r="N16" s="650">
        <v>32.6</v>
      </c>
      <c r="O16" s="650">
        <v>40.700000000000003</v>
      </c>
      <c r="P16" s="650">
        <v>35.1</v>
      </c>
      <c r="Q16" s="650">
        <v>40.200000000000003</v>
      </c>
      <c r="R16" s="650">
        <v>34</v>
      </c>
      <c r="S16" s="649">
        <v>20</v>
      </c>
      <c r="T16" s="649">
        <v>20</v>
      </c>
      <c r="U16" s="649">
        <v>20</v>
      </c>
      <c r="V16" s="649">
        <v>20</v>
      </c>
      <c r="W16" s="649">
        <v>20</v>
      </c>
      <c r="X16" s="649">
        <v>20</v>
      </c>
      <c r="Y16" s="649">
        <v>20</v>
      </c>
      <c r="Z16" s="649">
        <v>20</v>
      </c>
      <c r="AA16" s="649">
        <v>20</v>
      </c>
      <c r="AB16" s="649">
        <v>20</v>
      </c>
      <c r="AC16" s="649">
        <v>20</v>
      </c>
      <c r="AD16" s="649">
        <v>20</v>
      </c>
      <c r="AE16" s="649">
        <v>20</v>
      </c>
      <c r="AJ16"/>
      <c r="AK16"/>
      <c r="AL16"/>
      <c r="AM16"/>
      <c r="AN16"/>
      <c r="AO16"/>
    </row>
    <row r="17" spans="1:41" s="209" customFormat="1" ht="12.75" customHeight="1" outlineLevel="1">
      <c r="A17" s="655"/>
      <c r="B17" s="235" t="s">
        <v>630</v>
      </c>
      <c r="C17" s="192">
        <v>0</v>
      </c>
      <c r="D17" s="192">
        <v>0</v>
      </c>
      <c r="E17" s="192">
        <v>0</v>
      </c>
      <c r="F17" s="192">
        <v>0</v>
      </c>
      <c r="G17" s="192">
        <v>0</v>
      </c>
      <c r="H17" s="192">
        <v>0</v>
      </c>
      <c r="I17" s="192">
        <v>8.25</v>
      </c>
      <c r="J17" s="650">
        <v>-9.7379999999999995</v>
      </c>
      <c r="K17" s="650">
        <v>9.9700000000000006</v>
      </c>
      <c r="L17" s="650">
        <v>-47.610999999999997</v>
      </c>
      <c r="M17" s="650">
        <v>71.682000000000002</v>
      </c>
      <c r="N17" s="650">
        <v>-1.4</v>
      </c>
      <c r="O17" s="650">
        <v>-48.8</v>
      </c>
      <c r="P17" s="650">
        <v>0</v>
      </c>
      <c r="Q17" s="650">
        <v>0</v>
      </c>
      <c r="R17" s="650">
        <v>0</v>
      </c>
      <c r="S17" s="649">
        <v>0</v>
      </c>
      <c r="T17" s="649">
        <v>0</v>
      </c>
      <c r="U17" s="649">
        <v>0</v>
      </c>
      <c r="V17" s="649">
        <v>0</v>
      </c>
      <c r="W17" s="649">
        <v>0</v>
      </c>
      <c r="X17" s="649">
        <v>0</v>
      </c>
      <c r="Y17" s="649">
        <v>0</v>
      </c>
      <c r="Z17" s="649">
        <v>0</v>
      </c>
      <c r="AA17" s="649">
        <v>0</v>
      </c>
      <c r="AB17" s="649">
        <v>0</v>
      </c>
      <c r="AC17" s="649">
        <v>0</v>
      </c>
      <c r="AD17" s="649">
        <v>0</v>
      </c>
      <c r="AE17" s="649">
        <v>0</v>
      </c>
      <c r="AH17" s="671" t="s">
        <v>766</v>
      </c>
      <c r="AJ17"/>
      <c r="AK17"/>
      <c r="AL17"/>
      <c r="AM17"/>
      <c r="AN17"/>
      <c r="AO17"/>
    </row>
    <row r="18" spans="1:41" s="209" customFormat="1" ht="12.75" customHeight="1" outlineLevel="1">
      <c r="A18" s="655"/>
      <c r="B18" s="235" t="s">
        <v>631</v>
      </c>
      <c r="C18" s="192">
        <v>-5.9459999999999997</v>
      </c>
      <c r="D18" s="192">
        <v>-7.3550000000000004</v>
      </c>
      <c r="E18" s="192">
        <v>-3.05</v>
      </c>
      <c r="F18" s="192">
        <f>(1853)/1000</f>
        <v>1.853</v>
      </c>
      <c r="G18" s="192">
        <v>4.3899999999999997</v>
      </c>
      <c r="H18" s="192">
        <v>0</v>
      </c>
      <c r="I18" s="192">
        <v>1.206</v>
      </c>
      <c r="J18" s="650">
        <v>-31.013000000000002</v>
      </c>
      <c r="K18" s="650">
        <v>-11.531000000000001</v>
      </c>
      <c r="L18" s="650">
        <v>-3.8420000000000001</v>
      </c>
      <c r="M18" s="650">
        <v>1.0740000000000001</v>
      </c>
      <c r="N18" s="650">
        <v>7.3</v>
      </c>
      <c r="O18" s="650">
        <v>0</v>
      </c>
      <c r="P18" s="650">
        <v>0</v>
      </c>
      <c r="Q18" s="650">
        <v>0</v>
      </c>
      <c r="R18" s="650">
        <v>0</v>
      </c>
      <c r="S18" s="649">
        <v>0</v>
      </c>
      <c r="T18" s="649">
        <v>0</v>
      </c>
      <c r="U18" s="649">
        <v>0</v>
      </c>
      <c r="V18" s="649">
        <v>0</v>
      </c>
      <c r="W18" s="649">
        <v>0</v>
      </c>
      <c r="X18" s="649">
        <v>0</v>
      </c>
      <c r="Y18" s="649">
        <v>0</v>
      </c>
      <c r="Z18" s="649">
        <v>0</v>
      </c>
      <c r="AA18" s="649">
        <v>0</v>
      </c>
      <c r="AB18" s="649">
        <v>0</v>
      </c>
      <c r="AC18" s="649">
        <v>0</v>
      </c>
      <c r="AD18" s="649">
        <v>0</v>
      </c>
      <c r="AE18" s="649">
        <v>0</v>
      </c>
      <c r="AH18" s="671" t="s">
        <v>766</v>
      </c>
      <c r="AJ18"/>
      <c r="AK18"/>
      <c r="AL18"/>
      <c r="AM18"/>
      <c r="AN18"/>
      <c r="AO18"/>
    </row>
    <row r="19" spans="1:41" s="209" customFormat="1" ht="12.75" customHeight="1" outlineLevel="1">
      <c r="A19" s="655"/>
      <c r="B19" s="235" t="s">
        <v>111</v>
      </c>
      <c r="C19" s="192">
        <f>(55700+367)/1000</f>
        <v>56.067</v>
      </c>
      <c r="D19" s="192">
        <f>(-16574+1238+84+1422+137)/1000</f>
        <v>-13.693</v>
      </c>
      <c r="E19" s="192">
        <f>(2085+2443+108+1922)/1000</f>
        <v>6.5579999999999998</v>
      </c>
      <c r="F19" s="192">
        <f>(1030+1763+2443+6875)/1000</f>
        <v>12.111000000000001</v>
      </c>
      <c r="G19" s="192">
        <f>(94+418-3101+2443)/1000</f>
        <v>-0.14599999999999999</v>
      </c>
      <c r="H19" s="192">
        <v>5.875</v>
      </c>
      <c r="I19" s="192">
        <f>(2224)/1000</f>
        <v>2.2240000000000002</v>
      </c>
      <c r="J19" s="650">
        <v>8.7149999999999999</v>
      </c>
      <c r="K19" s="650">
        <v>-2.3519999999999999</v>
      </c>
      <c r="L19" s="650">
        <v>-11.404</v>
      </c>
      <c r="M19" s="650">
        <f>-3.193-79.65</f>
        <v>-82.843000000000004</v>
      </c>
      <c r="N19" s="650">
        <f>4.5-7.3</f>
        <v>-2.8</v>
      </c>
      <c r="O19" s="650">
        <f>-23.1-8.1</f>
        <v>-31.200000000000003</v>
      </c>
      <c r="P19" s="650">
        <f>-83.5-31.4+18.8</f>
        <v>-96.100000000000009</v>
      </c>
      <c r="Q19" s="650">
        <f>-37.5+-7+169.1-9.9</f>
        <v>114.69999999999999</v>
      </c>
      <c r="R19" s="650">
        <f>-61+72-24</f>
        <v>-13</v>
      </c>
      <c r="S19" s="649">
        <f>(BS!S24+BS!S32-BS!R24-BS!R32)</f>
        <v>49.840526958079408</v>
      </c>
      <c r="T19" s="649">
        <f>(BS!T24+BS!T32-BS!S24-BS!S32)</f>
        <v>37.059736128660916</v>
      </c>
      <c r="U19" s="649">
        <f>(BS!U24+BS!U32-BS!T24-BS!T32)</f>
        <v>52.465994422303083</v>
      </c>
      <c r="V19" s="649">
        <f>(BS!V24+BS!V32-BS!U24-BS!U32)</f>
        <v>63.581290871413444</v>
      </c>
      <c r="W19" s="649">
        <f>(BS!W24+BS!W32-BS!V24-BS!V32)</f>
        <v>32.750825885793802</v>
      </c>
      <c r="X19" s="649">
        <f>(BS!X24+BS!X32-BS!W24-BS!W32)</f>
        <v>5.2917110898150668</v>
      </c>
      <c r="Y19" s="649">
        <f>(BS!Y24+BS!Y32-BS!X24-BS!X32)</f>
        <v>-5.748249981852382</v>
      </c>
      <c r="Z19" s="649">
        <f>(BS!Z24+BS!Z32-BS!Y24-BS!Y32)</f>
        <v>-92.22445771541345</v>
      </c>
      <c r="AA19" s="649">
        <f>(BS!AA24+BS!AA32-BS!Z24-BS!Z32)</f>
        <v>-136.04356360809737</v>
      </c>
      <c r="AB19" s="649">
        <f>(BS!AB24+BS!AB32-BS!AA24-BS!AA32)</f>
        <v>-45.666991598670052</v>
      </c>
      <c r="AC19" s="649">
        <f>(BS!AC24+BS!AC32-BS!AB24-BS!AB32)</f>
        <v>-5.5404671706453428</v>
      </c>
      <c r="AD19" s="649">
        <f>(BS!AD24+BS!AD32-BS!AC24-BS!AC32)</f>
        <v>0.13762638281900763</v>
      </c>
      <c r="AE19" s="649">
        <f>(BS!AE24+BS!AE32-BS!AD24-BS!AD32)</f>
        <v>-48.478518686866209</v>
      </c>
      <c r="AJ19"/>
      <c r="AK19"/>
      <c r="AL19"/>
      <c r="AM19"/>
      <c r="AN19"/>
      <c r="AO19"/>
    </row>
    <row r="20" spans="1:41" s="209" customFormat="1" ht="12.75" customHeight="1" outlineLevel="2">
      <c r="A20" s="655"/>
      <c r="B20" s="235" t="s">
        <v>633</v>
      </c>
      <c r="C20" s="192">
        <v>-4.1660000000000004</v>
      </c>
      <c r="D20" s="192">
        <v>-18.273</v>
      </c>
      <c r="E20" s="192">
        <v>-13.051</v>
      </c>
      <c r="F20" s="192">
        <v>-33.061</v>
      </c>
      <c r="G20" s="192">
        <v>-55.29</v>
      </c>
      <c r="H20" s="192">
        <v>-47.366999999999997</v>
      </c>
      <c r="I20" s="192">
        <v>-107.685</v>
      </c>
      <c r="J20" s="650">
        <v>-122.61499999999999</v>
      </c>
      <c r="K20" s="650">
        <v>-234.452</v>
      </c>
      <c r="L20" s="650">
        <v>-263.13</v>
      </c>
      <c r="M20" s="650">
        <v>-30.052</v>
      </c>
      <c r="N20" s="650">
        <v>-101.4</v>
      </c>
      <c r="O20" s="650">
        <v>-166.3</v>
      </c>
      <c r="P20" s="650">
        <v>-304.7</v>
      </c>
      <c r="Q20" s="650">
        <v>-222.4</v>
      </c>
      <c r="R20" s="650">
        <v>-236</v>
      </c>
      <c r="S20" s="649">
        <f>-(BS!S5-BS!R5)</f>
        <v>-261.6094721235313</v>
      </c>
      <c r="T20" s="649">
        <f>-(BS!T5-BS!S5)</f>
        <v>-288.76152501252363</v>
      </c>
      <c r="U20" s="649">
        <f>-(BS!U5-BS!T5)</f>
        <v>-372.48909154253261</v>
      </c>
      <c r="V20" s="649">
        <f>-(BS!V5-BS!U5)</f>
        <v>-422.52767347637655</v>
      </c>
      <c r="W20" s="649">
        <f>-(BS!W5-BS!V5)</f>
        <v>-230.98436013961509</v>
      </c>
      <c r="X20" s="649">
        <f>-(BS!X5-BS!W5)</f>
        <v>-46.854158651838588</v>
      </c>
      <c r="Y20" s="649">
        <f>-(BS!Y5-BS!X5)</f>
        <v>74.509069375243143</v>
      </c>
      <c r="Z20" s="649">
        <f>-(BS!Z5-BS!Y5)</f>
        <v>642.64185125637096</v>
      </c>
      <c r="AA20" s="649">
        <f>-(BS!AA5-BS!Z5)</f>
        <v>1008.3273181524391</v>
      </c>
      <c r="AB20" s="649">
        <f>-(BS!AB5-BS!AA5)</f>
        <v>355.23756627511671</v>
      </c>
      <c r="AC20" s="649">
        <f>-(BS!AC5-BS!AB5)</f>
        <v>52.40240095635977</v>
      </c>
      <c r="AD20" s="649">
        <f>-(BS!AD5-BS!AC5)</f>
        <v>10.13591371197208</v>
      </c>
      <c r="AE20" s="649">
        <f>-(BS!AE5-BS!AD5)</f>
        <v>328.41649834234363</v>
      </c>
      <c r="AJ20"/>
      <c r="AK20"/>
      <c r="AL20"/>
      <c r="AM20"/>
      <c r="AN20"/>
      <c r="AO20"/>
    </row>
    <row r="21" spans="1:41" s="209" customFormat="1" ht="12.75" customHeight="1" outlineLevel="2">
      <c r="A21" s="655"/>
      <c r="B21" s="235" t="s">
        <v>634</v>
      </c>
      <c r="C21" s="192">
        <v>-1.198</v>
      </c>
      <c r="D21" s="192">
        <v>-4.891</v>
      </c>
      <c r="E21" s="192">
        <v>-11.192</v>
      </c>
      <c r="F21" s="192">
        <v>4.125</v>
      </c>
      <c r="G21" s="192">
        <v>-1.6</v>
      </c>
      <c r="H21" s="192">
        <v>-23.966999999999999</v>
      </c>
      <c r="I21" s="192">
        <v>-25.867000000000001</v>
      </c>
      <c r="J21" s="650">
        <v>1.54</v>
      </c>
      <c r="K21" s="650">
        <v>18.722999999999999</v>
      </c>
      <c r="L21" s="650">
        <v>70.98</v>
      </c>
      <c r="M21" s="650">
        <v>-69.680000000000007</v>
      </c>
      <c r="N21" s="650">
        <v>-89.7</v>
      </c>
      <c r="O21" s="650">
        <v>-56.5</v>
      </c>
      <c r="P21" s="650">
        <v>-50.6</v>
      </c>
      <c r="Q21" s="650">
        <v>-55.3</v>
      </c>
      <c r="R21" s="650">
        <v>-42</v>
      </c>
      <c r="S21" s="649">
        <f>-(BS!S6-BS!R6)</f>
        <v>-78.284515054573831</v>
      </c>
      <c r="T21" s="649">
        <f>-(BS!T6-BS!S6)</f>
        <v>-110.50624139807769</v>
      </c>
      <c r="U21" s="649">
        <f>-(BS!U6-BS!T6)</f>
        <v>-202.7739588000552</v>
      </c>
      <c r="V21" s="649">
        <f>-(BS!V6-BS!U6)</f>
        <v>-300.79998180149823</v>
      </c>
      <c r="W21" s="649">
        <f>-(BS!W6-BS!V6)</f>
        <v>-233.77996323464299</v>
      </c>
      <c r="X21" s="649">
        <f>-(BS!X6-BS!W6)</f>
        <v>-185.86560436698187</v>
      </c>
      <c r="Y21" s="649">
        <f>-(BS!Y6-BS!X6)</f>
        <v>-228.34840012967902</v>
      </c>
      <c r="Z21" s="649">
        <f>-(BS!Z6-BS!Y6)</f>
        <v>82.516933693113288</v>
      </c>
      <c r="AA21" s="649">
        <f>-(BS!AA6-BS!Z6)</f>
        <v>72.092919967165017</v>
      </c>
      <c r="AB21" s="649">
        <f>-(BS!AB6-BS!AA6)</f>
        <v>-30.861264754185413</v>
      </c>
      <c r="AC21" s="649">
        <f>-(BS!AC6-BS!AB6)</f>
        <v>-64.517107551415165</v>
      </c>
      <c r="AD21" s="649">
        <f>-(BS!AD6-BS!AC6)</f>
        <v>-71.706737617967519</v>
      </c>
      <c r="AE21" s="649">
        <f>-(BS!AE6-BS!AD6)</f>
        <v>151.44784391664643</v>
      </c>
      <c r="AJ21"/>
      <c r="AK21"/>
      <c r="AL21"/>
      <c r="AM21"/>
      <c r="AN21"/>
      <c r="AO21"/>
    </row>
    <row r="22" spans="1:41" s="209" customFormat="1" ht="12.75" customHeight="1" outlineLevel="2">
      <c r="A22" s="655"/>
      <c r="B22" s="235" t="s">
        <v>635</v>
      </c>
      <c r="C22" s="192">
        <v>-2.9169999999999998</v>
      </c>
      <c r="D22" s="192">
        <v>-9.2530000000000001</v>
      </c>
      <c r="E22" s="192">
        <v>59.978000000000002</v>
      </c>
      <c r="F22" s="192">
        <v>-21.513999999999999</v>
      </c>
      <c r="G22" s="192">
        <v>-53.463999999999999</v>
      </c>
      <c r="H22" s="192">
        <v>-19.933</v>
      </c>
      <c r="I22" s="192">
        <v>-129.19900000000001</v>
      </c>
      <c r="J22" s="650">
        <v>-53.847000000000001</v>
      </c>
      <c r="K22" s="650">
        <v>-45.673999999999999</v>
      </c>
      <c r="L22" s="650">
        <v>-69.287999999999997</v>
      </c>
      <c r="M22" s="650">
        <v>92.887</v>
      </c>
      <c r="N22" s="650">
        <v>-90.9</v>
      </c>
      <c r="O22" s="650">
        <v>52.6</v>
      </c>
      <c r="P22" s="650">
        <v>-326.2</v>
      </c>
      <c r="Q22" s="650">
        <v>94.2</v>
      </c>
      <c r="R22" s="650">
        <v>-73</v>
      </c>
      <c r="S22" s="649">
        <f>(+BS!R8)-(BS!S8)</f>
        <v>-52.839393640775768</v>
      </c>
      <c r="T22" s="649">
        <f>(+BS!S8)-(BS!T8)</f>
        <v>-58.323514682383689</v>
      </c>
      <c r="U22" s="649">
        <f>(+BS!T8)-(BS!U8)</f>
        <v>-75.234652534358531</v>
      </c>
      <c r="V22" s="649">
        <f>(+BS!U8)-(BS!V8)</f>
        <v>-85.341352060819418</v>
      </c>
      <c r="W22" s="649">
        <f>(+BS!V8)-(BS!W8)</f>
        <v>-46.653790595612008</v>
      </c>
      <c r="X22" s="649">
        <f>(+BS!W8)-(BS!X8)</f>
        <v>-9.4635156464930787</v>
      </c>
      <c r="Y22" s="649">
        <f>(+BS!X8)-(BS!Y8)</f>
        <v>15.049202976363517</v>
      </c>
      <c r="Z22" s="649">
        <f>(+BS!Y8)-(BS!Z8)</f>
        <v>129.79960348124507</v>
      </c>
      <c r="AA22" s="649">
        <f>(+BS!Z8)-(BS!AA8)</f>
        <v>203.66007258883207</v>
      </c>
      <c r="AB22" s="649">
        <f>(+BS!AA8)-(BS!AB8)</f>
        <v>71.750221611007476</v>
      </c>
      <c r="AC22" s="649">
        <f>(+BS!AB8)-(BS!AC8)</f>
        <v>10.58413928738554</v>
      </c>
      <c r="AD22" s="649">
        <f>(+BS!AC8)-(BS!AD8)</f>
        <v>2.047232962126543</v>
      </c>
      <c r="AE22" s="649">
        <f>(+BS!AD8)-(BS!AE8)</f>
        <v>66.332952294028843</v>
      </c>
      <c r="AJ22"/>
      <c r="AK22"/>
      <c r="AL22"/>
      <c r="AM22"/>
      <c r="AN22"/>
      <c r="AO22"/>
    </row>
    <row r="23" spans="1:41" s="209" customFormat="1" ht="12.75" customHeight="1" outlineLevel="2">
      <c r="A23" s="655"/>
      <c r="B23" s="235" t="s">
        <v>636</v>
      </c>
      <c r="C23" s="192">
        <v>0</v>
      </c>
      <c r="D23" s="192">
        <v>0</v>
      </c>
      <c r="E23" s="192">
        <v>0</v>
      </c>
      <c r="F23" s="192">
        <v>0</v>
      </c>
      <c r="G23" s="192">
        <v>0</v>
      </c>
      <c r="H23" s="192">
        <v>0</v>
      </c>
      <c r="I23" s="192">
        <v>0</v>
      </c>
      <c r="J23" s="650">
        <v>0</v>
      </c>
      <c r="K23" s="650">
        <v>2.9990000000000001</v>
      </c>
      <c r="L23" s="650">
        <v>2.3610000000000002</v>
      </c>
      <c r="M23" s="650">
        <v>-1.1759999999999999</v>
      </c>
      <c r="N23" s="650">
        <v>0</v>
      </c>
      <c r="O23" s="650">
        <f>-(BS!O9-BS!N9)+BS!O25-BS!N25</f>
        <v>0</v>
      </c>
      <c r="P23" s="650">
        <v>0</v>
      </c>
      <c r="Q23" s="650">
        <v>0</v>
      </c>
      <c r="R23" s="650">
        <v>0</v>
      </c>
      <c r="S23" s="649">
        <f>-(BS!S9-BS!R9)+BS!S25-BS!R25</f>
        <v>0</v>
      </c>
      <c r="T23" s="649">
        <f>-(BS!T9-BS!S9)+BS!T25-BS!S25</f>
        <v>0</v>
      </c>
      <c r="U23" s="649">
        <f>-(BS!U9-BS!T9)+BS!U25-BS!T25</f>
        <v>0</v>
      </c>
      <c r="V23" s="649">
        <f>-(BS!V9-BS!U9)+BS!V25-BS!U25</f>
        <v>0</v>
      </c>
      <c r="W23" s="649">
        <f>-(BS!W9-BS!V9)+BS!W25-BS!V25</f>
        <v>0</v>
      </c>
      <c r="X23" s="649">
        <f>-(BS!X9-BS!W9)+BS!X25-BS!W25</f>
        <v>0</v>
      </c>
      <c r="Y23" s="649">
        <f>-(BS!Y9-BS!X9)+BS!Y25-BS!X25</f>
        <v>0</v>
      </c>
      <c r="Z23" s="649">
        <f>-(BS!Z9-BS!Y9)+BS!Z25-BS!Y25</f>
        <v>0</v>
      </c>
      <c r="AA23" s="649">
        <f>-(BS!AA9-BS!Z9)+BS!AA25-BS!Z25</f>
        <v>0</v>
      </c>
      <c r="AB23" s="649">
        <f>-(BS!AB9-BS!AA9)+BS!AB25-BS!AA25</f>
        <v>0</v>
      </c>
      <c r="AC23" s="649">
        <f>-(BS!AC9-BS!AB9)+BS!AC25-BS!AB25</f>
        <v>0</v>
      </c>
      <c r="AD23" s="649">
        <f>-(BS!AD9-BS!AC9)+BS!AD25-BS!AC25</f>
        <v>0</v>
      </c>
      <c r="AE23" s="649">
        <f>-(BS!AE9-BS!AD9)+BS!AE25-BS!AD25</f>
        <v>0</v>
      </c>
      <c r="AJ23"/>
      <c r="AK23"/>
      <c r="AL23"/>
      <c r="AM23"/>
      <c r="AN23"/>
      <c r="AO23"/>
    </row>
    <row r="24" spans="1:41" s="209" customFormat="1" ht="12.75" customHeight="1" outlineLevel="2">
      <c r="A24" s="655"/>
      <c r="B24" s="235" t="s">
        <v>637</v>
      </c>
      <c r="C24" s="192">
        <v>19.297999999999998</v>
      </c>
      <c r="D24" s="192">
        <v>30.402999999999999</v>
      </c>
      <c r="E24" s="192">
        <v>1.454</v>
      </c>
      <c r="F24" s="192">
        <v>11.808999999999999</v>
      </c>
      <c r="G24" s="192">
        <v>-32.988999999999997</v>
      </c>
      <c r="H24" s="192">
        <v>83.728999999999999</v>
      </c>
      <c r="I24" s="192">
        <v>-17.087</v>
      </c>
      <c r="J24" s="650">
        <f>(652)/1000</f>
        <v>0.65200000000000002</v>
      </c>
      <c r="K24" s="650">
        <v>51.557000000000002</v>
      </c>
      <c r="L24" s="650">
        <v>223.81399999999999</v>
      </c>
      <c r="M24" s="650">
        <v>68.191000000000003</v>
      </c>
      <c r="N24" s="650">
        <v>287.2</v>
      </c>
      <c r="O24" s="650">
        <v>252.3</v>
      </c>
      <c r="P24" s="650">
        <v>533</v>
      </c>
      <c r="Q24" s="650">
        <v>618.9</v>
      </c>
      <c r="R24" s="650">
        <v>273</v>
      </c>
      <c r="S24" s="649">
        <f>(BS!S22+BS!S20+BS!S21)-(BS!R22+BS!R20+BS!R21)</f>
        <v>413.45282803412783</v>
      </c>
      <c r="T24" s="649">
        <f>(BS!T22+BS!T20+BS!T21)-(BS!S22+BS!S20+BS!S21)</f>
        <v>336.91283625942833</v>
      </c>
      <c r="U24" s="649">
        <f>(BS!U22+BS!U20+BS!U21)-(BS!T22+BS!T20+BS!T21)</f>
        <v>503.09105459166267</v>
      </c>
      <c r="V24" s="649">
        <f>(BS!V22+BS!V20+BS!V21)-(BS!U22+BS!U20+BS!U21)</f>
        <v>640.71961018056936</v>
      </c>
      <c r="W24" s="649">
        <f>(BS!W22+BS!W20+BS!W21)-(BS!V22+BS!V20+BS!V21)</f>
        <v>374.48193550054657</v>
      </c>
      <c r="X24" s="649">
        <f>(BS!X22+BS!X20+BS!X21)-(BS!W22+BS!W20+BS!W21)</f>
        <v>143.99717868001881</v>
      </c>
      <c r="Y24" s="649">
        <f>(BS!Y22+BS!Y20+BS!Y21)-(BS!X22+BS!X20+BS!X21)</f>
        <v>86.141626672462735</v>
      </c>
      <c r="Z24" s="649">
        <f>(BS!Z22+BS!Z20+BS!Z21)-(BS!Y22+BS!Y20+BS!Y21)</f>
        <v>-729.90386896585278</v>
      </c>
      <c r="AA24" s="649">
        <f>(BS!AA22+BS!AA20+BS!AA21)-(BS!Z22+BS!Z20+BS!Z21)</f>
        <v>-1048.7266891271015</v>
      </c>
      <c r="AB24" s="649">
        <f>(BS!AB22+BS!AB20+BS!AB21)-(BS!AA22+BS!AA20+BS!AA21)</f>
        <v>-320.99372798639206</v>
      </c>
      <c r="AC24" s="649">
        <f>(BS!AC22+BS!AC20+BS!AC21)-(BS!AB22+BS!AB20+BS!AB21)</f>
        <v>-4.6820007304486353</v>
      </c>
      <c r="AD24" s="649">
        <f>(BS!AD22+BS!AD20+BS!AD21)-(BS!AC22+BS!AC20+BS!AC21)</f>
        <v>41.445975957834435</v>
      </c>
      <c r="AE24" s="649">
        <f>(BS!AE22+BS!AE20+BS!AE21)-(BS!AD22+BS!AD20+BS!AD21)</f>
        <v>-444.60769480900763</v>
      </c>
      <c r="AJ24"/>
      <c r="AK24"/>
      <c r="AL24"/>
      <c r="AM24"/>
      <c r="AN24"/>
      <c r="AO24"/>
    </row>
    <row r="25" spans="1:41" s="209" customFormat="1" ht="12.75" customHeight="1" outlineLevel="2">
      <c r="A25" s="655"/>
      <c r="B25" s="235" t="s">
        <v>638</v>
      </c>
      <c r="C25" s="192"/>
      <c r="D25" s="192"/>
      <c r="E25" s="192"/>
      <c r="F25" s="192"/>
      <c r="G25" s="192"/>
      <c r="H25" s="192"/>
      <c r="I25" s="192">
        <v>0</v>
      </c>
      <c r="J25" s="650">
        <v>0</v>
      </c>
      <c r="K25" s="650">
        <v>0</v>
      </c>
      <c r="L25" s="650">
        <v>-23.324000000000002</v>
      </c>
      <c r="M25" s="650">
        <v>0</v>
      </c>
      <c r="N25" s="650">
        <v>-75</v>
      </c>
      <c r="O25" s="650">
        <v>-14.3</v>
      </c>
      <c r="P25" s="650">
        <v>0</v>
      </c>
      <c r="Q25" s="650">
        <v>-8.6999999999999993</v>
      </c>
      <c r="R25" s="650">
        <v>0</v>
      </c>
      <c r="S25" s="649">
        <f t="shared" ref="S25:AE25" si="3">R25</f>
        <v>0</v>
      </c>
      <c r="T25" s="649">
        <f t="shared" si="3"/>
        <v>0</v>
      </c>
      <c r="U25" s="649">
        <f t="shared" si="3"/>
        <v>0</v>
      </c>
      <c r="V25" s="649">
        <f t="shared" si="3"/>
        <v>0</v>
      </c>
      <c r="W25" s="649">
        <f t="shared" si="3"/>
        <v>0</v>
      </c>
      <c r="X25" s="649">
        <f t="shared" si="3"/>
        <v>0</v>
      </c>
      <c r="Y25" s="649">
        <f t="shared" si="3"/>
        <v>0</v>
      </c>
      <c r="Z25" s="649">
        <f t="shared" si="3"/>
        <v>0</v>
      </c>
      <c r="AA25" s="649">
        <f t="shared" si="3"/>
        <v>0</v>
      </c>
      <c r="AB25" s="649">
        <f t="shared" si="3"/>
        <v>0</v>
      </c>
      <c r="AC25" s="649">
        <f t="shared" si="3"/>
        <v>0</v>
      </c>
      <c r="AD25" s="649">
        <f t="shared" si="3"/>
        <v>0</v>
      </c>
      <c r="AE25" s="649">
        <f t="shared" si="3"/>
        <v>0</v>
      </c>
      <c r="AJ25"/>
      <c r="AK25"/>
      <c r="AL25"/>
      <c r="AM25"/>
      <c r="AN25"/>
      <c r="AO25"/>
    </row>
    <row r="26" spans="1:41" s="209" customFormat="1" ht="12.75" customHeight="1" outlineLevel="2">
      <c r="A26" s="655"/>
      <c r="B26" s="235" t="s">
        <v>639</v>
      </c>
      <c r="C26" s="192">
        <v>0</v>
      </c>
      <c r="D26" s="192">
        <v>0</v>
      </c>
      <c r="E26" s="192">
        <v>40.404000000000003</v>
      </c>
      <c r="F26" s="192">
        <v>29.919</v>
      </c>
      <c r="G26" s="192">
        <v>93.265000000000001</v>
      </c>
      <c r="H26" s="192">
        <v>157.62100000000001</v>
      </c>
      <c r="I26" s="192">
        <v>69.61</v>
      </c>
      <c r="J26" s="650">
        <v>39.823</v>
      </c>
      <c r="K26" s="650">
        <v>78.11</v>
      </c>
      <c r="L26" s="650">
        <v>95.325999999999993</v>
      </c>
      <c r="M26" s="650">
        <v>-455.48500000000001</v>
      </c>
      <c r="N26" s="650">
        <v>57.4</v>
      </c>
      <c r="O26" s="650">
        <v>39.1</v>
      </c>
      <c r="P26" s="650">
        <v>61.2</v>
      </c>
      <c r="Q26" s="650">
        <v>111.7</v>
      </c>
      <c r="R26" s="650">
        <v>2229</v>
      </c>
      <c r="S26" s="649">
        <f>+BS!S22-BS!R22+BS!S29-BS!R29</f>
        <v>0</v>
      </c>
      <c r="T26" s="649">
        <f>+BS!T22-BS!S22+BS!T29-BS!S29</f>
        <v>0</v>
      </c>
      <c r="U26" s="649">
        <f>+BS!U22-BS!T22+BS!U29-BS!T29</f>
        <v>0</v>
      </c>
      <c r="V26" s="649">
        <f>+BS!V22-BS!U22+BS!V29-BS!U29</f>
        <v>0</v>
      </c>
      <c r="W26" s="649">
        <f>+BS!W22-BS!V22+BS!W29-BS!V29</f>
        <v>0</v>
      </c>
      <c r="X26" s="649">
        <f>+BS!X22-BS!W22+BS!X29-BS!W29</f>
        <v>0</v>
      </c>
      <c r="Y26" s="649">
        <f>+BS!Y22-BS!X22+BS!Y29-BS!X29</f>
        <v>0</v>
      </c>
      <c r="Z26" s="649">
        <f>+BS!Z22-BS!Y22+BS!Z29-BS!Y29</f>
        <v>0</v>
      </c>
      <c r="AA26" s="649">
        <f>+BS!AA22-BS!Z22+BS!AA29-BS!Z29</f>
        <v>0</v>
      </c>
      <c r="AB26" s="649">
        <f>+BS!AB22-BS!AA22+BS!AB29-BS!AA29</f>
        <v>0</v>
      </c>
      <c r="AC26" s="649">
        <f>+BS!AC22-BS!AB22+BS!AC29-BS!AB29</f>
        <v>0</v>
      </c>
      <c r="AD26" s="649">
        <f>+BS!AD22-BS!AC22+BS!AD29-BS!AC29</f>
        <v>0</v>
      </c>
      <c r="AE26" s="649">
        <f>+BS!AE22-BS!AD22+BS!AE29-BS!AD29</f>
        <v>0</v>
      </c>
      <c r="AJ26"/>
      <c r="AK26"/>
      <c r="AL26"/>
      <c r="AM26"/>
      <c r="AN26"/>
      <c r="AO26"/>
    </row>
    <row r="27" spans="1:41" s="209" customFormat="1" ht="12.75" customHeight="1" outlineLevel="2">
      <c r="A27" s="655"/>
      <c r="B27" s="235" t="s">
        <v>640</v>
      </c>
      <c r="C27" s="192">
        <v>-4.8659999999999997</v>
      </c>
      <c r="D27" s="192">
        <v>0.498</v>
      </c>
      <c r="E27" s="192">
        <v>79.207999999999998</v>
      </c>
      <c r="F27" s="192">
        <v>-4.6740000000000004</v>
      </c>
      <c r="G27" s="192">
        <v>-2.6440000000000001</v>
      </c>
      <c r="H27" s="192">
        <v>-3.6059999999999999</v>
      </c>
      <c r="I27" s="192">
        <v>6.7000000000000004E-2</v>
      </c>
      <c r="J27" s="650">
        <v>3.7909999999999999</v>
      </c>
      <c r="K27" s="650">
        <v>20.884</v>
      </c>
      <c r="L27" s="650">
        <v>-1.9370000000000001</v>
      </c>
      <c r="M27" s="650">
        <v>5.4809999999999999</v>
      </c>
      <c r="N27" s="650">
        <v>16.7</v>
      </c>
      <c r="O27" s="650">
        <v>8</v>
      </c>
      <c r="P27" s="650">
        <v>37.1</v>
      </c>
      <c r="Q27" s="650">
        <v>7.1</v>
      </c>
      <c r="R27" s="650">
        <v>20</v>
      </c>
      <c r="S27" s="649">
        <f>(BS!S23+BS!S28)-(BS!R23+BS!R28)</f>
        <v>14.844056460939584</v>
      </c>
      <c r="T27" s="649">
        <f>(BS!T23+BS!T28)-(BS!S23+BS!S28)</f>
        <v>16.384698712319135</v>
      </c>
      <c r="U27" s="649">
        <f>(BS!U23+BS!U28)-(BS!T23+BS!T28)</f>
        <v>21.135508057332657</v>
      </c>
      <c r="V27" s="649">
        <f>(BS!V23+BS!V28)-(BS!U23+BS!U28)</f>
        <v>23.974761274817837</v>
      </c>
      <c r="W27" s="649">
        <f>(BS!W23+BS!W28)-(BS!V23+BS!V28)</f>
        <v>13.106348388973458</v>
      </c>
      <c r="X27" s="649">
        <f>(BS!X23+BS!X28)-(BS!W23+BS!W28)</f>
        <v>2.6585649625457677</v>
      </c>
      <c r="Y27" s="649">
        <f>(BS!Y23+BS!Y28)-(BS!X23+BS!X28)</f>
        <v>-4.2277400114010959</v>
      </c>
      <c r="Z27" s="649">
        <f>(BS!Z23+BS!Z28)-(BS!Y23+BS!Y28)</f>
        <v>-36.46432159653537</v>
      </c>
      <c r="AA27" s="649">
        <f>(BS!AA23+BS!AA28)-(BS!Z23+BS!Z28)</f>
        <v>-57.213783278821367</v>
      </c>
      <c r="AB27" s="649">
        <f>(BS!AB23+BS!AB28)-(BS!AA23+BS!AA28)</f>
        <v>-20.156634421649002</v>
      </c>
      <c r="AC27" s="649">
        <f>(BS!AC23+BS!AC28)-(BS!AB23+BS!AB28)</f>
        <v>-2.97337933588922</v>
      </c>
      <c r="AD27" s="649">
        <f>(BS!AD23+BS!AD28)-(BS!AC23+BS!AC28)</f>
        <v>-0.57512472389639413</v>
      </c>
      <c r="AE27" s="649">
        <f>(BS!AE23+BS!AE28)-(BS!AD23+BS!AD28)</f>
        <v>-18.634772680539015</v>
      </c>
      <c r="AJ27"/>
      <c r="AK27"/>
      <c r="AL27"/>
      <c r="AM27"/>
      <c r="AN27"/>
      <c r="AO27"/>
    </row>
    <row r="28" spans="1:41" s="671" customFormat="1" ht="12.75" customHeight="1" outlineLevel="1">
      <c r="A28" s="656" t="s">
        <v>766</v>
      </c>
      <c r="B28" s="668" t="s">
        <v>632</v>
      </c>
      <c r="C28" s="669">
        <f t="shared" ref="C28:AE28" si="4">SUM(C20:C27)</f>
        <v>6.150999999999998</v>
      </c>
      <c r="D28" s="669">
        <f t="shared" si="4"/>
        <v>-1.5160000000000029</v>
      </c>
      <c r="E28" s="669">
        <f t="shared" si="4"/>
        <v>156.80099999999999</v>
      </c>
      <c r="F28" s="669">
        <f t="shared" si="4"/>
        <v>-13.396000000000004</v>
      </c>
      <c r="G28" s="669">
        <f t="shared" si="4"/>
        <v>-52.721999999999987</v>
      </c>
      <c r="H28" s="669">
        <f t="shared" si="4"/>
        <v>146.47700000000003</v>
      </c>
      <c r="I28" s="669">
        <f t="shared" si="4"/>
        <v>-210.16099999999994</v>
      </c>
      <c r="J28" s="670">
        <f t="shared" si="4"/>
        <v>-130.65600000000001</v>
      </c>
      <c r="K28" s="670">
        <f>SUM(K20:K27)</f>
        <v>-107.85299999999991</v>
      </c>
      <c r="L28" s="670">
        <f t="shared" si="4"/>
        <v>34.801999999999992</v>
      </c>
      <c r="M28" s="670">
        <f t="shared" si="4"/>
        <v>-389.834</v>
      </c>
      <c r="N28" s="670">
        <f t="shared" si="4"/>
        <v>4.2999999999999865</v>
      </c>
      <c r="O28" s="670">
        <f>SUM(O20:O27)</f>
        <v>114.9</v>
      </c>
      <c r="P28" s="670">
        <f t="shared" si="4"/>
        <v>-50.199999999999996</v>
      </c>
      <c r="Q28" s="670">
        <f t="shared" si="4"/>
        <v>545.5</v>
      </c>
      <c r="R28" s="670">
        <f t="shared" si="4"/>
        <v>2171</v>
      </c>
      <c r="S28" s="670">
        <f t="shared" si="4"/>
        <v>35.563503676186514</v>
      </c>
      <c r="T28" s="670">
        <f t="shared" si="4"/>
        <v>-104.29374612123755</v>
      </c>
      <c r="U28" s="670">
        <f t="shared" si="4"/>
        <v>-126.27114022795095</v>
      </c>
      <c r="V28" s="670">
        <f t="shared" si="4"/>
        <v>-143.974635883307</v>
      </c>
      <c r="W28" s="670">
        <f t="shared" si="4"/>
        <v>-123.82983008035006</v>
      </c>
      <c r="X28" s="670">
        <f t="shared" si="4"/>
        <v>-95.527535022748964</v>
      </c>
      <c r="Y28" s="670">
        <f t="shared" si="4"/>
        <v>-56.876241117010721</v>
      </c>
      <c r="Z28" s="670">
        <f t="shared" si="4"/>
        <v>88.590197868341164</v>
      </c>
      <c r="AA28" s="670">
        <f t="shared" si="4"/>
        <v>178.13983830251328</v>
      </c>
      <c r="AB28" s="670">
        <f t="shared" si="4"/>
        <v>54.976160723897706</v>
      </c>
      <c r="AC28" s="670">
        <f t="shared" si="4"/>
        <v>-9.1859473740077107</v>
      </c>
      <c r="AD28" s="670">
        <f t="shared" si="4"/>
        <v>-18.652739709930856</v>
      </c>
      <c r="AE28" s="670">
        <f t="shared" si="4"/>
        <v>82.954827063472237</v>
      </c>
      <c r="AJ28"/>
      <c r="AK28"/>
      <c r="AL28"/>
      <c r="AM28"/>
      <c r="AN28"/>
      <c r="AO28"/>
    </row>
    <row r="29" spans="1:41" s="206" customFormat="1" ht="12.75" customHeight="1" outlineLevel="1">
      <c r="A29" s="657"/>
      <c r="B29" s="666" t="s">
        <v>641</v>
      </c>
      <c r="C29" s="641">
        <f t="shared" ref="C29:H29" si="5">SUM(C20:C27)+C3+C6+SUM(C8:C19)</f>
        <v>-37.817999999999998</v>
      </c>
      <c r="D29" s="641">
        <f t="shared" si="5"/>
        <v>18.725000000000001</v>
      </c>
      <c r="E29" s="641">
        <f t="shared" si="5"/>
        <v>155.93899999999999</v>
      </c>
      <c r="F29" s="641">
        <f t="shared" si="5"/>
        <v>41.916999999999987</v>
      </c>
      <c r="G29" s="641">
        <f t="shared" si="5"/>
        <v>83.561000000000007</v>
      </c>
      <c r="H29" s="641">
        <f t="shared" si="5"/>
        <v>477.50000000000006</v>
      </c>
      <c r="I29" s="641">
        <f t="shared" ref="I29:T29" si="6">SUM(I20:I27)+I3+I6+SUM(I7:I19)</f>
        <v>182.18700000000013</v>
      </c>
      <c r="J29" s="642">
        <f t="shared" si="6"/>
        <v>909.8549999999999</v>
      </c>
      <c r="K29" s="642">
        <f t="shared" si="6"/>
        <v>1181.556</v>
      </c>
      <c r="L29" s="642">
        <f t="shared" si="6"/>
        <v>1808.6849999999999</v>
      </c>
      <c r="M29" s="642">
        <f t="shared" si="6"/>
        <v>2018.5530000000001</v>
      </c>
      <c r="N29" s="642">
        <f t="shared" si="6"/>
        <v>2225.9</v>
      </c>
      <c r="O29" s="642">
        <f>SUM(O20:O27)+O3+O6+SUM(O7:O19)</f>
        <v>2806.3</v>
      </c>
      <c r="P29" s="642">
        <f t="shared" si="6"/>
        <v>2483.8999999999996</v>
      </c>
      <c r="Q29" s="642">
        <f t="shared" si="6"/>
        <v>3976.2999999999997</v>
      </c>
      <c r="R29" s="642">
        <f t="shared" si="6"/>
        <v>5246</v>
      </c>
      <c r="S29" s="642">
        <f t="shared" si="6"/>
        <v>6390.4635587761659</v>
      </c>
      <c r="T29" s="642">
        <f t="shared" si="6"/>
        <v>7435.1391648857089</v>
      </c>
      <c r="U29" s="642">
        <f>SUM(U20:U27)+U3+U6+SUM(U7:U19)</f>
        <v>8819.7803688769418</v>
      </c>
      <c r="V29" s="642">
        <f t="shared" ref="V29:AA29" si="7">SUM(V20:V27)+V3+V6+SUM(V7:V19)</f>
        <v>10311.939159094742</v>
      </c>
      <c r="W29" s="642">
        <f t="shared" si="7"/>
        <v>11194.563372014825</v>
      </c>
      <c r="X29" s="642">
        <f t="shared" si="7"/>
        <v>11473.232786669818</v>
      </c>
      <c r="Y29" s="642">
        <f t="shared" si="7"/>
        <v>11263.485707032289</v>
      </c>
      <c r="Z29" s="642">
        <f t="shared" si="7"/>
        <v>9400.5371190289043</v>
      </c>
      <c r="AA29" s="642">
        <f t="shared" si="7"/>
        <v>5892.3898620306318</v>
      </c>
      <c r="AB29" s="642">
        <f>SUM(AB20:AB27)+AB3+AB6+SUM(AB7:AB19)</f>
        <v>4570.7739043669262</v>
      </c>
      <c r="AC29" s="642">
        <f>SUM(AC20:AC27)+AC3+AC6+SUM(AC7:AC19)</f>
        <v>4347.1560306793481</v>
      </c>
      <c r="AD29" s="642">
        <f>SUM(AD20:AD27)+AD3+AD6+SUM(AD7:AD19)</f>
        <v>4577.3027409085471</v>
      </c>
      <c r="AE29" s="642">
        <f>SUM(AE20:AE27)+AE3+AE6+SUM(AE7:AE19)</f>
        <v>3543.7259779648248</v>
      </c>
      <c r="AJ29"/>
      <c r="AK29"/>
      <c r="AL29"/>
      <c r="AM29"/>
      <c r="AN29"/>
      <c r="AO29"/>
    </row>
    <row r="30" spans="1:41" s="206" customFormat="1" ht="12.75" customHeight="1">
      <c r="A30" s="657"/>
      <c r="B30" s="310"/>
      <c r="C30" s="216"/>
      <c r="D30" s="216"/>
      <c r="E30" s="216"/>
      <c r="F30" s="216"/>
      <c r="G30" s="216"/>
      <c r="H30" s="216"/>
      <c r="I30" s="216"/>
      <c r="J30" s="635"/>
      <c r="K30" s="635"/>
      <c r="L30" s="635"/>
      <c r="M30" s="635"/>
      <c r="N30" s="635"/>
      <c r="O30" s="635"/>
      <c r="P30" s="635"/>
      <c r="Q30" s="635"/>
      <c r="R30" s="635"/>
      <c r="S30" s="635"/>
      <c r="T30" s="635"/>
      <c r="U30" s="635"/>
      <c r="AJ30"/>
      <c r="AK30"/>
      <c r="AL30"/>
      <c r="AM30"/>
      <c r="AN30"/>
      <c r="AO30"/>
    </row>
    <row r="31" spans="1:41" ht="12.75" customHeight="1">
      <c r="A31" s="653"/>
      <c r="B31" s="651" t="s">
        <v>702</v>
      </c>
      <c r="C31" s="258"/>
      <c r="D31" s="258"/>
      <c r="E31" s="258"/>
      <c r="F31" s="258"/>
      <c r="G31" s="258"/>
      <c r="H31" s="258"/>
      <c r="I31" s="258"/>
      <c r="J31" s="630"/>
      <c r="K31" s="630"/>
      <c r="L31" s="630"/>
      <c r="M31" s="630"/>
      <c r="N31" s="630"/>
      <c r="O31" s="630"/>
      <c r="P31" s="630"/>
      <c r="Q31" s="630"/>
      <c r="R31" s="630"/>
      <c r="S31" s="630"/>
      <c r="T31" s="630"/>
      <c r="U31" s="630"/>
    </row>
    <row r="32" spans="1:41" s="209" customFormat="1" ht="12.75" customHeight="1" outlineLevel="1">
      <c r="A32" s="655"/>
      <c r="B32" s="665" t="s">
        <v>642</v>
      </c>
      <c r="C32" s="192">
        <v>133.26499999999999</v>
      </c>
      <c r="D32" s="192">
        <v>415.59500000000003</v>
      </c>
      <c r="E32" s="192">
        <v>539.20000000000005</v>
      </c>
      <c r="F32" s="192">
        <v>598.31899999999996</v>
      </c>
      <c r="G32" s="192">
        <v>857.91800000000001</v>
      </c>
      <c r="H32" s="192">
        <v>1654.354</v>
      </c>
      <c r="I32" s="192">
        <v>1148.116</v>
      </c>
      <c r="J32" s="650">
        <v>2258.3760000000002</v>
      </c>
      <c r="K32" s="650">
        <v>3931.8829999999998</v>
      </c>
      <c r="L32" s="650">
        <v>2175.172</v>
      </c>
      <c r="M32" s="650">
        <v>1743.741</v>
      </c>
      <c r="N32" s="650">
        <v>3642.3</v>
      </c>
      <c r="O32" s="650">
        <v>2175.9</v>
      </c>
      <c r="P32" s="650">
        <v>3799.6</v>
      </c>
      <c r="Q32" s="650">
        <v>632.79999999999995</v>
      </c>
      <c r="R32" s="650">
        <v>5968</v>
      </c>
      <c r="S32" s="649">
        <v>5000</v>
      </c>
      <c r="T32" s="649">
        <v>1500</v>
      </c>
      <c r="U32" s="649">
        <v>1500</v>
      </c>
      <c r="V32" s="649">
        <v>1500</v>
      </c>
      <c r="W32" s="649">
        <v>1500</v>
      </c>
      <c r="X32" s="649">
        <v>1500</v>
      </c>
      <c r="Y32" s="649">
        <v>1500</v>
      </c>
      <c r="Z32" s="649">
        <v>1500</v>
      </c>
      <c r="AA32" s="649">
        <v>1500</v>
      </c>
      <c r="AB32" s="649">
        <v>1500</v>
      </c>
      <c r="AC32" s="649">
        <v>1500</v>
      </c>
      <c r="AD32" s="649">
        <v>1500</v>
      </c>
      <c r="AE32" s="649">
        <v>1500</v>
      </c>
      <c r="AH32" s="671" t="s">
        <v>766</v>
      </c>
      <c r="AJ32"/>
      <c r="AK32"/>
      <c r="AL32"/>
      <c r="AM32"/>
      <c r="AN32"/>
      <c r="AO32"/>
    </row>
    <row r="33" spans="1:41" s="209" customFormat="1" ht="12.75" customHeight="1" outlineLevel="1">
      <c r="A33" s="655"/>
      <c r="B33" s="665" t="s">
        <v>643</v>
      </c>
      <c r="C33" s="192">
        <v>-40.116</v>
      </c>
      <c r="D33" s="192">
        <v>-836.827</v>
      </c>
      <c r="E33" s="192">
        <v>-478.93900000000002</v>
      </c>
      <c r="F33" s="192">
        <f>(-647815)/1000</f>
        <v>-647.81500000000005</v>
      </c>
      <c r="G33" s="192">
        <v>-780.101</v>
      </c>
      <c r="H33" s="192">
        <v>-2547.6860000000001</v>
      </c>
      <c r="I33" s="192">
        <v>-835.96699999999998</v>
      </c>
      <c r="J33" s="650">
        <v>-3007.6729999999998</v>
      </c>
      <c r="K33" s="650">
        <v>-3272.2249999999999</v>
      </c>
      <c r="L33" s="650">
        <v>-1693.38</v>
      </c>
      <c r="M33" s="650">
        <v>-2768.7979999999998</v>
      </c>
      <c r="N33" s="650">
        <v>-3983.6</v>
      </c>
      <c r="O33" s="650">
        <v>-2661.4</v>
      </c>
      <c r="P33" s="650">
        <v>-1889.3</v>
      </c>
      <c r="Q33" s="650">
        <v>-1280.5</v>
      </c>
      <c r="R33" s="650">
        <v>-8478</v>
      </c>
      <c r="S33" s="649">
        <v>-1750</v>
      </c>
      <c r="T33" s="649">
        <v>-1750</v>
      </c>
      <c r="U33" s="649">
        <v>-1750</v>
      </c>
      <c r="V33" s="649">
        <v>-1750</v>
      </c>
      <c r="W33" s="649">
        <v>-1750</v>
      </c>
      <c r="X33" s="649">
        <v>-1750</v>
      </c>
      <c r="Y33" s="649">
        <v>-1750</v>
      </c>
      <c r="Z33" s="649">
        <v>-1750</v>
      </c>
      <c r="AA33" s="649">
        <v>-1750</v>
      </c>
      <c r="AB33" s="649">
        <v>-1750</v>
      </c>
      <c r="AC33" s="649">
        <v>-1750</v>
      </c>
      <c r="AD33" s="649">
        <v>-1750</v>
      </c>
      <c r="AE33" s="649">
        <v>-1750</v>
      </c>
      <c r="AH33" s="671" t="s">
        <v>766</v>
      </c>
      <c r="AJ33"/>
      <c r="AK33"/>
      <c r="AL33"/>
      <c r="AM33"/>
      <c r="AN33"/>
      <c r="AO33"/>
    </row>
    <row r="34" spans="1:41" s="209" customFormat="1" ht="12.75" customHeight="1" outlineLevel="1">
      <c r="A34" s="655"/>
      <c r="B34" s="665" t="s">
        <v>644</v>
      </c>
      <c r="C34" s="192">
        <v>-11.077</v>
      </c>
      <c r="D34" s="192">
        <v>-11.227</v>
      </c>
      <c r="E34" s="192">
        <v>-36.015000000000001</v>
      </c>
      <c r="F34" s="192">
        <f>(+-35861)/1000</f>
        <v>-35.860999999999997</v>
      </c>
      <c r="G34" s="192">
        <f>(+-46137-12445)/1000</f>
        <v>-58.582000000000001</v>
      </c>
      <c r="H34" s="192">
        <v>-64.358999999999995</v>
      </c>
      <c r="I34" s="192">
        <v>-77.379000000000005</v>
      </c>
      <c r="J34" s="650">
        <v>-93.384</v>
      </c>
      <c r="K34" s="650">
        <v>-98.632000000000005</v>
      </c>
      <c r="L34" s="650">
        <v>-132.119</v>
      </c>
      <c r="M34" s="650">
        <v>-111.524</v>
      </c>
      <c r="N34" s="650">
        <v>-119.7</v>
      </c>
      <c r="O34" s="650">
        <v>-150.30000000000001</v>
      </c>
      <c r="P34" s="650">
        <v>-286.3</v>
      </c>
      <c r="Q34" s="650">
        <v>-236.2</v>
      </c>
      <c r="R34" s="650">
        <v>-279</v>
      </c>
      <c r="S34" s="649">
        <f>-BS!S104</f>
        <v>-316.99533717983616</v>
      </c>
      <c r="T34" s="649">
        <f>-BS!T104</f>
        <v>-358.93415314990074</v>
      </c>
      <c r="U34" s="649">
        <f>-BS!U104</f>
        <v>-481.24300797875685</v>
      </c>
      <c r="V34" s="649">
        <f>-BS!V104</f>
        <v>-552.74388432198077</v>
      </c>
      <c r="W34" s="649">
        <f>-BS!W104</f>
        <v>-591.8314641618482</v>
      </c>
      <c r="X34" s="649">
        <f>-BS!X104</f>
        <v>-599.76020732881659</v>
      </c>
      <c r="Y34" s="649">
        <f>-BS!Y104</f>
        <v>-587.15165151041106</v>
      </c>
      <c r="Z34" s="649">
        <f>-BS!Z104</f>
        <v>-574.08320005476401</v>
      </c>
      <c r="AA34" s="649">
        <f>-BS!AA104</f>
        <v>-369.32609253884266</v>
      </c>
      <c r="AB34" s="649">
        <f>-BS!AB104</f>
        <v>-297.18938133204398</v>
      </c>
      <c r="AC34" s="649">
        <f>-BS!AC104</f>
        <v>-286.54822954179599</v>
      </c>
      <c r="AD34" s="649">
        <f>-BS!AD104</f>
        <v>-284.48996895881675</v>
      </c>
      <c r="AE34" s="649">
        <f>-BS!AE104</f>
        <v>-217.79970772072988</v>
      </c>
      <c r="AJ34"/>
      <c r="AK34"/>
      <c r="AL34"/>
      <c r="AM34"/>
      <c r="AN34"/>
      <c r="AO34"/>
    </row>
    <row r="35" spans="1:41" s="209" customFormat="1" ht="12.75" customHeight="1" outlineLevel="1">
      <c r="A35" s="655"/>
      <c r="B35" s="665" t="s">
        <v>645</v>
      </c>
      <c r="C35" s="192">
        <v>-10.298999999999999</v>
      </c>
      <c r="D35" s="192">
        <v>0</v>
      </c>
      <c r="E35" s="192">
        <v>-109.88200000000001</v>
      </c>
      <c r="F35" s="192">
        <v>-7.1520000000000001</v>
      </c>
      <c r="G35" s="192">
        <v>0</v>
      </c>
      <c r="H35" s="192">
        <v>0</v>
      </c>
      <c r="I35" s="192">
        <v>-746.779</v>
      </c>
      <c r="J35" s="650">
        <v>0</v>
      </c>
      <c r="K35" s="650">
        <v>-2652.377</v>
      </c>
      <c r="L35" s="650">
        <v>0</v>
      </c>
      <c r="M35" s="650">
        <v>-352.245</v>
      </c>
      <c r="N35" s="650">
        <f>-BS!N147</f>
        <v>0</v>
      </c>
      <c r="O35" s="650">
        <v>-710</v>
      </c>
      <c r="P35" s="650">
        <v>-7695.1</v>
      </c>
      <c r="Q35" s="650">
        <v>0</v>
      </c>
      <c r="R35" s="650">
        <v>0</v>
      </c>
      <c r="S35" s="649">
        <f>-BS!S147</f>
        <v>-10100</v>
      </c>
      <c r="T35" s="649">
        <f>-BS!T147</f>
        <v>0</v>
      </c>
      <c r="U35" s="649">
        <f>-BS!U147</f>
        <v>0</v>
      </c>
      <c r="V35" s="649">
        <f>-BS!V147</f>
        <v>0</v>
      </c>
      <c r="W35" s="649">
        <f>-BS!W147</f>
        <v>0</v>
      </c>
      <c r="X35" s="649">
        <f>-BS!X147</f>
        <v>0</v>
      </c>
      <c r="Y35" s="649">
        <f>-BS!Y147</f>
        <v>0</v>
      </c>
      <c r="Z35" s="649">
        <f>-BS!Z147</f>
        <v>0</v>
      </c>
      <c r="AA35" s="649">
        <f>-BS!AA147</f>
        <v>0</v>
      </c>
      <c r="AB35" s="649">
        <f>-BS!AB147</f>
        <v>0</v>
      </c>
      <c r="AC35" s="649">
        <f>-BS!AC147</f>
        <v>0</v>
      </c>
      <c r="AD35" s="649">
        <f>-BS!AD147</f>
        <v>0</v>
      </c>
      <c r="AE35" s="649">
        <f>-BS!AE147</f>
        <v>0</v>
      </c>
      <c r="AJ35"/>
      <c r="AK35"/>
      <c r="AL35"/>
      <c r="AM35"/>
      <c r="AN35"/>
      <c r="AO35"/>
    </row>
    <row r="36" spans="1:41" s="209" customFormat="1" ht="12.75" customHeight="1" outlineLevel="1">
      <c r="A36" s="655"/>
      <c r="B36" s="665" t="s">
        <v>646</v>
      </c>
      <c r="C36" s="192"/>
      <c r="D36" s="192"/>
      <c r="E36" s="192"/>
      <c r="F36" s="192"/>
      <c r="G36" s="192"/>
      <c r="H36" s="192"/>
      <c r="I36" s="192">
        <v>0</v>
      </c>
      <c r="J36" s="650">
        <v>0</v>
      </c>
      <c r="K36" s="650">
        <v>0</v>
      </c>
      <c r="L36" s="650">
        <v>93.185000000000002</v>
      </c>
      <c r="M36" s="650">
        <v>15.782</v>
      </c>
      <c r="N36" s="650">
        <v>0</v>
      </c>
      <c r="O36" s="650">
        <v>0</v>
      </c>
      <c r="P36" s="650">
        <v>92</v>
      </c>
      <c r="Q36" s="650">
        <v>14.6</v>
      </c>
      <c r="R36" s="650">
        <v>20</v>
      </c>
      <c r="S36" s="649">
        <v>0</v>
      </c>
      <c r="T36" s="649">
        <v>0</v>
      </c>
      <c r="U36" s="649">
        <v>0</v>
      </c>
      <c r="V36" s="649">
        <v>0</v>
      </c>
      <c r="W36" s="649">
        <v>0</v>
      </c>
      <c r="X36" s="649">
        <v>0</v>
      </c>
      <c r="Y36" s="649">
        <v>0</v>
      </c>
      <c r="Z36" s="649">
        <v>0</v>
      </c>
      <c r="AA36" s="649">
        <v>0</v>
      </c>
      <c r="AB36" s="649">
        <v>0</v>
      </c>
      <c r="AC36" s="649">
        <v>0</v>
      </c>
      <c r="AD36" s="649">
        <v>0</v>
      </c>
      <c r="AE36" s="649">
        <v>0</v>
      </c>
      <c r="AJ36"/>
      <c r="AK36"/>
      <c r="AL36"/>
      <c r="AM36"/>
      <c r="AN36"/>
      <c r="AO36"/>
    </row>
    <row r="37" spans="1:41" s="209" customFormat="1" ht="12.75" customHeight="1" outlineLevel="1">
      <c r="A37" s="655"/>
      <c r="B37" s="665" t="s">
        <v>647</v>
      </c>
      <c r="C37" s="192">
        <v>0</v>
      </c>
      <c r="D37" s="192">
        <v>0</v>
      </c>
      <c r="E37" s="192">
        <v>0</v>
      </c>
      <c r="F37" s="192">
        <v>-10.5</v>
      </c>
      <c r="G37" s="192">
        <v>-7.4</v>
      </c>
      <c r="H37" s="192">
        <v>-1.621</v>
      </c>
      <c r="I37" s="192">
        <v>-12.855</v>
      </c>
      <c r="J37" s="650">
        <v>-3.6030000000000002</v>
      </c>
      <c r="K37" s="650">
        <v>-1.9339999999999999</v>
      </c>
      <c r="L37" s="650">
        <v>-3.9140000000000001</v>
      </c>
      <c r="M37" s="650">
        <v>0</v>
      </c>
      <c r="N37" s="650">
        <v>0</v>
      </c>
      <c r="O37" s="650">
        <v>0</v>
      </c>
      <c r="P37" s="650">
        <v>0</v>
      </c>
      <c r="Q37" s="650">
        <v>0</v>
      </c>
      <c r="R37" s="650">
        <v>0</v>
      </c>
      <c r="S37" s="649">
        <v>0</v>
      </c>
      <c r="T37" s="649">
        <v>0</v>
      </c>
      <c r="U37" s="649">
        <v>0</v>
      </c>
      <c r="V37" s="649">
        <v>0</v>
      </c>
      <c r="W37" s="649">
        <v>0</v>
      </c>
      <c r="X37" s="649">
        <v>0</v>
      </c>
      <c r="Y37" s="649">
        <v>0</v>
      </c>
      <c r="Z37" s="649">
        <v>0</v>
      </c>
      <c r="AA37" s="649">
        <v>0</v>
      </c>
      <c r="AB37" s="649">
        <v>0</v>
      </c>
      <c r="AC37" s="649">
        <v>0</v>
      </c>
      <c r="AD37" s="649">
        <v>0</v>
      </c>
      <c r="AE37" s="649">
        <v>0</v>
      </c>
      <c r="AJ37"/>
      <c r="AK37"/>
      <c r="AL37"/>
      <c r="AM37"/>
      <c r="AN37"/>
      <c r="AO37"/>
    </row>
    <row r="38" spans="1:41" s="209" customFormat="1" ht="12.75" customHeight="1" outlineLevel="1">
      <c r="A38" s="655"/>
      <c r="B38" s="665" t="s">
        <v>648</v>
      </c>
      <c r="C38" s="192">
        <v>0</v>
      </c>
      <c r="D38" s="192">
        <v>0</v>
      </c>
      <c r="E38" s="192">
        <v>-7</v>
      </c>
      <c r="F38" s="192">
        <v>0</v>
      </c>
      <c r="G38" s="192">
        <v>-5.0510000000000002</v>
      </c>
      <c r="H38" s="192">
        <v>-23.356000000000002</v>
      </c>
      <c r="I38" s="192">
        <v>-9.4359999999999999</v>
      </c>
      <c r="J38" s="650">
        <v>-13.127000000000001</v>
      </c>
      <c r="K38" s="650">
        <v>-14.02</v>
      </c>
      <c r="L38" s="650">
        <v>-59.247999999999998</v>
      </c>
      <c r="M38" s="650">
        <v>-30.045999999999999</v>
      </c>
      <c r="N38" s="650">
        <v>-47.1</v>
      </c>
      <c r="O38" s="650">
        <v>-67.400000000000006</v>
      </c>
      <c r="P38" s="650">
        <v>-272.5</v>
      </c>
      <c r="Q38" s="650">
        <v>-132.30000000000001</v>
      </c>
      <c r="R38" s="650">
        <v>-95</v>
      </c>
      <c r="S38" s="649">
        <v>0</v>
      </c>
      <c r="T38" s="649">
        <v>0</v>
      </c>
      <c r="U38" s="649">
        <v>0</v>
      </c>
      <c r="V38" s="649">
        <v>0</v>
      </c>
      <c r="W38" s="649">
        <v>0</v>
      </c>
      <c r="X38" s="649">
        <v>0</v>
      </c>
      <c r="Y38" s="649">
        <v>0</v>
      </c>
      <c r="Z38" s="649">
        <v>0</v>
      </c>
      <c r="AA38" s="649">
        <v>0</v>
      </c>
      <c r="AB38" s="649">
        <v>0</v>
      </c>
      <c r="AC38" s="649">
        <v>0</v>
      </c>
      <c r="AD38" s="649">
        <v>0</v>
      </c>
      <c r="AE38" s="649">
        <v>0</v>
      </c>
      <c r="AH38" s="671" t="s">
        <v>766</v>
      </c>
      <c r="AJ38"/>
      <c r="AK38"/>
      <c r="AL38"/>
      <c r="AM38"/>
      <c r="AN38"/>
      <c r="AO38"/>
    </row>
    <row r="39" spans="1:41" s="209" customFormat="1" ht="12.75" customHeight="1" outlineLevel="1">
      <c r="A39" s="655"/>
      <c r="B39" s="665" t="s">
        <v>111</v>
      </c>
      <c r="C39" s="192">
        <v>1</v>
      </c>
      <c r="D39" s="192">
        <f>(750+138-12000)/1000</f>
        <v>-11.112</v>
      </c>
      <c r="E39" s="192">
        <v>0</v>
      </c>
      <c r="F39" s="192">
        <v>-0.122</v>
      </c>
      <c r="G39" s="192">
        <v>0</v>
      </c>
      <c r="H39" s="192">
        <v>-7.5179999999999998</v>
      </c>
      <c r="I39" s="192">
        <v>12.054</v>
      </c>
      <c r="J39" s="650">
        <v>3.3330000000000002</v>
      </c>
      <c r="K39" s="650">
        <v>0</v>
      </c>
      <c r="L39" s="650">
        <v>-2</v>
      </c>
      <c r="M39" s="650">
        <f>-1.637-48.865</f>
        <v>-50.502000000000002</v>
      </c>
      <c r="N39" s="650">
        <f>-1.1-19.4</f>
        <v>-20.5</v>
      </c>
      <c r="O39" s="650">
        <f>-24.8</f>
        <v>-24.8</v>
      </c>
      <c r="P39" s="650">
        <v>-7.4</v>
      </c>
      <c r="Q39" s="650">
        <f>-0.6</f>
        <v>-0.6</v>
      </c>
      <c r="R39" s="650">
        <v>-27</v>
      </c>
      <c r="S39" s="649">
        <v>0</v>
      </c>
      <c r="T39" s="649">
        <v>0</v>
      </c>
      <c r="U39" s="649">
        <v>0</v>
      </c>
      <c r="V39" s="649">
        <v>0</v>
      </c>
      <c r="W39" s="649">
        <v>0</v>
      </c>
      <c r="X39" s="649">
        <v>0</v>
      </c>
      <c r="Y39" s="649">
        <v>0</v>
      </c>
      <c r="Z39" s="649">
        <v>0</v>
      </c>
      <c r="AA39" s="649">
        <v>0</v>
      </c>
      <c r="AB39" s="649">
        <v>0</v>
      </c>
      <c r="AC39" s="649">
        <v>0</v>
      </c>
      <c r="AD39" s="649">
        <v>0</v>
      </c>
      <c r="AE39" s="649">
        <v>0</v>
      </c>
      <c r="AH39" s="671" t="s">
        <v>766</v>
      </c>
      <c r="AJ39"/>
      <c r="AK39"/>
      <c r="AL39"/>
      <c r="AM39"/>
      <c r="AN39"/>
      <c r="AO39"/>
    </row>
    <row r="40" spans="1:41" s="206" customFormat="1" ht="12.75" customHeight="1" outlineLevel="1">
      <c r="A40" s="654"/>
      <c r="B40" s="666" t="s">
        <v>649</v>
      </c>
      <c r="C40" s="641">
        <f t="shared" ref="C40:M40" si="8">SUM(C32:C39)</f>
        <v>72.772999999999996</v>
      </c>
      <c r="D40" s="641">
        <f t="shared" si="8"/>
        <v>-443.57099999999997</v>
      </c>
      <c r="E40" s="641">
        <f t="shared" si="8"/>
        <v>-92.635999999999981</v>
      </c>
      <c r="F40" s="641">
        <f t="shared" si="8"/>
        <v>-103.13100000000009</v>
      </c>
      <c r="G40" s="641">
        <f t="shared" si="8"/>
        <v>6.784000000000006</v>
      </c>
      <c r="H40" s="641">
        <f t="shared" si="8"/>
        <v>-990.18600000000015</v>
      </c>
      <c r="I40" s="641">
        <f t="shared" si="8"/>
        <v>-522.24600000000009</v>
      </c>
      <c r="J40" s="642">
        <f t="shared" si="8"/>
        <v>-856.07799999999952</v>
      </c>
      <c r="K40" s="642">
        <f t="shared" si="8"/>
        <v>-2107.3050000000003</v>
      </c>
      <c r="L40" s="642">
        <f t="shared" si="8"/>
        <v>377.69599999999991</v>
      </c>
      <c r="M40" s="642">
        <f t="shared" si="8"/>
        <v>-1553.5919999999996</v>
      </c>
      <c r="N40" s="642">
        <f t="shared" ref="N40:T40" si="9">SUM(N32:N39)</f>
        <v>-528.59999999999968</v>
      </c>
      <c r="O40" s="642">
        <f t="shared" si="9"/>
        <v>-1438</v>
      </c>
      <c r="P40" s="642">
        <f t="shared" si="9"/>
        <v>-6259</v>
      </c>
      <c r="Q40" s="642">
        <f t="shared" si="9"/>
        <v>-1002.2000000000002</v>
      </c>
      <c r="R40" s="642">
        <f t="shared" si="9"/>
        <v>-2891</v>
      </c>
      <c r="S40" s="642">
        <f t="shared" si="9"/>
        <v>-7166.9953371798365</v>
      </c>
      <c r="T40" s="642">
        <f t="shared" si="9"/>
        <v>-608.93415314990079</v>
      </c>
      <c r="U40" s="642">
        <f>SUM(U32:U39)</f>
        <v>-731.24300797875685</v>
      </c>
      <c r="V40" s="642">
        <f t="shared" ref="V40:AE40" si="10">SUM(V32:V39)</f>
        <v>-802.74388432198077</v>
      </c>
      <c r="W40" s="642">
        <f t="shared" si="10"/>
        <v>-841.8314641618482</v>
      </c>
      <c r="X40" s="642">
        <f t="shared" si="10"/>
        <v>-849.76020732881659</v>
      </c>
      <c r="Y40" s="642">
        <f t="shared" si="10"/>
        <v>-837.15165151041106</v>
      </c>
      <c r="Z40" s="642">
        <f t="shared" si="10"/>
        <v>-824.08320005476401</v>
      </c>
      <c r="AA40" s="642">
        <f t="shared" si="10"/>
        <v>-619.32609253884266</v>
      </c>
      <c r="AB40" s="642">
        <f t="shared" si="10"/>
        <v>-547.18938133204392</v>
      </c>
      <c r="AC40" s="642">
        <f t="shared" si="10"/>
        <v>-536.54822954179599</v>
      </c>
      <c r="AD40" s="642">
        <f t="shared" si="10"/>
        <v>-534.48996895881669</v>
      </c>
      <c r="AE40" s="642">
        <f t="shared" si="10"/>
        <v>-467.79970772072988</v>
      </c>
      <c r="AJ40"/>
      <c r="AK40"/>
      <c r="AL40"/>
      <c r="AM40"/>
      <c r="AN40"/>
      <c r="AO40"/>
    </row>
    <row r="41" spans="1:41" s="206" customFormat="1" ht="12.75" customHeight="1">
      <c r="A41" s="654"/>
      <c r="B41" s="310"/>
      <c r="C41" s="216"/>
      <c r="D41" s="216"/>
      <c r="E41" s="216"/>
      <c r="F41" s="216"/>
      <c r="G41" s="216"/>
      <c r="H41" s="216"/>
      <c r="I41" s="216"/>
      <c r="J41" s="635"/>
      <c r="K41" s="635"/>
      <c r="L41" s="635"/>
      <c r="M41" s="635"/>
      <c r="N41" s="635"/>
      <c r="O41" s="635"/>
      <c r="P41" s="635"/>
      <c r="Q41" s="635"/>
      <c r="R41" s="635"/>
      <c r="S41" s="635"/>
      <c r="T41" s="635"/>
      <c r="U41" s="635"/>
      <c r="AJ41"/>
      <c r="AK41"/>
      <c r="AL41"/>
      <c r="AM41"/>
      <c r="AN41"/>
      <c r="AO41"/>
    </row>
    <row r="42" spans="1:41" ht="12.75" customHeight="1">
      <c r="A42" s="653"/>
      <c r="B42" s="651" t="s">
        <v>703</v>
      </c>
      <c r="C42" s="258"/>
      <c r="D42" s="258"/>
      <c r="E42" s="258"/>
      <c r="F42" s="258"/>
      <c r="G42" s="258"/>
      <c r="H42" s="258"/>
      <c r="I42" s="258"/>
      <c r="J42" s="630"/>
      <c r="K42" s="630"/>
      <c r="L42" s="630"/>
      <c r="M42" s="630"/>
      <c r="N42" s="630"/>
      <c r="O42" s="630"/>
      <c r="P42" s="630"/>
      <c r="Q42" s="630"/>
      <c r="R42" s="630"/>
      <c r="S42" s="630"/>
      <c r="T42" s="630"/>
      <c r="U42" s="630"/>
    </row>
    <row r="43" spans="1:41" s="209" customFormat="1" ht="12.75" customHeight="1" outlineLevel="1">
      <c r="A43" s="655"/>
      <c r="B43" s="665" t="s">
        <v>650</v>
      </c>
      <c r="C43" s="192">
        <v>-0.58699999999999997</v>
      </c>
      <c r="D43" s="192">
        <f>(-12212+400000+42-101)/1000</f>
        <v>387.72899999999998</v>
      </c>
      <c r="E43" s="192">
        <v>-3.4000000000000002E-2</v>
      </c>
      <c r="F43" s="192">
        <v>-8.9999999999999993E-3</v>
      </c>
      <c r="G43" s="192">
        <v>0</v>
      </c>
      <c r="H43" s="192">
        <v>0</v>
      </c>
      <c r="I43" s="192">
        <v>0</v>
      </c>
      <c r="J43" s="649">
        <v>0</v>
      </c>
      <c r="K43" s="649">
        <v>1237.27</v>
      </c>
      <c r="L43" s="649">
        <v>0</v>
      </c>
      <c r="M43" s="649">
        <v>1486.682</v>
      </c>
      <c r="N43" s="650">
        <v>1479.6</v>
      </c>
      <c r="O43" s="650">
        <v>2470.6</v>
      </c>
      <c r="P43" s="650">
        <f>7913.3-513.9</f>
        <v>7399.4000000000005</v>
      </c>
      <c r="Q43" s="650">
        <v>0</v>
      </c>
      <c r="R43" s="650">
        <f>3468-1904</f>
        <v>1564</v>
      </c>
      <c r="S43" s="649">
        <f>+BS!S31-BS!R31</f>
        <v>0</v>
      </c>
      <c r="T43" s="649">
        <f>+BS!T31-BS!S31</f>
        <v>-505</v>
      </c>
      <c r="U43" s="649">
        <f>+BS!U31-BS!T31</f>
        <v>-2009</v>
      </c>
      <c r="V43" s="649">
        <f>+BS!V31-BS!U31</f>
        <v>-497</v>
      </c>
      <c r="W43" s="649">
        <f>+BS!W31-BS!V31</f>
        <v>-2038</v>
      </c>
      <c r="X43" s="649">
        <f>+BS!X31-BS!W31</f>
        <v>-1483</v>
      </c>
      <c r="Y43" s="649">
        <f>+BS!Y31-BS!X31</f>
        <v>-1001</v>
      </c>
      <c r="Z43" s="649">
        <f>+BS!Z31-BS!Y31</f>
        <v>-2478</v>
      </c>
      <c r="AA43" s="649">
        <f>+BS!AA31-BS!Z31</f>
        <v>0</v>
      </c>
      <c r="AB43" s="649">
        <f>+BS!AB31-BS!AA31</f>
        <v>-991</v>
      </c>
      <c r="AC43" s="649">
        <f>+BS!AC31-BS!AB31</f>
        <v>0</v>
      </c>
      <c r="AD43" s="649">
        <f>+BS!AD31-BS!AC31</f>
        <v>0</v>
      </c>
      <c r="AE43" s="649">
        <f>+BS!AE31-BS!AD31</f>
        <v>0</v>
      </c>
      <c r="AJ43"/>
      <c r="AK43"/>
      <c r="AL43"/>
      <c r="AM43"/>
      <c r="AN43"/>
      <c r="AO43"/>
    </row>
    <row r="44" spans="1:41" s="209" customFormat="1" ht="12.75" customHeight="1" outlineLevel="1">
      <c r="A44" s="655"/>
      <c r="B44" s="665" t="s">
        <v>651</v>
      </c>
      <c r="C44" s="192">
        <v>-2E-3</v>
      </c>
      <c r="D44" s="192">
        <v>0</v>
      </c>
      <c r="E44" s="192">
        <v>0</v>
      </c>
      <c r="F44" s="192">
        <v>0</v>
      </c>
      <c r="G44" s="192">
        <v>0</v>
      </c>
      <c r="H44" s="192">
        <v>0</v>
      </c>
      <c r="I44" s="192">
        <f>(-CF!I87)/1000</f>
        <v>0</v>
      </c>
      <c r="J44" s="649">
        <v>-209.46100000000001</v>
      </c>
      <c r="K44" s="649">
        <v>-183.11600000000001</v>
      </c>
      <c r="L44" s="649">
        <v>-2221.1570000000002</v>
      </c>
      <c r="M44" s="649">
        <v>-2043.57</v>
      </c>
      <c r="N44" s="650">
        <v>-2764.6</v>
      </c>
      <c r="O44" s="650">
        <v>-2975.1</v>
      </c>
      <c r="P44" s="650">
        <v>-3256.8</v>
      </c>
      <c r="Q44" s="650">
        <v>-2160</v>
      </c>
      <c r="R44" s="650">
        <v>-3833</v>
      </c>
      <c r="S44" s="649">
        <f>-CF!S87</f>
        <v>-4053.1941031912365</v>
      </c>
      <c r="T44" s="649">
        <f>-CF!T87</f>
        <v>-4830.0563063028903</v>
      </c>
      <c r="U44" s="649">
        <f>-CF!U87</f>
        <v>-7356.5472972920952</v>
      </c>
      <c r="V44" s="649">
        <f>-CF!V87</f>
        <v>-6293.9349099054607</v>
      </c>
      <c r="W44" s="649">
        <f>-CF!W87</f>
        <v>-6923.3284008960072</v>
      </c>
      <c r="X44" s="649">
        <f>-CF!X87</f>
        <v>-7071.6854380580644</v>
      </c>
      <c r="Y44" s="649">
        <f>-CF!Y87</f>
        <v>-5983.7338322029782</v>
      </c>
      <c r="Z44" s="649">
        <f>-CF!Z87</f>
        <v>-6582.107215423277</v>
      </c>
      <c r="AA44" s="649">
        <f>-CF!AA87</f>
        <v>-7240.3179369656045</v>
      </c>
      <c r="AB44" s="649">
        <f>-CF!AB87</f>
        <v>-7964.3497306621657</v>
      </c>
      <c r="AC44" s="649">
        <f>-CF!AC87</f>
        <v>-6132.5492926098686</v>
      </c>
      <c r="AD44" s="649">
        <f>-CF!AD87</f>
        <v>-4818.4315870506107</v>
      </c>
      <c r="AE44" s="649">
        <f>-CF!AE87</f>
        <v>-4240.2197966045387</v>
      </c>
      <c r="AH44" s="671" t="s">
        <v>766</v>
      </c>
      <c r="AJ44"/>
      <c r="AK44"/>
      <c r="AL44"/>
      <c r="AM44"/>
      <c r="AN44"/>
      <c r="AO44"/>
    </row>
    <row r="45" spans="1:41" s="209" customFormat="1" ht="12.75" customHeight="1" outlineLevel="1">
      <c r="A45" s="655"/>
      <c r="B45" s="665" t="s">
        <v>652</v>
      </c>
      <c r="C45" s="192"/>
      <c r="D45" s="192"/>
      <c r="E45" s="192"/>
      <c r="F45" s="192"/>
      <c r="G45" s="192"/>
      <c r="H45" s="192"/>
      <c r="I45" s="192">
        <v>0</v>
      </c>
      <c r="J45" s="649">
        <v>0</v>
      </c>
      <c r="K45" s="649">
        <v>0</v>
      </c>
      <c r="L45" s="649">
        <f>1878.784-1353.061</f>
        <v>525.72300000000018</v>
      </c>
      <c r="M45" s="649">
        <f>4494.787-4712.174</f>
        <v>-217.38699999999972</v>
      </c>
      <c r="N45" s="650">
        <f>4462-4227.9+1.2</f>
        <v>235.30000000000035</v>
      </c>
      <c r="O45" s="650">
        <f>2566.9-3012.2+10.3</f>
        <v>-434.99999999999972</v>
      </c>
      <c r="P45" s="650">
        <f>6111.5-6213.2-8.6</f>
        <v>-110.29999999999981</v>
      </c>
      <c r="Q45" s="650">
        <f>100.3-100.3+7.6</f>
        <v>7.6</v>
      </c>
      <c r="R45" s="650">
        <v>0</v>
      </c>
      <c r="S45" s="649">
        <v>0</v>
      </c>
      <c r="T45" s="649">
        <v>0</v>
      </c>
      <c r="U45" s="649">
        <v>0</v>
      </c>
      <c r="V45" s="649">
        <v>0</v>
      </c>
      <c r="W45" s="649">
        <v>0</v>
      </c>
      <c r="X45" s="649">
        <v>0</v>
      </c>
      <c r="Y45" s="649">
        <v>0</v>
      </c>
      <c r="Z45" s="649">
        <v>0</v>
      </c>
      <c r="AA45" s="649">
        <v>0</v>
      </c>
      <c r="AB45" s="649">
        <v>0</v>
      </c>
      <c r="AC45" s="649">
        <v>0</v>
      </c>
      <c r="AD45" s="649">
        <v>0</v>
      </c>
      <c r="AE45" s="649">
        <v>0</v>
      </c>
      <c r="AJ45"/>
      <c r="AK45"/>
      <c r="AL45"/>
      <c r="AM45"/>
      <c r="AN45"/>
      <c r="AO45"/>
    </row>
    <row r="46" spans="1:41" s="209" customFormat="1" ht="12.75" customHeight="1" outlineLevel="1">
      <c r="A46" s="655"/>
      <c r="B46" s="668" t="s">
        <v>638</v>
      </c>
      <c r="C46" s="192"/>
      <c r="D46" s="192"/>
      <c r="E46" s="192"/>
      <c r="F46" s="192"/>
      <c r="G46" s="192"/>
      <c r="H46" s="192"/>
      <c r="I46" s="192">
        <v>0</v>
      </c>
      <c r="J46" s="649">
        <v>0</v>
      </c>
      <c r="K46" s="649">
        <v>0</v>
      </c>
      <c r="L46" s="649">
        <f>-156.676</f>
        <v>-156.67599999999999</v>
      </c>
      <c r="M46" s="649">
        <v>0</v>
      </c>
      <c r="N46" s="650">
        <v>-225</v>
      </c>
      <c r="O46" s="650">
        <v>-25.7</v>
      </c>
      <c r="P46" s="650">
        <v>0</v>
      </c>
      <c r="Q46" s="650">
        <v>-41.1</v>
      </c>
      <c r="R46" s="650">
        <v>0</v>
      </c>
      <c r="S46" s="649">
        <v>0</v>
      </c>
      <c r="T46" s="649">
        <v>0</v>
      </c>
      <c r="U46" s="649">
        <v>0</v>
      </c>
      <c r="V46" s="649">
        <v>0</v>
      </c>
      <c r="W46" s="649">
        <v>0</v>
      </c>
      <c r="X46" s="649">
        <v>0</v>
      </c>
      <c r="Y46" s="649">
        <v>0</v>
      </c>
      <c r="Z46" s="649">
        <v>0</v>
      </c>
      <c r="AA46" s="649">
        <v>0</v>
      </c>
      <c r="AB46" s="649">
        <v>0</v>
      </c>
      <c r="AC46" s="649">
        <v>0</v>
      </c>
      <c r="AD46" s="649">
        <v>0</v>
      </c>
      <c r="AE46" s="649">
        <v>0</v>
      </c>
      <c r="AJ46"/>
      <c r="AK46"/>
      <c r="AL46"/>
      <c r="AM46"/>
      <c r="AN46"/>
      <c r="AO46"/>
    </row>
    <row r="47" spans="1:41" s="209" customFormat="1" ht="12.75" customHeight="1" outlineLevel="1">
      <c r="A47" s="655"/>
      <c r="B47" s="665" t="s">
        <v>653</v>
      </c>
      <c r="C47" s="192">
        <v>3.968</v>
      </c>
      <c r="D47" s="192">
        <v>11.97</v>
      </c>
      <c r="E47" s="192">
        <v>16.036000000000001</v>
      </c>
      <c r="F47" s="192">
        <v>52.64</v>
      </c>
      <c r="G47" s="192">
        <f>(1006182+113072)/1000</f>
        <v>1119.2539999999999</v>
      </c>
      <c r="H47" s="192">
        <v>144.703</v>
      </c>
      <c r="I47" s="192">
        <v>128.583</v>
      </c>
      <c r="J47" s="649">
        <v>49.750999999999998</v>
      </c>
      <c r="K47" s="649">
        <v>86.888999999999996</v>
      </c>
      <c r="L47" s="649">
        <v>166.45099999999999</v>
      </c>
      <c r="M47" s="649">
        <v>476.22800000000001</v>
      </c>
      <c r="N47" s="650">
        <v>551.6</v>
      </c>
      <c r="O47" s="650">
        <v>297.2</v>
      </c>
      <c r="P47" s="650">
        <v>251.7</v>
      </c>
      <c r="Q47" s="650">
        <v>359.1</v>
      </c>
      <c r="R47" s="650">
        <v>685</v>
      </c>
      <c r="S47" s="649">
        <f>CF!S80+CF!S85</f>
        <v>528.47896499999979</v>
      </c>
      <c r="T47" s="649">
        <f>CF!T80+CF!T85</f>
        <v>593.74611717749985</v>
      </c>
      <c r="U47" s="649">
        <f>CF!U80+CF!U85</f>
        <v>667.07376264892105</v>
      </c>
      <c r="V47" s="649">
        <f>CF!V80+CF!V85</f>
        <v>749.45737233606292</v>
      </c>
      <c r="W47" s="649">
        <f>CF!W80+CF!W85</f>
        <v>842.01535781956682</v>
      </c>
      <c r="X47" s="649">
        <f>CF!X80+CF!X85</f>
        <v>946.00425451028332</v>
      </c>
      <c r="Y47" s="649">
        <f>CF!Y80+CF!Y85</f>
        <v>1062.8357799423034</v>
      </c>
      <c r="Z47" s="649">
        <f>CF!Z80+CF!Z85</f>
        <v>1194.0959987651779</v>
      </c>
      <c r="AA47" s="649">
        <f>CF!AA80+CF!AA85</f>
        <v>1341.5668546126774</v>
      </c>
      <c r="AB47" s="649">
        <f>CF!AB80+CF!AB85</f>
        <v>1507.2503611573429</v>
      </c>
      <c r="AC47" s="649">
        <f>CF!AC80+CF!AC85</f>
        <v>1693.3957807602751</v>
      </c>
      <c r="AD47" s="649">
        <f>CF!AD80+CF!AD85</f>
        <v>1902.5301596841696</v>
      </c>
      <c r="AE47" s="649">
        <f>CF!AE80+CF!AE85</f>
        <v>2137.4926344051642</v>
      </c>
      <c r="AJ47"/>
      <c r="AK47"/>
      <c r="AL47"/>
      <c r="AM47"/>
      <c r="AN47"/>
      <c r="AO47"/>
    </row>
    <row r="48" spans="1:41" s="209" customFormat="1" ht="12.75" customHeight="1" outlineLevel="1">
      <c r="A48" s="655"/>
      <c r="B48" s="665" t="s">
        <v>654</v>
      </c>
      <c r="C48" s="192">
        <v>0</v>
      </c>
      <c r="D48" s="192">
        <v>0</v>
      </c>
      <c r="E48" s="192">
        <v>0</v>
      </c>
      <c r="F48" s="192">
        <v>0</v>
      </c>
      <c r="G48" s="192">
        <v>101.992</v>
      </c>
      <c r="H48" s="192">
        <v>142.99199999999999</v>
      </c>
      <c r="I48" s="192">
        <v>153.04599999999999</v>
      </c>
      <c r="J48" s="649">
        <v>97.837999999999994</v>
      </c>
      <c r="K48" s="649">
        <v>36.124000000000002</v>
      </c>
      <c r="L48" s="649">
        <v>31.053999999999998</v>
      </c>
      <c r="M48" s="649">
        <v>49.319000000000003</v>
      </c>
      <c r="N48" s="650">
        <v>169.4</v>
      </c>
      <c r="O48" s="650">
        <v>250.6</v>
      </c>
      <c r="P48" s="650">
        <v>300.5</v>
      </c>
      <c r="Q48" s="650">
        <v>188.8</v>
      </c>
      <c r="R48" s="650">
        <v>0</v>
      </c>
      <c r="S48" s="649">
        <f>CF!S81</f>
        <v>152.19969047672919</v>
      </c>
      <c r="T48" s="649">
        <f>CF!T81</f>
        <v>168.87593078038861</v>
      </c>
      <c r="U48" s="649">
        <f>CF!U81</f>
        <v>204.00826437790178</v>
      </c>
      <c r="V48" s="649">
        <f>CF!V81</f>
        <v>246.00632081257382</v>
      </c>
      <c r="W48" s="649">
        <f>CF!W81</f>
        <v>296.16527455069604</v>
      </c>
      <c r="X48" s="649">
        <f>CF!X81</f>
        <v>356.0194187173214</v>
      </c>
      <c r="Y48" s="649">
        <f>CF!Y81</f>
        <v>427.38570838697694</v>
      </c>
      <c r="Z48" s="649">
        <f>CF!Z81</f>
        <v>512.41516161891252</v>
      </c>
      <c r="AA48" s="649">
        <f>CF!AA81</f>
        <v>613.65352765455964</v>
      </c>
      <c r="AB48" s="649">
        <f>CF!AB81</f>
        <v>734.11288345851028</v>
      </c>
      <c r="AC48" s="649">
        <f>CF!AC81</f>
        <v>877.35611639378305</v>
      </c>
      <c r="AD48" s="649">
        <f>CF!AD81</f>
        <v>1047.5966002501441</v>
      </c>
      <c r="AE48" s="649">
        <f>CF!AE81</f>
        <v>1249.8157834790318</v>
      </c>
      <c r="AJ48"/>
      <c r="AK48"/>
      <c r="AL48"/>
      <c r="AM48"/>
      <c r="AN48"/>
      <c r="AO48"/>
    </row>
    <row r="49" spans="1:41" s="206" customFormat="1" ht="12.75" customHeight="1" outlineLevel="1">
      <c r="A49" s="672" t="s">
        <v>766</v>
      </c>
      <c r="B49" s="666" t="s">
        <v>655</v>
      </c>
      <c r="C49" s="641">
        <f t="shared" ref="C49:M49" si="11">+SUM(C43:C48)</f>
        <v>3.379</v>
      </c>
      <c r="D49" s="641">
        <f t="shared" si="11"/>
        <v>399.69900000000001</v>
      </c>
      <c r="E49" s="641">
        <f t="shared" si="11"/>
        <v>16.002000000000002</v>
      </c>
      <c r="F49" s="641">
        <f t="shared" si="11"/>
        <v>52.631</v>
      </c>
      <c r="G49" s="641">
        <f t="shared" si="11"/>
        <v>1221.2459999999999</v>
      </c>
      <c r="H49" s="641">
        <f t="shared" si="11"/>
        <v>287.69499999999999</v>
      </c>
      <c r="I49" s="641">
        <f t="shared" si="11"/>
        <v>281.62900000000002</v>
      </c>
      <c r="J49" s="642">
        <f t="shared" si="11"/>
        <v>-61.872000000000014</v>
      </c>
      <c r="K49" s="642">
        <f t="shared" si="11"/>
        <v>1177.1669999999999</v>
      </c>
      <c r="L49" s="642">
        <f>+SUM(L43:L48)</f>
        <v>-1654.6049999999998</v>
      </c>
      <c r="M49" s="642">
        <f t="shared" si="11"/>
        <v>-248.72799999999961</v>
      </c>
      <c r="N49" s="642">
        <f t="shared" ref="N49:T49" si="12">+SUM(N43:N48)</f>
        <v>-553.69999999999959</v>
      </c>
      <c r="O49" s="642">
        <f t="shared" si="12"/>
        <v>-417.39999999999975</v>
      </c>
      <c r="P49" s="642">
        <f t="shared" si="12"/>
        <v>4584.5000000000009</v>
      </c>
      <c r="Q49" s="642">
        <f t="shared" si="12"/>
        <v>-1645.6000000000001</v>
      </c>
      <c r="R49" s="642">
        <f t="shared" si="12"/>
        <v>-1584</v>
      </c>
      <c r="S49" s="642">
        <f t="shared" si="12"/>
        <v>-3372.5154477145074</v>
      </c>
      <c r="T49" s="642">
        <f t="shared" si="12"/>
        <v>-4572.4342583450016</v>
      </c>
      <c r="U49" s="642">
        <f>+SUM(U43:U48)</f>
        <v>-8494.4652702652711</v>
      </c>
      <c r="V49" s="642">
        <f t="shared" ref="V49:AE49" si="13">+SUM(V43:V48)</f>
        <v>-5795.4712167568241</v>
      </c>
      <c r="W49" s="642">
        <f t="shared" si="13"/>
        <v>-7823.1477685257441</v>
      </c>
      <c r="X49" s="642">
        <f t="shared" si="13"/>
        <v>-7252.66176483046</v>
      </c>
      <c r="Y49" s="642">
        <f t="shared" si="13"/>
        <v>-5494.5123438736973</v>
      </c>
      <c r="Z49" s="642">
        <f t="shared" si="13"/>
        <v>-7353.5960550391865</v>
      </c>
      <c r="AA49" s="642">
        <f t="shared" si="13"/>
        <v>-5285.0975546983682</v>
      </c>
      <c r="AB49" s="642">
        <f t="shared" si="13"/>
        <v>-6713.9864860463113</v>
      </c>
      <c r="AC49" s="642">
        <f t="shared" si="13"/>
        <v>-3561.7973954558111</v>
      </c>
      <c r="AD49" s="642">
        <f t="shared" si="13"/>
        <v>-1868.304827116297</v>
      </c>
      <c r="AE49" s="642">
        <f t="shared" si="13"/>
        <v>-852.91137872034278</v>
      </c>
      <c r="AJ49"/>
      <c r="AK49"/>
      <c r="AL49"/>
      <c r="AM49"/>
      <c r="AN49"/>
      <c r="AO49"/>
    </row>
    <row r="50" spans="1:41" s="206" customFormat="1" ht="12.75" customHeight="1" outlineLevel="1">
      <c r="A50" s="672"/>
      <c r="B50" s="310"/>
      <c r="C50" s="216"/>
      <c r="D50" s="216"/>
      <c r="E50" s="216"/>
      <c r="F50" s="216"/>
      <c r="G50" s="216"/>
      <c r="H50" s="216"/>
      <c r="I50" s="216"/>
      <c r="J50" s="635"/>
      <c r="K50" s="635"/>
      <c r="L50" s="635"/>
      <c r="M50" s="635"/>
      <c r="N50" s="635"/>
      <c r="O50" s="635"/>
      <c r="P50" s="635"/>
      <c r="Q50" s="635"/>
      <c r="R50" s="635"/>
      <c r="S50" s="635"/>
      <c r="T50" s="635"/>
      <c r="U50" s="635"/>
      <c r="AJ50"/>
      <c r="AK50"/>
      <c r="AL50"/>
      <c r="AM50"/>
      <c r="AN50"/>
      <c r="AO50"/>
    </row>
    <row r="51" spans="1:41" s="209" customFormat="1" ht="12.75" customHeight="1" outlineLevel="1">
      <c r="A51" s="655"/>
      <c r="B51" s="235" t="s">
        <v>656</v>
      </c>
      <c r="C51" s="191">
        <v>0</v>
      </c>
      <c r="D51" s="191">
        <v>0</v>
      </c>
      <c r="E51" s="192">
        <v>-4.4059999999999997</v>
      </c>
      <c r="F51" s="192">
        <v>-3.3279999999999998</v>
      </c>
      <c r="G51" s="192">
        <v>4.508</v>
      </c>
      <c r="H51" s="192">
        <v>3.8490000000000002</v>
      </c>
      <c r="I51" s="192">
        <v>-67.456999999999994</v>
      </c>
      <c r="J51" s="649">
        <v>17.881</v>
      </c>
      <c r="K51" s="649">
        <v>-2.4620000000000002</v>
      </c>
      <c r="L51" s="649">
        <v>-23.44</v>
      </c>
      <c r="M51" s="649">
        <v>14.69</v>
      </c>
      <c r="N51" s="650">
        <v>0.4</v>
      </c>
      <c r="O51" s="650">
        <v>-63.7</v>
      </c>
      <c r="P51" s="650">
        <v>-50.7</v>
      </c>
      <c r="Q51" s="650">
        <v>-38.9</v>
      </c>
      <c r="R51" s="650">
        <v>72</v>
      </c>
      <c r="S51" s="649">
        <v>0</v>
      </c>
      <c r="T51" s="649">
        <v>0</v>
      </c>
      <c r="U51" s="649">
        <v>0</v>
      </c>
      <c r="V51" s="649">
        <v>0</v>
      </c>
      <c r="W51" s="649">
        <v>0</v>
      </c>
      <c r="X51" s="649">
        <v>0</v>
      </c>
      <c r="Y51" s="649">
        <v>0</v>
      </c>
      <c r="Z51" s="649">
        <v>0</v>
      </c>
      <c r="AA51" s="649">
        <v>0</v>
      </c>
      <c r="AB51" s="649">
        <v>0</v>
      </c>
      <c r="AC51" s="649">
        <v>0</v>
      </c>
      <c r="AD51" s="649">
        <v>0</v>
      </c>
      <c r="AE51" s="649">
        <v>0</v>
      </c>
      <c r="AH51" s="671" t="s">
        <v>766</v>
      </c>
      <c r="AJ51"/>
      <c r="AK51"/>
      <c r="AL51"/>
      <c r="AM51"/>
      <c r="AN51"/>
      <c r="AO51"/>
    </row>
    <row r="52" spans="1:41" s="209" customFormat="1" ht="12.75" customHeight="1" outlineLevel="1">
      <c r="A52" s="656" t="s">
        <v>766</v>
      </c>
      <c r="B52" s="235" t="s">
        <v>657</v>
      </c>
      <c r="C52" s="192">
        <f t="shared" ref="C52:R52" si="14">SUM(C29,C40,C49)+C51</f>
        <v>38.333999999999996</v>
      </c>
      <c r="D52" s="192">
        <f t="shared" si="14"/>
        <v>-25.146999999999935</v>
      </c>
      <c r="E52" s="192">
        <f t="shared" si="14"/>
        <v>74.899000000000001</v>
      </c>
      <c r="F52" s="192">
        <f t="shared" si="14"/>
        <v>-11.911000000000097</v>
      </c>
      <c r="G52" s="192">
        <f t="shared" si="14"/>
        <v>1316.0989999999999</v>
      </c>
      <c r="H52" s="192">
        <f t="shared" si="14"/>
        <v>-221.14200000000017</v>
      </c>
      <c r="I52" s="192">
        <f t="shared" si="14"/>
        <v>-125.88699999999994</v>
      </c>
      <c r="J52" s="649">
        <f t="shared" si="14"/>
        <v>9.7860000000003708</v>
      </c>
      <c r="K52" s="649">
        <f t="shared" si="14"/>
        <v>248.95599999999968</v>
      </c>
      <c r="L52" s="649">
        <f t="shared" si="14"/>
        <v>508.33600000000007</v>
      </c>
      <c r="M52" s="649">
        <f t="shared" si="14"/>
        <v>230.92300000000085</v>
      </c>
      <c r="N52" s="649">
        <f t="shared" si="14"/>
        <v>1144.0000000000009</v>
      </c>
      <c r="O52" s="649">
        <f t="shared" si="14"/>
        <v>887.20000000000039</v>
      </c>
      <c r="P52" s="649">
        <f t="shared" si="14"/>
        <v>758.7000000000005</v>
      </c>
      <c r="Q52" s="649">
        <f t="shared" si="14"/>
        <v>1289.5999999999992</v>
      </c>
      <c r="R52" s="649">
        <f t="shared" si="14"/>
        <v>843</v>
      </c>
      <c r="S52" s="649">
        <f>SUM(S29,S40,S49)+S51</f>
        <v>-4149.0472261181785</v>
      </c>
      <c r="T52" s="649">
        <f>SUM(T29,T40,T49)+T51</f>
        <v>2253.7707533908069</v>
      </c>
      <c r="U52" s="649">
        <f>SUM(U29,U40,U49)+U51</f>
        <v>-405.92790936708661</v>
      </c>
      <c r="V52" s="649">
        <f t="shared" ref="V52:AE52" si="15">SUM(V29,V40,V49)+V51</f>
        <v>3713.7240580159369</v>
      </c>
      <c r="W52" s="649">
        <f t="shared" si="15"/>
        <v>2529.5841393272322</v>
      </c>
      <c r="X52" s="649">
        <f t="shared" si="15"/>
        <v>3370.8108145105416</v>
      </c>
      <c r="Y52" s="649">
        <f t="shared" si="15"/>
        <v>4931.821711648181</v>
      </c>
      <c r="Z52" s="649">
        <f t="shared" si="15"/>
        <v>1222.8578639349544</v>
      </c>
      <c r="AA52" s="649">
        <f t="shared" si="15"/>
        <v>-12.033785206578614</v>
      </c>
      <c r="AB52" s="649">
        <f t="shared" si="15"/>
        <v>-2690.401963011429</v>
      </c>
      <c r="AC52" s="649">
        <f t="shared" si="15"/>
        <v>248.81040568174103</v>
      </c>
      <c r="AD52" s="649">
        <f t="shared" si="15"/>
        <v>2174.5079448334336</v>
      </c>
      <c r="AE52" s="649">
        <f t="shared" si="15"/>
        <v>2223.0148915237519</v>
      </c>
      <c r="AH52" s="671" t="s">
        <v>766</v>
      </c>
      <c r="AJ52"/>
      <c r="AK52"/>
      <c r="AL52"/>
      <c r="AM52"/>
      <c r="AN52"/>
      <c r="AO52"/>
    </row>
    <row r="53" spans="1:41" s="209" customFormat="1" ht="12.75" customHeight="1" outlineLevel="1">
      <c r="A53" s="655"/>
      <c r="B53" s="235" t="s">
        <v>658</v>
      </c>
      <c r="C53" s="192">
        <v>47.140999999999998</v>
      </c>
      <c r="D53" s="192">
        <f t="shared" ref="D53:R53" si="16">C54</f>
        <v>85.474999999999994</v>
      </c>
      <c r="E53" s="192">
        <f t="shared" si="16"/>
        <v>60.32800000000006</v>
      </c>
      <c r="F53" s="192">
        <f t="shared" si="16"/>
        <v>135.22700000000006</v>
      </c>
      <c r="G53" s="192">
        <f t="shared" si="16"/>
        <v>123.31599999999996</v>
      </c>
      <c r="H53" s="192">
        <f t="shared" si="16"/>
        <v>1439.415</v>
      </c>
      <c r="I53" s="192">
        <f t="shared" si="16"/>
        <v>1218.2729999999997</v>
      </c>
      <c r="J53" s="649">
        <f t="shared" si="16"/>
        <v>1092.3859999999997</v>
      </c>
      <c r="K53" s="649">
        <f t="shared" si="16"/>
        <v>1102.172</v>
      </c>
      <c r="L53" s="649">
        <f t="shared" si="16"/>
        <v>1351.1279999999997</v>
      </c>
      <c r="M53" s="649">
        <f t="shared" si="16"/>
        <v>1859.4639999999997</v>
      </c>
      <c r="N53" s="649">
        <f t="shared" si="16"/>
        <v>2090.3870000000006</v>
      </c>
      <c r="O53" s="649">
        <f t="shared" si="16"/>
        <v>3234.3870000000015</v>
      </c>
      <c r="P53" s="649">
        <f t="shared" si="16"/>
        <v>4121.5870000000023</v>
      </c>
      <c r="Q53" s="649">
        <f t="shared" si="16"/>
        <v>4880.287000000003</v>
      </c>
      <c r="R53" s="649">
        <f t="shared" si="16"/>
        <v>6169.8870000000024</v>
      </c>
      <c r="S53" s="649">
        <f>R54</f>
        <v>7012.8870000000024</v>
      </c>
      <c r="T53" s="649">
        <f>S54</f>
        <v>2863.8397738818239</v>
      </c>
      <c r="U53" s="649">
        <f>T54</f>
        <v>5117.6105272726309</v>
      </c>
      <c r="V53" s="649">
        <f t="shared" ref="V53:AB53" si="17">U54</f>
        <v>4711.6826179055442</v>
      </c>
      <c r="W53" s="649">
        <f t="shared" si="17"/>
        <v>8425.4066759214802</v>
      </c>
      <c r="X53" s="649">
        <f t="shared" si="17"/>
        <v>10954.990815248711</v>
      </c>
      <c r="Y53" s="649">
        <f t="shared" si="17"/>
        <v>14325.801629759253</v>
      </c>
      <c r="Z53" s="649">
        <f t="shared" si="17"/>
        <v>19257.623341407434</v>
      </c>
      <c r="AA53" s="649">
        <f t="shared" si="17"/>
        <v>20480.481205342388</v>
      </c>
      <c r="AB53" s="649">
        <f t="shared" si="17"/>
        <v>20468.44742013581</v>
      </c>
      <c r="AC53" s="649">
        <f>AB54</f>
        <v>17778.045457124383</v>
      </c>
      <c r="AD53" s="649">
        <f>AC54</f>
        <v>18026.855862806122</v>
      </c>
      <c r="AE53" s="649">
        <f>AD54</f>
        <v>20201.363807639555</v>
      </c>
      <c r="AJ53"/>
      <c r="AK53"/>
      <c r="AL53"/>
      <c r="AM53"/>
      <c r="AN53"/>
      <c r="AO53"/>
    </row>
    <row r="54" spans="1:41" s="209" customFormat="1" ht="12.75" customHeight="1" outlineLevel="1">
      <c r="A54" s="656" t="s">
        <v>766</v>
      </c>
      <c r="B54" s="666" t="s">
        <v>659</v>
      </c>
      <c r="C54" s="641">
        <f t="shared" ref="C54:M54" si="18">SUM(C52:C53)</f>
        <v>85.474999999999994</v>
      </c>
      <c r="D54" s="641">
        <f t="shared" si="18"/>
        <v>60.32800000000006</v>
      </c>
      <c r="E54" s="641">
        <f t="shared" si="18"/>
        <v>135.22700000000006</v>
      </c>
      <c r="F54" s="641">
        <f t="shared" si="18"/>
        <v>123.31599999999996</v>
      </c>
      <c r="G54" s="641">
        <f t="shared" si="18"/>
        <v>1439.415</v>
      </c>
      <c r="H54" s="673">
        <f t="shared" si="18"/>
        <v>1218.2729999999997</v>
      </c>
      <c r="I54" s="641">
        <f t="shared" si="18"/>
        <v>1092.3859999999997</v>
      </c>
      <c r="J54" s="642">
        <f t="shared" si="18"/>
        <v>1102.172</v>
      </c>
      <c r="K54" s="642">
        <f t="shared" si="18"/>
        <v>1351.1279999999997</v>
      </c>
      <c r="L54" s="642">
        <f t="shared" si="18"/>
        <v>1859.4639999999997</v>
      </c>
      <c r="M54" s="642">
        <f t="shared" si="18"/>
        <v>2090.3870000000006</v>
      </c>
      <c r="N54" s="642">
        <f t="shared" ref="N54:T54" si="19">SUM(N52:N53)</f>
        <v>3234.3870000000015</v>
      </c>
      <c r="O54" s="642">
        <f t="shared" si="19"/>
        <v>4121.5870000000023</v>
      </c>
      <c r="P54" s="642">
        <f t="shared" si="19"/>
        <v>4880.287000000003</v>
      </c>
      <c r="Q54" s="642">
        <f t="shared" si="19"/>
        <v>6169.8870000000024</v>
      </c>
      <c r="R54" s="642">
        <f t="shared" si="19"/>
        <v>7012.8870000000024</v>
      </c>
      <c r="S54" s="642">
        <f t="shared" si="19"/>
        <v>2863.8397738818239</v>
      </c>
      <c r="T54" s="642">
        <f t="shared" si="19"/>
        <v>5117.6105272726309</v>
      </c>
      <c r="U54" s="642">
        <f>SUM(U52:U53)</f>
        <v>4711.6826179055442</v>
      </c>
      <c r="V54" s="642">
        <f t="shared" ref="V54:AE54" si="20">SUM(V52:V53)</f>
        <v>8425.4066759214802</v>
      </c>
      <c r="W54" s="642">
        <f t="shared" si="20"/>
        <v>10954.990815248711</v>
      </c>
      <c r="X54" s="642">
        <f t="shared" si="20"/>
        <v>14325.801629759253</v>
      </c>
      <c r="Y54" s="642">
        <f t="shared" si="20"/>
        <v>19257.623341407434</v>
      </c>
      <c r="Z54" s="642">
        <f t="shared" si="20"/>
        <v>20480.481205342388</v>
      </c>
      <c r="AA54" s="642">
        <f t="shared" si="20"/>
        <v>20468.44742013581</v>
      </c>
      <c r="AB54" s="642">
        <f t="shared" si="20"/>
        <v>17778.045457124383</v>
      </c>
      <c r="AC54" s="642">
        <f t="shared" si="20"/>
        <v>18026.855862806122</v>
      </c>
      <c r="AD54" s="642">
        <f t="shared" si="20"/>
        <v>20201.363807639555</v>
      </c>
      <c r="AE54" s="642">
        <f t="shared" si="20"/>
        <v>22424.378699163306</v>
      </c>
      <c r="AJ54"/>
      <c r="AK54"/>
      <c r="AL54"/>
      <c r="AM54"/>
      <c r="AN54"/>
      <c r="AO54"/>
    </row>
    <row r="55" spans="1:41" s="632" customFormat="1" ht="12.75" customHeight="1" outlineLevel="1">
      <c r="A55" s="672" t="s">
        <v>766</v>
      </c>
      <c r="B55" s="674" t="s">
        <v>660</v>
      </c>
      <c r="C55" s="675">
        <f>BS!C3+BS!C4</f>
        <v>261.18200000000002</v>
      </c>
      <c r="D55" s="675">
        <f>BS!D3+BS!D4</f>
        <v>666.96699999999998</v>
      </c>
      <c r="E55" s="675">
        <f>BS!E3+BS!E4</f>
        <v>748.53699999999992</v>
      </c>
      <c r="F55" s="675">
        <f>BS!F3+BS!F4</f>
        <v>724.26</v>
      </c>
      <c r="G55" s="675">
        <f>BS!G3+BS!G4</f>
        <v>1982.2199999999998</v>
      </c>
      <c r="H55" s="676">
        <f>BS!H3+BS!H4</f>
        <v>2738.9179999999997</v>
      </c>
      <c r="I55" s="675">
        <f>BS!I3+BS!I4</f>
        <v>2222.0909999999999</v>
      </c>
      <c r="J55" s="670">
        <f>BS!J3+BS!J4</f>
        <v>2996.752</v>
      </c>
      <c r="K55" s="670">
        <f>BS!K3+BS!K4</f>
        <v>2601.3009999999999</v>
      </c>
      <c r="L55" s="670">
        <f>BS!L3+BS!L4</f>
        <v>2648.154</v>
      </c>
      <c r="M55" s="670">
        <f>BS!M3+BS!M4</f>
        <v>3900.2700000000004</v>
      </c>
      <c r="N55" s="670">
        <f>BS!N3+BS!N4</f>
        <v>5687</v>
      </c>
      <c r="O55" s="670">
        <f>BS!O3+BS!O4</f>
        <v>7546.7000000000007</v>
      </c>
      <c r="P55" s="670">
        <f>BS!P3+BS!P4</f>
        <v>6551.9</v>
      </c>
      <c r="Q55" s="670">
        <f>BS!Q3+BS!Q4</f>
        <v>7969.7</v>
      </c>
      <c r="R55" s="670">
        <f>BS!R3+BS!R4</f>
        <v>12042</v>
      </c>
      <c r="S55" s="670">
        <f>BS!S3+BS!S4</f>
        <v>4642.9527738818215</v>
      </c>
      <c r="T55" s="670">
        <f>BS!T3+BS!T4</f>
        <v>7146.7235272726284</v>
      </c>
      <c r="U55" s="670">
        <f>BS!U3+BS!U4</f>
        <v>6990.7956179055418</v>
      </c>
      <c r="V55" s="670">
        <f>BS!V3+BS!V4</f>
        <v>10954.519675921478</v>
      </c>
      <c r="W55" s="670">
        <f>BS!W3+BS!W4</f>
        <v>13734.103815248709</v>
      </c>
      <c r="X55" s="670">
        <f>BS!X3+BS!X4</f>
        <v>17354.914629759252</v>
      </c>
      <c r="Y55" s="670">
        <f>BS!Y3+BS!Y4</f>
        <v>22536.736341407432</v>
      </c>
      <c r="Z55" s="670">
        <f>BS!Z3+BS!Z4</f>
        <v>24009.594205342386</v>
      </c>
      <c r="AA55" s="670">
        <f>BS!AA3+BS!AA4</f>
        <v>24247.560420135807</v>
      </c>
      <c r="AB55" s="670">
        <f>BS!AB3+BS!AB4</f>
        <v>21807.15845712438</v>
      </c>
      <c r="AC55" s="670">
        <f>BS!AC3+BS!AC4</f>
        <v>22305.968862806119</v>
      </c>
      <c r="AD55" s="670">
        <f>BS!AD3+BS!AD4</f>
        <v>24730.476807639552</v>
      </c>
      <c r="AE55" s="670">
        <f>BS!AE3+BS!AE4</f>
        <v>27203.491699163304</v>
      </c>
      <c r="AJ55"/>
      <c r="AK55"/>
      <c r="AL55"/>
      <c r="AM55"/>
      <c r="AN55"/>
      <c r="AO55"/>
    </row>
    <row r="56" spans="1:41" ht="12.75" customHeight="1">
      <c r="A56" s="653"/>
      <c r="B56" s="652" t="s">
        <v>618</v>
      </c>
      <c r="C56" s="346">
        <f>BS!C3+BS!C4-C55</f>
        <v>0</v>
      </c>
      <c r="D56" s="346">
        <f>BS!D3+BS!D4-D55</f>
        <v>0</v>
      </c>
      <c r="E56" s="346">
        <f>BS!E3+BS!E4-E55</f>
        <v>0</v>
      </c>
      <c r="F56" s="346">
        <f>BS!F3+BS!F4-F55</f>
        <v>0</v>
      </c>
      <c r="G56" s="346">
        <f>BS!G3+BS!G4-G55</f>
        <v>0</v>
      </c>
      <c r="H56" s="346">
        <f>BS!H3+BS!H4-H55</f>
        <v>0</v>
      </c>
      <c r="I56" s="346">
        <f>BS!I3+BS!I4-I55</f>
        <v>0</v>
      </c>
      <c r="J56" s="346">
        <f>BS!J3+BS!J4-J55</f>
        <v>0</v>
      </c>
      <c r="K56" s="346">
        <f>BS!K3+BS!K4-K55</f>
        <v>0</v>
      </c>
      <c r="L56" s="346">
        <f>BS!L3+BS!L4-L55</f>
        <v>0</v>
      </c>
      <c r="M56" s="346">
        <f>BS!M3+BS!M4-M55</f>
        <v>0</v>
      </c>
      <c r="N56" s="346">
        <f>BS!N3+BS!N4-N55</f>
        <v>0</v>
      </c>
      <c r="O56" s="346">
        <f>BS!O3+BS!O4-O55</f>
        <v>0</v>
      </c>
      <c r="P56" s="346">
        <f>BS!P3+BS!P4-P55</f>
        <v>0</v>
      </c>
      <c r="Q56" s="346">
        <f>BS!Q3+BS!Q4-Q55</f>
        <v>0</v>
      </c>
      <c r="R56" s="346">
        <f>BS!R3+BS!R4-R55</f>
        <v>0</v>
      </c>
      <c r="S56" s="346">
        <f>BS!S3+BS!S4-S55</f>
        <v>0</v>
      </c>
      <c r="T56" s="346">
        <f>BS!T3+BS!T4-T55</f>
        <v>0</v>
      </c>
      <c r="U56" s="346">
        <f>BS!U3+BS!U4-U55</f>
        <v>0</v>
      </c>
      <c r="V56" s="346">
        <f>BS!V3+BS!V4-V55</f>
        <v>0</v>
      </c>
      <c r="W56" s="346">
        <f>BS!W3+BS!W4-W55</f>
        <v>0</v>
      </c>
      <c r="X56" s="346">
        <f>BS!X3+BS!X4-X55</f>
        <v>0</v>
      </c>
      <c r="Y56" s="346">
        <f>BS!Y3+BS!Y4-Y55</f>
        <v>0</v>
      </c>
      <c r="Z56" s="346">
        <f>BS!Z3+BS!Z4-Z55</f>
        <v>0</v>
      </c>
      <c r="AA56" s="346">
        <f>BS!AA3+BS!AA4-AA55</f>
        <v>0</v>
      </c>
      <c r="AB56" s="346">
        <f>BS!AB3+BS!AB4-AB55</f>
        <v>0</v>
      </c>
      <c r="AC56" s="346">
        <f>BS!AC3+BS!AC4-AC55</f>
        <v>0</v>
      </c>
      <c r="AD56" s="346">
        <f>BS!AD3+BS!AD4-AD55</f>
        <v>0</v>
      </c>
      <c r="AE56" s="346">
        <f>BS!AE3+BS!AE4-AE55</f>
        <v>0</v>
      </c>
    </row>
    <row r="57" spans="1:41" ht="12.75" customHeight="1">
      <c r="A57" s="653"/>
      <c r="B57" s="652"/>
      <c r="C57" s="239"/>
      <c r="D57" s="239"/>
      <c r="E57" s="239"/>
      <c r="F57" s="239"/>
      <c r="G57" s="239"/>
      <c r="H57" s="239"/>
      <c r="I57" s="239"/>
      <c r="J57" s="306"/>
      <c r="K57" s="306"/>
      <c r="L57" s="306"/>
      <c r="M57" s="306"/>
      <c r="N57" s="346"/>
      <c r="O57" s="346"/>
      <c r="P57" s="346"/>
      <c r="Q57" s="346"/>
      <c r="R57" s="346"/>
      <c r="S57" s="346"/>
      <c r="T57" s="346"/>
      <c r="U57" s="346"/>
    </row>
    <row r="58" spans="1:41" ht="12.75" customHeight="1">
      <c r="A58" s="653"/>
      <c r="B58" s="232" t="s">
        <v>661</v>
      </c>
      <c r="C58" s="307"/>
      <c r="D58" s="307"/>
      <c r="E58" s="307"/>
      <c r="F58" s="307"/>
      <c r="G58" s="307"/>
      <c r="H58" s="307"/>
      <c r="I58" s="307"/>
      <c r="J58" s="307"/>
      <c r="K58" s="307"/>
      <c r="L58" s="307"/>
      <c r="M58" s="307"/>
      <c r="N58" s="965"/>
      <c r="O58" s="307"/>
      <c r="P58" s="307"/>
      <c r="Q58" s="307"/>
      <c r="R58" s="307"/>
      <c r="S58" s="307"/>
      <c r="T58" s="307"/>
      <c r="U58" s="307"/>
    </row>
    <row r="59" spans="1:41" s="209" customFormat="1" ht="12.75" customHeight="1" outlineLevel="1">
      <c r="A59" s="655"/>
      <c r="B59" s="288" t="s">
        <v>662</v>
      </c>
      <c r="C59" s="308">
        <f t="shared" ref="C59:Q59" si="21">+C29</f>
        <v>-37.817999999999998</v>
      </c>
      <c r="D59" s="308">
        <f t="shared" si="21"/>
        <v>18.725000000000001</v>
      </c>
      <c r="E59" s="308">
        <f t="shared" si="21"/>
        <v>155.93899999999999</v>
      </c>
      <c r="F59" s="308">
        <f t="shared" si="21"/>
        <v>41.916999999999987</v>
      </c>
      <c r="G59" s="308">
        <f t="shared" si="21"/>
        <v>83.561000000000007</v>
      </c>
      <c r="H59" s="308">
        <f t="shared" si="21"/>
        <v>477.50000000000006</v>
      </c>
      <c r="I59" s="308">
        <f t="shared" si="21"/>
        <v>182.18700000000013</v>
      </c>
      <c r="J59" s="308">
        <f t="shared" si="21"/>
        <v>909.8549999999999</v>
      </c>
      <c r="K59" s="308">
        <f t="shared" si="21"/>
        <v>1181.556</v>
      </c>
      <c r="L59" s="308">
        <f t="shared" si="21"/>
        <v>1808.6849999999999</v>
      </c>
      <c r="M59" s="308">
        <f t="shared" si="21"/>
        <v>2018.5530000000001</v>
      </c>
      <c r="N59" s="308">
        <f t="shared" si="21"/>
        <v>2225.9</v>
      </c>
      <c r="O59" s="308">
        <f t="shared" si="21"/>
        <v>2806.3</v>
      </c>
      <c r="P59" s="308">
        <f t="shared" si="21"/>
        <v>2483.8999999999996</v>
      </c>
      <c r="Q59" s="308">
        <f t="shared" si="21"/>
        <v>3976.2999999999997</v>
      </c>
      <c r="R59" s="308">
        <f>+R29</f>
        <v>5246</v>
      </c>
      <c r="S59" s="308">
        <f>+S29</f>
        <v>6390.4635587761659</v>
      </c>
      <c r="T59" s="308">
        <f>+T29</f>
        <v>7435.1391648857089</v>
      </c>
      <c r="U59" s="308">
        <f>+U29</f>
        <v>8819.7803688769418</v>
      </c>
      <c r="V59" s="308">
        <f t="shared" ref="V59:AE59" si="22">+V29</f>
        <v>10311.939159094742</v>
      </c>
      <c r="W59" s="308">
        <f t="shared" si="22"/>
        <v>11194.563372014825</v>
      </c>
      <c r="X59" s="308">
        <f t="shared" si="22"/>
        <v>11473.232786669818</v>
      </c>
      <c r="Y59" s="308">
        <f t="shared" si="22"/>
        <v>11263.485707032289</v>
      </c>
      <c r="Z59" s="308">
        <f t="shared" si="22"/>
        <v>9400.5371190289043</v>
      </c>
      <c r="AA59" s="308">
        <f t="shared" si="22"/>
        <v>5892.3898620306318</v>
      </c>
      <c r="AB59" s="308">
        <f t="shared" si="22"/>
        <v>4570.7739043669262</v>
      </c>
      <c r="AC59" s="308">
        <f t="shared" si="22"/>
        <v>4347.1560306793481</v>
      </c>
      <c r="AD59" s="308">
        <f t="shared" si="22"/>
        <v>4577.3027409085471</v>
      </c>
      <c r="AE59" s="308">
        <f t="shared" si="22"/>
        <v>3543.7259779648248</v>
      </c>
      <c r="AJ59"/>
      <c r="AK59"/>
      <c r="AL59"/>
      <c r="AM59"/>
      <c r="AN59"/>
      <c r="AO59"/>
    </row>
    <row r="60" spans="1:41" s="209" customFormat="1" ht="12.75" customHeight="1" outlineLevel="1">
      <c r="A60" s="655"/>
      <c r="B60" s="235" t="s">
        <v>663</v>
      </c>
      <c r="C60" s="308">
        <f t="shared" ref="C60:Q60" si="23">+C34</f>
        <v>-11.077</v>
      </c>
      <c r="D60" s="308">
        <f t="shared" si="23"/>
        <v>-11.227</v>
      </c>
      <c r="E60" s="308">
        <f t="shared" si="23"/>
        <v>-36.015000000000001</v>
      </c>
      <c r="F60" s="308">
        <f t="shared" si="23"/>
        <v>-35.860999999999997</v>
      </c>
      <c r="G60" s="308">
        <f t="shared" si="23"/>
        <v>-58.582000000000001</v>
      </c>
      <c r="H60" s="308">
        <f t="shared" si="23"/>
        <v>-64.358999999999995</v>
      </c>
      <c r="I60" s="308">
        <f t="shared" si="23"/>
        <v>-77.379000000000005</v>
      </c>
      <c r="J60" s="308">
        <f t="shared" si="23"/>
        <v>-93.384</v>
      </c>
      <c r="K60" s="308">
        <f t="shared" si="23"/>
        <v>-98.632000000000005</v>
      </c>
      <c r="L60" s="308">
        <f t="shared" si="23"/>
        <v>-132.119</v>
      </c>
      <c r="M60" s="308">
        <f t="shared" si="23"/>
        <v>-111.524</v>
      </c>
      <c r="N60" s="308">
        <f t="shared" si="23"/>
        <v>-119.7</v>
      </c>
      <c r="O60" s="308">
        <f t="shared" si="23"/>
        <v>-150.30000000000001</v>
      </c>
      <c r="P60" s="308">
        <f t="shared" si="23"/>
        <v>-286.3</v>
      </c>
      <c r="Q60" s="308">
        <f t="shared" si="23"/>
        <v>-236.2</v>
      </c>
      <c r="R60" s="308">
        <f>+R34</f>
        <v>-279</v>
      </c>
      <c r="S60" s="308">
        <f>+S34</f>
        <v>-316.99533717983616</v>
      </c>
      <c r="T60" s="308">
        <f>+T34</f>
        <v>-358.93415314990074</v>
      </c>
      <c r="U60" s="308">
        <f>+U34</f>
        <v>-481.24300797875685</v>
      </c>
      <c r="V60" s="308">
        <f t="shared" ref="V60:AE60" si="24">+V34</f>
        <v>-552.74388432198077</v>
      </c>
      <c r="W60" s="308">
        <f t="shared" si="24"/>
        <v>-591.8314641618482</v>
      </c>
      <c r="X60" s="308">
        <f t="shared" si="24"/>
        <v>-599.76020732881659</v>
      </c>
      <c r="Y60" s="308">
        <f t="shared" si="24"/>
        <v>-587.15165151041106</v>
      </c>
      <c r="Z60" s="308">
        <f t="shared" si="24"/>
        <v>-574.08320005476401</v>
      </c>
      <c r="AA60" s="308">
        <f t="shared" si="24"/>
        <v>-369.32609253884266</v>
      </c>
      <c r="AB60" s="308">
        <f t="shared" si="24"/>
        <v>-297.18938133204398</v>
      </c>
      <c r="AC60" s="308">
        <f t="shared" si="24"/>
        <v>-286.54822954179599</v>
      </c>
      <c r="AD60" s="308">
        <f t="shared" si="24"/>
        <v>-284.48996895881675</v>
      </c>
      <c r="AE60" s="308">
        <f t="shared" si="24"/>
        <v>-217.79970772072988</v>
      </c>
      <c r="AJ60"/>
      <c r="AK60"/>
      <c r="AL60"/>
      <c r="AM60"/>
      <c r="AN60"/>
      <c r="AO60"/>
    </row>
    <row r="61" spans="1:41" s="209" customFormat="1" ht="12.75" customHeight="1" outlineLevel="1">
      <c r="A61" s="655"/>
      <c r="B61" s="235" t="s">
        <v>664</v>
      </c>
      <c r="C61" s="308"/>
      <c r="D61" s="308"/>
      <c r="E61" s="308"/>
      <c r="F61" s="308"/>
      <c r="G61" s="308"/>
      <c r="H61" s="308"/>
      <c r="I61" s="308">
        <f t="shared" ref="I61:R61" si="25">I48</f>
        <v>153.04599999999999</v>
      </c>
      <c r="J61" s="308">
        <f t="shared" si="25"/>
        <v>97.837999999999994</v>
      </c>
      <c r="K61" s="308">
        <f t="shared" si="25"/>
        <v>36.124000000000002</v>
      </c>
      <c r="L61" s="308">
        <f t="shared" si="25"/>
        <v>31.053999999999998</v>
      </c>
      <c r="M61" s="308">
        <f t="shared" si="25"/>
        <v>49.319000000000003</v>
      </c>
      <c r="N61" s="309">
        <f t="shared" si="25"/>
        <v>169.4</v>
      </c>
      <c r="O61" s="309">
        <f t="shared" si="25"/>
        <v>250.6</v>
      </c>
      <c r="P61" s="309">
        <f t="shared" si="25"/>
        <v>300.5</v>
      </c>
      <c r="Q61" s="309">
        <f t="shared" si="25"/>
        <v>188.8</v>
      </c>
      <c r="R61" s="309">
        <f t="shared" si="25"/>
        <v>0</v>
      </c>
      <c r="S61" s="309">
        <f>S48</f>
        <v>152.19969047672919</v>
      </c>
      <c r="T61" s="309">
        <f>T48</f>
        <v>168.87593078038861</v>
      </c>
      <c r="U61" s="309">
        <f>U48</f>
        <v>204.00826437790178</v>
      </c>
      <c r="V61" s="309">
        <f t="shared" ref="V61:AE61" si="26">V48</f>
        <v>246.00632081257382</v>
      </c>
      <c r="W61" s="309">
        <f t="shared" si="26"/>
        <v>296.16527455069604</v>
      </c>
      <c r="X61" s="309">
        <f t="shared" si="26"/>
        <v>356.0194187173214</v>
      </c>
      <c r="Y61" s="309">
        <f t="shared" si="26"/>
        <v>427.38570838697694</v>
      </c>
      <c r="Z61" s="309">
        <f t="shared" si="26"/>
        <v>512.41516161891252</v>
      </c>
      <c r="AA61" s="309">
        <f t="shared" si="26"/>
        <v>613.65352765455964</v>
      </c>
      <c r="AB61" s="309">
        <f t="shared" si="26"/>
        <v>734.11288345851028</v>
      </c>
      <c r="AC61" s="309">
        <f t="shared" si="26"/>
        <v>877.35611639378305</v>
      </c>
      <c r="AD61" s="309">
        <f t="shared" si="26"/>
        <v>1047.5966002501441</v>
      </c>
      <c r="AE61" s="309">
        <f t="shared" si="26"/>
        <v>1249.8157834790318</v>
      </c>
      <c r="AJ61"/>
      <c r="AK61"/>
      <c r="AL61"/>
      <c r="AM61"/>
      <c r="AN61"/>
      <c r="AO61"/>
    </row>
    <row r="62" spans="1:41" s="687" customFormat="1" ht="12.75" customHeight="1" outlineLevel="1">
      <c r="A62" s="690"/>
      <c r="B62" s="691" t="s">
        <v>665</v>
      </c>
      <c r="C62" s="692">
        <f t="shared" ref="C62:H62" si="27">+SUM(C59:C60)</f>
        <v>-48.894999999999996</v>
      </c>
      <c r="D62" s="692">
        <f t="shared" si="27"/>
        <v>7.4980000000000011</v>
      </c>
      <c r="E62" s="692">
        <f t="shared" si="27"/>
        <v>119.92399999999999</v>
      </c>
      <c r="F62" s="692">
        <f t="shared" si="27"/>
        <v>6.0559999999999903</v>
      </c>
      <c r="G62" s="692">
        <f t="shared" si="27"/>
        <v>24.979000000000006</v>
      </c>
      <c r="H62" s="692">
        <f t="shared" si="27"/>
        <v>413.14100000000008</v>
      </c>
      <c r="I62" s="692">
        <f t="shared" ref="I62:R62" si="28">+SUM(I59:I61)</f>
        <v>257.8540000000001</v>
      </c>
      <c r="J62" s="692">
        <f t="shared" si="28"/>
        <v>914.30899999999986</v>
      </c>
      <c r="K62" s="692">
        <f t="shared" si="28"/>
        <v>1119.048</v>
      </c>
      <c r="L62" s="692">
        <f t="shared" si="28"/>
        <v>1707.6200000000001</v>
      </c>
      <c r="M62" s="692">
        <f t="shared" si="28"/>
        <v>1956.348</v>
      </c>
      <c r="N62" s="692">
        <f t="shared" si="28"/>
        <v>2275.6000000000004</v>
      </c>
      <c r="O62" s="692">
        <f t="shared" si="28"/>
        <v>2906.6</v>
      </c>
      <c r="P62" s="692">
        <f t="shared" si="28"/>
        <v>2498.0999999999995</v>
      </c>
      <c r="Q62" s="692">
        <f t="shared" si="28"/>
        <v>3928.9</v>
      </c>
      <c r="R62" s="692">
        <f t="shared" si="28"/>
        <v>4967</v>
      </c>
      <c r="S62" s="692">
        <f>+SUM(S59:S61)</f>
        <v>6225.6679120730587</v>
      </c>
      <c r="T62" s="692">
        <f>+SUM(T59:T61)</f>
        <v>7245.080942516197</v>
      </c>
      <c r="U62" s="692">
        <f>+SUM(U59:U61)</f>
        <v>8542.5456252760869</v>
      </c>
      <c r="V62" s="692">
        <f t="shared" ref="V62:AE62" si="29">+SUM(V59:V61)</f>
        <v>10005.201595585335</v>
      </c>
      <c r="W62" s="692">
        <f t="shared" si="29"/>
        <v>10898.897182403673</v>
      </c>
      <c r="X62" s="692">
        <f t="shared" si="29"/>
        <v>11229.491998058324</v>
      </c>
      <c r="Y62" s="692">
        <f t="shared" si="29"/>
        <v>11103.719763908855</v>
      </c>
      <c r="Z62" s="692">
        <f t="shared" si="29"/>
        <v>9338.8690805930528</v>
      </c>
      <c r="AA62" s="692">
        <f t="shared" si="29"/>
        <v>6136.7172971463497</v>
      </c>
      <c r="AB62" s="692">
        <f t="shared" si="29"/>
        <v>5007.6974064933929</v>
      </c>
      <c r="AC62" s="692">
        <f t="shared" si="29"/>
        <v>4937.963917531335</v>
      </c>
      <c r="AD62" s="692">
        <f t="shared" si="29"/>
        <v>5340.4093721998743</v>
      </c>
      <c r="AE62" s="692">
        <f t="shared" si="29"/>
        <v>4575.7420537231264</v>
      </c>
      <c r="AJ62"/>
      <c r="AK62"/>
      <c r="AL62"/>
      <c r="AM62"/>
      <c r="AN62"/>
      <c r="AO62"/>
    </row>
    <row r="63" spans="1:41" s="209" customFormat="1" ht="12.75" customHeight="1" outlineLevel="1">
      <c r="A63" s="655"/>
      <c r="B63" s="288" t="s">
        <v>606</v>
      </c>
      <c r="C63" s="308"/>
      <c r="D63" s="308"/>
      <c r="E63" s="308"/>
      <c r="F63" s="308"/>
      <c r="G63" s="308"/>
      <c r="H63" s="308"/>
      <c r="I63" s="308">
        <f>IS!AH87</f>
        <v>923.25199999999995</v>
      </c>
      <c r="J63" s="308">
        <f>IS!AM87</f>
        <v>934.70799999999997</v>
      </c>
      <c r="K63" s="308">
        <f>IS!AR87</f>
        <v>939.03399999999999</v>
      </c>
      <c r="L63" s="308">
        <f>IS!AW87</f>
        <v>925.49599999999998</v>
      </c>
      <c r="M63" s="308">
        <f>IS!BB87</f>
        <v>881.59199999999998</v>
      </c>
      <c r="N63" s="308">
        <f>IS!BG87</f>
        <v>860.6</v>
      </c>
      <c r="O63" s="308">
        <f>IS!BL87</f>
        <v>836</v>
      </c>
      <c r="P63" s="308">
        <f>IS!BQ87</f>
        <v>824.875</v>
      </c>
      <c r="Q63" s="308">
        <f>IS!BV87</f>
        <v>803.22499999999991</v>
      </c>
      <c r="R63" s="308">
        <f>IS!CA87</f>
        <v>808.87500000000011</v>
      </c>
      <c r="S63" s="308">
        <f>IS!CF87</f>
        <v>774.9</v>
      </c>
      <c r="T63" s="308">
        <f>IS!CK87</f>
        <v>778.8652301510574</v>
      </c>
      <c r="U63" s="308">
        <f>IS!CP87</f>
        <v>750.2652204308157</v>
      </c>
      <c r="V63" s="308">
        <f>IS!CU87</f>
        <v>721.18491697879745</v>
      </c>
      <c r="W63" s="308">
        <f>IS!CZ87</f>
        <v>698.18476267788731</v>
      </c>
      <c r="X63" s="308">
        <f>IS!DE87</f>
        <v>677.42438609555109</v>
      </c>
      <c r="Y63" s="308">
        <f>IS!DJ87</f>
        <v>662.87134206483779</v>
      </c>
      <c r="Z63" s="308">
        <f>IS!DO87</f>
        <v>653.29537045046402</v>
      </c>
      <c r="AA63" s="308">
        <f>IS!DT87</f>
        <v>644.86992674453427</v>
      </c>
      <c r="AB63" s="308">
        <f>IS!DY87</f>
        <v>637.67554790063957</v>
      </c>
      <c r="AC63" s="308">
        <f>IS!ED87</f>
        <v>635.70022114794403</v>
      </c>
      <c r="AD63" s="308">
        <f>IS!EI87</f>
        <v>641.6373617038289</v>
      </c>
      <c r="AE63" s="308">
        <f>IS!EN87</f>
        <v>652.98442234031745</v>
      </c>
      <c r="AJ63"/>
      <c r="AK63"/>
      <c r="AL63"/>
      <c r="AM63"/>
      <c r="AN63"/>
      <c r="AO63"/>
    </row>
    <row r="64" spans="1:41" s="312" customFormat="1" ht="12.75" customHeight="1" outlineLevel="1">
      <c r="A64" s="658">
        <v>0.1</v>
      </c>
      <c r="B64" s="697" t="s">
        <v>768</v>
      </c>
      <c r="C64" s="311"/>
      <c r="D64" s="311"/>
      <c r="E64" s="311"/>
      <c r="F64" s="311"/>
      <c r="G64" s="311"/>
      <c r="H64" s="311"/>
      <c r="I64" s="311">
        <v>55.28</v>
      </c>
      <c r="J64" s="311">
        <v>55.68</v>
      </c>
      <c r="K64" s="311">
        <v>61.25</v>
      </c>
      <c r="L64" s="311">
        <v>67.599999999999994</v>
      </c>
      <c r="M64" s="311">
        <v>78.47</v>
      </c>
      <c r="N64" s="311">
        <v>130.6258</v>
      </c>
      <c r="O64" s="789">
        <v>87.884200000000007</v>
      </c>
      <c r="P64" s="789">
        <v>118.40507936507939</v>
      </c>
      <c r="Q64" s="789">
        <v>106.52238095238098</v>
      </c>
      <c r="R64" s="789">
        <v>122.82406373306777</v>
      </c>
      <c r="S64" s="311">
        <f>+R64*(1+$A$64)</f>
        <v>135.10647010637456</v>
      </c>
      <c r="T64" s="311">
        <f>+S64*(1+$A$64)</f>
        <v>148.61711711701201</v>
      </c>
      <c r="U64" s="311">
        <f>+T64*(1+$A$64)</f>
        <v>163.47882882871323</v>
      </c>
      <c r="V64" s="311">
        <f t="shared" ref="V64:AB64" si="30">+U64*(1+$A$64)</f>
        <v>179.82671171158458</v>
      </c>
      <c r="W64" s="311">
        <f t="shared" si="30"/>
        <v>197.80938288274305</v>
      </c>
      <c r="X64" s="311">
        <f t="shared" si="30"/>
        <v>217.59032117101737</v>
      </c>
      <c r="Y64" s="311">
        <f t="shared" si="30"/>
        <v>239.34935328811912</v>
      </c>
      <c r="Z64" s="311">
        <f t="shared" si="30"/>
        <v>263.28428861693106</v>
      </c>
      <c r="AA64" s="311">
        <f t="shared" si="30"/>
        <v>289.61271747862418</v>
      </c>
      <c r="AB64" s="311">
        <f t="shared" si="30"/>
        <v>318.57398922648662</v>
      </c>
      <c r="AC64" s="311">
        <f>+AB64*(1+$A$64)</f>
        <v>350.43138814913533</v>
      </c>
      <c r="AD64" s="311">
        <f>+AC64*(1+$A$64)</f>
        <v>385.47452696404889</v>
      </c>
      <c r="AE64" s="311">
        <f>+AD64*(1+$A$64)</f>
        <v>424.02197966045384</v>
      </c>
      <c r="AJ64"/>
      <c r="AK64"/>
      <c r="AL64"/>
      <c r="AM64"/>
      <c r="AN64"/>
      <c r="AO64"/>
    </row>
    <row r="65" spans="1:41" s="696" customFormat="1" ht="12.75" customHeight="1" outlineLevel="1">
      <c r="A65" s="693"/>
      <c r="B65" s="694" t="s">
        <v>666</v>
      </c>
      <c r="C65" s="695"/>
      <c r="D65" s="695"/>
      <c r="E65" s="695"/>
      <c r="F65" s="695"/>
      <c r="G65" s="695"/>
      <c r="H65" s="695"/>
      <c r="I65" s="695">
        <f t="shared" ref="I65:R65" si="31">+I63*I64</f>
        <v>51037.370559999996</v>
      </c>
      <c r="J65" s="695">
        <f t="shared" si="31"/>
        <v>52044.541440000001</v>
      </c>
      <c r="K65" s="695">
        <f t="shared" si="31"/>
        <v>57515.832499999997</v>
      </c>
      <c r="L65" s="695">
        <f t="shared" si="31"/>
        <v>62563.529599999994</v>
      </c>
      <c r="M65" s="695">
        <f t="shared" si="31"/>
        <v>69178.524239999999</v>
      </c>
      <c r="N65" s="695">
        <f t="shared" si="31"/>
        <v>112416.56348</v>
      </c>
      <c r="O65" s="695">
        <f t="shared" si="31"/>
        <v>73471.191200000001</v>
      </c>
      <c r="P65" s="695">
        <f t="shared" si="31"/>
        <v>97669.389841269862</v>
      </c>
      <c r="Q65" s="695">
        <f t="shared" si="31"/>
        <v>85561.439440476213</v>
      </c>
      <c r="R65" s="695">
        <f t="shared" si="31"/>
        <v>99349.314552085212</v>
      </c>
      <c r="S65" s="695">
        <f>+S63*S64</f>
        <v>104694.00368542965</v>
      </c>
      <c r="T65" s="695">
        <f>+T63*T64</f>
        <v>115752.70512772822</v>
      </c>
      <c r="U65" s="695">
        <f>+U63*U64</f>
        <v>122652.47954694612</v>
      </c>
      <c r="V65" s="695">
        <f t="shared" ref="V65:AE65" si="32">+V63*V64</f>
        <v>129688.31215628926</v>
      </c>
      <c r="W65" s="695">
        <f t="shared" si="32"/>
        <v>138107.49704344731</v>
      </c>
      <c r="X65" s="695">
        <f t="shared" si="32"/>
        <v>147400.98973961023</v>
      </c>
      <c r="Y65" s="695">
        <f t="shared" si="32"/>
        <v>158657.82703644651</v>
      </c>
      <c r="Z65" s="695">
        <f t="shared" si="32"/>
        <v>172002.40686578487</v>
      </c>
      <c r="AA65" s="695">
        <f t="shared" si="32"/>
        <v>186762.53190472588</v>
      </c>
      <c r="AB65" s="695">
        <f t="shared" si="32"/>
        <v>203146.84312689232</v>
      </c>
      <c r="AC65" s="695">
        <f t="shared" si="32"/>
        <v>222769.31094358634</v>
      </c>
      <c r="AD65" s="695">
        <f t="shared" si="32"/>
        <v>247334.85848524378</v>
      </c>
      <c r="AE65" s="695">
        <f t="shared" si="32"/>
        <v>276879.74744817929</v>
      </c>
      <c r="AJ65"/>
      <c r="AK65"/>
      <c r="AL65"/>
      <c r="AM65"/>
      <c r="AN65"/>
      <c r="AO65"/>
    </row>
    <row r="66" spans="1:41" s="247" customFormat="1" ht="12.75" customHeight="1" outlineLevel="1">
      <c r="A66" s="659"/>
      <c r="B66" s="313" t="s">
        <v>667</v>
      </c>
      <c r="C66" s="314"/>
      <c r="D66" s="314"/>
      <c r="E66" s="314"/>
      <c r="F66" s="314"/>
      <c r="G66" s="314"/>
      <c r="H66" s="314"/>
      <c r="I66" s="314">
        <f t="shared" ref="I66:R66" si="33">+I62/I65</f>
        <v>5.0522587110334105E-3</v>
      </c>
      <c r="J66" s="314">
        <f t="shared" si="33"/>
        <v>1.7567817386844861E-2</v>
      </c>
      <c r="K66" s="314">
        <f t="shared" si="33"/>
        <v>1.9456347084952651E-2</v>
      </c>
      <c r="L66" s="314">
        <f t="shared" si="33"/>
        <v>2.7294176190468644E-2</v>
      </c>
      <c r="M66" s="314">
        <f t="shared" si="33"/>
        <v>2.8279701272794888E-2</v>
      </c>
      <c r="N66" s="314">
        <f t="shared" si="33"/>
        <v>2.024256861761169E-2</v>
      </c>
      <c r="O66" s="314">
        <f t="shared" si="33"/>
        <v>3.9561084454011138E-2</v>
      </c>
      <c r="P66" s="314">
        <f t="shared" si="33"/>
        <v>2.5577102550347213E-2</v>
      </c>
      <c r="Q66" s="314">
        <f t="shared" si="33"/>
        <v>4.5919049816047983E-2</v>
      </c>
      <c r="R66" s="314">
        <f t="shared" si="33"/>
        <v>4.9995312221263327E-2</v>
      </c>
      <c r="S66" s="314">
        <f>+S62/S65</f>
        <v>5.9465372351019279E-2</v>
      </c>
      <c r="T66" s="314">
        <f>+T62/T65</f>
        <v>6.2591029164472275E-2</v>
      </c>
      <c r="U66" s="314">
        <f>+U62/U65</f>
        <v>6.9648372840325379E-2</v>
      </c>
      <c r="V66" s="314">
        <f t="shared" ref="V66:AE66" si="34">+V62/V65</f>
        <v>7.7148059291017076E-2</v>
      </c>
      <c r="W66" s="314">
        <f t="shared" si="34"/>
        <v>7.8916043051413656E-2</v>
      </c>
      <c r="X66" s="314">
        <f t="shared" si="34"/>
        <v>7.6183287628500129E-2</v>
      </c>
      <c r="Y66" s="314">
        <f t="shared" si="34"/>
        <v>6.9985326102809498E-2</v>
      </c>
      <c r="Z66" s="314">
        <f t="shared" si="34"/>
        <v>5.429499069673055E-2</v>
      </c>
      <c r="AA66" s="314">
        <f t="shared" si="34"/>
        <v>3.285839635263086E-2</v>
      </c>
      <c r="AB66" s="314">
        <f t="shared" si="34"/>
        <v>2.4650628724589226E-2</v>
      </c>
      <c r="AC66" s="314">
        <f t="shared" si="34"/>
        <v>2.2166266514070311E-2</v>
      </c>
      <c r="AD66" s="314">
        <f t="shared" si="34"/>
        <v>2.1591818496212851E-2</v>
      </c>
      <c r="AE66" s="314">
        <f t="shared" si="34"/>
        <v>1.6526098769934484E-2</v>
      </c>
      <c r="AJ66"/>
      <c r="AK66"/>
      <c r="AL66"/>
      <c r="AM66"/>
      <c r="AN66"/>
      <c r="AO66"/>
    </row>
    <row r="67" spans="1:41" ht="12.75" customHeight="1">
      <c r="A67" s="653"/>
      <c r="B67" s="315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39"/>
      <c r="P67" s="239"/>
      <c r="Q67" s="239"/>
      <c r="R67" s="239"/>
      <c r="S67" s="239"/>
      <c r="T67" s="239"/>
      <c r="U67" s="239"/>
    </row>
    <row r="68" spans="1:41" ht="12.75" customHeight="1">
      <c r="B68" s="232" t="s">
        <v>668</v>
      </c>
      <c r="C68" s="307"/>
      <c r="D68" s="307"/>
      <c r="E68" s="307"/>
      <c r="F68" s="307"/>
      <c r="G68" s="307"/>
      <c r="H68" s="307"/>
      <c r="I68" s="307"/>
      <c r="J68" s="307"/>
      <c r="K68" s="307"/>
      <c r="L68" s="307"/>
      <c r="M68" s="307"/>
      <c r="N68" s="307"/>
      <c r="O68" s="307"/>
      <c r="P68" s="307"/>
      <c r="Q68" s="307"/>
      <c r="R68" s="307"/>
      <c r="S68" s="307"/>
      <c r="T68" s="307"/>
      <c r="U68" s="307"/>
    </row>
    <row r="69" spans="1:41" s="312" customFormat="1" ht="12.75" customHeight="1" outlineLevel="1">
      <c r="A69" s="661"/>
      <c r="B69" s="316" t="s">
        <v>669</v>
      </c>
      <c r="C69" s="317">
        <v>5.2286100000000006</v>
      </c>
      <c r="D69" s="317">
        <v>8.406941999999999</v>
      </c>
      <c r="E69" s="317">
        <v>13.170985</v>
      </c>
      <c r="F69" s="317">
        <v>21.84</v>
      </c>
      <c r="G69" s="317">
        <v>43.782940000000004</v>
      </c>
      <c r="H69" s="317">
        <v>59.844520000000003</v>
      </c>
      <c r="I69" s="317">
        <v>60.980740000000004</v>
      </c>
      <c r="J69" s="317">
        <v>49.500130000000006</v>
      </c>
      <c r="K69" s="317">
        <v>57.524480000000004</v>
      </c>
      <c r="L69" s="317">
        <f>L64</f>
        <v>67.599999999999994</v>
      </c>
      <c r="M69" s="317">
        <f t="shared" ref="M69:Q69" si="35">M64</f>
        <v>78.47</v>
      </c>
      <c r="N69" s="317">
        <f>N64</f>
        <v>130.6258</v>
      </c>
      <c r="O69" s="788">
        <f>O64</f>
        <v>87.884200000000007</v>
      </c>
      <c r="P69" s="317">
        <f t="shared" si="35"/>
        <v>118.40507936507939</v>
      </c>
      <c r="Q69" s="317">
        <f t="shared" si="35"/>
        <v>106.52238095238098</v>
      </c>
      <c r="R69" s="317">
        <f>R64</f>
        <v>122.82406373306777</v>
      </c>
      <c r="S69" s="317">
        <f>S64</f>
        <v>135.10647010637456</v>
      </c>
      <c r="T69" s="317">
        <f>T64</f>
        <v>148.61711711701201</v>
      </c>
      <c r="U69" s="317">
        <f>U64</f>
        <v>163.47882882871323</v>
      </c>
      <c r="V69" s="317">
        <f t="shared" ref="V69:AE69" si="36">V64</f>
        <v>179.82671171158458</v>
      </c>
      <c r="W69" s="317">
        <f t="shared" si="36"/>
        <v>197.80938288274305</v>
      </c>
      <c r="X69" s="317">
        <f t="shared" si="36"/>
        <v>217.59032117101737</v>
      </c>
      <c r="Y69" s="317">
        <f t="shared" si="36"/>
        <v>239.34935328811912</v>
      </c>
      <c r="Z69" s="317">
        <f t="shared" si="36"/>
        <v>263.28428861693106</v>
      </c>
      <c r="AA69" s="317">
        <f t="shared" si="36"/>
        <v>289.61271747862418</v>
      </c>
      <c r="AB69" s="317">
        <f t="shared" si="36"/>
        <v>318.57398922648662</v>
      </c>
      <c r="AC69" s="317">
        <f t="shared" si="36"/>
        <v>350.43138814913533</v>
      </c>
      <c r="AD69" s="317">
        <f t="shared" si="36"/>
        <v>385.47452696404889</v>
      </c>
      <c r="AE69" s="317">
        <f t="shared" si="36"/>
        <v>424.02197966045384</v>
      </c>
      <c r="AJ69"/>
      <c r="AK69"/>
      <c r="AL69"/>
      <c r="AM69"/>
      <c r="AN69"/>
      <c r="AO69"/>
    </row>
    <row r="70" spans="1:41" s="209" customFormat="1" ht="12.75" customHeight="1" outlineLevel="1">
      <c r="A70" s="662"/>
      <c r="B70" s="318" t="s">
        <v>670</v>
      </c>
      <c r="C70" s="191">
        <f>7.296928*2*2</f>
        <v>29.187712000000001</v>
      </c>
      <c r="D70" s="191">
        <f>10.829432*2*2</f>
        <v>43.317728000000002</v>
      </c>
      <c r="E70" s="191">
        <f>(12.011749+11.324297)*2</f>
        <v>46.672091999999999</v>
      </c>
      <c r="F70" s="191">
        <f>25.264718+25.297189</f>
        <v>50.561906999999998</v>
      </c>
      <c r="G70" s="193">
        <v>50.594377999999999</v>
      </c>
      <c r="H70" s="193">
        <v>37.111688000000001</v>
      </c>
      <c r="I70" s="193">
        <v>32.717433999999997</v>
      </c>
      <c r="J70" s="193">
        <v>33.805610000000001</v>
      </c>
      <c r="K70" s="193">
        <f>37.450036</f>
        <v>37.450035999999997</v>
      </c>
      <c r="L70" s="193">
        <f t="shared" ref="L70" si="37">K70-K74-K76+K82</f>
        <v>41.137686000000002</v>
      </c>
      <c r="M70" s="193">
        <v>44.526747999999998</v>
      </c>
      <c r="N70" s="701">
        <v>42.6</v>
      </c>
      <c r="O70" s="701">
        <v>79.2</v>
      </c>
      <c r="P70" s="701">
        <v>77.2</v>
      </c>
      <c r="Q70" s="701">
        <v>75.7</v>
      </c>
      <c r="R70" s="701">
        <v>73.8</v>
      </c>
      <c r="S70" s="193">
        <f>R70-R74-R76+R82</f>
        <v>67.799999999999983</v>
      </c>
      <c r="T70" s="193">
        <f>S70-S74-S76+S82</f>
        <v>72.545999999999978</v>
      </c>
      <c r="U70" s="193">
        <f>T70-T74-T76+T82</f>
        <v>77.62421999999998</v>
      </c>
      <c r="V70" s="193">
        <f t="shared" ref="V70:AB70" si="38">U70-U74-U76+U82</f>
        <v>83.057915399999985</v>
      </c>
      <c r="W70" s="193">
        <f t="shared" si="38"/>
        <v>88.871969477999983</v>
      </c>
      <c r="X70" s="193">
        <f t="shared" si="38"/>
        <v>95.09300734145998</v>
      </c>
      <c r="Y70" s="193">
        <f t="shared" si="38"/>
        <v>101.74951785536217</v>
      </c>
      <c r="Z70" s="193">
        <f t="shared" si="38"/>
        <v>108.87198410523753</v>
      </c>
      <c r="AA70" s="193">
        <f t="shared" si="38"/>
        <v>116.49302299260415</v>
      </c>
      <c r="AB70" s="193">
        <f t="shared" si="38"/>
        <v>124.64753460208644</v>
      </c>
      <c r="AC70" s="193">
        <f>AB70-AB74-AB76+AB82</f>
        <v>133.37286202423249</v>
      </c>
      <c r="AD70" s="193">
        <f>AC70-AC74-AC76+AC82</f>
        <v>142.70896236592878</v>
      </c>
      <c r="AE70" s="193">
        <f>AD70-AD74-AD76+AD82</f>
        <v>152.69858973154379</v>
      </c>
      <c r="AJ70"/>
      <c r="AK70"/>
      <c r="AL70"/>
      <c r="AM70"/>
      <c r="AN70"/>
      <c r="AO70"/>
    </row>
    <row r="71" spans="1:41" s="209" customFormat="1" ht="12.75" customHeight="1" outlineLevel="1">
      <c r="A71" s="662"/>
      <c r="B71" s="318" t="s">
        <v>671</v>
      </c>
      <c r="C71" s="193"/>
      <c r="D71" s="193">
        <f>10.947339*2*2</f>
        <v>43.789355999999998</v>
      </c>
      <c r="E71" s="191">
        <f>24.399381*2</f>
        <v>48.798762000000004</v>
      </c>
      <c r="F71" s="191">
        <v>49.460464000000002</v>
      </c>
      <c r="G71" s="191">
        <v>27.634896000000001</v>
      </c>
      <c r="H71" s="319">
        <v>21.941441999999999</v>
      </c>
      <c r="I71" s="319">
        <v>18.636610000000001</v>
      </c>
      <c r="J71" s="193">
        <v>19.365444</v>
      </c>
      <c r="K71" s="193">
        <v>21.005769000000001</v>
      </c>
      <c r="L71" s="193">
        <f t="shared" ref="L71" si="39">((M70+L70)/2)*L72</f>
        <v>32.124162749999996</v>
      </c>
      <c r="M71" s="193">
        <v>20.253954</v>
      </c>
      <c r="N71" s="701">
        <v>17</v>
      </c>
      <c r="O71" s="701">
        <v>36.4</v>
      </c>
      <c r="P71" s="701">
        <v>41.2</v>
      </c>
      <c r="Q71" s="701">
        <v>44.4</v>
      </c>
      <c r="R71" s="701">
        <v>41.1</v>
      </c>
      <c r="S71" s="193">
        <f>((S70+S70)/2)*S72</f>
        <v>50.849999999999987</v>
      </c>
      <c r="T71" s="193">
        <f>((T70+T70)/2)*T72</f>
        <v>54.40949999999998</v>
      </c>
      <c r="U71" s="193">
        <f>((U70+U70)/2)*U72</f>
        <v>58.218164999999985</v>
      </c>
      <c r="V71" s="193">
        <f t="shared" ref="V71:AE71" si="40">((V70+V70)/2)*V72</f>
        <v>62.293436549999988</v>
      </c>
      <c r="W71" s="193">
        <f t="shared" si="40"/>
        <v>66.653977108499987</v>
      </c>
      <c r="X71" s="193">
        <f t="shared" si="40"/>
        <v>71.319755506094992</v>
      </c>
      <c r="Y71" s="193">
        <f t="shared" si="40"/>
        <v>76.312138391521628</v>
      </c>
      <c r="Z71" s="193">
        <f t="shared" si="40"/>
        <v>81.653988078928151</v>
      </c>
      <c r="AA71" s="193">
        <f t="shared" si="40"/>
        <v>87.369767244453115</v>
      </c>
      <c r="AB71" s="193">
        <f t="shared" si="40"/>
        <v>93.485650951564821</v>
      </c>
      <c r="AC71" s="193">
        <f t="shared" si="40"/>
        <v>100.02964651817436</v>
      </c>
      <c r="AD71" s="193">
        <f t="shared" si="40"/>
        <v>107.03172177444659</v>
      </c>
      <c r="AE71" s="193">
        <f t="shared" si="40"/>
        <v>114.52394229865784</v>
      </c>
      <c r="AJ71"/>
      <c r="AK71"/>
      <c r="AL71"/>
      <c r="AM71"/>
      <c r="AN71"/>
      <c r="AO71"/>
    </row>
    <row r="72" spans="1:41" s="247" customFormat="1" ht="12.75" customHeight="1" outlineLevel="1">
      <c r="A72" s="663"/>
      <c r="B72" s="320" t="s">
        <v>672</v>
      </c>
      <c r="C72" s="246"/>
      <c r="D72" s="246">
        <f t="shared" ref="D72:Q72" si="41">D71/((D70+E70)/2)</f>
        <v>0.97320688051159554</v>
      </c>
      <c r="E72" s="246">
        <f t="shared" si="41"/>
        <v>1.0037386614120438</v>
      </c>
      <c r="F72" s="246">
        <f t="shared" si="41"/>
        <v>0.97790194647816497</v>
      </c>
      <c r="G72" s="246">
        <f t="shared" si="41"/>
        <v>0.63017068853595604</v>
      </c>
      <c r="H72" s="246">
        <f t="shared" si="41"/>
        <v>0.62843241821084328</v>
      </c>
      <c r="I72" s="246">
        <f t="shared" si="41"/>
        <v>0.56030538831025234</v>
      </c>
      <c r="J72" s="246">
        <f t="shared" si="41"/>
        <v>0.54354833861165197</v>
      </c>
      <c r="K72" s="246">
        <f t="shared" si="41"/>
        <v>0.53458144517791217</v>
      </c>
      <c r="L72" s="246">
        <v>0.75</v>
      </c>
      <c r="M72" s="246">
        <f t="shared" si="41"/>
        <v>0.46493079255064135</v>
      </c>
      <c r="N72" s="246">
        <f t="shared" si="41"/>
        <v>0.27914614121510672</v>
      </c>
      <c r="O72" s="246">
        <f t="shared" si="41"/>
        <v>0.46547314578005111</v>
      </c>
      <c r="P72" s="246">
        <f t="shared" si="41"/>
        <v>0.53891432308698495</v>
      </c>
      <c r="Q72" s="246">
        <f t="shared" si="41"/>
        <v>0.5939799331103679</v>
      </c>
      <c r="R72" s="246">
        <f>R71/((R70+S70)/2)</f>
        <v>0.5805084745762713</v>
      </c>
      <c r="S72" s="246">
        <v>0.75</v>
      </c>
      <c r="T72" s="246">
        <v>0.75</v>
      </c>
      <c r="U72" s="246">
        <v>0.75</v>
      </c>
      <c r="V72" s="246">
        <v>0.75</v>
      </c>
      <c r="W72" s="246">
        <v>0.75</v>
      </c>
      <c r="X72" s="246">
        <v>0.75</v>
      </c>
      <c r="Y72" s="246">
        <v>0.75</v>
      </c>
      <c r="Z72" s="246">
        <v>0.75</v>
      </c>
      <c r="AA72" s="246">
        <v>0.75</v>
      </c>
      <c r="AB72" s="246">
        <v>0.75</v>
      </c>
      <c r="AC72" s="246">
        <v>0.75</v>
      </c>
      <c r="AD72" s="246">
        <v>0.75</v>
      </c>
      <c r="AE72" s="246">
        <v>0.75</v>
      </c>
      <c r="AJ72"/>
      <c r="AK72"/>
      <c r="AL72"/>
      <c r="AM72"/>
      <c r="AN72"/>
      <c r="AO72"/>
    </row>
    <row r="73" spans="1:41" s="312" customFormat="1" ht="12.75" customHeight="1" outlineLevel="1">
      <c r="A73" s="713">
        <v>0.05</v>
      </c>
      <c r="B73" s="321" t="s">
        <v>673</v>
      </c>
      <c r="C73" s="194">
        <f>19.27/2</f>
        <v>9.6349999999999998</v>
      </c>
      <c r="D73" s="194">
        <f>24.25/2/2</f>
        <v>6.0625</v>
      </c>
      <c r="E73" s="194">
        <f>14.95/2</f>
        <v>7.4749999999999996</v>
      </c>
      <c r="F73" s="194">
        <v>14.02</v>
      </c>
      <c r="G73" s="194">
        <v>17.16</v>
      </c>
      <c r="H73" s="194">
        <v>19.25</v>
      </c>
      <c r="I73" s="194">
        <v>25.61</v>
      </c>
      <c r="J73" s="194">
        <v>34.909999999999997</v>
      </c>
      <c r="K73" s="194">
        <v>41.56</v>
      </c>
      <c r="L73" s="194">
        <v>45.72</v>
      </c>
      <c r="M73" s="194">
        <v>52.26</v>
      </c>
      <c r="N73" s="704">
        <v>54.81</v>
      </c>
      <c r="O73" s="704">
        <v>33.340000000000003</v>
      </c>
      <c r="P73" s="704">
        <v>41.12</v>
      </c>
      <c r="Q73" s="704">
        <v>51.09</v>
      </c>
      <c r="R73" s="704">
        <v>63.58</v>
      </c>
      <c r="S73" s="194">
        <f t="shared" ref="S73:U73" si="42">+R73*(1+$A$73)</f>
        <v>66.759</v>
      </c>
      <c r="T73" s="194">
        <f t="shared" si="42"/>
        <v>70.096950000000007</v>
      </c>
      <c r="U73" s="194">
        <f t="shared" si="42"/>
        <v>73.601797500000004</v>
      </c>
      <c r="V73" s="194">
        <f t="shared" ref="V73:AE73" si="43">+U73*(1+$A$73)</f>
        <v>77.281887375000011</v>
      </c>
      <c r="W73" s="194">
        <f t="shared" si="43"/>
        <v>81.145981743750013</v>
      </c>
      <c r="X73" s="194">
        <f t="shared" si="43"/>
        <v>85.203280830937516</v>
      </c>
      <c r="Y73" s="194">
        <f t="shared" si="43"/>
        <v>89.463444872484402</v>
      </c>
      <c r="Z73" s="194">
        <f t="shared" si="43"/>
        <v>93.936617116108621</v>
      </c>
      <c r="AA73" s="194">
        <f t="shared" si="43"/>
        <v>98.633447971914052</v>
      </c>
      <c r="AB73" s="194">
        <f t="shared" si="43"/>
        <v>103.56512037050976</v>
      </c>
      <c r="AC73" s="194">
        <f t="shared" si="43"/>
        <v>108.74337638903525</v>
      </c>
      <c r="AD73" s="194">
        <f t="shared" si="43"/>
        <v>114.18054520848702</v>
      </c>
      <c r="AE73" s="194">
        <f t="shared" si="43"/>
        <v>119.88957246891137</v>
      </c>
      <c r="AJ73"/>
      <c r="AK73"/>
      <c r="AL73"/>
      <c r="AM73"/>
      <c r="AN73"/>
      <c r="AO73"/>
    </row>
    <row r="74" spans="1:41" s="209" customFormat="1" ht="12.75" customHeight="1" outlineLevel="1">
      <c r="A74" s="662"/>
      <c r="B74" s="322" t="s">
        <v>674</v>
      </c>
      <c r="C74" s="191">
        <f>0.423627*2*2</f>
        <v>1.6945079999999999</v>
      </c>
      <c r="D74" s="191">
        <f>0.200092*2*2</f>
        <v>0.80036799999999997</v>
      </c>
      <c r="E74" s="191">
        <f>0.844799*2</f>
        <v>1.6895979999999999</v>
      </c>
      <c r="F74" s="191">
        <v>0.429512</v>
      </c>
      <c r="G74" s="191">
        <f>1.251915+0.097281</f>
        <v>1.3491959999999998</v>
      </c>
      <c r="H74" s="319">
        <f>0.834095+0.008194</f>
        <v>0.84228900000000007</v>
      </c>
      <c r="I74" s="319">
        <f>0.63994+0.064813</f>
        <v>0.70475299999999996</v>
      </c>
      <c r="J74" s="319">
        <f>1.115718+0.139801</f>
        <v>1.2555190000000001</v>
      </c>
      <c r="K74" s="319">
        <f>1.630024+1.070732</f>
        <v>2.7007560000000002</v>
      </c>
      <c r="L74" s="193">
        <f t="shared" ref="L74" si="44">L75*L70</f>
        <v>1.23413058</v>
      </c>
      <c r="M74" s="193">
        <f>1.283343+0.120725</f>
        <v>1.4040679999999999</v>
      </c>
      <c r="N74" s="701">
        <v>1.1000000000000001</v>
      </c>
      <c r="O74" s="701">
        <f>0.1+1.6</f>
        <v>1.7000000000000002</v>
      </c>
      <c r="P74" s="701">
        <f>(0.1+1.7)</f>
        <v>1.8</v>
      </c>
      <c r="Q74" s="701">
        <f>(0.1+2.2)</f>
        <v>2.3000000000000003</v>
      </c>
      <c r="R74" s="701">
        <f>1.8+0.1</f>
        <v>1.9000000000000001</v>
      </c>
      <c r="S74" s="193">
        <f>S75*S70</f>
        <v>2.0339999999999994</v>
      </c>
      <c r="T74" s="193">
        <f>T75*T70</f>
        <v>2.1763799999999991</v>
      </c>
      <c r="U74" s="193">
        <f>U75*U70</f>
        <v>2.3287265999999991</v>
      </c>
      <c r="V74" s="193">
        <f t="shared" ref="V74:AE74" si="45">V75*V70</f>
        <v>2.4917374619999992</v>
      </c>
      <c r="W74" s="193">
        <f t="shared" si="45"/>
        <v>2.6661590843399994</v>
      </c>
      <c r="X74" s="193">
        <f t="shared" si="45"/>
        <v>2.8527902202437994</v>
      </c>
      <c r="Y74" s="193">
        <f t="shared" si="45"/>
        <v>3.0524855356608649</v>
      </c>
      <c r="Z74" s="193">
        <f t="shared" si="45"/>
        <v>3.2661595231571257</v>
      </c>
      <c r="AA74" s="193">
        <f t="shared" si="45"/>
        <v>3.4947906897781245</v>
      </c>
      <c r="AB74" s="193">
        <f t="shared" si="45"/>
        <v>3.739426038062593</v>
      </c>
      <c r="AC74" s="193">
        <f t="shared" si="45"/>
        <v>4.0011858607269746</v>
      </c>
      <c r="AD74" s="193">
        <f t="shared" si="45"/>
        <v>4.281268870977863</v>
      </c>
      <c r="AE74" s="193">
        <f t="shared" si="45"/>
        <v>4.5809576919463133</v>
      </c>
      <c r="AJ74"/>
      <c r="AK74"/>
      <c r="AL74"/>
      <c r="AM74"/>
      <c r="AN74"/>
      <c r="AO74"/>
    </row>
    <row r="75" spans="1:41" s="247" customFormat="1" ht="12.75" customHeight="1" outlineLevel="1">
      <c r="A75" s="663"/>
      <c r="B75" s="323" t="s">
        <v>675</v>
      </c>
      <c r="C75" s="246">
        <f t="shared" ref="C75:R75" si="46">C74/C70</f>
        <v>5.8055526928592407E-2</v>
      </c>
      <c r="D75" s="246">
        <f t="shared" si="46"/>
        <v>1.8476684649758175E-2</v>
      </c>
      <c r="E75" s="246">
        <f t="shared" si="46"/>
        <v>3.6201462749944867E-2</v>
      </c>
      <c r="F75" s="246">
        <f t="shared" si="46"/>
        <v>8.4947745345127119E-3</v>
      </c>
      <c r="G75" s="246">
        <f t="shared" si="46"/>
        <v>2.6666915442660446E-2</v>
      </c>
      <c r="H75" s="246">
        <f t="shared" si="46"/>
        <v>2.2696057371467449E-2</v>
      </c>
      <c r="I75" s="246">
        <f t="shared" si="46"/>
        <v>2.1540595145695108E-2</v>
      </c>
      <c r="J75" s="246">
        <f t="shared" si="46"/>
        <v>3.7139368288281148E-2</v>
      </c>
      <c r="K75" s="246">
        <f t="shared" si="46"/>
        <v>7.2116245762754411E-2</v>
      </c>
      <c r="L75" s="246">
        <v>0.03</v>
      </c>
      <c r="M75" s="246">
        <f t="shared" si="46"/>
        <v>3.1533135992774498E-2</v>
      </c>
      <c r="N75" s="246">
        <f t="shared" si="46"/>
        <v>2.5821596244131457E-2</v>
      </c>
      <c r="O75" s="246">
        <f t="shared" si="46"/>
        <v>2.1464646464646468E-2</v>
      </c>
      <c r="P75" s="246">
        <f t="shared" si="46"/>
        <v>2.3316062176165803E-2</v>
      </c>
      <c r="Q75" s="246">
        <f t="shared" si="46"/>
        <v>3.0383091149273449E-2</v>
      </c>
      <c r="R75" s="246">
        <f t="shared" si="46"/>
        <v>2.5745257452574527E-2</v>
      </c>
      <c r="S75" s="246">
        <v>0.03</v>
      </c>
      <c r="T75" s="246">
        <v>0.03</v>
      </c>
      <c r="U75" s="246">
        <v>0.03</v>
      </c>
      <c r="V75" s="246">
        <v>0.03</v>
      </c>
      <c r="W75" s="246">
        <v>0.03</v>
      </c>
      <c r="X75" s="246">
        <v>0.03</v>
      </c>
      <c r="Y75" s="246">
        <v>0.03</v>
      </c>
      <c r="Z75" s="246">
        <v>0.03</v>
      </c>
      <c r="AA75" s="246">
        <v>0.03</v>
      </c>
      <c r="AB75" s="246">
        <v>0.03</v>
      </c>
      <c r="AC75" s="246">
        <v>0.03</v>
      </c>
      <c r="AD75" s="246">
        <v>0.03</v>
      </c>
      <c r="AE75" s="246">
        <v>0.03</v>
      </c>
      <c r="AJ75"/>
      <c r="AK75"/>
      <c r="AL75"/>
      <c r="AM75"/>
      <c r="AN75"/>
      <c r="AO75"/>
    </row>
    <row r="76" spans="1:41" s="209" customFormat="1" ht="12.75" customHeight="1" outlineLevel="1">
      <c r="A76" s="662"/>
      <c r="B76" s="322" t="s">
        <v>676</v>
      </c>
      <c r="C76" s="191">
        <f>0.279117*2*2</f>
        <v>1.116468</v>
      </c>
      <c r="D76" s="191">
        <f>1.041618*2*2</f>
        <v>4.1664719999999997</v>
      </c>
      <c r="E76" s="191">
        <f>1.300297*2</f>
        <v>2.6005940000000001</v>
      </c>
      <c r="F76" s="191">
        <v>6.8406820000000002</v>
      </c>
      <c r="G76" s="191">
        <v>15.839309999999999</v>
      </c>
      <c r="H76" s="319">
        <v>10.271307</v>
      </c>
      <c r="I76" s="319">
        <v>8.9650259999999999</v>
      </c>
      <c r="J76" s="319">
        <v>4.0698280000000002</v>
      </c>
      <c r="K76" s="193">
        <v>3.5164759999999999</v>
      </c>
      <c r="L76" s="193">
        <f t="shared" ref="L76" si="47">L77*L70</f>
        <v>3.8627382231230971</v>
      </c>
      <c r="M76" s="193">
        <v>10.306894</v>
      </c>
      <c r="N76" s="701">
        <v>11.5</v>
      </c>
      <c r="O76" s="701">
        <v>14.8</v>
      </c>
      <c r="P76" s="701">
        <v>11.5</v>
      </c>
      <c r="Q76" s="701">
        <v>10.9</v>
      </c>
      <c r="R76" s="701">
        <v>15.6</v>
      </c>
      <c r="S76" s="193">
        <f>S77*S70</f>
        <v>10.169999999999996</v>
      </c>
      <c r="T76" s="193">
        <f>T77*T70</f>
        <v>10.881899999999996</v>
      </c>
      <c r="U76" s="193">
        <f>U77*U70</f>
        <v>11.643632999999996</v>
      </c>
      <c r="V76" s="193">
        <f t="shared" ref="V76:AE76" si="48">V77*V70</f>
        <v>12.458687309999997</v>
      </c>
      <c r="W76" s="193">
        <f t="shared" si="48"/>
        <v>13.330795421699998</v>
      </c>
      <c r="X76" s="193">
        <f t="shared" si="48"/>
        <v>14.263951101218996</v>
      </c>
      <c r="Y76" s="193">
        <f t="shared" si="48"/>
        <v>15.262427678304325</v>
      </c>
      <c r="Z76" s="193">
        <f t="shared" si="48"/>
        <v>16.330797615785627</v>
      </c>
      <c r="AA76" s="193">
        <f t="shared" si="48"/>
        <v>17.473953448890622</v>
      </c>
      <c r="AB76" s="193">
        <f t="shared" si="48"/>
        <v>18.697130190312965</v>
      </c>
      <c r="AC76" s="193">
        <f t="shared" si="48"/>
        <v>20.005929303634872</v>
      </c>
      <c r="AD76" s="193">
        <f t="shared" si="48"/>
        <v>21.406344354889317</v>
      </c>
      <c r="AE76" s="193">
        <f t="shared" si="48"/>
        <v>22.904788459731567</v>
      </c>
      <c r="AJ76"/>
      <c r="AK76"/>
      <c r="AL76"/>
      <c r="AM76"/>
      <c r="AN76"/>
      <c r="AO76"/>
    </row>
    <row r="77" spans="1:41" s="247" customFormat="1" ht="12.75" customHeight="1" outlineLevel="1">
      <c r="A77" s="663"/>
      <c r="B77" s="320" t="s">
        <v>677</v>
      </c>
      <c r="C77" s="261">
        <f t="shared" ref="C77:R77" si="49">C76/C70</f>
        <v>3.8251302465914419E-2</v>
      </c>
      <c r="D77" s="261">
        <f t="shared" si="49"/>
        <v>9.6183991921275275E-2</v>
      </c>
      <c r="E77" s="261">
        <f t="shared" si="49"/>
        <v>5.5720536375356823E-2</v>
      </c>
      <c r="F77" s="261">
        <f t="shared" si="49"/>
        <v>0.13529319612094537</v>
      </c>
      <c r="G77" s="261">
        <f t="shared" si="49"/>
        <v>0.31306462548072039</v>
      </c>
      <c r="H77" s="261">
        <f t="shared" si="49"/>
        <v>0.27676744318393709</v>
      </c>
      <c r="I77" s="261">
        <f t="shared" si="49"/>
        <v>0.27401372613756936</v>
      </c>
      <c r="J77" s="261">
        <f t="shared" si="49"/>
        <v>0.12038913067978954</v>
      </c>
      <c r="K77" s="261">
        <f t="shared" si="49"/>
        <v>9.3897800258456371E-2</v>
      </c>
      <c r="L77" s="261">
        <f t="shared" ref="L77" si="50">K77</f>
        <v>9.3897800258456371E-2</v>
      </c>
      <c r="M77" s="261">
        <f t="shared" si="49"/>
        <v>0.23147645994717603</v>
      </c>
      <c r="N77" s="261">
        <f t="shared" si="49"/>
        <v>0.2699530516431925</v>
      </c>
      <c r="O77" s="261">
        <f t="shared" si="49"/>
        <v>0.18686868686868688</v>
      </c>
      <c r="P77" s="954">
        <f t="shared" si="49"/>
        <v>0.14896373056994819</v>
      </c>
      <c r="Q77" s="954">
        <f t="shared" si="49"/>
        <v>0.14398943196829592</v>
      </c>
      <c r="R77" s="261">
        <f t="shared" si="49"/>
        <v>0.21138211382113822</v>
      </c>
      <c r="S77" s="261">
        <v>0.15</v>
      </c>
      <c r="T77" s="261">
        <f>S77</f>
        <v>0.15</v>
      </c>
      <c r="U77" s="261">
        <f>T77</f>
        <v>0.15</v>
      </c>
      <c r="V77" s="261">
        <f t="shared" ref="V77:AB77" si="51">U77</f>
        <v>0.15</v>
      </c>
      <c r="W77" s="261">
        <f t="shared" si="51"/>
        <v>0.15</v>
      </c>
      <c r="X77" s="261">
        <f t="shared" si="51"/>
        <v>0.15</v>
      </c>
      <c r="Y77" s="261">
        <f t="shared" si="51"/>
        <v>0.15</v>
      </c>
      <c r="Z77" s="261">
        <f t="shared" si="51"/>
        <v>0.15</v>
      </c>
      <c r="AA77" s="261">
        <f t="shared" si="51"/>
        <v>0.15</v>
      </c>
      <c r="AB77" s="261">
        <f t="shared" si="51"/>
        <v>0.15</v>
      </c>
      <c r="AC77" s="261">
        <f>AB77</f>
        <v>0.15</v>
      </c>
      <c r="AD77" s="261">
        <f>AC77</f>
        <v>0.15</v>
      </c>
      <c r="AE77" s="261">
        <f>AD77</f>
        <v>0.15</v>
      </c>
      <c r="AJ77"/>
      <c r="AK77"/>
      <c r="AL77"/>
      <c r="AM77"/>
      <c r="AN77"/>
      <c r="AO77"/>
    </row>
    <row r="78" spans="1:41" s="312" customFormat="1" ht="12.75" customHeight="1" outlineLevel="1">
      <c r="A78" s="661"/>
      <c r="B78" s="321" t="s">
        <v>678</v>
      </c>
      <c r="C78" s="194">
        <f>5.58/2/2</f>
        <v>1.395</v>
      </c>
      <c r="D78" s="194">
        <f>10.69/2/2</f>
        <v>2.6724999999999999</v>
      </c>
      <c r="E78" s="194">
        <f>7.99/2</f>
        <v>3.9950000000000001</v>
      </c>
      <c r="F78" s="194">
        <f>11.16/2</f>
        <v>5.58</v>
      </c>
      <c r="G78" s="194">
        <v>10.08</v>
      </c>
      <c r="H78" s="194">
        <v>14.3</v>
      </c>
      <c r="I78" s="194">
        <v>14.76</v>
      </c>
      <c r="J78" s="194">
        <v>12.52</v>
      </c>
      <c r="K78" s="194">
        <v>27.75</v>
      </c>
      <c r="L78" s="194">
        <v>30.64</v>
      </c>
      <c r="M78" s="194">
        <v>46.93</v>
      </c>
      <c r="N78" s="704">
        <v>54.23</v>
      </c>
      <c r="O78" s="704">
        <v>28.41</v>
      </c>
      <c r="P78" s="704">
        <v>34.39</v>
      </c>
      <c r="Q78" s="704">
        <v>41.7</v>
      </c>
      <c r="R78" s="704">
        <v>49.49</v>
      </c>
      <c r="S78" s="194">
        <f t="shared" ref="S78:U78" si="52">+R78*(1+$A$73)</f>
        <v>51.964500000000001</v>
      </c>
      <c r="T78" s="194">
        <f t="shared" si="52"/>
        <v>54.562725</v>
      </c>
      <c r="U78" s="194">
        <f t="shared" si="52"/>
        <v>57.290861250000006</v>
      </c>
      <c r="V78" s="194">
        <f t="shared" ref="V78:AE78" si="53">+U78*(1+$A$73)</f>
        <v>60.155404312500011</v>
      </c>
      <c r="W78" s="194">
        <f t="shared" si="53"/>
        <v>63.163174528125012</v>
      </c>
      <c r="X78" s="194">
        <f t="shared" si="53"/>
        <v>66.321333254531268</v>
      </c>
      <c r="Y78" s="194">
        <f t="shared" si="53"/>
        <v>69.637399917257838</v>
      </c>
      <c r="Z78" s="194">
        <f t="shared" si="53"/>
        <v>73.119269913120732</v>
      </c>
      <c r="AA78" s="194">
        <f t="shared" si="53"/>
        <v>76.775233408776771</v>
      </c>
      <c r="AB78" s="194">
        <f t="shared" si="53"/>
        <v>80.613995079215613</v>
      </c>
      <c r="AC78" s="194">
        <f t="shared" si="53"/>
        <v>84.644694833176402</v>
      </c>
      <c r="AD78" s="194">
        <f t="shared" si="53"/>
        <v>88.876929574835231</v>
      </c>
      <c r="AE78" s="194">
        <f t="shared" si="53"/>
        <v>93.320776053576992</v>
      </c>
      <c r="AJ78"/>
      <c r="AK78"/>
      <c r="AL78"/>
      <c r="AM78"/>
      <c r="AN78"/>
      <c r="AO78"/>
    </row>
    <row r="79" spans="1:41" s="247" customFormat="1" ht="12.75" customHeight="1" outlineLevel="1">
      <c r="A79" s="663"/>
      <c r="B79" s="320" t="s">
        <v>695</v>
      </c>
      <c r="C79" s="246">
        <f>IS!D30</f>
        <v>1.0817971078485485E-3</v>
      </c>
      <c r="D79" s="246">
        <f>IS!I30</f>
        <v>4.134039613081527E-2</v>
      </c>
      <c r="E79" s="246">
        <f>IS!N30</f>
        <v>8.128184938121201E-2</v>
      </c>
      <c r="F79" s="246">
        <f>IS!S30</f>
        <v>0.31729121358201623</v>
      </c>
      <c r="G79" s="246">
        <f>IS!X30</f>
        <v>0.29000996806839102</v>
      </c>
      <c r="H79" s="246">
        <f>IS!AC30</f>
        <v>0.28000120810767437</v>
      </c>
      <c r="I79" s="293">
        <f>IS!AH30</f>
        <v>0.24113126987545766</v>
      </c>
      <c r="J79" s="293">
        <f>IS!AM30</f>
        <v>0.21303079652900997</v>
      </c>
      <c r="K79" s="293">
        <f>IS!AR30</f>
        <v>0.19000027096532632</v>
      </c>
      <c r="L79" s="293">
        <f>IS!AW30</f>
        <v>0.18405917984913661</v>
      </c>
      <c r="M79" s="293">
        <f>IS!BB30</f>
        <v>0.16391410587525715</v>
      </c>
      <c r="N79" s="293">
        <f>IS!BG30</f>
        <v>0.16932635709614122</v>
      </c>
      <c r="O79" s="293">
        <f>IS!BL30</f>
        <v>0.1602254864762318</v>
      </c>
      <c r="P79" s="293">
        <f>IS!BQ30</f>
        <v>0.15249945426762715</v>
      </c>
      <c r="Q79" s="293">
        <f>IS!BV30</f>
        <v>0.15650420881375118</v>
      </c>
      <c r="R79" s="293">
        <f>IS!CA30</f>
        <v>0.1584714807530205</v>
      </c>
      <c r="S79" s="293">
        <f>IS!CF30</f>
        <v>0.18</v>
      </c>
      <c r="T79" s="293">
        <f>IS!CK30</f>
        <v>0.16500000000000001</v>
      </c>
      <c r="U79" s="293">
        <f>IS!CP30</f>
        <v>0.16500000000000001</v>
      </c>
      <c r="V79" s="293">
        <f>IS!CU30</f>
        <v>0.16500000000000001</v>
      </c>
      <c r="W79" s="293">
        <f>IS!CZ30</f>
        <v>0.16500000000000001</v>
      </c>
      <c r="X79" s="293">
        <f>IS!DE30</f>
        <v>0.16500000000000001</v>
      </c>
      <c r="Y79" s="293">
        <f>IS!DJ30</f>
        <v>0.16500000000000001</v>
      </c>
      <c r="Z79" s="293">
        <f>IS!DO30</f>
        <v>0.16500000000000001</v>
      </c>
      <c r="AA79" s="293">
        <f>IS!DT30</f>
        <v>0.16500000000000001</v>
      </c>
      <c r="AB79" s="293">
        <f>IS!DY30</f>
        <v>0.16500000000000001</v>
      </c>
      <c r="AC79" s="293">
        <f>IS!ED30</f>
        <v>0.16500000000000001</v>
      </c>
      <c r="AD79" s="293">
        <f>IS!EI30</f>
        <v>0.16500000000000001</v>
      </c>
      <c r="AE79" s="293">
        <f>IS!EN30</f>
        <v>0.16500000000000001</v>
      </c>
      <c r="AJ79"/>
      <c r="AK79"/>
      <c r="AL79"/>
      <c r="AM79"/>
      <c r="AN79"/>
      <c r="AO79"/>
    </row>
    <row r="80" spans="1:41" s="206" customFormat="1" ht="12.75" customHeight="1" outlineLevel="1">
      <c r="A80" s="664"/>
      <c r="B80" s="324" t="s">
        <v>679</v>
      </c>
      <c r="C80" s="195">
        <f>3.956+0.961</f>
        <v>4.9169999999999998</v>
      </c>
      <c r="D80" s="195">
        <f>11.959+2.774</f>
        <v>14.733000000000001</v>
      </c>
      <c r="E80" s="195">
        <f>16.329+4.266</f>
        <v>20.594999999999999</v>
      </c>
      <c r="F80" s="195">
        <f>76.346+3.506</f>
        <v>79.852000000000004</v>
      </c>
      <c r="G80" s="195">
        <f>158.221+1.306</f>
        <v>159.52700000000002</v>
      </c>
      <c r="H80" s="195">
        <f>146.763+2.901</f>
        <v>149.66400000000002</v>
      </c>
      <c r="I80" s="195">
        <f>3.861+128.439+5.178</f>
        <v>137.47799999999998</v>
      </c>
      <c r="J80" s="325">
        <f>1.213+50.491+2.784</f>
        <v>54.488</v>
      </c>
      <c r="K80" s="325">
        <f>7.335+91.039+2.722</f>
        <v>101.09599999999999</v>
      </c>
      <c r="L80" s="195">
        <f>166.693+2.644+0.072</f>
        <v>169.40900000000002</v>
      </c>
      <c r="M80" s="195">
        <f>482.936+0.673+19.178</f>
        <v>502.78699999999998</v>
      </c>
      <c r="N80" s="702">
        <f>721-169.4</f>
        <v>551.6</v>
      </c>
      <c r="O80" s="702">
        <v>250.6</v>
      </c>
      <c r="P80" s="702">
        <v>251.7</v>
      </c>
      <c r="Q80" s="702">
        <v>359.1</v>
      </c>
      <c r="R80" s="702">
        <f>R78*R76</f>
        <v>772.04399999999998</v>
      </c>
      <c r="S80" s="195">
        <f t="shared" ref="S80:AE80" si="54">S76*S78</f>
        <v>528.47896499999979</v>
      </c>
      <c r="T80" s="195">
        <f t="shared" si="54"/>
        <v>593.74611717749985</v>
      </c>
      <c r="U80" s="195">
        <f t="shared" si="54"/>
        <v>667.07376264892105</v>
      </c>
      <c r="V80" s="195">
        <f t="shared" si="54"/>
        <v>749.45737233606292</v>
      </c>
      <c r="W80" s="195">
        <f t="shared" si="54"/>
        <v>842.01535781956682</v>
      </c>
      <c r="X80" s="195">
        <f t="shared" si="54"/>
        <v>946.00425451028332</v>
      </c>
      <c r="Y80" s="195">
        <f t="shared" si="54"/>
        <v>1062.8357799423034</v>
      </c>
      <c r="Z80" s="195">
        <f t="shared" si="54"/>
        <v>1194.0959987651779</v>
      </c>
      <c r="AA80" s="195">
        <f t="shared" si="54"/>
        <v>1341.5668546126774</v>
      </c>
      <c r="AB80" s="195">
        <f t="shared" si="54"/>
        <v>1507.2503611573429</v>
      </c>
      <c r="AC80" s="195">
        <f t="shared" si="54"/>
        <v>1693.3957807602751</v>
      </c>
      <c r="AD80" s="195">
        <f t="shared" si="54"/>
        <v>1902.5301596841696</v>
      </c>
      <c r="AE80" s="195">
        <f t="shared" si="54"/>
        <v>2137.4926344051642</v>
      </c>
      <c r="AJ80"/>
      <c r="AK80"/>
      <c r="AL80"/>
      <c r="AM80"/>
      <c r="AN80"/>
      <c r="AO80"/>
    </row>
    <row r="81" spans="1:41" s="209" customFormat="1" ht="12.75" customHeight="1" outlineLevel="1">
      <c r="A81" s="662"/>
      <c r="B81" s="326" t="s">
        <v>680</v>
      </c>
      <c r="C81" s="193">
        <v>7.6999999999999999E-2</v>
      </c>
      <c r="D81" s="193">
        <v>0.77</v>
      </c>
      <c r="E81" s="191">
        <v>14.202</v>
      </c>
      <c r="F81" s="191">
        <v>103.59</v>
      </c>
      <c r="G81" s="191">
        <v>113.952</v>
      </c>
      <c r="H81" s="319">
        <v>159.30799999999999</v>
      </c>
      <c r="I81" s="319">
        <v>160.56299999999999</v>
      </c>
      <c r="J81" s="319">
        <v>98.775999999999996</v>
      </c>
      <c r="K81" s="319">
        <v>32.529000000000003</v>
      </c>
      <c r="L81" s="319">
        <v>25.09</v>
      </c>
      <c r="M81" s="700">
        <v>55.773000000000003</v>
      </c>
      <c r="N81" s="700">
        <v>170</v>
      </c>
      <c r="O81" s="700">
        <v>252.6</v>
      </c>
      <c r="P81" s="700">
        <v>302.10000000000002</v>
      </c>
      <c r="Q81" s="700">
        <v>185.4</v>
      </c>
      <c r="R81" s="319">
        <f t="shared" ref="R81:U81" si="55">((R69-R78)*R76)*R79</f>
        <v>181.29317964288381</v>
      </c>
      <c r="S81" s="319">
        <f t="shared" si="55"/>
        <v>152.19969047672919</v>
      </c>
      <c r="T81" s="319">
        <f t="shared" si="55"/>
        <v>168.87593078038861</v>
      </c>
      <c r="U81" s="319">
        <f t="shared" si="55"/>
        <v>204.00826437790178</v>
      </c>
      <c r="V81" s="319">
        <f t="shared" ref="V81:AE81" si="56">((V69-V78)*V76)*V79</f>
        <v>246.00632081257382</v>
      </c>
      <c r="W81" s="319">
        <f t="shared" si="56"/>
        <v>296.16527455069604</v>
      </c>
      <c r="X81" s="319">
        <f t="shared" si="56"/>
        <v>356.0194187173214</v>
      </c>
      <c r="Y81" s="319">
        <f t="shared" si="56"/>
        <v>427.38570838697694</v>
      </c>
      <c r="Z81" s="319">
        <f t="shared" si="56"/>
        <v>512.41516161891252</v>
      </c>
      <c r="AA81" s="319">
        <f t="shared" si="56"/>
        <v>613.65352765455964</v>
      </c>
      <c r="AB81" s="319">
        <f t="shared" si="56"/>
        <v>734.11288345851028</v>
      </c>
      <c r="AC81" s="319">
        <f t="shared" si="56"/>
        <v>877.35611639378305</v>
      </c>
      <c r="AD81" s="319">
        <f t="shared" si="56"/>
        <v>1047.5966002501441</v>
      </c>
      <c r="AE81" s="319">
        <f t="shared" si="56"/>
        <v>1249.8157834790318</v>
      </c>
      <c r="AJ81"/>
      <c r="AK81"/>
      <c r="AL81"/>
      <c r="AM81"/>
      <c r="AN81"/>
      <c r="AO81"/>
    </row>
    <row r="82" spans="1:41" s="209" customFormat="1" ht="12.75" customHeight="1" outlineLevel="1">
      <c r="A82" s="662"/>
      <c r="B82" s="322" t="s">
        <v>681</v>
      </c>
      <c r="C82" s="191">
        <f>(3.204884+1.030364)*2*2</f>
        <v>16.940992000000001</v>
      </c>
      <c r="D82" s="191">
        <f>2.424027*2*2</f>
        <v>9.6961080000000006</v>
      </c>
      <c r="E82" s="191">
        <f>4.073768*2</f>
        <v>8.1475360000000006</v>
      </c>
      <c r="F82" s="191">
        <v>7.3026650000000002</v>
      </c>
      <c r="G82" s="191">
        <v>3.705816</v>
      </c>
      <c r="H82" s="319">
        <v>6.7193419999999993</v>
      </c>
      <c r="I82" s="319">
        <f>9.551924+1.206031</f>
        <v>10.757954999999999</v>
      </c>
      <c r="J82" s="319">
        <v>8.969773</v>
      </c>
      <c r="K82" s="319">
        <v>9.9048820000000006</v>
      </c>
      <c r="L82" s="319">
        <f t="shared" ref="L82" si="57">L83*L70</f>
        <v>8.2275372000000004</v>
      </c>
      <c r="M82" s="700">
        <v>9.7761279999999999</v>
      </c>
      <c r="N82" s="700">
        <v>9.6</v>
      </c>
      <c r="O82" s="700">
        <v>14.5</v>
      </c>
      <c r="P82" s="700">
        <v>11.8</v>
      </c>
      <c r="Q82" s="700">
        <v>11.3</v>
      </c>
      <c r="R82" s="700">
        <v>11.5</v>
      </c>
      <c r="S82" s="319">
        <f>S83*S70</f>
        <v>16.949999999999996</v>
      </c>
      <c r="T82" s="319">
        <f>T83*T70</f>
        <v>18.136499999999995</v>
      </c>
      <c r="U82" s="319">
        <f>U83*U70</f>
        <v>19.406054999999995</v>
      </c>
      <c r="V82" s="319">
        <f t="shared" ref="V82:AE82" si="58">V83*V70</f>
        <v>20.764478849999996</v>
      </c>
      <c r="W82" s="319">
        <f t="shared" si="58"/>
        <v>22.217992369499996</v>
      </c>
      <c r="X82" s="319">
        <f t="shared" si="58"/>
        <v>23.773251835364995</v>
      </c>
      <c r="Y82" s="319">
        <f t="shared" si="58"/>
        <v>25.437379463840543</v>
      </c>
      <c r="Z82" s="319">
        <f t="shared" si="58"/>
        <v>27.217996026309383</v>
      </c>
      <c r="AA82" s="319">
        <f t="shared" si="58"/>
        <v>29.123255748151038</v>
      </c>
      <c r="AB82" s="319">
        <f t="shared" si="58"/>
        <v>31.161883650521609</v>
      </c>
      <c r="AC82" s="319">
        <f t="shared" si="58"/>
        <v>33.343215506058122</v>
      </c>
      <c r="AD82" s="319">
        <f t="shared" si="58"/>
        <v>35.677240591482196</v>
      </c>
      <c r="AE82" s="319">
        <f t="shared" si="58"/>
        <v>38.174647432885948</v>
      </c>
      <c r="AJ82"/>
      <c r="AK82"/>
      <c r="AL82"/>
      <c r="AM82"/>
      <c r="AN82"/>
      <c r="AO82"/>
    </row>
    <row r="83" spans="1:41" s="247" customFormat="1" ht="12.75" customHeight="1" outlineLevel="1">
      <c r="A83" s="663"/>
      <c r="B83" s="323" t="s">
        <v>682</v>
      </c>
      <c r="C83" s="261">
        <f t="shared" ref="C83:N83" si="59">C82/C70</f>
        <v>0.58041521034605248</v>
      </c>
      <c r="D83" s="261">
        <f t="shared" si="59"/>
        <v>0.22383694731173343</v>
      </c>
      <c r="E83" s="261">
        <f t="shared" si="59"/>
        <v>0.17456976216107906</v>
      </c>
      <c r="F83" s="261">
        <f t="shared" si="59"/>
        <v>0.14443017349009404</v>
      </c>
      <c r="G83" s="261">
        <f t="shared" si="59"/>
        <v>7.3245608434992518E-2</v>
      </c>
      <c r="H83" s="261">
        <f t="shared" si="59"/>
        <v>0.18105729925300082</v>
      </c>
      <c r="I83" s="261">
        <f t="shared" si="59"/>
        <v>0.32881414233157769</v>
      </c>
      <c r="J83" s="261">
        <f t="shared" si="59"/>
        <v>0.26533386026757094</v>
      </c>
      <c r="K83" s="261">
        <f t="shared" si="59"/>
        <v>0.26448257619832466</v>
      </c>
      <c r="L83" s="261">
        <v>0.2</v>
      </c>
      <c r="M83" s="261">
        <f t="shared" si="59"/>
        <v>0.2195562990587141</v>
      </c>
      <c r="N83" s="261">
        <f t="shared" si="59"/>
        <v>0.22535211267605632</v>
      </c>
      <c r="O83" s="261">
        <f>O82/O70</f>
        <v>0.18308080808080807</v>
      </c>
      <c r="P83" s="954">
        <f>P82/P70</f>
        <v>0.1528497409326425</v>
      </c>
      <c r="Q83" s="261">
        <f>Q82/Q70</f>
        <v>0.14927344782034346</v>
      </c>
      <c r="R83" s="261">
        <f>R82/R70</f>
        <v>0.15582655826558267</v>
      </c>
      <c r="S83" s="261">
        <v>0.25</v>
      </c>
      <c r="T83" s="261">
        <v>0.25</v>
      </c>
      <c r="U83" s="261">
        <v>0.25</v>
      </c>
      <c r="V83" s="261">
        <v>0.25</v>
      </c>
      <c r="W83" s="261">
        <v>0.25</v>
      </c>
      <c r="X83" s="261">
        <v>0.25</v>
      </c>
      <c r="Y83" s="261">
        <v>0.25</v>
      </c>
      <c r="Z83" s="261">
        <v>0.25</v>
      </c>
      <c r="AA83" s="261">
        <v>0.25</v>
      </c>
      <c r="AB83" s="261">
        <v>0.25</v>
      </c>
      <c r="AC83" s="261">
        <v>0.25</v>
      </c>
      <c r="AD83" s="261">
        <v>0.25</v>
      </c>
      <c r="AE83" s="261">
        <v>0.25</v>
      </c>
      <c r="AJ83"/>
      <c r="AK83"/>
      <c r="AL83"/>
      <c r="AM83"/>
      <c r="AN83"/>
      <c r="AO83"/>
    </row>
    <row r="84" spans="1:41" s="209" customFormat="1" ht="12.75" customHeight="1" outlineLevel="1">
      <c r="A84" s="662"/>
      <c r="B84" s="322" t="s">
        <v>683</v>
      </c>
      <c r="C84" s="193">
        <f>1.864549+1.455381</f>
        <v>3.3199300000000003</v>
      </c>
      <c r="D84" s="193">
        <v>0</v>
      </c>
      <c r="E84" s="191">
        <f>(956.791000000027*2)/1000</f>
        <v>1.9135820000000541</v>
      </c>
      <c r="F84" s="193">
        <v>0</v>
      </c>
      <c r="G84" s="191">
        <v>20</v>
      </c>
      <c r="H84" s="193">
        <f>(33.024/399.889*H85)+0.005</f>
        <v>16.783040866340407</v>
      </c>
      <c r="I84" s="319">
        <f>((33.024/399.889*196.555)-0.005)</f>
        <v>16.227085203644013</v>
      </c>
      <c r="J84" s="193">
        <v>0</v>
      </c>
      <c r="K84" s="193">
        <v>0</v>
      </c>
      <c r="L84" s="193">
        <v>0</v>
      </c>
      <c r="M84" s="701">
        <v>0</v>
      </c>
      <c r="N84" s="701">
        <v>0</v>
      </c>
      <c r="O84" s="701">
        <v>0</v>
      </c>
      <c r="P84" s="701">
        <v>0</v>
      </c>
      <c r="Q84" s="701">
        <v>0</v>
      </c>
      <c r="R84" s="701">
        <v>0</v>
      </c>
      <c r="S84" s="193">
        <v>0</v>
      </c>
      <c r="T84" s="193">
        <v>0</v>
      </c>
      <c r="U84" s="193">
        <v>0</v>
      </c>
      <c r="V84" s="193">
        <v>0</v>
      </c>
      <c r="W84" s="193">
        <v>0</v>
      </c>
      <c r="X84" s="193">
        <v>0</v>
      </c>
      <c r="Y84" s="193">
        <v>0</v>
      </c>
      <c r="Z84" s="193">
        <v>0</v>
      </c>
      <c r="AA84" s="193">
        <v>0</v>
      </c>
      <c r="AB84" s="193">
        <v>0</v>
      </c>
      <c r="AC84" s="193">
        <v>0</v>
      </c>
      <c r="AD84" s="193">
        <v>0</v>
      </c>
      <c r="AE84" s="193">
        <v>0</v>
      </c>
      <c r="AJ84"/>
      <c r="AK84"/>
      <c r="AL84"/>
      <c r="AM84"/>
      <c r="AN84"/>
      <c r="AO84"/>
    </row>
    <row r="85" spans="1:41" s="206" customFormat="1" ht="12.75" customHeight="1" outlineLevel="1">
      <c r="A85" s="664"/>
      <c r="B85" s="327" t="s">
        <v>684</v>
      </c>
      <c r="C85" s="195">
        <f>11.695+47.426</f>
        <v>59.121000000000002</v>
      </c>
      <c r="D85" s="195">
        <v>0</v>
      </c>
      <c r="E85" s="218">
        <v>-0.82299999999999995</v>
      </c>
      <c r="F85" s="218">
        <f>-1.72+0.016</f>
        <v>-1.704</v>
      </c>
      <c r="G85" s="218">
        <f>1005.982+0.095</f>
        <v>1006.077</v>
      </c>
      <c r="H85" s="195">
        <f>203.166</f>
        <v>203.166</v>
      </c>
      <c r="I85" s="328">
        <f>1793.838+196.381</f>
        <v>1990.2190000000001</v>
      </c>
      <c r="J85" s="195">
        <v>0</v>
      </c>
      <c r="K85" s="195">
        <v>0</v>
      </c>
      <c r="L85" s="195">
        <f t="shared" ref="L85" si="60">+L84*L69</f>
        <v>0</v>
      </c>
      <c r="M85" s="702">
        <v>0</v>
      </c>
      <c r="N85" s="702">
        <v>0</v>
      </c>
      <c r="O85" s="702">
        <v>0</v>
      </c>
      <c r="P85" s="702">
        <v>0</v>
      </c>
      <c r="Q85" s="702">
        <v>0</v>
      </c>
      <c r="R85" s="702">
        <v>0</v>
      </c>
      <c r="S85" s="195">
        <f>+S84*S69</f>
        <v>0</v>
      </c>
      <c r="T85" s="195">
        <f>+T84*T69</f>
        <v>0</v>
      </c>
      <c r="U85" s="195">
        <f>+U84*U69</f>
        <v>0</v>
      </c>
      <c r="V85" s="195">
        <f t="shared" ref="V85:AE85" si="61">+V84*V69</f>
        <v>0</v>
      </c>
      <c r="W85" s="195">
        <f t="shared" si="61"/>
        <v>0</v>
      </c>
      <c r="X85" s="195">
        <f t="shared" si="61"/>
        <v>0</v>
      </c>
      <c r="Y85" s="195">
        <f t="shared" si="61"/>
        <v>0</v>
      </c>
      <c r="Z85" s="195">
        <f t="shared" si="61"/>
        <v>0</v>
      </c>
      <c r="AA85" s="195">
        <f t="shared" si="61"/>
        <v>0</v>
      </c>
      <c r="AB85" s="195">
        <f t="shared" si="61"/>
        <v>0</v>
      </c>
      <c r="AC85" s="195">
        <f t="shared" si="61"/>
        <v>0</v>
      </c>
      <c r="AD85" s="195">
        <f t="shared" si="61"/>
        <v>0</v>
      </c>
      <c r="AE85" s="195">
        <f t="shared" si="61"/>
        <v>0</v>
      </c>
      <c r="AJ85"/>
      <c r="AK85"/>
      <c r="AL85"/>
      <c r="AM85"/>
      <c r="AN85"/>
      <c r="AO85"/>
    </row>
    <row r="86" spans="1:41" s="209" customFormat="1" ht="12.75" customHeight="1" outlineLevel="1">
      <c r="A86" s="662"/>
      <c r="B86" s="322" t="s">
        <v>919</v>
      </c>
      <c r="C86" s="193">
        <v>0</v>
      </c>
      <c r="D86" s="193">
        <v>0</v>
      </c>
      <c r="E86" s="193">
        <v>0</v>
      </c>
      <c r="F86" s="193">
        <v>0</v>
      </c>
      <c r="G86" s="193">
        <v>0</v>
      </c>
      <c r="H86" s="193">
        <v>0</v>
      </c>
      <c r="I86" s="193">
        <v>0</v>
      </c>
      <c r="J86" s="319">
        <v>3.1634450000000003</v>
      </c>
      <c r="K86" s="319">
        <v>3.2466030000000003</v>
      </c>
      <c r="L86" s="319">
        <v>38.544292527690857</v>
      </c>
      <c r="M86" s="700">
        <v>28.669958999999999</v>
      </c>
      <c r="N86" s="700">
        <v>22.3</v>
      </c>
      <c r="O86" s="700">
        <v>22</v>
      </c>
      <c r="P86" s="700">
        <v>28.1</v>
      </c>
      <c r="Q86" s="700">
        <v>21.4</v>
      </c>
      <c r="R86" s="700">
        <v>36.700000000000003</v>
      </c>
      <c r="S86" s="319">
        <v>30</v>
      </c>
      <c r="T86" s="319">
        <v>32.5</v>
      </c>
      <c r="U86" s="319">
        <v>45</v>
      </c>
      <c r="V86" s="319">
        <v>35</v>
      </c>
      <c r="W86" s="319">
        <v>35</v>
      </c>
      <c r="X86" s="319">
        <v>32.5</v>
      </c>
      <c r="Y86" s="319">
        <v>25</v>
      </c>
      <c r="Z86" s="319">
        <v>25</v>
      </c>
      <c r="AA86" s="319">
        <v>25</v>
      </c>
      <c r="AB86" s="319">
        <v>25</v>
      </c>
      <c r="AC86" s="319">
        <v>17.5</v>
      </c>
      <c r="AD86" s="319">
        <v>12.5</v>
      </c>
      <c r="AE86" s="319">
        <v>10</v>
      </c>
      <c r="AJ86"/>
      <c r="AK86"/>
      <c r="AL86"/>
      <c r="AM86"/>
      <c r="AN86"/>
      <c r="AO86"/>
    </row>
    <row r="87" spans="1:41" s="206" customFormat="1" ht="12.75" customHeight="1" outlineLevel="1">
      <c r="A87" s="664"/>
      <c r="B87" s="327" t="s">
        <v>685</v>
      </c>
      <c r="C87" s="195">
        <v>0</v>
      </c>
      <c r="D87" s="195">
        <v>0</v>
      </c>
      <c r="E87" s="195">
        <v>0</v>
      </c>
      <c r="F87" s="195">
        <v>0</v>
      </c>
      <c r="G87" s="195">
        <v>0</v>
      </c>
      <c r="H87" s="195">
        <v>0</v>
      </c>
      <c r="I87" s="195">
        <v>0</v>
      </c>
      <c r="J87" s="325">
        <v>209.46100000000001</v>
      </c>
      <c r="K87" s="325">
        <v>183.11600000000001</v>
      </c>
      <c r="L87" s="195">
        <v>2221.1570000000002</v>
      </c>
      <c r="M87" s="702">
        <v>2050.7310000000002</v>
      </c>
      <c r="N87" s="702">
        <v>2769.2</v>
      </c>
      <c r="O87" s="702">
        <v>2929.5</v>
      </c>
      <c r="P87" s="702">
        <v>3257</v>
      </c>
      <c r="Q87" s="702">
        <v>2160</v>
      </c>
      <c r="R87" s="702">
        <v>3900</v>
      </c>
      <c r="S87" s="195">
        <f t="shared" ref="S87:AE87" si="62">S86*S69</f>
        <v>4053.1941031912365</v>
      </c>
      <c r="T87" s="195">
        <f t="shared" si="62"/>
        <v>4830.0563063028903</v>
      </c>
      <c r="U87" s="195">
        <f t="shared" si="62"/>
        <v>7356.5472972920952</v>
      </c>
      <c r="V87" s="195">
        <f t="shared" si="62"/>
        <v>6293.9349099054607</v>
      </c>
      <c r="W87" s="195">
        <f t="shared" si="62"/>
        <v>6923.3284008960072</v>
      </c>
      <c r="X87" s="195">
        <f t="shared" si="62"/>
        <v>7071.6854380580644</v>
      </c>
      <c r="Y87" s="195">
        <f t="shared" si="62"/>
        <v>5983.7338322029782</v>
      </c>
      <c r="Z87" s="195">
        <f t="shared" si="62"/>
        <v>6582.107215423277</v>
      </c>
      <c r="AA87" s="195">
        <f t="shared" si="62"/>
        <v>7240.3179369656045</v>
      </c>
      <c r="AB87" s="195">
        <f t="shared" si="62"/>
        <v>7964.3497306621657</v>
      </c>
      <c r="AC87" s="195">
        <f t="shared" si="62"/>
        <v>6132.5492926098686</v>
      </c>
      <c r="AD87" s="195">
        <f t="shared" si="62"/>
        <v>4818.4315870506107</v>
      </c>
      <c r="AE87" s="195">
        <f t="shared" si="62"/>
        <v>4240.2197966045387</v>
      </c>
      <c r="AJ87"/>
      <c r="AK87"/>
      <c r="AL87"/>
      <c r="AM87"/>
      <c r="AN87"/>
      <c r="AO87"/>
    </row>
    <row r="88" spans="1:41" ht="12.75" customHeight="1" outlineLevel="1">
      <c r="B88" s="329" t="s">
        <v>686</v>
      </c>
      <c r="C88" s="328">
        <v>-0.32800000000000001</v>
      </c>
      <c r="D88" s="328">
        <v>0</v>
      </c>
      <c r="E88" s="328">
        <v>0</v>
      </c>
      <c r="F88" s="328">
        <v>30.199000000000002</v>
      </c>
      <c r="G88" s="328">
        <f>-0.015-0.001</f>
        <v>-1.6E-2</v>
      </c>
      <c r="H88" s="328">
        <v>-3.0000000000000001E-3</v>
      </c>
      <c r="I88" s="328">
        <v>4.3369999999999997</v>
      </c>
      <c r="J88" s="328">
        <v>-3.198</v>
      </c>
      <c r="K88" s="328">
        <f>617.651+0.106-57.668</f>
        <v>560.08899999999994</v>
      </c>
      <c r="L88" s="328">
        <f>0.051+0.072</f>
        <v>0.123</v>
      </c>
      <c r="M88" s="330">
        <f>-13.752</f>
        <v>-13.752000000000001</v>
      </c>
      <c r="N88" s="703">
        <v>0</v>
      </c>
      <c r="O88" s="703">
        <v>0</v>
      </c>
      <c r="P88" s="703">
        <v>0</v>
      </c>
      <c r="Q88" s="703">
        <v>0</v>
      </c>
      <c r="R88" s="703">
        <v>0</v>
      </c>
      <c r="S88" s="328">
        <v>0</v>
      </c>
      <c r="T88" s="328">
        <v>0</v>
      </c>
      <c r="U88" s="328">
        <v>0</v>
      </c>
      <c r="V88" s="328">
        <v>0</v>
      </c>
      <c r="W88" s="328">
        <v>0</v>
      </c>
      <c r="X88" s="328">
        <v>0</v>
      </c>
      <c r="Y88" s="328">
        <v>0</v>
      </c>
      <c r="Z88" s="328">
        <v>0</v>
      </c>
      <c r="AA88" s="328">
        <v>0</v>
      </c>
      <c r="AB88" s="328">
        <v>0</v>
      </c>
      <c r="AC88" s="328">
        <v>0</v>
      </c>
      <c r="AD88" s="328">
        <v>0</v>
      </c>
      <c r="AE88" s="328">
        <v>0</v>
      </c>
    </row>
    <row r="89" spans="1:41" ht="12.75" customHeight="1" outlineLevel="1">
      <c r="B89" s="331" t="s">
        <v>687</v>
      </c>
      <c r="C89" s="328">
        <v>0.46700000000000003</v>
      </c>
      <c r="D89" s="328">
        <v>0.70399999999999996</v>
      </c>
      <c r="E89" s="328">
        <v>0.44900000000000001</v>
      </c>
      <c r="F89" s="328">
        <v>-0.24299999999999999</v>
      </c>
      <c r="G89" s="328">
        <v>76.748000000000005</v>
      </c>
      <c r="H89" s="328">
        <v>58.825000000000003</v>
      </c>
      <c r="I89" s="328">
        <v>106.95099999999999</v>
      </c>
      <c r="J89" s="328">
        <v>143.65899999999999</v>
      </c>
      <c r="K89" s="328">
        <v>182.404</v>
      </c>
      <c r="L89" s="328">
        <v>216.62799999999999</v>
      </c>
      <c r="M89" s="328">
        <v>230.5</v>
      </c>
      <c r="N89" s="328">
        <f>325-75</f>
        <v>250</v>
      </c>
      <c r="O89" s="703">
        <f>447.6-14.3</f>
        <v>433.3</v>
      </c>
      <c r="P89" s="703">
        <f>576.6</f>
        <v>576.6</v>
      </c>
      <c r="Q89" s="703">
        <v>606.20000000000005</v>
      </c>
      <c r="R89" s="703">
        <v>644</v>
      </c>
      <c r="S89" s="328">
        <f>IS!CF38-IS!CF40</f>
        <v>580.88800000000003</v>
      </c>
      <c r="T89" s="328">
        <f>IS!CK38-IS!CK40</f>
        <v>622.42152500000009</v>
      </c>
      <c r="U89" s="328">
        <f>IS!CP38-IS!CP40</f>
        <v>640.17957437500013</v>
      </c>
      <c r="V89" s="328">
        <f>IS!CU38-IS!CU40</f>
        <v>652.52183201562502</v>
      </c>
      <c r="W89" s="328">
        <f>IS!CZ38-IS!CZ40</f>
        <v>665.32317992335925</v>
      </c>
      <c r="X89" s="328">
        <f>IS!DE38-IS!DE40</f>
        <v>678.61790009245965</v>
      </c>
      <c r="Y89" s="328">
        <f>IS!DJ38-IS!DJ40</f>
        <v>692.44352831112144</v>
      </c>
      <c r="Z89" s="328">
        <f>IS!DO38-IS!DO40</f>
        <v>706.84117692479083</v>
      </c>
      <c r="AA89" s="328">
        <f>IS!DT38-IS!DT40</f>
        <v>721.85588983656521</v>
      </c>
      <c r="AB89" s="328">
        <f>IS!DY38-IS!DY40</f>
        <v>737.53703296780679</v>
      </c>
      <c r="AC89" s="328">
        <f>IS!ED38-IS!ED40</f>
        <v>753.93872372438614</v>
      </c>
      <c r="AD89" s="328">
        <f>IS!EI38-IS!EI40</f>
        <v>150.78774474487724</v>
      </c>
      <c r="AE89" s="328">
        <f>IS!EN38-IS!EN40</f>
        <v>150.78774474487724</v>
      </c>
    </row>
    <row r="90" spans="1:41" s="206" customFormat="1" ht="12.75" customHeight="1" outlineLevel="1">
      <c r="A90" s="664"/>
      <c r="B90" s="332" t="s">
        <v>688</v>
      </c>
      <c r="C90" s="333">
        <f>C85-C87+C81+C80+C89+C88</f>
        <v>64.253999999999991</v>
      </c>
      <c r="D90" s="333">
        <f t="shared" ref="D90:J90" si="63">D85-D87+D81+D80+D89+D88</f>
        <v>16.207000000000001</v>
      </c>
      <c r="E90" s="333">
        <f t="shared" si="63"/>
        <v>34.422999999999995</v>
      </c>
      <c r="F90" s="333">
        <f t="shared" si="63"/>
        <v>211.69400000000002</v>
      </c>
      <c r="G90" s="333">
        <f t="shared" si="63"/>
        <v>1356.288</v>
      </c>
      <c r="H90" s="333">
        <f t="shared" si="63"/>
        <v>570.96</v>
      </c>
      <c r="I90" s="333">
        <f t="shared" si="63"/>
        <v>2399.5480000000002</v>
      </c>
      <c r="J90" s="333">
        <f t="shared" si="63"/>
        <v>84.263999999999982</v>
      </c>
      <c r="K90" s="333">
        <f>K85-K87+K81+K80+K89+K88</f>
        <v>693.00199999999995</v>
      </c>
      <c r="L90" s="334">
        <f t="shared" ref="L90:R90" si="64">L85-L87+L81+L80+L89+L88</f>
        <v>-1809.9069999999999</v>
      </c>
      <c r="M90" s="334">
        <f t="shared" si="64"/>
        <v>-1275.4230000000002</v>
      </c>
      <c r="N90" s="334">
        <f t="shared" si="64"/>
        <v>-1797.6</v>
      </c>
      <c r="O90" s="334">
        <f t="shared" si="64"/>
        <v>-1993.0000000000002</v>
      </c>
      <c r="P90" s="334">
        <f t="shared" si="64"/>
        <v>-2126.6000000000004</v>
      </c>
      <c r="Q90" s="334">
        <f t="shared" si="64"/>
        <v>-1009.3</v>
      </c>
      <c r="R90" s="334">
        <f t="shared" si="64"/>
        <v>-2302.6628203571163</v>
      </c>
      <c r="S90" s="334">
        <f>S85-S87+S81+S80+S89+S88</f>
        <v>-2791.6274477145075</v>
      </c>
      <c r="T90" s="334">
        <f>T85-T87+T81+T80+T89+T88</f>
        <v>-3445.0127333450018</v>
      </c>
      <c r="U90" s="334">
        <f>U85-U87+U81+U80+U89+U88</f>
        <v>-5845.285695890273</v>
      </c>
      <c r="V90" s="334">
        <f t="shared" ref="V90:AE90" si="65">V85-V87+V81+V80+V89+V88</f>
        <v>-4645.9493847411995</v>
      </c>
      <c r="W90" s="334">
        <f t="shared" si="65"/>
        <v>-5119.8245886023851</v>
      </c>
      <c r="X90" s="334">
        <f t="shared" si="65"/>
        <v>-5091.0438647380006</v>
      </c>
      <c r="Y90" s="334">
        <f t="shared" si="65"/>
        <v>-3801.0688155625758</v>
      </c>
      <c r="Z90" s="334">
        <f t="shared" si="65"/>
        <v>-4168.754878114396</v>
      </c>
      <c r="AA90" s="334">
        <f t="shared" si="65"/>
        <v>-4563.2416648618018</v>
      </c>
      <c r="AB90" s="334">
        <f t="shared" si="65"/>
        <v>-4985.449453078505</v>
      </c>
      <c r="AC90" s="334">
        <f t="shared" si="65"/>
        <v>-2807.8586717314247</v>
      </c>
      <c r="AD90" s="334">
        <f t="shared" si="65"/>
        <v>-1717.5170823714197</v>
      </c>
      <c r="AE90" s="334">
        <f t="shared" si="65"/>
        <v>-702.12363397546551</v>
      </c>
      <c r="AJ90"/>
      <c r="AK90"/>
      <c r="AL90"/>
      <c r="AM90"/>
      <c r="AN90"/>
      <c r="AO90"/>
    </row>
    <row r="91" spans="1:41" s="209" customFormat="1" ht="12.75" customHeight="1" outlineLevel="1">
      <c r="A91" s="662"/>
      <c r="B91" s="318" t="s">
        <v>689</v>
      </c>
      <c r="C91" s="669">
        <f>75.574785*2*2</f>
        <v>302.29914000000002</v>
      </c>
      <c r="D91" s="669">
        <f>C92</f>
        <v>641.41370400000005</v>
      </c>
      <c r="E91" s="669">
        <f t="shared" ref="E91:R91" si="66">D92</f>
        <v>651.28844000000004</v>
      </c>
      <c r="F91" s="669">
        <f t="shared" si="66"/>
        <v>660.27453600000001</v>
      </c>
      <c r="G91" s="669">
        <f t="shared" si="66"/>
        <v>684.34375199999999</v>
      </c>
      <c r="H91" s="669">
        <f t="shared" si="66"/>
        <v>752.06951200000003</v>
      </c>
      <c r="I91" s="669">
        <f t="shared" si="66"/>
        <v>806.24915599999997</v>
      </c>
      <c r="J91" s="669">
        <f t="shared" si="66"/>
        <v>918.25925799999993</v>
      </c>
      <c r="K91" s="669">
        <f t="shared" si="66"/>
        <v>918.582944</v>
      </c>
      <c r="L91" s="669">
        <f t="shared" si="66"/>
        <v>952.55267000000003</v>
      </c>
      <c r="M91" s="669">
        <f t="shared" si="66"/>
        <v>874.98435400000005</v>
      </c>
      <c r="N91" s="669">
        <f t="shared" si="66"/>
        <v>839.50370799999996</v>
      </c>
      <c r="O91" s="648">
        <f>906.5-101.5</f>
        <v>805</v>
      </c>
      <c r="P91" s="391">
        <v>798.9</v>
      </c>
      <c r="Q91" s="669">
        <f t="shared" si="66"/>
        <v>785.8</v>
      </c>
      <c r="R91" s="669">
        <f t="shared" si="66"/>
        <v>776.8</v>
      </c>
      <c r="S91" s="669">
        <f>R92</f>
        <v>779.2</v>
      </c>
      <c r="T91" s="669">
        <f>S92</f>
        <v>759.37</v>
      </c>
      <c r="U91" s="669">
        <f>T92</f>
        <v>737.75189999999998</v>
      </c>
      <c r="V91" s="669">
        <f t="shared" ref="V91:AB91" si="67">U92</f>
        <v>704.395533</v>
      </c>
      <c r="W91" s="669">
        <f t="shared" si="67"/>
        <v>681.85422030999996</v>
      </c>
      <c r="X91" s="669">
        <f t="shared" si="67"/>
        <v>660.18501573169999</v>
      </c>
      <c r="Y91" s="669">
        <f t="shared" si="67"/>
        <v>641.94896683291904</v>
      </c>
      <c r="Z91" s="669">
        <f t="shared" si="67"/>
        <v>632.21139451122338</v>
      </c>
      <c r="AA91" s="669">
        <f t="shared" si="67"/>
        <v>623.542192127009</v>
      </c>
      <c r="AB91" s="669">
        <f t="shared" si="67"/>
        <v>616.0161455758996</v>
      </c>
      <c r="AC91" s="669">
        <f>AB92</f>
        <v>609.71327576621252</v>
      </c>
      <c r="AD91" s="669">
        <f>AC92</f>
        <v>612.21920506984736</v>
      </c>
      <c r="AE91" s="669">
        <f>AD92</f>
        <v>621.12554942473673</v>
      </c>
      <c r="AJ91"/>
      <c r="AK91"/>
      <c r="AL91"/>
      <c r="AM91"/>
      <c r="AN91"/>
      <c r="AO91"/>
    </row>
    <row r="92" spans="1:41" s="209" customFormat="1" ht="12.75" customHeight="1" outlineLevel="1">
      <c r="A92" s="662"/>
      <c r="B92" s="318" t="s">
        <v>690</v>
      </c>
      <c r="C92" s="669">
        <f>(80.176713-0)*2*2*2</f>
        <v>641.41370400000005</v>
      </c>
      <c r="D92" s="669">
        <f>(81.411055-0)*2*2*2</f>
        <v>651.28844000000004</v>
      </c>
      <c r="E92" s="669">
        <f>(165.079198-0.010564)*2*2</f>
        <v>660.27453600000001</v>
      </c>
      <c r="F92" s="669">
        <f>(344.125158-1.953282)*2</f>
        <v>684.34375199999999</v>
      </c>
      <c r="G92" s="669">
        <f>(380.092309-4.057553)*2</f>
        <v>752.06951200000003</v>
      </c>
      <c r="H92" s="669">
        <f>(407.150694-4.026116)*2</f>
        <v>806.24915599999997</v>
      </c>
      <c r="I92" s="669">
        <f>(463.274296-4.144667)*2</f>
        <v>918.25925799999993</v>
      </c>
      <c r="J92" s="669">
        <f>(467.629433-8.337961)*2</f>
        <v>918.582944</v>
      </c>
      <c r="K92" s="669">
        <f>(2*482.164353-11.776036)</f>
        <v>952.55267000000003</v>
      </c>
      <c r="L92" s="669">
        <f>2*(487.381255-49.889078)</f>
        <v>874.98435400000005</v>
      </c>
      <c r="M92" s="669">
        <f>2*(498.427951-78.676097)</f>
        <v>839.50370799999996</v>
      </c>
      <c r="N92" s="669">
        <f>2*(511.2-101.5)</f>
        <v>819.4</v>
      </c>
      <c r="O92" s="669">
        <f>O91+O84+O76-O86</f>
        <v>797.8</v>
      </c>
      <c r="P92" s="648">
        <v>785.8</v>
      </c>
      <c r="Q92" s="648">
        <v>776.8</v>
      </c>
      <c r="R92" s="648">
        <v>779.2</v>
      </c>
      <c r="S92" s="669">
        <f t="shared" ref="S92:AE92" si="68">S91+S84+S76-S86</f>
        <v>759.37</v>
      </c>
      <c r="T92" s="669">
        <f t="shared" si="68"/>
        <v>737.75189999999998</v>
      </c>
      <c r="U92" s="669">
        <f t="shared" si="68"/>
        <v>704.395533</v>
      </c>
      <c r="V92" s="669">
        <f t="shared" si="68"/>
        <v>681.85422030999996</v>
      </c>
      <c r="W92" s="669">
        <f t="shared" si="68"/>
        <v>660.18501573169999</v>
      </c>
      <c r="X92" s="669">
        <f t="shared" si="68"/>
        <v>641.94896683291904</v>
      </c>
      <c r="Y92" s="669">
        <f t="shared" si="68"/>
        <v>632.21139451122338</v>
      </c>
      <c r="Z92" s="669">
        <f t="shared" si="68"/>
        <v>623.542192127009</v>
      </c>
      <c r="AA92" s="669">
        <f t="shared" si="68"/>
        <v>616.0161455758996</v>
      </c>
      <c r="AB92" s="669">
        <f t="shared" si="68"/>
        <v>609.71327576621252</v>
      </c>
      <c r="AC92" s="669">
        <f t="shared" si="68"/>
        <v>612.21920506984736</v>
      </c>
      <c r="AD92" s="669">
        <f t="shared" si="68"/>
        <v>621.12554942473673</v>
      </c>
      <c r="AE92" s="669">
        <f t="shared" si="68"/>
        <v>634.03033788446828</v>
      </c>
      <c r="AJ92"/>
      <c r="AK92"/>
      <c r="AL92"/>
      <c r="AM92"/>
      <c r="AN92"/>
      <c r="AO92"/>
    </row>
    <row r="93" spans="1:41" s="209" customFormat="1" ht="12.75" customHeight="1">
      <c r="A93" s="662"/>
      <c r="B93" s="335"/>
      <c r="C93" s="191"/>
      <c r="D93" s="191"/>
      <c r="E93" s="191"/>
      <c r="F93" s="191"/>
      <c r="G93" s="191"/>
      <c r="H93" s="191"/>
      <c r="I93" s="191"/>
      <c r="J93" s="191"/>
      <c r="K93" s="191"/>
      <c r="L93" s="191"/>
      <c r="M93" s="191"/>
      <c r="N93" s="191"/>
      <c r="O93" s="732" t="s">
        <v>787</v>
      </c>
      <c r="P93" s="191"/>
      <c r="Q93" s="191"/>
      <c r="R93" s="191"/>
      <c r="S93" s="191"/>
      <c r="T93" s="191"/>
      <c r="U93" s="191"/>
      <c r="AJ93"/>
      <c r="AK93"/>
      <c r="AL93"/>
      <c r="AM93"/>
      <c r="AN93"/>
      <c r="AO93"/>
    </row>
    <row r="94" spans="1:41" ht="12.75" customHeight="1">
      <c r="B94" s="232" t="s">
        <v>691</v>
      </c>
      <c r="C94" s="307"/>
      <c r="D94" s="307"/>
      <c r="E94" s="307"/>
      <c r="F94" s="307"/>
      <c r="G94" s="307"/>
      <c r="H94" s="307"/>
      <c r="I94" s="307"/>
      <c r="J94" s="307"/>
      <c r="K94" s="307"/>
      <c r="L94" s="307"/>
      <c r="M94" s="307"/>
      <c r="N94" s="307"/>
      <c r="O94" s="307"/>
      <c r="P94" s="307"/>
      <c r="Q94" s="307"/>
      <c r="R94" s="307"/>
      <c r="S94" s="307"/>
      <c r="T94" s="307"/>
      <c r="U94" s="307"/>
    </row>
    <row r="95" spans="1:41" s="312" customFormat="1" ht="12.75" customHeight="1" outlineLevel="1">
      <c r="A95" s="661"/>
      <c r="B95" s="336" t="s">
        <v>692</v>
      </c>
      <c r="C95" s="337">
        <f>IS!D34</f>
        <v>-0.14626246169362658</v>
      </c>
      <c r="D95" s="337">
        <f>IS!I34</f>
        <v>2.4371179652919288E-2</v>
      </c>
      <c r="E95" s="337">
        <f>IS!N34</f>
        <v>8.9436232680570438E-2</v>
      </c>
      <c r="F95" s="337">
        <f>IS!S34</f>
        <v>8.7202752800933994E-2</v>
      </c>
      <c r="G95" s="337">
        <f>IS!X34</f>
        <v>0.25801547714652706</v>
      </c>
      <c r="H95" s="337">
        <f>IS!AC34</f>
        <v>0.52440732833477621</v>
      </c>
      <c r="I95" s="337">
        <f>IS!AH34</f>
        <v>0.77851009258577319</v>
      </c>
      <c r="J95" s="337">
        <f>IS!AM34</f>
        <v>1.0391491246464137</v>
      </c>
      <c r="K95" s="337">
        <f>IS!AR34</f>
        <v>1.4006915617538871</v>
      </c>
      <c r="L95" s="337">
        <f>IS!AW34</f>
        <v>1.8941140750473262</v>
      </c>
      <c r="M95" s="337">
        <f>IS!BB34</f>
        <v>2.4529328759789104</v>
      </c>
      <c r="N95" s="337">
        <f>IS!BG34</f>
        <v>2.9516616314199404</v>
      </c>
      <c r="O95" s="337">
        <f>IS!BL34</f>
        <v>3.7064593301435402</v>
      </c>
      <c r="P95" s="337">
        <f>IS!BQ34</f>
        <v>4.7066525231095619</v>
      </c>
      <c r="Q95" s="337">
        <f>IS!BV34</f>
        <v>5.9383111830433561</v>
      </c>
      <c r="R95" s="337">
        <f>IS!CA34</f>
        <v>7.4053469324679329</v>
      </c>
      <c r="S95" s="337">
        <f>IS!CF34</f>
        <v>8.4840605993122633</v>
      </c>
      <c r="T95" s="337">
        <f>IS!CK34</f>
        <v>9.9340655135479174</v>
      </c>
      <c r="U95" s="337">
        <f>IS!CP34</f>
        <v>12.111585856610883</v>
      </c>
      <c r="V95" s="337">
        <f>IS!CU34</f>
        <v>14.607288577876373</v>
      </c>
      <c r="W95" s="337">
        <f>IS!CZ34</f>
        <v>16.289500998714214</v>
      </c>
      <c r="X95" s="337">
        <f>IS!DE34</f>
        <v>17.117130640790734</v>
      </c>
      <c r="Y95" s="337">
        <f>IS!DJ34</f>
        <v>17.053635726666151</v>
      </c>
      <c r="Z95" s="337">
        <f>IS!DO34</f>
        <v>14.006770620961207</v>
      </c>
      <c r="AA95" s="337">
        <f>IS!DT34</f>
        <v>8.6299235806425667</v>
      </c>
      <c r="AB95" s="337">
        <f>IS!DY34</f>
        <v>6.6685446116635685</v>
      </c>
      <c r="AC95" s="337">
        <f>IS!ED34</f>
        <v>6.3397790050046963</v>
      </c>
      <c r="AD95" s="337">
        <f>IS!EI34</f>
        <v>6.1918178788278162</v>
      </c>
      <c r="AE95" s="337">
        <f>IS!EN34</f>
        <v>4.3853110242444853</v>
      </c>
      <c r="AJ95"/>
      <c r="AK95"/>
      <c r="AL95"/>
      <c r="AM95"/>
      <c r="AN95"/>
      <c r="AO95"/>
    </row>
    <row r="96" spans="1:41" s="206" customFormat="1" ht="12.75" customHeight="1" outlineLevel="1">
      <c r="A96" s="664"/>
      <c r="B96" s="234" t="s">
        <v>693</v>
      </c>
      <c r="C96" s="337">
        <f>IS!D38</f>
        <v>0</v>
      </c>
      <c r="D96" s="337">
        <f>IS!I38</f>
        <v>0</v>
      </c>
      <c r="E96" s="337">
        <f>IS!N38</f>
        <v>0</v>
      </c>
      <c r="F96" s="337">
        <f>IS!S38</f>
        <v>0</v>
      </c>
      <c r="G96" s="337">
        <f>IS!X38</f>
        <v>76.638999999999996</v>
      </c>
      <c r="H96" s="337">
        <f>IS!AC38</f>
        <v>58.824999999999996</v>
      </c>
      <c r="I96" s="337">
        <f>IS!AH38</f>
        <v>106.57700000000001</v>
      </c>
      <c r="J96" s="337">
        <f>IS!AM38</f>
        <v>143.79899999999998</v>
      </c>
      <c r="K96" s="337">
        <f>IS!AR38</f>
        <v>182.79700000000003</v>
      </c>
      <c r="L96" s="337">
        <f>IS!AW38</f>
        <v>217.202</v>
      </c>
      <c r="M96" s="337">
        <f>IS!BB38</f>
        <v>231.04300000000001</v>
      </c>
      <c r="N96" s="337">
        <f>IS!BG38</f>
        <v>325.79999999999995</v>
      </c>
      <c r="O96" s="337">
        <f>IS!BL38</f>
        <v>447.59999999999997</v>
      </c>
      <c r="P96" s="337">
        <f>IS!BQ38</f>
        <v>576.60000000000014</v>
      </c>
      <c r="Q96" s="337">
        <f>IS!BV38</f>
        <v>606.29999999999995</v>
      </c>
      <c r="R96" s="337">
        <f>IS!CA38</f>
        <v>644</v>
      </c>
      <c r="S96" s="337">
        <f>IS!CF38</f>
        <v>708.4</v>
      </c>
      <c r="T96" s="337">
        <f>IS!CK38</f>
        <v>745.41500000000008</v>
      </c>
      <c r="U96" s="337">
        <f>IS!CP38</f>
        <v>766.68212500000016</v>
      </c>
      <c r="V96" s="337">
        <f>IS!CU38</f>
        <v>781.46327187500003</v>
      </c>
      <c r="W96" s="337">
        <f>IS!CZ38</f>
        <v>796.7942274531249</v>
      </c>
      <c r="X96" s="337">
        <f>IS!DE38</f>
        <v>812.71604801492174</v>
      </c>
      <c r="Y96" s="337">
        <f>IS!DJ38</f>
        <v>829.27368660014542</v>
      </c>
      <c r="Z96" s="337">
        <f>IS!DO38</f>
        <v>846.51637955064768</v>
      </c>
      <c r="AA96" s="337">
        <f>IS!DT38</f>
        <v>864.49807166055723</v>
      </c>
      <c r="AB96" s="337">
        <f>IS!DY38</f>
        <v>883.27788379378057</v>
      </c>
      <c r="AC96" s="337">
        <f>IS!ED38</f>
        <v>902.92062721483364</v>
      </c>
      <c r="AD96" s="337">
        <f>IS!EI38</f>
        <v>180.58412544296675</v>
      </c>
      <c r="AE96" s="337">
        <f>IS!EN38</f>
        <v>180.58412544296675</v>
      </c>
      <c r="AJ96"/>
      <c r="AK96"/>
      <c r="AL96"/>
      <c r="AM96"/>
      <c r="AN96"/>
      <c r="AO96"/>
    </row>
    <row r="97" spans="1:41" ht="12.75" customHeight="1" outlineLevel="1">
      <c r="B97" s="234" t="s">
        <v>694</v>
      </c>
      <c r="C97" s="337">
        <f t="shared" ref="C97:R97" si="69">+C95-C96/C99</f>
        <v>-0.14626246169362658</v>
      </c>
      <c r="D97" s="337">
        <f t="shared" si="69"/>
        <v>2.4371179652919288E-2</v>
      </c>
      <c r="E97" s="337">
        <f t="shared" si="69"/>
        <v>8.9436232680570438E-2</v>
      </c>
      <c r="F97" s="337">
        <f t="shared" si="69"/>
        <v>8.7202752800933994E-2</v>
      </c>
      <c r="G97" s="337">
        <f t="shared" si="69"/>
        <v>0.16390622352221748</v>
      </c>
      <c r="H97" s="337">
        <f t="shared" si="69"/>
        <v>0.45630045061107999</v>
      </c>
      <c r="I97" s="337">
        <f t="shared" si="69"/>
        <v>0.663073570379485</v>
      </c>
      <c r="J97" s="337">
        <f t="shared" si="69"/>
        <v>0.88530535739503691</v>
      </c>
      <c r="K97" s="337">
        <f t="shared" si="69"/>
        <v>1.2060266188444717</v>
      </c>
      <c r="L97" s="337">
        <f t="shared" si="69"/>
        <v>1.6594269451191579</v>
      </c>
      <c r="M97" s="337">
        <f t="shared" si="69"/>
        <v>2.1908581293841136</v>
      </c>
      <c r="N97" s="337">
        <f t="shared" si="69"/>
        <v>2.5730885428770636</v>
      </c>
      <c r="O97" s="337">
        <f t="shared" si="69"/>
        <v>3.1710526315789469</v>
      </c>
      <c r="P97" s="337">
        <f t="shared" si="69"/>
        <v>4.0076375208364903</v>
      </c>
      <c r="Q97" s="337">
        <f t="shared" si="69"/>
        <v>5.183479099878614</v>
      </c>
      <c r="R97" s="337">
        <f t="shared" si="69"/>
        <v>6.6091794158553538</v>
      </c>
      <c r="S97" s="337">
        <f>+S95-S96/S99</f>
        <v>7.5698781241541786</v>
      </c>
      <c r="T97" s="337">
        <f>+T95-T96/T99</f>
        <v>8.9770129052867542</v>
      </c>
      <c r="U97" s="337">
        <f>+U95-U96/U99</f>
        <v>11.089704388401872</v>
      </c>
      <c r="V97" s="337">
        <f t="shared" ref="V97:AA97" si="70">+V95-V96/V99</f>
        <v>13.523706193557075</v>
      </c>
      <c r="W97" s="337">
        <f t="shared" si="70"/>
        <v>15.14826407971154</v>
      </c>
      <c r="X97" s="337">
        <f t="shared" si="70"/>
        <v>15.917415861257705</v>
      </c>
      <c r="Y97" s="337">
        <f t="shared" si="70"/>
        <v>15.802603084318141</v>
      </c>
      <c r="Z97" s="337">
        <f t="shared" si="70"/>
        <v>12.711006992685451</v>
      </c>
      <c r="AA97" s="337">
        <f t="shared" si="70"/>
        <v>7.2893461466400833</v>
      </c>
      <c r="AB97" s="760">
        <f>+AB95-AB96/AB99</f>
        <v>5.2833921047159293</v>
      </c>
      <c r="AC97" s="760">
        <f>+AC95-AC96/AC99</f>
        <v>4.9194229988602522</v>
      </c>
      <c r="AD97" s="760">
        <f>+AD95-AD96/AD99</f>
        <v>5.9103752194361672</v>
      </c>
      <c r="AE97" s="760">
        <f>+AE95-AE96/AE99</f>
        <v>4.108759058738559</v>
      </c>
    </row>
    <row r="98" spans="1:41" s="247" customFormat="1" ht="12.75" customHeight="1" outlineLevel="1">
      <c r="A98" s="663"/>
      <c r="B98" s="245" t="s">
        <v>704</v>
      </c>
      <c r="C98" s="249">
        <f t="shared" ref="C98:R98" si="71">+C97/C95-1</f>
        <v>0</v>
      </c>
      <c r="D98" s="249">
        <f t="shared" si="71"/>
        <v>0</v>
      </c>
      <c r="E98" s="249">
        <f t="shared" si="71"/>
        <v>0</v>
      </c>
      <c r="F98" s="249">
        <f t="shared" si="71"/>
        <v>0</v>
      </c>
      <c r="G98" s="249">
        <f t="shared" si="71"/>
        <v>-0.36474266840537206</v>
      </c>
      <c r="H98" s="249">
        <f t="shared" si="71"/>
        <v>-0.12987400069325028</v>
      </c>
      <c r="I98" s="249">
        <f t="shared" si="71"/>
        <v>-0.14827877416832569</v>
      </c>
      <c r="J98" s="249">
        <f t="shared" si="71"/>
        <v>-0.14804782451577825</v>
      </c>
      <c r="K98" s="249">
        <f t="shared" si="71"/>
        <v>-0.13897773658724988</v>
      </c>
      <c r="L98" s="249">
        <f t="shared" si="71"/>
        <v>-0.1239033767922898</v>
      </c>
      <c r="M98" s="249">
        <f t="shared" si="71"/>
        <v>-0.106841385331512</v>
      </c>
      <c r="N98" s="249">
        <f t="shared" si="71"/>
        <v>-0.12825761751043219</v>
      </c>
      <c r="O98" s="249">
        <f t="shared" si="71"/>
        <v>-0.14445233331181828</v>
      </c>
      <c r="P98" s="249">
        <f t="shared" si="71"/>
        <v>-0.14851638161961678</v>
      </c>
      <c r="Q98" s="249">
        <f t="shared" si="71"/>
        <v>-0.12711224789299347</v>
      </c>
      <c r="R98" s="249">
        <f t="shared" si="71"/>
        <v>-0.10751252086811347</v>
      </c>
      <c r="S98" s="249">
        <f>+S97/S95-1</f>
        <v>-0.1077529402880727</v>
      </c>
      <c r="T98" s="249">
        <f>+T97/T95-1</f>
        <v>-9.6340476812433962E-2</v>
      </c>
      <c r="U98" s="249">
        <f>+U97/U95-1</f>
        <v>-8.4372226751068813E-2</v>
      </c>
      <c r="V98" s="249">
        <f t="shared" ref="V98:AE98" si="72">+V97/V95-1</f>
        <v>-7.4180939093682952E-2</v>
      </c>
      <c r="W98" s="249">
        <f t="shared" si="72"/>
        <v>-7.0059661072046087E-2</v>
      </c>
      <c r="X98" s="249">
        <f t="shared" si="72"/>
        <v>-7.0088544903318395E-2</v>
      </c>
      <c r="Y98" s="249">
        <f t="shared" si="72"/>
        <v>-7.3358705580406802E-2</v>
      </c>
      <c r="Z98" s="249">
        <f t="shared" si="72"/>
        <v>-9.2509805674738321E-2</v>
      </c>
      <c r="AA98" s="249">
        <f t="shared" si="72"/>
        <v>-0.15534059154468971</v>
      </c>
      <c r="AB98" s="249">
        <f t="shared" si="72"/>
        <v>-0.20771436461937265</v>
      </c>
      <c r="AC98" s="249">
        <f t="shared" si="72"/>
        <v>-0.22403872517057744</v>
      </c>
      <c r="AD98" s="249">
        <f t="shared" si="72"/>
        <v>-4.5453962777879608E-2</v>
      </c>
      <c r="AE98" s="249">
        <f t="shared" si="72"/>
        <v>-6.3063250012824645E-2</v>
      </c>
      <c r="AJ98"/>
      <c r="AK98"/>
      <c r="AL98"/>
      <c r="AM98"/>
      <c r="AN98"/>
      <c r="AO98"/>
    </row>
    <row r="99" spans="1:41" s="209" customFormat="1" ht="12.75" customHeight="1" outlineLevel="1">
      <c r="A99" s="662"/>
      <c r="B99" s="207" t="s">
        <v>705</v>
      </c>
      <c r="C99" s="191">
        <f>IS!D87</f>
        <v>618.69600000000003</v>
      </c>
      <c r="D99" s="191">
        <f>IS!I87</f>
        <v>683.18399999999997</v>
      </c>
      <c r="E99" s="191">
        <f>IS!N87</f>
        <v>691.42</v>
      </c>
      <c r="F99" s="191">
        <f>IS!S87</f>
        <v>781.16800000000001</v>
      </c>
      <c r="G99" s="191">
        <f>IS!X87</f>
        <v>814.36199999999997</v>
      </c>
      <c r="H99" s="191">
        <f>IS!AC87</f>
        <v>863.71600000000001</v>
      </c>
      <c r="I99" s="191">
        <f>IS!AH87</f>
        <v>923.25199999999995</v>
      </c>
      <c r="J99" s="191">
        <f>IS!AM87</f>
        <v>934.70799999999997</v>
      </c>
      <c r="K99" s="191">
        <f>IS!AR87</f>
        <v>939.03399999999999</v>
      </c>
      <c r="L99" s="191">
        <f>IS!AW87</f>
        <v>925.49599999999998</v>
      </c>
      <c r="M99" s="191">
        <f>IS!BB87</f>
        <v>881.59199999999998</v>
      </c>
      <c r="N99" s="191">
        <f>IS!BG87</f>
        <v>860.6</v>
      </c>
      <c r="O99" s="191">
        <f>IS!BL87</f>
        <v>836</v>
      </c>
      <c r="P99" s="191">
        <f>IS!BQ87</f>
        <v>824.875</v>
      </c>
      <c r="Q99" s="191">
        <f>IS!BV87</f>
        <v>803.22499999999991</v>
      </c>
      <c r="R99" s="191">
        <f>IS!CA87</f>
        <v>808.87500000000011</v>
      </c>
      <c r="S99" s="191">
        <f>IS!CF87</f>
        <v>774.9</v>
      </c>
      <c r="T99" s="191">
        <f>IS!CK87</f>
        <v>778.8652301510574</v>
      </c>
      <c r="U99" s="191">
        <f>IS!CP87</f>
        <v>750.2652204308157</v>
      </c>
      <c r="V99" s="191">
        <f>IS!CU87</f>
        <v>721.18491697879745</v>
      </c>
      <c r="W99" s="191">
        <f>IS!CZ87</f>
        <v>698.18476267788731</v>
      </c>
      <c r="X99" s="191">
        <f>IS!DE87</f>
        <v>677.42438609555109</v>
      </c>
      <c r="Y99" s="191">
        <f>IS!DJ87</f>
        <v>662.87134206483779</v>
      </c>
      <c r="Z99" s="191">
        <f>IS!DO87</f>
        <v>653.29537045046402</v>
      </c>
      <c r="AA99" s="191">
        <f>IS!DT87</f>
        <v>644.86992674453427</v>
      </c>
      <c r="AB99" s="191">
        <f>IS!DY87</f>
        <v>637.67554790063957</v>
      </c>
      <c r="AC99" s="191">
        <f>IS!ED87</f>
        <v>635.70022114794403</v>
      </c>
      <c r="AD99" s="191">
        <f>IS!EI87</f>
        <v>641.6373617038289</v>
      </c>
      <c r="AE99" s="191">
        <f>IS!EN87</f>
        <v>652.98442234031745</v>
      </c>
      <c r="AJ99"/>
      <c r="AK99"/>
      <c r="AL99"/>
      <c r="AM99"/>
      <c r="AN99"/>
      <c r="AO99"/>
    </row>
    <row r="101" spans="1:41" ht="12.75" customHeight="1">
      <c r="B101" s="367" t="s">
        <v>755</v>
      </c>
    </row>
    <row r="102" spans="1:41" ht="12.75" customHeight="1">
      <c r="B102" s="369" t="s">
        <v>756</v>
      </c>
      <c r="C102" s="191">
        <f>C44+C47</f>
        <v>3.9660000000000002</v>
      </c>
      <c r="D102" s="191">
        <f t="shared" ref="D102:AE102" si="73">D44+D47</f>
        <v>11.97</v>
      </c>
      <c r="E102" s="191">
        <f t="shared" si="73"/>
        <v>16.036000000000001</v>
      </c>
      <c r="F102" s="191">
        <f t="shared" si="73"/>
        <v>52.64</v>
      </c>
      <c r="G102" s="191">
        <f t="shared" si="73"/>
        <v>1119.2539999999999</v>
      </c>
      <c r="H102" s="191">
        <f t="shared" si="73"/>
        <v>144.703</v>
      </c>
      <c r="I102" s="191">
        <f t="shared" si="73"/>
        <v>128.583</v>
      </c>
      <c r="J102" s="191">
        <f t="shared" si="73"/>
        <v>-159.71</v>
      </c>
      <c r="K102" s="191">
        <f t="shared" si="73"/>
        <v>-96.227000000000018</v>
      </c>
      <c r="L102" s="191">
        <f t="shared" si="73"/>
        <v>-2054.7060000000001</v>
      </c>
      <c r="M102" s="191">
        <f t="shared" si="73"/>
        <v>-1567.3419999999999</v>
      </c>
      <c r="N102" s="191">
        <f t="shared" si="73"/>
        <v>-2213</v>
      </c>
      <c r="O102" s="191">
        <f t="shared" si="73"/>
        <v>-2677.9</v>
      </c>
      <c r="P102" s="191">
        <f t="shared" si="73"/>
        <v>-3005.1000000000004</v>
      </c>
      <c r="Q102" s="191">
        <f t="shared" si="73"/>
        <v>-1800.9</v>
      </c>
      <c r="R102" s="191">
        <f t="shared" si="73"/>
        <v>-3148</v>
      </c>
      <c r="S102" s="191">
        <f t="shared" si="73"/>
        <v>-3524.7151381912367</v>
      </c>
      <c r="T102" s="191">
        <f t="shared" si="73"/>
        <v>-4236.31018912539</v>
      </c>
      <c r="U102" s="191">
        <f t="shared" si="73"/>
        <v>-6689.4735346431744</v>
      </c>
      <c r="V102" s="191">
        <f t="shared" si="73"/>
        <v>-5544.477537569398</v>
      </c>
      <c r="W102" s="191">
        <f t="shared" si="73"/>
        <v>-6081.3130430764404</v>
      </c>
      <c r="X102" s="191">
        <f t="shared" si="73"/>
        <v>-6125.6811835477811</v>
      </c>
      <c r="Y102" s="191">
        <f t="shared" si="73"/>
        <v>-4920.8980522606744</v>
      </c>
      <c r="Z102" s="191">
        <f t="shared" si="73"/>
        <v>-5388.0112166580993</v>
      </c>
      <c r="AA102" s="191">
        <f t="shared" si="73"/>
        <v>-5898.7510823529274</v>
      </c>
      <c r="AB102" s="191">
        <f t="shared" si="73"/>
        <v>-6457.0993695048228</v>
      </c>
      <c r="AC102" s="191">
        <f t="shared" si="73"/>
        <v>-4439.153511849594</v>
      </c>
      <c r="AD102" s="191">
        <f t="shared" si="73"/>
        <v>-2915.9014273664411</v>
      </c>
      <c r="AE102" s="191">
        <f t="shared" si="73"/>
        <v>-2102.7271621993746</v>
      </c>
    </row>
    <row r="103" spans="1:41" ht="12.75" customHeight="1">
      <c r="B103" s="368" t="s">
        <v>757</v>
      </c>
      <c r="C103" s="191">
        <v>0</v>
      </c>
      <c r="D103" s="191">
        <v>0</v>
      </c>
      <c r="E103" s="191">
        <v>0</v>
      </c>
      <c r="F103" s="191">
        <v>0</v>
      </c>
      <c r="G103" s="191">
        <v>0</v>
      </c>
      <c r="H103" s="191">
        <v>0</v>
      </c>
      <c r="I103" s="191">
        <v>0</v>
      </c>
      <c r="J103" s="191">
        <v>0</v>
      </c>
      <c r="K103" s="191">
        <v>0</v>
      </c>
      <c r="L103" s="191">
        <v>0</v>
      </c>
      <c r="M103" s="191">
        <v>0</v>
      </c>
      <c r="N103" s="191">
        <v>0</v>
      </c>
      <c r="O103" s="191">
        <v>0</v>
      </c>
      <c r="P103" s="191">
        <v>0</v>
      </c>
      <c r="Q103" s="191">
        <v>0</v>
      </c>
      <c r="R103" s="191">
        <v>0</v>
      </c>
      <c r="S103" s="191">
        <v>0</v>
      </c>
      <c r="T103" s="191">
        <v>0</v>
      </c>
      <c r="U103" s="191">
        <v>0</v>
      </c>
      <c r="V103" s="191">
        <v>0</v>
      </c>
      <c r="W103" s="191">
        <v>0</v>
      </c>
      <c r="X103" s="191">
        <v>0</v>
      </c>
      <c r="Y103" s="191">
        <v>0</v>
      </c>
      <c r="Z103" s="191">
        <v>0</v>
      </c>
      <c r="AA103" s="191">
        <v>0</v>
      </c>
      <c r="AB103" s="191">
        <v>0</v>
      </c>
      <c r="AC103" s="191">
        <v>0</v>
      </c>
      <c r="AD103" s="191">
        <v>0</v>
      </c>
      <c r="AE103" s="191">
        <v>0</v>
      </c>
    </row>
    <row r="104" spans="1:41" ht="12.75" customHeight="1">
      <c r="B104" s="369" t="s">
        <v>758</v>
      </c>
      <c r="D104" s="209">
        <f>BS!D43-BS!C43-CF!D102-CF!D103-IS!I82</f>
        <v>28.347999999999985</v>
      </c>
      <c r="E104" s="209">
        <f>BS!E43-BS!D43-CF!E102-CF!E103-IS!N82</f>
        <v>76.908000000000044</v>
      </c>
      <c r="F104" s="209">
        <f>BS!F43-BS!E43-CF!F102-CF!F103-IS!S82</f>
        <v>42.035999999999902</v>
      </c>
      <c r="G104" s="209">
        <f>BS!G43-BS!F43-CF!G102-CF!G103-IS!X82</f>
        <v>152.17500000000058</v>
      </c>
      <c r="H104" s="209">
        <f>BS!H43-BS!G43-CF!H102-CF!H103-IS!AC82</f>
        <v>496.63000000000005</v>
      </c>
      <c r="I104" s="209">
        <f>BS!I43-BS!H43-CF!I102-CF!I103-IS!AH82</f>
        <v>2052.4519999999998</v>
      </c>
      <c r="J104" s="209">
        <f>BS!J43-BS!I43-CF!J102-CF!J103-IS!AM82</f>
        <v>286.23999999999978</v>
      </c>
      <c r="K104" s="209">
        <f>BS!K43-BS!J43-CF!K102-CF!K103-IS!AR82</f>
        <v>801.09200000000044</v>
      </c>
      <c r="L104" s="209">
        <f>BS!L43-BS!K43-CF!L102-CF!L103-IS!AW82</f>
        <v>265.31000000000017</v>
      </c>
      <c r="M104" s="209">
        <f>BS!M43-BS!L43-CF!M102-CF!M103-IS!BB82</f>
        <v>292.9020000000005</v>
      </c>
      <c r="N104" s="209">
        <f>BS!N43-BS!M43-CF!N102-CF!N103-IS!BG82</f>
        <v>601.43299999999931</v>
      </c>
      <c r="O104" s="209">
        <f>BS!O43-BS!N43-CF!O102-CF!O103-IS!BL82</f>
        <v>1612.9000000000026</v>
      </c>
      <c r="P104" s="209">
        <f>BS!P43-BS!O43-CF!P102-CF!P103-IS!BQ82</f>
        <v>797.29999999999654</v>
      </c>
      <c r="Q104" s="209">
        <f>BS!Q43-BS!P43-CF!Q102-CF!Q103-IS!BV82</f>
        <v>482.00000000000296</v>
      </c>
      <c r="R104" s="209">
        <f>BS!R43-BS!Q43-CF!R102-CF!R103-IS!CA82</f>
        <v>555.69999999999891</v>
      </c>
      <c r="S104" s="209">
        <f>BS!S43-BS!R43-CF!S102-CF!S103-IS!CF82</f>
        <v>753.08769047673377</v>
      </c>
      <c r="T104" s="209">
        <f>BS!T43-BS!S43-CF!T102-CF!T103-IS!CK82</f>
        <v>811.2974557803891</v>
      </c>
      <c r="U104" s="209">
        <f>BS!U43-BS!T43-CF!U102-CF!U103-IS!CP82</f>
        <v>864.18783875289864</v>
      </c>
      <c r="V104" s="209">
        <f>BS!V43-BS!U43-CF!V102-CF!V103-IS!CQ82</f>
        <v>9965.5919570526567</v>
      </c>
      <c r="W104" s="209">
        <f>BS!W43-BS!V43-CF!W102-CF!W103-IS!CR82</f>
        <v>10856.164399011752</v>
      </c>
      <c r="X104" s="209">
        <f>BS!X43-BS!W43-CF!X102-CF!X103-IS!CS82</f>
        <v>11140.024184031721</v>
      </c>
      <c r="Y104" s="209">
        <f>BS!Y43-BS!X43-CF!Y102-CF!Y103-IS!CT82</f>
        <v>10921.344174645916</v>
      </c>
      <c r="Z104" s="209">
        <f>BS!Z43-BS!Y43-CF!Z102-CF!Z103-IS!CU82</f>
        <v>-14.135118685020643</v>
      </c>
      <c r="AA104" s="209">
        <f>BS!AA43-BS!Z43-CF!AA102-CF!AA103-IS!CV82</f>
        <v>5549.1367212989762</v>
      </c>
      <c r="AB104" s="209">
        <f>BS!AB43-BS!AA43-CF!AB102-CF!AB103-IS!CW82</f>
        <v>4356.7090817627532</v>
      </c>
      <c r="AC104" s="209">
        <f>BS!AC43-BS!AB43-CF!AC102-CF!AC103-IS!ED82</f>
        <v>1651.294840118177</v>
      </c>
      <c r="AD104" s="209">
        <f>BS!AD43-BS!AC43-CF!AD102-CF!AD103-IS!EI82</f>
        <v>1218.3843449950182</v>
      </c>
      <c r="AE104" s="209">
        <f>BS!AE43-BS!AD43-CF!AE102-CF!AE103-IS!EN82</f>
        <v>1420.6035282239063</v>
      </c>
    </row>
    <row r="105" spans="1:41" ht="12.75" customHeight="1">
      <c r="B105" s="369" t="s">
        <v>759</v>
      </c>
      <c r="C105" s="191">
        <v>0</v>
      </c>
      <c r="D105" s="191">
        <v>0</v>
      </c>
      <c r="E105" s="191">
        <v>0</v>
      </c>
      <c r="F105" s="191">
        <v>0</v>
      </c>
      <c r="G105" s="191">
        <v>0</v>
      </c>
      <c r="H105" s="191">
        <v>0</v>
      </c>
      <c r="I105" s="191">
        <v>0</v>
      </c>
      <c r="J105" s="191">
        <v>0</v>
      </c>
      <c r="K105" s="191">
        <v>0</v>
      </c>
      <c r="L105" s="191">
        <v>0</v>
      </c>
      <c r="M105" s="191">
        <v>0</v>
      </c>
      <c r="N105" s="191">
        <v>0</v>
      </c>
      <c r="O105" s="191">
        <v>0</v>
      </c>
      <c r="P105" s="191">
        <v>0</v>
      </c>
      <c r="Q105" s="191">
        <v>0</v>
      </c>
      <c r="R105" s="191">
        <v>0</v>
      </c>
      <c r="S105" s="191">
        <v>0</v>
      </c>
      <c r="T105" s="191">
        <v>0</v>
      </c>
      <c r="U105" s="191">
        <v>0</v>
      </c>
      <c r="V105" s="191">
        <v>0</v>
      </c>
      <c r="W105" s="191">
        <v>0</v>
      </c>
      <c r="X105" s="191">
        <v>0</v>
      </c>
      <c r="Y105" s="191">
        <v>0</v>
      </c>
      <c r="Z105" s="191">
        <v>0</v>
      </c>
      <c r="AA105" s="191">
        <v>0</v>
      </c>
      <c r="AB105" s="191">
        <v>0</v>
      </c>
      <c r="AC105" s="191">
        <v>0</v>
      </c>
      <c r="AD105" s="191">
        <v>0</v>
      </c>
      <c r="AE105" s="191">
        <v>0</v>
      </c>
    </row>
    <row r="106" spans="1:41" ht="12.75" customHeight="1">
      <c r="B106" s="369" t="s">
        <v>762</v>
      </c>
      <c r="C106" s="274">
        <f>35%%+0.6%</f>
        <v>9.4999999999999998E-3</v>
      </c>
      <c r="D106" s="274">
        <f>35%%+3.3%</f>
        <v>3.6500000000000005E-2</v>
      </c>
      <c r="E106" s="274">
        <f>35%+50.5%+4.3%</f>
        <v>0.89800000000000002</v>
      </c>
      <c r="F106" s="274">
        <f>35%+27.2%+9.6%</f>
        <v>0.71799999999999997</v>
      </c>
      <c r="G106" s="274">
        <f>35%+16.6%+9.7%</f>
        <v>0.61299999999999999</v>
      </c>
      <c r="H106" s="274">
        <f>35%+12.7%+6.5%</f>
        <v>0.54200000000000004</v>
      </c>
      <c r="I106" s="274">
        <f>35%-7.3%+0.4%</f>
        <v>0.28099999999999997</v>
      </c>
      <c r="J106" s="274">
        <f>35%-16.3%+1.1%</f>
        <v>0.19799999999999998</v>
      </c>
      <c r="K106" s="274">
        <f>35%-21.8%</f>
        <v>0.13199999999999998</v>
      </c>
      <c r="L106" s="274">
        <f>35%-21.1%+0.7%</f>
        <v>0.14599999999999996</v>
      </c>
      <c r="M106" s="274">
        <f>35%-28%+1.1%</f>
        <v>8.0999999999999947E-2</v>
      </c>
      <c r="N106" s="274">
        <f>35%-28.8%+0.6%</f>
        <v>6.7999999999999949E-2</v>
      </c>
      <c r="O106" s="247">
        <f>35%-22.3%+1%</f>
        <v>0.13699999999999998</v>
      </c>
      <c r="P106" s="247">
        <f t="shared" ref="P106:U106" si="74">+O106</f>
        <v>0.13699999999999998</v>
      </c>
      <c r="Q106" s="247">
        <f t="shared" si="74"/>
        <v>0.13699999999999998</v>
      </c>
      <c r="R106" s="247">
        <f t="shared" si="74"/>
        <v>0.13699999999999998</v>
      </c>
      <c r="S106" s="247">
        <f t="shared" si="74"/>
        <v>0.13699999999999998</v>
      </c>
      <c r="T106" s="247">
        <f t="shared" si="74"/>
        <v>0.13699999999999998</v>
      </c>
      <c r="U106" s="247">
        <f t="shared" si="74"/>
        <v>0.13699999999999998</v>
      </c>
      <c r="V106" s="247">
        <f t="shared" ref="V106:AB106" si="75">+U106</f>
        <v>0.13699999999999998</v>
      </c>
      <c r="W106" s="247">
        <f t="shared" si="75"/>
        <v>0.13699999999999998</v>
      </c>
      <c r="X106" s="247">
        <f t="shared" si="75"/>
        <v>0.13699999999999998</v>
      </c>
      <c r="Y106" s="247">
        <f t="shared" si="75"/>
        <v>0.13699999999999998</v>
      </c>
      <c r="Z106" s="247">
        <f t="shared" si="75"/>
        <v>0.13699999999999998</v>
      </c>
      <c r="AA106" s="247">
        <f t="shared" si="75"/>
        <v>0.13699999999999998</v>
      </c>
      <c r="AB106" s="247">
        <f t="shared" si="75"/>
        <v>0.13699999999999998</v>
      </c>
      <c r="AC106" s="247">
        <f>+AB106</f>
        <v>0.13699999999999998</v>
      </c>
      <c r="AD106" s="247">
        <f>+AC106</f>
        <v>0.13699999999999998</v>
      </c>
      <c r="AE106" s="247">
        <f>+AD106</f>
        <v>0.13699999999999998</v>
      </c>
    </row>
    <row r="107" spans="1:41" customFormat="1" ht="12.75" customHeight="1"/>
    <row r="116" spans="10:15" ht="12.75" customHeight="1">
      <c r="J116" s="687">
        <f>J29+IS!AM55</f>
        <v>944.3549999999999</v>
      </c>
      <c r="K116" s="687">
        <f>K29+IS!AR55</f>
        <v>1302.732</v>
      </c>
      <c r="L116" s="687">
        <f>L29+IS!AW55</f>
        <v>1937.164</v>
      </c>
      <c r="M116" s="687">
        <f>M29+IS!BB55</f>
        <v>2208.0529999999999</v>
      </c>
      <c r="N116" s="687">
        <f>N29+IS!BG55</f>
        <v>2801.7</v>
      </c>
      <c r="O116" s="687">
        <f>O29+IS!BL55</f>
        <v>3259.9</v>
      </c>
    </row>
    <row r="117" spans="10:15" ht="12.75" customHeight="1">
      <c r="J117" s="183">
        <f>IS!AM55</f>
        <v>34.5</v>
      </c>
      <c r="K117" s="183">
        <f>IS!AR55</f>
        <v>121.176</v>
      </c>
      <c r="L117" s="183">
        <f>IS!AW55</f>
        <v>128.47899999999998</v>
      </c>
      <c r="M117" s="183">
        <f>IS!BB55</f>
        <v>189.5</v>
      </c>
      <c r="N117" s="183">
        <f>IS!BG55</f>
        <v>575.79999999999995</v>
      </c>
      <c r="O117" s="183">
        <f>IS!BL55</f>
        <v>453.6</v>
      </c>
    </row>
    <row r="118" spans="10:15" ht="12.75" customHeight="1">
      <c r="J118" s="274">
        <f t="shared" ref="J118:O118" si="76">J117/J116</f>
        <v>3.6532871642549682E-2</v>
      </c>
      <c r="K118" s="274">
        <f t="shared" si="76"/>
        <v>9.3016829248072516E-2</v>
      </c>
      <c r="L118" s="274">
        <f t="shared" si="76"/>
        <v>6.6323243669611856E-2</v>
      </c>
      <c r="M118" s="274">
        <f t="shared" si="76"/>
        <v>8.5822215318201153E-2</v>
      </c>
      <c r="N118" s="274">
        <f t="shared" si="76"/>
        <v>0.20551807830959773</v>
      </c>
      <c r="O118" s="274">
        <f t="shared" si="76"/>
        <v>0.13914537255744042</v>
      </c>
    </row>
  </sheetData>
  <phoneticPr fontId="52" type="noConversion"/>
  <pageMargins left="0" right="0" top="0" bottom="0" header="0" footer="0"/>
  <pageSetup paperSize="5" scale="40" orientation="landscape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111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34" sqref="K34"/>
    </sheetView>
  </sheetViews>
  <sheetFormatPr defaultRowHeight="12.75" outlineLevelRow="1"/>
  <cols>
    <col min="1" max="1" width="1.5703125" style="183" customWidth="1"/>
    <col min="2" max="2" width="27.28515625" style="183" bestFit="1" customWidth="1"/>
    <col min="3" max="10" width="8.7109375" style="183" customWidth="1"/>
    <col min="11" max="16384" width="9.140625" style="183"/>
  </cols>
  <sheetData>
    <row r="1" spans="2:23">
      <c r="E1" s="209"/>
    </row>
    <row r="2" spans="2:23">
      <c r="B2" s="232"/>
      <c r="C2" s="338" t="s">
        <v>131</v>
      </c>
      <c r="D2" s="338" t="s">
        <v>187</v>
      </c>
      <c r="E2" s="338" t="s">
        <v>30</v>
      </c>
      <c r="F2" s="338" t="s">
        <v>741</v>
      </c>
      <c r="G2" s="338" t="s">
        <v>920</v>
      </c>
      <c r="H2" s="338" t="s">
        <v>1010</v>
      </c>
      <c r="I2" s="338" t="s">
        <v>1016</v>
      </c>
      <c r="J2" s="338" t="s">
        <v>1054</v>
      </c>
      <c r="K2" s="338" t="s">
        <v>119</v>
      </c>
      <c r="L2" s="338" t="s">
        <v>120</v>
      </c>
      <c r="M2" s="338" t="s">
        <v>121</v>
      </c>
      <c r="N2" s="338" t="s">
        <v>820</v>
      </c>
      <c r="O2" s="338" t="s">
        <v>817</v>
      </c>
      <c r="P2" s="338" t="s">
        <v>818</v>
      </c>
      <c r="Q2" s="338" t="s">
        <v>819</v>
      </c>
      <c r="R2" s="338" t="s">
        <v>821</v>
      </c>
      <c r="S2" s="338" t="s">
        <v>822</v>
      </c>
      <c r="T2" s="338" t="s">
        <v>823</v>
      </c>
      <c r="U2" s="338" t="s">
        <v>889</v>
      </c>
      <c r="V2" s="338" t="s">
        <v>890</v>
      </c>
      <c r="W2" s="338" t="s">
        <v>891</v>
      </c>
    </row>
    <row r="3" spans="2:23">
      <c r="B3" s="232"/>
      <c r="C3" s="339"/>
      <c r="D3" s="339"/>
      <c r="E3" s="339"/>
      <c r="F3" s="339"/>
      <c r="G3" s="339"/>
      <c r="H3" s="339"/>
      <c r="I3" s="339"/>
      <c r="J3" s="339"/>
    </row>
    <row r="4" spans="2:23" s="209" customFormat="1">
      <c r="B4" s="340" t="s">
        <v>607</v>
      </c>
      <c r="C4" s="341">
        <v>499.30099999999999</v>
      </c>
      <c r="D4" s="341">
        <f t="shared" ref="D4" si="0">C4+D7</f>
        <v>527.19100000000003</v>
      </c>
      <c r="E4" s="698">
        <v>520.11300000000006</v>
      </c>
      <c r="F4" s="698">
        <v>513.9</v>
      </c>
      <c r="G4" s="755">
        <v>0</v>
      </c>
      <c r="H4" s="698">
        <v>0</v>
      </c>
      <c r="I4" s="698">
        <v>0</v>
      </c>
      <c r="J4" s="698">
        <v>0</v>
      </c>
      <c r="K4" s="341">
        <f t="shared" ref="K4:P4" si="1">J4+K7</f>
        <v>0</v>
      </c>
      <c r="L4" s="341">
        <f t="shared" si="1"/>
        <v>0</v>
      </c>
      <c r="M4" s="341">
        <f t="shared" si="1"/>
        <v>0</v>
      </c>
      <c r="N4" s="341">
        <f t="shared" si="1"/>
        <v>0</v>
      </c>
      <c r="O4" s="341">
        <f t="shared" si="1"/>
        <v>0</v>
      </c>
      <c r="P4" s="341">
        <f t="shared" si="1"/>
        <v>0</v>
      </c>
      <c r="Q4" s="341">
        <f t="shared" ref="Q4:W4" si="2">P4+Q7</f>
        <v>0</v>
      </c>
      <c r="R4" s="341">
        <f t="shared" si="2"/>
        <v>0</v>
      </c>
      <c r="S4" s="341">
        <f t="shared" si="2"/>
        <v>0</v>
      </c>
      <c r="T4" s="341">
        <f t="shared" si="2"/>
        <v>0</v>
      </c>
      <c r="U4" s="341">
        <f t="shared" si="2"/>
        <v>0</v>
      </c>
      <c r="V4" s="341">
        <f t="shared" si="2"/>
        <v>0</v>
      </c>
      <c r="W4" s="341">
        <f t="shared" si="2"/>
        <v>0</v>
      </c>
    </row>
    <row r="5" spans="2:23" s="247" customFormat="1" outlineLevel="1">
      <c r="B5" s="274" t="s">
        <v>608</v>
      </c>
      <c r="C5" s="342"/>
      <c r="D5" s="347">
        <v>2.4500000000000001E-2</v>
      </c>
      <c r="E5" s="347">
        <v>2.4500000000000001E-2</v>
      </c>
      <c r="F5" s="347">
        <v>2.4500000000000001E-2</v>
      </c>
      <c r="G5" s="347">
        <v>2.4500000000000001E-2</v>
      </c>
      <c r="H5" s="347">
        <v>2.4500000000000001E-2</v>
      </c>
      <c r="I5" s="347">
        <v>2.4500000000000001E-2</v>
      </c>
      <c r="J5" s="347">
        <v>2.4500000000000001E-2</v>
      </c>
      <c r="K5" s="347">
        <v>2.4500000000000001E-2</v>
      </c>
      <c r="L5" s="347">
        <v>2.4500000000000001E-2</v>
      </c>
      <c r="M5" s="347">
        <v>2.4500000000000001E-2</v>
      </c>
      <c r="N5" s="347">
        <v>2.4500000000000001E-2</v>
      </c>
      <c r="O5" s="347">
        <v>2.4500000000000001E-2</v>
      </c>
      <c r="P5" s="347">
        <v>2.4500000000000001E-2</v>
      </c>
      <c r="Q5" s="347">
        <v>2.4500000000000001E-2</v>
      </c>
      <c r="R5" s="347">
        <v>2.4500000000000001E-2</v>
      </c>
      <c r="S5" s="347">
        <v>2.4500000000000001E-2</v>
      </c>
      <c r="T5" s="347">
        <v>2.4500000000000001E-2</v>
      </c>
      <c r="U5" s="347">
        <v>2.4500000000000001E-2</v>
      </c>
      <c r="V5" s="347">
        <v>2.4500000000000001E-2</v>
      </c>
      <c r="W5" s="347">
        <v>2.4500000000000001E-2</v>
      </c>
    </row>
    <row r="6" spans="2:23" s="209" customFormat="1" outlineLevel="1">
      <c r="B6" s="209" t="s">
        <v>609</v>
      </c>
      <c r="C6" s="343"/>
      <c r="D6" s="343">
        <f>D5*AVERAGE(D4,C4)</f>
        <v>12.574527</v>
      </c>
      <c r="E6" s="343">
        <f>E5*AVERAGE(E4,D4)</f>
        <v>12.829474000000001</v>
      </c>
      <c r="F6" s="343">
        <f t="shared" ref="F6:M6" si="3">F5*AVERAGE(F4,E4)</f>
        <v>12.66665925</v>
      </c>
      <c r="G6" s="343">
        <f t="shared" si="3"/>
        <v>6.2952750000000002</v>
      </c>
      <c r="H6" s="343">
        <f t="shared" si="3"/>
        <v>0</v>
      </c>
      <c r="I6" s="343">
        <f t="shared" si="3"/>
        <v>0</v>
      </c>
      <c r="J6" s="343">
        <f t="shared" si="3"/>
        <v>0</v>
      </c>
      <c r="K6" s="343">
        <f t="shared" si="3"/>
        <v>0</v>
      </c>
      <c r="L6" s="343">
        <f t="shared" si="3"/>
        <v>0</v>
      </c>
      <c r="M6" s="343">
        <f t="shared" si="3"/>
        <v>0</v>
      </c>
      <c r="N6" s="343">
        <f t="shared" ref="N6:W6" si="4">N5*AVERAGE(N4,M4)</f>
        <v>0</v>
      </c>
      <c r="O6" s="343">
        <f t="shared" si="4"/>
        <v>0</v>
      </c>
      <c r="P6" s="343">
        <f t="shared" si="4"/>
        <v>0</v>
      </c>
      <c r="Q6" s="343">
        <f t="shared" si="4"/>
        <v>0</v>
      </c>
      <c r="R6" s="343">
        <f t="shared" si="4"/>
        <v>0</v>
      </c>
      <c r="S6" s="343">
        <f t="shared" si="4"/>
        <v>0</v>
      </c>
      <c r="T6" s="343">
        <f t="shared" si="4"/>
        <v>0</v>
      </c>
      <c r="U6" s="343">
        <f t="shared" si="4"/>
        <v>0</v>
      </c>
      <c r="V6" s="343">
        <f t="shared" si="4"/>
        <v>0</v>
      </c>
      <c r="W6" s="343">
        <f t="shared" si="4"/>
        <v>0</v>
      </c>
    </row>
    <row r="7" spans="2:23" s="209" customFormat="1" outlineLevel="1">
      <c r="B7" s="209" t="s">
        <v>610</v>
      </c>
      <c r="C7" s="343"/>
      <c r="D7" s="343">
        <f>527.191-499.301</f>
        <v>27.890000000000043</v>
      </c>
      <c r="E7" s="343">
        <f>E4-D4</f>
        <v>-7.0779999999999745</v>
      </c>
      <c r="F7" s="343">
        <f>F4-E4</f>
        <v>-6.2130000000000791</v>
      </c>
      <c r="G7" s="343">
        <f>G4-F4</f>
        <v>-513.9</v>
      </c>
      <c r="H7" s="343">
        <f>-G4</f>
        <v>0</v>
      </c>
      <c r="I7" s="343"/>
      <c r="J7" s="343"/>
    </row>
    <row r="8" spans="2:23" s="209" customFormat="1">
      <c r="C8" s="343"/>
      <c r="D8" s="343"/>
      <c r="E8" s="343"/>
      <c r="F8" s="343"/>
      <c r="G8" s="343"/>
      <c r="H8" s="343"/>
      <c r="I8" s="343"/>
      <c r="J8" s="343"/>
    </row>
    <row r="9" spans="2:23" s="209" customFormat="1">
      <c r="B9" s="340" t="s">
        <v>611</v>
      </c>
      <c r="C9" s="341"/>
      <c r="D9" s="341"/>
      <c r="E9" s="698">
        <v>500.65199999999999</v>
      </c>
      <c r="F9" s="698">
        <v>499.9</v>
      </c>
      <c r="G9" s="698">
        <v>501</v>
      </c>
      <c r="H9" s="698">
        <v>501.2</v>
      </c>
      <c r="I9" s="698">
        <v>500.7</v>
      </c>
      <c r="J9" s="698">
        <v>0</v>
      </c>
      <c r="K9" s="341">
        <f>J9</f>
        <v>0</v>
      </c>
      <c r="L9" s="341">
        <f>K9</f>
        <v>0</v>
      </c>
      <c r="M9" s="341">
        <f>L9</f>
        <v>0</v>
      </c>
      <c r="N9" s="341">
        <f t="shared" ref="N9:T9" si="5">M9</f>
        <v>0</v>
      </c>
      <c r="O9" s="341">
        <f t="shared" si="5"/>
        <v>0</v>
      </c>
      <c r="P9" s="341">
        <f t="shared" si="5"/>
        <v>0</v>
      </c>
      <c r="Q9" s="341">
        <f t="shared" si="5"/>
        <v>0</v>
      </c>
      <c r="R9" s="341">
        <f t="shared" si="5"/>
        <v>0</v>
      </c>
      <c r="S9" s="341">
        <f t="shared" si="5"/>
        <v>0</v>
      </c>
      <c r="T9" s="341">
        <f t="shared" si="5"/>
        <v>0</v>
      </c>
      <c r="U9" s="341">
        <f>T9</f>
        <v>0</v>
      </c>
      <c r="V9" s="341">
        <f>U9</f>
        <v>0</v>
      </c>
      <c r="W9" s="341">
        <f>V9</f>
        <v>0</v>
      </c>
    </row>
    <row r="10" spans="2:23" s="247" customFormat="1" outlineLevel="1">
      <c r="B10" s="274" t="s">
        <v>608</v>
      </c>
      <c r="C10" s="342"/>
      <c r="D10" s="342"/>
      <c r="E10" s="342"/>
      <c r="F10" s="347">
        <v>1.9E-2</v>
      </c>
      <c r="G10" s="347">
        <v>1.9E-2</v>
      </c>
      <c r="H10" s="347">
        <v>1.9E-2</v>
      </c>
      <c r="I10" s="347">
        <v>1.9E-2</v>
      </c>
      <c r="J10" s="347">
        <v>1.9E-2</v>
      </c>
      <c r="K10" s="347">
        <v>1.9E-2</v>
      </c>
      <c r="L10" s="347">
        <v>1.9E-2</v>
      </c>
      <c r="M10" s="347">
        <v>1.9E-2</v>
      </c>
      <c r="N10" s="347">
        <v>1.9E-2</v>
      </c>
      <c r="O10" s="347">
        <v>1.9E-2</v>
      </c>
      <c r="P10" s="347">
        <v>1.9E-2</v>
      </c>
      <c r="Q10" s="347">
        <v>1.9E-2</v>
      </c>
      <c r="R10" s="347">
        <v>1.9E-2</v>
      </c>
      <c r="S10" s="347">
        <v>1.9E-2</v>
      </c>
      <c r="T10" s="347">
        <v>1.9E-2</v>
      </c>
      <c r="U10" s="347">
        <v>1.9E-2</v>
      </c>
      <c r="V10" s="347">
        <v>1.9E-2</v>
      </c>
      <c r="W10" s="347">
        <v>1.9E-2</v>
      </c>
    </row>
    <row r="11" spans="2:23" s="209" customFormat="1" outlineLevel="1">
      <c r="B11" s="209" t="s">
        <v>609</v>
      </c>
      <c r="C11" s="343"/>
      <c r="D11" s="343"/>
      <c r="E11" s="343">
        <f>1.5+2.4</f>
        <v>3.9</v>
      </c>
      <c r="F11" s="343">
        <f t="shared" ref="F11:M11" si="6">F10*AVERAGE(F9,E9)</f>
        <v>9.5052439999999994</v>
      </c>
      <c r="G11" s="343">
        <f t="shared" si="6"/>
        <v>9.5085499999999996</v>
      </c>
      <c r="H11" s="343">
        <f t="shared" si="6"/>
        <v>9.520900000000001</v>
      </c>
      <c r="I11" s="343">
        <f t="shared" si="6"/>
        <v>9.5180499999999988</v>
      </c>
      <c r="J11" s="343">
        <f t="shared" si="6"/>
        <v>4.7566499999999996</v>
      </c>
      <c r="K11" s="343">
        <f t="shared" si="6"/>
        <v>0</v>
      </c>
      <c r="L11" s="343">
        <f t="shared" si="6"/>
        <v>0</v>
      </c>
      <c r="M11" s="343">
        <f t="shared" si="6"/>
        <v>0</v>
      </c>
      <c r="N11" s="343">
        <f t="shared" ref="N11:W11" si="7">N10*AVERAGE(N9,M9)</f>
        <v>0</v>
      </c>
      <c r="O11" s="343">
        <f t="shared" si="7"/>
        <v>0</v>
      </c>
      <c r="P11" s="343">
        <f t="shared" si="7"/>
        <v>0</v>
      </c>
      <c r="Q11" s="343">
        <f t="shared" si="7"/>
        <v>0</v>
      </c>
      <c r="R11" s="343">
        <f t="shared" si="7"/>
        <v>0</v>
      </c>
      <c r="S11" s="343">
        <f t="shared" si="7"/>
        <v>0</v>
      </c>
      <c r="T11" s="343">
        <f t="shared" si="7"/>
        <v>0</v>
      </c>
      <c r="U11" s="343">
        <f t="shared" si="7"/>
        <v>0</v>
      </c>
      <c r="V11" s="343">
        <f t="shared" si="7"/>
        <v>0</v>
      </c>
      <c r="W11" s="343">
        <f t="shared" si="7"/>
        <v>0</v>
      </c>
    </row>
    <row r="12" spans="2:23" outlineLevel="1">
      <c r="B12" s="294" t="s">
        <v>610</v>
      </c>
      <c r="C12" s="343"/>
      <c r="D12" s="343"/>
      <c r="E12" s="343"/>
      <c r="F12" s="343">
        <f>F9-E9</f>
        <v>-0.75200000000000955</v>
      </c>
      <c r="G12" s="343">
        <f>G9-F9</f>
        <v>1.1000000000000227</v>
      </c>
      <c r="H12" s="343"/>
      <c r="I12" s="343"/>
      <c r="J12" s="344">
        <f>-I9</f>
        <v>-500.7</v>
      </c>
    </row>
    <row r="13" spans="2:23">
      <c r="B13" s="294"/>
      <c r="C13" s="343"/>
      <c r="D13" s="343"/>
      <c r="E13" s="343"/>
      <c r="F13" s="343"/>
      <c r="G13" s="343"/>
      <c r="H13" s="343"/>
      <c r="I13" s="343"/>
      <c r="J13" s="344"/>
    </row>
    <row r="14" spans="2:23" s="209" customFormat="1">
      <c r="B14" s="340" t="s">
        <v>769</v>
      </c>
      <c r="C14" s="341"/>
      <c r="D14" s="341"/>
      <c r="E14" s="341"/>
      <c r="F14" s="698">
        <v>399</v>
      </c>
      <c r="G14" s="698">
        <v>401.2</v>
      </c>
      <c r="H14" s="698">
        <v>401.7</v>
      </c>
      <c r="I14" s="698">
        <v>401.9</v>
      </c>
      <c r="J14" s="698">
        <v>0</v>
      </c>
      <c r="K14" s="341">
        <f t="shared" ref="K14:M14" si="8">J14+K17</f>
        <v>0</v>
      </c>
      <c r="L14" s="341">
        <f t="shared" si="8"/>
        <v>0</v>
      </c>
      <c r="M14" s="341">
        <f t="shared" si="8"/>
        <v>0</v>
      </c>
      <c r="N14" s="341">
        <f t="shared" ref="N14:W14" si="9">M14+N17</f>
        <v>0</v>
      </c>
      <c r="O14" s="341">
        <f t="shared" si="9"/>
        <v>0</v>
      </c>
      <c r="P14" s="341">
        <f t="shared" si="9"/>
        <v>0</v>
      </c>
      <c r="Q14" s="341">
        <f t="shared" si="9"/>
        <v>0</v>
      </c>
      <c r="R14" s="341">
        <f t="shared" si="9"/>
        <v>0</v>
      </c>
      <c r="S14" s="341">
        <f t="shared" si="9"/>
        <v>0</v>
      </c>
      <c r="T14" s="341">
        <f t="shared" si="9"/>
        <v>0</v>
      </c>
      <c r="U14" s="341">
        <f t="shared" si="9"/>
        <v>0</v>
      </c>
      <c r="V14" s="341">
        <f t="shared" si="9"/>
        <v>0</v>
      </c>
      <c r="W14" s="341">
        <f t="shared" si="9"/>
        <v>0</v>
      </c>
    </row>
    <row r="15" spans="2:23" s="247" customFormat="1" outlineLevel="1">
      <c r="B15" s="274" t="s">
        <v>608</v>
      </c>
      <c r="C15" s="342"/>
      <c r="D15" s="342"/>
      <c r="E15" s="342"/>
      <c r="F15" s="347">
        <v>2.3E-2</v>
      </c>
      <c r="G15" s="347">
        <f t="shared" ref="G15:M15" si="10">F15</f>
        <v>2.3E-2</v>
      </c>
      <c r="H15" s="347">
        <f t="shared" si="10"/>
        <v>2.3E-2</v>
      </c>
      <c r="I15" s="347">
        <f t="shared" si="10"/>
        <v>2.3E-2</v>
      </c>
      <c r="J15" s="347">
        <f t="shared" si="10"/>
        <v>2.3E-2</v>
      </c>
      <c r="K15" s="347">
        <f t="shared" si="10"/>
        <v>2.3E-2</v>
      </c>
      <c r="L15" s="347">
        <f t="shared" si="10"/>
        <v>2.3E-2</v>
      </c>
      <c r="M15" s="347">
        <f t="shared" si="10"/>
        <v>2.3E-2</v>
      </c>
      <c r="N15" s="347">
        <f t="shared" ref="N15:W15" si="11">M15</f>
        <v>2.3E-2</v>
      </c>
      <c r="O15" s="347">
        <f t="shared" si="11"/>
        <v>2.3E-2</v>
      </c>
      <c r="P15" s="347">
        <f t="shared" si="11"/>
        <v>2.3E-2</v>
      </c>
      <c r="Q15" s="347">
        <f t="shared" si="11"/>
        <v>2.3E-2</v>
      </c>
      <c r="R15" s="347">
        <f t="shared" si="11"/>
        <v>2.3E-2</v>
      </c>
      <c r="S15" s="347">
        <f t="shared" si="11"/>
        <v>2.3E-2</v>
      </c>
      <c r="T15" s="347">
        <f t="shared" si="11"/>
        <v>2.3E-2</v>
      </c>
      <c r="U15" s="347">
        <f t="shared" si="11"/>
        <v>2.3E-2</v>
      </c>
      <c r="V15" s="347">
        <f t="shared" si="11"/>
        <v>2.3E-2</v>
      </c>
      <c r="W15" s="347">
        <f t="shared" si="11"/>
        <v>2.3E-2</v>
      </c>
    </row>
    <row r="16" spans="2:23" s="209" customFormat="1" outlineLevel="1">
      <c r="B16" s="209" t="s">
        <v>609</v>
      </c>
      <c r="C16" s="343"/>
      <c r="D16" s="343"/>
      <c r="E16" s="343"/>
      <c r="F16" s="343">
        <f>F15*AVERAGE(F14,E14)*5/12</f>
        <v>3.82375</v>
      </c>
      <c r="G16" s="343">
        <f>G15*AVERAGE(G14,F14)</f>
        <v>9.202300000000001</v>
      </c>
      <c r="H16" s="343">
        <f t="shared" ref="H16:M16" si="12">H15*AVERAGE(H14,G14)</f>
        <v>9.2333499999999997</v>
      </c>
      <c r="I16" s="343">
        <f t="shared" si="12"/>
        <v>9.2413999999999987</v>
      </c>
      <c r="J16" s="343">
        <f t="shared" si="12"/>
        <v>4.6218499999999993</v>
      </c>
      <c r="K16" s="343">
        <f t="shared" si="12"/>
        <v>0</v>
      </c>
      <c r="L16" s="343">
        <f t="shared" si="12"/>
        <v>0</v>
      </c>
      <c r="M16" s="343">
        <f t="shared" si="12"/>
        <v>0</v>
      </c>
      <c r="N16" s="343">
        <f t="shared" ref="N16:W16" si="13">N15*AVERAGE(N14,M14)</f>
        <v>0</v>
      </c>
      <c r="O16" s="343">
        <f t="shared" si="13"/>
        <v>0</v>
      </c>
      <c r="P16" s="343">
        <f t="shared" si="13"/>
        <v>0</v>
      </c>
      <c r="Q16" s="343">
        <f t="shared" si="13"/>
        <v>0</v>
      </c>
      <c r="R16" s="343">
        <f t="shared" si="13"/>
        <v>0</v>
      </c>
      <c r="S16" s="343">
        <f t="shared" si="13"/>
        <v>0</v>
      </c>
      <c r="T16" s="343">
        <f t="shared" si="13"/>
        <v>0</v>
      </c>
      <c r="U16" s="343">
        <f t="shared" si="13"/>
        <v>0</v>
      </c>
      <c r="V16" s="343">
        <f t="shared" si="13"/>
        <v>0</v>
      </c>
      <c r="W16" s="343">
        <f t="shared" si="13"/>
        <v>0</v>
      </c>
    </row>
    <row r="17" spans="2:23" outlineLevel="1">
      <c r="B17" s="294" t="s">
        <v>610</v>
      </c>
      <c r="C17" s="343"/>
      <c r="D17" s="343"/>
      <c r="E17" s="343"/>
      <c r="F17" s="343">
        <f>F14-E14</f>
        <v>399</v>
      </c>
      <c r="G17" s="343">
        <f>G14-F14</f>
        <v>2.1999999999999886</v>
      </c>
      <c r="H17" s="343"/>
      <c r="I17" s="343"/>
      <c r="J17" s="344">
        <f>-I14</f>
        <v>-401.9</v>
      </c>
      <c r="K17" s="344"/>
    </row>
    <row r="18" spans="2:23">
      <c r="B18" s="294"/>
      <c r="C18" s="343"/>
      <c r="D18" s="343"/>
      <c r="E18" s="343"/>
      <c r="F18" s="343"/>
      <c r="G18" s="343"/>
      <c r="H18" s="343"/>
      <c r="I18" s="343"/>
      <c r="J18" s="344"/>
    </row>
    <row r="19" spans="2:23">
      <c r="B19" s="340" t="s">
        <v>1003</v>
      </c>
      <c r="C19" s="343"/>
      <c r="D19" s="343"/>
      <c r="E19" s="343"/>
      <c r="F19" s="343"/>
      <c r="G19" s="343"/>
      <c r="H19" s="698">
        <v>999.9</v>
      </c>
      <c r="I19" s="755">
        <v>997.9</v>
      </c>
      <c r="J19" s="755">
        <v>0</v>
      </c>
      <c r="K19" s="639">
        <f t="shared" ref="K19" si="14">J19+K22</f>
        <v>0</v>
      </c>
      <c r="L19" s="639">
        <f t="shared" ref="L19" si="15">K19+L22</f>
        <v>0</v>
      </c>
    </row>
    <row r="20" spans="2:23">
      <c r="B20" s="274" t="s">
        <v>608</v>
      </c>
      <c r="C20" s="343"/>
      <c r="D20" s="343"/>
      <c r="E20" s="343"/>
      <c r="F20" s="343"/>
      <c r="G20" s="343"/>
      <c r="H20" s="950">
        <v>2.1250000000000002E-2</v>
      </c>
      <c r="I20" s="950">
        <v>2.1250000000000002E-2</v>
      </c>
      <c r="J20" s="950">
        <v>2.1250000000000002E-2</v>
      </c>
      <c r="K20" s="950">
        <v>2.1250000000000002E-2</v>
      </c>
      <c r="L20" s="950">
        <v>2.1250000000000002E-2</v>
      </c>
      <c r="M20" s="950"/>
      <c r="N20" s="950"/>
      <c r="O20" s="950"/>
      <c r="P20" s="950"/>
      <c r="Q20" s="950"/>
      <c r="R20" s="950"/>
      <c r="S20" s="950"/>
      <c r="T20" s="950"/>
      <c r="U20" s="950"/>
      <c r="V20" s="950"/>
      <c r="W20" s="950"/>
    </row>
    <row r="21" spans="2:23">
      <c r="B21" s="209" t="s">
        <v>609</v>
      </c>
      <c r="C21" s="343"/>
      <c r="D21" s="343"/>
      <c r="E21" s="343"/>
      <c r="F21" s="343"/>
      <c r="G21" s="343"/>
      <c r="H21" s="343">
        <f>H20*H19*0.3</f>
        <v>6.3743625000000002</v>
      </c>
      <c r="I21" s="343">
        <f t="shared" ref="I21" si="16">I20*AVERAGE(I19,H19)</f>
        <v>21.226625000000002</v>
      </c>
      <c r="J21" s="343">
        <f t="shared" ref="J21" si="17">J20*AVERAGE(J19,I19)</f>
        <v>10.6026875</v>
      </c>
      <c r="K21" s="343">
        <f t="shared" ref="K21" si="18">K20*AVERAGE(K19,J19)</f>
        <v>0</v>
      </c>
      <c r="L21" s="343">
        <f t="shared" ref="L21" si="19">L20*AVERAGE(L19,K19)</f>
        <v>0</v>
      </c>
    </row>
    <row r="22" spans="2:23">
      <c r="B22" s="294" t="s">
        <v>610</v>
      </c>
      <c r="C22" s="343"/>
      <c r="D22" s="343"/>
      <c r="E22" s="343"/>
      <c r="F22" s="343"/>
      <c r="G22" s="343"/>
      <c r="H22" s="343"/>
      <c r="I22" s="343"/>
      <c r="J22" s="344"/>
      <c r="K22" s="183">
        <f>-J19</f>
        <v>0</v>
      </c>
      <c r="L22" s="209"/>
    </row>
    <row r="23" spans="2:23">
      <c r="B23" s="294"/>
      <c r="C23" s="343"/>
      <c r="D23" s="343"/>
      <c r="E23" s="343"/>
      <c r="F23" s="343"/>
      <c r="G23" s="343"/>
      <c r="H23" s="343"/>
      <c r="I23" s="343"/>
      <c r="J23" s="344"/>
    </row>
    <row r="24" spans="2:23" s="209" customFormat="1">
      <c r="B24" s="340" t="s">
        <v>810</v>
      </c>
      <c r="C24" s="341"/>
      <c r="D24" s="341"/>
      <c r="E24" s="341"/>
      <c r="F24" s="698"/>
      <c r="G24" s="755">
        <v>502.5</v>
      </c>
      <c r="H24" s="755">
        <v>505.1</v>
      </c>
      <c r="I24" s="698">
        <v>509.3</v>
      </c>
      <c r="J24" s="698">
        <v>505</v>
      </c>
      <c r="K24" s="341">
        <f t="shared" ref="K24:M24" si="20">J24+K27</f>
        <v>505</v>
      </c>
      <c r="L24" s="341">
        <f t="shared" si="20"/>
        <v>0</v>
      </c>
      <c r="M24" s="341">
        <f t="shared" si="20"/>
        <v>0</v>
      </c>
      <c r="N24" s="341">
        <f t="shared" ref="N24:T24" si="21">M24+N27</f>
        <v>0</v>
      </c>
      <c r="O24" s="341">
        <f t="shared" si="21"/>
        <v>0</v>
      </c>
      <c r="P24" s="341">
        <f t="shared" si="21"/>
        <v>0</v>
      </c>
      <c r="Q24" s="341">
        <f t="shared" si="21"/>
        <v>0</v>
      </c>
      <c r="R24" s="341">
        <f t="shared" si="21"/>
        <v>0</v>
      </c>
      <c r="S24" s="341">
        <f t="shared" si="21"/>
        <v>0</v>
      </c>
      <c r="T24" s="341">
        <f t="shared" si="21"/>
        <v>0</v>
      </c>
      <c r="U24" s="341">
        <f>T24+U27</f>
        <v>0</v>
      </c>
      <c r="V24" s="341">
        <f>U24+V27</f>
        <v>0</v>
      </c>
      <c r="W24" s="341">
        <f>V24+W27</f>
        <v>0</v>
      </c>
    </row>
    <row r="25" spans="2:23" s="247" customFormat="1" outlineLevel="1">
      <c r="B25" s="274" t="s">
        <v>608</v>
      </c>
      <c r="C25" s="342"/>
      <c r="D25" s="347"/>
      <c r="E25" s="347"/>
      <c r="F25" s="347"/>
      <c r="G25" s="347">
        <v>2.2499999999999999E-2</v>
      </c>
      <c r="H25" s="347">
        <v>2.2499999999999999E-2</v>
      </c>
      <c r="I25" s="347">
        <v>2.2499999999999999E-2</v>
      </c>
      <c r="J25" s="347">
        <v>2.2499999999999999E-2</v>
      </c>
      <c r="K25" s="347">
        <v>2.2499999999999999E-2</v>
      </c>
      <c r="L25" s="347">
        <v>2.2499999999999999E-2</v>
      </c>
      <c r="M25" s="347">
        <v>2.2499999999999999E-2</v>
      </c>
      <c r="N25" s="347">
        <v>2.2499999999999999E-2</v>
      </c>
      <c r="O25" s="347">
        <v>2.2499999999999999E-2</v>
      </c>
      <c r="P25" s="347">
        <v>2.2499999999999999E-2</v>
      </c>
      <c r="Q25" s="347">
        <v>2.2499999999999999E-2</v>
      </c>
      <c r="R25" s="347">
        <v>2.2499999999999999E-2</v>
      </c>
      <c r="S25" s="347">
        <v>2.2499999999999999E-2</v>
      </c>
      <c r="T25" s="347">
        <v>2.2499999999999999E-2</v>
      </c>
      <c r="U25" s="347">
        <v>2.2499999999999999E-2</v>
      </c>
      <c r="V25" s="347">
        <v>2.2499999999999999E-2</v>
      </c>
      <c r="W25" s="347">
        <v>2.2499999999999999E-2</v>
      </c>
    </row>
    <row r="26" spans="2:23" s="209" customFormat="1" outlineLevel="1">
      <c r="B26" s="209" t="s">
        <v>609</v>
      </c>
      <c r="C26" s="343"/>
      <c r="D26" s="343"/>
      <c r="E26" s="343"/>
      <c r="F26" s="343"/>
      <c r="G26" s="343">
        <f>G25*AVERAGE(G24,F24)*3/4</f>
        <v>8.4796875000000007</v>
      </c>
      <c r="H26" s="343">
        <f t="shared" ref="H26:M26" si="22">H25*AVERAGE(H24,G24)</f>
        <v>11.3355</v>
      </c>
      <c r="I26" s="343">
        <f t="shared" si="22"/>
        <v>11.412000000000001</v>
      </c>
      <c r="J26" s="343">
        <f t="shared" si="22"/>
        <v>11.410874999999999</v>
      </c>
      <c r="K26" s="343">
        <f t="shared" si="22"/>
        <v>11.362499999999999</v>
      </c>
      <c r="L26" s="343">
        <f t="shared" si="22"/>
        <v>5.6812499999999995</v>
      </c>
      <c r="M26" s="343">
        <f t="shared" si="22"/>
        <v>0</v>
      </c>
      <c r="N26" s="343">
        <f t="shared" ref="N26:T26" si="23">N25*AVERAGE(N24,M24)</f>
        <v>0</v>
      </c>
      <c r="O26" s="343">
        <f t="shared" si="23"/>
        <v>0</v>
      </c>
      <c r="P26" s="343">
        <f t="shared" si="23"/>
        <v>0</v>
      </c>
      <c r="Q26" s="343">
        <f t="shared" si="23"/>
        <v>0</v>
      </c>
      <c r="R26" s="343">
        <f t="shared" si="23"/>
        <v>0</v>
      </c>
      <c r="S26" s="343">
        <f t="shared" si="23"/>
        <v>0</v>
      </c>
      <c r="T26" s="343">
        <f t="shared" si="23"/>
        <v>0</v>
      </c>
      <c r="U26" s="343">
        <f>U25*AVERAGE(U24,T24)</f>
        <v>0</v>
      </c>
      <c r="V26" s="343">
        <f>V25*AVERAGE(V24,U24)</f>
        <v>0</v>
      </c>
      <c r="W26" s="343">
        <f>W25*AVERAGE(W24,V24)</f>
        <v>0</v>
      </c>
    </row>
    <row r="27" spans="2:23" s="209" customFormat="1" outlineLevel="1">
      <c r="B27" s="209" t="s">
        <v>610</v>
      </c>
      <c r="C27" s="343"/>
      <c r="D27" s="343"/>
      <c r="E27" s="343"/>
      <c r="F27" s="343"/>
      <c r="G27" s="343"/>
      <c r="H27" s="343"/>
      <c r="I27" s="343"/>
      <c r="J27" s="343"/>
      <c r="L27" s="209">
        <f>-K24</f>
        <v>-505</v>
      </c>
    </row>
    <row r="28" spans="2:23" s="209" customFormat="1">
      <c r="C28" s="343"/>
      <c r="D28" s="343"/>
      <c r="E28" s="343"/>
      <c r="F28" s="343"/>
      <c r="G28" s="343"/>
      <c r="H28" s="343"/>
      <c r="I28" s="343"/>
      <c r="J28" s="343"/>
    </row>
    <row r="29" spans="2:23" s="209" customFormat="1">
      <c r="B29" s="340" t="s">
        <v>612</v>
      </c>
      <c r="C29" s="341">
        <v>498.74900000000002</v>
      </c>
      <c r="D29" s="341">
        <f t="shared" ref="D29:E29" si="24">C29+D32</f>
        <v>498.85399999999998</v>
      </c>
      <c r="E29" s="341">
        <f t="shared" si="24"/>
        <v>498.96499999999997</v>
      </c>
      <c r="F29" s="698">
        <v>484.6</v>
      </c>
      <c r="G29" s="755">
        <v>502.8</v>
      </c>
      <c r="H29" s="698">
        <v>507.1</v>
      </c>
      <c r="I29" s="698">
        <v>518.5</v>
      </c>
      <c r="J29" s="698">
        <v>514</v>
      </c>
      <c r="K29" s="341">
        <f>J29+K32</f>
        <v>514</v>
      </c>
      <c r="L29" s="341">
        <f>K29+L32</f>
        <v>514</v>
      </c>
      <c r="M29" s="341">
        <f>L29+M32</f>
        <v>0</v>
      </c>
      <c r="N29" s="341">
        <f t="shared" ref="N29:S29" si="25">M29+N32</f>
        <v>0</v>
      </c>
      <c r="O29" s="341">
        <f t="shared" si="25"/>
        <v>0</v>
      </c>
      <c r="P29" s="341">
        <f t="shared" si="25"/>
        <v>0</v>
      </c>
      <c r="Q29" s="341">
        <f t="shared" si="25"/>
        <v>0</v>
      </c>
      <c r="R29" s="341">
        <f t="shared" si="25"/>
        <v>0</v>
      </c>
      <c r="S29" s="341">
        <f t="shared" si="25"/>
        <v>0</v>
      </c>
      <c r="T29" s="341">
        <f>S29+T32</f>
        <v>0</v>
      </c>
      <c r="U29" s="341">
        <f>T29+U32</f>
        <v>0</v>
      </c>
      <c r="V29" s="341">
        <f>U29+V32</f>
        <v>0</v>
      </c>
      <c r="W29" s="341">
        <f>V29+W32</f>
        <v>0</v>
      </c>
    </row>
    <row r="30" spans="2:23" s="247" customFormat="1" outlineLevel="1">
      <c r="B30" s="274" t="s">
        <v>608</v>
      </c>
      <c r="C30" s="342"/>
      <c r="D30" s="347">
        <v>3.95E-2</v>
      </c>
      <c r="E30" s="347">
        <v>3.95E-2</v>
      </c>
      <c r="F30" s="347">
        <v>3.95E-2</v>
      </c>
      <c r="G30" s="347">
        <v>3.95E-2</v>
      </c>
      <c r="H30" s="347">
        <v>3.95E-2</v>
      </c>
      <c r="I30" s="347">
        <v>3.95E-2</v>
      </c>
      <c r="J30" s="347">
        <v>3.95E-2</v>
      </c>
      <c r="K30" s="347">
        <v>3.95E-2</v>
      </c>
      <c r="L30" s="347">
        <v>3.95E-2</v>
      </c>
      <c r="M30" s="347">
        <v>3.95E-2</v>
      </c>
      <c r="N30" s="347">
        <v>3.95E-2</v>
      </c>
      <c r="O30" s="347">
        <v>3.95E-2</v>
      </c>
      <c r="P30" s="347">
        <v>3.95E-2</v>
      </c>
      <c r="Q30" s="347">
        <v>3.95E-2</v>
      </c>
      <c r="R30" s="347">
        <v>3.95E-2</v>
      </c>
      <c r="S30" s="347">
        <v>3.95E-2</v>
      </c>
      <c r="T30" s="347">
        <v>3.95E-2</v>
      </c>
      <c r="U30" s="347">
        <v>3.95E-2</v>
      </c>
      <c r="V30" s="347">
        <v>3.95E-2</v>
      </c>
      <c r="W30" s="347">
        <v>3.95E-2</v>
      </c>
    </row>
    <row r="31" spans="2:23" s="209" customFormat="1" outlineLevel="1">
      <c r="B31" s="209" t="s">
        <v>609</v>
      </c>
      <c r="C31" s="343"/>
      <c r="D31" s="343">
        <f t="shared" ref="D31:L31" si="26">D30*AVERAGE(D29,C29)</f>
        <v>19.70265925</v>
      </c>
      <c r="E31" s="343">
        <f t="shared" si="26"/>
        <v>19.706925250000001</v>
      </c>
      <c r="F31" s="343">
        <f t="shared" si="26"/>
        <v>19.425408750000003</v>
      </c>
      <c r="G31" s="343">
        <f t="shared" si="26"/>
        <v>19.501150000000003</v>
      </c>
      <c r="H31" s="343">
        <f t="shared" si="26"/>
        <v>19.945525000000004</v>
      </c>
      <c r="I31" s="343">
        <f t="shared" si="26"/>
        <v>20.255599999999998</v>
      </c>
      <c r="J31" s="343">
        <f t="shared" si="26"/>
        <v>20.391874999999999</v>
      </c>
      <c r="K31" s="343">
        <f t="shared" si="26"/>
        <v>20.303000000000001</v>
      </c>
      <c r="L31" s="343">
        <f t="shared" si="26"/>
        <v>20.303000000000001</v>
      </c>
      <c r="M31" s="343">
        <f>M30*AVERAGE(M29,L29)</f>
        <v>10.1515</v>
      </c>
      <c r="N31" s="343">
        <f t="shared" ref="N31:T31" si="27">N30*AVERAGE(N29,M29)</f>
        <v>0</v>
      </c>
      <c r="O31" s="343">
        <f t="shared" si="27"/>
        <v>0</v>
      </c>
      <c r="P31" s="343">
        <f t="shared" si="27"/>
        <v>0</v>
      </c>
      <c r="Q31" s="343">
        <f t="shared" si="27"/>
        <v>0</v>
      </c>
      <c r="R31" s="343">
        <f t="shared" si="27"/>
        <v>0</v>
      </c>
      <c r="S31" s="343">
        <f t="shared" si="27"/>
        <v>0</v>
      </c>
      <c r="T31" s="343">
        <f t="shared" si="27"/>
        <v>0</v>
      </c>
      <c r="U31" s="343">
        <f>U30*AVERAGE(U29,T29)</f>
        <v>0</v>
      </c>
      <c r="V31" s="343">
        <f>V30*AVERAGE(V29,U29)</f>
        <v>0</v>
      </c>
      <c r="W31" s="343">
        <f>W30*AVERAGE(W29,V29)</f>
        <v>0</v>
      </c>
    </row>
    <row r="32" spans="2:23" s="209" customFormat="1" outlineLevel="1">
      <c r="B32" s="209" t="s">
        <v>610</v>
      </c>
      <c r="C32" s="343"/>
      <c r="D32" s="343">
        <f>498.854-498.749</f>
        <v>0.10499999999996135</v>
      </c>
      <c r="E32" s="343">
        <f>498.965-498.854</f>
        <v>0.11099999999999</v>
      </c>
      <c r="F32" s="343">
        <f>F29-E29</f>
        <v>-14.364999999999952</v>
      </c>
      <c r="G32" s="343">
        <f>G29-F29</f>
        <v>18.199999999999989</v>
      </c>
      <c r="H32" s="343"/>
      <c r="I32" s="343"/>
      <c r="J32" s="343"/>
      <c r="M32" s="209">
        <f>-L29</f>
        <v>-514</v>
      </c>
    </row>
    <row r="33" spans="2:23" s="209" customFormat="1">
      <c r="C33" s="343"/>
      <c r="D33" s="343"/>
      <c r="E33" s="343"/>
      <c r="F33" s="343"/>
      <c r="G33" s="343"/>
      <c r="H33" s="343"/>
      <c r="I33" s="343"/>
      <c r="J33" s="343"/>
    </row>
    <row r="34" spans="2:23" s="209" customFormat="1">
      <c r="B34" s="340" t="s">
        <v>1004</v>
      </c>
      <c r="C34" s="343"/>
      <c r="D34" s="343"/>
      <c r="E34" s="343"/>
      <c r="F34" s="343"/>
      <c r="G34" s="343"/>
      <c r="H34" s="755">
        <v>1497.5</v>
      </c>
      <c r="I34" s="755">
        <v>1492.7</v>
      </c>
      <c r="J34" s="755">
        <v>1495</v>
      </c>
      <c r="K34" s="212">
        <f t="shared" ref="K34:W34" si="28">J34+K37</f>
        <v>1495</v>
      </c>
      <c r="L34" s="212">
        <f t="shared" si="28"/>
        <v>1495</v>
      </c>
      <c r="M34" s="212">
        <f t="shared" si="28"/>
        <v>0</v>
      </c>
      <c r="N34" s="212">
        <f t="shared" si="28"/>
        <v>0</v>
      </c>
      <c r="O34" s="212">
        <f t="shared" si="28"/>
        <v>0</v>
      </c>
      <c r="P34" s="212">
        <f t="shared" si="28"/>
        <v>0</v>
      </c>
      <c r="Q34" s="212">
        <f t="shared" si="28"/>
        <v>0</v>
      </c>
      <c r="R34" s="212">
        <f t="shared" si="28"/>
        <v>0</v>
      </c>
      <c r="S34" s="212">
        <f t="shared" si="28"/>
        <v>0</v>
      </c>
      <c r="T34" s="212">
        <f t="shared" si="28"/>
        <v>0</v>
      </c>
      <c r="U34" s="212">
        <f t="shared" si="28"/>
        <v>0</v>
      </c>
      <c r="V34" s="212">
        <f t="shared" si="28"/>
        <v>0</v>
      </c>
      <c r="W34" s="212">
        <f t="shared" si="28"/>
        <v>0</v>
      </c>
    </row>
    <row r="35" spans="2:23" s="209" customFormat="1" outlineLevel="1">
      <c r="B35" s="274" t="s">
        <v>608</v>
      </c>
      <c r="C35" s="342"/>
      <c r="D35" s="342"/>
      <c r="E35" s="342"/>
      <c r="F35" s="347"/>
      <c r="G35" s="347"/>
      <c r="H35" s="860">
        <v>2.8750000000000001E-2</v>
      </c>
      <c r="I35" s="347">
        <f>H35</f>
        <v>2.8750000000000001E-2</v>
      </c>
      <c r="J35" s="347">
        <f t="shared" ref="J35:W35" si="29">I35</f>
        <v>2.8750000000000001E-2</v>
      </c>
      <c r="K35" s="347">
        <f t="shared" si="29"/>
        <v>2.8750000000000001E-2</v>
      </c>
      <c r="L35" s="347">
        <f t="shared" si="29"/>
        <v>2.8750000000000001E-2</v>
      </c>
      <c r="M35" s="347">
        <f t="shared" si="29"/>
        <v>2.8750000000000001E-2</v>
      </c>
      <c r="N35" s="347">
        <f t="shared" si="29"/>
        <v>2.8750000000000001E-2</v>
      </c>
      <c r="O35" s="347">
        <f t="shared" si="29"/>
        <v>2.8750000000000001E-2</v>
      </c>
      <c r="P35" s="347">
        <f t="shared" si="29"/>
        <v>2.8750000000000001E-2</v>
      </c>
      <c r="Q35" s="347">
        <f t="shared" si="29"/>
        <v>2.8750000000000001E-2</v>
      </c>
      <c r="R35" s="347">
        <f t="shared" si="29"/>
        <v>2.8750000000000001E-2</v>
      </c>
      <c r="S35" s="347">
        <f t="shared" si="29"/>
        <v>2.8750000000000001E-2</v>
      </c>
      <c r="T35" s="347">
        <f t="shared" si="29"/>
        <v>2.8750000000000001E-2</v>
      </c>
      <c r="U35" s="347">
        <f t="shared" si="29"/>
        <v>2.8750000000000001E-2</v>
      </c>
      <c r="V35" s="347">
        <f t="shared" si="29"/>
        <v>2.8750000000000001E-2</v>
      </c>
      <c r="W35" s="347">
        <f t="shared" si="29"/>
        <v>2.8750000000000001E-2</v>
      </c>
    </row>
    <row r="36" spans="2:23" s="209" customFormat="1" outlineLevel="1">
      <c r="B36" s="209" t="s">
        <v>609</v>
      </c>
      <c r="C36" s="343"/>
      <c r="D36" s="343"/>
      <c r="E36" s="343"/>
      <c r="F36" s="343"/>
      <c r="G36" s="343"/>
      <c r="H36" s="343">
        <f>H35*H34*0.3</f>
        <v>12.9159375</v>
      </c>
      <c r="I36" s="343">
        <f t="shared" ref="I36:W36" si="30">I35*AVERAGE(I34,H34)</f>
        <v>42.984124999999999</v>
      </c>
      <c r="J36" s="343">
        <f t="shared" si="30"/>
        <v>42.948187499999996</v>
      </c>
      <c r="K36" s="343">
        <f t="shared" si="30"/>
        <v>42.981250000000003</v>
      </c>
      <c r="L36" s="343">
        <f t="shared" si="30"/>
        <v>42.981250000000003</v>
      </c>
      <c r="M36" s="343">
        <f t="shared" si="30"/>
        <v>21.490625000000001</v>
      </c>
      <c r="N36" s="343">
        <f t="shared" si="30"/>
        <v>0</v>
      </c>
      <c r="O36" s="343">
        <f t="shared" si="30"/>
        <v>0</v>
      </c>
      <c r="P36" s="343">
        <f t="shared" si="30"/>
        <v>0</v>
      </c>
      <c r="Q36" s="343">
        <f t="shared" si="30"/>
        <v>0</v>
      </c>
      <c r="R36" s="343">
        <f t="shared" si="30"/>
        <v>0</v>
      </c>
      <c r="S36" s="343">
        <f t="shared" si="30"/>
        <v>0</v>
      </c>
      <c r="T36" s="343">
        <f t="shared" si="30"/>
        <v>0</v>
      </c>
      <c r="U36" s="343">
        <f t="shared" si="30"/>
        <v>0</v>
      </c>
      <c r="V36" s="343">
        <f t="shared" si="30"/>
        <v>0</v>
      </c>
      <c r="W36" s="343">
        <f t="shared" si="30"/>
        <v>0</v>
      </c>
    </row>
    <row r="37" spans="2:23" s="209" customFormat="1" outlineLevel="1">
      <c r="B37" s="294" t="s">
        <v>610</v>
      </c>
      <c r="C37" s="343"/>
      <c r="D37" s="343"/>
      <c r="E37" s="343"/>
      <c r="F37" s="343"/>
      <c r="G37" s="343"/>
      <c r="H37" s="343">
        <f>H34-G34</f>
        <v>1497.5</v>
      </c>
      <c r="I37" s="343"/>
      <c r="J37" s="343"/>
      <c r="K37" s="183"/>
      <c r="L37" s="183"/>
      <c r="M37" s="209">
        <f>-L34</f>
        <v>-1495</v>
      </c>
      <c r="N37" s="183"/>
      <c r="P37" s="183"/>
      <c r="Q37" s="183"/>
      <c r="R37" s="183"/>
      <c r="S37" s="183"/>
      <c r="T37" s="183"/>
      <c r="U37" s="183"/>
      <c r="V37" s="183"/>
      <c r="W37" s="183"/>
    </row>
    <row r="38" spans="2:23" s="209" customFormat="1">
      <c r="C38" s="343"/>
      <c r="D38" s="343"/>
      <c r="E38" s="343"/>
      <c r="F38" s="343"/>
      <c r="G38" s="343"/>
      <c r="H38" s="343"/>
      <c r="I38" s="343"/>
      <c r="J38" s="343"/>
    </row>
    <row r="39" spans="2:23" s="209" customFormat="1">
      <c r="B39" s="340" t="s">
        <v>1189</v>
      </c>
      <c r="C39" s="1099"/>
      <c r="D39" s="1099"/>
      <c r="E39" s="1099"/>
      <c r="F39" s="1099"/>
      <c r="G39" s="1099"/>
      <c r="H39" s="1099"/>
      <c r="I39" s="1099"/>
      <c r="J39" s="341">
        <v>497</v>
      </c>
      <c r="K39" s="1098">
        <f t="shared" ref="K39" si="31">J39+K42</f>
        <v>497</v>
      </c>
      <c r="L39" s="1098">
        <f t="shared" ref="L39" si="32">K39+L42</f>
        <v>497</v>
      </c>
      <c r="M39" s="1098">
        <f t="shared" ref="M39" si="33">L39+M42</f>
        <v>497</v>
      </c>
      <c r="N39" s="1098">
        <f t="shared" ref="N39" si="34">M39+N42</f>
        <v>0</v>
      </c>
      <c r="O39" s="1098">
        <f t="shared" ref="O39" si="35">N39+O42</f>
        <v>0</v>
      </c>
      <c r="P39" s="1098">
        <f t="shared" ref="P39" si="36">O39+P42</f>
        <v>0</v>
      </c>
      <c r="Q39" s="1098">
        <f t="shared" ref="Q39" si="37">P39+Q42</f>
        <v>0</v>
      </c>
      <c r="R39" s="1098">
        <f t="shared" ref="R39" si="38">Q39+R42</f>
        <v>0</v>
      </c>
      <c r="S39" s="1098">
        <f t="shared" ref="S39" si="39">R39+S42</f>
        <v>0</v>
      </c>
      <c r="T39" s="1098">
        <f t="shared" ref="T39" si="40">S39+T42</f>
        <v>0</v>
      </c>
      <c r="U39" s="1098">
        <f t="shared" ref="U39" si="41">T39+U42</f>
        <v>0</v>
      </c>
      <c r="V39" s="1098">
        <f t="shared" ref="V39" si="42">U39+V42</f>
        <v>0</v>
      </c>
      <c r="W39" s="1098">
        <f t="shared" ref="W39" si="43">V39+W42</f>
        <v>0</v>
      </c>
    </row>
    <row r="40" spans="2:23" s="209" customFormat="1" outlineLevel="1">
      <c r="B40" s="671" t="s">
        <v>608</v>
      </c>
      <c r="C40" s="343"/>
      <c r="D40" s="343"/>
      <c r="E40" s="343"/>
      <c r="F40" s="343"/>
      <c r="G40" s="343"/>
      <c r="H40" s="343"/>
      <c r="I40" s="343"/>
      <c r="J40" s="860">
        <v>2.2499999999999999E-2</v>
      </c>
      <c r="K40" s="1100">
        <f>J40</f>
        <v>2.2499999999999999E-2</v>
      </c>
      <c r="L40" s="1100">
        <f t="shared" ref="L40:W40" si="44">K40</f>
        <v>2.2499999999999999E-2</v>
      </c>
      <c r="M40" s="1100">
        <f t="shared" si="44"/>
        <v>2.2499999999999999E-2</v>
      </c>
      <c r="N40" s="1100">
        <f t="shared" si="44"/>
        <v>2.2499999999999999E-2</v>
      </c>
      <c r="O40" s="1100">
        <f t="shared" si="44"/>
        <v>2.2499999999999999E-2</v>
      </c>
      <c r="P40" s="1100">
        <f t="shared" si="44"/>
        <v>2.2499999999999999E-2</v>
      </c>
      <c r="Q40" s="1100">
        <f t="shared" si="44"/>
        <v>2.2499999999999999E-2</v>
      </c>
      <c r="R40" s="1100">
        <f t="shared" si="44"/>
        <v>2.2499999999999999E-2</v>
      </c>
      <c r="S40" s="1100">
        <f t="shared" si="44"/>
        <v>2.2499999999999999E-2</v>
      </c>
      <c r="T40" s="1100">
        <f t="shared" si="44"/>
        <v>2.2499999999999999E-2</v>
      </c>
      <c r="U40" s="1100">
        <f t="shared" si="44"/>
        <v>2.2499999999999999E-2</v>
      </c>
      <c r="V40" s="1100">
        <f t="shared" si="44"/>
        <v>2.2499999999999999E-2</v>
      </c>
      <c r="W40" s="1100">
        <f t="shared" si="44"/>
        <v>2.2499999999999999E-2</v>
      </c>
    </row>
    <row r="41" spans="2:23" s="209" customFormat="1" outlineLevel="1">
      <c r="B41" s="671" t="s">
        <v>609</v>
      </c>
      <c r="C41" s="343"/>
      <c r="D41" s="343"/>
      <c r="E41" s="343"/>
      <c r="F41" s="343"/>
      <c r="G41" s="343"/>
      <c r="H41" s="343"/>
      <c r="I41" s="343"/>
      <c r="J41" s="343">
        <f t="shared" ref="J41" si="45">J40*AVERAGE(J39,I39)</f>
        <v>11.182499999999999</v>
      </c>
      <c r="K41" s="343">
        <f t="shared" ref="K41" si="46">K40*AVERAGE(K39,J39)</f>
        <v>11.182499999999999</v>
      </c>
      <c r="L41" s="343">
        <f t="shared" ref="L41" si="47">L40*AVERAGE(L39,K39)</f>
        <v>11.182499999999999</v>
      </c>
      <c r="M41" s="343">
        <f t="shared" ref="M41" si="48">M40*AVERAGE(M39,L39)</f>
        <v>11.182499999999999</v>
      </c>
      <c r="N41" s="343">
        <f t="shared" ref="N41" si="49">N40*AVERAGE(N39,M39)</f>
        <v>5.5912499999999996</v>
      </c>
      <c r="O41" s="343">
        <f t="shared" ref="O41" si="50">O40*AVERAGE(O39,N39)</f>
        <v>0</v>
      </c>
      <c r="P41" s="343">
        <f t="shared" ref="P41" si="51">P40*AVERAGE(P39,O39)</f>
        <v>0</v>
      </c>
      <c r="Q41" s="343">
        <f t="shared" ref="Q41" si="52">Q40*AVERAGE(Q39,P39)</f>
        <v>0</v>
      </c>
      <c r="R41" s="343">
        <f t="shared" ref="R41" si="53">R40*AVERAGE(R39,Q39)</f>
        <v>0</v>
      </c>
      <c r="S41" s="343">
        <f t="shared" ref="S41" si="54">S40*AVERAGE(S39,R39)</f>
        <v>0</v>
      </c>
      <c r="T41" s="343">
        <f t="shared" ref="T41" si="55">T40*AVERAGE(T39,S39)</f>
        <v>0</v>
      </c>
      <c r="U41" s="343">
        <f t="shared" ref="U41" si="56">U40*AVERAGE(U39,T39)</f>
        <v>0</v>
      </c>
      <c r="V41" s="343">
        <f t="shared" ref="V41" si="57">V40*AVERAGE(V39,U39)</f>
        <v>0</v>
      </c>
      <c r="W41" s="343">
        <f t="shared" ref="W41" si="58">W40*AVERAGE(W39,V39)</f>
        <v>0</v>
      </c>
    </row>
    <row r="42" spans="2:23" s="209" customFormat="1" outlineLevel="1">
      <c r="B42" s="671" t="s">
        <v>610</v>
      </c>
      <c r="C42" s="343"/>
      <c r="D42" s="343"/>
      <c r="E42" s="343"/>
      <c r="F42" s="343"/>
      <c r="G42" s="343"/>
      <c r="H42" s="343"/>
      <c r="I42" s="343"/>
      <c r="J42" s="343"/>
      <c r="N42" s="209">
        <f>-M39</f>
        <v>-497</v>
      </c>
    </row>
    <row r="43" spans="2:23" s="209" customFormat="1">
      <c r="C43" s="343"/>
      <c r="D43" s="343"/>
      <c r="E43" s="343"/>
      <c r="F43" s="343"/>
      <c r="G43" s="343"/>
      <c r="H43" s="343"/>
      <c r="I43" s="343"/>
      <c r="J43" s="343"/>
    </row>
    <row r="44" spans="2:23" s="209" customFormat="1">
      <c r="B44" s="340" t="s">
        <v>613</v>
      </c>
      <c r="C44" s="341"/>
      <c r="D44" s="341"/>
      <c r="E44" s="341">
        <v>1002.057</v>
      </c>
      <c r="F44" s="698">
        <v>956.6</v>
      </c>
      <c r="G44" s="698">
        <v>1010.2</v>
      </c>
      <c r="H44" s="698">
        <v>1016.1</v>
      </c>
      <c r="I44" s="698">
        <v>1053.5</v>
      </c>
      <c r="J44" s="698">
        <v>1044</v>
      </c>
      <c r="K44" s="341">
        <f t="shared" ref="K44:M44" si="59">J44+K47</f>
        <v>1044</v>
      </c>
      <c r="L44" s="341">
        <f t="shared" si="59"/>
        <v>1044</v>
      </c>
      <c r="M44" s="341">
        <f t="shared" si="59"/>
        <v>1044</v>
      </c>
      <c r="N44" s="341">
        <f t="shared" ref="N44:W44" si="60">M44+N47</f>
        <v>1044</v>
      </c>
      <c r="O44" s="341">
        <f t="shared" si="60"/>
        <v>0</v>
      </c>
      <c r="P44" s="341">
        <f t="shared" si="60"/>
        <v>0</v>
      </c>
      <c r="Q44" s="341">
        <f t="shared" si="60"/>
        <v>0</v>
      </c>
      <c r="R44" s="341">
        <f t="shared" si="60"/>
        <v>0</v>
      </c>
      <c r="S44" s="341">
        <f t="shared" si="60"/>
        <v>0</v>
      </c>
      <c r="T44" s="341">
        <f t="shared" si="60"/>
        <v>0</v>
      </c>
      <c r="U44" s="341">
        <f t="shared" si="60"/>
        <v>0</v>
      </c>
      <c r="V44" s="341">
        <f t="shared" si="60"/>
        <v>0</v>
      </c>
      <c r="W44" s="341">
        <f t="shared" si="60"/>
        <v>0</v>
      </c>
    </row>
    <row r="45" spans="2:23" s="247" customFormat="1" outlineLevel="1">
      <c r="B45" s="274" t="s">
        <v>608</v>
      </c>
      <c r="C45" s="342"/>
      <c r="D45" s="342"/>
      <c r="E45" s="342"/>
      <c r="F45" s="347">
        <v>3.2500000000000001E-2</v>
      </c>
      <c r="G45" s="347">
        <v>3.2500000000000001E-2</v>
      </c>
      <c r="H45" s="347">
        <v>3.2500000000000001E-2</v>
      </c>
      <c r="I45" s="347">
        <v>3.2500000000000001E-2</v>
      </c>
      <c r="J45" s="347">
        <v>3.2500000000000001E-2</v>
      </c>
      <c r="K45" s="347">
        <v>3.2500000000000001E-2</v>
      </c>
      <c r="L45" s="347">
        <v>3.2500000000000001E-2</v>
      </c>
      <c r="M45" s="347">
        <v>3.2500000000000001E-2</v>
      </c>
      <c r="N45" s="347">
        <v>3.2500000000000001E-2</v>
      </c>
      <c r="O45" s="347">
        <v>3.2500000000000001E-2</v>
      </c>
      <c r="P45" s="347">
        <v>3.2500000000000001E-2</v>
      </c>
      <c r="Q45" s="347">
        <v>3.2500000000000001E-2</v>
      </c>
      <c r="R45" s="347">
        <v>3.2500000000000001E-2</v>
      </c>
      <c r="S45" s="347">
        <v>3.2500000000000001E-2</v>
      </c>
      <c r="T45" s="347">
        <v>3.2500000000000001E-2</v>
      </c>
      <c r="U45" s="347">
        <v>3.2500000000000001E-2</v>
      </c>
      <c r="V45" s="347">
        <v>3.2500000000000001E-2</v>
      </c>
      <c r="W45" s="347">
        <v>3.2500000000000001E-2</v>
      </c>
    </row>
    <row r="46" spans="2:23" s="209" customFormat="1" outlineLevel="1">
      <c r="B46" s="209" t="s">
        <v>609</v>
      </c>
      <c r="C46" s="343"/>
      <c r="D46" s="343"/>
      <c r="E46" s="343">
        <f>5+8.1</f>
        <v>13.1</v>
      </c>
      <c r="F46" s="343">
        <f t="shared" ref="F46:M46" si="61">F45*AVERAGE(F44,E44)</f>
        <v>31.828176250000002</v>
      </c>
      <c r="G46" s="343">
        <f t="shared" si="61"/>
        <v>31.960500000000003</v>
      </c>
      <c r="H46" s="343">
        <f t="shared" si="61"/>
        <v>32.927375000000005</v>
      </c>
      <c r="I46" s="343">
        <f t="shared" si="61"/>
        <v>33.631</v>
      </c>
      <c r="J46" s="343">
        <f t="shared" si="61"/>
        <v>34.084375000000001</v>
      </c>
      <c r="K46" s="343">
        <f t="shared" si="61"/>
        <v>33.93</v>
      </c>
      <c r="L46" s="343">
        <f t="shared" si="61"/>
        <v>33.93</v>
      </c>
      <c r="M46" s="343">
        <f t="shared" si="61"/>
        <v>33.93</v>
      </c>
      <c r="N46" s="343">
        <f t="shared" ref="N46:W46" si="62">N45*AVERAGE(N44,M44)</f>
        <v>33.93</v>
      </c>
      <c r="O46" s="343">
        <f t="shared" si="62"/>
        <v>16.965</v>
      </c>
      <c r="P46" s="343">
        <f t="shared" si="62"/>
        <v>0</v>
      </c>
      <c r="Q46" s="343">
        <f t="shared" si="62"/>
        <v>0</v>
      </c>
      <c r="R46" s="343">
        <f t="shared" si="62"/>
        <v>0</v>
      </c>
      <c r="S46" s="343">
        <f t="shared" si="62"/>
        <v>0</v>
      </c>
      <c r="T46" s="343">
        <f t="shared" si="62"/>
        <v>0</v>
      </c>
      <c r="U46" s="343">
        <f t="shared" si="62"/>
        <v>0</v>
      </c>
      <c r="V46" s="343">
        <f t="shared" si="62"/>
        <v>0</v>
      </c>
      <c r="W46" s="343">
        <f t="shared" si="62"/>
        <v>0</v>
      </c>
    </row>
    <row r="47" spans="2:23" outlineLevel="1">
      <c r="B47" s="294" t="s">
        <v>610</v>
      </c>
      <c r="C47" s="343"/>
      <c r="D47" s="343"/>
      <c r="E47" s="343"/>
      <c r="F47" s="343">
        <f>F44-E44</f>
        <v>-45.456999999999994</v>
      </c>
      <c r="G47" s="343">
        <f>G44-F44</f>
        <v>53.600000000000023</v>
      </c>
      <c r="H47" s="343"/>
      <c r="I47" s="343"/>
      <c r="J47" s="343"/>
      <c r="O47" s="209">
        <f>-N44</f>
        <v>-1044</v>
      </c>
    </row>
    <row r="48" spans="2:23">
      <c r="B48" s="294"/>
      <c r="C48" s="343"/>
      <c r="D48" s="343"/>
      <c r="E48" s="343"/>
      <c r="F48" s="343"/>
      <c r="G48" s="343"/>
      <c r="H48" s="343"/>
      <c r="I48" s="343"/>
      <c r="J48" s="343"/>
    </row>
    <row r="49" spans="2:23">
      <c r="B49" s="340" t="s">
        <v>1005</v>
      </c>
      <c r="C49" s="343"/>
      <c r="D49" s="343"/>
      <c r="E49" s="343"/>
      <c r="F49" s="343"/>
      <c r="G49" s="755"/>
      <c r="H49" s="755">
        <v>997.4</v>
      </c>
      <c r="I49" s="755">
        <v>993.5</v>
      </c>
      <c r="J49" s="1097">
        <v>994</v>
      </c>
      <c r="K49" s="212">
        <f t="shared" ref="K49" si="63">J49+K52</f>
        <v>994</v>
      </c>
      <c r="L49" s="212">
        <f t="shared" ref="L49" si="64">K49+L52</f>
        <v>994</v>
      </c>
      <c r="M49" s="212">
        <f t="shared" ref="M49" si="65">L49+M52</f>
        <v>994</v>
      </c>
      <c r="N49" s="212">
        <f t="shared" ref="N49" si="66">M49+N52</f>
        <v>994</v>
      </c>
      <c r="O49" s="212">
        <f t="shared" ref="O49" si="67">N49+O52</f>
        <v>0</v>
      </c>
      <c r="P49" s="212">
        <f t="shared" ref="P49" si="68">O49+P52</f>
        <v>0</v>
      </c>
      <c r="Q49" s="212">
        <f t="shared" ref="Q49" si="69">P49+Q52</f>
        <v>0</v>
      </c>
      <c r="R49" s="212">
        <f t="shared" ref="R49" si="70">Q49+R52</f>
        <v>0</v>
      </c>
      <c r="S49" s="212">
        <f t="shared" ref="S49" si="71">R49+S52</f>
        <v>0</v>
      </c>
      <c r="T49" s="212">
        <f t="shared" ref="T49" si="72">S49+T52</f>
        <v>0</v>
      </c>
      <c r="U49" s="212">
        <f t="shared" ref="U49" si="73">T49+U52</f>
        <v>0</v>
      </c>
      <c r="V49" s="212">
        <f t="shared" ref="V49" si="74">U49+V52</f>
        <v>0</v>
      </c>
      <c r="W49" s="212">
        <f t="shared" ref="W49" si="75">V49+W52</f>
        <v>0</v>
      </c>
    </row>
    <row r="50" spans="2:23" outlineLevel="1">
      <c r="B50" s="274" t="s">
        <v>608</v>
      </c>
      <c r="C50" s="343"/>
      <c r="D50" s="343"/>
      <c r="E50" s="343"/>
      <c r="F50" s="343"/>
      <c r="G50" s="860"/>
      <c r="H50" s="860">
        <v>3.5499999999999997E-2</v>
      </c>
      <c r="I50" s="347">
        <f t="shared" ref="I50" si="76">H50</f>
        <v>3.5499999999999997E-2</v>
      </c>
      <c r="J50" s="347">
        <f t="shared" ref="J50" si="77">I50</f>
        <v>3.5499999999999997E-2</v>
      </c>
      <c r="K50" s="347">
        <f t="shared" ref="K50" si="78">J50</f>
        <v>3.5499999999999997E-2</v>
      </c>
      <c r="L50" s="347">
        <f t="shared" ref="L50" si="79">K50</f>
        <v>3.5499999999999997E-2</v>
      </c>
      <c r="M50" s="347">
        <f t="shared" ref="M50" si="80">L50</f>
        <v>3.5499999999999997E-2</v>
      </c>
      <c r="N50" s="347">
        <f t="shared" ref="N50" si="81">M50</f>
        <v>3.5499999999999997E-2</v>
      </c>
      <c r="O50" s="347">
        <f t="shared" ref="O50" si="82">N50</f>
        <v>3.5499999999999997E-2</v>
      </c>
      <c r="P50" s="347">
        <f t="shared" ref="P50" si="83">O50</f>
        <v>3.5499999999999997E-2</v>
      </c>
      <c r="Q50" s="347">
        <f t="shared" ref="Q50" si="84">P50</f>
        <v>3.5499999999999997E-2</v>
      </c>
      <c r="R50" s="347">
        <f t="shared" ref="R50" si="85">Q50</f>
        <v>3.5499999999999997E-2</v>
      </c>
      <c r="S50" s="347">
        <f t="shared" ref="S50" si="86">R50</f>
        <v>3.5499999999999997E-2</v>
      </c>
      <c r="T50" s="347">
        <f t="shared" ref="T50" si="87">S50</f>
        <v>3.5499999999999997E-2</v>
      </c>
      <c r="U50" s="347">
        <f t="shared" ref="U50" si="88">T50</f>
        <v>3.5499999999999997E-2</v>
      </c>
      <c r="V50" s="347">
        <f t="shared" ref="V50" si="89">U50</f>
        <v>3.5499999999999997E-2</v>
      </c>
      <c r="W50" s="347">
        <f t="shared" ref="W50" si="90">V50</f>
        <v>3.5499999999999997E-2</v>
      </c>
    </row>
    <row r="51" spans="2:23" outlineLevel="1">
      <c r="B51" s="209" t="s">
        <v>609</v>
      </c>
      <c r="C51" s="343"/>
      <c r="D51" s="343"/>
      <c r="E51" s="343"/>
      <c r="F51" s="343"/>
      <c r="G51" s="343"/>
      <c r="H51" s="343">
        <f>H50*H49*0.3</f>
        <v>10.622309999999999</v>
      </c>
      <c r="I51" s="343">
        <f t="shared" ref="I51" si="91">I50*AVERAGE(I49,H49)</f>
        <v>35.338474999999995</v>
      </c>
      <c r="J51" s="343">
        <f t="shared" ref="J51" si="92">J50*AVERAGE(J49,I49)</f>
        <v>35.278124999999996</v>
      </c>
      <c r="K51" s="343">
        <f t="shared" ref="K51" si="93">K50*AVERAGE(K49,J49)</f>
        <v>35.286999999999999</v>
      </c>
      <c r="L51" s="343">
        <f t="shared" ref="L51" si="94">L50*AVERAGE(L49,K49)</f>
        <v>35.286999999999999</v>
      </c>
      <c r="M51" s="343">
        <f t="shared" ref="M51" si="95">M50*AVERAGE(M49,L49)</f>
        <v>35.286999999999999</v>
      </c>
      <c r="N51" s="343">
        <f t="shared" ref="N51" si="96">N50*AVERAGE(N49,M49)</f>
        <v>35.286999999999999</v>
      </c>
      <c r="O51" s="343">
        <f t="shared" ref="O51" si="97">O50*AVERAGE(O49,N49)</f>
        <v>17.6435</v>
      </c>
      <c r="P51" s="343">
        <f t="shared" ref="P51" si="98">P50*AVERAGE(P49,O49)</f>
        <v>0</v>
      </c>
      <c r="Q51" s="343">
        <f t="shared" ref="Q51" si="99">Q50*AVERAGE(Q49,P49)</f>
        <v>0</v>
      </c>
      <c r="R51" s="343">
        <f t="shared" ref="R51" si="100">R50*AVERAGE(R49,Q49)</f>
        <v>0</v>
      </c>
      <c r="S51" s="343">
        <f t="shared" ref="S51" si="101">S50*AVERAGE(S49,R49)</f>
        <v>0</v>
      </c>
      <c r="T51" s="343">
        <f t="shared" ref="T51" si="102">T50*AVERAGE(T49,S49)</f>
        <v>0</v>
      </c>
      <c r="U51" s="343">
        <f t="shared" ref="U51" si="103">U50*AVERAGE(U49,T49)</f>
        <v>0</v>
      </c>
      <c r="V51" s="343">
        <f t="shared" ref="V51" si="104">V50*AVERAGE(V49,U49)</f>
        <v>0</v>
      </c>
      <c r="W51" s="343">
        <f t="shared" ref="W51" si="105">W50*AVERAGE(W49,V49)</f>
        <v>0</v>
      </c>
    </row>
    <row r="52" spans="2:23" outlineLevel="1">
      <c r="B52" s="294" t="s">
        <v>610</v>
      </c>
      <c r="C52" s="343"/>
      <c r="D52" s="343"/>
      <c r="E52" s="343"/>
      <c r="F52" s="343"/>
      <c r="G52" s="343"/>
      <c r="H52" s="343">
        <f>H49-G49</f>
        <v>997.4</v>
      </c>
      <c r="I52" s="343"/>
      <c r="O52" s="209">
        <f>-N49</f>
        <v>-994</v>
      </c>
    </row>
    <row r="53" spans="2:23">
      <c r="B53" s="294"/>
      <c r="C53" s="343"/>
      <c r="D53" s="343"/>
      <c r="E53" s="343"/>
      <c r="F53" s="343"/>
      <c r="G53" s="343"/>
      <c r="H53" s="343"/>
      <c r="I53" s="343"/>
      <c r="J53" s="343"/>
    </row>
    <row r="54" spans="2:23">
      <c r="B54" s="238" t="s">
        <v>1190</v>
      </c>
      <c r="C54" s="341"/>
      <c r="D54" s="341"/>
      <c r="E54" s="341"/>
      <c r="F54" s="341"/>
      <c r="G54" s="341"/>
      <c r="H54" s="341"/>
      <c r="I54" s="341"/>
      <c r="J54" s="341">
        <v>746</v>
      </c>
      <c r="K54" s="1098">
        <f t="shared" ref="K54" si="106">J54+K57</f>
        <v>746</v>
      </c>
      <c r="L54" s="1098">
        <f t="shared" ref="L54" si="107">K54+L57</f>
        <v>746</v>
      </c>
      <c r="M54" s="1098">
        <f t="shared" ref="M54" si="108">L54+M57</f>
        <v>746</v>
      </c>
      <c r="N54" s="1098">
        <f t="shared" ref="N54" si="109">M54+N57</f>
        <v>746</v>
      </c>
      <c r="O54" s="1098">
        <f t="shared" ref="O54" si="110">N54+O57</f>
        <v>746</v>
      </c>
      <c r="P54" s="1098">
        <f t="shared" ref="P54" si="111">O54+P57</f>
        <v>0</v>
      </c>
      <c r="Q54" s="1098">
        <f t="shared" ref="Q54" si="112">P54+Q57</f>
        <v>0</v>
      </c>
      <c r="R54" s="1098">
        <f t="shared" ref="R54" si="113">Q54+R57</f>
        <v>0</v>
      </c>
      <c r="S54" s="1098">
        <f t="shared" ref="S54" si="114">R54+S57</f>
        <v>0</v>
      </c>
      <c r="T54" s="1098">
        <f t="shared" ref="T54" si="115">S54+T57</f>
        <v>0</v>
      </c>
      <c r="U54" s="1098">
        <f t="shared" ref="U54" si="116">T54+U57</f>
        <v>0</v>
      </c>
      <c r="V54" s="1098">
        <f t="shared" ref="V54" si="117">U54+V57</f>
        <v>0</v>
      </c>
      <c r="W54" s="1098">
        <f t="shared" ref="W54" si="118">V54+W57</f>
        <v>0</v>
      </c>
    </row>
    <row r="55" spans="2:23" outlineLevel="1">
      <c r="B55" s="274" t="s">
        <v>608</v>
      </c>
      <c r="C55" s="343"/>
      <c r="D55" s="343"/>
      <c r="E55" s="343"/>
      <c r="F55" s="343"/>
      <c r="G55" s="343"/>
      <c r="H55" s="343"/>
      <c r="I55" s="343"/>
      <c r="J55" s="860">
        <v>2.75E-2</v>
      </c>
      <c r="K55" s="1100">
        <f>J55</f>
        <v>2.75E-2</v>
      </c>
      <c r="L55" s="1100">
        <f t="shared" ref="L55:W55" si="119">K55</f>
        <v>2.75E-2</v>
      </c>
      <c r="M55" s="1100">
        <f t="shared" si="119"/>
        <v>2.75E-2</v>
      </c>
      <c r="N55" s="1100">
        <f t="shared" si="119"/>
        <v>2.75E-2</v>
      </c>
      <c r="O55" s="1100">
        <f t="shared" si="119"/>
        <v>2.75E-2</v>
      </c>
      <c r="P55" s="1100">
        <f t="shared" si="119"/>
        <v>2.75E-2</v>
      </c>
      <c r="Q55" s="1100">
        <f t="shared" si="119"/>
        <v>2.75E-2</v>
      </c>
      <c r="R55" s="1100">
        <f t="shared" si="119"/>
        <v>2.75E-2</v>
      </c>
      <c r="S55" s="1100">
        <f t="shared" si="119"/>
        <v>2.75E-2</v>
      </c>
      <c r="T55" s="1100">
        <f t="shared" si="119"/>
        <v>2.75E-2</v>
      </c>
      <c r="U55" s="1100">
        <f t="shared" si="119"/>
        <v>2.75E-2</v>
      </c>
      <c r="V55" s="1100">
        <f t="shared" si="119"/>
        <v>2.75E-2</v>
      </c>
      <c r="W55" s="1100">
        <f t="shared" si="119"/>
        <v>2.75E-2</v>
      </c>
    </row>
    <row r="56" spans="2:23" outlineLevel="1">
      <c r="B56" s="209" t="s">
        <v>609</v>
      </c>
      <c r="C56" s="343"/>
      <c r="D56" s="343"/>
      <c r="E56" s="343"/>
      <c r="F56" s="343"/>
      <c r="G56" s="343"/>
      <c r="H56" s="343"/>
      <c r="I56" s="343"/>
      <c r="J56" s="343">
        <f t="shared" ref="J56" si="120">J55*AVERAGE(J54,I54)</f>
        <v>20.515000000000001</v>
      </c>
      <c r="K56" s="343">
        <f t="shared" ref="K56" si="121">K55*AVERAGE(K54,J54)</f>
        <v>20.515000000000001</v>
      </c>
      <c r="L56" s="343">
        <f t="shared" ref="L56" si="122">L55*AVERAGE(L54,K54)</f>
        <v>20.515000000000001</v>
      </c>
      <c r="M56" s="343">
        <f t="shared" ref="M56" si="123">M55*AVERAGE(M54,L54)</f>
        <v>20.515000000000001</v>
      </c>
      <c r="N56" s="343">
        <f t="shared" ref="N56" si="124">N55*AVERAGE(N54,M54)</f>
        <v>20.515000000000001</v>
      </c>
      <c r="O56" s="343">
        <f t="shared" ref="O56" si="125">O55*AVERAGE(O54,N54)</f>
        <v>20.515000000000001</v>
      </c>
      <c r="P56" s="343">
        <f t="shared" ref="P56" si="126">P55*AVERAGE(P54,O54)</f>
        <v>10.2575</v>
      </c>
      <c r="Q56" s="343">
        <f t="shared" ref="Q56" si="127">Q55*AVERAGE(Q54,P54)</f>
        <v>0</v>
      </c>
      <c r="R56" s="343">
        <f t="shared" ref="R56" si="128">R55*AVERAGE(R54,Q54)</f>
        <v>0</v>
      </c>
      <c r="S56" s="343">
        <f t="shared" ref="S56" si="129">S55*AVERAGE(S54,R54)</f>
        <v>0</v>
      </c>
      <c r="T56" s="343">
        <f t="shared" ref="T56" si="130">T55*AVERAGE(T54,S54)</f>
        <v>0</v>
      </c>
      <c r="U56" s="343">
        <f t="shared" ref="U56" si="131">U55*AVERAGE(U54,T54)</f>
        <v>0</v>
      </c>
      <c r="V56" s="343">
        <f t="shared" ref="V56" si="132">V55*AVERAGE(V54,U54)</f>
        <v>0</v>
      </c>
      <c r="W56" s="343">
        <f t="shared" ref="W56" si="133">W55*AVERAGE(W54,V54)</f>
        <v>0</v>
      </c>
    </row>
    <row r="57" spans="2:23" outlineLevel="1">
      <c r="B57" s="294" t="s">
        <v>610</v>
      </c>
      <c r="C57" s="343"/>
      <c r="D57" s="343"/>
      <c r="E57" s="343"/>
      <c r="F57" s="343"/>
      <c r="G57" s="343"/>
      <c r="H57" s="343"/>
      <c r="I57" s="343"/>
      <c r="J57" s="343"/>
      <c r="P57" s="1101">
        <f>-O54</f>
        <v>-746</v>
      </c>
    </row>
    <row r="58" spans="2:23">
      <c r="B58" s="294"/>
      <c r="C58" s="343"/>
      <c r="D58" s="343"/>
      <c r="E58" s="343"/>
      <c r="F58" s="343"/>
      <c r="G58" s="343"/>
      <c r="H58" s="343"/>
      <c r="I58" s="343"/>
      <c r="J58" s="343"/>
    </row>
    <row r="59" spans="2:23" s="209" customFormat="1">
      <c r="B59" s="340" t="s">
        <v>770</v>
      </c>
      <c r="C59" s="341"/>
      <c r="D59" s="341"/>
      <c r="E59" s="341"/>
      <c r="F59" s="698">
        <v>696.3</v>
      </c>
      <c r="G59" s="698">
        <v>708.5</v>
      </c>
      <c r="H59" s="698">
        <v>710.3</v>
      </c>
      <c r="I59" s="698">
        <v>743.5</v>
      </c>
      <c r="J59" s="698">
        <v>737</v>
      </c>
      <c r="K59" s="341">
        <f t="shared" ref="K59:M59" si="134">J59+K62</f>
        <v>737</v>
      </c>
      <c r="L59" s="341">
        <f t="shared" si="134"/>
        <v>737</v>
      </c>
      <c r="M59" s="341">
        <f t="shared" si="134"/>
        <v>737</v>
      </c>
      <c r="N59" s="341">
        <f t="shared" ref="N59:S59" si="135">M59+N62</f>
        <v>737</v>
      </c>
      <c r="O59" s="341">
        <f t="shared" si="135"/>
        <v>737</v>
      </c>
      <c r="P59" s="341">
        <f t="shared" si="135"/>
        <v>0</v>
      </c>
      <c r="Q59" s="341">
        <f t="shared" si="135"/>
        <v>0</v>
      </c>
      <c r="R59" s="341">
        <f t="shared" si="135"/>
        <v>0</v>
      </c>
      <c r="S59" s="341">
        <f t="shared" si="135"/>
        <v>0</v>
      </c>
      <c r="T59" s="341">
        <f>S59+T62</f>
        <v>0</v>
      </c>
      <c r="U59" s="341">
        <f>T59+U62</f>
        <v>0</v>
      </c>
      <c r="V59" s="341">
        <f>U59+V62</f>
        <v>0</v>
      </c>
      <c r="W59" s="341">
        <f>V59+W62</f>
        <v>0</v>
      </c>
    </row>
    <row r="60" spans="2:23" s="247" customFormat="1" outlineLevel="1">
      <c r="B60" s="274" t="s">
        <v>608</v>
      </c>
      <c r="C60" s="342"/>
      <c r="D60" s="347"/>
      <c r="E60" s="347"/>
      <c r="F60" s="347">
        <v>0.04</v>
      </c>
      <c r="G60" s="347">
        <f t="shared" ref="G60:M60" si="136">F60</f>
        <v>0.04</v>
      </c>
      <c r="H60" s="347">
        <f t="shared" si="136"/>
        <v>0.04</v>
      </c>
      <c r="I60" s="347">
        <f t="shared" si="136"/>
        <v>0.04</v>
      </c>
      <c r="J60" s="347">
        <f t="shared" si="136"/>
        <v>0.04</v>
      </c>
      <c r="K60" s="347">
        <f t="shared" si="136"/>
        <v>0.04</v>
      </c>
      <c r="L60" s="347">
        <f t="shared" si="136"/>
        <v>0.04</v>
      </c>
      <c r="M60" s="347">
        <f t="shared" si="136"/>
        <v>0.04</v>
      </c>
      <c r="N60" s="347">
        <f t="shared" ref="N60:W60" si="137">M60</f>
        <v>0.04</v>
      </c>
      <c r="O60" s="347">
        <f t="shared" si="137"/>
        <v>0.04</v>
      </c>
      <c r="P60" s="347">
        <f t="shared" si="137"/>
        <v>0.04</v>
      </c>
      <c r="Q60" s="347">
        <f t="shared" si="137"/>
        <v>0.04</v>
      </c>
      <c r="R60" s="347">
        <f t="shared" si="137"/>
        <v>0.04</v>
      </c>
      <c r="S60" s="347">
        <f t="shared" si="137"/>
        <v>0.04</v>
      </c>
      <c r="T60" s="347">
        <f t="shared" si="137"/>
        <v>0.04</v>
      </c>
      <c r="U60" s="347">
        <f t="shared" si="137"/>
        <v>0.04</v>
      </c>
      <c r="V60" s="347">
        <f t="shared" si="137"/>
        <v>0.04</v>
      </c>
      <c r="W60" s="347">
        <f t="shared" si="137"/>
        <v>0.04</v>
      </c>
    </row>
    <row r="61" spans="2:23" s="209" customFormat="1" outlineLevel="1">
      <c r="B61" s="209" t="s">
        <v>609</v>
      </c>
      <c r="C61" s="343"/>
      <c r="D61" s="343"/>
      <c r="E61" s="343"/>
      <c r="F61" s="343">
        <f>F60*AVERAGE(F59,E59)*5/12</f>
        <v>11.604999999999999</v>
      </c>
      <c r="G61" s="343">
        <f t="shared" ref="G61:M61" si="138">G60*AVERAGE(G59,F59)</f>
        <v>28.096</v>
      </c>
      <c r="H61" s="343">
        <f t="shared" si="138"/>
        <v>28.376000000000001</v>
      </c>
      <c r="I61" s="343">
        <f t="shared" si="138"/>
        <v>29.076000000000001</v>
      </c>
      <c r="J61" s="343">
        <f t="shared" si="138"/>
        <v>29.61</v>
      </c>
      <c r="K61" s="343">
        <f t="shared" si="138"/>
        <v>29.48</v>
      </c>
      <c r="L61" s="343">
        <f t="shared" si="138"/>
        <v>29.48</v>
      </c>
      <c r="M61" s="343">
        <f t="shared" si="138"/>
        <v>29.48</v>
      </c>
      <c r="N61" s="343">
        <f t="shared" ref="N61:W61" si="139">N60*AVERAGE(N59,M59)</f>
        <v>29.48</v>
      </c>
      <c r="O61" s="343">
        <f t="shared" si="139"/>
        <v>29.48</v>
      </c>
      <c r="P61" s="343">
        <f t="shared" si="139"/>
        <v>14.74</v>
      </c>
      <c r="Q61" s="343">
        <f t="shared" si="139"/>
        <v>0</v>
      </c>
      <c r="R61" s="343">
        <f t="shared" si="139"/>
        <v>0</v>
      </c>
      <c r="S61" s="343">
        <f t="shared" si="139"/>
        <v>0</v>
      </c>
      <c r="T61" s="343">
        <f t="shared" si="139"/>
        <v>0</v>
      </c>
      <c r="U61" s="343">
        <f t="shared" si="139"/>
        <v>0</v>
      </c>
      <c r="V61" s="343">
        <f t="shared" si="139"/>
        <v>0</v>
      </c>
      <c r="W61" s="343">
        <f t="shared" si="139"/>
        <v>0</v>
      </c>
    </row>
    <row r="62" spans="2:23" s="209" customFormat="1" outlineLevel="1">
      <c r="B62" s="209" t="s">
        <v>610</v>
      </c>
      <c r="C62" s="343"/>
      <c r="D62" s="343"/>
      <c r="E62" s="343"/>
      <c r="F62" s="343"/>
      <c r="G62" s="343">
        <f>G59-F59</f>
        <v>12.200000000000045</v>
      </c>
      <c r="H62" s="343"/>
      <c r="I62" s="343"/>
      <c r="J62" s="343"/>
      <c r="P62" s="209">
        <f>-O59</f>
        <v>-737</v>
      </c>
    </row>
    <row r="63" spans="2:23" s="209" customFormat="1">
      <c r="C63" s="343"/>
      <c r="D63" s="343"/>
      <c r="E63" s="343"/>
      <c r="F63" s="343"/>
      <c r="G63" s="343"/>
      <c r="H63" s="343"/>
      <c r="I63" s="343"/>
      <c r="J63" s="343"/>
    </row>
    <row r="64" spans="2:23" s="209" customFormat="1">
      <c r="B64" s="340" t="s">
        <v>809</v>
      </c>
      <c r="C64" s="341"/>
      <c r="D64" s="341"/>
      <c r="E64" s="341"/>
      <c r="F64" s="698"/>
      <c r="G64" s="698">
        <v>996.8</v>
      </c>
      <c r="H64" s="698">
        <v>1001.7</v>
      </c>
      <c r="I64" s="698">
        <v>1001</v>
      </c>
      <c r="J64" s="698">
        <v>1001</v>
      </c>
      <c r="K64" s="341">
        <f t="shared" ref="K64:M64" si="140">J64+K67</f>
        <v>1001</v>
      </c>
      <c r="L64" s="341">
        <f t="shared" si="140"/>
        <v>1001</v>
      </c>
      <c r="M64" s="341">
        <f t="shared" si="140"/>
        <v>1001</v>
      </c>
      <c r="N64" s="341">
        <f t="shared" ref="N64:T64" si="141">M64+N67</f>
        <v>1001</v>
      </c>
      <c r="O64" s="341">
        <f t="shared" si="141"/>
        <v>1001</v>
      </c>
      <c r="P64" s="341">
        <f t="shared" si="141"/>
        <v>1001</v>
      </c>
      <c r="Q64" s="341">
        <f t="shared" si="141"/>
        <v>0</v>
      </c>
      <c r="R64" s="341">
        <f t="shared" si="141"/>
        <v>0</v>
      </c>
      <c r="S64" s="341">
        <f t="shared" si="141"/>
        <v>0</v>
      </c>
      <c r="T64" s="341">
        <f t="shared" si="141"/>
        <v>0</v>
      </c>
      <c r="U64" s="341">
        <f>T64+U67</f>
        <v>0</v>
      </c>
      <c r="V64" s="341">
        <f>U64+V67</f>
        <v>0</v>
      </c>
      <c r="W64" s="341">
        <f>V64+W67</f>
        <v>0</v>
      </c>
    </row>
    <row r="65" spans="2:23" s="247" customFormat="1" outlineLevel="1">
      <c r="B65" s="274" t="s">
        <v>608</v>
      </c>
      <c r="C65" s="342"/>
      <c r="D65" s="347"/>
      <c r="E65" s="347"/>
      <c r="F65" s="347"/>
      <c r="G65" s="347">
        <v>3.6249999999999998E-2</v>
      </c>
      <c r="H65" s="347">
        <f>G65</f>
        <v>3.6249999999999998E-2</v>
      </c>
      <c r="I65" s="347">
        <f t="shared" ref="I65:W65" si="142">H65</f>
        <v>3.6249999999999998E-2</v>
      </c>
      <c r="J65" s="347">
        <f t="shared" si="142"/>
        <v>3.6249999999999998E-2</v>
      </c>
      <c r="K65" s="347">
        <f t="shared" si="142"/>
        <v>3.6249999999999998E-2</v>
      </c>
      <c r="L65" s="347">
        <f t="shared" si="142"/>
        <v>3.6249999999999998E-2</v>
      </c>
      <c r="M65" s="347">
        <f t="shared" si="142"/>
        <v>3.6249999999999998E-2</v>
      </c>
      <c r="N65" s="347">
        <f t="shared" si="142"/>
        <v>3.6249999999999998E-2</v>
      </c>
      <c r="O65" s="347">
        <f t="shared" si="142"/>
        <v>3.6249999999999998E-2</v>
      </c>
      <c r="P65" s="347">
        <f t="shared" si="142"/>
        <v>3.6249999999999998E-2</v>
      </c>
      <c r="Q65" s="347">
        <f t="shared" si="142"/>
        <v>3.6249999999999998E-2</v>
      </c>
      <c r="R65" s="347">
        <f t="shared" si="142"/>
        <v>3.6249999999999998E-2</v>
      </c>
      <c r="S65" s="347">
        <f t="shared" si="142"/>
        <v>3.6249999999999998E-2</v>
      </c>
      <c r="T65" s="347">
        <f t="shared" si="142"/>
        <v>3.6249999999999998E-2</v>
      </c>
      <c r="U65" s="347">
        <f t="shared" si="142"/>
        <v>3.6249999999999998E-2</v>
      </c>
      <c r="V65" s="347">
        <f t="shared" si="142"/>
        <v>3.6249999999999998E-2</v>
      </c>
      <c r="W65" s="347">
        <f t="shared" si="142"/>
        <v>3.6249999999999998E-2</v>
      </c>
    </row>
    <row r="66" spans="2:23" s="209" customFormat="1" outlineLevel="1">
      <c r="B66" s="209" t="s">
        <v>609</v>
      </c>
      <c r="C66" s="343"/>
      <c r="D66" s="343"/>
      <c r="E66" s="343"/>
      <c r="F66" s="343"/>
      <c r="G66" s="343">
        <f>G65*AVERAGE(G64,F64)*3/4</f>
        <v>27.100499999999997</v>
      </c>
      <c r="H66" s="343">
        <f t="shared" ref="H66:W66" si="143">H65*AVERAGE(H64,G64)</f>
        <v>36.222812499999996</v>
      </c>
      <c r="I66" s="343">
        <f t="shared" si="143"/>
        <v>36.298937500000001</v>
      </c>
      <c r="J66" s="343">
        <f t="shared" si="143"/>
        <v>36.286249999999995</v>
      </c>
      <c r="K66" s="343">
        <f t="shared" si="143"/>
        <v>36.286249999999995</v>
      </c>
      <c r="L66" s="343">
        <f t="shared" si="143"/>
        <v>36.286249999999995</v>
      </c>
      <c r="M66" s="343">
        <f t="shared" si="143"/>
        <v>36.286249999999995</v>
      </c>
      <c r="N66" s="343">
        <f t="shared" si="143"/>
        <v>36.286249999999995</v>
      </c>
      <c r="O66" s="343">
        <f t="shared" si="143"/>
        <v>36.286249999999995</v>
      </c>
      <c r="P66" s="343">
        <f t="shared" si="143"/>
        <v>36.286249999999995</v>
      </c>
      <c r="Q66" s="343">
        <f t="shared" si="143"/>
        <v>18.143124999999998</v>
      </c>
      <c r="R66" s="343">
        <f t="shared" si="143"/>
        <v>0</v>
      </c>
      <c r="S66" s="343">
        <f t="shared" si="143"/>
        <v>0</v>
      </c>
      <c r="T66" s="343">
        <f t="shared" si="143"/>
        <v>0</v>
      </c>
      <c r="U66" s="343">
        <f t="shared" si="143"/>
        <v>0</v>
      </c>
      <c r="V66" s="343">
        <f t="shared" si="143"/>
        <v>0</v>
      </c>
      <c r="W66" s="343">
        <f t="shared" si="143"/>
        <v>0</v>
      </c>
    </row>
    <row r="67" spans="2:23" s="209" customFormat="1" outlineLevel="1">
      <c r="B67" s="209" t="s">
        <v>610</v>
      </c>
      <c r="C67" s="343"/>
      <c r="D67" s="343"/>
      <c r="E67" s="343"/>
      <c r="F67" s="343"/>
      <c r="G67" s="343">
        <f>G64-F64</f>
        <v>996.8</v>
      </c>
      <c r="H67" s="343"/>
      <c r="I67" s="343"/>
      <c r="J67" s="343"/>
      <c r="Q67" s="209">
        <f>-P64</f>
        <v>-1001</v>
      </c>
    </row>
    <row r="68" spans="2:23" s="209" customFormat="1">
      <c r="C68" s="343"/>
      <c r="D68" s="343"/>
      <c r="E68" s="343"/>
      <c r="F68" s="343"/>
      <c r="G68" s="343"/>
      <c r="H68" s="343"/>
      <c r="I68" s="343"/>
      <c r="J68" s="343"/>
    </row>
    <row r="69" spans="2:23" s="209" customFormat="1">
      <c r="B69" s="340" t="s">
        <v>1006</v>
      </c>
      <c r="C69" s="343"/>
      <c r="D69" s="343"/>
      <c r="E69" s="343"/>
      <c r="F69" s="343"/>
      <c r="G69" s="343"/>
      <c r="H69" s="698">
        <v>2475.6</v>
      </c>
      <c r="I69" s="698">
        <v>2475.3000000000002</v>
      </c>
      <c r="J69" s="698">
        <v>2478</v>
      </c>
      <c r="K69" s="340">
        <f t="shared" ref="K69:W69" si="144">J69+K72</f>
        <v>2478</v>
      </c>
      <c r="L69" s="340">
        <f t="shared" si="144"/>
        <v>2478</v>
      </c>
      <c r="M69" s="340">
        <f t="shared" si="144"/>
        <v>2478</v>
      </c>
      <c r="N69" s="340">
        <f t="shared" si="144"/>
        <v>2478</v>
      </c>
      <c r="O69" s="340">
        <f t="shared" si="144"/>
        <v>2478</v>
      </c>
      <c r="P69" s="340">
        <f t="shared" si="144"/>
        <v>2478</v>
      </c>
      <c r="Q69" s="340">
        <f t="shared" si="144"/>
        <v>2478</v>
      </c>
      <c r="R69" s="340">
        <f t="shared" si="144"/>
        <v>0</v>
      </c>
      <c r="S69" s="340">
        <f t="shared" si="144"/>
        <v>0</v>
      </c>
      <c r="T69" s="340">
        <f t="shared" si="144"/>
        <v>0</v>
      </c>
      <c r="U69" s="340">
        <f t="shared" si="144"/>
        <v>0</v>
      </c>
      <c r="V69" s="340">
        <f t="shared" si="144"/>
        <v>0</v>
      </c>
      <c r="W69" s="340">
        <f t="shared" si="144"/>
        <v>0</v>
      </c>
    </row>
    <row r="70" spans="2:23" s="209" customFormat="1" outlineLevel="1">
      <c r="B70" s="274" t="s">
        <v>608</v>
      </c>
      <c r="C70" s="342"/>
      <c r="D70" s="347"/>
      <c r="E70" s="347"/>
      <c r="F70" s="347"/>
      <c r="G70" s="347"/>
      <c r="H70" s="860">
        <v>3.875E-2</v>
      </c>
      <c r="I70" s="347">
        <f t="shared" ref="I70:W70" si="145">H70</f>
        <v>3.875E-2</v>
      </c>
      <c r="J70" s="347">
        <f t="shared" si="145"/>
        <v>3.875E-2</v>
      </c>
      <c r="K70" s="347">
        <f t="shared" si="145"/>
        <v>3.875E-2</v>
      </c>
      <c r="L70" s="347">
        <f t="shared" si="145"/>
        <v>3.875E-2</v>
      </c>
      <c r="M70" s="347">
        <f t="shared" si="145"/>
        <v>3.875E-2</v>
      </c>
      <c r="N70" s="347">
        <f t="shared" si="145"/>
        <v>3.875E-2</v>
      </c>
      <c r="O70" s="347">
        <f t="shared" si="145"/>
        <v>3.875E-2</v>
      </c>
      <c r="P70" s="347">
        <f t="shared" si="145"/>
        <v>3.875E-2</v>
      </c>
      <c r="Q70" s="347">
        <f t="shared" si="145"/>
        <v>3.875E-2</v>
      </c>
      <c r="R70" s="347">
        <f t="shared" si="145"/>
        <v>3.875E-2</v>
      </c>
      <c r="S70" s="347">
        <f t="shared" si="145"/>
        <v>3.875E-2</v>
      </c>
      <c r="T70" s="347">
        <f t="shared" si="145"/>
        <v>3.875E-2</v>
      </c>
      <c r="U70" s="347">
        <f t="shared" si="145"/>
        <v>3.875E-2</v>
      </c>
      <c r="V70" s="347">
        <f t="shared" si="145"/>
        <v>3.875E-2</v>
      </c>
      <c r="W70" s="347">
        <f t="shared" si="145"/>
        <v>3.875E-2</v>
      </c>
    </row>
    <row r="71" spans="2:23" s="209" customFormat="1" outlineLevel="1">
      <c r="B71" s="209" t="s">
        <v>609</v>
      </c>
      <c r="C71" s="343"/>
      <c r="D71" s="343"/>
      <c r="E71" s="343"/>
      <c r="F71" s="343"/>
      <c r="G71" s="343"/>
      <c r="H71" s="343">
        <f>H70*H69*0.3</f>
        <v>28.778849999999995</v>
      </c>
      <c r="I71" s="343">
        <f t="shared" ref="I71:W71" si="146">I70*AVERAGE(I69,H69)</f>
        <v>95.923687499999986</v>
      </c>
      <c r="J71" s="343">
        <f t="shared" si="146"/>
        <v>95.970187500000009</v>
      </c>
      <c r="K71" s="343">
        <f t="shared" si="146"/>
        <v>96.022499999999994</v>
      </c>
      <c r="L71" s="343">
        <f t="shared" si="146"/>
        <v>96.022499999999994</v>
      </c>
      <c r="M71" s="343">
        <f t="shared" si="146"/>
        <v>96.022499999999994</v>
      </c>
      <c r="N71" s="343">
        <f t="shared" si="146"/>
        <v>96.022499999999994</v>
      </c>
      <c r="O71" s="343">
        <f t="shared" si="146"/>
        <v>96.022499999999994</v>
      </c>
      <c r="P71" s="343">
        <f t="shared" si="146"/>
        <v>96.022499999999994</v>
      </c>
      <c r="Q71" s="343">
        <f t="shared" si="146"/>
        <v>96.022499999999994</v>
      </c>
      <c r="R71" s="343">
        <f t="shared" si="146"/>
        <v>48.011249999999997</v>
      </c>
      <c r="S71" s="343">
        <f t="shared" si="146"/>
        <v>0</v>
      </c>
      <c r="T71" s="343">
        <f t="shared" si="146"/>
        <v>0</v>
      </c>
      <c r="U71" s="343">
        <f t="shared" si="146"/>
        <v>0</v>
      </c>
      <c r="V71" s="343">
        <f t="shared" si="146"/>
        <v>0</v>
      </c>
      <c r="W71" s="343">
        <f t="shared" si="146"/>
        <v>0</v>
      </c>
    </row>
    <row r="72" spans="2:23" s="209" customFormat="1" outlineLevel="1">
      <c r="B72" s="209" t="s">
        <v>610</v>
      </c>
      <c r="C72" s="343"/>
      <c r="D72" s="343"/>
      <c r="E72" s="343"/>
      <c r="F72" s="343"/>
      <c r="G72" s="343"/>
      <c r="H72" s="343">
        <f>H69-G69</f>
        <v>2475.6</v>
      </c>
      <c r="I72" s="343"/>
      <c r="J72" s="343"/>
      <c r="R72" s="209">
        <f>-Q69</f>
        <v>-2478</v>
      </c>
    </row>
    <row r="73" spans="2:23" s="209" customFormat="1">
      <c r="C73" s="343"/>
      <c r="D73" s="343"/>
      <c r="E73" s="343"/>
      <c r="F73" s="343"/>
      <c r="G73" s="343"/>
      <c r="H73" s="343"/>
      <c r="I73" s="343"/>
      <c r="J73" s="343"/>
    </row>
    <row r="74" spans="2:23" s="209" customFormat="1">
      <c r="B74" s="340" t="s">
        <v>1191</v>
      </c>
      <c r="C74" s="1099"/>
      <c r="D74" s="1099"/>
      <c r="E74" s="1099"/>
      <c r="F74" s="1099"/>
      <c r="G74" s="1099"/>
      <c r="H74" s="1099"/>
      <c r="I74" s="1099"/>
      <c r="J74" s="341">
        <v>991</v>
      </c>
      <c r="K74" s="1098">
        <f t="shared" ref="K74" si="147">J74+K77</f>
        <v>991</v>
      </c>
      <c r="L74" s="1098">
        <f t="shared" ref="L74" si="148">K74+L77</f>
        <v>991</v>
      </c>
      <c r="M74" s="1098">
        <f t="shared" ref="M74" si="149">L74+M77</f>
        <v>991</v>
      </c>
      <c r="N74" s="1098">
        <f t="shared" ref="N74" si="150">M74+N77</f>
        <v>991</v>
      </c>
      <c r="O74" s="1098">
        <f t="shared" ref="O74" si="151">N74+O77</f>
        <v>991</v>
      </c>
      <c r="P74" s="1098">
        <f t="shared" ref="P74" si="152">O74+P77</f>
        <v>991</v>
      </c>
      <c r="Q74" s="1098">
        <f t="shared" ref="Q74" si="153">P74+Q77</f>
        <v>991</v>
      </c>
      <c r="R74" s="1098">
        <f t="shared" ref="R74" si="154">Q74+R77</f>
        <v>991</v>
      </c>
      <c r="S74" s="1098">
        <f t="shared" ref="S74" si="155">R74+S77</f>
        <v>991</v>
      </c>
      <c r="T74" s="1098">
        <f t="shared" ref="T74" si="156">S74+T77</f>
        <v>0</v>
      </c>
      <c r="U74" s="1098">
        <f t="shared" ref="U74" si="157">T74+U77</f>
        <v>0</v>
      </c>
      <c r="V74" s="1098">
        <f t="shared" ref="V74" si="158">U74+V77</f>
        <v>0</v>
      </c>
      <c r="W74" s="1098">
        <f t="shared" ref="W74" si="159">V74+W77</f>
        <v>0</v>
      </c>
    </row>
    <row r="75" spans="2:23" s="209" customFormat="1" outlineLevel="1">
      <c r="B75" s="274" t="s">
        <v>608</v>
      </c>
      <c r="C75" s="343"/>
      <c r="D75" s="343"/>
      <c r="E75" s="343"/>
      <c r="F75" s="343"/>
      <c r="G75" s="343"/>
      <c r="H75" s="343"/>
      <c r="I75" s="343"/>
      <c r="J75" s="1102">
        <v>3.4500000000000003E-2</v>
      </c>
      <c r="K75" s="1100">
        <f>J75</f>
        <v>3.4500000000000003E-2</v>
      </c>
      <c r="L75" s="1100">
        <f t="shared" ref="L75:W75" si="160">K75</f>
        <v>3.4500000000000003E-2</v>
      </c>
      <c r="M75" s="1100">
        <f t="shared" si="160"/>
        <v>3.4500000000000003E-2</v>
      </c>
      <c r="N75" s="1100">
        <f t="shared" si="160"/>
        <v>3.4500000000000003E-2</v>
      </c>
      <c r="O75" s="1100">
        <f t="shared" si="160"/>
        <v>3.4500000000000003E-2</v>
      </c>
      <c r="P75" s="1100">
        <f t="shared" si="160"/>
        <v>3.4500000000000003E-2</v>
      </c>
      <c r="Q75" s="1100">
        <f t="shared" si="160"/>
        <v>3.4500000000000003E-2</v>
      </c>
      <c r="R75" s="1100">
        <f t="shared" si="160"/>
        <v>3.4500000000000003E-2</v>
      </c>
      <c r="S75" s="1100">
        <f t="shared" si="160"/>
        <v>3.4500000000000003E-2</v>
      </c>
      <c r="T75" s="1100">
        <f t="shared" si="160"/>
        <v>3.4500000000000003E-2</v>
      </c>
      <c r="U75" s="1100">
        <f t="shared" si="160"/>
        <v>3.4500000000000003E-2</v>
      </c>
      <c r="V75" s="1100">
        <f t="shared" si="160"/>
        <v>3.4500000000000003E-2</v>
      </c>
      <c r="W75" s="1100">
        <f t="shared" si="160"/>
        <v>3.4500000000000003E-2</v>
      </c>
    </row>
    <row r="76" spans="2:23" s="209" customFormat="1" outlineLevel="1">
      <c r="B76" s="209" t="s">
        <v>609</v>
      </c>
      <c r="C76" s="343"/>
      <c r="D76" s="343"/>
      <c r="E76" s="343"/>
      <c r="F76" s="343"/>
      <c r="G76" s="343"/>
      <c r="H76" s="343"/>
      <c r="I76" s="343"/>
      <c r="J76" s="343">
        <f t="shared" ref="J76" si="161">J75*AVERAGE(J74,I74)</f>
        <v>34.189500000000002</v>
      </c>
      <c r="K76" s="343">
        <f t="shared" ref="K76" si="162">K75*AVERAGE(K74,J74)</f>
        <v>34.189500000000002</v>
      </c>
      <c r="L76" s="343">
        <f t="shared" ref="L76" si="163">L75*AVERAGE(L74,K74)</f>
        <v>34.189500000000002</v>
      </c>
      <c r="M76" s="343">
        <f t="shared" ref="M76" si="164">M75*AVERAGE(M74,L74)</f>
        <v>34.189500000000002</v>
      </c>
      <c r="N76" s="343">
        <f t="shared" ref="N76" si="165">N75*AVERAGE(N74,M74)</f>
        <v>34.189500000000002</v>
      </c>
      <c r="O76" s="343">
        <f t="shared" ref="O76" si="166">O75*AVERAGE(O74,N74)</f>
        <v>34.189500000000002</v>
      </c>
      <c r="P76" s="343">
        <f t="shared" ref="P76" si="167">P75*AVERAGE(P74,O74)</f>
        <v>34.189500000000002</v>
      </c>
      <c r="Q76" s="343">
        <f t="shared" ref="Q76" si="168">Q75*AVERAGE(Q74,P74)</f>
        <v>34.189500000000002</v>
      </c>
      <c r="R76" s="343">
        <f t="shared" ref="R76" si="169">R75*AVERAGE(R74,Q74)</f>
        <v>34.189500000000002</v>
      </c>
      <c r="S76" s="343">
        <f t="shared" ref="S76" si="170">S75*AVERAGE(S74,R74)</f>
        <v>34.189500000000002</v>
      </c>
      <c r="T76" s="343">
        <f t="shared" ref="T76" si="171">T75*AVERAGE(T74,S74)</f>
        <v>17.094750000000001</v>
      </c>
      <c r="U76" s="343">
        <f t="shared" ref="U76" si="172">U75*AVERAGE(U74,T74)</f>
        <v>0</v>
      </c>
      <c r="V76" s="343">
        <f t="shared" ref="V76" si="173">V75*AVERAGE(V74,U74)</f>
        <v>0</v>
      </c>
      <c r="W76" s="343">
        <f t="shared" ref="W76" si="174">W75*AVERAGE(W74,V74)</f>
        <v>0</v>
      </c>
    </row>
    <row r="77" spans="2:23" s="209" customFormat="1" outlineLevel="1">
      <c r="B77" s="209" t="s">
        <v>610</v>
      </c>
      <c r="C77" s="343"/>
      <c r="D77" s="343"/>
      <c r="E77" s="343"/>
      <c r="F77" s="343"/>
      <c r="G77" s="343"/>
      <c r="H77" s="343"/>
      <c r="I77" s="343"/>
      <c r="J77" s="343"/>
      <c r="T77" s="209">
        <f>-S74</f>
        <v>-991</v>
      </c>
    </row>
    <row r="78" spans="2:23" s="209" customFormat="1">
      <c r="C78" s="343"/>
      <c r="D78" s="343"/>
      <c r="E78" s="343"/>
      <c r="F78" s="343"/>
      <c r="G78" s="343"/>
      <c r="H78" s="343"/>
      <c r="I78" s="343"/>
      <c r="J78" s="343"/>
    </row>
    <row r="79" spans="2:23" s="209" customFormat="1">
      <c r="B79" s="340" t="s">
        <v>614</v>
      </c>
      <c r="C79" s="341">
        <v>249.53399999999999</v>
      </c>
      <c r="D79" s="341">
        <f t="shared" ref="D79" si="175">C79+D82</f>
        <v>249.54</v>
      </c>
      <c r="E79" s="341">
        <f>D79+E82</f>
        <v>249.54599999999999</v>
      </c>
      <c r="F79" s="698">
        <v>249.6</v>
      </c>
      <c r="G79" s="698">
        <v>249.5</v>
      </c>
      <c r="H79" s="698">
        <v>249.6</v>
      </c>
      <c r="I79" s="698">
        <v>247.2</v>
      </c>
      <c r="J79" s="698">
        <v>247</v>
      </c>
      <c r="K79" s="341">
        <f>J79+K82</f>
        <v>247</v>
      </c>
      <c r="L79" s="341">
        <f>K79+L82</f>
        <v>247</v>
      </c>
      <c r="M79" s="341">
        <f>L79+M82</f>
        <v>247</v>
      </c>
      <c r="N79" s="341">
        <f t="shared" ref="N79:T79" si="176">M79+N82</f>
        <v>247</v>
      </c>
      <c r="O79" s="341">
        <f t="shared" si="176"/>
        <v>247</v>
      </c>
      <c r="P79" s="341">
        <f t="shared" si="176"/>
        <v>247</v>
      </c>
      <c r="Q79" s="341">
        <f t="shared" si="176"/>
        <v>247</v>
      </c>
      <c r="R79" s="341">
        <f t="shared" si="176"/>
        <v>247</v>
      </c>
      <c r="S79" s="341">
        <f t="shared" si="176"/>
        <v>247</v>
      </c>
      <c r="T79" s="341">
        <f t="shared" si="176"/>
        <v>247</v>
      </c>
      <c r="U79" s="341">
        <f>T79+U82</f>
        <v>247</v>
      </c>
      <c r="V79" s="341">
        <f>U79+V82</f>
        <v>247</v>
      </c>
      <c r="W79" s="341">
        <f>V79+W82</f>
        <v>247</v>
      </c>
    </row>
    <row r="80" spans="2:23" s="247" customFormat="1" outlineLevel="1">
      <c r="B80" s="274" t="s">
        <v>608</v>
      </c>
      <c r="C80" s="342"/>
      <c r="D80" s="347">
        <v>5.7000000000000002E-2</v>
      </c>
      <c r="E80" s="347">
        <v>5.7000000000000002E-2</v>
      </c>
      <c r="F80" s="347">
        <v>5.7000000000000002E-2</v>
      </c>
      <c r="G80" s="347">
        <v>5.7000000000000002E-2</v>
      </c>
      <c r="H80" s="347">
        <v>5.7000000000000002E-2</v>
      </c>
      <c r="I80" s="347">
        <v>5.7000000000000002E-2</v>
      </c>
      <c r="J80" s="347">
        <v>5.7000000000000002E-2</v>
      </c>
      <c r="K80" s="347">
        <v>5.7000000000000002E-2</v>
      </c>
      <c r="L80" s="347">
        <v>5.7000000000000002E-2</v>
      </c>
      <c r="M80" s="347">
        <v>5.7000000000000002E-2</v>
      </c>
      <c r="N80" s="347">
        <v>5.7000000000000002E-2</v>
      </c>
      <c r="O80" s="347">
        <v>5.7000000000000002E-2</v>
      </c>
      <c r="P80" s="347">
        <v>5.7000000000000002E-2</v>
      </c>
      <c r="Q80" s="347">
        <v>5.7000000000000002E-2</v>
      </c>
      <c r="R80" s="347">
        <v>5.7000000000000002E-2</v>
      </c>
      <c r="S80" s="347">
        <v>5.7000000000000002E-2</v>
      </c>
      <c r="T80" s="347">
        <v>5.7000000000000002E-2</v>
      </c>
      <c r="U80" s="347">
        <v>5.7000000000000002E-2</v>
      </c>
      <c r="V80" s="347">
        <v>5.7000000000000002E-2</v>
      </c>
      <c r="W80" s="347">
        <v>5.7000000000000002E-2</v>
      </c>
    </row>
    <row r="81" spans="2:23" s="209" customFormat="1" outlineLevel="1">
      <c r="B81" s="209" t="s">
        <v>609</v>
      </c>
      <c r="C81" s="343"/>
      <c r="D81" s="343">
        <f>D80*C79</f>
        <v>14.223438</v>
      </c>
      <c r="E81" s="343">
        <f>E80*D79</f>
        <v>14.22378</v>
      </c>
      <c r="F81" s="343">
        <f t="shared" ref="F81:M81" si="177">F80*AVERAGE(F79,E79)</f>
        <v>14.225660999999999</v>
      </c>
      <c r="G81" s="343">
        <f t="shared" si="177"/>
        <v>14.224350000000001</v>
      </c>
      <c r="H81" s="343">
        <f t="shared" si="177"/>
        <v>14.224350000000001</v>
      </c>
      <c r="I81" s="343">
        <f t="shared" si="177"/>
        <v>14.158799999999999</v>
      </c>
      <c r="J81" s="343">
        <f t="shared" si="177"/>
        <v>14.0847</v>
      </c>
      <c r="K81" s="343">
        <f t="shared" si="177"/>
        <v>14.079000000000001</v>
      </c>
      <c r="L81" s="343">
        <f t="shared" si="177"/>
        <v>14.079000000000001</v>
      </c>
      <c r="M81" s="343">
        <f t="shared" si="177"/>
        <v>14.079000000000001</v>
      </c>
      <c r="N81" s="343">
        <f t="shared" ref="N81:W81" si="178">N80*AVERAGE(N79,M79)</f>
        <v>14.079000000000001</v>
      </c>
      <c r="O81" s="343">
        <f t="shared" si="178"/>
        <v>14.079000000000001</v>
      </c>
      <c r="P81" s="343">
        <f t="shared" si="178"/>
        <v>14.079000000000001</v>
      </c>
      <c r="Q81" s="343">
        <f t="shared" si="178"/>
        <v>14.079000000000001</v>
      </c>
      <c r="R81" s="343">
        <f t="shared" si="178"/>
        <v>14.079000000000001</v>
      </c>
      <c r="S81" s="343">
        <f t="shared" si="178"/>
        <v>14.079000000000001</v>
      </c>
      <c r="T81" s="343">
        <f t="shared" si="178"/>
        <v>14.079000000000001</v>
      </c>
      <c r="U81" s="343">
        <f t="shared" si="178"/>
        <v>14.079000000000001</v>
      </c>
      <c r="V81" s="343">
        <f t="shared" si="178"/>
        <v>14.079000000000001</v>
      </c>
      <c r="W81" s="343">
        <f t="shared" si="178"/>
        <v>14.079000000000001</v>
      </c>
    </row>
    <row r="82" spans="2:23" s="209" customFormat="1" outlineLevel="1">
      <c r="B82" s="209" t="s">
        <v>610</v>
      </c>
      <c r="C82" s="343"/>
      <c r="D82" s="343">
        <f>249.54-249.534</f>
        <v>6.0000000000002274E-3</v>
      </c>
      <c r="E82" s="343">
        <f>249.546-249.54</f>
        <v>6.0000000000002274E-3</v>
      </c>
      <c r="F82" s="343">
        <f>F79-E79</f>
        <v>5.4000000000002046E-2</v>
      </c>
      <c r="G82" s="343">
        <f>G79-F79</f>
        <v>-9.9999999999994316E-2</v>
      </c>
      <c r="H82" s="343"/>
      <c r="I82" s="343"/>
      <c r="J82" s="343"/>
    </row>
    <row r="83" spans="2:23" s="209" customFormat="1">
      <c r="C83" s="343"/>
      <c r="D83" s="343"/>
      <c r="E83" s="343"/>
      <c r="F83" s="343"/>
      <c r="G83" s="343"/>
      <c r="H83" s="343"/>
      <c r="I83" s="343"/>
      <c r="J83" s="343"/>
    </row>
    <row r="84" spans="2:23" s="209" customFormat="1">
      <c r="B84" s="340" t="s">
        <v>771</v>
      </c>
      <c r="C84" s="341"/>
      <c r="D84" s="341"/>
      <c r="E84" s="341"/>
      <c r="F84" s="698">
        <v>396.6</v>
      </c>
      <c r="G84" s="698">
        <v>396.7</v>
      </c>
      <c r="H84" s="698">
        <v>396.7</v>
      </c>
      <c r="I84" s="698">
        <v>392.9</v>
      </c>
      <c r="J84" s="698">
        <v>393</v>
      </c>
      <c r="K84" s="341">
        <f t="shared" ref="K84:M84" si="179">J84+K87</f>
        <v>393</v>
      </c>
      <c r="L84" s="341">
        <f t="shared" si="179"/>
        <v>393</v>
      </c>
      <c r="M84" s="341">
        <f t="shared" si="179"/>
        <v>393</v>
      </c>
      <c r="N84" s="341">
        <f t="shared" ref="N84:T84" si="180">M84+N87</f>
        <v>393</v>
      </c>
      <c r="O84" s="341">
        <f t="shared" si="180"/>
        <v>393</v>
      </c>
      <c r="P84" s="341">
        <f t="shared" si="180"/>
        <v>393</v>
      </c>
      <c r="Q84" s="341">
        <f t="shared" si="180"/>
        <v>393</v>
      </c>
      <c r="R84" s="341">
        <f t="shared" si="180"/>
        <v>393</v>
      </c>
      <c r="S84" s="341">
        <f t="shared" si="180"/>
        <v>393</v>
      </c>
      <c r="T84" s="341">
        <f t="shared" si="180"/>
        <v>393</v>
      </c>
      <c r="U84" s="341">
        <f>T84+U87</f>
        <v>393</v>
      </c>
      <c r="V84" s="341">
        <f>U84+V87</f>
        <v>393</v>
      </c>
      <c r="W84" s="341">
        <f>V84+W87</f>
        <v>393</v>
      </c>
    </row>
    <row r="85" spans="2:23" s="247" customFormat="1" outlineLevel="1">
      <c r="B85" s="274" t="s">
        <v>608</v>
      </c>
      <c r="C85" s="342"/>
      <c r="D85" s="347"/>
      <c r="E85" s="347"/>
      <c r="F85" s="860">
        <v>5.2499999999999998E-2</v>
      </c>
      <c r="G85" s="347">
        <f>F85</f>
        <v>5.2499999999999998E-2</v>
      </c>
      <c r="H85" s="347">
        <f t="shared" ref="H85:W85" si="181">G85</f>
        <v>5.2499999999999998E-2</v>
      </c>
      <c r="I85" s="347">
        <f t="shared" si="181"/>
        <v>5.2499999999999998E-2</v>
      </c>
      <c r="J85" s="347">
        <f t="shared" si="181"/>
        <v>5.2499999999999998E-2</v>
      </c>
      <c r="K85" s="347">
        <f t="shared" si="181"/>
        <v>5.2499999999999998E-2</v>
      </c>
      <c r="L85" s="347">
        <f t="shared" si="181"/>
        <v>5.2499999999999998E-2</v>
      </c>
      <c r="M85" s="347">
        <f t="shared" si="181"/>
        <v>5.2499999999999998E-2</v>
      </c>
      <c r="N85" s="347">
        <f t="shared" si="181"/>
        <v>5.2499999999999998E-2</v>
      </c>
      <c r="O85" s="347">
        <f t="shared" si="181"/>
        <v>5.2499999999999998E-2</v>
      </c>
      <c r="P85" s="347">
        <f t="shared" si="181"/>
        <v>5.2499999999999998E-2</v>
      </c>
      <c r="Q85" s="347">
        <f t="shared" si="181"/>
        <v>5.2499999999999998E-2</v>
      </c>
      <c r="R85" s="347">
        <f t="shared" si="181"/>
        <v>5.2499999999999998E-2</v>
      </c>
      <c r="S85" s="347">
        <f t="shared" si="181"/>
        <v>5.2499999999999998E-2</v>
      </c>
      <c r="T85" s="347">
        <f t="shared" si="181"/>
        <v>5.2499999999999998E-2</v>
      </c>
      <c r="U85" s="347">
        <f t="shared" si="181"/>
        <v>5.2499999999999998E-2</v>
      </c>
      <c r="V85" s="347">
        <f t="shared" si="181"/>
        <v>5.2499999999999998E-2</v>
      </c>
      <c r="W85" s="347">
        <f t="shared" si="181"/>
        <v>5.2499999999999998E-2</v>
      </c>
    </row>
    <row r="86" spans="2:23" s="209" customFormat="1" outlineLevel="1">
      <c r="B86" s="209" t="s">
        <v>609</v>
      </c>
      <c r="C86" s="343"/>
      <c r="D86" s="343"/>
      <c r="E86" s="343"/>
      <c r="F86" s="343">
        <f>F85*AVERAGE(F84,E84)*5/12</f>
        <v>8.6756250000000001</v>
      </c>
      <c r="G86" s="343">
        <f t="shared" ref="G86:M86" si="182">G85*AVERAGE(G84,F84)</f>
        <v>20.824124999999999</v>
      </c>
      <c r="H86" s="343">
        <f t="shared" si="182"/>
        <v>20.826749999999997</v>
      </c>
      <c r="I86" s="343">
        <f t="shared" si="182"/>
        <v>20.726999999999997</v>
      </c>
      <c r="J86" s="343">
        <f t="shared" si="182"/>
        <v>20.629874999999998</v>
      </c>
      <c r="K86" s="343">
        <f t="shared" si="182"/>
        <v>20.6325</v>
      </c>
      <c r="L86" s="343">
        <f t="shared" si="182"/>
        <v>20.6325</v>
      </c>
      <c r="M86" s="343">
        <f t="shared" si="182"/>
        <v>20.6325</v>
      </c>
      <c r="N86" s="343">
        <f t="shared" ref="N86:W86" si="183">N85*AVERAGE(N84,M84)</f>
        <v>20.6325</v>
      </c>
      <c r="O86" s="343">
        <f t="shared" si="183"/>
        <v>20.6325</v>
      </c>
      <c r="P86" s="343">
        <f t="shared" si="183"/>
        <v>20.6325</v>
      </c>
      <c r="Q86" s="343">
        <f t="shared" si="183"/>
        <v>20.6325</v>
      </c>
      <c r="R86" s="343">
        <f t="shared" si="183"/>
        <v>20.6325</v>
      </c>
      <c r="S86" s="343">
        <f t="shared" si="183"/>
        <v>20.6325</v>
      </c>
      <c r="T86" s="343">
        <f t="shared" si="183"/>
        <v>20.6325</v>
      </c>
      <c r="U86" s="343">
        <f t="shared" si="183"/>
        <v>20.6325</v>
      </c>
      <c r="V86" s="343">
        <f t="shared" si="183"/>
        <v>20.6325</v>
      </c>
      <c r="W86" s="343">
        <f t="shared" si="183"/>
        <v>20.6325</v>
      </c>
    </row>
    <row r="87" spans="2:23" s="209" customFormat="1" outlineLevel="1">
      <c r="B87" s="209" t="s">
        <v>610</v>
      </c>
      <c r="C87" s="343"/>
      <c r="D87" s="343"/>
      <c r="E87" s="343"/>
      <c r="F87" s="343">
        <f>F84-E84</f>
        <v>396.6</v>
      </c>
      <c r="G87" s="343">
        <f>G84-F84</f>
        <v>9.9999999999965894E-2</v>
      </c>
      <c r="H87" s="343"/>
      <c r="I87" s="343"/>
      <c r="J87" s="343"/>
    </row>
    <row r="88" spans="2:23" s="209" customFormat="1">
      <c r="C88" s="343"/>
      <c r="D88" s="343"/>
      <c r="E88" s="343"/>
      <c r="F88" s="343"/>
      <c r="G88" s="343"/>
      <c r="H88" s="343"/>
      <c r="I88" s="343"/>
      <c r="J88" s="343"/>
    </row>
    <row r="89" spans="2:23" s="209" customFormat="1">
      <c r="B89" s="340" t="s">
        <v>808</v>
      </c>
      <c r="C89" s="341"/>
      <c r="D89" s="341"/>
      <c r="E89" s="341"/>
      <c r="F89" s="698"/>
      <c r="G89" s="698">
        <v>996.5</v>
      </c>
      <c r="H89" s="698">
        <v>996.6</v>
      </c>
      <c r="I89" s="698">
        <v>986.9</v>
      </c>
      <c r="J89" s="698">
        <v>987</v>
      </c>
      <c r="K89" s="341">
        <f t="shared" ref="K89:M89" si="184">J89+K92</f>
        <v>987</v>
      </c>
      <c r="L89" s="341">
        <f t="shared" si="184"/>
        <v>987</v>
      </c>
      <c r="M89" s="341">
        <f t="shared" si="184"/>
        <v>987</v>
      </c>
      <c r="N89" s="341">
        <f t="shared" ref="N89:T89" si="185">M89+N92</f>
        <v>987</v>
      </c>
      <c r="O89" s="341">
        <f t="shared" si="185"/>
        <v>987</v>
      </c>
      <c r="P89" s="341">
        <f t="shared" si="185"/>
        <v>987</v>
      </c>
      <c r="Q89" s="341">
        <f t="shared" si="185"/>
        <v>987</v>
      </c>
      <c r="R89" s="341">
        <f t="shared" si="185"/>
        <v>987</v>
      </c>
      <c r="S89" s="341">
        <f t="shared" si="185"/>
        <v>987</v>
      </c>
      <c r="T89" s="341">
        <f t="shared" si="185"/>
        <v>987</v>
      </c>
      <c r="U89" s="341">
        <f>T89+U92</f>
        <v>987</v>
      </c>
      <c r="V89" s="341">
        <f>U89+V92</f>
        <v>987</v>
      </c>
      <c r="W89" s="341">
        <f>V89+W92</f>
        <v>987</v>
      </c>
    </row>
    <row r="90" spans="2:23" s="247" customFormat="1" outlineLevel="1">
      <c r="B90" s="274" t="s">
        <v>608</v>
      </c>
      <c r="C90" s="342"/>
      <c r="D90" s="347"/>
      <c r="E90" s="347"/>
      <c r="F90" s="347"/>
      <c r="G90" s="860">
        <v>4.6249999999999999E-2</v>
      </c>
      <c r="H90" s="347">
        <v>4.6249999999999999E-2</v>
      </c>
      <c r="I90" s="347">
        <v>4.6249999999999999E-2</v>
      </c>
      <c r="J90" s="347">
        <v>4.6249999999999999E-2</v>
      </c>
      <c r="K90" s="347">
        <v>4.6249999999999999E-2</v>
      </c>
      <c r="L90" s="347">
        <v>4.6249999999999999E-2</v>
      </c>
      <c r="M90" s="347">
        <v>4.6249999999999999E-2</v>
      </c>
      <c r="N90" s="347">
        <v>4.6249999999999999E-2</v>
      </c>
      <c r="O90" s="347">
        <v>4.6249999999999999E-2</v>
      </c>
      <c r="P90" s="347">
        <v>4.6249999999999999E-2</v>
      </c>
      <c r="Q90" s="347">
        <v>4.6249999999999999E-2</v>
      </c>
      <c r="R90" s="347">
        <v>4.6249999999999999E-2</v>
      </c>
      <c r="S90" s="347">
        <v>4.6249999999999999E-2</v>
      </c>
      <c r="T90" s="347">
        <v>4.6249999999999999E-2</v>
      </c>
      <c r="U90" s="347">
        <v>4.6249999999999999E-2</v>
      </c>
      <c r="V90" s="347">
        <v>4.6249999999999999E-2</v>
      </c>
      <c r="W90" s="347">
        <v>4.6249999999999999E-2</v>
      </c>
    </row>
    <row r="91" spans="2:23" s="209" customFormat="1" outlineLevel="1">
      <c r="B91" s="209" t="s">
        <v>609</v>
      </c>
      <c r="C91" s="343"/>
      <c r="D91" s="343"/>
      <c r="E91" s="343"/>
      <c r="F91" s="343"/>
      <c r="G91" s="343">
        <f>G90*AVERAGE(G89,F89)*3/4</f>
        <v>34.56609375</v>
      </c>
      <c r="H91" s="343">
        <f t="shared" ref="H91:W91" si="186">H90*AVERAGE(H89,G89)</f>
        <v>46.0904375</v>
      </c>
      <c r="I91" s="343">
        <f t="shared" si="186"/>
        <v>45.868437499999999</v>
      </c>
      <c r="J91" s="343">
        <f t="shared" si="186"/>
        <v>45.646437500000005</v>
      </c>
      <c r="K91" s="343">
        <f t="shared" si="186"/>
        <v>45.64875</v>
      </c>
      <c r="L91" s="343">
        <f t="shared" si="186"/>
        <v>45.64875</v>
      </c>
      <c r="M91" s="343">
        <f t="shared" si="186"/>
        <v>45.64875</v>
      </c>
      <c r="N91" s="343">
        <f t="shared" si="186"/>
        <v>45.64875</v>
      </c>
      <c r="O91" s="343">
        <f t="shared" si="186"/>
        <v>45.64875</v>
      </c>
      <c r="P91" s="343">
        <f t="shared" si="186"/>
        <v>45.64875</v>
      </c>
      <c r="Q91" s="343">
        <f t="shared" si="186"/>
        <v>45.64875</v>
      </c>
      <c r="R91" s="343">
        <f t="shared" si="186"/>
        <v>45.64875</v>
      </c>
      <c r="S91" s="343">
        <f t="shared" si="186"/>
        <v>45.64875</v>
      </c>
      <c r="T91" s="343">
        <f t="shared" si="186"/>
        <v>45.64875</v>
      </c>
      <c r="U91" s="343">
        <f t="shared" si="186"/>
        <v>45.64875</v>
      </c>
      <c r="V91" s="343">
        <f t="shared" si="186"/>
        <v>45.64875</v>
      </c>
      <c r="W91" s="343">
        <f t="shared" si="186"/>
        <v>45.64875</v>
      </c>
    </row>
    <row r="92" spans="2:23" s="209" customFormat="1" outlineLevel="1">
      <c r="B92" s="209" t="s">
        <v>610</v>
      </c>
      <c r="C92" s="343"/>
      <c r="D92" s="343"/>
      <c r="E92" s="343"/>
      <c r="F92" s="343"/>
      <c r="G92" s="343">
        <f>G89-F89</f>
        <v>996.5</v>
      </c>
      <c r="H92" s="343"/>
      <c r="I92" s="343"/>
      <c r="J92" s="343"/>
    </row>
    <row r="93" spans="2:23" s="209" customFormat="1">
      <c r="C93" s="343"/>
      <c r="D93" s="343"/>
      <c r="E93" s="343"/>
      <c r="F93" s="343"/>
      <c r="G93" s="343"/>
      <c r="H93" s="343"/>
      <c r="I93" s="343"/>
      <c r="J93" s="343"/>
    </row>
    <row r="94" spans="2:23" s="209" customFormat="1">
      <c r="B94" s="340" t="s">
        <v>1007</v>
      </c>
      <c r="C94" s="341"/>
      <c r="D94" s="341"/>
      <c r="E94" s="341"/>
      <c r="F94" s="698"/>
      <c r="G94" s="698"/>
      <c r="H94" s="698">
        <v>1993.9</v>
      </c>
      <c r="I94" s="698">
        <v>1974.4</v>
      </c>
      <c r="J94" s="698">
        <v>1975</v>
      </c>
      <c r="K94" s="341">
        <f t="shared" ref="K94:W94" si="187">J94+K97</f>
        <v>1975</v>
      </c>
      <c r="L94" s="341">
        <f t="shared" si="187"/>
        <v>1975</v>
      </c>
      <c r="M94" s="341">
        <f t="shared" si="187"/>
        <v>1975</v>
      </c>
      <c r="N94" s="341">
        <f t="shared" si="187"/>
        <v>1975</v>
      </c>
      <c r="O94" s="341">
        <f t="shared" si="187"/>
        <v>1975</v>
      </c>
      <c r="P94" s="341">
        <f t="shared" si="187"/>
        <v>1975</v>
      </c>
      <c r="Q94" s="341">
        <f t="shared" si="187"/>
        <v>1975</v>
      </c>
      <c r="R94" s="341">
        <f t="shared" si="187"/>
        <v>1975</v>
      </c>
      <c r="S94" s="341">
        <f t="shared" si="187"/>
        <v>1975</v>
      </c>
      <c r="T94" s="341">
        <f t="shared" si="187"/>
        <v>1975</v>
      </c>
      <c r="U94" s="341">
        <f t="shared" si="187"/>
        <v>1975</v>
      </c>
      <c r="V94" s="341">
        <f t="shared" si="187"/>
        <v>1975</v>
      </c>
      <c r="W94" s="341">
        <f t="shared" si="187"/>
        <v>1975</v>
      </c>
    </row>
    <row r="95" spans="2:23" s="209" customFormat="1" outlineLevel="1">
      <c r="B95" s="274" t="s">
        <v>608</v>
      </c>
      <c r="C95" s="342"/>
      <c r="D95" s="347"/>
      <c r="E95" s="347"/>
      <c r="F95" s="347"/>
      <c r="G95" s="347"/>
      <c r="H95" s="860">
        <v>0.05</v>
      </c>
      <c r="I95" s="347">
        <f t="shared" ref="I95:W95" si="188">H95</f>
        <v>0.05</v>
      </c>
      <c r="J95" s="347">
        <f t="shared" si="188"/>
        <v>0.05</v>
      </c>
      <c r="K95" s="347">
        <f t="shared" si="188"/>
        <v>0.05</v>
      </c>
      <c r="L95" s="347">
        <f t="shared" si="188"/>
        <v>0.05</v>
      </c>
      <c r="M95" s="347">
        <f t="shared" si="188"/>
        <v>0.05</v>
      </c>
      <c r="N95" s="347">
        <f t="shared" si="188"/>
        <v>0.05</v>
      </c>
      <c r="O95" s="347">
        <f t="shared" si="188"/>
        <v>0.05</v>
      </c>
      <c r="P95" s="347">
        <f t="shared" si="188"/>
        <v>0.05</v>
      </c>
      <c r="Q95" s="347">
        <f t="shared" si="188"/>
        <v>0.05</v>
      </c>
      <c r="R95" s="347">
        <f t="shared" si="188"/>
        <v>0.05</v>
      </c>
      <c r="S95" s="347">
        <f t="shared" si="188"/>
        <v>0.05</v>
      </c>
      <c r="T95" s="347">
        <f t="shared" si="188"/>
        <v>0.05</v>
      </c>
      <c r="U95" s="347">
        <f t="shared" si="188"/>
        <v>0.05</v>
      </c>
      <c r="V95" s="347">
        <f t="shared" si="188"/>
        <v>0.05</v>
      </c>
      <c r="W95" s="347">
        <f t="shared" si="188"/>
        <v>0.05</v>
      </c>
    </row>
    <row r="96" spans="2:23" s="209" customFormat="1" outlineLevel="1">
      <c r="B96" s="209" t="s">
        <v>609</v>
      </c>
      <c r="C96" s="343"/>
      <c r="D96" s="343"/>
      <c r="E96" s="343"/>
      <c r="F96" s="343"/>
      <c r="G96" s="343"/>
      <c r="H96" s="343">
        <f>H95*H94*0.3</f>
        <v>29.9085</v>
      </c>
      <c r="I96" s="343">
        <f t="shared" ref="I96:W96" si="189">I95*AVERAGE(I94,H94)</f>
        <v>99.20750000000001</v>
      </c>
      <c r="J96" s="343">
        <f t="shared" si="189"/>
        <v>98.735000000000014</v>
      </c>
      <c r="K96" s="343">
        <f t="shared" si="189"/>
        <v>98.75</v>
      </c>
      <c r="L96" s="343">
        <f t="shared" si="189"/>
        <v>98.75</v>
      </c>
      <c r="M96" s="343">
        <f t="shared" si="189"/>
        <v>98.75</v>
      </c>
      <c r="N96" s="343">
        <f t="shared" si="189"/>
        <v>98.75</v>
      </c>
      <c r="O96" s="343">
        <f t="shared" si="189"/>
        <v>98.75</v>
      </c>
      <c r="P96" s="343">
        <f t="shared" si="189"/>
        <v>98.75</v>
      </c>
      <c r="Q96" s="343">
        <f t="shared" si="189"/>
        <v>98.75</v>
      </c>
      <c r="R96" s="343">
        <f t="shared" si="189"/>
        <v>98.75</v>
      </c>
      <c r="S96" s="343">
        <f t="shared" si="189"/>
        <v>98.75</v>
      </c>
      <c r="T96" s="343">
        <f t="shared" si="189"/>
        <v>98.75</v>
      </c>
      <c r="U96" s="343">
        <f t="shared" si="189"/>
        <v>98.75</v>
      </c>
      <c r="V96" s="343">
        <f t="shared" si="189"/>
        <v>98.75</v>
      </c>
      <c r="W96" s="343">
        <f t="shared" si="189"/>
        <v>98.75</v>
      </c>
    </row>
    <row r="97" spans="2:23" s="209" customFormat="1" outlineLevel="1">
      <c r="B97" s="209" t="s">
        <v>610</v>
      </c>
      <c r="C97" s="343"/>
      <c r="D97" s="343"/>
      <c r="E97" s="343"/>
      <c r="F97" s="343"/>
      <c r="G97" s="343"/>
      <c r="H97" s="343">
        <f>H94-G94</f>
        <v>1993.9</v>
      </c>
      <c r="I97" s="343"/>
      <c r="J97" s="343"/>
    </row>
    <row r="98" spans="2:23" s="209" customFormat="1">
      <c r="C98" s="343"/>
      <c r="D98" s="343"/>
      <c r="E98" s="343"/>
      <c r="F98" s="343"/>
      <c r="G98" s="343"/>
      <c r="H98" s="343"/>
      <c r="I98" s="343"/>
      <c r="J98" s="343"/>
    </row>
    <row r="99" spans="2:23" s="209" customFormat="1">
      <c r="B99" s="340" t="s">
        <v>1192</v>
      </c>
      <c r="C99" s="343"/>
      <c r="D99" s="343"/>
      <c r="E99" s="343"/>
      <c r="F99" s="343"/>
      <c r="G99" s="343"/>
      <c r="H99" s="343"/>
      <c r="I99" s="343"/>
      <c r="J99" s="698">
        <v>1234</v>
      </c>
      <c r="K99" s="341">
        <f t="shared" ref="K99" si="190">J99+K102</f>
        <v>1234</v>
      </c>
      <c r="L99" s="341">
        <f t="shared" ref="L99" si="191">K99+L102</f>
        <v>1234</v>
      </c>
      <c r="M99" s="341">
        <f t="shared" ref="M99" si="192">L99+M102</f>
        <v>1234</v>
      </c>
      <c r="N99" s="341">
        <f t="shared" ref="N99" si="193">M99+N102</f>
        <v>1234</v>
      </c>
      <c r="O99" s="341">
        <f t="shared" ref="O99" si="194">N99+O102</f>
        <v>1234</v>
      </c>
      <c r="P99" s="341">
        <f t="shared" ref="P99" si="195">O99+P102</f>
        <v>1234</v>
      </c>
      <c r="Q99" s="341">
        <f t="shared" ref="Q99" si="196">P99+Q102</f>
        <v>1234</v>
      </c>
      <c r="R99" s="341">
        <f t="shared" ref="R99" si="197">Q99+R102</f>
        <v>1234</v>
      </c>
      <c r="S99" s="341">
        <f t="shared" ref="S99" si="198">R99+S102</f>
        <v>1234</v>
      </c>
      <c r="T99" s="341">
        <f t="shared" ref="T99" si="199">S99+T102</f>
        <v>1234</v>
      </c>
      <c r="U99" s="341">
        <f t="shared" ref="U99" si="200">T99+U102</f>
        <v>1234</v>
      </c>
      <c r="V99" s="341">
        <f t="shared" ref="V99" si="201">U99+V102</f>
        <v>1234</v>
      </c>
      <c r="W99" s="341">
        <f t="shared" ref="W99" si="202">V99+W102</f>
        <v>1234</v>
      </c>
    </row>
    <row r="100" spans="2:23" s="209" customFormat="1" outlineLevel="1">
      <c r="B100" s="274" t="s">
        <v>608</v>
      </c>
      <c r="C100" s="343"/>
      <c r="D100" s="343"/>
      <c r="E100" s="343"/>
      <c r="F100" s="343"/>
      <c r="G100" s="343"/>
      <c r="H100" s="343"/>
      <c r="I100" s="343"/>
      <c r="J100" s="1102">
        <v>4.3499999999999997E-2</v>
      </c>
      <c r="K100" s="1100">
        <f>J100</f>
        <v>4.3499999999999997E-2</v>
      </c>
      <c r="L100" s="1100">
        <f t="shared" ref="L100:W100" si="203">K100</f>
        <v>4.3499999999999997E-2</v>
      </c>
      <c r="M100" s="1100">
        <f t="shared" si="203"/>
        <v>4.3499999999999997E-2</v>
      </c>
      <c r="N100" s="1100">
        <f t="shared" si="203"/>
        <v>4.3499999999999997E-2</v>
      </c>
      <c r="O100" s="1100">
        <f t="shared" si="203"/>
        <v>4.3499999999999997E-2</v>
      </c>
      <c r="P100" s="1100">
        <f t="shared" si="203"/>
        <v>4.3499999999999997E-2</v>
      </c>
      <c r="Q100" s="1100">
        <f t="shared" si="203"/>
        <v>4.3499999999999997E-2</v>
      </c>
      <c r="R100" s="1100">
        <f t="shared" si="203"/>
        <v>4.3499999999999997E-2</v>
      </c>
      <c r="S100" s="1100">
        <f t="shared" si="203"/>
        <v>4.3499999999999997E-2</v>
      </c>
      <c r="T100" s="1100">
        <f t="shared" si="203"/>
        <v>4.3499999999999997E-2</v>
      </c>
      <c r="U100" s="1100">
        <f t="shared" si="203"/>
        <v>4.3499999999999997E-2</v>
      </c>
      <c r="V100" s="1100">
        <f t="shared" si="203"/>
        <v>4.3499999999999997E-2</v>
      </c>
      <c r="W100" s="1100">
        <f t="shared" si="203"/>
        <v>4.3499999999999997E-2</v>
      </c>
    </row>
    <row r="101" spans="2:23" s="209" customFormat="1" outlineLevel="1">
      <c r="B101" s="209" t="s">
        <v>609</v>
      </c>
      <c r="C101" s="343"/>
      <c r="D101" s="343"/>
      <c r="E101" s="343"/>
      <c r="F101" s="343"/>
      <c r="G101" s="343"/>
      <c r="H101" s="343"/>
      <c r="I101" s="343"/>
      <c r="J101" s="343">
        <f t="shared" ref="J101" si="204">J100*AVERAGE(J99,I99)</f>
        <v>53.678999999999995</v>
      </c>
      <c r="K101" s="343">
        <f t="shared" ref="K101" si="205">K100*AVERAGE(K99,J99)</f>
        <v>53.678999999999995</v>
      </c>
      <c r="L101" s="343">
        <f t="shared" ref="L101" si="206">L100*AVERAGE(L99,K99)</f>
        <v>53.678999999999995</v>
      </c>
      <c r="M101" s="343">
        <f t="shared" ref="M101" si="207">M100*AVERAGE(M99,L99)</f>
        <v>53.678999999999995</v>
      </c>
      <c r="N101" s="343">
        <f t="shared" ref="N101" si="208">N100*AVERAGE(N99,M99)</f>
        <v>53.678999999999995</v>
      </c>
      <c r="O101" s="343">
        <f t="shared" ref="O101" si="209">O100*AVERAGE(O99,N99)</f>
        <v>53.678999999999995</v>
      </c>
      <c r="P101" s="343">
        <f t="shared" ref="P101" si="210">P100*AVERAGE(P99,O99)</f>
        <v>53.678999999999995</v>
      </c>
      <c r="Q101" s="343">
        <f t="shared" ref="Q101" si="211">Q100*AVERAGE(Q99,P99)</f>
        <v>53.678999999999995</v>
      </c>
      <c r="R101" s="343">
        <f t="shared" ref="R101" si="212">R100*AVERAGE(R99,Q99)</f>
        <v>53.678999999999995</v>
      </c>
      <c r="S101" s="343">
        <f t="shared" ref="S101" si="213">S100*AVERAGE(S99,R99)</f>
        <v>53.678999999999995</v>
      </c>
      <c r="T101" s="343">
        <f t="shared" ref="T101" si="214">T100*AVERAGE(T99,S99)</f>
        <v>53.678999999999995</v>
      </c>
      <c r="U101" s="343">
        <f t="shared" ref="U101" si="215">U100*AVERAGE(U99,T99)</f>
        <v>53.678999999999995</v>
      </c>
      <c r="V101" s="343">
        <f t="shared" ref="V101" si="216">V100*AVERAGE(V99,U99)</f>
        <v>53.678999999999995</v>
      </c>
      <c r="W101" s="343">
        <f t="shared" ref="W101" si="217">W100*AVERAGE(W99,V99)</f>
        <v>53.678999999999995</v>
      </c>
    </row>
    <row r="102" spans="2:23" s="209" customFormat="1" outlineLevel="1">
      <c r="B102" s="209" t="s">
        <v>610</v>
      </c>
      <c r="C102" s="343"/>
      <c r="D102" s="343"/>
      <c r="E102" s="343"/>
      <c r="F102" s="343"/>
      <c r="G102" s="343"/>
      <c r="H102" s="343"/>
      <c r="I102" s="343"/>
      <c r="J102" s="343"/>
    </row>
    <row r="103" spans="2:23" s="209" customFormat="1">
      <c r="C103" s="343"/>
      <c r="D103" s="343"/>
      <c r="E103" s="343"/>
      <c r="F103" s="343"/>
      <c r="G103" s="343"/>
      <c r="H103" s="343"/>
      <c r="I103" s="343"/>
      <c r="J103" s="343"/>
    </row>
    <row r="104" spans="2:23" s="206" customFormat="1">
      <c r="B104" s="212" t="s">
        <v>615</v>
      </c>
      <c r="C104" s="341">
        <f t="shared" ref="C104:I104" si="218">C4+C29+C79+C44+C9+C84+C59+C14+C89+C64+C24+C19+C34+C49+C69+C94</f>
        <v>1247.5839999999998</v>
      </c>
      <c r="D104" s="341">
        <f t="shared" si="218"/>
        <v>1275.585</v>
      </c>
      <c r="E104" s="341">
        <f t="shared" si="218"/>
        <v>2771.3330000000001</v>
      </c>
      <c r="F104" s="341">
        <f t="shared" si="218"/>
        <v>4196.5</v>
      </c>
      <c r="G104" s="341">
        <f t="shared" si="218"/>
        <v>6265.7</v>
      </c>
      <c r="H104" s="341">
        <f t="shared" si="218"/>
        <v>14250.4</v>
      </c>
      <c r="I104" s="341">
        <f t="shared" si="218"/>
        <v>14289.199999999999</v>
      </c>
      <c r="J104" s="341">
        <f>J4+J29+J79+J44+J9+J84+J59+J14+J89+J64+J24+J19+J34+J49+J69+J94+J39+J54+J74+J99</f>
        <v>15838</v>
      </c>
      <c r="K104" s="341">
        <f t="shared" ref="K104:W104" si="219">K4+K29+K79+K44+K9+K84+K59+K14+K89+K64+K24+K19+K34+K49+K69+K94+K39+K54+K74+K99</f>
        <v>15838</v>
      </c>
      <c r="L104" s="341">
        <f t="shared" si="219"/>
        <v>15333</v>
      </c>
      <c r="M104" s="341">
        <f t="shared" si="219"/>
        <v>13324</v>
      </c>
      <c r="N104" s="341">
        <f t="shared" si="219"/>
        <v>12827</v>
      </c>
      <c r="O104" s="341">
        <f t="shared" si="219"/>
        <v>10789</v>
      </c>
      <c r="P104" s="341">
        <f t="shared" si="219"/>
        <v>9306</v>
      </c>
      <c r="Q104" s="341">
        <f t="shared" si="219"/>
        <v>8305</v>
      </c>
      <c r="R104" s="341">
        <f t="shared" si="219"/>
        <v>5827</v>
      </c>
      <c r="S104" s="341">
        <f t="shared" si="219"/>
        <v>5827</v>
      </c>
      <c r="T104" s="341">
        <f t="shared" si="219"/>
        <v>4836</v>
      </c>
      <c r="U104" s="341">
        <f t="shared" si="219"/>
        <v>4836</v>
      </c>
      <c r="V104" s="341">
        <f t="shared" si="219"/>
        <v>4836</v>
      </c>
      <c r="W104" s="341">
        <f t="shared" si="219"/>
        <v>4836</v>
      </c>
    </row>
    <row r="105" spans="2:23" s="209" customFormat="1" outlineLevel="1">
      <c r="B105" s="209" t="s">
        <v>616</v>
      </c>
      <c r="C105" s="292"/>
      <c r="D105" s="292">
        <f>D6+D31+D81+D46+D11+D91+D66+D16+D26+D86+D61</f>
        <v>46.500624250000001</v>
      </c>
      <c r="E105" s="292">
        <f>E6+E31+E81+E46+E11+E91+E66+E16+E26+E86+E61</f>
        <v>63.76017925</v>
      </c>
      <c r="F105" s="292">
        <f>F6+F31+F81+F46+F11+F91+F66+F16+F26+F86+F61</f>
        <v>111.75552425000001</v>
      </c>
      <c r="G105" s="292">
        <f>G6+G31+G81+G46+G11+G91+G66+G16+G26+G86+G61</f>
        <v>209.75853125000003</v>
      </c>
      <c r="H105" s="292">
        <f>H6+H31+H81+H46+H11+H91+H66+H16+H26+H86+H61+H96+H71+H36</f>
        <v>300.30628749999994</v>
      </c>
      <c r="I105" s="292">
        <f t="shared" ref="I105:W105" si="220">I6+I31+I81+I46+I11+I91+I66+I16+I26+I86+I61+I96+I71+I36</f>
        <v>468.30253749999997</v>
      </c>
      <c r="J105" s="292">
        <f t="shared" si="220"/>
        <v>459.17626250000001</v>
      </c>
      <c r="K105" s="292">
        <f t="shared" si="220"/>
        <v>449.47574999999995</v>
      </c>
      <c r="L105" s="292">
        <f t="shared" si="220"/>
        <v>443.79449999999997</v>
      </c>
      <c r="M105" s="292">
        <f t="shared" si="220"/>
        <v>406.47112499999997</v>
      </c>
      <c r="N105" s="292">
        <f t="shared" si="220"/>
        <v>374.82899999999995</v>
      </c>
      <c r="O105" s="292">
        <f t="shared" si="220"/>
        <v>357.86399999999998</v>
      </c>
      <c r="P105" s="292">
        <f t="shared" si="220"/>
        <v>326.15899999999999</v>
      </c>
      <c r="Q105" s="292">
        <f t="shared" si="220"/>
        <v>293.27587499999998</v>
      </c>
      <c r="R105" s="292">
        <f t="shared" si="220"/>
        <v>227.1215</v>
      </c>
      <c r="S105" s="292">
        <f t="shared" si="220"/>
        <v>179.11025000000001</v>
      </c>
      <c r="T105" s="292">
        <f t="shared" si="220"/>
        <v>179.11025000000001</v>
      </c>
      <c r="U105" s="292">
        <f t="shared" si="220"/>
        <v>179.11025000000001</v>
      </c>
      <c r="V105" s="292">
        <f t="shared" si="220"/>
        <v>179.11025000000001</v>
      </c>
      <c r="W105" s="292">
        <f t="shared" si="220"/>
        <v>179.11025000000001</v>
      </c>
    </row>
    <row r="106" spans="2:23" s="209" customFormat="1" outlineLevel="1">
      <c r="B106" s="209" t="s">
        <v>617</v>
      </c>
      <c r="C106" s="292"/>
      <c r="D106" s="292">
        <v>8</v>
      </c>
      <c r="E106" s="292">
        <f>34.3/2.45</f>
        <v>13.999999999999998</v>
      </c>
      <c r="F106" s="292">
        <f t="shared" ref="F106:L106" si="221">E106</f>
        <v>13.999999999999998</v>
      </c>
      <c r="G106" s="292">
        <f>F106</f>
        <v>13.999999999999998</v>
      </c>
      <c r="H106" s="292">
        <f t="shared" si="221"/>
        <v>13.999999999999998</v>
      </c>
      <c r="I106" s="292">
        <f t="shared" si="221"/>
        <v>13.999999999999998</v>
      </c>
      <c r="J106" s="292">
        <f t="shared" si="221"/>
        <v>13.999999999999998</v>
      </c>
      <c r="K106" s="292">
        <f t="shared" si="221"/>
        <v>13.999999999999998</v>
      </c>
      <c r="L106" s="292">
        <f t="shared" si="221"/>
        <v>13.999999999999998</v>
      </c>
      <c r="M106" s="292">
        <f>L106</f>
        <v>13.999999999999998</v>
      </c>
      <c r="N106" s="292">
        <f t="shared" ref="N106:T106" si="222">M106</f>
        <v>13.999999999999998</v>
      </c>
      <c r="O106" s="292">
        <f t="shared" si="222"/>
        <v>13.999999999999998</v>
      </c>
      <c r="P106" s="292">
        <f t="shared" si="222"/>
        <v>13.999999999999998</v>
      </c>
      <c r="Q106" s="292">
        <f t="shared" si="222"/>
        <v>13.999999999999998</v>
      </c>
      <c r="R106" s="292">
        <f t="shared" si="222"/>
        <v>13.999999999999998</v>
      </c>
      <c r="S106" s="292">
        <f t="shared" si="222"/>
        <v>13.999999999999998</v>
      </c>
      <c r="T106" s="292">
        <f t="shared" si="222"/>
        <v>13.999999999999998</v>
      </c>
      <c r="U106" s="292">
        <f>T106</f>
        <v>13.999999999999998</v>
      </c>
      <c r="V106" s="292">
        <f>U106</f>
        <v>13.999999999999998</v>
      </c>
      <c r="W106" s="292">
        <f>V106</f>
        <v>13.999999999999998</v>
      </c>
    </row>
    <row r="107" spans="2:23" s="209" customFormat="1" outlineLevel="1">
      <c r="B107" s="209" t="s">
        <v>618</v>
      </c>
      <c r="C107" s="345">
        <f>C104-BS!K31</f>
        <v>0</v>
      </c>
      <c r="D107" s="345">
        <f>D104-BS!L31</f>
        <v>0</v>
      </c>
      <c r="E107" s="699">
        <f>E104-BS!M31</f>
        <v>0</v>
      </c>
      <c r="F107" s="345">
        <f>F104-BS!N31</f>
        <v>0</v>
      </c>
      <c r="G107" s="345">
        <f>G104-BS!O31</f>
        <v>0</v>
      </c>
      <c r="H107" s="345">
        <f>H104-BS!P31</f>
        <v>0</v>
      </c>
      <c r="I107" s="345">
        <f>I104-BS!Q31</f>
        <v>500.69999999999891</v>
      </c>
      <c r="J107" s="345">
        <f>J104-BS!R31</f>
        <v>0</v>
      </c>
      <c r="K107" s="345">
        <f>K104-BS!S31</f>
        <v>0</v>
      </c>
      <c r="L107" s="345">
        <f>L104-BS!T31</f>
        <v>0</v>
      </c>
      <c r="M107" s="345">
        <f>M104-BS!U31</f>
        <v>0</v>
      </c>
      <c r="N107" s="345">
        <f>N104-BS!V31</f>
        <v>0</v>
      </c>
      <c r="O107" s="345">
        <f>O104-BS!W31</f>
        <v>0</v>
      </c>
      <c r="P107" s="345">
        <f>P104-BS!X31</f>
        <v>0</v>
      </c>
      <c r="Q107" s="345">
        <f>Q104-BS!Y31</f>
        <v>0</v>
      </c>
      <c r="R107" s="345">
        <f>R104-BS!Z31</f>
        <v>0</v>
      </c>
      <c r="S107" s="345">
        <f>S104-BS!AA31</f>
        <v>0</v>
      </c>
      <c r="T107" s="345">
        <f>T104-BS!AB31</f>
        <v>0</v>
      </c>
      <c r="U107" s="345">
        <f>U104-BS!AC31</f>
        <v>0</v>
      </c>
      <c r="V107" s="345">
        <f>V104-BS!AD31</f>
        <v>0</v>
      </c>
      <c r="W107" s="345">
        <f>W104-BS!AE31</f>
        <v>0</v>
      </c>
    </row>
    <row r="108" spans="2:23">
      <c r="D108" s="299"/>
      <c r="E108" s="209"/>
      <c r="F108" s="209"/>
    </row>
    <row r="109" spans="2:23">
      <c r="E109" s="300"/>
      <c r="F109" s="300"/>
    </row>
    <row r="111" spans="2:23">
      <c r="D111" s="209"/>
      <c r="E111" s="209"/>
    </row>
  </sheetData>
  <phoneticPr fontId="52" type="noConversion"/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AA17"/>
  <sheetViews>
    <sheetView zoomScaleNormal="100" workbookViewId="0">
      <pane xSplit="2" ySplit="2" topLeftCell="C3" activePane="bottomRight" state="frozen"/>
      <selection activeCell="N43" sqref="N43"/>
      <selection pane="topRight" activeCell="N43" sqref="N43"/>
      <selection pane="bottomLeft" activeCell="N43" sqref="N43"/>
      <selection pane="bottomRight" activeCell="M10" sqref="M10"/>
    </sheetView>
  </sheetViews>
  <sheetFormatPr defaultRowHeight="12.75"/>
  <cols>
    <col min="1" max="1" width="2" customWidth="1"/>
    <col min="2" max="2" width="38.7109375" customWidth="1"/>
    <col min="3" max="3" width="6.7109375" customWidth="1"/>
    <col min="27" max="27" width="21.140625" customWidth="1"/>
  </cols>
  <sheetData>
    <row r="2" spans="2:27" ht="13.5" thickBot="1">
      <c r="B2" s="460"/>
      <c r="C2" s="460"/>
      <c r="D2" s="460">
        <f>E2-1</f>
        <v>2009</v>
      </c>
      <c r="E2" s="460">
        <f>F2-1</f>
        <v>2010</v>
      </c>
      <c r="F2" s="460">
        <f>G2-1</f>
        <v>2011</v>
      </c>
      <c r="G2" s="460">
        <f>H2-1</f>
        <v>2012</v>
      </c>
      <c r="H2" s="460">
        <v>2013</v>
      </c>
      <c r="I2" s="460">
        <f>H2+1</f>
        <v>2014</v>
      </c>
      <c r="J2" s="460">
        <f t="shared" ref="J2:O2" si="0">I2+1</f>
        <v>2015</v>
      </c>
      <c r="K2" s="460">
        <f t="shared" si="0"/>
        <v>2016</v>
      </c>
      <c r="L2" s="460">
        <f t="shared" si="0"/>
        <v>2017</v>
      </c>
      <c r="M2" s="460">
        <f t="shared" si="0"/>
        <v>2018</v>
      </c>
      <c r="N2" s="460">
        <f t="shared" si="0"/>
        <v>2019</v>
      </c>
      <c r="O2" s="460">
        <f t="shared" si="0"/>
        <v>2020</v>
      </c>
      <c r="P2" s="460">
        <f t="shared" ref="P2:Y2" si="1">O2+1</f>
        <v>2021</v>
      </c>
      <c r="Q2" s="460">
        <f t="shared" si="1"/>
        <v>2022</v>
      </c>
      <c r="R2" s="460">
        <f t="shared" si="1"/>
        <v>2023</v>
      </c>
      <c r="S2" s="460">
        <f t="shared" si="1"/>
        <v>2024</v>
      </c>
      <c r="T2" s="460">
        <f t="shared" si="1"/>
        <v>2025</v>
      </c>
      <c r="U2" s="460">
        <f t="shared" si="1"/>
        <v>2026</v>
      </c>
      <c r="V2" s="460">
        <f t="shared" si="1"/>
        <v>2027</v>
      </c>
      <c r="W2" s="460">
        <f t="shared" si="1"/>
        <v>2028</v>
      </c>
      <c r="X2" s="460">
        <f t="shared" si="1"/>
        <v>2029</v>
      </c>
      <c r="Y2" s="460">
        <f t="shared" si="1"/>
        <v>2030</v>
      </c>
      <c r="Z2" s="360" t="s">
        <v>112</v>
      </c>
      <c r="AA2" t="s">
        <v>105</v>
      </c>
    </row>
    <row r="4" spans="2:27">
      <c r="B4" s="461" t="s">
        <v>394</v>
      </c>
      <c r="C4" s="462"/>
      <c r="D4" s="463">
        <f>REVS!AL6</f>
        <v>1038</v>
      </c>
      <c r="E4" s="463">
        <f>REVS!AQ6</f>
        <v>1432</v>
      </c>
      <c r="F4" s="463">
        <f>REVS!AV6</f>
        <v>1832</v>
      </c>
      <c r="G4" s="463">
        <f>REVS!BA6</f>
        <v>2150</v>
      </c>
      <c r="H4" s="463">
        <f>REVS!BF6</f>
        <v>2489</v>
      </c>
      <c r="I4" s="463">
        <f>REVS!BK6</f>
        <v>2915.7</v>
      </c>
      <c r="J4" s="463">
        <f>J5+J6+J8+J7</f>
        <v>3505.2719630636357</v>
      </c>
      <c r="K4" s="463">
        <f>K5+K6+K8+K7</f>
        <v>4444.5447986013141</v>
      </c>
      <c r="L4" s="463">
        <f>L5+L6+L8+L7</f>
        <v>5339.8397113406454</v>
      </c>
      <c r="M4" s="463">
        <f t="shared" ref="M4:Y4" si="2">M5+M6+M8+M7</f>
        <v>6320.8799640841798</v>
      </c>
      <c r="N4" s="463">
        <f t="shared" si="2"/>
        <v>7459.8253069647544</v>
      </c>
      <c r="O4" s="463">
        <f t="shared" si="2"/>
        <v>8714.7751071586499</v>
      </c>
      <c r="P4" s="463">
        <f t="shared" si="2"/>
        <v>9765.3370248210176</v>
      </c>
      <c r="Q4" s="463">
        <f t="shared" si="2"/>
        <v>10388.719990771115</v>
      </c>
      <c r="R4" s="463">
        <f t="shared" si="2"/>
        <v>10463.781761839949</v>
      </c>
      <c r="S4" s="463">
        <f t="shared" si="2"/>
        <v>10147.410367858296</v>
      </c>
      <c r="T4" s="463">
        <f t="shared" si="2"/>
        <v>8682.2073338439186</v>
      </c>
      <c r="U4" s="463">
        <f t="shared" si="2"/>
        <v>3115.6238578832763</v>
      </c>
      <c r="V4" s="463">
        <f t="shared" si="2"/>
        <v>834.56923158328891</v>
      </c>
      <c r="W4" s="463">
        <f t="shared" si="2"/>
        <v>362.57391118370657</v>
      </c>
      <c r="X4" s="463">
        <f t="shared" si="2"/>
        <v>200.34342787609094</v>
      </c>
      <c r="Y4" s="463">
        <f t="shared" si="2"/>
        <v>166.44035567137573</v>
      </c>
    </row>
    <row r="5" spans="2:27">
      <c r="B5" s="359" t="s">
        <v>395</v>
      </c>
      <c r="D5" s="5">
        <f>MM_US!J227</f>
        <v>921.11826131929092</v>
      </c>
      <c r="E5" s="5">
        <f>MM_US!K227</f>
        <v>1285.6611701290542</v>
      </c>
      <c r="F5" s="5">
        <f>MM_US!L227</f>
        <v>1683.8670621780836</v>
      </c>
      <c r="G5" s="5">
        <f>MM_US!M227</f>
        <v>1969.8150506612858</v>
      </c>
      <c r="H5" s="5">
        <f>MM_US!N227</f>
        <v>2281.5435798998114</v>
      </c>
      <c r="I5" s="5">
        <f>MM_US!O227</f>
        <v>2696.2288675627997</v>
      </c>
      <c r="J5" s="5">
        <f>MM_US!P227</f>
        <v>3257.1007025112131</v>
      </c>
      <c r="K5" s="5">
        <f>MM_US!Q227</f>
        <v>4079.2854236697958</v>
      </c>
      <c r="L5" s="5">
        <f>MM_US!R227</f>
        <v>4956.1744985829346</v>
      </c>
      <c r="M5" s="5">
        <f>MM_US!S227</f>
        <v>5767.3792067608056</v>
      </c>
      <c r="N5" s="5">
        <f>MM_US!T227</f>
        <v>6634.9371180406815</v>
      </c>
      <c r="O5" s="5">
        <f>MM_US!U227</f>
        <v>7566.8142532668699</v>
      </c>
      <c r="P5" s="5">
        <f>MM_US!V227</f>
        <v>8472.4726968533505</v>
      </c>
      <c r="Q5" s="5">
        <f>MM_US!W227</f>
        <v>9003.8502866183571</v>
      </c>
      <c r="R5" s="5">
        <f>MM_US!X227</f>
        <v>9109.41122268648</v>
      </c>
      <c r="S5" s="5">
        <f>MM_US!Y227</f>
        <v>8958.9225137969261</v>
      </c>
      <c r="T5" s="5">
        <f>MM_US!Z227</f>
        <v>7866.3919786421975</v>
      </c>
      <c r="U5" s="5">
        <f>MM_US!AA227</f>
        <v>2921.8553350914672</v>
      </c>
      <c r="V5" s="5">
        <f>MM_US!AB227</f>
        <v>813.02969154491382</v>
      </c>
      <c r="W5" s="5">
        <f>MM_US!AC227</f>
        <v>361.22866820735771</v>
      </c>
      <c r="X5" s="5">
        <f>MM_US!AD227</f>
        <v>200.21686920610114</v>
      </c>
      <c r="Y5" s="5">
        <f>MM_US!AE227</f>
        <v>166.42065874091432</v>
      </c>
    </row>
    <row r="6" spans="2:27">
      <c r="B6" s="359" t="s">
        <v>127</v>
      </c>
      <c r="D6" s="5">
        <f>MDS!J26</f>
        <v>107.63868274995139</v>
      </c>
      <c r="E6" s="5">
        <f>MDS!K26</f>
        <v>115.23302868392224</v>
      </c>
      <c r="F6" s="5">
        <f>MDS!L26</f>
        <v>122.40561732924084</v>
      </c>
      <c r="G6" s="5">
        <f>MDS!M26</f>
        <v>132.25000361802114</v>
      </c>
      <c r="H6" s="5">
        <f>MDS!N26</f>
        <v>141.74972386015509</v>
      </c>
      <c r="I6" s="5">
        <f>MDS!O26</f>
        <v>148.92225988747896</v>
      </c>
      <c r="J6" s="5">
        <f>MDS!P26</f>
        <v>156.45772623778538</v>
      </c>
      <c r="K6" s="5">
        <f>MDS!Q26</f>
        <v>164.37448718541734</v>
      </c>
      <c r="L6" s="5">
        <f>MDS!R26</f>
        <v>172.69183623699942</v>
      </c>
      <c r="M6" s="5">
        <f>MDS!S26</f>
        <v>181.43004315059162</v>
      </c>
      <c r="N6" s="5">
        <f>MDS!T26</f>
        <v>190.61040333401155</v>
      </c>
      <c r="O6" s="5">
        <f>MDS!U26</f>
        <v>200.25528974271256</v>
      </c>
      <c r="P6" s="5">
        <f>MDS!V26</f>
        <v>210.38820740369385</v>
      </c>
      <c r="Q6" s="5">
        <f>MDS!W26</f>
        <v>209.9821581634047</v>
      </c>
      <c r="R6" s="5">
        <f>MDS!X26</f>
        <v>199.70762064754396</v>
      </c>
      <c r="S6" s="5">
        <f>MDS!Y26</f>
        <v>185.41598599041325</v>
      </c>
      <c r="T6" s="5">
        <f>MDS!Z26</f>
        <v>153.78792227489066</v>
      </c>
      <c r="U6" s="5">
        <f>MDS!AA26</f>
        <v>53.856530380666698</v>
      </c>
      <c r="V6" s="5">
        <f>MDS!AB26</f>
        <v>14.145417704482126</v>
      </c>
      <c r="W6" s="5">
        <f>MDS!AC26</f>
        <v>1.1888940672263137</v>
      </c>
      <c r="X6" s="5">
        <f>MDS!AD26</f>
        <v>0.12490521070279656</v>
      </c>
      <c r="Y6" s="5">
        <f>MDS!AE26</f>
        <v>1.9683812154653563E-2</v>
      </c>
    </row>
    <row r="7" spans="2:27">
      <c r="B7" s="359" t="s">
        <v>917</v>
      </c>
      <c r="D7" s="5"/>
      <c r="E7" s="5"/>
      <c r="F7" s="5"/>
      <c r="G7" s="5"/>
      <c r="H7" s="5"/>
      <c r="I7" s="5"/>
      <c r="J7" s="5"/>
      <c r="K7" s="5">
        <v>100</v>
      </c>
      <c r="L7" s="5">
        <v>100</v>
      </c>
      <c r="M7" s="5">
        <v>250</v>
      </c>
      <c r="N7" s="5">
        <v>500</v>
      </c>
      <c r="O7" s="5">
        <v>800</v>
      </c>
      <c r="P7" s="5">
        <f>O7*1.15*(1-MM_US!V244)</f>
        <v>919.99999999999989</v>
      </c>
      <c r="Q7" s="5">
        <f>P7*1.15*(1-MM_US!W244)</f>
        <v>1005.0999999999997</v>
      </c>
      <c r="R7" s="5">
        <f>Q7*1.15*(1-MM_US!X244)</f>
        <v>994.04389999999955</v>
      </c>
      <c r="S7" s="5">
        <f>R7*1.15*(1-MM_US!Y244)</f>
        <v>868.79436859999953</v>
      </c>
      <c r="T7" s="5">
        <f>S7*1.1*(1-MM_US!Z244)</f>
        <v>573.40428327599977</v>
      </c>
      <c r="U7" s="5">
        <f>T7*1.05*(1-MM_US!AA244)</f>
        <v>120.41489948795993</v>
      </c>
      <c r="V7" s="5">
        <f>U7*1.05*(1-MM_US!AB244)</f>
        <v>6.3217822231179017</v>
      </c>
      <c r="W7" s="5">
        <f>V7*1.05*(1-MM_US!AC244)</f>
        <v>0.13275742668547605</v>
      </c>
      <c r="X7" s="5">
        <f>W7*1.05*(1-MM_US!AD244)</f>
        <v>1.3939529801974999E-3</v>
      </c>
      <c r="Y7" s="5">
        <f>X7*1.05*(1-MM_US!AE244)</f>
        <v>1.0977379719055241E-5</v>
      </c>
    </row>
    <row r="8" spans="2:27">
      <c r="B8" s="359" t="s">
        <v>111</v>
      </c>
      <c r="D8" s="464">
        <f t="shared" ref="D8:I8" si="3">D4-D5-D6</f>
        <v>9.2430559307576914</v>
      </c>
      <c r="E8" s="464">
        <f t="shared" si="3"/>
        <v>31.105801187023559</v>
      </c>
      <c r="F8" s="464">
        <f t="shared" si="3"/>
        <v>25.727320492675517</v>
      </c>
      <c r="G8" s="464">
        <f t="shared" si="3"/>
        <v>47.934945720693065</v>
      </c>
      <c r="H8" s="464">
        <f t="shared" si="3"/>
        <v>65.706696240033466</v>
      </c>
      <c r="I8" s="464">
        <f t="shared" si="3"/>
        <v>70.548872549721182</v>
      </c>
      <c r="J8" s="5">
        <f>I8*1.3</f>
        <v>91.713534314637542</v>
      </c>
      <c r="K8" s="5">
        <f t="shared" ref="K8:N8" si="4">J8*1.1</f>
        <v>100.8848877461013</v>
      </c>
      <c r="L8" s="5">
        <f t="shared" si="4"/>
        <v>110.97337652071144</v>
      </c>
      <c r="M8" s="5">
        <f t="shared" si="4"/>
        <v>122.07071417278259</v>
      </c>
      <c r="N8" s="5">
        <f t="shared" si="4"/>
        <v>134.27778559006086</v>
      </c>
      <c r="O8" s="5">
        <f>N8*1.1*(1-MM_US!U244)</f>
        <v>147.70556414906696</v>
      </c>
      <c r="P8" s="5">
        <f>O8*1.1*(1-MM_US!V244)</f>
        <v>162.47612056397367</v>
      </c>
      <c r="Q8" s="5">
        <f>P8*1.1*(1-MM_US!W244)</f>
        <v>169.78754598935248</v>
      </c>
      <c r="R8" s="5">
        <f>Q8*1.1*(1-MM_US!X244)</f>
        <v>160.61901850592747</v>
      </c>
      <c r="S8" s="5">
        <f>R8*1.1*(1-MM_US!Y244)</f>
        <v>134.27749947095538</v>
      </c>
      <c r="T8" s="5">
        <f>S8*1.1*(1-MM_US!Z244)</f>
        <v>88.623149650830555</v>
      </c>
      <c r="U8" s="5">
        <f>T8*1.1*(1-MM_US!AA244)</f>
        <v>19.49709292318272</v>
      </c>
      <c r="V8" s="5">
        <f>U8*1.1*(1-MM_US!AB244)</f>
        <v>1.0723401107750508</v>
      </c>
      <c r="W8" s="5">
        <f>V8*1.1*(1-MM_US!AC244)</f>
        <v>2.3591482437051139E-2</v>
      </c>
      <c r="X8" s="5">
        <f>W8*1.1*(1-MM_US!AD244)</f>
        <v>2.5950630680756281E-4</v>
      </c>
      <c r="Y8" s="5">
        <f>X8*1.1*(1-MM_US!AE244)</f>
        <v>2.1409270311623796E-6</v>
      </c>
    </row>
    <row r="10" spans="2:27">
      <c r="B10" s="461" t="s">
        <v>396</v>
      </c>
      <c r="C10" s="462"/>
      <c r="D10" s="463">
        <f>REVS!AL7</f>
        <v>668.4369999999999</v>
      </c>
      <c r="E10" s="463">
        <f>REVS!AQ7</f>
        <v>1037.183</v>
      </c>
      <c r="F10" s="463">
        <f>REVS!AV7</f>
        <v>1376.1529999999998</v>
      </c>
      <c r="G10" s="463">
        <f>REVS!BA7</f>
        <v>1616.64</v>
      </c>
      <c r="H10" s="463">
        <f>REVS!BF7</f>
        <v>1791.1</v>
      </c>
      <c r="I10" s="463">
        <f>I11+I12+I14</f>
        <v>2031.8325741859248</v>
      </c>
      <c r="J10" s="463">
        <f>J11+J12+J14+J13</f>
        <v>2265.1877852906455</v>
      </c>
      <c r="K10" s="463">
        <f t="shared" ref="K10:Y10" si="5">K11+K12+K14+K13</f>
        <v>2669.4936258677876</v>
      </c>
      <c r="L10" s="463">
        <f t="shared" si="5"/>
        <v>2823.1779053025425</v>
      </c>
      <c r="M10" s="463">
        <f t="shared" si="5"/>
        <v>3061.3561928062686</v>
      </c>
      <c r="N10" s="463">
        <f t="shared" si="5"/>
        <v>3307.0547680518803</v>
      </c>
      <c r="O10" s="463">
        <f t="shared" si="5"/>
        <v>3665.2653387032101</v>
      </c>
      <c r="P10" s="463">
        <f t="shared" si="5"/>
        <v>4116.9149096789552</v>
      </c>
      <c r="Q10" s="463">
        <f t="shared" si="5"/>
        <v>3585.8138541614421</v>
      </c>
      <c r="R10" s="463">
        <f t="shared" si="5"/>
        <v>2356.357221101297</v>
      </c>
      <c r="S10" s="463">
        <f t="shared" si="5"/>
        <v>937.13618933432269</v>
      </c>
      <c r="T10" s="463">
        <f t="shared" si="5"/>
        <v>234.59221694606418</v>
      </c>
      <c r="U10" s="463">
        <f t="shared" si="5"/>
        <v>116.57402133779136</v>
      </c>
      <c r="V10" s="463">
        <f t="shared" si="5"/>
        <v>45.728880430158107</v>
      </c>
      <c r="W10" s="463">
        <f t="shared" si="5"/>
        <v>45.966272694258372</v>
      </c>
      <c r="X10" s="463">
        <f t="shared" si="5"/>
        <v>46.96622567479654</v>
      </c>
      <c r="Y10" s="463">
        <f t="shared" si="5"/>
        <v>48.111013006363493</v>
      </c>
    </row>
    <row r="11" spans="2:27">
      <c r="B11" s="359" t="s">
        <v>395</v>
      </c>
      <c r="D11" s="5">
        <f>MM_EU!J231</f>
        <v>661.80128161977302</v>
      </c>
      <c r="E11" s="5">
        <f>MM_EU!K231</f>
        <v>1003.6442494051346</v>
      </c>
      <c r="F11" s="5">
        <f>MM_EU!L231</f>
        <v>1321.2205494595871</v>
      </c>
      <c r="G11" s="5">
        <f>MM_EU!M231</f>
        <v>1540.5204613276965</v>
      </c>
      <c r="H11" s="5">
        <f>MM_EU!N231</f>
        <v>1701.1824172110169</v>
      </c>
      <c r="I11" s="5">
        <f>MM_EU!O231</f>
        <v>1931.0530148680014</v>
      </c>
      <c r="J11" s="5">
        <f>MM_EU!P231</f>
        <v>2144.9461379322688</v>
      </c>
      <c r="K11" s="5">
        <f>MM_EU!Q231</f>
        <v>2536.5515755663855</v>
      </c>
      <c r="L11" s="5">
        <f>MM_EU!R231</f>
        <v>2676.8789326266565</v>
      </c>
      <c r="M11" s="5">
        <f>MM_EU!S231</f>
        <v>2850.9893484602831</v>
      </c>
      <c r="N11" s="5">
        <f>MM_EU!T231</f>
        <v>3006.849383325783</v>
      </c>
      <c r="O11" s="5">
        <f>MM_EU!U231</f>
        <v>3224.3852088305653</v>
      </c>
      <c r="P11" s="5">
        <f>MM_EU!V231</f>
        <v>3509.4518974151165</v>
      </c>
      <c r="Q11" s="5">
        <f>MM_EU!W231</f>
        <v>3037.7874553326633</v>
      </c>
      <c r="R11" s="5">
        <f>MM_EU!X231</f>
        <v>1994.5374053398309</v>
      </c>
      <c r="S11" s="5">
        <f>MM_EU!Y231</f>
        <v>822.51621970603628</v>
      </c>
      <c r="T11" s="5">
        <f>MM_EU!Z231</f>
        <v>212.05948585945336</v>
      </c>
      <c r="U11" s="5">
        <f>MM_EU!AA231</f>
        <v>109.36456748195533</v>
      </c>
      <c r="V11" s="5">
        <f>MM_EU!AB231</f>
        <v>45.124471538283856</v>
      </c>
      <c r="W11" s="5">
        <f>MM_EU!AC231</f>
        <v>45.934224207611592</v>
      </c>
      <c r="X11" s="5">
        <f>MM_EU!AD231</f>
        <v>46.956727062160773</v>
      </c>
      <c r="Y11" s="5">
        <f>MM_EU!AE231</f>
        <v>48.109222995933493</v>
      </c>
    </row>
    <row r="12" spans="2:27">
      <c r="B12" s="359" t="s">
        <v>127</v>
      </c>
      <c r="D12" s="5">
        <f>MDS!J55</f>
        <v>6.3982379888491865</v>
      </c>
      <c r="E12" s="5">
        <f>MDS!K55</f>
        <v>12.912923909095428</v>
      </c>
      <c r="F12" s="5">
        <f>MDS!L55</f>
        <v>26.0608630333364</v>
      </c>
      <c r="G12" s="5">
        <f>MDS!M55</f>
        <v>39.447025330409637</v>
      </c>
      <c r="H12" s="5">
        <f>MDS!N55</f>
        <v>53.074657681221829</v>
      </c>
      <c r="I12" s="5">
        <f>MDS!O55</f>
        <v>60.252341699386072</v>
      </c>
      <c r="J12" s="5">
        <f>MDS!P55</f>
        <v>67.556264454278335</v>
      </c>
      <c r="K12" s="5">
        <f>MDS!Q55</f>
        <v>74.988129106893496</v>
      </c>
      <c r="L12" s="5">
        <f>MDS!R55</f>
        <v>82.5496593619268</v>
      </c>
      <c r="M12" s="5">
        <f>MDS!S55</f>
        <v>90.242599700630365</v>
      </c>
      <c r="N12" s="5">
        <f>MDS!T55</f>
        <v>98.068715616206589</v>
      </c>
      <c r="O12" s="5">
        <f>MDS!U55</f>
        <v>106.02979385176509</v>
      </c>
      <c r="P12" s="5">
        <f>MDS!V55</f>
        <v>114.12764264087058</v>
      </c>
      <c r="Q12" s="5">
        <f>MDS!W55*(1-Q17)</f>
        <v>97.891273560567129</v>
      </c>
      <c r="R12" s="5">
        <f>MDS!X55*(1-R17)</f>
        <v>65.370496863949597</v>
      </c>
      <c r="S12" s="5">
        <f>MDS!Y55*(1-S17)</f>
        <v>5.2772294708329239</v>
      </c>
      <c r="T12" s="5">
        <f>MDS!Z55*(1-T17)</f>
        <v>0.26626261295087555</v>
      </c>
      <c r="U12" s="5">
        <f>MDS!AA55*(1-U17)</f>
        <v>2.6868560272872849E-2</v>
      </c>
      <c r="V12" s="5">
        <f>MDS!AB55*(1-V17)</f>
        <v>2.1690451337084797E-3</v>
      </c>
      <c r="W12" s="5">
        <f>MDS!AC55*(1-W17)</f>
        <v>4.377566888850455E-4</v>
      </c>
      <c r="X12" s="5">
        <f>MDS!AD55</f>
        <v>8.8348054950779849E-3</v>
      </c>
      <c r="Y12" s="5">
        <f>MDS!AE55</f>
        <v>1.783040445016639E-3</v>
      </c>
    </row>
    <row r="13" spans="2:27">
      <c r="B13" s="359" t="s">
        <v>917</v>
      </c>
      <c r="D13" s="5"/>
      <c r="E13" s="5"/>
      <c r="F13" s="5"/>
      <c r="G13" s="5"/>
      <c r="H13" s="5"/>
      <c r="I13" s="5"/>
      <c r="J13" s="5"/>
      <c r="K13" s="5"/>
      <c r="L13" s="5"/>
      <c r="M13" s="5">
        <f t="shared" ref="M13:P13" si="6">L7*0.5</f>
        <v>50</v>
      </c>
      <c r="N13" s="5">
        <f t="shared" si="6"/>
        <v>125</v>
      </c>
      <c r="O13" s="5">
        <f t="shared" si="6"/>
        <v>250</v>
      </c>
      <c r="P13" s="5">
        <f t="shared" si="6"/>
        <v>400</v>
      </c>
      <c r="Q13" s="5">
        <f>P7*0.5*(1-Q17)</f>
        <v>368</v>
      </c>
      <c r="R13" s="5">
        <f t="shared" ref="R13:Y13" si="7">Q7*0.5*(1-R17)</f>
        <v>251.27499999999992</v>
      </c>
      <c r="S13" s="5">
        <f t="shared" si="7"/>
        <v>99.404389999999935</v>
      </c>
      <c r="T13" s="5">
        <f t="shared" si="7"/>
        <v>21.719859215000007</v>
      </c>
      <c r="U13" s="5">
        <f t="shared" si="7"/>
        <v>7.1675535409500037</v>
      </c>
      <c r="V13" s="5">
        <f t="shared" si="7"/>
        <v>0.60207449743980013</v>
      </c>
      <c r="W13" s="5">
        <f t="shared" si="7"/>
        <v>3.1608911115589534E-2</v>
      </c>
      <c r="X13" s="5">
        <f t="shared" si="7"/>
        <v>6.6378713342738079E-4</v>
      </c>
      <c r="Y13" s="5">
        <f t="shared" si="7"/>
        <v>6.9697649009875056E-6</v>
      </c>
    </row>
    <row r="14" spans="2:27">
      <c r="B14" s="359" t="s">
        <v>111</v>
      </c>
      <c r="D14" s="464">
        <f>D10-D11-D12</f>
        <v>0.23748039137768995</v>
      </c>
      <c r="E14" s="464">
        <f>E10-E11-E12</f>
        <v>20.625826685769979</v>
      </c>
      <c r="F14" s="464">
        <f>F10-F11-F12</f>
        <v>28.871587507076274</v>
      </c>
      <c r="G14" s="464">
        <f>G10-G11-G12</f>
        <v>36.672513341893996</v>
      </c>
      <c r="H14" s="464">
        <f>H10-H11-H12</f>
        <v>36.842925107761225</v>
      </c>
      <c r="I14" s="465">
        <f t="shared" ref="I14:O14" si="8">H14*1.1</f>
        <v>40.52721761853735</v>
      </c>
      <c r="J14" s="465">
        <f>I14*1.3</f>
        <v>52.685382904098553</v>
      </c>
      <c r="K14" s="465">
        <f t="shared" si="8"/>
        <v>57.953921194508411</v>
      </c>
      <c r="L14" s="465">
        <f t="shared" si="8"/>
        <v>63.749313313959256</v>
      </c>
      <c r="M14" s="465">
        <f t="shared" si="8"/>
        <v>70.124244645355191</v>
      </c>
      <c r="N14" s="465">
        <f t="shared" si="8"/>
        <v>77.136669109890718</v>
      </c>
      <c r="O14" s="465">
        <f t="shared" si="8"/>
        <v>84.850336020879794</v>
      </c>
      <c r="P14" s="465">
        <f>O14*1.1</f>
        <v>93.335369622967775</v>
      </c>
      <c r="Q14" s="465">
        <f>P14*1.1*(1-Q17)</f>
        <v>82.135125268211652</v>
      </c>
      <c r="R14" s="465">
        <f t="shared" ref="R14:Y14" si="9">Q14*1.1*(1-R17)</f>
        <v>45.174318897516414</v>
      </c>
      <c r="S14" s="465">
        <f t="shared" si="9"/>
        <v>9.9383501574536108</v>
      </c>
      <c r="T14" s="465">
        <f t="shared" si="9"/>
        <v>0.54660925865994914</v>
      </c>
      <c r="U14" s="465">
        <f t="shared" si="9"/>
        <v>1.5031754613148615E-2</v>
      </c>
      <c r="V14" s="465">
        <f t="shared" si="9"/>
        <v>1.6534930074463492E-4</v>
      </c>
      <c r="W14" s="465">
        <f t="shared" si="9"/>
        <v>1.8188423081909858E-6</v>
      </c>
      <c r="X14" s="465">
        <f t="shared" si="9"/>
        <v>2.0007265390100865E-8</v>
      </c>
      <c r="Y14" s="465">
        <f t="shared" si="9"/>
        <v>2.2007991929110974E-10</v>
      </c>
    </row>
    <row r="17" spans="2:25" hidden="1">
      <c r="B17" s="359" t="s">
        <v>1001</v>
      </c>
      <c r="Q17" s="7">
        <f>MM_EU!W239</f>
        <v>0.2</v>
      </c>
      <c r="R17" s="7">
        <f>MM_EU!X239</f>
        <v>0.5</v>
      </c>
      <c r="S17" s="7">
        <f>MM_EU!Y239</f>
        <v>0.8</v>
      </c>
      <c r="T17" s="7">
        <f>MM_EU!Z239</f>
        <v>0.95</v>
      </c>
      <c r="U17" s="7">
        <f>MM_EU!AA239</f>
        <v>0.97499999999999998</v>
      </c>
      <c r="V17" s="7">
        <f>MM_EU!AB239</f>
        <v>0.99</v>
      </c>
      <c r="W17" s="7">
        <f>MM_EU!AC239</f>
        <v>0.99</v>
      </c>
      <c r="X17" s="7">
        <f>MM_EU!AD239</f>
        <v>0.99</v>
      </c>
      <c r="Y17" s="7">
        <f>MM_EU!AE239</f>
        <v>0.99</v>
      </c>
    </row>
  </sheetData>
  <phoneticPr fontId="52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V285"/>
  <sheetViews>
    <sheetView zoomScaleNormal="100" workbookViewId="0">
      <pane xSplit="2" ySplit="6" topLeftCell="AB7" activePane="bottomRight" state="frozen"/>
      <selection pane="topRight"/>
      <selection pane="bottomLeft"/>
      <selection pane="bottomRight" activeCell="A138" sqref="A138"/>
    </sheetView>
  </sheetViews>
  <sheetFormatPr defaultRowHeight="12.75" outlineLevelRow="3" outlineLevelCol="1"/>
  <cols>
    <col min="1" max="1" width="2" customWidth="1"/>
    <col min="2" max="2" width="38.7109375" customWidth="1"/>
    <col min="3" max="3" width="6.7109375" customWidth="1"/>
    <col min="4" max="4" width="6.7109375" style="18" customWidth="1" outlineLevel="1"/>
    <col min="5" max="9" width="9.140625" customWidth="1" outlineLevel="1"/>
    <col min="33" max="33" width="21.140625" customWidth="1"/>
  </cols>
  <sheetData>
    <row r="1" spans="1:48">
      <c r="B1" s="25" t="s">
        <v>775</v>
      </c>
      <c r="D1" s="371"/>
      <c r="J1" s="1242">
        <f>DCF!C25</f>
        <v>2</v>
      </c>
      <c r="K1" s="1242"/>
      <c r="M1" s="1243" t="s">
        <v>465</v>
      </c>
      <c r="N1" s="1243"/>
      <c r="O1" s="1243"/>
    </row>
    <row r="2" spans="1:48">
      <c r="B2" s="360"/>
      <c r="D2" s="371"/>
      <c r="J2" s="50"/>
      <c r="K2" s="50"/>
      <c r="L2" s="59"/>
      <c r="M2" s="59"/>
      <c r="N2" s="50"/>
      <c r="O2" s="50"/>
    </row>
    <row r="3" spans="1:48" hidden="1" outlineLevel="1">
      <c r="A3" s="417"/>
      <c r="B3" t="s">
        <v>102</v>
      </c>
      <c r="D3" s="371"/>
      <c r="E3" s="1">
        <v>292800000</v>
      </c>
      <c r="F3" s="1">
        <v>295500000</v>
      </c>
      <c r="G3" s="1">
        <v>298400000</v>
      </c>
      <c r="H3" s="1">
        <v>301200000</v>
      </c>
      <c r="I3" s="1">
        <v>304100000</v>
      </c>
      <c r="J3" s="1">
        <v>306800000</v>
      </c>
      <c r="K3" s="1">
        <v>309400000</v>
      </c>
      <c r="L3" s="1">
        <v>311600000</v>
      </c>
      <c r="M3" s="1">
        <v>313900000</v>
      </c>
      <c r="N3" s="1">
        <f>M3*(1+N4)</f>
        <v>316097299.99999994</v>
      </c>
      <c r="O3" s="1">
        <f t="shared" ref="O3:U3" si="0">N3*(1+O4)</f>
        <v>318309981.0999999</v>
      </c>
      <c r="P3" s="1">
        <f t="shared" si="0"/>
        <v>320538150.96769989</v>
      </c>
      <c r="Q3" s="1">
        <f t="shared" si="0"/>
        <v>322781918.02447373</v>
      </c>
      <c r="R3" s="1">
        <f t="shared" si="0"/>
        <v>325041391.45064503</v>
      </c>
      <c r="S3" s="1">
        <f t="shared" si="0"/>
        <v>327316681.19079953</v>
      </c>
      <c r="T3" s="1">
        <f t="shared" si="0"/>
        <v>329607897.95913512</v>
      </c>
      <c r="U3" s="1">
        <f t="shared" si="0"/>
        <v>331915153.24484903</v>
      </c>
      <c r="V3" s="1">
        <f t="shared" ref="V3:AE3" si="1">U3*(1+V4)</f>
        <v>334238559.31756294</v>
      </c>
      <c r="W3" s="1">
        <f t="shared" si="1"/>
        <v>336578229.23278582</v>
      </c>
      <c r="X3" s="1">
        <f t="shared" si="1"/>
        <v>338934276.83741528</v>
      </c>
      <c r="Y3" s="1">
        <f t="shared" si="1"/>
        <v>341306816.77527714</v>
      </c>
      <c r="Z3" s="1">
        <f t="shared" si="1"/>
        <v>343695964.49270403</v>
      </c>
      <c r="AA3" s="1">
        <f t="shared" si="1"/>
        <v>346101836.2441529</v>
      </c>
      <c r="AB3" s="1">
        <f t="shared" si="1"/>
        <v>348524549.09786195</v>
      </c>
      <c r="AC3" s="1">
        <f t="shared" si="1"/>
        <v>350964220.94154692</v>
      </c>
      <c r="AD3" s="1">
        <f t="shared" si="1"/>
        <v>353420970.48813772</v>
      </c>
      <c r="AE3" s="1">
        <f t="shared" si="1"/>
        <v>355894917.28155464</v>
      </c>
    </row>
    <row r="4" spans="1:48" hidden="1" outlineLevel="1">
      <c r="A4" s="417"/>
      <c r="D4" s="371"/>
      <c r="E4" s="1"/>
      <c r="F4" s="3">
        <f t="shared" ref="F4:M4" si="2">F3/E3-1</f>
        <v>9.2213114754098324E-3</v>
      </c>
      <c r="G4" s="3">
        <f t="shared" si="2"/>
        <v>9.8138747884941591E-3</v>
      </c>
      <c r="H4" s="3">
        <f t="shared" si="2"/>
        <v>9.3833780160856861E-3</v>
      </c>
      <c r="I4" s="3">
        <f t="shared" si="2"/>
        <v>9.6281540504647989E-3</v>
      </c>
      <c r="J4" s="3">
        <f t="shared" si="2"/>
        <v>8.8786583360735971E-3</v>
      </c>
      <c r="K4" s="3">
        <f t="shared" si="2"/>
        <v>8.4745762711864181E-3</v>
      </c>
      <c r="L4" s="3">
        <f t="shared" si="2"/>
        <v>7.1105365223012029E-3</v>
      </c>
      <c r="M4" s="3">
        <f t="shared" si="2"/>
        <v>7.3812580231065184E-3</v>
      </c>
      <c r="N4" s="15">
        <v>7.0000000000000001E-3</v>
      </c>
      <c r="O4" s="466">
        <f>N4</f>
        <v>7.0000000000000001E-3</v>
      </c>
      <c r="P4" s="466">
        <f t="shared" ref="P4:U4" si="3">O4</f>
        <v>7.0000000000000001E-3</v>
      </c>
      <c r="Q4" s="466">
        <f t="shared" si="3"/>
        <v>7.0000000000000001E-3</v>
      </c>
      <c r="R4" s="466">
        <f t="shared" si="3"/>
        <v>7.0000000000000001E-3</v>
      </c>
      <c r="S4" s="466">
        <f t="shared" si="3"/>
        <v>7.0000000000000001E-3</v>
      </c>
      <c r="T4" s="466">
        <f t="shared" si="3"/>
        <v>7.0000000000000001E-3</v>
      </c>
      <c r="U4" s="466">
        <f t="shared" si="3"/>
        <v>7.0000000000000001E-3</v>
      </c>
      <c r="V4" s="466">
        <f t="shared" ref="V4:AE4" si="4">U4</f>
        <v>7.0000000000000001E-3</v>
      </c>
      <c r="W4" s="466">
        <f t="shared" si="4"/>
        <v>7.0000000000000001E-3</v>
      </c>
      <c r="X4" s="466">
        <f t="shared" si="4"/>
        <v>7.0000000000000001E-3</v>
      </c>
      <c r="Y4" s="466">
        <f t="shared" si="4"/>
        <v>7.0000000000000001E-3</v>
      </c>
      <c r="Z4" s="466">
        <f t="shared" si="4"/>
        <v>7.0000000000000001E-3</v>
      </c>
      <c r="AA4" s="466">
        <f t="shared" si="4"/>
        <v>7.0000000000000001E-3</v>
      </c>
      <c r="AB4" s="466">
        <f t="shared" si="4"/>
        <v>7.0000000000000001E-3</v>
      </c>
      <c r="AC4" s="466">
        <f t="shared" si="4"/>
        <v>7.0000000000000001E-3</v>
      </c>
      <c r="AD4" s="466">
        <f t="shared" si="4"/>
        <v>7.0000000000000001E-3</v>
      </c>
      <c r="AE4" s="466">
        <f t="shared" si="4"/>
        <v>7.0000000000000001E-3</v>
      </c>
    </row>
    <row r="5" spans="1:48" hidden="1" outlineLevel="1">
      <c r="A5" s="417"/>
      <c r="B5" t="s">
        <v>103</v>
      </c>
      <c r="D5" s="371"/>
    </row>
    <row r="6" spans="1:48" ht="13.5" collapsed="1" thickBot="1">
      <c r="B6" s="467"/>
      <c r="C6" s="467"/>
      <c r="D6" s="468"/>
      <c r="E6" s="467">
        <v>2004</v>
      </c>
      <c r="F6" s="467">
        <f t="shared" ref="F6:M6" si="5">E6+1</f>
        <v>2005</v>
      </c>
      <c r="G6" s="467">
        <f t="shared" si="5"/>
        <v>2006</v>
      </c>
      <c r="H6" s="467">
        <f t="shared" si="5"/>
        <v>2007</v>
      </c>
      <c r="I6" s="467">
        <f t="shared" si="5"/>
        <v>2008</v>
      </c>
      <c r="J6" s="467">
        <f t="shared" si="5"/>
        <v>2009</v>
      </c>
      <c r="K6" s="467">
        <f t="shared" si="5"/>
        <v>2010</v>
      </c>
      <c r="L6" s="467">
        <f t="shared" si="5"/>
        <v>2011</v>
      </c>
      <c r="M6" s="467">
        <f t="shared" si="5"/>
        <v>2012</v>
      </c>
      <c r="N6" s="467">
        <v>2013</v>
      </c>
      <c r="O6" s="467">
        <f>N6+1</f>
        <v>2014</v>
      </c>
      <c r="P6" s="467">
        <f t="shared" ref="P6:U6" si="6">O6+1</f>
        <v>2015</v>
      </c>
      <c r="Q6" s="467">
        <f t="shared" si="6"/>
        <v>2016</v>
      </c>
      <c r="R6" s="467">
        <f t="shared" si="6"/>
        <v>2017</v>
      </c>
      <c r="S6" s="467">
        <f t="shared" si="6"/>
        <v>2018</v>
      </c>
      <c r="T6" s="467">
        <f t="shared" si="6"/>
        <v>2019</v>
      </c>
      <c r="U6" s="467">
        <f t="shared" si="6"/>
        <v>2020</v>
      </c>
      <c r="V6" s="460">
        <f t="shared" ref="V6:AE6" si="7">U6+1</f>
        <v>2021</v>
      </c>
      <c r="W6" s="460">
        <f t="shared" si="7"/>
        <v>2022</v>
      </c>
      <c r="X6" s="460">
        <f t="shared" si="7"/>
        <v>2023</v>
      </c>
      <c r="Y6" s="460">
        <f t="shared" si="7"/>
        <v>2024</v>
      </c>
      <c r="Z6" s="460">
        <f t="shared" si="7"/>
        <v>2025</v>
      </c>
      <c r="AA6" s="460">
        <f t="shared" si="7"/>
        <v>2026</v>
      </c>
      <c r="AB6" s="460">
        <f t="shared" si="7"/>
        <v>2027</v>
      </c>
      <c r="AC6" s="460">
        <f t="shared" si="7"/>
        <v>2028</v>
      </c>
      <c r="AD6" s="460">
        <f t="shared" si="7"/>
        <v>2029</v>
      </c>
      <c r="AE6" s="460">
        <f t="shared" si="7"/>
        <v>2030</v>
      </c>
      <c r="AF6" t="s">
        <v>112</v>
      </c>
      <c r="AG6" t="s">
        <v>105</v>
      </c>
    </row>
    <row r="7" spans="1:48" hidden="1" outlineLevel="1">
      <c r="B7" s="469" t="s">
        <v>350</v>
      </c>
      <c r="C7" s="470"/>
      <c r="D7" s="471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70"/>
      <c r="R7" s="470"/>
      <c r="S7" s="470"/>
      <c r="T7" s="470"/>
      <c r="U7" s="470"/>
      <c r="V7" s="470"/>
      <c r="W7" s="470"/>
      <c r="X7" s="470"/>
      <c r="Y7" s="470"/>
      <c r="Z7" s="470"/>
      <c r="AA7" s="470"/>
      <c r="AB7" s="470"/>
      <c r="AC7" s="470"/>
      <c r="AD7" s="470"/>
      <c r="AE7" s="470"/>
    </row>
    <row r="8" spans="1:48" hidden="1" outlineLevel="1">
      <c r="B8" s="360" t="s">
        <v>434</v>
      </c>
      <c r="D8" s="371"/>
      <c r="E8" s="5">
        <f t="shared" ref="E8:L8" si="8">F8/1.03</f>
        <v>59486.967514315278</v>
      </c>
      <c r="F8" s="5">
        <f t="shared" si="8"/>
        <v>61271.576539744739</v>
      </c>
      <c r="G8" s="5">
        <f t="shared" si="8"/>
        <v>63109.723835937082</v>
      </c>
      <c r="H8" s="5">
        <f t="shared" si="8"/>
        <v>65003.015551015196</v>
      </c>
      <c r="I8" s="5">
        <f t="shared" si="8"/>
        <v>66953.106017545651</v>
      </c>
      <c r="J8" s="5">
        <f t="shared" si="8"/>
        <v>68961.699198072019</v>
      </c>
      <c r="K8" s="5">
        <f t="shared" si="8"/>
        <v>71030.550174014177</v>
      </c>
      <c r="L8" s="5">
        <f t="shared" si="8"/>
        <v>73161.466679234611</v>
      </c>
      <c r="M8" s="5">
        <f>N8/1.03</f>
        <v>75356.310679611648</v>
      </c>
      <c r="N8" s="5">
        <v>77617</v>
      </c>
      <c r="O8" s="5">
        <f t="shared" ref="O8:U8" si="9">N8+N13</f>
        <v>80439.024856229997</v>
      </c>
      <c r="P8" s="5">
        <f t="shared" si="9"/>
        <v>83097.537803273095</v>
      </c>
      <c r="Q8" s="5">
        <f t="shared" si="9"/>
        <v>85595.572178356131</v>
      </c>
      <c r="R8" s="5">
        <f t="shared" si="9"/>
        <v>87935.765985332808</v>
      </c>
      <c r="S8" s="5">
        <f t="shared" si="9"/>
        <v>90120.372563381679</v>
      </c>
      <c r="T8" s="5">
        <f t="shared" si="9"/>
        <v>92151.270413570644</v>
      </c>
      <c r="U8" s="5">
        <f t="shared" si="9"/>
        <v>94029.972215418442</v>
      </c>
      <c r="V8" s="5">
        <f t="shared" ref="V8:AB8" si="10">U8+U13</f>
        <v>95757.633063663525</v>
      </c>
      <c r="W8" s="5">
        <f t="shared" si="10"/>
        <v>97335.057953616983</v>
      </c>
      <c r="X8" s="5">
        <f t="shared" si="10"/>
        <v>98762.708541724045</v>
      </c>
      <c r="Y8" s="5">
        <f t="shared" si="10"/>
        <v>100040.7092062837</v>
      </c>
      <c r="Z8" s="5">
        <f t="shared" si="10"/>
        <v>101168.85243167475</v>
      </c>
      <c r="AA8" s="5">
        <f t="shared" si="10"/>
        <v>102146.60353790359</v>
      </c>
      <c r="AB8" s="5">
        <f t="shared" si="10"/>
        <v>102973.10477582228</v>
      </c>
      <c r="AC8" s="5">
        <f>AB8+AB13</f>
        <v>103647.17880695974</v>
      </c>
      <c r="AD8" s="5">
        <f>AC8+AC13</f>
        <v>104167.33158556183</v>
      </c>
      <c r="AE8" s="5">
        <f>AD8+AD13</f>
        <v>104531.75465914446</v>
      </c>
      <c r="AG8" s="6" t="s">
        <v>104</v>
      </c>
    </row>
    <row r="9" spans="1:48" hidden="1" outlineLevel="1">
      <c r="B9" t="s">
        <v>100</v>
      </c>
      <c r="D9" s="371"/>
      <c r="E9" s="5">
        <f>5.91/100000*E3</f>
        <v>17304.48</v>
      </c>
      <c r="F9" s="5">
        <f>6.14/100000*F3</f>
        <v>18143.7</v>
      </c>
      <c r="G9" s="5">
        <f>5.9/100000*G3</f>
        <v>17605.600000000002</v>
      </c>
      <c r="H9" s="5">
        <f>5.96/100000*H3</f>
        <v>17951.52</v>
      </c>
      <c r="I9" s="5">
        <f>6.19/100000*I3</f>
        <v>18823.79</v>
      </c>
      <c r="J9" s="5">
        <f>6.31/100000*J3</f>
        <v>19359.080000000002</v>
      </c>
      <c r="K9" s="5">
        <f>6.36/100000*K3</f>
        <v>19677.84</v>
      </c>
      <c r="L9" s="5">
        <f>6.46/100000*L3</f>
        <v>20129.36</v>
      </c>
      <c r="M9" s="5">
        <f>6.56/100000*M3</f>
        <v>20591.84</v>
      </c>
      <c r="N9" s="5">
        <f>7.07051/100000*N3</f>
        <v>22349.691206229996</v>
      </c>
      <c r="O9" s="5">
        <f t="shared" ref="O9:U9" si="11">N9*1.02</f>
        <v>22796.685030354598</v>
      </c>
      <c r="P9" s="5">
        <f t="shared" si="11"/>
        <v>23252.618730961691</v>
      </c>
      <c r="Q9" s="5">
        <f t="shared" si="11"/>
        <v>23717.671105580925</v>
      </c>
      <c r="R9" s="5">
        <f t="shared" si="11"/>
        <v>24192.024527692545</v>
      </c>
      <c r="S9" s="5">
        <f t="shared" si="11"/>
        <v>24675.865018246397</v>
      </c>
      <c r="T9" s="5">
        <f t="shared" si="11"/>
        <v>25169.382318611326</v>
      </c>
      <c r="U9" s="5">
        <f t="shared" si="11"/>
        <v>25672.769964983552</v>
      </c>
      <c r="V9" s="5">
        <f t="shared" ref="V9:AB9" si="12">U9*1.02</f>
        <v>26186.225364283222</v>
      </c>
      <c r="W9" s="5">
        <f t="shared" si="12"/>
        <v>26709.949871568886</v>
      </c>
      <c r="X9" s="5">
        <f t="shared" si="12"/>
        <v>27244.148869000262</v>
      </c>
      <c r="Y9" s="5">
        <f t="shared" si="12"/>
        <v>27789.031846380269</v>
      </c>
      <c r="Z9" s="5">
        <f t="shared" si="12"/>
        <v>28344.812483307873</v>
      </c>
      <c r="AA9" s="5">
        <f t="shared" si="12"/>
        <v>28911.708732974032</v>
      </c>
      <c r="AB9" s="5">
        <f t="shared" si="12"/>
        <v>29489.942907633515</v>
      </c>
      <c r="AC9" s="5">
        <f>AB9*1.02</f>
        <v>30079.741765786184</v>
      </c>
      <c r="AD9" s="5">
        <f>AC9*1.02</f>
        <v>30681.33660110191</v>
      </c>
      <c r="AE9" s="5">
        <f>AD9*1.02</f>
        <v>31294.963333123949</v>
      </c>
    </row>
    <row r="10" spans="1:48" hidden="1" outlineLevel="1">
      <c r="B10" s="360" t="s">
        <v>457</v>
      </c>
      <c r="D10" s="371"/>
      <c r="E10" s="5">
        <f t="shared" ref="E10:L10" si="13">E8-F8+E9</f>
        <v>15519.870974570538</v>
      </c>
      <c r="F10" s="5">
        <f t="shared" si="13"/>
        <v>16305.552703807658</v>
      </c>
      <c r="G10" s="5">
        <f t="shared" si="13"/>
        <v>15712.308284921888</v>
      </c>
      <c r="H10" s="5">
        <f t="shared" si="13"/>
        <v>16001.429533469545</v>
      </c>
      <c r="I10" s="5">
        <f t="shared" si="13"/>
        <v>16815.196819473633</v>
      </c>
      <c r="J10" s="5">
        <f t="shared" si="13"/>
        <v>17290.229024057844</v>
      </c>
      <c r="K10" s="5">
        <f t="shared" si="13"/>
        <v>17546.923494779567</v>
      </c>
      <c r="L10" s="5">
        <f t="shared" si="13"/>
        <v>17934.515999622963</v>
      </c>
      <c r="M10" s="5">
        <f>M8-N8+M9</f>
        <v>18331.150679611648</v>
      </c>
      <c r="N10" s="5">
        <f>N11+N12</f>
        <v>19527.666349999992</v>
      </c>
      <c r="O10" s="5">
        <f>O11+O12</f>
        <v>20138.172083311496</v>
      </c>
      <c r="P10" s="5">
        <f t="shared" ref="P10:AE10" si="14">P11+P12</f>
        <v>20754.584355878647</v>
      </c>
      <c r="Q10" s="5">
        <f t="shared" si="14"/>
        <v>21377.477298604252</v>
      </c>
      <c r="R10" s="5">
        <f t="shared" si="14"/>
        <v>22007.417949643681</v>
      </c>
      <c r="S10" s="5">
        <f t="shared" si="14"/>
        <v>22644.967168057436</v>
      </c>
      <c r="T10" s="5">
        <f t="shared" si="14"/>
        <v>23290.680516763536</v>
      </c>
      <c r="U10" s="5">
        <f>U11+U12</f>
        <v>23945.109116738477</v>
      </c>
      <c r="V10" s="5">
        <f t="shared" si="14"/>
        <v>24608.800474329757</v>
      </c>
      <c r="W10" s="5">
        <f t="shared" si="14"/>
        <v>25282.299283461827</v>
      </c>
      <c r="X10" s="5">
        <f t="shared" si="14"/>
        <v>25966.148204440611</v>
      </c>
      <c r="Y10" s="5">
        <f t="shared" si="14"/>
        <v>26660.888620989226</v>
      </c>
      <c r="Z10" s="5">
        <f t="shared" si="14"/>
        <v>27367.06137707903</v>
      </c>
      <c r="AA10" s="5">
        <f t="shared" si="14"/>
        <v>28085.207495055329</v>
      </c>
      <c r="AB10" s="5">
        <f t="shared" si="14"/>
        <v>28815.868876496068</v>
      </c>
      <c r="AC10" s="5">
        <f t="shared" si="14"/>
        <v>29559.588987184092</v>
      </c>
      <c r="AD10" s="5">
        <f t="shared" si="14"/>
        <v>30316.913527519278</v>
      </c>
      <c r="AE10" s="5">
        <f t="shared" si="14"/>
        <v>31088.391089645644</v>
      </c>
    </row>
    <row r="11" spans="1:48" hidden="1" outlineLevel="2">
      <c r="B11" s="360" t="s">
        <v>439</v>
      </c>
      <c r="D11" s="371"/>
      <c r="E11" s="5">
        <f>3.58/100000*E3*1.5</f>
        <v>15723.360000000002</v>
      </c>
      <c r="F11" s="5">
        <f>3.58/100000*F3*1.5</f>
        <v>15868.350000000002</v>
      </c>
      <c r="G11" s="5">
        <f>3.5/100000*G3*1.5</f>
        <v>15665.999999999996</v>
      </c>
      <c r="H11" s="5">
        <f>3.49/100000*H3*1.5</f>
        <v>15767.820000000002</v>
      </c>
      <c r="I11" s="5">
        <f>3.33/100000*I3*1.5</f>
        <v>15189.795000000002</v>
      </c>
      <c r="J11" s="5">
        <f>3.29/100000*J3*1.5</f>
        <v>15140.579999999998</v>
      </c>
      <c r="K11" s="5">
        <f>3.32/100000*K3*1.5</f>
        <v>15408.119999999999</v>
      </c>
      <c r="L11" s="5">
        <f>3.3/100000*L3*1.5</f>
        <v>15424.199999999999</v>
      </c>
      <c r="M11" s="5">
        <f>3.3/100000*M3*1.5</f>
        <v>15538.05</v>
      </c>
      <c r="N11" s="5">
        <f>3.3/100000*N3*1.5</f>
        <v>15646.816349999994</v>
      </c>
      <c r="O11" s="5">
        <f t="shared" ref="O11:U11" si="15">N11*1.03</f>
        <v>16116.220840499995</v>
      </c>
      <c r="P11" s="5">
        <f t="shared" si="15"/>
        <v>16599.707465714993</v>
      </c>
      <c r="Q11" s="5">
        <f t="shared" si="15"/>
        <v>17097.698689686444</v>
      </c>
      <c r="R11" s="5">
        <f t="shared" si="15"/>
        <v>17610.629650377039</v>
      </c>
      <c r="S11" s="5">
        <f t="shared" si="15"/>
        <v>18138.948539888352</v>
      </c>
      <c r="T11" s="5">
        <f t="shared" si="15"/>
        <v>18683.116996085002</v>
      </c>
      <c r="U11" s="5">
        <f t="shared" si="15"/>
        <v>19243.610505967554</v>
      </c>
      <c r="V11" s="5">
        <f t="shared" ref="V11:AA11" si="16">U11*1.03</f>
        <v>19820.918821146581</v>
      </c>
      <c r="W11" s="5">
        <f t="shared" si="16"/>
        <v>20415.546385780977</v>
      </c>
      <c r="X11" s="5">
        <f t="shared" si="16"/>
        <v>21028.012777354408</v>
      </c>
      <c r="Y11" s="5">
        <f t="shared" si="16"/>
        <v>21658.85316067504</v>
      </c>
      <c r="Z11" s="5">
        <f t="shared" si="16"/>
        <v>22308.618755495292</v>
      </c>
      <c r="AA11" s="5">
        <f t="shared" si="16"/>
        <v>22977.87731816015</v>
      </c>
      <c r="AB11" s="5">
        <f>AA11*1.03</f>
        <v>23667.213637704954</v>
      </c>
      <c r="AC11" s="5">
        <f>AB11*1.03</f>
        <v>24377.230046836103</v>
      </c>
      <c r="AD11" s="5">
        <f>AC11*1.03</f>
        <v>25108.546948241186</v>
      </c>
      <c r="AE11" s="5">
        <f>AD11*1.03</f>
        <v>25861.803356688422</v>
      </c>
    </row>
    <row r="12" spans="1:48" hidden="1" outlineLevel="2">
      <c r="B12" s="360" t="s">
        <v>455</v>
      </c>
      <c r="D12" s="371"/>
      <c r="E12" s="5"/>
      <c r="F12" s="5"/>
      <c r="G12" s="5"/>
      <c r="H12" s="5"/>
      <c r="I12" s="5"/>
      <c r="J12" s="5"/>
      <c r="K12" s="5"/>
      <c r="L12" s="5"/>
      <c r="M12" s="5"/>
      <c r="N12" s="5">
        <f>N8*0.05</f>
        <v>3880.8500000000004</v>
      </c>
      <c r="O12" s="5">
        <f t="shared" ref="O12:T12" si="17">O8*0.05</f>
        <v>4021.9512428114999</v>
      </c>
      <c r="P12" s="5">
        <f t="shared" si="17"/>
        <v>4154.8768901636549</v>
      </c>
      <c r="Q12" s="5">
        <f t="shared" si="17"/>
        <v>4279.7786089178071</v>
      </c>
      <c r="R12" s="5">
        <f t="shared" si="17"/>
        <v>4396.7882992666409</v>
      </c>
      <c r="S12" s="5">
        <f t="shared" si="17"/>
        <v>4506.018628169084</v>
      </c>
      <c r="T12" s="5">
        <f t="shared" si="17"/>
        <v>4607.5635206785328</v>
      </c>
      <c r="U12" s="5">
        <f>U8*0.05</f>
        <v>4701.4986107709219</v>
      </c>
      <c r="V12" s="5">
        <f t="shared" ref="V12:AE12" si="18">V8*0.05</f>
        <v>4787.8816531831762</v>
      </c>
      <c r="W12" s="5">
        <f t="shared" si="18"/>
        <v>4866.7528976808489</v>
      </c>
      <c r="X12" s="5">
        <f t="shared" si="18"/>
        <v>4938.135427086203</v>
      </c>
      <c r="Y12" s="5">
        <f t="shared" si="18"/>
        <v>5002.0354603141859</v>
      </c>
      <c r="Z12" s="5">
        <f t="shared" si="18"/>
        <v>5058.4426215837375</v>
      </c>
      <c r="AA12" s="5">
        <f t="shared" si="18"/>
        <v>5107.3301768951796</v>
      </c>
      <c r="AB12" s="5">
        <f t="shared" si="18"/>
        <v>5148.6552387911142</v>
      </c>
      <c r="AC12" s="5">
        <f t="shared" si="18"/>
        <v>5182.3589403479873</v>
      </c>
      <c r="AD12" s="5">
        <f t="shared" si="18"/>
        <v>5208.3665792780921</v>
      </c>
      <c r="AE12" s="5">
        <f t="shared" si="18"/>
        <v>5226.5877329572231</v>
      </c>
    </row>
    <row r="13" spans="1:48" hidden="1" outlineLevel="2">
      <c r="D13" s="371"/>
      <c r="E13" s="5"/>
      <c r="F13" s="5"/>
      <c r="G13" s="5"/>
      <c r="H13" s="5"/>
      <c r="I13" s="5"/>
      <c r="J13" s="5"/>
      <c r="K13" s="5"/>
      <c r="L13" s="5"/>
      <c r="M13" s="5"/>
      <c r="N13" s="5">
        <f>N9-N11-N12</f>
        <v>2822.0248562300021</v>
      </c>
      <c r="O13" s="5">
        <f t="shared" ref="O13:T13" si="19">O9-O11-O12</f>
        <v>2658.5129470431034</v>
      </c>
      <c r="P13" s="5">
        <f t="shared" si="19"/>
        <v>2498.0343750830425</v>
      </c>
      <c r="Q13" s="5">
        <f t="shared" si="19"/>
        <v>2340.1938069766738</v>
      </c>
      <c r="R13" s="5">
        <f t="shared" si="19"/>
        <v>2184.6065780488652</v>
      </c>
      <c r="S13" s="5">
        <f t="shared" si="19"/>
        <v>2030.8978501889615</v>
      </c>
      <c r="T13" s="5">
        <f t="shared" si="19"/>
        <v>1878.7018018477911</v>
      </c>
      <c r="U13" s="5">
        <f>U9-U11-U12</f>
        <v>1727.6608482450765</v>
      </c>
      <c r="V13" s="5">
        <f t="shared" ref="V13:AA13" si="20">V9-V11-V12</f>
        <v>1577.424889953465</v>
      </c>
      <c r="W13" s="5">
        <f t="shared" si="20"/>
        <v>1427.6505881070598</v>
      </c>
      <c r="X13" s="5">
        <f t="shared" si="20"/>
        <v>1278.0006645596513</v>
      </c>
      <c r="Y13" s="5">
        <f t="shared" si="20"/>
        <v>1128.1432253910425</v>
      </c>
      <c r="Z13" s="5">
        <f t="shared" si="20"/>
        <v>977.75110622884313</v>
      </c>
      <c r="AA13" s="5">
        <f t="shared" si="20"/>
        <v>826.50123791870192</v>
      </c>
      <c r="AB13" s="5">
        <f>AB9-AB11-AB12</f>
        <v>674.07403113744658</v>
      </c>
      <c r="AC13" s="5">
        <f>AC9-AC11-AC12</f>
        <v>520.15277860209426</v>
      </c>
      <c r="AD13" s="5">
        <f>AD9-AD11-AD12</f>
        <v>364.42307358263133</v>
      </c>
      <c r="AE13" s="5">
        <f>AE9-AE11-AE12</f>
        <v>206.57224347830379</v>
      </c>
      <c r="AF13" s="5"/>
      <c r="AS13" s="360" t="s">
        <v>128</v>
      </c>
      <c r="AT13">
        <v>10</v>
      </c>
      <c r="AV13" s="7">
        <v>0.65</v>
      </c>
    </row>
    <row r="14" spans="1:48" ht="13.5" hidden="1" outlineLevel="1" collapsed="1" thickBot="1">
      <c r="D14" s="371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2"/>
      <c r="S14" s="5"/>
      <c r="T14" s="5"/>
      <c r="U14" s="762"/>
      <c r="V14" s="762"/>
      <c r="W14" s="762"/>
      <c r="X14" s="762"/>
      <c r="Y14" s="762"/>
      <c r="Z14" s="762"/>
      <c r="AA14" s="762"/>
      <c r="AB14" s="762"/>
      <c r="AC14" s="762"/>
      <c r="AD14" s="762"/>
      <c r="AE14" s="762"/>
      <c r="AF14" s="5"/>
      <c r="AS14" s="360"/>
      <c r="AV14" s="7"/>
    </row>
    <row r="15" spans="1:48" hidden="1" outlineLevel="1">
      <c r="B15" s="469" t="s">
        <v>115</v>
      </c>
      <c r="C15" s="469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2"/>
      <c r="P15" s="472"/>
      <c r="Q15" s="472"/>
      <c r="R15" s="472"/>
      <c r="S15" s="472"/>
      <c r="T15" s="472"/>
      <c r="U15" s="756"/>
      <c r="V15" s="756"/>
      <c r="W15" s="756"/>
      <c r="X15" s="756"/>
      <c r="Y15" s="756"/>
      <c r="Z15" s="756"/>
      <c r="AA15" s="756"/>
      <c r="AB15" s="756"/>
      <c r="AC15" s="756"/>
      <c r="AD15" s="756"/>
      <c r="AE15" s="756"/>
    </row>
    <row r="16" spans="1:48" hidden="1" outlineLevel="1">
      <c r="B16" t="s">
        <v>46</v>
      </c>
      <c r="D16" s="371"/>
      <c r="E16" s="7">
        <v>0.91</v>
      </c>
      <c r="F16" s="7">
        <f>E16</f>
        <v>0.91</v>
      </c>
      <c r="G16" s="7">
        <f t="shared" ref="G16:N16" si="21">F16</f>
        <v>0.91</v>
      </c>
      <c r="H16" s="7">
        <f t="shared" si="21"/>
        <v>0.91</v>
      </c>
      <c r="I16" s="7">
        <f t="shared" si="21"/>
        <v>0.91</v>
      </c>
      <c r="J16" s="7">
        <f t="shared" si="21"/>
        <v>0.91</v>
      </c>
      <c r="K16" s="7">
        <f t="shared" si="21"/>
        <v>0.91</v>
      </c>
      <c r="L16" s="7">
        <f t="shared" si="21"/>
        <v>0.91</v>
      </c>
      <c r="M16" s="7">
        <f t="shared" si="21"/>
        <v>0.91</v>
      </c>
      <c r="N16" s="7">
        <f t="shared" si="21"/>
        <v>0.91</v>
      </c>
      <c r="O16" s="7">
        <f t="shared" ref="O16:T16" si="22">N16</f>
        <v>0.91</v>
      </c>
      <c r="P16" s="7">
        <f t="shared" si="22"/>
        <v>0.91</v>
      </c>
      <c r="Q16" s="7">
        <f t="shared" si="22"/>
        <v>0.91</v>
      </c>
      <c r="R16" s="7">
        <f t="shared" si="22"/>
        <v>0.91</v>
      </c>
      <c r="S16" s="7">
        <f t="shared" si="22"/>
        <v>0.91</v>
      </c>
      <c r="T16" s="7">
        <f t="shared" si="22"/>
        <v>0.91</v>
      </c>
      <c r="U16" s="7">
        <f>T16</f>
        <v>0.91</v>
      </c>
      <c r="V16" s="7">
        <f t="shared" ref="V16:AA16" si="23">U16</f>
        <v>0.91</v>
      </c>
      <c r="W16" s="7">
        <f t="shared" si="23"/>
        <v>0.91</v>
      </c>
      <c r="X16" s="7">
        <f t="shared" si="23"/>
        <v>0.91</v>
      </c>
      <c r="Y16" s="7">
        <f t="shared" si="23"/>
        <v>0.91</v>
      </c>
      <c r="Z16" s="7">
        <f t="shared" si="23"/>
        <v>0.91</v>
      </c>
      <c r="AA16" s="7">
        <f t="shared" si="23"/>
        <v>0.91</v>
      </c>
      <c r="AB16" s="7">
        <f>AA16</f>
        <v>0.91</v>
      </c>
      <c r="AC16" s="7">
        <f>AB16</f>
        <v>0.91</v>
      </c>
      <c r="AD16" s="7">
        <f>AC16</f>
        <v>0.91</v>
      </c>
      <c r="AE16" s="7">
        <f>AD16</f>
        <v>0.91</v>
      </c>
      <c r="AG16" s="357" t="s">
        <v>348</v>
      </c>
    </row>
    <row r="17" spans="2:45" hidden="1" outlineLevel="1">
      <c r="B17" s="360" t="s">
        <v>349</v>
      </c>
      <c r="D17" s="371"/>
      <c r="E17" s="5">
        <f t="shared" ref="E17:N17" si="24">E16*E9</f>
        <v>15747.076800000001</v>
      </c>
      <c r="F17" s="5">
        <f t="shared" si="24"/>
        <v>16510.767</v>
      </c>
      <c r="G17" s="5">
        <f t="shared" si="24"/>
        <v>16021.096000000003</v>
      </c>
      <c r="H17" s="5">
        <f t="shared" si="24"/>
        <v>16335.8832</v>
      </c>
      <c r="I17" s="5">
        <f t="shared" si="24"/>
        <v>17129.6489</v>
      </c>
      <c r="J17" s="5">
        <f t="shared" si="24"/>
        <v>17616.7628</v>
      </c>
      <c r="K17" s="5">
        <f t="shared" si="24"/>
        <v>17906.8344</v>
      </c>
      <c r="L17" s="5">
        <f t="shared" si="24"/>
        <v>18317.7176</v>
      </c>
      <c r="M17" s="5">
        <f t="shared" si="24"/>
        <v>18738.574400000001</v>
      </c>
      <c r="N17" s="5">
        <f t="shared" si="24"/>
        <v>20338.218997669297</v>
      </c>
      <c r="O17" s="5">
        <f t="shared" ref="O17:T17" si="25">O16*O9</f>
        <v>20744.983377622684</v>
      </c>
      <c r="P17" s="5">
        <f t="shared" si="25"/>
        <v>21159.883045175138</v>
      </c>
      <c r="Q17" s="5">
        <f t="shared" si="25"/>
        <v>21583.080706078643</v>
      </c>
      <c r="R17" s="5">
        <f t="shared" si="25"/>
        <v>22014.742320200217</v>
      </c>
      <c r="S17" s="5">
        <f t="shared" si="25"/>
        <v>22455.037166604223</v>
      </c>
      <c r="T17" s="5">
        <f t="shared" si="25"/>
        <v>22904.137909936308</v>
      </c>
      <c r="U17" s="5">
        <f>U16*U9</f>
        <v>23362.220668135033</v>
      </c>
      <c r="V17" s="5">
        <f t="shared" ref="V17:AE17" si="26">V16*V9</f>
        <v>23829.465081497732</v>
      </c>
      <c r="W17" s="5">
        <f t="shared" si="26"/>
        <v>24306.054383127688</v>
      </c>
      <c r="X17" s="5">
        <f t="shared" si="26"/>
        <v>24792.17547079024</v>
      </c>
      <c r="Y17" s="5">
        <f t="shared" si="26"/>
        <v>25288.018980206045</v>
      </c>
      <c r="Z17" s="5">
        <f t="shared" si="26"/>
        <v>25793.779359810163</v>
      </c>
      <c r="AA17" s="5">
        <f t="shared" si="26"/>
        <v>26309.654947006369</v>
      </c>
      <c r="AB17" s="5">
        <f t="shared" si="26"/>
        <v>26835.848045946499</v>
      </c>
      <c r="AC17" s="5">
        <f t="shared" si="26"/>
        <v>27372.565006865429</v>
      </c>
      <c r="AD17" s="5">
        <f t="shared" si="26"/>
        <v>27920.016307002737</v>
      </c>
      <c r="AE17" s="5">
        <f t="shared" si="26"/>
        <v>28478.416633142795</v>
      </c>
    </row>
    <row r="18" spans="2:45" hidden="1" outlineLevel="1">
      <c r="D18" s="371"/>
      <c r="V18" s="763"/>
      <c r="W18" s="763"/>
      <c r="X18" s="763"/>
      <c r="Y18" s="763"/>
      <c r="Z18" s="763"/>
      <c r="AA18" s="763"/>
      <c r="AB18" s="763"/>
      <c r="AC18" s="763"/>
      <c r="AD18" s="763"/>
      <c r="AE18" s="763"/>
    </row>
    <row r="19" spans="2:45" hidden="1" outlineLevel="1">
      <c r="B19" s="473" t="s">
        <v>351</v>
      </c>
      <c r="C19" s="473"/>
      <c r="D19" s="474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757"/>
      <c r="W19" s="757"/>
      <c r="X19" s="757"/>
      <c r="Y19" s="757"/>
      <c r="Z19" s="757"/>
      <c r="AA19" s="757"/>
      <c r="AB19" s="757"/>
      <c r="AC19" s="757"/>
      <c r="AD19" s="757"/>
      <c r="AE19" s="757"/>
    </row>
    <row r="20" spans="2:45" hidden="1" outlineLevel="1">
      <c r="B20" s="360" t="s">
        <v>352</v>
      </c>
      <c r="D20" s="371"/>
      <c r="E20" s="475">
        <v>0.42</v>
      </c>
      <c r="F20" s="7">
        <f>E20</f>
        <v>0.42</v>
      </c>
      <c r="G20" s="7">
        <f t="shared" ref="G20:N20" si="27">F20</f>
        <v>0.42</v>
      </c>
      <c r="H20" s="7">
        <f t="shared" si="27"/>
        <v>0.42</v>
      </c>
      <c r="I20" s="7">
        <f t="shared" si="27"/>
        <v>0.42</v>
      </c>
      <c r="J20" s="7">
        <f t="shared" si="27"/>
        <v>0.42</v>
      </c>
      <c r="K20" s="7">
        <f t="shared" si="27"/>
        <v>0.42</v>
      </c>
      <c r="L20" s="7">
        <f t="shared" si="27"/>
        <v>0.42</v>
      </c>
      <c r="M20" s="7">
        <f t="shared" si="27"/>
        <v>0.42</v>
      </c>
      <c r="N20" s="7">
        <f t="shared" si="27"/>
        <v>0.42</v>
      </c>
      <c r="O20" s="7">
        <f t="shared" ref="O20:T21" si="28">N20</f>
        <v>0.42</v>
      </c>
      <c r="P20" s="7">
        <f t="shared" si="28"/>
        <v>0.42</v>
      </c>
      <c r="Q20" s="7">
        <f t="shared" si="28"/>
        <v>0.42</v>
      </c>
      <c r="R20" s="7">
        <f t="shared" si="28"/>
        <v>0.42</v>
      </c>
      <c r="S20" s="7">
        <f t="shared" si="28"/>
        <v>0.42</v>
      </c>
      <c r="T20" s="7">
        <f t="shared" si="28"/>
        <v>0.42</v>
      </c>
      <c r="U20" s="7">
        <f>T20</f>
        <v>0.42</v>
      </c>
      <c r="V20" s="7">
        <f t="shared" ref="V20:AA20" si="29">U20</f>
        <v>0.42</v>
      </c>
      <c r="W20" s="7">
        <f t="shared" si="29"/>
        <v>0.42</v>
      </c>
      <c r="X20" s="7">
        <f t="shared" si="29"/>
        <v>0.42</v>
      </c>
      <c r="Y20" s="7">
        <f t="shared" si="29"/>
        <v>0.42</v>
      </c>
      <c r="Z20" s="7">
        <f t="shared" si="29"/>
        <v>0.42</v>
      </c>
      <c r="AA20" s="7">
        <f t="shared" si="29"/>
        <v>0.42</v>
      </c>
      <c r="AB20" s="7">
        <f t="shared" ref="AB20:AE21" si="30">AA20</f>
        <v>0.42</v>
      </c>
      <c r="AC20" s="7">
        <f t="shared" si="30"/>
        <v>0.42</v>
      </c>
      <c r="AD20" s="7">
        <f t="shared" si="30"/>
        <v>0.42</v>
      </c>
      <c r="AE20" s="7">
        <f t="shared" si="30"/>
        <v>0.42</v>
      </c>
    </row>
    <row r="21" spans="2:45" hidden="1" outlineLevel="1">
      <c r="B21" s="360" t="s">
        <v>353</v>
      </c>
      <c r="D21" s="371"/>
      <c r="E21" s="475">
        <v>0.6</v>
      </c>
      <c r="F21" s="7">
        <f>E21</f>
        <v>0.6</v>
      </c>
      <c r="G21" s="7">
        <f t="shared" ref="G21:N21" si="31">F21</f>
        <v>0.6</v>
      </c>
      <c r="H21" s="7">
        <f t="shared" si="31"/>
        <v>0.6</v>
      </c>
      <c r="I21" s="475">
        <v>0.75</v>
      </c>
      <c r="J21" s="7">
        <f t="shared" si="31"/>
        <v>0.75</v>
      </c>
      <c r="K21" s="475">
        <v>0.8</v>
      </c>
      <c r="L21" s="7">
        <f t="shared" si="31"/>
        <v>0.8</v>
      </c>
      <c r="M21" s="7">
        <f t="shared" si="31"/>
        <v>0.8</v>
      </c>
      <c r="N21" s="7">
        <f t="shared" si="31"/>
        <v>0.8</v>
      </c>
      <c r="O21" s="7">
        <f t="shared" si="28"/>
        <v>0.8</v>
      </c>
      <c r="P21" s="7">
        <f t="shared" si="28"/>
        <v>0.8</v>
      </c>
      <c r="Q21" s="7">
        <f t="shared" si="28"/>
        <v>0.8</v>
      </c>
      <c r="R21" s="7">
        <f t="shared" si="28"/>
        <v>0.8</v>
      </c>
      <c r="S21" s="7">
        <f t="shared" si="28"/>
        <v>0.8</v>
      </c>
      <c r="T21" s="7">
        <f t="shared" si="28"/>
        <v>0.8</v>
      </c>
      <c r="U21" s="7">
        <f>T21</f>
        <v>0.8</v>
      </c>
      <c r="V21" s="7">
        <f t="shared" ref="V21:AA21" si="32">U21</f>
        <v>0.8</v>
      </c>
      <c r="W21" s="7">
        <f t="shared" si="32"/>
        <v>0.8</v>
      </c>
      <c r="X21" s="7">
        <f t="shared" si="32"/>
        <v>0.8</v>
      </c>
      <c r="Y21" s="7">
        <f t="shared" si="32"/>
        <v>0.8</v>
      </c>
      <c r="Z21" s="7">
        <f t="shared" si="32"/>
        <v>0.8</v>
      </c>
      <c r="AA21" s="7">
        <f t="shared" si="32"/>
        <v>0.8</v>
      </c>
      <c r="AB21" s="7">
        <f t="shared" si="30"/>
        <v>0.8</v>
      </c>
      <c r="AC21" s="7">
        <f t="shared" si="30"/>
        <v>0.8</v>
      </c>
      <c r="AD21" s="7">
        <f t="shared" si="30"/>
        <v>0.8</v>
      </c>
      <c r="AE21" s="7">
        <f t="shared" si="30"/>
        <v>0.8</v>
      </c>
    </row>
    <row r="22" spans="2:45" s="28" customFormat="1" hidden="1" outlineLevel="1">
      <c r="B22" s="27" t="s">
        <v>354</v>
      </c>
      <c r="D22" s="29"/>
      <c r="E22" s="120">
        <f>E21*E20</f>
        <v>0.252</v>
      </c>
      <c r="F22" s="120">
        <f t="shared" ref="F22:N22" si="33">F21*F20</f>
        <v>0.252</v>
      </c>
      <c r="G22" s="120">
        <f t="shared" si="33"/>
        <v>0.252</v>
      </c>
      <c r="H22" s="120">
        <f t="shared" si="33"/>
        <v>0.252</v>
      </c>
      <c r="I22" s="120">
        <f t="shared" si="33"/>
        <v>0.315</v>
      </c>
      <c r="J22" s="120">
        <f t="shared" si="33"/>
        <v>0.315</v>
      </c>
      <c r="K22" s="120">
        <f t="shared" si="33"/>
        <v>0.33600000000000002</v>
      </c>
      <c r="L22" s="120">
        <f t="shared" si="33"/>
        <v>0.33600000000000002</v>
      </c>
      <c r="M22" s="120">
        <f t="shared" si="33"/>
        <v>0.33600000000000002</v>
      </c>
      <c r="N22" s="120">
        <f t="shared" si="33"/>
        <v>0.33600000000000002</v>
      </c>
      <c r="O22" s="120">
        <f t="shared" ref="O22:T22" si="34">O21*O20</f>
        <v>0.33600000000000002</v>
      </c>
      <c r="P22" s="120">
        <f t="shared" si="34"/>
        <v>0.33600000000000002</v>
      </c>
      <c r="Q22" s="120">
        <f t="shared" si="34"/>
        <v>0.33600000000000002</v>
      </c>
      <c r="R22" s="120">
        <f t="shared" si="34"/>
        <v>0.33600000000000002</v>
      </c>
      <c r="S22" s="120">
        <f t="shared" si="34"/>
        <v>0.33600000000000002</v>
      </c>
      <c r="T22" s="120">
        <f t="shared" si="34"/>
        <v>0.33600000000000002</v>
      </c>
      <c r="U22" s="120">
        <f>U21*U20</f>
        <v>0.33600000000000002</v>
      </c>
      <c r="V22" s="120">
        <f t="shared" ref="V22:AA22" si="35">V21*V20</f>
        <v>0.33600000000000002</v>
      </c>
      <c r="W22" s="120">
        <f t="shared" si="35"/>
        <v>0.33600000000000002</v>
      </c>
      <c r="X22" s="120">
        <f t="shared" si="35"/>
        <v>0.33600000000000002</v>
      </c>
      <c r="Y22" s="120">
        <f t="shared" si="35"/>
        <v>0.33600000000000002</v>
      </c>
      <c r="Z22" s="120">
        <f t="shared" si="35"/>
        <v>0.33600000000000002</v>
      </c>
      <c r="AA22" s="120">
        <f t="shared" si="35"/>
        <v>0.33600000000000002</v>
      </c>
      <c r="AB22" s="120">
        <f>AB21*AB20</f>
        <v>0.33600000000000002</v>
      </c>
      <c r="AC22" s="120">
        <f>AC21*AC20</f>
        <v>0.33600000000000002</v>
      </c>
      <c r="AD22" s="120">
        <f>AD21*AD20</f>
        <v>0.33600000000000002</v>
      </c>
      <c r="AE22" s="120">
        <f>AE21*AE20</f>
        <v>0.33600000000000002</v>
      </c>
      <c r="AG22" t="s">
        <v>106</v>
      </c>
    </row>
    <row r="23" spans="2:45" hidden="1" outlineLevel="1">
      <c r="D23" s="371"/>
      <c r="V23" s="763"/>
      <c r="W23" s="763"/>
      <c r="X23" s="763"/>
      <c r="Y23" s="763"/>
      <c r="Z23" s="763"/>
      <c r="AA23" s="763"/>
      <c r="AB23" s="763"/>
      <c r="AC23" s="763"/>
      <c r="AD23" s="763"/>
      <c r="AE23" s="763"/>
    </row>
    <row r="24" spans="2:45" hidden="1" outlineLevel="1">
      <c r="B24" s="476" t="s">
        <v>359</v>
      </c>
      <c r="C24" s="477"/>
      <c r="D24" s="478"/>
      <c r="E24" s="477"/>
      <c r="F24" s="477"/>
      <c r="G24" s="477"/>
      <c r="H24" s="477"/>
      <c r="I24" s="477"/>
      <c r="J24" s="477"/>
      <c r="K24" s="477"/>
      <c r="L24" s="477"/>
      <c r="M24" s="477"/>
      <c r="N24" s="477"/>
      <c r="O24" s="477"/>
      <c r="P24" s="477"/>
      <c r="Q24" s="477"/>
      <c r="R24" s="477"/>
      <c r="S24" s="477"/>
      <c r="T24" s="477"/>
      <c r="U24" s="477"/>
      <c r="V24" s="758"/>
      <c r="W24" s="758"/>
      <c r="X24" s="758"/>
      <c r="Y24" s="758"/>
      <c r="Z24" s="758"/>
      <c r="AA24" s="758"/>
      <c r="AB24" s="758"/>
      <c r="AC24" s="758"/>
      <c r="AD24" s="758"/>
      <c r="AE24" s="758"/>
    </row>
    <row r="25" spans="2:45" hidden="1" outlineLevel="1">
      <c r="B25" s="360" t="s">
        <v>355</v>
      </c>
      <c r="D25" s="371"/>
      <c r="E25" s="5">
        <f>E22*E17</f>
        <v>3968.2633536000003</v>
      </c>
      <c r="F25" s="5">
        <f t="shared" ref="F25:T25" si="36">F22*F17</f>
        <v>4160.7132840000004</v>
      </c>
      <c r="G25" s="5">
        <f t="shared" si="36"/>
        <v>4037.3161920000007</v>
      </c>
      <c r="H25" s="5">
        <f t="shared" si="36"/>
        <v>4116.6425663999999</v>
      </c>
      <c r="I25" s="5">
        <f t="shared" si="36"/>
        <v>5395.8394035000001</v>
      </c>
      <c r="J25" s="5">
        <f t="shared" si="36"/>
        <v>5549.2802820000006</v>
      </c>
      <c r="K25" s="5">
        <f t="shared" si="36"/>
        <v>6016.6963584000005</v>
      </c>
      <c r="L25" s="5">
        <f t="shared" si="36"/>
        <v>6154.7531136000007</v>
      </c>
      <c r="M25" s="5">
        <f t="shared" si="36"/>
        <v>6296.1609984000006</v>
      </c>
      <c r="N25" s="5">
        <f t="shared" si="36"/>
        <v>6833.6415832168841</v>
      </c>
      <c r="O25" s="5">
        <f t="shared" si="36"/>
        <v>6970.3144148812225</v>
      </c>
      <c r="P25" s="5">
        <f t="shared" si="36"/>
        <v>7109.7207031788466</v>
      </c>
      <c r="Q25" s="5">
        <f t="shared" si="36"/>
        <v>7251.9151172424245</v>
      </c>
      <c r="R25" s="5">
        <f t="shared" si="36"/>
        <v>7396.9534195872739</v>
      </c>
      <c r="S25" s="5">
        <f t="shared" si="36"/>
        <v>7544.8924879790193</v>
      </c>
      <c r="T25" s="5">
        <f t="shared" si="36"/>
        <v>7695.7903377386001</v>
      </c>
      <c r="U25" s="5">
        <f>U22*U17</f>
        <v>7849.7061444933715</v>
      </c>
      <c r="V25" s="5">
        <f t="shared" ref="V25:AA25" si="37">V22*V17</f>
        <v>8006.7002673832385</v>
      </c>
      <c r="W25" s="5">
        <f t="shared" si="37"/>
        <v>8166.8342727309036</v>
      </c>
      <c r="X25" s="5">
        <f t="shared" si="37"/>
        <v>8330.1709581855212</v>
      </c>
      <c r="Y25" s="5">
        <f t="shared" si="37"/>
        <v>8496.7743773492311</v>
      </c>
      <c r="Z25" s="5">
        <f t="shared" si="37"/>
        <v>8666.7098648962146</v>
      </c>
      <c r="AA25" s="5">
        <f t="shared" si="37"/>
        <v>8840.0440621941398</v>
      </c>
      <c r="AB25" s="5">
        <f>AB22*AB17</f>
        <v>9016.8449434380236</v>
      </c>
      <c r="AC25" s="5">
        <f>AC22*AC17</f>
        <v>9197.1818423067853</v>
      </c>
      <c r="AD25" s="5">
        <f>AD22*AD17</f>
        <v>9381.1254791529209</v>
      </c>
      <c r="AE25" s="5">
        <f>AE22*AE17</f>
        <v>9568.7479887359805</v>
      </c>
      <c r="AG25" s="360" t="s">
        <v>356</v>
      </c>
      <c r="AR25">
        <f>(0.65*16)/(10/1.7+6)</f>
        <v>0.87524752475247525</v>
      </c>
      <c r="AS25" s="360"/>
    </row>
    <row r="26" spans="2:45" hidden="1" outlineLevel="1">
      <c r="D26" s="371"/>
      <c r="AH26" s="8"/>
    </row>
    <row r="27" spans="2:45" hidden="1" outlineLevel="1">
      <c r="B27" s="10" t="s">
        <v>107</v>
      </c>
      <c r="C27" s="10"/>
      <c r="D27" s="371"/>
      <c r="AG27" t="s">
        <v>58</v>
      </c>
      <c r="AR27">
        <f>AR25/1.7</f>
        <v>0.51485148514851486</v>
      </c>
    </row>
    <row r="28" spans="2:45" hidden="1" outlineLevel="1">
      <c r="B28" s="11" t="s">
        <v>108</v>
      </c>
      <c r="C28" s="11"/>
      <c r="D28" s="371"/>
      <c r="F28" s="9"/>
      <c r="G28" s="8">
        <v>7.0000000000000007E-2</v>
      </c>
      <c r="H28" s="8">
        <v>0.19</v>
      </c>
      <c r="I28" s="8">
        <v>0.27</v>
      </c>
      <c r="J28" s="8">
        <v>0.3</v>
      </c>
      <c r="K28" s="8">
        <v>0.33</v>
      </c>
      <c r="L28" s="2">
        <f>K28*1.1</f>
        <v>0.36300000000000004</v>
      </c>
      <c r="M28" s="2">
        <f>L28*1.1</f>
        <v>0.3993000000000001</v>
      </c>
      <c r="N28" s="2">
        <f>M28*1.1</f>
        <v>0.43923000000000012</v>
      </c>
      <c r="O28" s="2">
        <f>N28*1.05</f>
        <v>0.46119150000000014</v>
      </c>
      <c r="P28" s="2">
        <f>O28*1.05</f>
        <v>0.4842510750000002</v>
      </c>
      <c r="Q28" s="2">
        <f>P28*0.9</f>
        <v>0.43582596750000019</v>
      </c>
      <c r="R28" s="2">
        <f>Q28*0.9</f>
        <v>0.39224337075000015</v>
      </c>
      <c r="S28" s="2">
        <f>R28*0.9</f>
        <v>0.35301903367500015</v>
      </c>
      <c r="T28" s="2">
        <f>S28*0.9</f>
        <v>0.31771713030750015</v>
      </c>
      <c r="U28" s="2">
        <f>T28*0.9</f>
        <v>0.28594541727675016</v>
      </c>
      <c r="V28" s="2">
        <f>U28</f>
        <v>0.28594541727675016</v>
      </c>
      <c r="W28" s="2">
        <f t="shared" ref="W28:AE29" si="38">V28</f>
        <v>0.28594541727675016</v>
      </c>
      <c r="X28" s="2">
        <f t="shared" si="38"/>
        <v>0.28594541727675016</v>
      </c>
      <c r="Y28" s="2">
        <f t="shared" si="38"/>
        <v>0.28594541727675016</v>
      </c>
      <c r="Z28" s="2">
        <f t="shared" si="38"/>
        <v>0.28594541727675016</v>
      </c>
      <c r="AA28" s="2">
        <f t="shared" si="38"/>
        <v>0.28594541727675016</v>
      </c>
      <c r="AB28" s="2">
        <f t="shared" si="38"/>
        <v>0.28594541727675016</v>
      </c>
      <c r="AC28" s="2">
        <f t="shared" si="38"/>
        <v>0.28594541727675016</v>
      </c>
      <c r="AD28" s="2">
        <f t="shared" si="38"/>
        <v>0.28594541727675016</v>
      </c>
      <c r="AE28" s="2">
        <f t="shared" si="38"/>
        <v>0.28594541727675016</v>
      </c>
      <c r="AF28" s="7"/>
      <c r="AG28" t="s">
        <v>106</v>
      </c>
    </row>
    <row r="29" spans="2:45" hidden="1" outlineLevel="1">
      <c r="B29" s="11" t="s">
        <v>109</v>
      </c>
      <c r="C29" s="11"/>
      <c r="D29" s="371"/>
      <c r="F29" s="7">
        <v>0.33</v>
      </c>
      <c r="G29" s="4">
        <f>F29+6%</f>
        <v>0.39</v>
      </c>
      <c r="H29" s="4">
        <f>G29+6%</f>
        <v>0.45</v>
      </c>
      <c r="I29" s="4">
        <f>H29+6%</f>
        <v>0.51</v>
      </c>
      <c r="J29" s="4">
        <f>I29+6%</f>
        <v>0.57000000000000006</v>
      </c>
      <c r="K29" s="4">
        <f>J29+6%</f>
        <v>0.63000000000000012</v>
      </c>
      <c r="L29" s="2">
        <f>K29*0.98</f>
        <v>0.61740000000000006</v>
      </c>
      <c r="M29" s="2">
        <f>L29*0.98</f>
        <v>0.60505200000000003</v>
      </c>
      <c r="N29" s="2">
        <f>M29*0.98</f>
        <v>0.59295096000000003</v>
      </c>
      <c r="O29" s="2">
        <f>N29*0.98</f>
        <v>0.58109194080000004</v>
      </c>
      <c r="P29" s="2">
        <f>O29*0.98</f>
        <v>0.56947010198400005</v>
      </c>
      <c r="Q29" s="2">
        <f>P29</f>
        <v>0.56947010198400005</v>
      </c>
      <c r="R29" s="2">
        <f t="shared" ref="R29:T32" si="39">Q29</f>
        <v>0.56947010198400005</v>
      </c>
      <c r="S29" s="2">
        <f t="shared" si="39"/>
        <v>0.56947010198400005</v>
      </c>
      <c r="T29" s="2">
        <f t="shared" si="39"/>
        <v>0.56947010198400005</v>
      </c>
      <c r="U29" s="2">
        <f>T29</f>
        <v>0.56947010198400005</v>
      </c>
      <c r="V29" s="2">
        <f>U29</f>
        <v>0.56947010198400005</v>
      </c>
      <c r="W29" s="2">
        <f t="shared" si="38"/>
        <v>0.56947010198400005</v>
      </c>
      <c r="X29" s="2">
        <f t="shared" si="38"/>
        <v>0.56947010198400005</v>
      </c>
      <c r="Y29" s="2">
        <f t="shared" si="38"/>
        <v>0.56947010198400005</v>
      </c>
      <c r="Z29" s="2">
        <f t="shared" si="38"/>
        <v>0.56947010198400005</v>
      </c>
      <c r="AA29" s="2">
        <f t="shared" si="38"/>
        <v>0.56947010198400005</v>
      </c>
      <c r="AB29" s="2">
        <f t="shared" si="38"/>
        <v>0.56947010198400005</v>
      </c>
      <c r="AC29" s="2">
        <f t="shared" si="38"/>
        <v>0.56947010198400005</v>
      </c>
      <c r="AD29" s="2">
        <f t="shared" si="38"/>
        <v>0.56947010198400005</v>
      </c>
      <c r="AE29" s="2">
        <f t="shared" si="38"/>
        <v>0.56947010198400005</v>
      </c>
      <c r="AF29" s="7"/>
      <c r="AG29" t="s">
        <v>106</v>
      </c>
    </row>
    <row r="30" spans="2:45" hidden="1" outlineLevel="1">
      <c r="B30" s="11" t="s">
        <v>110</v>
      </c>
      <c r="C30" s="11"/>
      <c r="D30" s="371"/>
      <c r="F30" s="479">
        <v>0.2</v>
      </c>
      <c r="G30" s="8">
        <f>F30+1%</f>
        <v>0.21000000000000002</v>
      </c>
      <c r="H30" s="8">
        <f>G30+1%</f>
        <v>0.22000000000000003</v>
      </c>
      <c r="I30" s="8">
        <f>H30+1%</f>
        <v>0.23000000000000004</v>
      </c>
      <c r="J30" s="8">
        <f>I30+1%</f>
        <v>0.24000000000000005</v>
      </c>
      <c r="K30" s="8">
        <f>J30+1%</f>
        <v>0.25000000000000006</v>
      </c>
      <c r="L30" s="2">
        <f t="shared" ref="L30:T30" si="40">K30*1.1</f>
        <v>0.27500000000000008</v>
      </c>
      <c r="M30" s="2">
        <f t="shared" si="40"/>
        <v>0.3025000000000001</v>
      </c>
      <c r="N30" s="2">
        <f t="shared" si="40"/>
        <v>0.33275000000000016</v>
      </c>
      <c r="O30" s="2">
        <f t="shared" si="40"/>
        <v>0.36602500000000021</v>
      </c>
      <c r="P30" s="2">
        <f t="shared" si="40"/>
        <v>0.40262750000000025</v>
      </c>
      <c r="Q30" s="2">
        <f t="shared" si="40"/>
        <v>0.44289025000000032</v>
      </c>
      <c r="R30" s="2">
        <f t="shared" si="40"/>
        <v>0.48717927500000041</v>
      </c>
      <c r="S30" s="2">
        <f t="shared" si="40"/>
        <v>0.5358972025000005</v>
      </c>
      <c r="T30" s="2">
        <f t="shared" si="40"/>
        <v>0.58948692275000059</v>
      </c>
      <c r="U30" s="2">
        <f>T30*1.1</f>
        <v>0.64843561502500069</v>
      </c>
      <c r="V30" s="2">
        <f>U30</f>
        <v>0.64843561502500069</v>
      </c>
      <c r="W30" s="2">
        <f t="shared" ref="W30:AE32" si="41">V30</f>
        <v>0.64843561502500069</v>
      </c>
      <c r="X30" s="2">
        <f t="shared" si="41"/>
        <v>0.64843561502500069</v>
      </c>
      <c r="Y30" s="2">
        <f t="shared" si="41"/>
        <v>0.64843561502500069</v>
      </c>
      <c r="Z30" s="2">
        <f t="shared" si="41"/>
        <v>0.64843561502500069</v>
      </c>
      <c r="AA30" s="2">
        <f t="shared" si="41"/>
        <v>0.64843561502500069</v>
      </c>
      <c r="AB30" s="2">
        <f t="shared" si="41"/>
        <v>0.64843561502500069</v>
      </c>
      <c r="AC30" s="2">
        <f t="shared" si="41"/>
        <v>0.64843561502500069</v>
      </c>
      <c r="AD30" s="2">
        <f t="shared" si="41"/>
        <v>0.64843561502500069</v>
      </c>
      <c r="AE30" s="2">
        <f t="shared" si="41"/>
        <v>0.64843561502500069</v>
      </c>
      <c r="AF30" s="7"/>
      <c r="AG30" t="s">
        <v>106</v>
      </c>
    </row>
    <row r="31" spans="2:45" hidden="1" outlineLevel="1">
      <c r="B31" s="11" t="s">
        <v>113</v>
      </c>
      <c r="C31" s="11"/>
      <c r="D31" s="371"/>
      <c r="F31" s="8">
        <f>1.25-F32-F29-F28-F30</f>
        <v>0.66999999999999993</v>
      </c>
      <c r="G31" s="8">
        <f>1.3-G32-G29-G28-G30</f>
        <v>0.58000000000000007</v>
      </c>
      <c r="H31" s="8">
        <f>1.35-H32-H29-H28-H30</f>
        <v>0.44000000000000011</v>
      </c>
      <c r="I31" s="8">
        <f>1.4-I32-I29-I28-I30</f>
        <v>0.3399999999999998</v>
      </c>
      <c r="J31" s="8">
        <f>1.43-J32-J29-J28-J30</f>
        <v>0.26999999999999974</v>
      </c>
      <c r="K31" s="8">
        <f>1.45-K32-K29-K28-K30</f>
        <v>0.18999999999999972</v>
      </c>
      <c r="L31" s="8">
        <f>1.46-L32-L29-L28-L30</f>
        <v>0.15459999999999974</v>
      </c>
      <c r="M31" s="8">
        <f>1.47-M32-M29-M28-M30</f>
        <v>0.11314799999999969</v>
      </c>
      <c r="N31" s="8">
        <f>1.48-N32-N29-N28-N30</f>
        <v>6.5069039999999634E-2</v>
      </c>
      <c r="O31" s="8">
        <f>1.52-O32-O29-O28-O30</f>
        <v>6.1691559199999579E-2</v>
      </c>
      <c r="P31" s="8">
        <f>1.54-P32-P29-P28-P30</f>
        <v>3.365132301599949E-2</v>
      </c>
      <c r="Q31" s="8">
        <f>P31</f>
        <v>3.365132301599949E-2</v>
      </c>
      <c r="R31" s="8">
        <f t="shared" si="39"/>
        <v>3.365132301599949E-2</v>
      </c>
      <c r="S31" s="8">
        <f t="shared" si="39"/>
        <v>3.365132301599949E-2</v>
      </c>
      <c r="T31" s="8">
        <f t="shared" si="39"/>
        <v>3.365132301599949E-2</v>
      </c>
      <c r="U31" s="8">
        <f>T31</f>
        <v>3.365132301599949E-2</v>
      </c>
      <c r="V31" s="8">
        <f>U31</f>
        <v>3.365132301599949E-2</v>
      </c>
      <c r="W31" s="8">
        <f t="shared" si="41"/>
        <v>3.365132301599949E-2</v>
      </c>
      <c r="X31" s="8">
        <f t="shared" si="41"/>
        <v>3.365132301599949E-2</v>
      </c>
      <c r="Y31" s="8">
        <f t="shared" si="41"/>
        <v>3.365132301599949E-2</v>
      </c>
      <c r="Z31" s="8">
        <f t="shared" si="41"/>
        <v>3.365132301599949E-2</v>
      </c>
      <c r="AA31" s="8">
        <f t="shared" si="41"/>
        <v>3.365132301599949E-2</v>
      </c>
      <c r="AB31" s="8">
        <f t="shared" si="41"/>
        <v>3.365132301599949E-2</v>
      </c>
      <c r="AC31" s="8">
        <f t="shared" si="41"/>
        <v>3.365132301599949E-2</v>
      </c>
      <c r="AD31" s="8">
        <f t="shared" si="41"/>
        <v>3.365132301599949E-2</v>
      </c>
      <c r="AE31" s="8">
        <f t="shared" si="41"/>
        <v>3.365132301599949E-2</v>
      </c>
      <c r="AF31" s="8"/>
      <c r="AG31" t="s">
        <v>106</v>
      </c>
    </row>
    <row r="32" spans="2:45" hidden="1" outlineLevel="1">
      <c r="B32" s="11" t="s">
        <v>111</v>
      </c>
      <c r="C32" s="11"/>
      <c r="D32" s="371"/>
      <c r="F32" s="475">
        <v>0.05</v>
      </c>
      <c r="G32" s="7">
        <f t="shared" ref="G32:N32" si="42">F32</f>
        <v>0.05</v>
      </c>
      <c r="H32" s="7">
        <f t="shared" si="42"/>
        <v>0.05</v>
      </c>
      <c r="I32" s="7">
        <f t="shared" si="42"/>
        <v>0.05</v>
      </c>
      <c r="J32" s="7">
        <f t="shared" si="42"/>
        <v>0.05</v>
      </c>
      <c r="K32" s="7">
        <f t="shared" si="42"/>
        <v>0.05</v>
      </c>
      <c r="L32" s="2">
        <f t="shared" si="42"/>
        <v>0.05</v>
      </c>
      <c r="M32" s="2">
        <f t="shared" si="42"/>
        <v>0.05</v>
      </c>
      <c r="N32" s="2">
        <f t="shared" si="42"/>
        <v>0.05</v>
      </c>
      <c r="O32" s="2">
        <f>N32</f>
        <v>0.05</v>
      </c>
      <c r="P32" s="2">
        <f>O32</f>
        <v>0.05</v>
      </c>
      <c r="Q32" s="2">
        <f>P32</f>
        <v>0.05</v>
      </c>
      <c r="R32" s="2">
        <f>Q32</f>
        <v>0.05</v>
      </c>
      <c r="S32" s="2">
        <f t="shared" si="39"/>
        <v>0.05</v>
      </c>
      <c r="T32" s="2">
        <f t="shared" si="39"/>
        <v>0.05</v>
      </c>
      <c r="U32" s="2">
        <f>T32</f>
        <v>0.05</v>
      </c>
      <c r="V32" s="2">
        <f>U32</f>
        <v>0.05</v>
      </c>
      <c r="W32" s="2">
        <f t="shared" si="41"/>
        <v>0.05</v>
      </c>
      <c r="X32" s="2">
        <f t="shared" si="41"/>
        <v>0.05</v>
      </c>
      <c r="Y32" s="2">
        <f t="shared" si="41"/>
        <v>0.05</v>
      </c>
      <c r="Z32" s="2">
        <f t="shared" si="41"/>
        <v>0.05</v>
      </c>
      <c r="AA32" s="2">
        <f t="shared" si="41"/>
        <v>0.05</v>
      </c>
      <c r="AB32" s="2">
        <f t="shared" si="41"/>
        <v>0.05</v>
      </c>
      <c r="AC32" s="2">
        <f t="shared" si="41"/>
        <v>0.05</v>
      </c>
      <c r="AD32" s="2">
        <f t="shared" si="41"/>
        <v>0.05</v>
      </c>
      <c r="AE32" s="2">
        <f t="shared" si="41"/>
        <v>0.05</v>
      </c>
      <c r="AG32" t="s">
        <v>106</v>
      </c>
    </row>
    <row r="33" spans="1:33" hidden="1" outlineLevel="1">
      <c r="D33" s="371"/>
    </row>
    <row r="34" spans="1:33" hidden="1" outlineLevel="1">
      <c r="B34" s="148" t="s">
        <v>114</v>
      </c>
      <c r="C34" s="148"/>
      <c r="D34" s="149"/>
      <c r="E34" s="25"/>
      <c r="F34" s="150">
        <f>F28*F25</f>
        <v>0</v>
      </c>
      <c r="G34" s="150">
        <f t="shared" ref="G34:AA34" si="43">G28*G25</f>
        <v>282.61213344000009</v>
      </c>
      <c r="H34" s="150">
        <f t="shared" si="43"/>
        <v>782.16208761600001</v>
      </c>
      <c r="I34" s="150">
        <f t="shared" si="43"/>
        <v>1456.8766389450002</v>
      </c>
      <c r="J34" s="150">
        <f t="shared" si="43"/>
        <v>1664.7840846000001</v>
      </c>
      <c r="K34" s="150">
        <f t="shared" si="43"/>
        <v>1985.5097982720004</v>
      </c>
      <c r="L34" s="150">
        <f t="shared" si="43"/>
        <v>2234.1753802368007</v>
      </c>
      <c r="M34" s="150">
        <f t="shared" si="43"/>
        <v>2514.057086661121</v>
      </c>
      <c r="N34" s="150">
        <f t="shared" si="43"/>
        <v>3001.5403925963528</v>
      </c>
      <c r="O34" s="150">
        <f t="shared" si="43"/>
        <v>3214.6497604706942</v>
      </c>
      <c r="P34" s="150">
        <f t="shared" si="43"/>
        <v>3442.8898934641138</v>
      </c>
      <c r="Q34" s="150">
        <f t="shared" si="43"/>
        <v>3160.5729222000568</v>
      </c>
      <c r="R34" s="150">
        <f t="shared" si="43"/>
        <v>2901.4059425796527</v>
      </c>
      <c r="S34" s="150">
        <f t="shared" si="43"/>
        <v>2663.4906552881212</v>
      </c>
      <c r="T34" s="150">
        <f t="shared" si="43"/>
        <v>2445.0844215544953</v>
      </c>
      <c r="U34" s="150">
        <f>U28*U25</f>
        <v>2244.5874989870267</v>
      </c>
      <c r="V34" s="150">
        <f t="shared" si="43"/>
        <v>2289.479248966767</v>
      </c>
      <c r="W34" s="150">
        <f t="shared" si="43"/>
        <v>2335.2688339461029</v>
      </c>
      <c r="X34" s="150">
        <f t="shared" si="43"/>
        <v>2381.9742106250246</v>
      </c>
      <c r="Y34" s="150">
        <f t="shared" si="43"/>
        <v>2429.6136948375247</v>
      </c>
      <c r="Z34" s="150">
        <f t="shared" si="43"/>
        <v>2478.2059687342753</v>
      </c>
      <c r="AA34" s="150">
        <f t="shared" si="43"/>
        <v>2527.7700881089609</v>
      </c>
      <c r="AB34" s="150">
        <f>AB28*AB25</f>
        <v>2578.3254898711402</v>
      </c>
      <c r="AC34" s="150">
        <f>AC28*AC25</f>
        <v>2629.8919996685636</v>
      </c>
      <c r="AD34" s="150">
        <f>AD28*AD25</f>
        <v>2682.4898396619346</v>
      </c>
      <c r="AE34" s="150">
        <f>AE28*AE25</f>
        <v>2736.1396364551738</v>
      </c>
    </row>
    <row r="35" spans="1:33" hidden="1" outlineLevel="1">
      <c r="D35" s="371"/>
    </row>
    <row r="36" spans="1:33" hidden="1" outlineLevel="2">
      <c r="B36" s="480" t="s">
        <v>460</v>
      </c>
      <c r="C36" s="481"/>
      <c r="D36" s="482"/>
      <c r="E36" s="481"/>
      <c r="F36" s="481"/>
      <c r="G36" s="483"/>
      <c r="H36" s="483"/>
      <c r="I36" s="483"/>
      <c r="J36" s="483"/>
      <c r="K36" s="483"/>
      <c r="L36" s="483"/>
      <c r="M36" s="483"/>
      <c r="N36" s="483"/>
      <c r="O36" s="483">
        <f>O37+2%</f>
        <v>0.54</v>
      </c>
      <c r="P36" s="483">
        <f>P37+3%</f>
        <v>0.68</v>
      </c>
      <c r="Q36" s="483">
        <f>Q37+0.05</f>
        <v>0.74</v>
      </c>
      <c r="R36" s="483">
        <f>R37*1.1</f>
        <v>0.79694999999999994</v>
      </c>
      <c r="S36" s="483">
        <f>S37*1.1</f>
        <v>0.80491950000000001</v>
      </c>
      <c r="T36" s="483">
        <f>T37*1.1</f>
        <v>0.81296869500000013</v>
      </c>
      <c r="U36" s="483">
        <f>U37*1.1</f>
        <v>0.82109838195000018</v>
      </c>
      <c r="V36" s="483">
        <f t="shared" ref="V36:AE36" si="44">V37*1.1</f>
        <v>0.8293093657695001</v>
      </c>
      <c r="W36" s="483">
        <f t="shared" si="44"/>
        <v>0.83760245942719513</v>
      </c>
      <c r="X36" s="483">
        <f t="shared" si="44"/>
        <v>0.84597848402146714</v>
      </c>
      <c r="Y36" s="483">
        <f t="shared" si="44"/>
        <v>0.84597848402146714</v>
      </c>
      <c r="Z36" s="483">
        <f t="shared" si="44"/>
        <v>0.84597848402146714</v>
      </c>
      <c r="AA36" s="483">
        <f t="shared" si="44"/>
        <v>0.84597848402146714</v>
      </c>
      <c r="AB36" s="483">
        <f t="shared" si="44"/>
        <v>0.84597848402146714</v>
      </c>
      <c r="AC36" s="483">
        <f t="shared" si="44"/>
        <v>0.84597848402146714</v>
      </c>
      <c r="AD36" s="483">
        <f t="shared" si="44"/>
        <v>0.84597848402146714</v>
      </c>
      <c r="AE36" s="483">
        <f t="shared" si="44"/>
        <v>0.84597848402146714</v>
      </c>
      <c r="AG36" s="357"/>
    </row>
    <row r="37" spans="1:33" hidden="1" outlineLevel="2">
      <c r="B37" s="480" t="s">
        <v>461</v>
      </c>
      <c r="C37" s="481"/>
      <c r="D37" s="482"/>
      <c r="E37" s="481"/>
      <c r="F37" s="481"/>
      <c r="G37" s="483"/>
      <c r="H37" s="483"/>
      <c r="I37" s="483"/>
      <c r="J37" s="483"/>
      <c r="K37" s="483"/>
      <c r="L37" s="483"/>
      <c r="M37" s="483"/>
      <c r="N37" s="484">
        <v>0.5</v>
      </c>
      <c r="O37" s="484">
        <v>0.52</v>
      </c>
      <c r="P37" s="484">
        <v>0.65</v>
      </c>
      <c r="Q37" s="484">
        <v>0.69</v>
      </c>
      <c r="R37" s="484">
        <f>Q37*1.05</f>
        <v>0.72449999999999992</v>
      </c>
      <c r="S37" s="484">
        <f t="shared" ref="S37:X37" si="45">R37*1.01</f>
        <v>0.73174499999999998</v>
      </c>
      <c r="T37" s="484">
        <f t="shared" si="45"/>
        <v>0.73906245000000004</v>
      </c>
      <c r="U37" s="484">
        <f t="shared" si="45"/>
        <v>0.74645307450000009</v>
      </c>
      <c r="V37" s="484">
        <f t="shared" si="45"/>
        <v>0.75391760524500007</v>
      </c>
      <c r="W37" s="484">
        <f t="shared" si="45"/>
        <v>0.76145678129745009</v>
      </c>
      <c r="X37" s="484">
        <f t="shared" si="45"/>
        <v>0.76907134911042463</v>
      </c>
      <c r="Y37" s="484">
        <f>X37</f>
        <v>0.76907134911042463</v>
      </c>
      <c r="Z37" s="484">
        <f t="shared" ref="Z37:AE37" si="46">Y37</f>
        <v>0.76907134911042463</v>
      </c>
      <c r="AA37" s="484">
        <f t="shared" si="46"/>
        <v>0.76907134911042463</v>
      </c>
      <c r="AB37" s="484">
        <f t="shared" si="46"/>
        <v>0.76907134911042463</v>
      </c>
      <c r="AC37" s="484">
        <f t="shared" si="46"/>
        <v>0.76907134911042463</v>
      </c>
      <c r="AD37" s="484">
        <f t="shared" si="46"/>
        <v>0.76907134911042463</v>
      </c>
      <c r="AE37" s="484">
        <f t="shared" si="46"/>
        <v>0.76907134911042463</v>
      </c>
      <c r="AG37" s="357"/>
    </row>
    <row r="38" spans="1:33" hidden="1" outlineLevel="2">
      <c r="B38" s="480" t="s">
        <v>462</v>
      </c>
      <c r="C38" s="481"/>
      <c r="D38" s="482"/>
      <c r="E38" s="481"/>
      <c r="F38" s="481"/>
      <c r="G38" s="483"/>
      <c r="H38" s="483"/>
      <c r="I38" s="483"/>
      <c r="J38" s="483"/>
      <c r="K38" s="483"/>
      <c r="L38" s="483"/>
      <c r="M38" s="483"/>
      <c r="N38" s="483"/>
      <c r="O38" s="483">
        <f t="shared" ref="O38:V38" si="47">N37*0.9</f>
        <v>0.45</v>
      </c>
      <c r="P38" s="483">
        <f t="shared" si="47"/>
        <v>0.46800000000000003</v>
      </c>
      <c r="Q38" s="483">
        <f t="shared" si="47"/>
        <v>0.58500000000000008</v>
      </c>
      <c r="R38" s="483">
        <f t="shared" si="47"/>
        <v>0.621</v>
      </c>
      <c r="S38" s="483">
        <f t="shared" si="47"/>
        <v>0.65204999999999991</v>
      </c>
      <c r="T38" s="483">
        <f t="shared" si="47"/>
        <v>0.65857049999999995</v>
      </c>
      <c r="U38" s="483">
        <f t="shared" si="47"/>
        <v>0.66515620500000006</v>
      </c>
      <c r="V38" s="483">
        <f t="shared" si="47"/>
        <v>0.67180776705000012</v>
      </c>
      <c r="W38" s="483">
        <f t="shared" ref="W38:AB38" si="48">V37*0.9</f>
        <v>0.67852584472050004</v>
      </c>
      <c r="X38" s="483">
        <f t="shared" si="48"/>
        <v>0.68531110316770505</v>
      </c>
      <c r="Y38" s="483">
        <f t="shared" si="48"/>
        <v>0.69216421419938223</v>
      </c>
      <c r="Z38" s="483">
        <f t="shared" si="48"/>
        <v>0.69216421419938223</v>
      </c>
      <c r="AA38" s="483">
        <f t="shared" si="48"/>
        <v>0.69216421419938223</v>
      </c>
      <c r="AB38" s="483">
        <f t="shared" si="48"/>
        <v>0.69216421419938223</v>
      </c>
      <c r="AC38" s="483">
        <f>AB37*0.9</f>
        <v>0.69216421419938223</v>
      </c>
      <c r="AD38" s="483">
        <f>AC37*0.9</f>
        <v>0.69216421419938223</v>
      </c>
      <c r="AE38" s="483">
        <f>AD37*0.9</f>
        <v>0.69216421419938223</v>
      </c>
      <c r="AG38" s="357"/>
    </row>
    <row r="39" spans="1:33" hidden="1" outlineLevel="1">
      <c r="A39" s="485" t="s">
        <v>78</v>
      </c>
      <c r="B39" s="480" t="s">
        <v>357</v>
      </c>
      <c r="C39" s="481"/>
      <c r="D39" s="482"/>
      <c r="E39" s="481"/>
      <c r="F39" s="481"/>
      <c r="G39" s="483">
        <f>H39-5%</f>
        <v>0.26</v>
      </c>
      <c r="H39" s="483">
        <f>I39-5%</f>
        <v>0.31</v>
      </c>
      <c r="I39" s="483">
        <f>J39-5%</f>
        <v>0.36</v>
      </c>
      <c r="J39" s="483">
        <f>K39-5%</f>
        <v>0.41</v>
      </c>
      <c r="K39" s="483">
        <f>L39-2%</f>
        <v>0.45999999999999996</v>
      </c>
      <c r="L39" s="483">
        <f>M39-1%</f>
        <v>0.48</v>
      </c>
      <c r="M39" s="483">
        <f>N39-1%</f>
        <v>0.49</v>
      </c>
      <c r="N39" s="483">
        <v>0.5</v>
      </c>
      <c r="O39" s="486">
        <f t="shared" ref="O39:AE39" si="49">CHOOSE($J$1,O36,O37,O38)</f>
        <v>0.52</v>
      </c>
      <c r="P39" s="486">
        <f t="shared" si="49"/>
        <v>0.65</v>
      </c>
      <c r="Q39" s="486">
        <f t="shared" si="49"/>
        <v>0.69</v>
      </c>
      <c r="R39" s="486">
        <f t="shared" si="49"/>
        <v>0.72449999999999992</v>
      </c>
      <c r="S39" s="486">
        <f t="shared" si="49"/>
        <v>0.73174499999999998</v>
      </c>
      <c r="T39" s="486">
        <f t="shared" si="49"/>
        <v>0.73906245000000004</v>
      </c>
      <c r="U39" s="486">
        <f t="shared" si="49"/>
        <v>0.74645307450000009</v>
      </c>
      <c r="V39" s="486">
        <f t="shared" si="49"/>
        <v>0.75391760524500007</v>
      </c>
      <c r="W39" s="486">
        <f t="shared" si="49"/>
        <v>0.76145678129745009</v>
      </c>
      <c r="X39" s="486">
        <f t="shared" si="49"/>
        <v>0.76907134911042463</v>
      </c>
      <c r="Y39" s="486">
        <f t="shared" si="49"/>
        <v>0.76907134911042463</v>
      </c>
      <c r="Z39" s="486">
        <f t="shared" si="49"/>
        <v>0.76907134911042463</v>
      </c>
      <c r="AA39" s="486">
        <f t="shared" si="49"/>
        <v>0.76907134911042463</v>
      </c>
      <c r="AB39" s="486">
        <f t="shared" si="49"/>
        <v>0.76907134911042463</v>
      </c>
      <c r="AC39" s="486">
        <f t="shared" si="49"/>
        <v>0.76907134911042463</v>
      </c>
      <c r="AD39" s="486">
        <f t="shared" si="49"/>
        <v>0.76907134911042463</v>
      </c>
      <c r="AE39" s="486">
        <f t="shared" si="49"/>
        <v>0.76907134911042463</v>
      </c>
      <c r="AG39" s="357" t="s">
        <v>440</v>
      </c>
    </row>
    <row r="40" spans="1:33" hidden="1" outlineLevel="1">
      <c r="B40" s="148" t="s">
        <v>358</v>
      </c>
      <c r="C40" s="148"/>
      <c r="D40" s="149"/>
      <c r="E40" s="25"/>
      <c r="F40" s="25"/>
      <c r="G40" s="25"/>
      <c r="H40" s="25"/>
      <c r="I40" s="25"/>
      <c r="J40" s="150">
        <f t="shared" ref="J40:AE40" si="50">J39*J34</f>
        <v>682.561474686</v>
      </c>
      <c r="K40" s="150">
        <f t="shared" si="50"/>
        <v>913.33450720512008</v>
      </c>
      <c r="L40" s="150">
        <f t="shared" si="50"/>
        <v>1072.4041825136644</v>
      </c>
      <c r="M40" s="150">
        <f t="shared" si="50"/>
        <v>1231.8879724639494</v>
      </c>
      <c r="N40" s="150">
        <f t="shared" si="50"/>
        <v>1500.7701962981764</v>
      </c>
      <c r="O40" s="150">
        <f t="shared" si="50"/>
        <v>1671.617875444761</v>
      </c>
      <c r="P40" s="150">
        <f t="shared" si="50"/>
        <v>2237.8784307516739</v>
      </c>
      <c r="Q40" s="150">
        <f t="shared" si="50"/>
        <v>2180.7953163180391</v>
      </c>
      <c r="R40" s="150">
        <f t="shared" si="50"/>
        <v>2102.068605398958</v>
      </c>
      <c r="S40" s="150">
        <f t="shared" si="50"/>
        <v>1948.9959695538062</v>
      </c>
      <c r="T40" s="150">
        <f t="shared" si="50"/>
        <v>1807.0700830508981</v>
      </c>
      <c r="U40" s="150">
        <f t="shared" si="50"/>
        <v>1675.4792396031319</v>
      </c>
      <c r="V40" s="150">
        <f t="shared" si="50"/>
        <v>1726.0787126391463</v>
      </c>
      <c r="W40" s="150">
        <f t="shared" si="50"/>
        <v>1778.2062897608489</v>
      </c>
      <c r="X40" s="150">
        <f t="shared" si="50"/>
        <v>1831.9081197116263</v>
      </c>
      <c r="Y40" s="150">
        <f t="shared" si="50"/>
        <v>1868.5462821058586</v>
      </c>
      <c r="Z40" s="150">
        <f t="shared" si="50"/>
        <v>1905.9172077479759</v>
      </c>
      <c r="AA40" s="150">
        <f t="shared" si="50"/>
        <v>1944.0355519029354</v>
      </c>
      <c r="AB40" s="150">
        <f t="shared" si="50"/>
        <v>1982.9162629409943</v>
      </c>
      <c r="AC40" s="150">
        <f t="shared" si="50"/>
        <v>2022.5745881998146</v>
      </c>
      <c r="AD40" s="150">
        <f t="shared" si="50"/>
        <v>2063.0260799638108</v>
      </c>
      <c r="AE40" s="150">
        <f t="shared" si="50"/>
        <v>2104.2866015630871</v>
      </c>
    </row>
    <row r="41" spans="1:33" hidden="1" outlineLevel="1">
      <c r="D41" s="371"/>
      <c r="V41" s="763"/>
      <c r="W41" s="763"/>
      <c r="X41" s="763"/>
      <c r="Y41" s="763"/>
      <c r="Z41" s="763"/>
      <c r="AA41" s="763"/>
      <c r="AB41" s="763"/>
      <c r="AC41" s="763"/>
      <c r="AD41" s="763"/>
      <c r="AE41" s="763"/>
    </row>
    <row r="42" spans="1:33" hidden="1" outlineLevel="1">
      <c r="B42" s="476" t="s">
        <v>360</v>
      </c>
      <c r="C42" s="477"/>
      <c r="D42" s="478"/>
      <c r="E42" s="477"/>
      <c r="F42" s="477"/>
      <c r="G42" s="477"/>
      <c r="H42" s="477"/>
      <c r="I42" s="477"/>
      <c r="J42" s="477"/>
      <c r="K42" s="477"/>
      <c r="L42" s="477"/>
      <c r="M42" s="477"/>
      <c r="N42" s="477"/>
      <c r="O42" s="477"/>
      <c r="P42" s="477"/>
      <c r="Q42" s="477"/>
      <c r="R42" s="477"/>
      <c r="S42" s="477"/>
      <c r="T42" s="477"/>
      <c r="U42" s="477"/>
      <c r="V42" s="758"/>
      <c r="W42" s="758"/>
      <c r="X42" s="758"/>
      <c r="Y42" s="758"/>
      <c r="Z42" s="758"/>
      <c r="AA42" s="758"/>
      <c r="AB42" s="758"/>
      <c r="AC42" s="758"/>
      <c r="AD42" s="758"/>
      <c r="AE42" s="758"/>
    </row>
    <row r="43" spans="1:33" hidden="1" outlineLevel="1">
      <c r="B43" s="360" t="s">
        <v>361</v>
      </c>
      <c r="D43" s="371"/>
      <c r="E43" s="5">
        <f t="shared" ref="E43:T43" si="51">E20*E17-E25</f>
        <v>2645.5089023999999</v>
      </c>
      <c r="F43" s="5">
        <f t="shared" si="51"/>
        <v>2773.8088559999997</v>
      </c>
      <c r="G43" s="5">
        <f t="shared" si="51"/>
        <v>2691.544128</v>
      </c>
      <c r="H43" s="5">
        <f t="shared" si="51"/>
        <v>2744.4283776000002</v>
      </c>
      <c r="I43" s="5">
        <f t="shared" si="51"/>
        <v>1798.6131344999994</v>
      </c>
      <c r="J43" s="5">
        <f t="shared" si="51"/>
        <v>1849.7600939999993</v>
      </c>
      <c r="K43" s="5">
        <f t="shared" si="51"/>
        <v>1504.1740895999992</v>
      </c>
      <c r="L43" s="5">
        <f t="shared" si="51"/>
        <v>1538.688278399999</v>
      </c>
      <c r="M43" s="5">
        <f t="shared" si="51"/>
        <v>1574.0402495999997</v>
      </c>
      <c r="N43" s="5">
        <f t="shared" si="51"/>
        <v>1708.4103958042197</v>
      </c>
      <c r="O43" s="5">
        <f t="shared" si="51"/>
        <v>1742.5786037203052</v>
      </c>
      <c r="P43" s="5">
        <f t="shared" si="51"/>
        <v>1777.4301757947114</v>
      </c>
      <c r="Q43" s="5">
        <f t="shared" si="51"/>
        <v>1812.9787793106043</v>
      </c>
      <c r="R43" s="5">
        <f t="shared" si="51"/>
        <v>1849.2383548968164</v>
      </c>
      <c r="S43" s="5">
        <f t="shared" si="51"/>
        <v>1886.2231219947535</v>
      </c>
      <c r="T43" s="5">
        <f t="shared" si="51"/>
        <v>1923.947584434648</v>
      </c>
      <c r="U43" s="5">
        <f>U20*U17-U25</f>
        <v>1962.4265361233411</v>
      </c>
      <c r="V43" s="5">
        <f t="shared" ref="V43:AE43" si="52">V20*V17-V25</f>
        <v>2001.6750668458089</v>
      </c>
      <c r="W43" s="5">
        <f t="shared" si="52"/>
        <v>2041.7085681827257</v>
      </c>
      <c r="X43" s="5">
        <f t="shared" si="52"/>
        <v>2082.5427395463794</v>
      </c>
      <c r="Y43" s="5">
        <f t="shared" si="52"/>
        <v>2124.1935943373082</v>
      </c>
      <c r="Z43" s="5">
        <f t="shared" si="52"/>
        <v>2166.6774662240532</v>
      </c>
      <c r="AA43" s="5">
        <f t="shared" si="52"/>
        <v>2210.0110155485345</v>
      </c>
      <c r="AB43" s="5">
        <f t="shared" si="52"/>
        <v>2254.2112358595059</v>
      </c>
      <c r="AC43" s="5">
        <f t="shared" si="52"/>
        <v>2299.2954605766936</v>
      </c>
      <c r="AD43" s="5">
        <f t="shared" si="52"/>
        <v>2345.2813697882284</v>
      </c>
      <c r="AE43" s="5">
        <f t="shared" si="52"/>
        <v>2392.1869971839933</v>
      </c>
      <c r="AF43" s="5"/>
    </row>
    <row r="44" spans="1:33" hidden="1" outlineLevel="1">
      <c r="D44" s="371"/>
    </row>
    <row r="45" spans="1:33" hidden="1" outlineLevel="1">
      <c r="B45" s="359" t="s">
        <v>364</v>
      </c>
      <c r="C45" s="10"/>
      <c r="D45" s="371"/>
    </row>
    <row r="46" spans="1:33" hidden="1" outlineLevel="2">
      <c r="B46" s="487" t="s">
        <v>463</v>
      </c>
      <c r="C46" s="488"/>
      <c r="D46" s="482"/>
      <c r="E46" s="481"/>
      <c r="F46" s="481"/>
      <c r="G46" s="481"/>
      <c r="H46" s="481"/>
      <c r="I46" s="481"/>
      <c r="J46" s="481"/>
      <c r="K46" s="481"/>
      <c r="L46" s="481"/>
      <c r="M46" s="481"/>
      <c r="N46" s="481"/>
      <c r="O46" s="483">
        <f>O47</f>
        <v>0.74</v>
      </c>
      <c r="P46" s="483">
        <f t="shared" ref="P46:AB46" si="53">P47</f>
        <v>0.75480000000000003</v>
      </c>
      <c r="Q46" s="483">
        <f t="shared" si="53"/>
        <v>0.76989600000000002</v>
      </c>
      <c r="R46" s="483">
        <f t="shared" si="53"/>
        <v>0.78529392000000009</v>
      </c>
      <c r="S46" s="483">
        <f t="shared" si="53"/>
        <v>0.80099979840000013</v>
      </c>
      <c r="T46" s="483">
        <f t="shared" si="53"/>
        <v>0.8170197943680001</v>
      </c>
      <c r="U46" s="483">
        <f t="shared" si="53"/>
        <v>0.83336019025536012</v>
      </c>
      <c r="V46" s="483">
        <f t="shared" si="53"/>
        <v>0.85002739406046735</v>
      </c>
      <c r="W46" s="483">
        <f t="shared" si="53"/>
        <v>0.85002739406046735</v>
      </c>
      <c r="X46" s="483">
        <f t="shared" si="53"/>
        <v>0.85002739406046735</v>
      </c>
      <c r="Y46" s="483">
        <f t="shared" si="53"/>
        <v>0.85002739406046735</v>
      </c>
      <c r="Z46" s="483">
        <f t="shared" si="53"/>
        <v>0.85002739406046735</v>
      </c>
      <c r="AA46" s="483">
        <f t="shared" si="53"/>
        <v>0.85002739406046735</v>
      </c>
      <c r="AB46" s="483">
        <f t="shared" si="53"/>
        <v>0.85002739406046735</v>
      </c>
      <c r="AC46" s="484">
        <f>AC47</f>
        <v>0.85002739406046735</v>
      </c>
      <c r="AD46" s="484">
        <f>AD47</f>
        <v>0.85002739406046735</v>
      </c>
      <c r="AE46" s="484">
        <f>AE47</f>
        <v>0.85002739406046735</v>
      </c>
    </row>
    <row r="47" spans="1:33" hidden="1" outlineLevel="2">
      <c r="B47" s="487" t="s">
        <v>464</v>
      </c>
      <c r="C47" s="488"/>
      <c r="D47" s="482"/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4">
        <v>0.74</v>
      </c>
      <c r="P47" s="484">
        <f t="shared" ref="P47:V47" si="54">O47*1.02</f>
        <v>0.75480000000000003</v>
      </c>
      <c r="Q47" s="484">
        <f t="shared" si="54"/>
        <v>0.76989600000000002</v>
      </c>
      <c r="R47" s="484">
        <f t="shared" si="54"/>
        <v>0.78529392000000009</v>
      </c>
      <c r="S47" s="484">
        <f t="shared" si="54"/>
        <v>0.80099979840000013</v>
      </c>
      <c r="T47" s="484">
        <f t="shared" si="54"/>
        <v>0.8170197943680001</v>
      </c>
      <c r="U47" s="484">
        <f t="shared" si="54"/>
        <v>0.83336019025536012</v>
      </c>
      <c r="V47" s="484">
        <f t="shared" si="54"/>
        <v>0.85002739406046735</v>
      </c>
      <c r="W47" s="484">
        <f t="shared" ref="W47:AB47" si="55">V47</f>
        <v>0.85002739406046735</v>
      </c>
      <c r="X47" s="484">
        <f t="shared" si="55"/>
        <v>0.85002739406046735</v>
      </c>
      <c r="Y47" s="484">
        <f t="shared" si="55"/>
        <v>0.85002739406046735</v>
      </c>
      <c r="Z47" s="484">
        <f t="shared" si="55"/>
        <v>0.85002739406046735</v>
      </c>
      <c r="AA47" s="484">
        <f t="shared" si="55"/>
        <v>0.85002739406046735</v>
      </c>
      <c r="AB47" s="484">
        <f t="shared" si="55"/>
        <v>0.85002739406046735</v>
      </c>
      <c r="AC47" s="484">
        <f>AB47</f>
        <v>0.85002739406046735</v>
      </c>
      <c r="AD47" s="484">
        <f>AC47</f>
        <v>0.85002739406046735</v>
      </c>
      <c r="AE47" s="484">
        <f>AD47</f>
        <v>0.85002739406046735</v>
      </c>
    </row>
    <row r="48" spans="1:33" hidden="1" outlineLevel="2">
      <c r="B48" s="487" t="s">
        <v>462</v>
      </c>
      <c r="C48" s="488"/>
      <c r="D48" s="482"/>
      <c r="E48" s="481"/>
      <c r="F48" s="481"/>
      <c r="G48" s="481"/>
      <c r="H48" s="481"/>
      <c r="I48" s="481"/>
      <c r="J48" s="481"/>
      <c r="K48" s="481"/>
      <c r="L48" s="481"/>
      <c r="M48" s="481"/>
      <c r="N48" s="481"/>
      <c r="O48" s="483">
        <f>O47</f>
        <v>0.74</v>
      </c>
      <c r="P48" s="483">
        <f>P47</f>
        <v>0.75480000000000003</v>
      </c>
      <c r="Q48" s="483">
        <f>Q47</f>
        <v>0.76989600000000002</v>
      </c>
      <c r="R48" s="489">
        <f>Q47*0.95</f>
        <v>0.73140119999999997</v>
      </c>
      <c r="S48" s="489">
        <f>R48*0.9</f>
        <v>0.65826107999999994</v>
      </c>
      <c r="T48" s="489">
        <f>S48*0.9</f>
        <v>0.59243497199999995</v>
      </c>
      <c r="U48" s="489">
        <f>T48*0.95</f>
        <v>0.56281322339999995</v>
      </c>
      <c r="V48" s="489">
        <f t="shared" ref="V48:AB48" si="56">U48*0.95</f>
        <v>0.53467256222999993</v>
      </c>
      <c r="W48" s="489">
        <f t="shared" si="56"/>
        <v>0.50793893411849989</v>
      </c>
      <c r="X48" s="489">
        <f t="shared" si="56"/>
        <v>0.48254198741257487</v>
      </c>
      <c r="Y48" s="489">
        <f t="shared" si="56"/>
        <v>0.45841488804194608</v>
      </c>
      <c r="Z48" s="489">
        <f t="shared" si="56"/>
        <v>0.43549414363984873</v>
      </c>
      <c r="AA48" s="489">
        <f t="shared" si="56"/>
        <v>0.41371943645785625</v>
      </c>
      <c r="AB48" s="489">
        <f t="shared" si="56"/>
        <v>0.39303346463496341</v>
      </c>
      <c r="AC48" s="489">
        <f>AB48*0.95</f>
        <v>0.3733817914032152</v>
      </c>
      <c r="AD48" s="489">
        <f>AC48*0.95</f>
        <v>0.35471270183305442</v>
      </c>
      <c r="AE48" s="489">
        <f>AD48*0.95</f>
        <v>0.33697706674140171</v>
      </c>
      <c r="AG48" s="360" t="s">
        <v>467</v>
      </c>
    </row>
    <row r="49" spans="1:33" hidden="1" outlineLevel="1">
      <c r="A49" s="485" t="s">
        <v>78</v>
      </c>
      <c r="B49" s="490" t="s">
        <v>108</v>
      </c>
      <c r="C49" s="490"/>
      <c r="D49" s="482"/>
      <c r="E49" s="481"/>
      <c r="F49" s="483">
        <v>0.06</v>
      </c>
      <c r="G49" s="483">
        <v>0.22</v>
      </c>
      <c r="H49" s="483">
        <v>0.35</v>
      </c>
      <c r="I49" s="483">
        <v>0.45</v>
      </c>
      <c r="J49" s="484">
        <v>0.55000000000000004</v>
      </c>
      <c r="K49" s="484">
        <v>0.6</v>
      </c>
      <c r="L49" s="484">
        <v>0.7</v>
      </c>
      <c r="M49" s="484">
        <v>0.71</v>
      </c>
      <c r="N49" s="484">
        <v>0.73</v>
      </c>
      <c r="O49" s="486">
        <f t="shared" ref="O49:AE49" si="57">CHOOSE($J$1,O46,O47,O48)</f>
        <v>0.74</v>
      </c>
      <c r="P49" s="486">
        <f t="shared" si="57"/>
        <v>0.75480000000000003</v>
      </c>
      <c r="Q49" s="486">
        <f t="shared" si="57"/>
        <v>0.76989600000000002</v>
      </c>
      <c r="R49" s="486">
        <f t="shared" si="57"/>
        <v>0.78529392000000009</v>
      </c>
      <c r="S49" s="486">
        <f t="shared" si="57"/>
        <v>0.80099979840000013</v>
      </c>
      <c r="T49" s="486">
        <f t="shared" si="57"/>
        <v>0.8170197943680001</v>
      </c>
      <c r="U49" s="486">
        <f t="shared" si="57"/>
        <v>0.83336019025536012</v>
      </c>
      <c r="V49" s="486">
        <f t="shared" si="57"/>
        <v>0.85002739406046735</v>
      </c>
      <c r="W49" s="486">
        <f t="shared" si="57"/>
        <v>0.85002739406046735</v>
      </c>
      <c r="X49" s="486">
        <f t="shared" si="57"/>
        <v>0.85002739406046735</v>
      </c>
      <c r="Y49" s="486">
        <f t="shared" si="57"/>
        <v>0.85002739406046735</v>
      </c>
      <c r="Z49" s="486">
        <f t="shared" si="57"/>
        <v>0.85002739406046735</v>
      </c>
      <c r="AA49" s="486">
        <f t="shared" si="57"/>
        <v>0.85002739406046735</v>
      </c>
      <c r="AB49" s="486">
        <f t="shared" si="57"/>
        <v>0.85002739406046735</v>
      </c>
      <c r="AC49" s="486">
        <f t="shared" si="57"/>
        <v>0.85002739406046735</v>
      </c>
      <c r="AD49" s="486">
        <f t="shared" si="57"/>
        <v>0.85002739406046735</v>
      </c>
      <c r="AE49" s="486">
        <f t="shared" si="57"/>
        <v>0.85002739406046735</v>
      </c>
      <c r="AG49" s="360" t="s">
        <v>441</v>
      </c>
    </row>
    <row r="50" spans="1:33" hidden="1" outlineLevel="1">
      <c r="B50" s="11" t="s">
        <v>110</v>
      </c>
      <c r="C50" s="11"/>
      <c r="D50" s="371"/>
      <c r="F50" s="491">
        <v>0.2</v>
      </c>
      <c r="G50" s="153">
        <f>F50+1%</f>
        <v>0.21000000000000002</v>
      </c>
      <c r="H50" s="153">
        <f>G50+1%</f>
        <v>0.22000000000000003</v>
      </c>
      <c r="I50" s="153">
        <f>H50+1%</f>
        <v>0.23000000000000004</v>
      </c>
      <c r="J50" s="153">
        <f>I50+1%</f>
        <v>0.24000000000000005</v>
      </c>
      <c r="K50" s="153">
        <f>J50+1%</f>
        <v>0.25000000000000006</v>
      </c>
      <c r="L50" s="154">
        <f>K50*1.1</f>
        <v>0.27500000000000008</v>
      </c>
      <c r="M50" s="154">
        <f>L50*1.1</f>
        <v>0.3025000000000001</v>
      </c>
      <c r="N50" s="154">
        <f>M50*1.1</f>
        <v>0.33275000000000016</v>
      </c>
      <c r="O50" s="154">
        <f t="shared" ref="O50:U51" si="58">N50</f>
        <v>0.33275000000000016</v>
      </c>
      <c r="P50" s="154">
        <f t="shared" si="58"/>
        <v>0.33275000000000016</v>
      </c>
      <c r="Q50" s="154">
        <f t="shared" si="58"/>
        <v>0.33275000000000016</v>
      </c>
      <c r="R50" s="154">
        <f t="shared" si="58"/>
        <v>0.33275000000000016</v>
      </c>
      <c r="S50" s="154">
        <f t="shared" si="58"/>
        <v>0.33275000000000016</v>
      </c>
      <c r="T50" s="154">
        <f t="shared" si="58"/>
        <v>0.33275000000000016</v>
      </c>
      <c r="U50" s="154">
        <f t="shared" si="58"/>
        <v>0.33275000000000016</v>
      </c>
      <c r="V50" s="154">
        <f t="shared" ref="V50:AE50" si="59">U50</f>
        <v>0.33275000000000016</v>
      </c>
      <c r="W50" s="154">
        <f t="shared" si="59"/>
        <v>0.33275000000000016</v>
      </c>
      <c r="X50" s="154">
        <f t="shared" si="59"/>
        <v>0.33275000000000016</v>
      </c>
      <c r="Y50" s="154">
        <f t="shared" si="59"/>
        <v>0.33275000000000016</v>
      </c>
      <c r="Z50" s="154">
        <f t="shared" si="59"/>
        <v>0.33275000000000016</v>
      </c>
      <c r="AA50" s="154">
        <f t="shared" si="59"/>
        <v>0.33275000000000016</v>
      </c>
      <c r="AB50" s="154">
        <f t="shared" si="59"/>
        <v>0.33275000000000016</v>
      </c>
      <c r="AC50" s="154">
        <f t="shared" si="59"/>
        <v>0.33275000000000016</v>
      </c>
      <c r="AD50" s="154">
        <f t="shared" si="59"/>
        <v>0.33275000000000016</v>
      </c>
      <c r="AE50" s="154">
        <f t="shared" si="59"/>
        <v>0.33275000000000016</v>
      </c>
    </row>
    <row r="51" spans="1:33" hidden="1" outlineLevel="1">
      <c r="B51" s="492" t="s">
        <v>111</v>
      </c>
      <c r="C51" s="11"/>
      <c r="D51" s="371"/>
      <c r="F51" s="153">
        <v>0.33</v>
      </c>
      <c r="G51" s="153">
        <f>F51+6%</f>
        <v>0.39</v>
      </c>
      <c r="H51" s="153">
        <f>G51+6%</f>
        <v>0.45</v>
      </c>
      <c r="I51" s="153">
        <f>H51+6%</f>
        <v>0.51</v>
      </c>
      <c r="J51" s="153">
        <f>I51+6%</f>
        <v>0.57000000000000006</v>
      </c>
      <c r="K51" s="153">
        <f>J51+6%</f>
        <v>0.63000000000000012</v>
      </c>
      <c r="L51" s="154">
        <f>K51*0.98</f>
        <v>0.61740000000000006</v>
      </c>
      <c r="M51" s="154">
        <f>L51*0.98</f>
        <v>0.60505200000000003</v>
      </c>
      <c r="N51" s="154">
        <v>0.25</v>
      </c>
      <c r="O51" s="154">
        <f t="shared" si="58"/>
        <v>0.25</v>
      </c>
      <c r="P51" s="154">
        <f t="shared" si="58"/>
        <v>0.25</v>
      </c>
      <c r="Q51" s="154">
        <f t="shared" si="58"/>
        <v>0.25</v>
      </c>
      <c r="R51" s="154">
        <f t="shared" si="58"/>
        <v>0.25</v>
      </c>
      <c r="S51" s="154">
        <f t="shared" si="58"/>
        <v>0.25</v>
      </c>
      <c r="T51" s="154">
        <f t="shared" si="58"/>
        <v>0.25</v>
      </c>
      <c r="U51" s="154">
        <f t="shared" si="58"/>
        <v>0.25</v>
      </c>
      <c r="V51" s="154">
        <f t="shared" ref="V51:AE51" si="60">U51</f>
        <v>0.25</v>
      </c>
      <c r="W51" s="154">
        <f t="shared" si="60"/>
        <v>0.25</v>
      </c>
      <c r="X51" s="154">
        <f t="shared" si="60"/>
        <v>0.25</v>
      </c>
      <c r="Y51" s="154">
        <f t="shared" si="60"/>
        <v>0.25</v>
      </c>
      <c r="Z51" s="154">
        <f t="shared" si="60"/>
        <v>0.25</v>
      </c>
      <c r="AA51" s="154">
        <f t="shared" si="60"/>
        <v>0.25</v>
      </c>
      <c r="AB51" s="154">
        <f t="shared" si="60"/>
        <v>0.25</v>
      </c>
      <c r="AC51" s="154">
        <f t="shared" si="60"/>
        <v>0.25</v>
      </c>
      <c r="AD51" s="154">
        <f t="shared" si="60"/>
        <v>0.25</v>
      </c>
      <c r="AE51" s="154">
        <f t="shared" si="60"/>
        <v>0.25</v>
      </c>
    </row>
    <row r="52" spans="1:33" hidden="1" outlineLevel="1">
      <c r="D52" s="371"/>
    </row>
    <row r="53" spans="1:33" hidden="1" outlineLevel="1">
      <c r="B53" s="148" t="s">
        <v>365</v>
      </c>
      <c r="C53" s="148"/>
      <c r="D53" s="149"/>
      <c r="E53" s="25"/>
      <c r="F53" s="150">
        <f t="shared" ref="F53:AE53" si="61">F49*F43</f>
        <v>166.42853135999997</v>
      </c>
      <c r="G53" s="150">
        <f t="shared" si="61"/>
        <v>592.13970816000005</v>
      </c>
      <c r="H53" s="150">
        <f t="shared" si="61"/>
        <v>960.54993216000003</v>
      </c>
      <c r="I53" s="150">
        <f t="shared" si="61"/>
        <v>809.37591052499977</v>
      </c>
      <c r="J53" s="150">
        <f t="shared" si="61"/>
        <v>1017.3680516999997</v>
      </c>
      <c r="K53" s="150">
        <f t="shared" si="61"/>
        <v>902.50445375999948</v>
      </c>
      <c r="L53" s="150">
        <f t="shared" si="61"/>
        <v>1077.0817948799993</v>
      </c>
      <c r="M53" s="150">
        <f t="shared" si="61"/>
        <v>1117.5685772159998</v>
      </c>
      <c r="N53" s="150">
        <f t="shared" si="61"/>
        <v>1247.1395889370804</v>
      </c>
      <c r="O53" s="150">
        <f t="shared" si="61"/>
        <v>1289.5081667530258</v>
      </c>
      <c r="P53" s="150">
        <f t="shared" si="61"/>
        <v>1341.6042966898483</v>
      </c>
      <c r="Q53" s="150">
        <f t="shared" si="61"/>
        <v>1395.8051102761171</v>
      </c>
      <c r="R53" s="150">
        <f t="shared" si="61"/>
        <v>1452.1956367312723</v>
      </c>
      <c r="S53" s="150">
        <f t="shared" si="61"/>
        <v>1510.8643404552163</v>
      </c>
      <c r="T53" s="150">
        <f t="shared" si="61"/>
        <v>1571.9032598096067</v>
      </c>
      <c r="U53" s="150">
        <f t="shared" si="61"/>
        <v>1635.4081515059149</v>
      </c>
      <c r="V53" s="150">
        <f t="shared" si="61"/>
        <v>1701.4786408267548</v>
      </c>
      <c r="W53" s="150">
        <f t="shared" si="61"/>
        <v>1735.5082136432902</v>
      </c>
      <c r="X53" s="150">
        <f t="shared" si="61"/>
        <v>1770.2183779161555</v>
      </c>
      <c r="Y53" s="150">
        <f t="shared" si="61"/>
        <v>1805.6227454744796</v>
      </c>
      <c r="Z53" s="150">
        <f t="shared" si="61"/>
        <v>1841.7352003839683</v>
      </c>
      <c r="AA53" s="150">
        <f t="shared" si="61"/>
        <v>1878.5699043916477</v>
      </c>
      <c r="AB53" s="150">
        <f t="shared" si="61"/>
        <v>1916.1413024794813</v>
      </c>
      <c r="AC53" s="150">
        <f t="shared" si="61"/>
        <v>1954.4641285290688</v>
      </c>
      <c r="AD53" s="150">
        <f t="shared" si="61"/>
        <v>1993.5534110996512</v>
      </c>
      <c r="AE53" s="150">
        <f t="shared" si="61"/>
        <v>2033.4244793216444</v>
      </c>
    </row>
    <row r="54" spans="1:33" hidden="1" outlineLevel="1">
      <c r="B54" s="148"/>
      <c r="C54" s="148"/>
      <c r="D54" s="149"/>
      <c r="E54" s="25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</row>
    <row r="55" spans="1:33" hidden="1" outlineLevel="2">
      <c r="B55" s="480" t="s">
        <v>460</v>
      </c>
      <c r="C55" s="487"/>
      <c r="D55" s="493"/>
      <c r="E55" s="494"/>
      <c r="F55" s="489"/>
      <c r="G55" s="489"/>
      <c r="H55" s="495"/>
      <c r="I55" s="495"/>
      <c r="J55" s="495"/>
      <c r="K55" s="495"/>
      <c r="L55" s="495"/>
      <c r="M55" s="495"/>
      <c r="N55" s="489"/>
      <c r="O55" s="483">
        <f>N56*1.1</f>
        <v>0.75900000000000001</v>
      </c>
      <c r="P55" s="483">
        <f t="shared" ref="P55:U55" si="62">O56*1.1</f>
        <v>0.77</v>
      </c>
      <c r="Q55" s="483">
        <f t="shared" si="62"/>
        <v>0.8085</v>
      </c>
      <c r="R55" s="483">
        <f t="shared" si="62"/>
        <v>0.86900000000000011</v>
      </c>
      <c r="S55" s="483">
        <f t="shared" si="62"/>
        <v>0.89072499999999999</v>
      </c>
      <c r="T55" s="483">
        <f t="shared" si="62"/>
        <v>0.89963225000000002</v>
      </c>
      <c r="U55" s="483">
        <f t="shared" si="62"/>
        <v>0.90862857250000006</v>
      </c>
      <c r="V55" s="483">
        <f t="shared" ref="V55:AE55" si="63">U56*1.1</f>
        <v>0.91771485822499999</v>
      </c>
      <c r="W55" s="483">
        <f t="shared" si="63"/>
        <v>0.92689200680725004</v>
      </c>
      <c r="X55" s="483">
        <f t="shared" si="63"/>
        <v>0.9361609268753226</v>
      </c>
      <c r="Y55" s="483">
        <f t="shared" si="63"/>
        <v>0.94552253614407589</v>
      </c>
      <c r="Z55" s="483">
        <f t="shared" si="63"/>
        <v>0.95497776150551661</v>
      </c>
      <c r="AA55" s="483">
        <f t="shared" si="63"/>
        <v>0.96452753912057188</v>
      </c>
      <c r="AB55" s="483">
        <f t="shared" si="63"/>
        <v>0.97417281451177751</v>
      </c>
      <c r="AC55" s="483">
        <f t="shared" si="63"/>
        <v>0.97417281451177751</v>
      </c>
      <c r="AD55" s="483">
        <f t="shared" si="63"/>
        <v>0.97417281451177751</v>
      </c>
      <c r="AE55" s="483">
        <f t="shared" si="63"/>
        <v>0.97417281451177751</v>
      </c>
      <c r="AG55" s="357"/>
    </row>
    <row r="56" spans="1:33" hidden="1" outlineLevel="2">
      <c r="B56" s="480" t="s">
        <v>461</v>
      </c>
      <c r="C56" s="487"/>
      <c r="D56" s="493"/>
      <c r="E56" s="494"/>
      <c r="F56" s="489"/>
      <c r="G56" s="489"/>
      <c r="H56" s="495"/>
      <c r="I56" s="495"/>
      <c r="J56" s="495"/>
      <c r="K56" s="495"/>
      <c r="L56" s="495"/>
      <c r="M56" s="495"/>
      <c r="N56" s="496">
        <f>1-0.31</f>
        <v>0.69</v>
      </c>
      <c r="O56" s="496">
        <v>0.7</v>
      </c>
      <c r="P56" s="496">
        <f>O56*1.05</f>
        <v>0.73499999999999999</v>
      </c>
      <c r="Q56" s="496">
        <v>0.79</v>
      </c>
      <c r="R56" s="496">
        <f>Q56*1.025</f>
        <v>0.80974999999999997</v>
      </c>
      <c r="S56" s="496">
        <f>R56*1.01</f>
        <v>0.81784749999999995</v>
      </c>
      <c r="T56" s="496">
        <f>S56*1.01</f>
        <v>0.82602597499999997</v>
      </c>
      <c r="U56" s="496">
        <f>T56*1.01</f>
        <v>0.83428623474999997</v>
      </c>
      <c r="V56" s="496">
        <f t="shared" ref="V56:AA56" si="64">U56*1.01</f>
        <v>0.8426290970975</v>
      </c>
      <c r="W56" s="496">
        <f t="shared" si="64"/>
        <v>0.85105538806847503</v>
      </c>
      <c r="X56" s="496">
        <f t="shared" si="64"/>
        <v>0.85956594194915981</v>
      </c>
      <c r="Y56" s="496">
        <f t="shared" si="64"/>
        <v>0.86816160136865139</v>
      </c>
      <c r="Z56" s="496">
        <f t="shared" si="64"/>
        <v>0.87684321738233795</v>
      </c>
      <c r="AA56" s="496">
        <f t="shared" si="64"/>
        <v>0.88561164955616134</v>
      </c>
      <c r="AB56" s="496">
        <f>AA56</f>
        <v>0.88561164955616134</v>
      </c>
      <c r="AC56" s="496">
        <f>AB56</f>
        <v>0.88561164955616134</v>
      </c>
      <c r="AD56" s="496">
        <f>AC56</f>
        <v>0.88561164955616134</v>
      </c>
      <c r="AE56" s="496">
        <f>AD56</f>
        <v>0.88561164955616134</v>
      </c>
      <c r="AG56" s="357"/>
    </row>
    <row r="57" spans="1:33" hidden="1" outlineLevel="2">
      <c r="B57" s="480" t="s">
        <v>462</v>
      </c>
      <c r="C57" s="487"/>
      <c r="D57" s="493"/>
      <c r="E57" s="494"/>
      <c r="F57" s="489"/>
      <c r="G57" s="489"/>
      <c r="H57" s="495"/>
      <c r="I57" s="495"/>
      <c r="J57" s="495"/>
      <c r="K57" s="495"/>
      <c r="L57" s="495"/>
      <c r="M57" s="495"/>
      <c r="N57" s="489"/>
      <c r="O57" s="483">
        <f>N56*0.9</f>
        <v>0.621</v>
      </c>
      <c r="P57" s="483">
        <f t="shared" ref="P57:U57" si="65">O56*0.9</f>
        <v>0.63</v>
      </c>
      <c r="Q57" s="483">
        <f t="shared" si="65"/>
        <v>0.66149999999999998</v>
      </c>
      <c r="R57" s="483">
        <f t="shared" si="65"/>
        <v>0.71100000000000008</v>
      </c>
      <c r="S57" s="483">
        <f t="shared" si="65"/>
        <v>0.72877499999999995</v>
      </c>
      <c r="T57" s="483">
        <f t="shared" si="65"/>
        <v>0.73606274999999999</v>
      </c>
      <c r="U57" s="483">
        <f t="shared" si="65"/>
        <v>0.74342337749999998</v>
      </c>
      <c r="V57" s="483">
        <f t="shared" ref="V57:AE57" si="66">U56*0.9</f>
        <v>0.75085761127499995</v>
      </c>
      <c r="W57" s="483">
        <f t="shared" si="66"/>
        <v>0.75836618738774997</v>
      </c>
      <c r="X57" s="483">
        <f t="shared" si="66"/>
        <v>0.76594984926162757</v>
      </c>
      <c r="Y57" s="483">
        <f t="shared" si="66"/>
        <v>0.77360934775424384</v>
      </c>
      <c r="Z57" s="483">
        <f t="shared" si="66"/>
        <v>0.78134544123178629</v>
      </c>
      <c r="AA57" s="483">
        <f t="shared" si="66"/>
        <v>0.78915889564410413</v>
      </c>
      <c r="AB57" s="483">
        <f t="shared" si="66"/>
        <v>0.79705048460054517</v>
      </c>
      <c r="AC57" s="483">
        <f t="shared" si="66"/>
        <v>0.79705048460054517</v>
      </c>
      <c r="AD57" s="483">
        <f t="shared" si="66"/>
        <v>0.79705048460054517</v>
      </c>
      <c r="AE57" s="483">
        <f t="shared" si="66"/>
        <v>0.79705048460054517</v>
      </c>
      <c r="AG57" s="357"/>
    </row>
    <row r="58" spans="1:33" hidden="1" outlineLevel="1">
      <c r="A58" s="485" t="s">
        <v>78</v>
      </c>
      <c r="B58" s="487" t="s">
        <v>366</v>
      </c>
      <c r="C58" s="487"/>
      <c r="D58" s="493"/>
      <c r="E58" s="494"/>
      <c r="F58" s="489"/>
      <c r="G58" s="489"/>
      <c r="H58" s="495">
        <f>I58-9%</f>
        <v>0.28000000000000014</v>
      </c>
      <c r="I58" s="495">
        <f>J58-9%</f>
        <v>0.37000000000000011</v>
      </c>
      <c r="J58" s="495">
        <f>K58-9%</f>
        <v>0.46000000000000008</v>
      </c>
      <c r="K58" s="495">
        <f>L58-9%</f>
        <v>0.55000000000000004</v>
      </c>
      <c r="L58" s="495">
        <v>0.64</v>
      </c>
      <c r="M58" s="495">
        <f>N58-2%</f>
        <v>0.66999999999999993</v>
      </c>
      <c r="N58" s="489">
        <f>1-0.31</f>
        <v>0.69</v>
      </c>
      <c r="O58" s="486">
        <f t="shared" ref="O58:AE58" si="67">CHOOSE($J$1,O55,O56,O57)</f>
        <v>0.7</v>
      </c>
      <c r="P58" s="486">
        <f t="shared" si="67"/>
        <v>0.73499999999999999</v>
      </c>
      <c r="Q58" s="486">
        <f t="shared" si="67"/>
        <v>0.79</v>
      </c>
      <c r="R58" s="486">
        <f t="shared" si="67"/>
        <v>0.80974999999999997</v>
      </c>
      <c r="S58" s="486">
        <f t="shared" si="67"/>
        <v>0.81784749999999995</v>
      </c>
      <c r="T58" s="486">
        <f t="shared" si="67"/>
        <v>0.82602597499999997</v>
      </c>
      <c r="U58" s="486">
        <f t="shared" si="67"/>
        <v>0.83428623474999997</v>
      </c>
      <c r="V58" s="486">
        <f t="shared" si="67"/>
        <v>0.8426290970975</v>
      </c>
      <c r="W58" s="486">
        <f t="shared" si="67"/>
        <v>0.85105538806847503</v>
      </c>
      <c r="X58" s="486">
        <f t="shared" si="67"/>
        <v>0.85956594194915981</v>
      </c>
      <c r="Y58" s="486">
        <f t="shared" si="67"/>
        <v>0.86816160136865139</v>
      </c>
      <c r="Z58" s="486">
        <f t="shared" si="67"/>
        <v>0.87684321738233795</v>
      </c>
      <c r="AA58" s="486">
        <f t="shared" si="67"/>
        <v>0.88561164955616134</v>
      </c>
      <c r="AB58" s="486">
        <f t="shared" si="67"/>
        <v>0.88561164955616134</v>
      </c>
      <c r="AC58" s="486">
        <f t="shared" si="67"/>
        <v>0.88561164955616134</v>
      </c>
      <c r="AD58" s="486">
        <f t="shared" si="67"/>
        <v>0.88561164955616134</v>
      </c>
      <c r="AE58" s="486">
        <f t="shared" si="67"/>
        <v>0.88561164955616134</v>
      </c>
      <c r="AG58" s="357" t="s">
        <v>440</v>
      </c>
    </row>
    <row r="59" spans="1:33" hidden="1" outlineLevel="1">
      <c r="B59" s="148" t="s">
        <v>367</v>
      </c>
      <c r="C59" s="148"/>
      <c r="D59" s="149"/>
      <c r="E59" s="25"/>
      <c r="F59" s="150"/>
      <c r="G59" s="150"/>
      <c r="H59" s="150">
        <f t="shared" ref="H59:AE59" si="68">H58*H53</f>
        <v>268.95398100480014</v>
      </c>
      <c r="I59" s="150">
        <f t="shared" si="68"/>
        <v>299.46908689424998</v>
      </c>
      <c r="J59" s="150">
        <f t="shared" si="68"/>
        <v>467.98930378199992</v>
      </c>
      <c r="K59" s="150">
        <f t="shared" si="68"/>
        <v>496.37744956799975</v>
      </c>
      <c r="L59" s="150">
        <f t="shared" si="68"/>
        <v>689.33234872319952</v>
      </c>
      <c r="M59" s="150">
        <f t="shared" si="68"/>
        <v>748.77094673471981</v>
      </c>
      <c r="N59" s="150">
        <f t="shared" si="68"/>
        <v>860.52631636658543</v>
      </c>
      <c r="O59" s="150">
        <f t="shared" si="68"/>
        <v>902.65571672711792</v>
      </c>
      <c r="P59" s="150">
        <f t="shared" si="68"/>
        <v>986.07915806703852</v>
      </c>
      <c r="Q59" s="150">
        <f t="shared" si="68"/>
        <v>1102.6860371181326</v>
      </c>
      <c r="R59" s="150">
        <f t="shared" si="68"/>
        <v>1175.9154168431478</v>
      </c>
      <c r="S59" s="150">
        <f t="shared" si="68"/>
        <v>1235.6566236804474</v>
      </c>
      <c r="T59" s="150">
        <f t="shared" si="68"/>
        <v>1298.4329227899086</v>
      </c>
      <c r="U59" s="150">
        <f t="shared" si="68"/>
        <v>1364.3985089993273</v>
      </c>
      <c r="V59" s="150">
        <f t="shared" si="68"/>
        <v>1433.7154108505299</v>
      </c>
      <c r="W59" s="150">
        <f t="shared" si="68"/>
        <v>1477.0136162582162</v>
      </c>
      <c r="X59" s="150">
        <f t="shared" si="68"/>
        <v>1521.6194274692141</v>
      </c>
      <c r="Y59" s="150">
        <f t="shared" si="68"/>
        <v>1567.572334178785</v>
      </c>
      <c r="Z59" s="150">
        <f t="shared" si="68"/>
        <v>1614.9130186709835</v>
      </c>
      <c r="AA59" s="150">
        <f t="shared" si="68"/>
        <v>1663.6833918348475</v>
      </c>
      <c r="AB59" s="150">
        <f t="shared" si="68"/>
        <v>1696.9570596715448</v>
      </c>
      <c r="AC59" s="150">
        <f t="shared" si="68"/>
        <v>1730.8962008649739</v>
      </c>
      <c r="AD59" s="150">
        <f t="shared" si="68"/>
        <v>1765.5141248822742</v>
      </c>
      <c r="AE59" s="150">
        <f t="shared" si="68"/>
        <v>1800.8244073799201</v>
      </c>
    </row>
    <row r="60" spans="1:33" hidden="1" outlineLevel="1">
      <c r="D60" s="371"/>
      <c r="V60" s="763"/>
      <c r="W60" s="763"/>
      <c r="X60" s="763"/>
      <c r="Y60" s="763"/>
      <c r="Z60" s="763"/>
      <c r="AA60" s="763"/>
      <c r="AB60" s="763"/>
      <c r="AC60" s="763"/>
      <c r="AD60" s="763"/>
      <c r="AE60" s="763"/>
    </row>
    <row r="61" spans="1:33" hidden="1" outlineLevel="1">
      <c r="B61" s="473" t="s">
        <v>362</v>
      </c>
      <c r="C61" s="473"/>
      <c r="D61" s="474"/>
      <c r="E61" s="473"/>
      <c r="F61" s="473"/>
      <c r="G61" s="473"/>
      <c r="H61" s="473"/>
      <c r="I61" s="473"/>
      <c r="J61" s="473"/>
      <c r="K61" s="473"/>
      <c r="L61" s="473"/>
      <c r="M61" s="473"/>
      <c r="N61" s="473"/>
      <c r="O61" s="473"/>
      <c r="P61" s="473"/>
      <c r="Q61" s="473"/>
      <c r="R61" s="473"/>
      <c r="S61" s="473"/>
      <c r="T61" s="473"/>
      <c r="U61" s="473"/>
      <c r="V61" s="757"/>
      <c r="W61" s="757"/>
      <c r="X61" s="757"/>
      <c r="Y61" s="757"/>
      <c r="Z61" s="757"/>
      <c r="AA61" s="757"/>
      <c r="AB61" s="757"/>
      <c r="AC61" s="757"/>
      <c r="AD61" s="757"/>
      <c r="AE61" s="757"/>
    </row>
    <row r="62" spans="1:33" ht="12.75" hidden="1" customHeight="1" outlineLevel="1">
      <c r="B62" s="497" t="s">
        <v>363</v>
      </c>
      <c r="C62" s="14"/>
      <c r="D62" s="371"/>
      <c r="E62" s="5">
        <f t="shared" ref="E62:T62" si="69">(1-E20)*E17</f>
        <v>9133.3045440000024</v>
      </c>
      <c r="F62" s="5">
        <f t="shared" si="69"/>
        <v>9576.2448600000007</v>
      </c>
      <c r="G62" s="5">
        <f t="shared" si="69"/>
        <v>9292.2356800000034</v>
      </c>
      <c r="H62" s="5">
        <f t="shared" si="69"/>
        <v>9474.8122560000011</v>
      </c>
      <c r="I62" s="5">
        <f t="shared" si="69"/>
        <v>9935.1963620000006</v>
      </c>
      <c r="J62" s="5">
        <f t="shared" si="69"/>
        <v>10217.722424000001</v>
      </c>
      <c r="K62" s="5">
        <f t="shared" si="69"/>
        <v>10385.963952000002</v>
      </c>
      <c r="L62" s="5">
        <f t="shared" si="69"/>
        <v>10624.276208000001</v>
      </c>
      <c r="M62" s="5">
        <f t="shared" si="69"/>
        <v>10868.373152000002</v>
      </c>
      <c r="N62" s="5">
        <f t="shared" si="69"/>
        <v>11796.167018648193</v>
      </c>
      <c r="O62" s="5">
        <f t="shared" si="69"/>
        <v>12032.090359021158</v>
      </c>
      <c r="P62" s="5">
        <f t="shared" si="69"/>
        <v>12272.732166201582</v>
      </c>
      <c r="Q62" s="5">
        <f t="shared" si="69"/>
        <v>12518.186809525614</v>
      </c>
      <c r="R62" s="5">
        <f t="shared" si="69"/>
        <v>12768.550545716127</v>
      </c>
      <c r="S62" s="5">
        <f t="shared" si="69"/>
        <v>13023.92155663045</v>
      </c>
      <c r="T62" s="5">
        <f t="shared" si="69"/>
        <v>13284.399987763059</v>
      </c>
      <c r="U62" s="5">
        <f>(1-U20)*U17</f>
        <v>13550.08798751832</v>
      </c>
      <c r="V62" s="5">
        <f t="shared" ref="V62:AA62" si="70">(1-V20)*V17</f>
        <v>13821.089747268687</v>
      </c>
      <c r="W62" s="5">
        <f t="shared" si="70"/>
        <v>14097.511542214061</v>
      </c>
      <c r="X62" s="5">
        <f t="shared" si="70"/>
        <v>14379.461773058341</v>
      </c>
      <c r="Y62" s="5">
        <f t="shared" si="70"/>
        <v>14667.051008519507</v>
      </c>
      <c r="Z62" s="5">
        <f t="shared" si="70"/>
        <v>14960.392028689897</v>
      </c>
      <c r="AA62" s="5">
        <f t="shared" si="70"/>
        <v>15259.599869263697</v>
      </c>
      <c r="AB62" s="5">
        <f>(1-AB20)*AB17</f>
        <v>15564.791866648971</v>
      </c>
      <c r="AC62" s="5">
        <f>(1-AC20)*AC17</f>
        <v>15876.08770398195</v>
      </c>
      <c r="AD62" s="5">
        <f>(1-AD20)*AD17</f>
        <v>16193.60945806159</v>
      </c>
      <c r="AE62" s="5">
        <f>(1-AE20)*AE17</f>
        <v>16517.481647222823</v>
      </c>
    </row>
    <row r="63" spans="1:33" ht="12.75" hidden="1" customHeight="1" outlineLevel="1">
      <c r="D63" s="371"/>
    </row>
    <row r="64" spans="1:33" ht="12.75" hidden="1" customHeight="1" outlineLevel="1">
      <c r="B64" s="10" t="s">
        <v>31</v>
      </c>
      <c r="C64" s="10"/>
      <c r="D64" s="371"/>
    </row>
    <row r="65" spans="1:33" hidden="1" outlineLevel="1">
      <c r="A65" s="485" t="s">
        <v>78</v>
      </c>
      <c r="B65" s="487" t="s">
        <v>108</v>
      </c>
      <c r="C65" s="487"/>
      <c r="D65" s="493"/>
      <c r="E65" s="494"/>
      <c r="F65" s="489">
        <v>0.06</v>
      </c>
      <c r="G65" s="489">
        <v>0.22</v>
      </c>
      <c r="H65" s="495">
        <v>0.35</v>
      </c>
      <c r="I65" s="495">
        <v>0.45</v>
      </c>
      <c r="J65" s="495">
        <f t="shared" ref="J65:AE65" si="71">J49</f>
        <v>0.55000000000000004</v>
      </c>
      <c r="K65" s="495">
        <f t="shared" si="71"/>
        <v>0.6</v>
      </c>
      <c r="L65" s="495">
        <f t="shared" si="71"/>
        <v>0.7</v>
      </c>
      <c r="M65" s="495">
        <f t="shared" si="71"/>
        <v>0.71</v>
      </c>
      <c r="N65" s="489">
        <f t="shared" si="71"/>
        <v>0.73</v>
      </c>
      <c r="O65" s="486">
        <f t="shared" si="71"/>
        <v>0.74</v>
      </c>
      <c r="P65" s="486">
        <f t="shared" si="71"/>
        <v>0.75480000000000003</v>
      </c>
      <c r="Q65" s="486">
        <f t="shared" si="71"/>
        <v>0.76989600000000002</v>
      </c>
      <c r="R65" s="486">
        <f t="shared" si="71"/>
        <v>0.78529392000000009</v>
      </c>
      <c r="S65" s="486">
        <f t="shared" si="71"/>
        <v>0.80099979840000013</v>
      </c>
      <c r="T65" s="486">
        <f t="shared" si="71"/>
        <v>0.8170197943680001</v>
      </c>
      <c r="U65" s="486">
        <f t="shared" si="71"/>
        <v>0.83336019025536012</v>
      </c>
      <c r="V65" s="486">
        <f t="shared" si="71"/>
        <v>0.85002739406046735</v>
      </c>
      <c r="W65" s="486">
        <f t="shared" si="71"/>
        <v>0.85002739406046735</v>
      </c>
      <c r="X65" s="486">
        <f t="shared" si="71"/>
        <v>0.85002739406046735</v>
      </c>
      <c r="Y65" s="486">
        <f t="shared" si="71"/>
        <v>0.85002739406046735</v>
      </c>
      <c r="Z65" s="486">
        <f t="shared" si="71"/>
        <v>0.85002739406046735</v>
      </c>
      <c r="AA65" s="486">
        <f t="shared" si="71"/>
        <v>0.85002739406046735</v>
      </c>
      <c r="AB65" s="486">
        <f t="shared" si="71"/>
        <v>0.85002739406046735</v>
      </c>
      <c r="AC65" s="486">
        <f t="shared" si="71"/>
        <v>0.85002739406046735</v>
      </c>
      <c r="AD65" s="486">
        <f t="shared" si="71"/>
        <v>0.85002739406046735</v>
      </c>
      <c r="AE65" s="486">
        <f t="shared" si="71"/>
        <v>0.85002739406046735</v>
      </c>
      <c r="AG65" s="357" t="s">
        <v>471</v>
      </c>
    </row>
    <row r="66" spans="1:33" ht="12.75" hidden="1" customHeight="1" outlineLevel="1">
      <c r="B66" s="11" t="s">
        <v>111</v>
      </c>
      <c r="C66" s="11"/>
      <c r="D66" s="371"/>
      <c r="F66" s="50"/>
      <c r="G66" s="50"/>
      <c r="H66" s="50"/>
      <c r="I66" s="50"/>
      <c r="J66" s="153">
        <f>1-J65</f>
        <v>0.44999999999999996</v>
      </c>
      <c r="K66" s="153">
        <f t="shared" ref="K66:T66" si="72">1-K65</f>
        <v>0.4</v>
      </c>
      <c r="L66" s="153">
        <f t="shared" si="72"/>
        <v>0.30000000000000004</v>
      </c>
      <c r="M66" s="153">
        <f t="shared" si="72"/>
        <v>0.29000000000000004</v>
      </c>
      <c r="N66" s="153">
        <f t="shared" si="72"/>
        <v>0.27</v>
      </c>
      <c r="O66" s="153">
        <f t="shared" si="72"/>
        <v>0.26</v>
      </c>
      <c r="P66" s="153">
        <f t="shared" si="72"/>
        <v>0.24519999999999997</v>
      </c>
      <c r="Q66" s="153">
        <f t="shared" si="72"/>
        <v>0.23010399999999998</v>
      </c>
      <c r="R66" s="153">
        <f t="shared" si="72"/>
        <v>0.21470607999999991</v>
      </c>
      <c r="S66" s="153">
        <f t="shared" si="72"/>
        <v>0.19900020159999987</v>
      </c>
      <c r="T66" s="153">
        <f t="shared" si="72"/>
        <v>0.1829802056319999</v>
      </c>
      <c r="U66" s="153">
        <f>1-U65</f>
        <v>0.16663980974463988</v>
      </c>
      <c r="V66" s="153">
        <f t="shared" ref="V66:AA66" si="73">1-V65</f>
        <v>0.14997260593953265</v>
      </c>
      <c r="W66" s="153">
        <f t="shared" si="73"/>
        <v>0.14997260593953265</v>
      </c>
      <c r="X66" s="153">
        <f t="shared" si="73"/>
        <v>0.14997260593953265</v>
      </c>
      <c r="Y66" s="153">
        <f t="shared" si="73"/>
        <v>0.14997260593953265</v>
      </c>
      <c r="Z66" s="153">
        <f t="shared" si="73"/>
        <v>0.14997260593953265</v>
      </c>
      <c r="AA66" s="153">
        <f t="shared" si="73"/>
        <v>0.14997260593953265</v>
      </c>
      <c r="AB66" s="153">
        <f>1-AB65</f>
        <v>0.14997260593953265</v>
      </c>
      <c r="AC66" s="153">
        <f>1-AC65</f>
        <v>0.14997260593953265</v>
      </c>
      <c r="AD66" s="153">
        <f>1-AD65</f>
        <v>0.14997260593953265</v>
      </c>
      <c r="AE66" s="153">
        <f>1-AE65</f>
        <v>0.14997260593953265</v>
      </c>
    </row>
    <row r="67" spans="1:33" s="28" customFormat="1" ht="12.75" hidden="1" customHeight="1" outlineLevel="1">
      <c r="B67" s="11"/>
      <c r="C67" s="11"/>
      <c r="D67" s="371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3" ht="12.75" hidden="1" customHeight="1" outlineLevel="1">
      <c r="B68" s="148" t="s">
        <v>379</v>
      </c>
      <c r="C68" s="148"/>
      <c r="D68" s="149"/>
      <c r="E68" s="25"/>
      <c r="F68" s="150">
        <f t="shared" ref="F68:AE68" si="74">F65*F62</f>
        <v>574.57469160000005</v>
      </c>
      <c r="G68" s="150">
        <f t="shared" si="74"/>
        <v>2044.2918496000007</v>
      </c>
      <c r="H68" s="150">
        <f t="shared" si="74"/>
        <v>3316.1842896000003</v>
      </c>
      <c r="I68" s="150">
        <f t="shared" si="74"/>
        <v>4470.8383629</v>
      </c>
      <c r="J68" s="150">
        <f t="shared" si="74"/>
        <v>5619.7473332000009</v>
      </c>
      <c r="K68" s="150">
        <f t="shared" si="74"/>
        <v>6231.5783712000011</v>
      </c>
      <c r="L68" s="150">
        <f t="shared" si="74"/>
        <v>7436.9933455999999</v>
      </c>
      <c r="M68" s="150">
        <f t="shared" si="74"/>
        <v>7716.5449379200008</v>
      </c>
      <c r="N68" s="150">
        <f t="shared" si="74"/>
        <v>8611.20192361318</v>
      </c>
      <c r="O68" s="150">
        <f t="shared" si="74"/>
        <v>8903.7468656756573</v>
      </c>
      <c r="P68" s="150">
        <f t="shared" si="74"/>
        <v>9263.4582390489541</v>
      </c>
      <c r="Q68" s="150">
        <f t="shared" si="74"/>
        <v>9637.7019519065325</v>
      </c>
      <c r="R68" s="150">
        <f t="shared" si="74"/>
        <v>10027.065110763559</v>
      </c>
      <c r="S68" s="150">
        <f t="shared" si="74"/>
        <v>10432.158541238407</v>
      </c>
      <c r="T68" s="150">
        <f t="shared" si="74"/>
        <v>10853.617746304439</v>
      </c>
      <c r="U68" s="150">
        <f t="shared" si="74"/>
        <v>11292.103903255136</v>
      </c>
      <c r="V68" s="150">
        <f t="shared" si="74"/>
        <v>11748.304900946645</v>
      </c>
      <c r="W68" s="150">
        <f t="shared" si="74"/>
        <v>11983.270998965578</v>
      </c>
      <c r="X68" s="150">
        <f t="shared" si="74"/>
        <v>12222.93641894489</v>
      </c>
      <c r="Y68" s="150">
        <f t="shared" si="74"/>
        <v>12467.395147323787</v>
      </c>
      <c r="Z68" s="150">
        <f t="shared" si="74"/>
        <v>12716.743050270263</v>
      </c>
      <c r="AA68" s="150">
        <f t="shared" si="74"/>
        <v>12971.077911275668</v>
      </c>
      <c r="AB68" s="150">
        <f t="shared" si="74"/>
        <v>13230.499469501183</v>
      </c>
      <c r="AC68" s="150">
        <f t="shared" si="74"/>
        <v>13495.109458891206</v>
      </c>
      <c r="AD68" s="150">
        <f t="shared" si="74"/>
        <v>13765.01164806903</v>
      </c>
      <c r="AE68" s="150">
        <f t="shared" si="74"/>
        <v>14040.311881030411</v>
      </c>
    </row>
    <row r="69" spans="1:33" ht="12.75" hidden="1" customHeight="1" outlineLevel="1">
      <c r="B69" s="11"/>
      <c r="C69" s="11"/>
      <c r="D69" s="371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</row>
    <row r="70" spans="1:33" hidden="1" outlineLevel="1">
      <c r="A70" s="485" t="s">
        <v>78</v>
      </c>
      <c r="B70" s="487" t="s">
        <v>366</v>
      </c>
      <c r="C70" s="487"/>
      <c r="D70" s="493"/>
      <c r="E70" s="494"/>
      <c r="F70" s="489"/>
      <c r="G70" s="489"/>
      <c r="H70" s="495">
        <f t="shared" ref="H70:AE70" si="75">H58</f>
        <v>0.28000000000000014</v>
      </c>
      <c r="I70" s="495">
        <f t="shared" si="75"/>
        <v>0.37000000000000011</v>
      </c>
      <c r="J70" s="495">
        <f t="shared" si="75"/>
        <v>0.46000000000000008</v>
      </c>
      <c r="K70" s="495">
        <f t="shared" si="75"/>
        <v>0.55000000000000004</v>
      </c>
      <c r="L70" s="495">
        <f t="shared" si="75"/>
        <v>0.64</v>
      </c>
      <c r="M70" s="495">
        <f t="shared" si="75"/>
        <v>0.66999999999999993</v>
      </c>
      <c r="N70" s="489">
        <f t="shared" si="75"/>
        <v>0.69</v>
      </c>
      <c r="O70" s="486">
        <f t="shared" si="75"/>
        <v>0.7</v>
      </c>
      <c r="P70" s="486">
        <f t="shared" si="75"/>
        <v>0.73499999999999999</v>
      </c>
      <c r="Q70" s="486">
        <f t="shared" si="75"/>
        <v>0.79</v>
      </c>
      <c r="R70" s="486">
        <f t="shared" si="75"/>
        <v>0.80974999999999997</v>
      </c>
      <c r="S70" s="486">
        <f t="shared" si="75"/>
        <v>0.81784749999999995</v>
      </c>
      <c r="T70" s="486">
        <f t="shared" si="75"/>
        <v>0.82602597499999997</v>
      </c>
      <c r="U70" s="486">
        <f t="shared" si="75"/>
        <v>0.83428623474999997</v>
      </c>
      <c r="V70" s="486">
        <f t="shared" si="75"/>
        <v>0.8426290970975</v>
      </c>
      <c r="W70" s="486">
        <f t="shared" si="75"/>
        <v>0.85105538806847503</v>
      </c>
      <c r="X70" s="486">
        <f t="shared" si="75"/>
        <v>0.85956594194915981</v>
      </c>
      <c r="Y70" s="486">
        <f t="shared" si="75"/>
        <v>0.86816160136865139</v>
      </c>
      <c r="Z70" s="486">
        <f t="shared" si="75"/>
        <v>0.87684321738233795</v>
      </c>
      <c r="AA70" s="486">
        <f t="shared" si="75"/>
        <v>0.88561164955616134</v>
      </c>
      <c r="AB70" s="486">
        <f t="shared" si="75"/>
        <v>0.88561164955616134</v>
      </c>
      <c r="AC70" s="486">
        <f t="shared" si="75"/>
        <v>0.88561164955616134</v>
      </c>
      <c r="AD70" s="486">
        <f t="shared" si="75"/>
        <v>0.88561164955616134</v>
      </c>
      <c r="AE70" s="486">
        <f t="shared" si="75"/>
        <v>0.88561164955616134</v>
      </c>
      <c r="AG70" s="357" t="s">
        <v>440</v>
      </c>
    </row>
    <row r="71" spans="1:33" ht="12.75" hidden="1" customHeight="1" outlineLevel="1">
      <c r="B71" s="148" t="s">
        <v>367</v>
      </c>
      <c r="C71" s="11"/>
      <c r="D71" s="371"/>
      <c r="F71" s="150"/>
      <c r="G71" s="150"/>
      <c r="H71" s="150"/>
      <c r="I71" s="150"/>
      <c r="J71" s="150">
        <f t="shared" ref="J71:AD71" si="76">J70*J68</f>
        <v>2585.0837732720006</v>
      </c>
      <c r="K71" s="150">
        <f t="shared" si="76"/>
        <v>3427.3681041600007</v>
      </c>
      <c r="L71" s="150">
        <f t="shared" si="76"/>
        <v>4759.6757411839999</v>
      </c>
      <c r="M71" s="150">
        <f t="shared" si="76"/>
        <v>5170.0851084063997</v>
      </c>
      <c r="N71" s="150">
        <f t="shared" si="76"/>
        <v>5941.7293272930938</v>
      </c>
      <c r="O71" s="150">
        <f t="shared" si="76"/>
        <v>6232.6228059729601</v>
      </c>
      <c r="P71" s="150">
        <f t="shared" si="76"/>
        <v>6808.6418057009814</v>
      </c>
      <c r="Q71" s="150">
        <f t="shared" si="76"/>
        <v>7613.7845420061612</v>
      </c>
      <c r="R71" s="150">
        <f t="shared" si="76"/>
        <v>8119.4159734407913</v>
      </c>
      <c r="S71" s="150">
        <f t="shared" si="76"/>
        <v>8531.9147825554774</v>
      </c>
      <c r="T71" s="150">
        <f t="shared" si="76"/>
        <v>8965.3701811684259</v>
      </c>
      <c r="U71" s="150">
        <f t="shared" si="76"/>
        <v>9420.8468478525047</v>
      </c>
      <c r="V71" s="150">
        <f t="shared" si="76"/>
        <v>9899.4635511108063</v>
      </c>
      <c r="W71" s="150">
        <f t="shared" si="76"/>
        <v>10198.427350354352</v>
      </c>
      <c r="X71" s="150">
        <f t="shared" si="76"/>
        <v>10506.419856335055</v>
      </c>
      <c r="Y71" s="150">
        <f t="shared" si="76"/>
        <v>10823.713735996373</v>
      </c>
      <c r="Z71" s="150">
        <f t="shared" si="76"/>
        <v>11150.589890823463</v>
      </c>
      <c r="AA71" s="150">
        <f t="shared" si="76"/>
        <v>11487.337705526332</v>
      </c>
      <c r="AB71" s="150">
        <f t="shared" si="76"/>
        <v>11717.084459636861</v>
      </c>
      <c r="AC71" s="150">
        <f t="shared" si="76"/>
        <v>11951.426148829596</v>
      </c>
      <c r="AD71" s="150">
        <f t="shared" si="76"/>
        <v>12190.454671806188</v>
      </c>
      <c r="AE71" s="150">
        <f>AE70*AE68</f>
        <v>12434.263765242313</v>
      </c>
    </row>
    <row r="72" spans="1:33" ht="12.75" hidden="1" customHeight="1" outlineLevel="1" thickBot="1">
      <c r="D72" s="371"/>
    </row>
    <row r="73" spans="1:33" ht="12.75" hidden="1" customHeight="1" outlineLevel="1">
      <c r="B73" s="469" t="s">
        <v>453</v>
      </c>
      <c r="C73" s="469"/>
      <c r="D73" s="472"/>
      <c r="E73" s="472"/>
      <c r="F73" s="472"/>
      <c r="G73" s="472"/>
      <c r="H73" s="472"/>
      <c r="I73" s="472"/>
      <c r="J73" s="472"/>
      <c r="K73" s="472"/>
      <c r="L73" s="472"/>
      <c r="M73" s="472"/>
      <c r="N73" s="472"/>
      <c r="O73" s="472"/>
      <c r="P73" s="472"/>
      <c r="Q73" s="472"/>
      <c r="R73" s="472"/>
      <c r="S73" s="472"/>
      <c r="T73" s="472"/>
      <c r="U73" s="472"/>
      <c r="V73" s="440"/>
      <c r="W73" s="440"/>
      <c r="X73" s="440"/>
      <c r="Y73" s="440"/>
      <c r="Z73" s="440"/>
      <c r="AA73" s="440"/>
      <c r="AB73" s="440"/>
      <c r="AC73" s="440"/>
      <c r="AD73" s="440"/>
      <c r="AE73" s="440"/>
    </row>
    <row r="74" spans="1:33" hidden="1" outlineLevel="1">
      <c r="B74" s="498" t="s">
        <v>122</v>
      </c>
      <c r="C74" s="498"/>
      <c r="D74" s="499" t="s">
        <v>26</v>
      </c>
      <c r="E74" s="498"/>
      <c r="F74" s="498"/>
      <c r="G74" s="498"/>
      <c r="H74" s="498"/>
      <c r="I74" s="498"/>
      <c r="J74" s="498"/>
      <c r="K74" s="498"/>
      <c r="L74" s="498"/>
      <c r="M74" s="498"/>
      <c r="N74" s="498"/>
      <c r="O74" s="498"/>
      <c r="P74" s="498"/>
      <c r="Q74" s="498"/>
      <c r="R74" s="498"/>
      <c r="S74" s="498"/>
      <c r="T74" s="498"/>
      <c r="U74" s="498"/>
      <c r="V74" s="515"/>
      <c r="W74" s="515"/>
      <c r="X74" s="515"/>
      <c r="Y74" s="515"/>
      <c r="Z74" s="515"/>
      <c r="AA74" s="515"/>
      <c r="AB74" s="515"/>
      <c r="AC74" s="515"/>
      <c r="AD74" s="515"/>
      <c r="AE74" s="515"/>
    </row>
    <row r="75" spans="1:33" hidden="1" outlineLevel="1">
      <c r="D75" s="371"/>
    </row>
    <row r="76" spans="1:33" hidden="1" outlineLevel="1">
      <c r="B76" s="10" t="s">
        <v>47</v>
      </c>
      <c r="C76" s="373"/>
      <c r="D76" s="371">
        <v>1.05</v>
      </c>
      <c r="J76" s="24">
        <f>K76/(1+K77*3/4)</f>
        <v>6530.3959666809315</v>
      </c>
      <c r="K76" s="24">
        <f>L76/(1+L77*3/4)</f>
        <v>6787.5164141883424</v>
      </c>
      <c r="L76" s="500">
        <v>7000</v>
      </c>
      <c r="M76" s="24">
        <f>L76*(1+M77*3/4)</f>
        <v>7342.68942852492</v>
      </c>
      <c r="N76" s="24">
        <f>M76*(1+N77*2/4)</f>
        <v>7640.8990798539453</v>
      </c>
      <c r="O76" s="24">
        <f t="shared" ref="O76:U76" si="77">N76*(1+O77)</f>
        <v>8022.9440338466429</v>
      </c>
      <c r="P76" s="24">
        <f t="shared" si="77"/>
        <v>8584.5501162159089</v>
      </c>
      <c r="Q76" s="24">
        <f t="shared" si="77"/>
        <v>9228.3913749321018</v>
      </c>
      <c r="R76" s="24">
        <f t="shared" si="77"/>
        <v>9874.3787711773493</v>
      </c>
      <c r="S76" s="24">
        <f t="shared" si="77"/>
        <v>10565.585285159765</v>
      </c>
      <c r="T76" s="24">
        <f t="shared" si="77"/>
        <v>11305.176255120949</v>
      </c>
      <c r="U76" s="24">
        <f t="shared" si="77"/>
        <v>12096.538592979416</v>
      </c>
      <c r="V76" s="24">
        <f t="shared" ref="V76:AB76" si="78">U76*(1+V77)</f>
        <v>12943.296294487975</v>
      </c>
      <c r="W76" s="24">
        <f t="shared" si="78"/>
        <v>13849.327035102133</v>
      </c>
      <c r="X76" s="24">
        <f t="shared" si="78"/>
        <v>14818.779927559282</v>
      </c>
      <c r="Y76" s="24">
        <f t="shared" si="78"/>
        <v>15856.094522488433</v>
      </c>
      <c r="Z76" s="24">
        <f t="shared" si="78"/>
        <v>16966.021139062625</v>
      </c>
      <c r="AA76" s="24">
        <f t="shared" si="78"/>
        <v>18153.64261879701</v>
      </c>
      <c r="AB76" s="24">
        <f t="shared" si="78"/>
        <v>19424.397602112804</v>
      </c>
      <c r="AC76" s="24">
        <f>AB76*(1+AC77)</f>
        <v>20784.105434260702</v>
      </c>
      <c r="AD76" s="24">
        <f>AC76*(1+AD77)</f>
        <v>22238.992814658952</v>
      </c>
      <c r="AE76" s="24">
        <f>AD76*(1+AE77)</f>
        <v>23795.72231168508</v>
      </c>
      <c r="AG76" s="360" t="s">
        <v>442</v>
      </c>
    </row>
    <row r="77" spans="1:33" hidden="1" outlineLevel="2">
      <c r="B77" s="31" t="s">
        <v>368</v>
      </c>
      <c r="C77" s="147"/>
      <c r="D77" s="29"/>
      <c r="E77" s="28"/>
      <c r="F77" s="28"/>
      <c r="G77" s="28"/>
      <c r="H77" s="28"/>
      <c r="I77" s="28"/>
      <c r="J77" s="121"/>
      <c r="K77" s="136">
        <f>J283</f>
        <v>5.2497163279588532E-2</v>
      </c>
      <c r="L77" s="136">
        <f>J282</f>
        <v>4.1740075524039133E-2</v>
      </c>
      <c r="M77" s="136">
        <f>J281</f>
        <v>6.527417686188941E-2</v>
      </c>
      <c r="N77" s="136">
        <f>J280</f>
        <v>8.1226273896465973E-2</v>
      </c>
      <c r="O77" s="501">
        <v>0.05</v>
      </c>
      <c r="P77" s="136">
        <v>7.0000000000000007E-2</v>
      </c>
      <c r="Q77" s="136">
        <v>7.4999999999999997E-2</v>
      </c>
      <c r="R77" s="136">
        <v>7.0000000000000007E-2</v>
      </c>
      <c r="S77" s="136">
        <f t="shared" ref="S77:U77" si="79">R77</f>
        <v>7.0000000000000007E-2</v>
      </c>
      <c r="T77" s="136">
        <f t="shared" si="79"/>
        <v>7.0000000000000007E-2</v>
      </c>
      <c r="U77" s="136">
        <f t="shared" si="79"/>
        <v>7.0000000000000007E-2</v>
      </c>
      <c r="V77" s="136">
        <f t="shared" ref="V77:AE77" si="80">U77</f>
        <v>7.0000000000000007E-2</v>
      </c>
      <c r="W77" s="136">
        <f t="shared" si="80"/>
        <v>7.0000000000000007E-2</v>
      </c>
      <c r="X77" s="136">
        <f t="shared" si="80"/>
        <v>7.0000000000000007E-2</v>
      </c>
      <c r="Y77" s="136">
        <f t="shared" si="80"/>
        <v>7.0000000000000007E-2</v>
      </c>
      <c r="Z77" s="136">
        <f t="shared" si="80"/>
        <v>7.0000000000000007E-2</v>
      </c>
      <c r="AA77" s="136">
        <f t="shared" si="80"/>
        <v>7.0000000000000007E-2</v>
      </c>
      <c r="AB77" s="136">
        <f t="shared" si="80"/>
        <v>7.0000000000000007E-2</v>
      </c>
      <c r="AC77" s="136">
        <f t="shared" si="80"/>
        <v>7.0000000000000007E-2</v>
      </c>
      <c r="AD77" s="136">
        <f t="shared" si="80"/>
        <v>7.0000000000000007E-2</v>
      </c>
      <c r="AE77" s="136">
        <f t="shared" si="80"/>
        <v>7.0000000000000007E-2</v>
      </c>
    </row>
    <row r="78" spans="1:33" hidden="1" outlineLevel="1">
      <c r="D78" s="371"/>
    </row>
    <row r="79" spans="1:33" hidden="1" outlineLevel="1">
      <c r="B79" s="502" t="s">
        <v>39</v>
      </c>
      <c r="C79" s="502"/>
      <c r="D79" s="503"/>
      <c r="E79" s="504"/>
      <c r="F79" s="504"/>
      <c r="G79" s="504"/>
      <c r="H79" s="504"/>
      <c r="I79" s="504"/>
      <c r="J79" s="504"/>
      <c r="K79" s="504"/>
      <c r="L79" s="504"/>
      <c r="M79" s="504"/>
      <c r="N79" s="504"/>
      <c r="O79" s="504"/>
      <c r="P79" s="504"/>
      <c r="Q79" s="504"/>
      <c r="R79" s="504"/>
      <c r="S79" s="504"/>
      <c r="T79" s="504"/>
      <c r="U79" s="504"/>
      <c r="V79" s="504"/>
      <c r="W79" s="504"/>
      <c r="X79" s="504"/>
      <c r="Y79" s="504"/>
      <c r="Z79" s="504"/>
      <c r="AA79" s="504"/>
      <c r="AB79" s="504"/>
      <c r="AC79" s="504"/>
      <c r="AD79" s="504"/>
      <c r="AE79" s="504"/>
    </row>
    <row r="80" spans="1:33" hidden="1" outlineLevel="2">
      <c r="B80" s="11" t="s">
        <v>41</v>
      </c>
      <c r="C80" s="11"/>
      <c r="D80" s="371"/>
      <c r="I80" s="505"/>
      <c r="J80" s="505">
        <v>6</v>
      </c>
      <c r="K80" s="505">
        <v>6</v>
      </c>
      <c r="L80" s="505">
        <v>6</v>
      </c>
      <c r="M80" s="505">
        <v>6</v>
      </c>
      <c r="N80" s="505">
        <v>6</v>
      </c>
      <c r="O80" s="360">
        <f t="shared" ref="O80:U80" si="81">N80</f>
        <v>6</v>
      </c>
      <c r="P80" s="360">
        <f t="shared" si="81"/>
        <v>6</v>
      </c>
      <c r="Q80" s="360">
        <f t="shared" si="81"/>
        <v>6</v>
      </c>
      <c r="R80" s="360">
        <f t="shared" si="81"/>
        <v>6</v>
      </c>
      <c r="S80" s="360">
        <f t="shared" si="81"/>
        <v>6</v>
      </c>
      <c r="T80" s="360">
        <f t="shared" si="81"/>
        <v>6</v>
      </c>
      <c r="U80" s="360">
        <f t="shared" si="81"/>
        <v>6</v>
      </c>
      <c r="V80" s="360">
        <f t="shared" ref="V80:AB80" si="82">U80</f>
        <v>6</v>
      </c>
      <c r="W80" s="360">
        <f t="shared" si="82"/>
        <v>6</v>
      </c>
      <c r="X80" s="360">
        <f t="shared" si="82"/>
        <v>6</v>
      </c>
      <c r="Y80" s="360">
        <f t="shared" si="82"/>
        <v>6</v>
      </c>
      <c r="Z80" s="360">
        <f t="shared" si="82"/>
        <v>6</v>
      </c>
      <c r="AA80" s="360">
        <f t="shared" si="82"/>
        <v>6</v>
      </c>
      <c r="AB80" s="360">
        <f t="shared" si="82"/>
        <v>6</v>
      </c>
      <c r="AC80" s="360">
        <f>AB80</f>
        <v>6</v>
      </c>
      <c r="AD80" s="360">
        <f>AC80</f>
        <v>6</v>
      </c>
      <c r="AE80" s="360">
        <f>AD80</f>
        <v>6</v>
      </c>
    </row>
    <row r="81" spans="1:33" hidden="1" outlineLevel="2">
      <c r="B81" s="492" t="s">
        <v>373</v>
      </c>
      <c r="C81" s="11"/>
      <c r="D81" s="371"/>
      <c r="J81" s="5">
        <f t="shared" ref="J81:T81" si="83">J34</f>
        <v>1664.7840846000001</v>
      </c>
      <c r="K81" s="5">
        <f t="shared" si="83"/>
        <v>1985.5097982720004</v>
      </c>
      <c r="L81" s="5">
        <f t="shared" si="83"/>
        <v>2234.1753802368007</v>
      </c>
      <c r="M81" s="5">
        <f t="shared" si="83"/>
        <v>2514.057086661121</v>
      </c>
      <c r="N81" s="5">
        <f t="shared" si="83"/>
        <v>3001.5403925963528</v>
      </c>
      <c r="O81" s="5">
        <f t="shared" si="83"/>
        <v>3214.6497604706942</v>
      </c>
      <c r="P81" s="5">
        <f t="shared" si="83"/>
        <v>3442.8898934641138</v>
      </c>
      <c r="Q81" s="5">
        <f t="shared" si="83"/>
        <v>3160.5729222000568</v>
      </c>
      <c r="R81" s="5">
        <f t="shared" si="83"/>
        <v>2901.4059425796527</v>
      </c>
      <c r="S81" s="5">
        <f t="shared" si="83"/>
        <v>2663.4906552881212</v>
      </c>
      <c r="T81" s="5">
        <f t="shared" si="83"/>
        <v>2445.0844215544953</v>
      </c>
      <c r="U81" s="5">
        <f>U34</f>
        <v>2244.5874989870267</v>
      </c>
      <c r="V81" s="5">
        <f t="shared" ref="V81:AB81" si="84">V34</f>
        <v>2289.479248966767</v>
      </c>
      <c r="W81" s="5">
        <f t="shared" si="84"/>
        <v>2335.2688339461029</v>
      </c>
      <c r="X81" s="5">
        <f t="shared" si="84"/>
        <v>2381.9742106250246</v>
      </c>
      <c r="Y81" s="5">
        <f t="shared" si="84"/>
        <v>2429.6136948375247</v>
      </c>
      <c r="Z81" s="5">
        <f t="shared" si="84"/>
        <v>2478.2059687342753</v>
      </c>
      <c r="AA81" s="5">
        <f t="shared" si="84"/>
        <v>2527.7700881089609</v>
      </c>
      <c r="AB81" s="5">
        <f t="shared" si="84"/>
        <v>2578.3254898711402</v>
      </c>
      <c r="AC81" s="5">
        <f>AC34</f>
        <v>2629.8919996685636</v>
      </c>
      <c r="AD81" s="5">
        <f>AD34</f>
        <v>2682.4898396619346</v>
      </c>
      <c r="AE81" s="5">
        <f>AE34</f>
        <v>2736.1396364551738</v>
      </c>
    </row>
    <row r="82" spans="1:33" hidden="1" outlineLevel="2">
      <c r="B82" s="492" t="s">
        <v>374</v>
      </c>
      <c r="C82" s="11"/>
      <c r="D82" s="371"/>
      <c r="J82" s="24">
        <f>J81*J80*J76/1000000</f>
        <v>65.230195628798683</v>
      </c>
      <c r="K82" s="24">
        <f>K81*K80*K76/1000000</f>
        <v>80.860082077817935</v>
      </c>
      <c r="L82" s="24">
        <f>L81*L80*L76/1000000</f>
        <v>93.835365969945641</v>
      </c>
      <c r="M82" s="24">
        <f>M81*M80*M76/1000000</f>
        <v>110.75964235760863</v>
      </c>
      <c r="N82" s="24">
        <f>N81*N80*N76/1000000</f>
        <v>137.60680334360353</v>
      </c>
      <c r="O82" s="24">
        <f t="shared" ref="O82:T82" si="85">O81*O80*O76/1000000</f>
        <v>154.74573070004936</v>
      </c>
      <c r="P82" s="24">
        <f t="shared" si="85"/>
        <v>177.33396501033559</v>
      </c>
      <c r="Q82" s="24">
        <f t="shared" si="85"/>
        <v>175.00202337044973</v>
      </c>
      <c r="R82" s="24">
        <f t="shared" si="85"/>
        <v>171.89748747585799</v>
      </c>
      <c r="S82" s="24">
        <f t="shared" si="85"/>
        <v>168.84802604803627</v>
      </c>
      <c r="T82" s="24">
        <f t="shared" si="85"/>
        <v>165.85266206594414</v>
      </c>
      <c r="U82" s="152">
        <f>U81*U80*U76/1000000</f>
        <v>162.91043584089428</v>
      </c>
      <c r="V82" s="152">
        <f t="shared" ref="V82:AB82" si="86">V81*V80*V76/1000000</f>
        <v>177.80044967675201</v>
      </c>
      <c r="W82" s="152">
        <f t="shared" si="86"/>
        <v>194.05141077720717</v>
      </c>
      <c r="X82" s="152">
        <f t="shared" si="86"/>
        <v>211.78770972224387</v>
      </c>
      <c r="Y82" s="152">
        <f t="shared" si="86"/>
        <v>231.14510639085694</v>
      </c>
      <c r="Z82" s="152">
        <f t="shared" si="86"/>
        <v>252.27176911498128</v>
      </c>
      <c r="AA82" s="152">
        <f t="shared" si="86"/>
        <v>275.32940881209066</v>
      </c>
      <c r="AB82" s="152">
        <f t="shared" si="86"/>
        <v>300.49451677751574</v>
      </c>
      <c r="AC82" s="152">
        <f>AC81*AC80*AC76/1000000</f>
        <v>327.95971561098082</v>
      </c>
      <c r="AD82" s="152">
        <f>AD81*AD80*AD76/1000000</f>
        <v>357.93523361782445</v>
      </c>
      <c r="AE82" s="152">
        <f>AE81*AE80*AE76/1000000</f>
        <v>390.65051397049376</v>
      </c>
    </row>
    <row r="83" spans="1:33" hidden="1" outlineLevel="2">
      <c r="B83" s="492"/>
      <c r="C83" s="11"/>
      <c r="D83" s="371"/>
      <c r="J83" s="152"/>
    </row>
    <row r="84" spans="1:33" hidden="1" outlineLevel="2">
      <c r="B84" s="492" t="s">
        <v>42</v>
      </c>
      <c r="C84" s="11"/>
      <c r="D84" s="371"/>
      <c r="J84">
        <f>J88-J80</f>
        <v>9</v>
      </c>
      <c r="K84">
        <f>K88-K80</f>
        <v>16</v>
      </c>
      <c r="L84">
        <f>L88-L80</f>
        <v>20</v>
      </c>
      <c r="M84">
        <f>M88-M80</f>
        <v>23</v>
      </c>
      <c r="N84">
        <f>N88-N80</f>
        <v>24</v>
      </c>
      <c r="O84">
        <f t="shared" ref="O84:T84" si="87">O88-O80</f>
        <v>26</v>
      </c>
      <c r="P84">
        <f t="shared" si="87"/>
        <v>28</v>
      </c>
      <c r="Q84">
        <f t="shared" si="87"/>
        <v>29</v>
      </c>
      <c r="R84">
        <f t="shared" si="87"/>
        <v>30</v>
      </c>
      <c r="S84">
        <f t="shared" si="87"/>
        <v>31</v>
      </c>
      <c r="T84">
        <f t="shared" si="87"/>
        <v>32</v>
      </c>
      <c r="U84" s="13">
        <f>U88-U80</f>
        <v>32</v>
      </c>
      <c r="V84" s="13">
        <f t="shared" ref="V84:AE84" si="88">V88-V80</f>
        <v>32</v>
      </c>
      <c r="W84" s="13">
        <f t="shared" si="88"/>
        <v>32</v>
      </c>
      <c r="X84" s="13">
        <f t="shared" si="88"/>
        <v>32</v>
      </c>
      <c r="Y84" s="13">
        <f t="shared" si="88"/>
        <v>32</v>
      </c>
      <c r="Z84" s="13">
        <f t="shared" si="88"/>
        <v>32</v>
      </c>
      <c r="AA84" s="13">
        <f t="shared" si="88"/>
        <v>32</v>
      </c>
      <c r="AB84" s="13">
        <f t="shared" si="88"/>
        <v>32</v>
      </c>
      <c r="AC84" s="13">
        <f t="shared" si="88"/>
        <v>32</v>
      </c>
      <c r="AD84" s="13">
        <f t="shared" si="88"/>
        <v>32</v>
      </c>
      <c r="AE84" s="13">
        <f t="shared" si="88"/>
        <v>32</v>
      </c>
    </row>
    <row r="85" spans="1:33" hidden="1" outlineLevel="3">
      <c r="B85" s="487" t="s">
        <v>463</v>
      </c>
      <c r="C85" s="490"/>
      <c r="D85" s="482"/>
      <c r="E85" s="481"/>
      <c r="F85" s="481"/>
      <c r="G85" s="481"/>
      <c r="H85" s="481"/>
      <c r="I85" s="481"/>
      <c r="J85" s="481"/>
      <c r="K85" s="481"/>
      <c r="L85" s="481"/>
      <c r="M85" s="481"/>
      <c r="N85" s="481"/>
      <c r="O85" s="506">
        <f>N86+1</f>
        <v>31</v>
      </c>
      <c r="P85" s="506">
        <f>O85+3</f>
        <v>34</v>
      </c>
      <c r="Q85" s="506">
        <f>P85+0.5</f>
        <v>34.5</v>
      </c>
      <c r="R85" s="506">
        <f>Q85+0.5</f>
        <v>35</v>
      </c>
      <c r="S85" s="506">
        <f>R85+0.5</f>
        <v>35.5</v>
      </c>
      <c r="T85" s="506">
        <f>S85+0.5</f>
        <v>36</v>
      </c>
      <c r="U85" s="506">
        <f>T85</f>
        <v>36</v>
      </c>
      <c r="V85" s="506">
        <f t="shared" ref="V85:AB85" si="89">U85</f>
        <v>36</v>
      </c>
      <c r="W85" s="506">
        <f t="shared" si="89"/>
        <v>36</v>
      </c>
      <c r="X85" s="506">
        <f t="shared" si="89"/>
        <v>36</v>
      </c>
      <c r="Y85" s="506">
        <f t="shared" si="89"/>
        <v>36</v>
      </c>
      <c r="Z85" s="506">
        <f t="shared" si="89"/>
        <v>36</v>
      </c>
      <c r="AA85" s="506">
        <f t="shared" si="89"/>
        <v>36</v>
      </c>
      <c r="AB85" s="506">
        <f t="shared" si="89"/>
        <v>36</v>
      </c>
      <c r="AC85" s="506">
        <f t="shared" ref="AC85:AE87" si="90">AB85</f>
        <v>36</v>
      </c>
      <c r="AD85" s="506">
        <f t="shared" si="90"/>
        <v>36</v>
      </c>
      <c r="AE85" s="506">
        <f t="shared" si="90"/>
        <v>36</v>
      </c>
    </row>
    <row r="86" spans="1:33" hidden="1" outlineLevel="3">
      <c r="B86" s="487" t="s">
        <v>464</v>
      </c>
      <c r="C86" s="490"/>
      <c r="D86" s="482"/>
      <c r="E86" s="481"/>
      <c r="F86" s="481"/>
      <c r="G86" s="481"/>
      <c r="H86" s="481"/>
      <c r="I86" s="481"/>
      <c r="J86" s="507">
        <v>15</v>
      </c>
      <c r="K86" s="507">
        <v>22</v>
      </c>
      <c r="L86" s="507">
        <v>26</v>
      </c>
      <c r="M86" s="507">
        <v>29</v>
      </c>
      <c r="N86" s="507">
        <v>30</v>
      </c>
      <c r="O86" s="507">
        <v>32</v>
      </c>
      <c r="P86" s="507">
        <v>34</v>
      </c>
      <c r="Q86" s="507">
        <v>35</v>
      </c>
      <c r="R86" s="507">
        <v>36</v>
      </c>
      <c r="S86" s="507">
        <v>37</v>
      </c>
      <c r="T86" s="507">
        <v>38</v>
      </c>
      <c r="U86" s="507">
        <f>T86</f>
        <v>38</v>
      </c>
      <c r="V86" s="507">
        <f t="shared" ref="V86:AB86" si="91">U86</f>
        <v>38</v>
      </c>
      <c r="W86" s="507">
        <f t="shared" si="91"/>
        <v>38</v>
      </c>
      <c r="X86" s="507">
        <f t="shared" si="91"/>
        <v>38</v>
      </c>
      <c r="Y86" s="507">
        <f t="shared" si="91"/>
        <v>38</v>
      </c>
      <c r="Z86" s="507">
        <f t="shared" si="91"/>
        <v>38</v>
      </c>
      <c r="AA86" s="507">
        <f t="shared" si="91"/>
        <v>38</v>
      </c>
      <c r="AB86" s="507">
        <f t="shared" si="91"/>
        <v>38</v>
      </c>
      <c r="AC86" s="507">
        <f t="shared" si="90"/>
        <v>38</v>
      </c>
      <c r="AD86" s="507">
        <f t="shared" si="90"/>
        <v>38</v>
      </c>
      <c r="AE86" s="507">
        <f t="shared" si="90"/>
        <v>38</v>
      </c>
    </row>
    <row r="87" spans="1:33" hidden="1" outlineLevel="3">
      <c r="B87" s="487" t="s">
        <v>462</v>
      </c>
      <c r="C87" s="490"/>
      <c r="D87" s="482"/>
      <c r="E87" s="481"/>
      <c r="F87" s="481"/>
      <c r="G87" s="481"/>
      <c r="H87" s="481"/>
      <c r="I87" s="481"/>
      <c r="J87" s="481"/>
      <c r="K87" s="481"/>
      <c r="L87" s="481"/>
      <c r="M87" s="481"/>
      <c r="N87" s="481"/>
      <c r="O87" s="506">
        <f>N86</f>
        <v>30</v>
      </c>
      <c r="P87" s="506">
        <f>O87</f>
        <v>30</v>
      </c>
      <c r="Q87" s="506">
        <f>P87</f>
        <v>30</v>
      </c>
      <c r="R87" s="506">
        <f>Q87</f>
        <v>30</v>
      </c>
      <c r="S87" s="506">
        <f>R87</f>
        <v>30</v>
      </c>
      <c r="T87" s="506">
        <f>S87</f>
        <v>30</v>
      </c>
      <c r="U87" s="506">
        <f>T87</f>
        <v>30</v>
      </c>
      <c r="V87" s="506">
        <f t="shared" ref="V87:AB87" si="92">U87</f>
        <v>30</v>
      </c>
      <c r="W87" s="506">
        <f t="shared" si="92"/>
        <v>30</v>
      </c>
      <c r="X87" s="506">
        <f t="shared" si="92"/>
        <v>30</v>
      </c>
      <c r="Y87" s="506">
        <f t="shared" si="92"/>
        <v>30</v>
      </c>
      <c r="Z87" s="506">
        <f t="shared" si="92"/>
        <v>30</v>
      </c>
      <c r="AA87" s="506">
        <f t="shared" si="92"/>
        <v>30</v>
      </c>
      <c r="AB87" s="506">
        <f t="shared" si="92"/>
        <v>30</v>
      </c>
      <c r="AC87" s="506">
        <f t="shared" si="90"/>
        <v>30</v>
      </c>
      <c r="AD87" s="506">
        <f t="shared" si="90"/>
        <v>30</v>
      </c>
      <c r="AE87" s="506">
        <f t="shared" si="90"/>
        <v>30</v>
      </c>
    </row>
    <row r="88" spans="1:33" hidden="1" outlineLevel="2">
      <c r="A88" s="485" t="s">
        <v>78</v>
      </c>
      <c r="B88" s="487" t="s">
        <v>369</v>
      </c>
      <c r="C88" s="490"/>
      <c r="D88" s="482"/>
      <c r="E88" s="481"/>
      <c r="F88" s="481"/>
      <c r="G88" s="481"/>
      <c r="H88" s="481"/>
      <c r="I88" s="507">
        <v>15</v>
      </c>
      <c r="J88" s="507">
        <v>15</v>
      </c>
      <c r="K88" s="507">
        <v>22</v>
      </c>
      <c r="L88" s="507">
        <v>26</v>
      </c>
      <c r="M88" s="507">
        <v>29</v>
      </c>
      <c r="N88" s="507">
        <v>30</v>
      </c>
      <c r="O88" s="508">
        <f t="shared" ref="O88:AE88" si="93">CHOOSE($J$1,O85,O86,O87)</f>
        <v>32</v>
      </c>
      <c r="P88" s="508">
        <f t="shared" si="93"/>
        <v>34</v>
      </c>
      <c r="Q88" s="508">
        <f t="shared" si="93"/>
        <v>35</v>
      </c>
      <c r="R88" s="508">
        <f t="shared" si="93"/>
        <v>36</v>
      </c>
      <c r="S88" s="508">
        <f t="shared" si="93"/>
        <v>37</v>
      </c>
      <c r="T88" s="508">
        <f t="shared" si="93"/>
        <v>38</v>
      </c>
      <c r="U88" s="508">
        <f t="shared" si="93"/>
        <v>38</v>
      </c>
      <c r="V88" s="508">
        <f t="shared" si="93"/>
        <v>38</v>
      </c>
      <c r="W88" s="508">
        <f t="shared" si="93"/>
        <v>38</v>
      </c>
      <c r="X88" s="508">
        <f t="shared" si="93"/>
        <v>38</v>
      </c>
      <c r="Y88" s="508">
        <f t="shared" si="93"/>
        <v>38</v>
      </c>
      <c r="Z88" s="508">
        <f t="shared" si="93"/>
        <v>38</v>
      </c>
      <c r="AA88" s="508">
        <f t="shared" si="93"/>
        <v>38</v>
      </c>
      <c r="AB88" s="508">
        <f t="shared" si="93"/>
        <v>38</v>
      </c>
      <c r="AC88" s="508">
        <f t="shared" si="93"/>
        <v>38</v>
      </c>
      <c r="AD88" s="508">
        <f t="shared" si="93"/>
        <v>38</v>
      </c>
      <c r="AE88" s="508">
        <f t="shared" si="93"/>
        <v>38</v>
      </c>
    </row>
    <row r="89" spans="1:33" hidden="1" outlineLevel="2">
      <c r="B89" s="16" t="s">
        <v>49</v>
      </c>
      <c r="C89" s="16"/>
      <c r="D89" s="371"/>
      <c r="J89">
        <f>IF(J88&lt;6,J88,6)</f>
        <v>6</v>
      </c>
      <c r="K89">
        <f>IF(K88&lt;6,K88,6)</f>
        <v>6</v>
      </c>
      <c r="L89">
        <f>IF(L88&lt;6,L88,6)</f>
        <v>6</v>
      </c>
      <c r="M89">
        <f>IF(M88&lt;6,M88,6)</f>
        <v>6</v>
      </c>
      <c r="N89">
        <f>IF(N88&lt;6,N88,6)</f>
        <v>6</v>
      </c>
      <c r="O89">
        <f t="shared" ref="O89:T89" si="94">IF(O88&lt;6,O88,6)</f>
        <v>6</v>
      </c>
      <c r="P89">
        <f t="shared" si="94"/>
        <v>6</v>
      </c>
      <c r="Q89">
        <f t="shared" si="94"/>
        <v>6</v>
      </c>
      <c r="R89">
        <f t="shared" si="94"/>
        <v>6</v>
      </c>
      <c r="S89">
        <f t="shared" si="94"/>
        <v>6</v>
      </c>
      <c r="T89">
        <f t="shared" si="94"/>
        <v>6</v>
      </c>
      <c r="U89">
        <f>IF(U88&lt;6,U88,6)</f>
        <v>6</v>
      </c>
      <c r="V89">
        <f t="shared" ref="V89:AE89" si="95">IF(V88&lt;6,V88,6)</f>
        <v>6</v>
      </c>
      <c r="W89">
        <f t="shared" si="95"/>
        <v>6</v>
      </c>
      <c r="X89">
        <f t="shared" si="95"/>
        <v>6</v>
      </c>
      <c r="Y89">
        <f t="shared" si="95"/>
        <v>6</v>
      </c>
      <c r="Z89">
        <f t="shared" si="95"/>
        <v>6</v>
      </c>
      <c r="AA89">
        <f t="shared" si="95"/>
        <v>6</v>
      </c>
      <c r="AB89">
        <f t="shared" si="95"/>
        <v>6</v>
      </c>
      <c r="AC89">
        <f t="shared" si="95"/>
        <v>6</v>
      </c>
      <c r="AD89">
        <f t="shared" si="95"/>
        <v>6</v>
      </c>
      <c r="AE89">
        <f t="shared" si="95"/>
        <v>6</v>
      </c>
    </row>
    <row r="90" spans="1:33" hidden="1" outlineLevel="2">
      <c r="B90" s="509" t="s">
        <v>375</v>
      </c>
      <c r="C90" s="16"/>
      <c r="D90" s="371"/>
      <c r="J90">
        <f>IF(J88&gt;24,12,IF(J88&gt;12,J88-12,0))</f>
        <v>3</v>
      </c>
      <c r="K90">
        <f>IF(K88&gt;24,12,IF(K88&gt;12,K88-12,0))</f>
        <v>10</v>
      </c>
      <c r="L90">
        <f>IF(L88&gt;24,12,IF(L88&gt;12,L88-12,0))</f>
        <v>12</v>
      </c>
      <c r="M90">
        <f>IF(M88&gt;24,12,IF(M88&gt;12,M88-12,0))</f>
        <v>12</v>
      </c>
      <c r="N90">
        <f>IF(N88&gt;24,12,IF(N88&gt;12,N88-12,0))</f>
        <v>12</v>
      </c>
      <c r="O90">
        <f t="shared" ref="O90:AE90" si="96">IF(O88&gt;24,12,IF(O88&gt;12,O88-12,0))</f>
        <v>12</v>
      </c>
      <c r="P90">
        <f t="shared" si="96"/>
        <v>12</v>
      </c>
      <c r="Q90">
        <f t="shared" si="96"/>
        <v>12</v>
      </c>
      <c r="R90">
        <f t="shared" si="96"/>
        <v>12</v>
      </c>
      <c r="S90">
        <f t="shared" si="96"/>
        <v>12</v>
      </c>
      <c r="T90">
        <f t="shared" si="96"/>
        <v>12</v>
      </c>
      <c r="U90">
        <f t="shared" si="96"/>
        <v>12</v>
      </c>
      <c r="V90">
        <f t="shared" si="96"/>
        <v>12</v>
      </c>
      <c r="W90">
        <f t="shared" si="96"/>
        <v>12</v>
      </c>
      <c r="X90">
        <f t="shared" si="96"/>
        <v>12</v>
      </c>
      <c r="Y90">
        <f t="shared" si="96"/>
        <v>12</v>
      </c>
      <c r="Z90">
        <f t="shared" si="96"/>
        <v>12</v>
      </c>
      <c r="AA90">
        <f t="shared" si="96"/>
        <v>12</v>
      </c>
      <c r="AB90">
        <f t="shared" si="96"/>
        <v>12</v>
      </c>
      <c r="AC90">
        <f t="shared" si="96"/>
        <v>12</v>
      </c>
      <c r="AD90">
        <f t="shared" si="96"/>
        <v>12</v>
      </c>
      <c r="AE90">
        <f t="shared" si="96"/>
        <v>12</v>
      </c>
    </row>
    <row r="91" spans="1:33" hidden="1" outlineLevel="2">
      <c r="B91" s="509" t="s">
        <v>384</v>
      </c>
      <c r="C91" s="16"/>
      <c r="D91" s="371"/>
      <c r="J91">
        <f>IF(J88&gt;36,12,IF(J88&gt;24,J88-24,0))</f>
        <v>0</v>
      </c>
      <c r="K91">
        <f>IF(K88&gt;36,12,IF(K88&gt;24,K88-24,0))</f>
        <v>0</v>
      </c>
      <c r="L91">
        <f>IF(L88&gt;36,12,IF(L88&gt;24,L88-24,0))</f>
        <v>2</v>
      </c>
      <c r="M91">
        <f>IF(M88&gt;36,12,IF(M88&gt;24,M88-24,0))</f>
        <v>5</v>
      </c>
      <c r="N91">
        <f>IF(N88&gt;36,12,IF(N88&gt;24,N88-24,0))</f>
        <v>6</v>
      </c>
      <c r="O91">
        <f t="shared" ref="O91:AE91" si="97">IF(O88&gt;36,12,IF(O88&gt;24,O88-24,0))</f>
        <v>8</v>
      </c>
      <c r="P91">
        <f t="shared" si="97"/>
        <v>10</v>
      </c>
      <c r="Q91">
        <f t="shared" si="97"/>
        <v>11</v>
      </c>
      <c r="R91">
        <f t="shared" si="97"/>
        <v>12</v>
      </c>
      <c r="S91">
        <f t="shared" si="97"/>
        <v>12</v>
      </c>
      <c r="T91">
        <f t="shared" si="97"/>
        <v>12</v>
      </c>
      <c r="U91">
        <f t="shared" si="97"/>
        <v>12</v>
      </c>
      <c r="V91">
        <f t="shared" si="97"/>
        <v>12</v>
      </c>
      <c r="W91">
        <f t="shared" si="97"/>
        <v>12</v>
      </c>
      <c r="X91">
        <f t="shared" si="97"/>
        <v>12</v>
      </c>
      <c r="Y91">
        <f t="shared" si="97"/>
        <v>12</v>
      </c>
      <c r="Z91">
        <f t="shared" si="97"/>
        <v>12</v>
      </c>
      <c r="AA91">
        <f t="shared" si="97"/>
        <v>12</v>
      </c>
      <c r="AB91">
        <f t="shared" si="97"/>
        <v>12</v>
      </c>
      <c r="AC91">
        <f t="shared" si="97"/>
        <v>12</v>
      </c>
      <c r="AD91">
        <f t="shared" si="97"/>
        <v>12</v>
      </c>
      <c r="AE91">
        <f t="shared" si="97"/>
        <v>12</v>
      </c>
    </row>
    <row r="92" spans="1:33" hidden="1" outlineLevel="2">
      <c r="B92" s="492" t="s">
        <v>376</v>
      </c>
      <c r="C92" s="16"/>
      <c r="D92" s="371"/>
      <c r="I92" s="5">
        <f t="shared" ref="I92:AE92" si="98">I40</f>
        <v>0</v>
      </c>
      <c r="J92" s="5">
        <f t="shared" si="98"/>
        <v>682.561474686</v>
      </c>
      <c r="K92" s="5">
        <f t="shared" si="98"/>
        <v>913.33450720512008</v>
      </c>
      <c r="L92" s="5">
        <f t="shared" si="98"/>
        <v>1072.4041825136644</v>
      </c>
      <c r="M92" s="5">
        <f t="shared" si="98"/>
        <v>1231.8879724639494</v>
      </c>
      <c r="N92" s="5">
        <f t="shared" si="98"/>
        <v>1500.7701962981764</v>
      </c>
      <c r="O92" s="5">
        <f t="shared" si="98"/>
        <v>1671.617875444761</v>
      </c>
      <c r="P92" s="5">
        <f t="shared" si="98"/>
        <v>2237.8784307516739</v>
      </c>
      <c r="Q92" s="5">
        <f t="shared" si="98"/>
        <v>2180.7953163180391</v>
      </c>
      <c r="R92" s="5">
        <f t="shared" si="98"/>
        <v>2102.068605398958</v>
      </c>
      <c r="S92" s="5">
        <f t="shared" si="98"/>
        <v>1948.9959695538062</v>
      </c>
      <c r="T92" s="5">
        <f t="shared" si="98"/>
        <v>1807.0700830508981</v>
      </c>
      <c r="U92" s="5">
        <f t="shared" si="98"/>
        <v>1675.4792396031319</v>
      </c>
      <c r="V92" s="5">
        <f t="shared" si="98"/>
        <v>1726.0787126391463</v>
      </c>
      <c r="W92" s="5">
        <f t="shared" si="98"/>
        <v>1778.2062897608489</v>
      </c>
      <c r="X92" s="5">
        <f t="shared" si="98"/>
        <v>1831.9081197116263</v>
      </c>
      <c r="Y92" s="5">
        <f t="shared" si="98"/>
        <v>1868.5462821058586</v>
      </c>
      <c r="Z92" s="5">
        <f t="shared" si="98"/>
        <v>1905.9172077479759</v>
      </c>
      <c r="AA92" s="5">
        <f t="shared" si="98"/>
        <v>1944.0355519029354</v>
      </c>
      <c r="AB92" s="5">
        <f t="shared" si="98"/>
        <v>1982.9162629409943</v>
      </c>
      <c r="AC92" s="5">
        <f t="shared" si="98"/>
        <v>2022.5745881998146</v>
      </c>
      <c r="AD92" s="5">
        <f t="shared" si="98"/>
        <v>2063.0260799638108</v>
      </c>
      <c r="AE92" s="5">
        <f t="shared" si="98"/>
        <v>2104.2866015630871</v>
      </c>
    </row>
    <row r="93" spans="1:33" hidden="1" outlineLevel="2">
      <c r="B93" s="492" t="s">
        <v>377</v>
      </c>
      <c r="C93" s="16"/>
      <c r="D93" s="371"/>
      <c r="J93" s="24">
        <f>(J92*J89+I92*I90+H91*H92)*J76/1000000</f>
        <v>26.744380207807456</v>
      </c>
      <c r="K93" s="24">
        <f>(K92*K89+J92*J90+I91*I92)*K76/1000000</f>
        <v>51.094329395167719</v>
      </c>
      <c r="L93" s="24">
        <f>(L92*L89+K92*K90+J91*J92)*L76/1000000</f>
        <v>108.9743911699323</v>
      </c>
      <c r="M93" s="24">
        <f>(M92*M89+L92*L90+K91*K92)*M76/1000000</f>
        <v>148.76419500381613</v>
      </c>
      <c r="N93" s="24">
        <f>(N92*N89+M92*M90+L91*L92)*N76/1000000</f>
        <v>198.14444603799734</v>
      </c>
      <c r="O93" s="24">
        <f t="shared" ref="O93:U93" si="99">(O92*O89+N92*N90+M91*M92)*O76/1000000</f>
        <v>274.37176477004482</v>
      </c>
      <c r="P93" s="24">
        <f t="shared" si="99"/>
        <v>364.76874815800238</v>
      </c>
      <c r="Q93" s="24">
        <f t="shared" si="99"/>
        <v>491.98636409904839</v>
      </c>
      <c r="R93" s="24">
        <f t="shared" si="99"/>
        <v>603.92431007596531</v>
      </c>
      <c r="S93" s="24">
        <f t="shared" si="99"/>
        <v>643.52388827210211</v>
      </c>
      <c r="T93" s="24">
        <f t="shared" si="99"/>
        <v>672.15146325409023</v>
      </c>
      <c r="U93" s="24">
        <f t="shared" si="99"/>
        <v>666.82977125892251</v>
      </c>
      <c r="V93" s="24">
        <f t="shared" ref="V93:AE93" si="100">(V92*V89+U92*U90+T91*T92)*V76/1000000</f>
        <v>674.95490215113523</v>
      </c>
      <c r="W93" s="24">
        <f t="shared" si="100"/>
        <v>713.07322477010916</v>
      </c>
      <c r="X93" s="24">
        <f t="shared" si="100"/>
        <v>786.0305986892381</v>
      </c>
      <c r="Y93" s="24">
        <f t="shared" si="100"/>
        <v>864.67486257540588</v>
      </c>
      <c r="Z93" s="24">
        <f t="shared" si="100"/>
        <v>947.39884108020567</v>
      </c>
      <c r="AA93" s="24">
        <f t="shared" si="100"/>
        <v>1033.9910951549366</v>
      </c>
      <c r="AB93" s="24">
        <f t="shared" si="100"/>
        <v>1128.4978812520981</v>
      </c>
      <c r="AC93" s="24">
        <f t="shared" si="100"/>
        <v>1231.6425875985399</v>
      </c>
      <c r="AD93" s="24">
        <f t="shared" si="100"/>
        <v>1344.2147201050468</v>
      </c>
      <c r="AE93" s="24">
        <f t="shared" si="100"/>
        <v>1467.075945522648</v>
      </c>
    </row>
    <row r="94" spans="1:33" s="28" customFormat="1" hidden="1" outlineLevel="1">
      <c r="B94" s="31" t="s">
        <v>370</v>
      </c>
      <c r="C94" s="31"/>
      <c r="D94" s="29"/>
      <c r="J94" s="30">
        <f t="shared" ref="J94:AE94" si="101">(J80*(J34-J40)+J88*J40)/J34</f>
        <v>9.69</v>
      </c>
      <c r="K94" s="30">
        <f t="shared" si="101"/>
        <v>13.36</v>
      </c>
      <c r="L94" s="30">
        <f t="shared" si="101"/>
        <v>15.600000000000001</v>
      </c>
      <c r="M94" s="30">
        <f t="shared" si="101"/>
        <v>17.270000000000003</v>
      </c>
      <c r="N94" s="30">
        <f t="shared" si="101"/>
        <v>18</v>
      </c>
      <c r="O94" s="30">
        <f t="shared" si="101"/>
        <v>19.52</v>
      </c>
      <c r="P94" s="30">
        <f t="shared" si="101"/>
        <v>24.2</v>
      </c>
      <c r="Q94" s="30">
        <f t="shared" si="101"/>
        <v>26.01</v>
      </c>
      <c r="R94" s="30">
        <f t="shared" si="101"/>
        <v>27.734999999999999</v>
      </c>
      <c r="S94" s="30">
        <f t="shared" si="101"/>
        <v>28.684094999999996</v>
      </c>
      <c r="T94" s="30">
        <f t="shared" si="101"/>
        <v>29.649998400000001</v>
      </c>
      <c r="U94" s="30">
        <f t="shared" si="101"/>
        <v>29.886498384000003</v>
      </c>
      <c r="V94" s="30">
        <f t="shared" si="101"/>
        <v>30.125363367839999</v>
      </c>
      <c r="W94" s="30">
        <f t="shared" si="101"/>
        <v>30.366617001518399</v>
      </c>
      <c r="X94" s="30">
        <f t="shared" si="101"/>
        <v>30.610283171533585</v>
      </c>
      <c r="Y94" s="30">
        <f t="shared" si="101"/>
        <v>30.610283171533588</v>
      </c>
      <c r="Z94" s="30">
        <f t="shared" si="101"/>
        <v>30.610283171533588</v>
      </c>
      <c r="AA94" s="30">
        <f t="shared" si="101"/>
        <v>30.610283171533585</v>
      </c>
      <c r="AB94" s="30">
        <f t="shared" si="101"/>
        <v>30.610283171533585</v>
      </c>
      <c r="AC94" s="30">
        <f t="shared" si="101"/>
        <v>30.610283171533592</v>
      </c>
      <c r="AD94" s="30">
        <f t="shared" si="101"/>
        <v>30.610283171533588</v>
      </c>
      <c r="AE94" s="30">
        <f t="shared" si="101"/>
        <v>30.610283171533581</v>
      </c>
      <c r="AG94" s="28" t="s">
        <v>443</v>
      </c>
    </row>
    <row r="95" spans="1:33" hidden="1" outlineLevel="1">
      <c r="B95" s="148" t="s">
        <v>43</v>
      </c>
      <c r="C95" s="148"/>
      <c r="D95" s="149"/>
      <c r="E95" s="25"/>
      <c r="F95" s="25"/>
      <c r="G95" s="25"/>
      <c r="H95" s="25"/>
      <c r="I95" s="25"/>
      <c r="J95" s="151">
        <f>J93+J82</f>
        <v>91.974575836606135</v>
      </c>
      <c r="K95" s="151">
        <f>K93+K82</f>
        <v>131.95441147298567</v>
      </c>
      <c r="L95" s="151">
        <f>L93+L82</f>
        <v>202.80975713987795</v>
      </c>
      <c r="M95" s="151">
        <f>M93+M82</f>
        <v>259.52383736142474</v>
      </c>
      <c r="N95" s="151">
        <f>N93+N82</f>
        <v>335.75124938160087</v>
      </c>
      <c r="O95" s="151">
        <f t="shared" ref="O95:AE95" si="102">O93+O82</f>
        <v>429.11749547009418</v>
      </c>
      <c r="P95" s="151">
        <f t="shared" si="102"/>
        <v>542.10271316833791</v>
      </c>
      <c r="Q95" s="151">
        <f t="shared" si="102"/>
        <v>666.98838746949809</v>
      </c>
      <c r="R95" s="151">
        <f t="shared" si="102"/>
        <v>775.82179755182324</v>
      </c>
      <c r="S95" s="151">
        <f t="shared" si="102"/>
        <v>812.37191432013833</v>
      </c>
      <c r="T95" s="151">
        <f t="shared" si="102"/>
        <v>838.0041253200344</v>
      </c>
      <c r="U95" s="151">
        <f t="shared" si="102"/>
        <v>829.74020709981676</v>
      </c>
      <c r="V95" s="151">
        <f t="shared" si="102"/>
        <v>852.75535182788724</v>
      </c>
      <c r="W95" s="151">
        <f t="shared" si="102"/>
        <v>907.1246355473163</v>
      </c>
      <c r="X95" s="151">
        <f t="shared" si="102"/>
        <v>997.81830841148201</v>
      </c>
      <c r="Y95" s="151">
        <f t="shared" si="102"/>
        <v>1095.8199689662629</v>
      </c>
      <c r="Z95" s="151">
        <f t="shared" si="102"/>
        <v>1199.670610195187</v>
      </c>
      <c r="AA95" s="151">
        <f t="shared" si="102"/>
        <v>1309.3205039670272</v>
      </c>
      <c r="AB95" s="151">
        <f t="shared" si="102"/>
        <v>1428.9923980296139</v>
      </c>
      <c r="AC95" s="151">
        <f t="shared" si="102"/>
        <v>1559.6023032095206</v>
      </c>
      <c r="AD95" s="151">
        <f t="shared" si="102"/>
        <v>1702.1499537228713</v>
      </c>
      <c r="AE95" s="151">
        <f t="shared" si="102"/>
        <v>1857.7264594931416</v>
      </c>
      <c r="AG95" s="185"/>
    </row>
    <row r="96" spans="1:33" s="28" customFormat="1" hidden="1" outlineLevel="1">
      <c r="B96"/>
      <c r="C96"/>
      <c r="D96" s="371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3" hidden="1" outlineLevel="1">
      <c r="B97" s="502" t="s">
        <v>371</v>
      </c>
      <c r="C97" s="502"/>
      <c r="D97" s="503"/>
      <c r="E97" s="504"/>
      <c r="F97" s="504"/>
      <c r="G97" s="504"/>
      <c r="H97" s="504"/>
      <c r="I97" s="504"/>
      <c r="J97" s="504"/>
      <c r="K97" s="504"/>
      <c r="L97" s="504"/>
      <c r="M97" s="504"/>
      <c r="N97" s="504"/>
      <c r="O97" s="504"/>
      <c r="P97" s="504"/>
      <c r="Q97" s="504"/>
      <c r="R97" s="504"/>
      <c r="S97" s="504"/>
      <c r="T97" s="504"/>
      <c r="U97" s="504"/>
      <c r="V97" s="504"/>
      <c r="W97" s="504"/>
      <c r="X97" s="504"/>
      <c r="Y97" s="504"/>
      <c r="Z97" s="504"/>
      <c r="AA97" s="504"/>
      <c r="AB97" s="504"/>
      <c r="AC97" s="504"/>
      <c r="AD97" s="504"/>
      <c r="AE97" s="504"/>
    </row>
    <row r="98" spans="1:33" hidden="1" outlineLevel="2">
      <c r="B98" s="11" t="s">
        <v>41</v>
      </c>
      <c r="C98" s="11"/>
      <c r="D98" s="371"/>
      <c r="I98" s="505"/>
      <c r="J98" s="505">
        <v>6</v>
      </c>
      <c r="K98" s="505">
        <v>6</v>
      </c>
      <c r="L98" s="505">
        <v>6</v>
      </c>
      <c r="M98" s="505">
        <v>6</v>
      </c>
      <c r="N98" s="505">
        <v>6</v>
      </c>
      <c r="O98" s="360">
        <f>N98</f>
        <v>6</v>
      </c>
      <c r="P98" s="360">
        <f t="shared" ref="P98:U98" si="103">O98</f>
        <v>6</v>
      </c>
      <c r="Q98" s="360">
        <f t="shared" si="103"/>
        <v>6</v>
      </c>
      <c r="R98" s="360">
        <f t="shared" si="103"/>
        <v>6</v>
      </c>
      <c r="S98" s="360">
        <f t="shared" si="103"/>
        <v>6</v>
      </c>
      <c r="T98" s="360">
        <f t="shared" si="103"/>
        <v>6</v>
      </c>
      <c r="U98" s="360">
        <f t="shared" si="103"/>
        <v>6</v>
      </c>
      <c r="V98" s="360">
        <f t="shared" ref="V98:AE98" si="104">U98</f>
        <v>6</v>
      </c>
      <c r="W98" s="360">
        <f t="shared" si="104"/>
        <v>6</v>
      </c>
      <c r="X98" s="360">
        <f t="shared" si="104"/>
        <v>6</v>
      </c>
      <c r="Y98" s="360">
        <f t="shared" si="104"/>
        <v>6</v>
      </c>
      <c r="Z98" s="360">
        <f t="shared" si="104"/>
        <v>6</v>
      </c>
      <c r="AA98" s="360">
        <f t="shared" si="104"/>
        <v>6</v>
      </c>
      <c r="AB98" s="360">
        <f t="shared" si="104"/>
        <v>6</v>
      </c>
      <c r="AC98" s="360">
        <f t="shared" si="104"/>
        <v>6</v>
      </c>
      <c r="AD98" s="360">
        <f t="shared" si="104"/>
        <v>6</v>
      </c>
      <c r="AE98" s="360">
        <f t="shared" si="104"/>
        <v>6</v>
      </c>
    </row>
    <row r="99" spans="1:33" hidden="1" outlineLevel="2">
      <c r="B99" s="492" t="s">
        <v>373</v>
      </c>
      <c r="C99" s="11"/>
      <c r="D99" s="371"/>
      <c r="J99" s="5">
        <f t="shared" ref="J99:AE99" si="105">J53</f>
        <v>1017.3680516999997</v>
      </c>
      <c r="K99" s="5">
        <f t="shared" si="105"/>
        <v>902.50445375999948</v>
      </c>
      <c r="L99" s="5">
        <f t="shared" si="105"/>
        <v>1077.0817948799993</v>
      </c>
      <c r="M99" s="5">
        <f t="shared" si="105"/>
        <v>1117.5685772159998</v>
      </c>
      <c r="N99" s="5">
        <f t="shared" si="105"/>
        <v>1247.1395889370804</v>
      </c>
      <c r="O99" s="5">
        <f t="shared" si="105"/>
        <v>1289.5081667530258</v>
      </c>
      <c r="P99" s="5">
        <f t="shared" si="105"/>
        <v>1341.6042966898483</v>
      </c>
      <c r="Q99" s="5">
        <f t="shared" si="105"/>
        <v>1395.8051102761171</v>
      </c>
      <c r="R99" s="5">
        <f t="shared" si="105"/>
        <v>1452.1956367312723</v>
      </c>
      <c r="S99" s="5">
        <f t="shared" si="105"/>
        <v>1510.8643404552163</v>
      </c>
      <c r="T99" s="5">
        <f t="shared" si="105"/>
        <v>1571.9032598096067</v>
      </c>
      <c r="U99" s="5">
        <f t="shared" si="105"/>
        <v>1635.4081515059149</v>
      </c>
      <c r="V99" s="5">
        <f t="shared" si="105"/>
        <v>1701.4786408267548</v>
      </c>
      <c r="W99" s="5">
        <f t="shared" si="105"/>
        <v>1735.5082136432902</v>
      </c>
      <c r="X99" s="5">
        <f t="shared" si="105"/>
        <v>1770.2183779161555</v>
      </c>
      <c r="Y99" s="5">
        <f t="shared" si="105"/>
        <v>1805.6227454744796</v>
      </c>
      <c r="Z99" s="5">
        <f t="shared" si="105"/>
        <v>1841.7352003839683</v>
      </c>
      <c r="AA99" s="5">
        <f t="shared" si="105"/>
        <v>1878.5699043916477</v>
      </c>
      <c r="AB99" s="5">
        <f t="shared" si="105"/>
        <v>1916.1413024794813</v>
      </c>
      <c r="AC99" s="5">
        <f>AC53</f>
        <v>1954.4641285290688</v>
      </c>
      <c r="AD99" s="5">
        <f t="shared" si="105"/>
        <v>1993.5534110996512</v>
      </c>
      <c r="AE99" s="5">
        <f t="shared" si="105"/>
        <v>2033.4244793216444</v>
      </c>
    </row>
    <row r="100" spans="1:33" hidden="1" outlineLevel="2">
      <c r="B100" s="492" t="s">
        <v>374</v>
      </c>
      <c r="C100" s="11"/>
      <c r="D100" s="371"/>
      <c r="J100" s="24">
        <f>J99*J98*J76/1000000</f>
        <v>39.862897328710289</v>
      </c>
      <c r="K100" s="24">
        <f>K99*K98*K76/1000000</f>
        <v>36.754582762644475</v>
      </c>
      <c r="L100" s="24">
        <f>L99*L98*L76/1000000</f>
        <v>45.237435384959966</v>
      </c>
      <c r="M100" s="24">
        <f>M99*M98*M76/1000000</f>
        <v>49.235753865453347</v>
      </c>
      <c r="N100" s="24">
        <f>N99*N98*N76/1000000</f>
        <v>57.175606425352591</v>
      </c>
      <c r="O100" s="24">
        <f t="shared" ref="O100:T100" si="106">O99*O98*O76/1000000</f>
        <v>62.073911118286262</v>
      </c>
      <c r="P100" s="24">
        <f t="shared" si="106"/>
        <v>69.102415926387593</v>
      </c>
      <c r="Q100" s="24">
        <f t="shared" si="106"/>
        <v>77.286215044549621</v>
      </c>
      <c r="R100" s="24">
        <f t="shared" si="106"/>
        <v>86.037178601613888</v>
      </c>
      <c r="S100" s="24">
        <f t="shared" si="106"/>
        <v>95.778996260317456</v>
      </c>
      <c r="T100" s="24">
        <f t="shared" si="106"/>
        <v>106.62386044888069</v>
      </c>
      <c r="U100" s="24">
        <f>U99*U98*U76/1000000</f>
        <v>118.69666691978655</v>
      </c>
      <c r="V100" s="24">
        <f t="shared" ref="V100:AE100" si="107">V99*V98*V76/1000000</f>
        <v>132.13645312178022</v>
      </c>
      <c r="W100" s="24">
        <f t="shared" si="107"/>
        <v>144.21372493711095</v>
      </c>
      <c r="X100" s="24">
        <f t="shared" si="107"/>
        <v>157.39485939636288</v>
      </c>
      <c r="Y100" s="24">
        <f t="shared" si="107"/>
        <v>171.78074954519053</v>
      </c>
      <c r="Z100" s="24">
        <f t="shared" si="107"/>
        <v>187.48151005362087</v>
      </c>
      <c r="AA100" s="24">
        <f t="shared" si="107"/>
        <v>204.61732007252184</v>
      </c>
      <c r="AB100" s="24">
        <f t="shared" si="107"/>
        <v>223.31934312715043</v>
      </c>
      <c r="AC100" s="24">
        <f t="shared" si="107"/>
        <v>243.73073108897177</v>
      </c>
      <c r="AD100" s="24">
        <f t="shared" si="107"/>
        <v>266.00771991050391</v>
      </c>
      <c r="AE100" s="24">
        <f t="shared" si="107"/>
        <v>290.32082551032408</v>
      </c>
    </row>
    <row r="101" spans="1:33" hidden="1" outlineLevel="2">
      <c r="B101" s="492"/>
      <c r="C101" s="11"/>
      <c r="D101" s="371"/>
      <c r="J101" s="152"/>
    </row>
    <row r="102" spans="1:33" hidden="1" outlineLevel="2">
      <c r="B102" s="492" t="s">
        <v>42</v>
      </c>
      <c r="C102" s="11"/>
      <c r="D102" s="371"/>
      <c r="J102">
        <f>J103-J98</f>
        <v>9</v>
      </c>
      <c r="K102">
        <f>K103-K98</f>
        <v>16</v>
      </c>
      <c r="L102">
        <f>L103-L98</f>
        <v>20</v>
      </c>
      <c r="M102">
        <f>M103-M98</f>
        <v>23</v>
      </c>
      <c r="N102">
        <f>N103-N98</f>
        <v>24</v>
      </c>
      <c r="O102">
        <f t="shared" ref="O102:AE102" si="108">O103-O98</f>
        <v>26</v>
      </c>
      <c r="P102">
        <f t="shared" si="108"/>
        <v>28</v>
      </c>
      <c r="Q102">
        <f t="shared" si="108"/>
        <v>29</v>
      </c>
      <c r="R102">
        <f t="shared" si="108"/>
        <v>30</v>
      </c>
      <c r="S102">
        <f t="shared" si="108"/>
        <v>31</v>
      </c>
      <c r="T102">
        <f t="shared" si="108"/>
        <v>32</v>
      </c>
      <c r="U102">
        <f t="shared" si="108"/>
        <v>32</v>
      </c>
      <c r="V102" s="13">
        <f>V103-V98</f>
        <v>32</v>
      </c>
      <c r="W102">
        <f t="shared" si="108"/>
        <v>32</v>
      </c>
      <c r="X102">
        <f t="shared" si="108"/>
        <v>32</v>
      </c>
      <c r="Y102">
        <f t="shared" si="108"/>
        <v>32</v>
      </c>
      <c r="Z102">
        <f t="shared" si="108"/>
        <v>32</v>
      </c>
      <c r="AA102">
        <f t="shared" si="108"/>
        <v>32</v>
      </c>
      <c r="AB102">
        <f t="shared" si="108"/>
        <v>32</v>
      </c>
      <c r="AC102">
        <f t="shared" si="108"/>
        <v>32</v>
      </c>
      <c r="AD102">
        <f t="shared" si="108"/>
        <v>32</v>
      </c>
      <c r="AE102">
        <f t="shared" si="108"/>
        <v>32</v>
      </c>
    </row>
    <row r="103" spans="1:33" hidden="1" outlineLevel="2">
      <c r="A103" s="485" t="s">
        <v>78</v>
      </c>
      <c r="B103" s="487" t="s">
        <v>369</v>
      </c>
      <c r="C103" s="490"/>
      <c r="D103" s="482"/>
      <c r="E103" s="481"/>
      <c r="F103" s="481"/>
      <c r="G103" s="481"/>
      <c r="H103" s="481"/>
      <c r="I103" s="507">
        <v>15</v>
      </c>
      <c r="J103" s="507">
        <f>J88</f>
        <v>15</v>
      </c>
      <c r="K103" s="507">
        <f t="shared" ref="K103:T103" si="109">K88</f>
        <v>22</v>
      </c>
      <c r="L103" s="507">
        <f t="shared" si="109"/>
        <v>26</v>
      </c>
      <c r="M103" s="507">
        <f t="shared" si="109"/>
        <v>29</v>
      </c>
      <c r="N103" s="507">
        <f t="shared" si="109"/>
        <v>30</v>
      </c>
      <c r="O103" s="508">
        <f t="shared" si="109"/>
        <v>32</v>
      </c>
      <c r="P103" s="508">
        <f t="shared" si="109"/>
        <v>34</v>
      </c>
      <c r="Q103" s="508">
        <f t="shared" si="109"/>
        <v>35</v>
      </c>
      <c r="R103" s="508">
        <f t="shared" si="109"/>
        <v>36</v>
      </c>
      <c r="S103" s="508">
        <f t="shared" si="109"/>
        <v>37</v>
      </c>
      <c r="T103" s="508">
        <f t="shared" si="109"/>
        <v>38</v>
      </c>
      <c r="U103" s="508">
        <f>U88</f>
        <v>38</v>
      </c>
      <c r="V103" s="508">
        <f t="shared" ref="V103:AE103" si="110">V88</f>
        <v>38</v>
      </c>
      <c r="W103" s="508">
        <f t="shared" si="110"/>
        <v>38</v>
      </c>
      <c r="X103" s="508">
        <f t="shared" si="110"/>
        <v>38</v>
      </c>
      <c r="Y103" s="508">
        <f t="shared" si="110"/>
        <v>38</v>
      </c>
      <c r="Z103" s="508">
        <f t="shared" si="110"/>
        <v>38</v>
      </c>
      <c r="AA103" s="508">
        <f t="shared" si="110"/>
        <v>38</v>
      </c>
      <c r="AB103" s="508">
        <f t="shared" si="110"/>
        <v>38</v>
      </c>
      <c r="AC103" s="508">
        <f t="shared" si="110"/>
        <v>38</v>
      </c>
      <c r="AD103" s="508">
        <f t="shared" si="110"/>
        <v>38</v>
      </c>
      <c r="AE103" s="508">
        <f t="shared" si="110"/>
        <v>38</v>
      </c>
      <c r="AG103" t="s">
        <v>466</v>
      </c>
    </row>
    <row r="104" spans="1:33" hidden="1" outlineLevel="2">
      <c r="B104" s="16" t="s">
        <v>49</v>
      </c>
      <c r="C104" s="16"/>
      <c r="D104" s="371"/>
      <c r="J104">
        <f>IF(J103&lt;6,J103,6)</f>
        <v>6</v>
      </c>
      <c r="K104">
        <f>IF(K103&lt;6,K103,6)</f>
        <v>6</v>
      </c>
      <c r="L104">
        <f>IF(L103&lt;6,L103,6)</f>
        <v>6</v>
      </c>
      <c r="M104">
        <f>IF(M103&lt;6,M103,6)</f>
        <v>6</v>
      </c>
      <c r="N104">
        <f>IF(N103&lt;6,N103,6)</f>
        <v>6</v>
      </c>
      <c r="O104">
        <f t="shared" ref="O104:AB104" si="111">IF(O103&lt;6,O103,6)</f>
        <v>6</v>
      </c>
      <c r="P104">
        <f t="shared" si="111"/>
        <v>6</v>
      </c>
      <c r="Q104">
        <f t="shared" si="111"/>
        <v>6</v>
      </c>
      <c r="R104">
        <f t="shared" si="111"/>
        <v>6</v>
      </c>
      <c r="S104">
        <f t="shared" si="111"/>
        <v>6</v>
      </c>
      <c r="T104">
        <f t="shared" si="111"/>
        <v>6</v>
      </c>
      <c r="U104">
        <f t="shared" si="111"/>
        <v>6</v>
      </c>
      <c r="V104">
        <f t="shared" si="111"/>
        <v>6</v>
      </c>
      <c r="W104">
        <f t="shared" si="111"/>
        <v>6</v>
      </c>
      <c r="X104">
        <f t="shared" si="111"/>
        <v>6</v>
      </c>
      <c r="Y104">
        <f t="shared" si="111"/>
        <v>6</v>
      </c>
      <c r="Z104">
        <f t="shared" si="111"/>
        <v>6</v>
      </c>
      <c r="AA104">
        <f t="shared" si="111"/>
        <v>6</v>
      </c>
      <c r="AB104">
        <f t="shared" si="111"/>
        <v>6</v>
      </c>
      <c r="AC104">
        <f>IF(AC103&lt;6,AC103,6)</f>
        <v>6</v>
      </c>
      <c r="AD104">
        <f>IF(AD103&lt;6,AD103,6)</f>
        <v>6</v>
      </c>
      <c r="AE104">
        <f>IF(AE103&lt;6,AE103,6)</f>
        <v>6</v>
      </c>
    </row>
    <row r="105" spans="1:33" hidden="1" outlineLevel="2">
      <c r="B105" s="509" t="s">
        <v>375</v>
      </c>
      <c r="C105" s="16"/>
      <c r="D105" s="371"/>
      <c r="J105">
        <f>IF(J103&gt;24,12,IF(J103&gt;12,J103-12,0))</f>
        <v>3</v>
      </c>
      <c r="K105">
        <f>IF(K103&gt;24,12,IF(K103&gt;12,K103-12,0))</f>
        <v>10</v>
      </c>
      <c r="L105">
        <f>IF(L103&gt;24,12,IF(L103&gt;12,L103-12,0))</f>
        <v>12</v>
      </c>
      <c r="M105">
        <f>IF(M103&gt;24,12,IF(M103&gt;12,M103-12,0))</f>
        <v>12</v>
      </c>
      <c r="N105">
        <f>IF(N103&gt;24,12,IF(N103&gt;12,N103-12,0))</f>
        <v>12</v>
      </c>
      <c r="O105">
        <f t="shared" ref="O105:AB105" si="112">IF(O103&gt;24,12,IF(O103&gt;12,O103-12,0))</f>
        <v>12</v>
      </c>
      <c r="P105">
        <f t="shared" si="112"/>
        <v>12</v>
      </c>
      <c r="Q105">
        <f t="shared" si="112"/>
        <v>12</v>
      </c>
      <c r="R105">
        <f t="shared" si="112"/>
        <v>12</v>
      </c>
      <c r="S105">
        <f t="shared" si="112"/>
        <v>12</v>
      </c>
      <c r="T105">
        <f t="shared" si="112"/>
        <v>12</v>
      </c>
      <c r="U105">
        <f t="shared" si="112"/>
        <v>12</v>
      </c>
      <c r="V105">
        <f t="shared" si="112"/>
        <v>12</v>
      </c>
      <c r="W105">
        <f t="shared" si="112"/>
        <v>12</v>
      </c>
      <c r="X105">
        <f t="shared" si="112"/>
        <v>12</v>
      </c>
      <c r="Y105">
        <f t="shared" si="112"/>
        <v>12</v>
      </c>
      <c r="Z105">
        <f t="shared" si="112"/>
        <v>12</v>
      </c>
      <c r="AA105">
        <f t="shared" si="112"/>
        <v>12</v>
      </c>
      <c r="AB105">
        <f t="shared" si="112"/>
        <v>12</v>
      </c>
      <c r="AC105">
        <f>IF(AC103&gt;24,12,IF(AC103&gt;12,AC103-12,0))</f>
        <v>12</v>
      </c>
      <c r="AD105">
        <f>IF(AD103&gt;24,12,IF(AD103&gt;12,AD103-12,0))</f>
        <v>12</v>
      </c>
      <c r="AE105">
        <f>IF(AE103&gt;24,12,IF(AE103&gt;12,AE103-12,0))</f>
        <v>12</v>
      </c>
    </row>
    <row r="106" spans="1:33" hidden="1" outlineLevel="2">
      <c r="B106" s="509" t="s">
        <v>384</v>
      </c>
      <c r="C106" s="16"/>
      <c r="D106" s="371"/>
      <c r="J106">
        <f>IF(J103&gt;36,12,IF(J103&gt;24,J103-24,0))</f>
        <v>0</v>
      </c>
      <c r="K106">
        <f>IF(K103&gt;36,12,IF(K103&gt;24,K103-24,0))</f>
        <v>0</v>
      </c>
      <c r="L106">
        <f>IF(L103&gt;36,12,IF(L103&gt;24,L103-24,0))</f>
        <v>2</v>
      </c>
      <c r="M106">
        <f>IF(M103&gt;36,12,IF(M103&gt;24,M103-24,0))</f>
        <v>5</v>
      </c>
      <c r="N106">
        <f>IF(N103&gt;36,12,IF(N103&gt;24,N103-24,0))</f>
        <v>6</v>
      </c>
      <c r="O106">
        <f t="shared" ref="O106:AB106" si="113">IF(O103&gt;36,12,IF(O103&gt;24,O103-24,0))</f>
        <v>8</v>
      </c>
      <c r="P106">
        <f t="shared" si="113"/>
        <v>10</v>
      </c>
      <c r="Q106">
        <f t="shared" si="113"/>
        <v>11</v>
      </c>
      <c r="R106">
        <f t="shared" si="113"/>
        <v>12</v>
      </c>
      <c r="S106">
        <f t="shared" si="113"/>
        <v>12</v>
      </c>
      <c r="T106">
        <f t="shared" si="113"/>
        <v>12</v>
      </c>
      <c r="U106">
        <f t="shared" si="113"/>
        <v>12</v>
      </c>
      <c r="V106">
        <f t="shared" si="113"/>
        <v>12</v>
      </c>
      <c r="W106">
        <f t="shared" si="113"/>
        <v>12</v>
      </c>
      <c r="X106">
        <f t="shared" si="113"/>
        <v>12</v>
      </c>
      <c r="Y106">
        <f t="shared" si="113"/>
        <v>12</v>
      </c>
      <c r="Z106">
        <f t="shared" si="113"/>
        <v>12</v>
      </c>
      <c r="AA106">
        <f t="shared" si="113"/>
        <v>12</v>
      </c>
      <c r="AB106">
        <f t="shared" si="113"/>
        <v>12</v>
      </c>
      <c r="AC106">
        <f>IF(AC103&gt;36,12,IF(AC103&gt;24,AC103-24,0))</f>
        <v>12</v>
      </c>
      <c r="AD106">
        <f>IF(AD103&gt;36,12,IF(AD103&gt;24,AD103-24,0))</f>
        <v>12</v>
      </c>
      <c r="AE106">
        <f>IF(AE103&gt;36,12,IF(AE103&gt;24,AE103-24,0))</f>
        <v>12</v>
      </c>
    </row>
    <row r="107" spans="1:33" hidden="1" outlineLevel="2">
      <c r="B107" s="492" t="s">
        <v>376</v>
      </c>
      <c r="C107" s="16"/>
      <c r="D107" s="371"/>
      <c r="I107" s="5">
        <f t="shared" ref="I107:T107" si="114">I59</f>
        <v>299.46908689424998</v>
      </c>
      <c r="J107" s="5">
        <f t="shared" si="114"/>
        <v>467.98930378199992</v>
      </c>
      <c r="K107" s="5">
        <f t="shared" si="114"/>
        <v>496.37744956799975</v>
      </c>
      <c r="L107" s="5">
        <f t="shared" si="114"/>
        <v>689.33234872319952</v>
      </c>
      <c r="M107" s="5">
        <f t="shared" si="114"/>
        <v>748.77094673471981</v>
      </c>
      <c r="N107" s="5">
        <f t="shared" si="114"/>
        <v>860.52631636658543</v>
      </c>
      <c r="O107" s="5">
        <f t="shared" si="114"/>
        <v>902.65571672711792</v>
      </c>
      <c r="P107" s="5">
        <f t="shared" si="114"/>
        <v>986.07915806703852</v>
      </c>
      <c r="Q107" s="5">
        <f t="shared" si="114"/>
        <v>1102.6860371181326</v>
      </c>
      <c r="R107" s="5">
        <f t="shared" si="114"/>
        <v>1175.9154168431478</v>
      </c>
      <c r="S107" s="5">
        <f t="shared" si="114"/>
        <v>1235.6566236804474</v>
      </c>
      <c r="T107" s="5">
        <f t="shared" si="114"/>
        <v>1298.4329227899086</v>
      </c>
      <c r="U107" s="5">
        <f>U59</f>
        <v>1364.3985089993273</v>
      </c>
      <c r="V107" s="5">
        <f t="shared" ref="V107:AB107" si="115">V59</f>
        <v>1433.7154108505299</v>
      </c>
      <c r="W107" s="5">
        <f t="shared" si="115"/>
        <v>1477.0136162582162</v>
      </c>
      <c r="X107" s="5">
        <f t="shared" si="115"/>
        <v>1521.6194274692141</v>
      </c>
      <c r="Y107" s="5">
        <f t="shared" si="115"/>
        <v>1567.572334178785</v>
      </c>
      <c r="Z107" s="5">
        <f t="shared" si="115"/>
        <v>1614.9130186709835</v>
      </c>
      <c r="AA107" s="5">
        <f t="shared" si="115"/>
        <v>1663.6833918348475</v>
      </c>
      <c r="AB107" s="5">
        <f t="shared" si="115"/>
        <v>1696.9570596715448</v>
      </c>
      <c r="AC107" s="5">
        <f>AC59</f>
        <v>1730.8962008649739</v>
      </c>
      <c r="AD107" s="5">
        <f>AD59</f>
        <v>1765.5141248822742</v>
      </c>
      <c r="AE107" s="5">
        <f>AE59</f>
        <v>1800.8244073799201</v>
      </c>
    </row>
    <row r="108" spans="1:33" hidden="1" outlineLevel="2">
      <c r="B108" s="492" t="s">
        <v>377</v>
      </c>
      <c r="C108" s="16"/>
      <c r="D108" s="371"/>
      <c r="J108" s="24">
        <f>(J107*J104+I107*I105+H106*H107)*J76/1000000</f>
        <v>18.336932771206737</v>
      </c>
      <c r="K108" s="24">
        <f>(K107*K104+J107*J105+I106*I107)*K76/1000000</f>
        <v>29.744475762709168</v>
      </c>
      <c r="L108" s="24">
        <f>(L107*L104+K107*K105+J106*J107)*L76/1000000</f>
        <v>63.698380116134359</v>
      </c>
      <c r="M108" s="24">
        <f>(M107*M104+L107*L105+K106*K107)*M76/1000000</f>
        <v>93.726595286374817</v>
      </c>
      <c r="N108" s="24">
        <f>(N107*N104+M107*M105+L106*L107)*N76/1000000</f>
        <v>118.64080510675883</v>
      </c>
      <c r="O108" s="24">
        <f t="shared" ref="O108:T108" si="116">(O107*O104+N107*N105+M106*M107)*O76/1000000</f>
        <v>156.33592849225138</v>
      </c>
      <c r="P108" s="24">
        <f t="shared" si="116"/>
        <v>188.10038229611743</v>
      </c>
      <c r="Q108" s="24">
        <f t="shared" si="116"/>
        <v>236.89568449908973</v>
      </c>
      <c r="R108" s="24">
        <f t="shared" si="116"/>
        <v>297.69787157814841</v>
      </c>
      <c r="S108" s="24">
        <f t="shared" si="116"/>
        <v>355.57918518868689</v>
      </c>
      <c r="T108" s="24">
        <f t="shared" si="116"/>
        <v>415.23304192604172</v>
      </c>
      <c r="U108" s="24">
        <f>(U107*U104+T107*T105+S106*S107)*U76/1000000</f>
        <v>466.87153928521599</v>
      </c>
      <c r="V108" s="24">
        <f t="shared" ref="V108:AB108" si="117">(V107*V104+U107*U105+T106*T107)*V76/1000000</f>
        <v>524.93181463475651</v>
      </c>
      <c r="W108" s="24">
        <f t="shared" si="117"/>
        <v>587.75780473082011</v>
      </c>
      <c r="X108" s="24">
        <f t="shared" si="117"/>
        <v>652.89269515278909</v>
      </c>
      <c r="Y108" s="24">
        <f t="shared" si="117"/>
        <v>719.6927583646517</v>
      </c>
      <c r="Z108" s="24">
        <f t="shared" si="117"/>
        <v>793.32740324397275</v>
      </c>
      <c r="AA108" s="24">
        <f t="shared" si="117"/>
        <v>874.49590317947661</v>
      </c>
      <c r="AB108" s="24">
        <f t="shared" si="117"/>
        <v>961.99133489893541</v>
      </c>
      <c r="AC108" s="24">
        <f>(AC107*AC104+AB107*AB105+AA106*AA107)*AC76/1000000</f>
        <v>1054.0256404562376</v>
      </c>
      <c r="AD108" s="24">
        <f>(AD107*AD104+AC107*AC105+AB106*AB107)*AD76/1000000</f>
        <v>1150.3635839939375</v>
      </c>
      <c r="AE108" s="24">
        <f>(AE107*AE104+AD107*AD105+AC106*AC107)*AE76/1000000</f>
        <v>1255.5068155709835</v>
      </c>
    </row>
    <row r="109" spans="1:33" s="28" customFormat="1" hidden="1" outlineLevel="1">
      <c r="B109" s="31" t="s">
        <v>378</v>
      </c>
      <c r="C109" s="31"/>
      <c r="D109" s="29"/>
      <c r="J109" s="30">
        <f t="shared" ref="J109:AB109" si="118">(J98*(J53-J59)+J103*J59)/J53</f>
        <v>10.14</v>
      </c>
      <c r="K109" s="30">
        <f t="shared" si="118"/>
        <v>14.8</v>
      </c>
      <c r="L109" s="30">
        <f t="shared" si="118"/>
        <v>18.799999999999997</v>
      </c>
      <c r="M109" s="30">
        <f t="shared" si="118"/>
        <v>21.41</v>
      </c>
      <c r="N109" s="30">
        <f t="shared" si="118"/>
        <v>22.56</v>
      </c>
      <c r="O109" s="30">
        <f t="shared" si="118"/>
        <v>24.199999999999996</v>
      </c>
      <c r="P109" s="30">
        <f t="shared" si="118"/>
        <v>26.580000000000002</v>
      </c>
      <c r="Q109" s="30">
        <f t="shared" si="118"/>
        <v>28.91</v>
      </c>
      <c r="R109" s="30">
        <f t="shared" si="118"/>
        <v>30.2925</v>
      </c>
      <c r="S109" s="30">
        <f t="shared" si="118"/>
        <v>31.353272499999999</v>
      </c>
      <c r="T109" s="30">
        <f t="shared" si="118"/>
        <v>32.432831200000003</v>
      </c>
      <c r="U109" s="30">
        <f t="shared" si="118"/>
        <v>32.697159511999999</v>
      </c>
      <c r="V109" s="30">
        <f>(V98*(V53-V59)+V103*V59)/V53</f>
        <v>32.964131107119996</v>
      </c>
      <c r="W109" s="30">
        <f t="shared" si="118"/>
        <v>33.233772418191201</v>
      </c>
      <c r="X109" s="30">
        <f t="shared" si="118"/>
        <v>33.506110142373117</v>
      </c>
      <c r="Y109" s="30">
        <f t="shared" si="118"/>
        <v>33.781171243796848</v>
      </c>
      <c r="Z109" s="30">
        <f t="shared" si="118"/>
        <v>34.058982956234814</v>
      </c>
      <c r="AA109" s="30">
        <f t="shared" si="118"/>
        <v>34.339572785797159</v>
      </c>
      <c r="AB109" s="30">
        <f t="shared" si="118"/>
        <v>34.339572785797166</v>
      </c>
      <c r="AC109" s="30">
        <f>(AC98*(AC53-AC59)+AC103*AC59)/AC53</f>
        <v>34.339572785797166</v>
      </c>
      <c r="AD109" s="30">
        <f>(AD98*(AD53-AD59)+AD103*AD59)/AD53</f>
        <v>34.339572785797159</v>
      </c>
      <c r="AE109" s="30">
        <f>(AE98*(AE53-AE59)+AE103*AE59)/AE53</f>
        <v>34.339572785797159</v>
      </c>
      <c r="AG109" s="28" t="s">
        <v>443</v>
      </c>
    </row>
    <row r="110" spans="1:33" hidden="1" outlineLevel="1">
      <c r="B110" s="148" t="s">
        <v>372</v>
      </c>
      <c r="C110" s="148"/>
      <c r="D110" s="149"/>
      <c r="E110" s="25"/>
      <c r="F110" s="25"/>
      <c r="G110" s="25"/>
      <c r="H110" s="25"/>
      <c r="I110" s="25"/>
      <c r="J110" s="151">
        <f>J108+J100</f>
        <v>58.199830099917023</v>
      </c>
      <c r="K110" s="151">
        <f>K108+K100</f>
        <v>66.499058525353647</v>
      </c>
      <c r="L110" s="151">
        <f>L108+L100</f>
        <v>108.93581550109432</v>
      </c>
      <c r="M110" s="151">
        <f>M108+M100</f>
        <v>142.96234915182816</v>
      </c>
      <c r="N110" s="151">
        <f>N108+N100</f>
        <v>175.81641153211143</v>
      </c>
      <c r="O110" s="151">
        <f t="shared" ref="O110:AB110" si="119">O108+O100</f>
        <v>218.40983961053763</v>
      </c>
      <c r="P110" s="151">
        <f t="shared" si="119"/>
        <v>257.20279822250501</v>
      </c>
      <c r="Q110" s="151">
        <f t="shared" si="119"/>
        <v>314.18189954363936</v>
      </c>
      <c r="R110" s="151">
        <f t="shared" si="119"/>
        <v>383.73505017976231</v>
      </c>
      <c r="S110" s="151">
        <f t="shared" si="119"/>
        <v>451.35818144900435</v>
      </c>
      <c r="T110" s="151">
        <f t="shared" si="119"/>
        <v>521.85690237492236</v>
      </c>
      <c r="U110" s="151">
        <f t="shared" si="119"/>
        <v>585.56820620500253</v>
      </c>
      <c r="V110" s="151">
        <f t="shared" si="119"/>
        <v>657.06826775653667</v>
      </c>
      <c r="W110" s="151">
        <f t="shared" si="119"/>
        <v>731.97152966793101</v>
      </c>
      <c r="X110" s="151">
        <f t="shared" si="119"/>
        <v>810.28755454915199</v>
      </c>
      <c r="Y110" s="151">
        <f t="shared" si="119"/>
        <v>891.47350790984228</v>
      </c>
      <c r="Z110" s="151">
        <f t="shared" si="119"/>
        <v>980.80891329759356</v>
      </c>
      <c r="AA110" s="151">
        <f t="shared" si="119"/>
        <v>1079.1132232519985</v>
      </c>
      <c r="AB110" s="151">
        <f t="shared" si="119"/>
        <v>1185.310678026086</v>
      </c>
      <c r="AC110" s="151">
        <f>AC108+AC100</f>
        <v>1297.7563715452093</v>
      </c>
      <c r="AD110" s="151">
        <f>AD108+AD100</f>
        <v>1416.3713039044414</v>
      </c>
      <c r="AE110" s="151">
        <f>AE108+AE100</f>
        <v>1545.8276410813075</v>
      </c>
    </row>
    <row r="111" spans="1:33" hidden="1" outlineLevel="1">
      <c r="D111" s="371"/>
      <c r="AG111" s="7"/>
    </row>
    <row r="112" spans="1:33" hidden="1" outlineLevel="1">
      <c r="B112" s="502" t="s">
        <v>380</v>
      </c>
      <c r="C112" s="502"/>
      <c r="D112" s="503"/>
      <c r="E112" s="504"/>
      <c r="F112" s="504"/>
      <c r="G112" s="504"/>
      <c r="H112" s="504"/>
      <c r="I112" s="504"/>
      <c r="J112" s="504"/>
      <c r="K112" s="504"/>
      <c r="L112" s="504"/>
      <c r="M112" s="504"/>
      <c r="N112" s="504"/>
      <c r="O112" s="504"/>
      <c r="P112" s="504"/>
      <c r="Q112" s="504"/>
      <c r="R112" s="504"/>
      <c r="S112" s="504"/>
      <c r="T112" s="504"/>
      <c r="U112" s="504"/>
      <c r="V112" s="504"/>
      <c r="W112" s="504"/>
      <c r="X112" s="504"/>
      <c r="Y112" s="504"/>
      <c r="Z112" s="504"/>
      <c r="AA112" s="504"/>
      <c r="AB112" s="504"/>
      <c r="AC112" s="504"/>
      <c r="AD112" s="504"/>
      <c r="AE112" s="504"/>
    </row>
    <row r="113" spans="1:33" hidden="1" outlineLevel="2">
      <c r="B113" s="11" t="s">
        <v>41</v>
      </c>
      <c r="C113" s="11"/>
      <c r="D113" s="371"/>
      <c r="I113" s="505"/>
      <c r="J113" s="505">
        <v>6</v>
      </c>
      <c r="K113" s="505">
        <v>6</v>
      </c>
      <c r="L113" s="505">
        <v>6</v>
      </c>
      <c r="M113" s="505">
        <v>6</v>
      </c>
      <c r="N113" s="505">
        <v>6</v>
      </c>
      <c r="O113" s="505">
        <f t="shared" ref="O113:T113" si="120">N113</f>
        <v>6</v>
      </c>
      <c r="P113" s="505">
        <f t="shared" si="120"/>
        <v>6</v>
      </c>
      <c r="Q113" s="505">
        <f t="shared" si="120"/>
        <v>6</v>
      </c>
      <c r="R113" s="505">
        <f t="shared" si="120"/>
        <v>6</v>
      </c>
      <c r="S113" s="505">
        <f t="shared" si="120"/>
        <v>6</v>
      </c>
      <c r="T113" s="505">
        <f t="shared" si="120"/>
        <v>6</v>
      </c>
      <c r="U113" s="505">
        <f>T113</f>
        <v>6</v>
      </c>
      <c r="V113" s="505">
        <f t="shared" ref="V113:AB113" si="121">U113</f>
        <v>6</v>
      </c>
      <c r="W113" s="505">
        <f t="shared" si="121"/>
        <v>6</v>
      </c>
      <c r="X113" s="505">
        <f t="shared" si="121"/>
        <v>6</v>
      </c>
      <c r="Y113" s="505">
        <f t="shared" si="121"/>
        <v>6</v>
      </c>
      <c r="Z113" s="505">
        <f t="shared" si="121"/>
        <v>6</v>
      </c>
      <c r="AA113" s="505">
        <f t="shared" si="121"/>
        <v>6</v>
      </c>
      <c r="AB113" s="505">
        <f t="shared" si="121"/>
        <v>6</v>
      </c>
      <c r="AC113" s="505">
        <f>AB113</f>
        <v>6</v>
      </c>
      <c r="AD113" s="505">
        <f>AC113</f>
        <v>6</v>
      </c>
      <c r="AE113" s="505">
        <f>AD113</f>
        <v>6</v>
      </c>
    </row>
    <row r="114" spans="1:33" hidden="1" outlineLevel="2">
      <c r="B114" s="492" t="s">
        <v>373</v>
      </c>
      <c r="C114" s="11"/>
      <c r="D114" s="371"/>
      <c r="J114" s="5">
        <f t="shared" ref="J114:AB114" si="122">J68</f>
        <v>5619.7473332000009</v>
      </c>
      <c r="K114" s="5">
        <f t="shared" si="122"/>
        <v>6231.5783712000011</v>
      </c>
      <c r="L114" s="5">
        <f t="shared" si="122"/>
        <v>7436.9933455999999</v>
      </c>
      <c r="M114" s="5">
        <f t="shared" si="122"/>
        <v>7716.5449379200008</v>
      </c>
      <c r="N114" s="5">
        <f t="shared" si="122"/>
        <v>8611.20192361318</v>
      </c>
      <c r="O114" s="5">
        <f t="shared" si="122"/>
        <v>8903.7468656756573</v>
      </c>
      <c r="P114" s="5">
        <f t="shared" si="122"/>
        <v>9263.4582390489541</v>
      </c>
      <c r="Q114" s="5">
        <f t="shared" si="122"/>
        <v>9637.7019519065325</v>
      </c>
      <c r="R114" s="5">
        <f t="shared" si="122"/>
        <v>10027.065110763559</v>
      </c>
      <c r="S114" s="5">
        <f t="shared" si="122"/>
        <v>10432.158541238407</v>
      </c>
      <c r="T114" s="5">
        <f t="shared" si="122"/>
        <v>10853.617746304439</v>
      </c>
      <c r="U114" s="5">
        <f t="shared" si="122"/>
        <v>11292.103903255136</v>
      </c>
      <c r="V114" s="5">
        <f t="shared" si="122"/>
        <v>11748.304900946645</v>
      </c>
      <c r="W114" s="5">
        <f t="shared" si="122"/>
        <v>11983.270998965578</v>
      </c>
      <c r="X114" s="5">
        <f t="shared" si="122"/>
        <v>12222.93641894489</v>
      </c>
      <c r="Y114" s="5">
        <f t="shared" si="122"/>
        <v>12467.395147323787</v>
      </c>
      <c r="Z114" s="5">
        <f t="shared" si="122"/>
        <v>12716.743050270263</v>
      </c>
      <c r="AA114" s="5">
        <f t="shared" si="122"/>
        <v>12971.077911275668</v>
      </c>
      <c r="AB114" s="5">
        <f t="shared" si="122"/>
        <v>13230.499469501183</v>
      </c>
      <c r="AC114" s="5">
        <f>AC68</f>
        <v>13495.109458891206</v>
      </c>
      <c r="AD114" s="5">
        <f>AD68</f>
        <v>13765.01164806903</v>
      </c>
      <c r="AE114" s="5">
        <f>AE68</f>
        <v>14040.311881030411</v>
      </c>
    </row>
    <row r="115" spans="1:33" hidden="1" outlineLevel="2">
      <c r="B115" s="492" t="s">
        <v>374</v>
      </c>
      <c r="C115" s="11"/>
      <c r="D115" s="371"/>
      <c r="J115" s="24">
        <f>J114*J113*J76/1000000</f>
        <v>220.19505191097122</v>
      </c>
      <c r="K115" s="24">
        <f>K114*K113*K76/1000000</f>
        <v>253.78164288492638</v>
      </c>
      <c r="L115" s="24">
        <f>L114*L113*L76/1000000</f>
        <v>312.3537205152</v>
      </c>
      <c r="M115" s="24">
        <f>M114*M113*M76/1000000</f>
        <v>339.96115764241608</v>
      </c>
      <c r="N115" s="24">
        <f>N114*N113*N76/1000000</f>
        <v>394.78394912743477</v>
      </c>
      <c r="O115" s="24">
        <f t="shared" ref="O115:T115" si="123">O114*O113*O76/1000000</f>
        <v>428.60557676911958</v>
      </c>
      <c r="P115" s="24">
        <f t="shared" si="123"/>
        <v>477.13572901553357</v>
      </c>
      <c r="Q115" s="24">
        <f t="shared" si="123"/>
        <v>533.64291340284319</v>
      </c>
      <c r="R115" s="24">
        <f t="shared" si="123"/>
        <v>594.06623320162043</v>
      </c>
      <c r="S115" s="24">
        <f t="shared" si="123"/>
        <v>661.33116465457351</v>
      </c>
      <c r="T115" s="24">
        <f t="shared" si="123"/>
        <v>736.21236976608168</v>
      </c>
      <c r="U115" s="152">
        <f>U114*U113*U76/1000000</f>
        <v>819.57222396995553</v>
      </c>
      <c r="V115" s="152">
        <f t="shared" ref="V115:AB115" si="124">V114*V113*V76/1000000</f>
        <v>912.37074774562564</v>
      </c>
      <c r="W115" s="152">
        <f t="shared" si="124"/>
        <v>995.76143408957591</v>
      </c>
      <c r="X115" s="152">
        <f t="shared" si="124"/>
        <v>1086.7740291653633</v>
      </c>
      <c r="Y115" s="152">
        <f t="shared" si="124"/>
        <v>1186.1051754310774</v>
      </c>
      <c r="Z115" s="152">
        <f t="shared" si="124"/>
        <v>1294.5151884654779</v>
      </c>
      <c r="AA115" s="152">
        <f t="shared" si="124"/>
        <v>1412.8338766912227</v>
      </c>
      <c r="AB115" s="152">
        <f t="shared" si="124"/>
        <v>1541.9668930208009</v>
      </c>
      <c r="AC115" s="152">
        <f>AC114*AC113*AC76/1000000</f>
        <v>1682.9026670429021</v>
      </c>
      <c r="AD115" s="152">
        <f>AD114*AD113*AD76/1000000</f>
        <v>1836.7199708106234</v>
      </c>
      <c r="AE115" s="152">
        <f>AE114*AE113*AE76/1000000</f>
        <v>2004.5961761427147</v>
      </c>
    </row>
    <row r="116" spans="1:33" hidden="1" outlineLevel="2">
      <c r="B116" s="492"/>
      <c r="C116" s="11"/>
      <c r="D116" s="371"/>
      <c r="J116" s="152"/>
    </row>
    <row r="117" spans="1:33" hidden="1" outlineLevel="2">
      <c r="B117" s="492" t="s">
        <v>42</v>
      </c>
      <c r="C117" s="11"/>
      <c r="D117" s="371"/>
      <c r="J117">
        <f>J121-J113</f>
        <v>9</v>
      </c>
      <c r="K117">
        <f>K121-K113</f>
        <v>16</v>
      </c>
      <c r="L117">
        <f>L121-L113</f>
        <v>20</v>
      </c>
      <c r="M117">
        <f>M121-M113</f>
        <v>23</v>
      </c>
      <c r="N117">
        <f>N121-N113</f>
        <v>24</v>
      </c>
      <c r="O117">
        <f t="shared" ref="O117:T117" si="125">O121-O113</f>
        <v>25</v>
      </c>
      <c r="P117">
        <f t="shared" si="125"/>
        <v>27</v>
      </c>
      <c r="Q117">
        <f t="shared" si="125"/>
        <v>28</v>
      </c>
      <c r="R117">
        <f t="shared" si="125"/>
        <v>29</v>
      </c>
      <c r="S117">
        <f t="shared" si="125"/>
        <v>30</v>
      </c>
      <c r="T117">
        <f t="shared" si="125"/>
        <v>31</v>
      </c>
      <c r="U117" s="13">
        <f>U121-U113</f>
        <v>32</v>
      </c>
      <c r="V117" s="13">
        <f t="shared" ref="V117:AB117" si="126">V121-V113</f>
        <v>32</v>
      </c>
      <c r="W117" s="13">
        <f t="shared" si="126"/>
        <v>32</v>
      </c>
      <c r="X117" s="13">
        <f t="shared" si="126"/>
        <v>32</v>
      </c>
      <c r="Y117" s="13">
        <f t="shared" si="126"/>
        <v>32</v>
      </c>
      <c r="Z117" s="13">
        <f t="shared" si="126"/>
        <v>32</v>
      </c>
      <c r="AA117" s="13">
        <f t="shared" si="126"/>
        <v>32</v>
      </c>
      <c r="AB117" s="13">
        <f t="shared" si="126"/>
        <v>32</v>
      </c>
      <c r="AC117" s="13">
        <f>AC121-AC113</f>
        <v>32</v>
      </c>
      <c r="AD117" s="13">
        <f>AD121-AD113</f>
        <v>32</v>
      </c>
      <c r="AE117" s="13">
        <f>AE121-AE113</f>
        <v>32</v>
      </c>
    </row>
    <row r="118" spans="1:33" hidden="1" outlineLevel="3">
      <c r="B118" s="487" t="s">
        <v>463</v>
      </c>
      <c r="C118" s="490"/>
      <c r="D118" s="482"/>
      <c r="E118" s="481"/>
      <c r="F118" s="481"/>
      <c r="G118" s="481"/>
      <c r="H118" s="481"/>
      <c r="I118" s="481"/>
      <c r="J118" s="481"/>
      <c r="K118" s="481"/>
      <c r="L118" s="481"/>
      <c r="M118" s="481"/>
      <c r="N118" s="481"/>
      <c r="O118" s="506">
        <f>N119+1</f>
        <v>31</v>
      </c>
      <c r="P118" s="506">
        <f>O118+3</f>
        <v>34</v>
      </c>
      <c r="Q118" s="506">
        <f>P118+0.5</f>
        <v>34.5</v>
      </c>
      <c r="R118" s="506">
        <f>Q118+0.5</f>
        <v>35</v>
      </c>
      <c r="S118" s="506">
        <f>R118+0.5</f>
        <v>35.5</v>
      </c>
      <c r="T118" s="506">
        <f>S118+0.5</f>
        <v>36</v>
      </c>
      <c r="U118" s="506">
        <f>T118+0.5</f>
        <v>36.5</v>
      </c>
      <c r="V118" s="506">
        <f>U118</f>
        <v>36.5</v>
      </c>
      <c r="W118" s="506">
        <f t="shared" ref="W118:AB118" si="127">V118</f>
        <v>36.5</v>
      </c>
      <c r="X118" s="506">
        <f t="shared" si="127"/>
        <v>36.5</v>
      </c>
      <c r="Y118" s="506">
        <f t="shared" si="127"/>
        <v>36.5</v>
      </c>
      <c r="Z118" s="506">
        <f t="shared" si="127"/>
        <v>36.5</v>
      </c>
      <c r="AA118" s="506">
        <f t="shared" si="127"/>
        <v>36.5</v>
      </c>
      <c r="AB118" s="506">
        <f t="shared" si="127"/>
        <v>36.5</v>
      </c>
      <c r="AC118" s="506">
        <f t="shared" ref="AC118:AE120" si="128">AB118</f>
        <v>36.5</v>
      </c>
      <c r="AD118" s="506">
        <f t="shared" si="128"/>
        <v>36.5</v>
      </c>
      <c r="AE118" s="506">
        <f t="shared" si="128"/>
        <v>36.5</v>
      </c>
    </row>
    <row r="119" spans="1:33" hidden="1" outlineLevel="3">
      <c r="B119" s="487" t="s">
        <v>464</v>
      </c>
      <c r="C119" s="490"/>
      <c r="D119" s="482"/>
      <c r="E119" s="481"/>
      <c r="F119" s="481"/>
      <c r="G119" s="481"/>
      <c r="H119" s="481"/>
      <c r="I119" s="481"/>
      <c r="J119" s="507">
        <v>15</v>
      </c>
      <c r="K119" s="507">
        <v>22</v>
      </c>
      <c r="L119" s="507">
        <v>26</v>
      </c>
      <c r="M119" s="507">
        <v>29</v>
      </c>
      <c r="N119" s="507">
        <v>30</v>
      </c>
      <c r="O119" s="507">
        <v>31</v>
      </c>
      <c r="P119" s="507">
        <v>33</v>
      </c>
      <c r="Q119" s="507">
        <v>34</v>
      </c>
      <c r="R119" s="507">
        <v>35</v>
      </c>
      <c r="S119" s="507">
        <v>36</v>
      </c>
      <c r="T119" s="507">
        <v>37</v>
      </c>
      <c r="U119" s="507">
        <v>38</v>
      </c>
      <c r="V119" s="507">
        <f>U119</f>
        <v>38</v>
      </c>
      <c r="W119" s="507">
        <f t="shared" ref="W119:AB120" si="129">V119</f>
        <v>38</v>
      </c>
      <c r="X119" s="507">
        <f t="shared" si="129"/>
        <v>38</v>
      </c>
      <c r="Y119" s="507">
        <f t="shared" si="129"/>
        <v>38</v>
      </c>
      <c r="Z119" s="507">
        <f t="shared" si="129"/>
        <v>38</v>
      </c>
      <c r="AA119" s="507">
        <f t="shared" si="129"/>
        <v>38</v>
      </c>
      <c r="AB119" s="507">
        <f t="shared" si="129"/>
        <v>38</v>
      </c>
      <c r="AC119" s="507">
        <f t="shared" si="128"/>
        <v>38</v>
      </c>
      <c r="AD119" s="507">
        <f t="shared" si="128"/>
        <v>38</v>
      </c>
      <c r="AE119" s="507">
        <f t="shared" si="128"/>
        <v>38</v>
      </c>
    </row>
    <row r="120" spans="1:33" hidden="1" outlineLevel="3">
      <c r="B120" s="487" t="s">
        <v>462</v>
      </c>
      <c r="C120" s="490"/>
      <c r="D120" s="482"/>
      <c r="E120" s="481"/>
      <c r="F120" s="481"/>
      <c r="G120" s="481"/>
      <c r="H120" s="481"/>
      <c r="I120" s="481"/>
      <c r="J120" s="481"/>
      <c r="K120" s="481"/>
      <c r="L120" s="481"/>
      <c r="M120" s="481"/>
      <c r="N120" s="481"/>
      <c r="O120" s="506">
        <f>N119</f>
        <v>30</v>
      </c>
      <c r="P120" s="506">
        <f>O120</f>
        <v>30</v>
      </c>
      <c r="Q120" s="506">
        <f>P120</f>
        <v>30</v>
      </c>
      <c r="R120" s="506">
        <f>Q120</f>
        <v>30</v>
      </c>
      <c r="S120" s="506">
        <f t="shared" ref="S120:U120" si="130">R120</f>
        <v>30</v>
      </c>
      <c r="T120" s="506">
        <f t="shared" si="130"/>
        <v>30</v>
      </c>
      <c r="U120" s="506">
        <f t="shared" si="130"/>
        <v>30</v>
      </c>
      <c r="V120" s="506">
        <f>U120</f>
        <v>30</v>
      </c>
      <c r="W120" s="506">
        <f t="shared" si="129"/>
        <v>30</v>
      </c>
      <c r="X120" s="506">
        <f t="shared" si="129"/>
        <v>30</v>
      </c>
      <c r="Y120" s="506">
        <f t="shared" si="129"/>
        <v>30</v>
      </c>
      <c r="Z120" s="506">
        <f t="shared" si="129"/>
        <v>30</v>
      </c>
      <c r="AA120" s="506">
        <f t="shared" si="129"/>
        <v>30</v>
      </c>
      <c r="AB120" s="506">
        <f t="shared" si="129"/>
        <v>30</v>
      </c>
      <c r="AC120" s="506">
        <f t="shared" si="128"/>
        <v>30</v>
      </c>
      <c r="AD120" s="506">
        <f t="shared" si="128"/>
        <v>30</v>
      </c>
      <c r="AE120" s="506">
        <f t="shared" si="128"/>
        <v>30</v>
      </c>
    </row>
    <row r="121" spans="1:33" hidden="1" outlineLevel="2">
      <c r="A121" s="485" t="s">
        <v>78</v>
      </c>
      <c r="B121" s="487" t="s">
        <v>369</v>
      </c>
      <c r="C121" s="490"/>
      <c r="D121" s="482"/>
      <c r="E121" s="481"/>
      <c r="F121" s="481"/>
      <c r="G121" s="481"/>
      <c r="H121" s="481"/>
      <c r="I121" s="507">
        <v>15</v>
      </c>
      <c r="J121" s="507">
        <v>15</v>
      </c>
      <c r="K121" s="507">
        <v>22</v>
      </c>
      <c r="L121" s="507">
        <v>26</v>
      </c>
      <c r="M121" s="507">
        <v>29</v>
      </c>
      <c r="N121" s="507">
        <v>30</v>
      </c>
      <c r="O121" s="508">
        <f t="shared" ref="O121:AB121" si="131">CHOOSE($J$1,O118,O119,O120)</f>
        <v>31</v>
      </c>
      <c r="P121" s="508">
        <f t="shared" si="131"/>
        <v>33</v>
      </c>
      <c r="Q121" s="508">
        <f t="shared" si="131"/>
        <v>34</v>
      </c>
      <c r="R121" s="508">
        <f t="shared" si="131"/>
        <v>35</v>
      </c>
      <c r="S121" s="508">
        <f t="shared" si="131"/>
        <v>36</v>
      </c>
      <c r="T121" s="508">
        <f t="shared" si="131"/>
        <v>37</v>
      </c>
      <c r="U121" s="508">
        <f t="shared" si="131"/>
        <v>38</v>
      </c>
      <c r="V121" s="508">
        <f t="shared" si="131"/>
        <v>38</v>
      </c>
      <c r="W121" s="508">
        <f t="shared" si="131"/>
        <v>38</v>
      </c>
      <c r="X121" s="508">
        <f t="shared" si="131"/>
        <v>38</v>
      </c>
      <c r="Y121" s="508">
        <f t="shared" si="131"/>
        <v>38</v>
      </c>
      <c r="Z121" s="508">
        <f t="shared" si="131"/>
        <v>38</v>
      </c>
      <c r="AA121" s="508">
        <f t="shared" si="131"/>
        <v>38</v>
      </c>
      <c r="AB121" s="508">
        <f t="shared" si="131"/>
        <v>38</v>
      </c>
      <c r="AC121" s="508">
        <f>CHOOSE($J$1,AC118,AC119,AC120)</f>
        <v>38</v>
      </c>
      <c r="AD121" s="508">
        <f>CHOOSE($J$1,AD118,AD119,AD120)</f>
        <v>38</v>
      </c>
      <c r="AE121" s="508">
        <f>CHOOSE($J$1,AE118,AE119,AE120)</f>
        <v>38</v>
      </c>
    </row>
    <row r="122" spans="1:33" hidden="1" outlineLevel="2">
      <c r="B122" s="16" t="s">
        <v>49</v>
      </c>
      <c r="C122" s="16"/>
      <c r="D122" s="371"/>
      <c r="J122">
        <f>IF(J121&lt;6,J121,6)</f>
        <v>6</v>
      </c>
      <c r="K122">
        <f>IF(K121&lt;6,K121,6)</f>
        <v>6</v>
      </c>
      <c r="L122">
        <f>IF(L121&lt;6,L121,6)</f>
        <v>6</v>
      </c>
      <c r="M122">
        <f>IF(M121&lt;6,M121,6)</f>
        <v>6</v>
      </c>
      <c r="N122">
        <f>IF(N121&lt;6,N121,6)</f>
        <v>6</v>
      </c>
      <c r="O122">
        <f t="shared" ref="O122:T122" si="132">IF(O121&lt;6,O121,6)</f>
        <v>6</v>
      </c>
      <c r="P122">
        <f t="shared" si="132"/>
        <v>6</v>
      </c>
      <c r="Q122">
        <f t="shared" si="132"/>
        <v>6</v>
      </c>
      <c r="R122">
        <f t="shared" si="132"/>
        <v>6</v>
      </c>
      <c r="S122">
        <f t="shared" si="132"/>
        <v>6</v>
      </c>
      <c r="T122">
        <f t="shared" si="132"/>
        <v>6</v>
      </c>
      <c r="U122">
        <f>IF(U121&lt;6,U121,6)</f>
        <v>6</v>
      </c>
      <c r="V122">
        <f t="shared" ref="V122:AB122" si="133">IF(V121&lt;6,V121,6)</f>
        <v>6</v>
      </c>
      <c r="W122">
        <f t="shared" si="133"/>
        <v>6</v>
      </c>
      <c r="X122">
        <f t="shared" si="133"/>
        <v>6</v>
      </c>
      <c r="Y122">
        <f t="shared" si="133"/>
        <v>6</v>
      </c>
      <c r="Z122">
        <f t="shared" si="133"/>
        <v>6</v>
      </c>
      <c r="AA122">
        <f t="shared" si="133"/>
        <v>6</v>
      </c>
      <c r="AB122">
        <f t="shared" si="133"/>
        <v>6</v>
      </c>
      <c r="AC122">
        <f>IF(AC121&lt;6,AC121,6)</f>
        <v>6</v>
      </c>
      <c r="AD122">
        <f>IF(AD121&lt;6,AD121,6)</f>
        <v>6</v>
      </c>
      <c r="AE122">
        <f>IF(AE121&lt;6,AE121,6)</f>
        <v>6</v>
      </c>
    </row>
    <row r="123" spans="1:33" hidden="1" outlineLevel="2">
      <c r="B123" s="509" t="s">
        <v>375</v>
      </c>
      <c r="C123" s="16"/>
      <c r="D123" s="371"/>
      <c r="J123">
        <f>IF(J121&gt;24,12,IF(J121&gt;12,J121-12,0))</f>
        <v>3</v>
      </c>
      <c r="K123">
        <f>IF(K121&gt;24,12,IF(K121&gt;12,K121-12,0))</f>
        <v>10</v>
      </c>
      <c r="L123">
        <f>IF(L121&gt;24,12,IF(L121&gt;12,L121-12,0))</f>
        <v>12</v>
      </c>
      <c r="M123">
        <f>IF(M121&gt;24,12,IF(M121&gt;12,M121-12,0))</f>
        <v>12</v>
      </c>
      <c r="N123">
        <f>IF(N121&gt;24,12,IF(N121&gt;12,N121-12,0))</f>
        <v>12</v>
      </c>
      <c r="O123">
        <f t="shared" ref="O123:T123" si="134">IF(O121&gt;24,12,IF(O121&gt;12,O121-12,0))</f>
        <v>12</v>
      </c>
      <c r="P123">
        <f t="shared" si="134"/>
        <v>12</v>
      </c>
      <c r="Q123">
        <f t="shared" si="134"/>
        <v>12</v>
      </c>
      <c r="R123">
        <f t="shared" si="134"/>
        <v>12</v>
      </c>
      <c r="S123">
        <f t="shared" si="134"/>
        <v>12</v>
      </c>
      <c r="T123">
        <f t="shared" si="134"/>
        <v>12</v>
      </c>
      <c r="U123">
        <f>IF(U121&gt;24,12,IF(U121&gt;12,U121-12,0))</f>
        <v>12</v>
      </c>
      <c r="V123">
        <f t="shared" ref="V123:AB123" si="135">IF(V121&gt;24,12,IF(V121&gt;12,V121-12,0))</f>
        <v>12</v>
      </c>
      <c r="W123">
        <f t="shared" si="135"/>
        <v>12</v>
      </c>
      <c r="X123">
        <f t="shared" si="135"/>
        <v>12</v>
      </c>
      <c r="Y123">
        <f t="shared" si="135"/>
        <v>12</v>
      </c>
      <c r="Z123">
        <f t="shared" si="135"/>
        <v>12</v>
      </c>
      <c r="AA123">
        <f t="shared" si="135"/>
        <v>12</v>
      </c>
      <c r="AB123">
        <f t="shared" si="135"/>
        <v>12</v>
      </c>
      <c r="AC123">
        <f>IF(AC121&gt;24,12,IF(AC121&gt;12,AC121-12,0))</f>
        <v>12</v>
      </c>
      <c r="AD123">
        <f>IF(AD121&gt;24,12,IF(AD121&gt;12,AD121-12,0))</f>
        <v>12</v>
      </c>
      <c r="AE123">
        <f>IF(AE121&gt;24,12,IF(AE121&gt;12,AE121-12,0))</f>
        <v>12</v>
      </c>
    </row>
    <row r="124" spans="1:33" hidden="1" outlineLevel="2">
      <c r="B124" s="509" t="s">
        <v>384</v>
      </c>
      <c r="C124" s="16"/>
      <c r="D124" s="371"/>
      <c r="J124">
        <f>IF(J121&gt;36,12,IF(J121&gt;24,J121-24,0))</f>
        <v>0</v>
      </c>
      <c r="K124">
        <f>IF(K121&gt;36,12,IF(K121&gt;24,K121-24,0))</f>
        <v>0</v>
      </c>
      <c r="L124">
        <f>IF(L121&gt;36,12,IF(L121&gt;24,L121-24,0))</f>
        <v>2</v>
      </c>
      <c r="M124">
        <f>IF(M121&gt;36,12,IF(M121&gt;24,M121-24,0))</f>
        <v>5</v>
      </c>
      <c r="N124">
        <f>IF(N121&gt;36,12,IF(N121&gt;24,N121-24,0))</f>
        <v>6</v>
      </c>
      <c r="O124">
        <f t="shared" ref="O124:T124" si="136">IF(O121&gt;36,12,IF(O121&gt;24,O121-24,0))</f>
        <v>7</v>
      </c>
      <c r="P124">
        <f t="shared" si="136"/>
        <v>9</v>
      </c>
      <c r="Q124">
        <f t="shared" si="136"/>
        <v>10</v>
      </c>
      <c r="R124">
        <f t="shared" si="136"/>
        <v>11</v>
      </c>
      <c r="S124">
        <f t="shared" si="136"/>
        <v>12</v>
      </c>
      <c r="T124">
        <f t="shared" si="136"/>
        <v>12</v>
      </c>
      <c r="U124">
        <f>IF(U121&gt;36,12,IF(U121&gt;24,U121-24,0))</f>
        <v>12</v>
      </c>
      <c r="V124">
        <f t="shared" ref="V124:AB124" si="137">IF(V121&gt;36,12,IF(V121&gt;24,V121-24,0))</f>
        <v>12</v>
      </c>
      <c r="W124">
        <f t="shared" si="137"/>
        <v>12</v>
      </c>
      <c r="X124">
        <f t="shared" si="137"/>
        <v>12</v>
      </c>
      <c r="Y124">
        <f t="shared" si="137"/>
        <v>12</v>
      </c>
      <c r="Z124">
        <f t="shared" si="137"/>
        <v>12</v>
      </c>
      <c r="AA124">
        <f t="shared" si="137"/>
        <v>12</v>
      </c>
      <c r="AB124">
        <f t="shared" si="137"/>
        <v>12</v>
      </c>
      <c r="AC124">
        <f>IF(AC121&gt;36,12,IF(AC121&gt;24,AC121-24,0))</f>
        <v>12</v>
      </c>
      <c r="AD124">
        <f>IF(AD121&gt;36,12,IF(AD121&gt;24,AD121-24,0))</f>
        <v>12</v>
      </c>
      <c r="AE124">
        <f>IF(AE121&gt;36,12,IF(AE121&gt;24,AE121-24,0))</f>
        <v>12</v>
      </c>
    </row>
    <row r="125" spans="1:33" hidden="1" outlineLevel="2">
      <c r="B125" s="492" t="s">
        <v>376</v>
      </c>
      <c r="C125" s="16"/>
      <c r="D125" s="371"/>
      <c r="I125" s="5">
        <f t="shared" ref="I125:N125" si="138">I71</f>
        <v>0</v>
      </c>
      <c r="J125" s="5">
        <f t="shared" si="138"/>
        <v>2585.0837732720006</v>
      </c>
      <c r="K125" s="5">
        <f t="shared" si="138"/>
        <v>3427.3681041600007</v>
      </c>
      <c r="L125" s="5">
        <f t="shared" si="138"/>
        <v>4759.6757411839999</v>
      </c>
      <c r="M125" s="5">
        <f t="shared" si="138"/>
        <v>5170.0851084063997</v>
      </c>
      <c r="N125" s="5">
        <f t="shared" si="138"/>
        <v>5941.7293272930938</v>
      </c>
      <c r="O125" s="5">
        <f t="shared" ref="O125:T125" si="139">O71</f>
        <v>6232.6228059729601</v>
      </c>
      <c r="P125" s="5">
        <f t="shared" si="139"/>
        <v>6808.6418057009814</v>
      </c>
      <c r="Q125" s="5">
        <f t="shared" si="139"/>
        <v>7613.7845420061612</v>
      </c>
      <c r="R125" s="5">
        <f t="shared" si="139"/>
        <v>8119.4159734407913</v>
      </c>
      <c r="S125" s="5">
        <f t="shared" si="139"/>
        <v>8531.9147825554774</v>
      </c>
      <c r="T125" s="5">
        <f t="shared" si="139"/>
        <v>8965.3701811684259</v>
      </c>
      <c r="U125" s="5">
        <f>U71</f>
        <v>9420.8468478525047</v>
      </c>
      <c r="V125" s="5">
        <f t="shared" ref="V125:AB125" si="140">V71</f>
        <v>9899.4635511108063</v>
      </c>
      <c r="W125" s="5">
        <f t="shared" si="140"/>
        <v>10198.427350354352</v>
      </c>
      <c r="X125" s="5">
        <f t="shared" si="140"/>
        <v>10506.419856335055</v>
      </c>
      <c r="Y125" s="5">
        <f t="shared" si="140"/>
        <v>10823.713735996373</v>
      </c>
      <c r="Z125" s="5">
        <f t="shared" si="140"/>
        <v>11150.589890823463</v>
      </c>
      <c r="AA125" s="5">
        <f t="shared" si="140"/>
        <v>11487.337705526332</v>
      </c>
      <c r="AB125" s="5">
        <f t="shared" si="140"/>
        <v>11717.084459636861</v>
      </c>
      <c r="AC125" s="5">
        <f>AC71</f>
        <v>11951.426148829596</v>
      </c>
      <c r="AD125" s="5">
        <f>AD71</f>
        <v>12190.454671806188</v>
      </c>
      <c r="AE125" s="5">
        <f>AE71</f>
        <v>12434.263765242313</v>
      </c>
    </row>
    <row r="126" spans="1:33" hidden="1" outlineLevel="2">
      <c r="B126" s="492" t="s">
        <v>377</v>
      </c>
      <c r="C126" s="16"/>
      <c r="D126" s="371"/>
      <c r="J126" s="24">
        <f t="shared" ref="J126:T126" si="141">(J125*J122+I125*I123+H124*H125)*J76/1000000</f>
        <v>101.28972387904676</v>
      </c>
      <c r="K126" s="24">
        <f t="shared" si="141"/>
        <v>192.21879921611642</v>
      </c>
      <c r="L126" s="24">
        <f t="shared" si="141"/>
        <v>439.82214842092804</v>
      </c>
      <c r="M126" s="24">
        <f t="shared" si="141"/>
        <v>647.15982459639804</v>
      </c>
      <c r="N126" s="24">
        <f t="shared" si="141"/>
        <v>819.18651145143053</v>
      </c>
      <c r="O126" s="24">
        <f t="shared" si="141"/>
        <v>1079.4623633988792</v>
      </c>
      <c r="P126" s="24">
        <f t="shared" si="141"/>
        <v>1298.7883539493828</v>
      </c>
      <c r="Q126" s="24">
        <f t="shared" si="141"/>
        <v>1578.1912151859649</v>
      </c>
      <c r="R126" s="24">
        <f t="shared" si="141"/>
        <v>1988.3018146947384</v>
      </c>
      <c r="S126" s="24">
        <f t="shared" si="141"/>
        <v>2374.745522095729</v>
      </c>
      <c r="T126" s="24">
        <f t="shared" si="141"/>
        <v>2775.2938608209456</v>
      </c>
      <c r="U126" s="24">
        <f>(U125*U122+T125*T123+S124*S125)*U76/1000000</f>
        <v>3223.6368188741135</v>
      </c>
      <c r="V126" s="24">
        <f>(V125*V122+U125*U123+T124*T125)*V76/1000000</f>
        <v>3624.5291962876072</v>
      </c>
      <c r="W126" s="24">
        <f t="shared" ref="W126:AB126" si="142">(W125*W122+V125*V123+U124*U125)*W76/1000000</f>
        <v>4058.3276993318555</v>
      </c>
      <c r="X126" s="24">
        <f t="shared" si="142"/>
        <v>4508.0686093883078</v>
      </c>
      <c r="Y126" s="24">
        <f t="shared" si="142"/>
        <v>4969.3071410892626</v>
      </c>
      <c r="Z126" s="24">
        <f t="shared" si="142"/>
        <v>5477.7368319226707</v>
      </c>
      <c r="AA126" s="24">
        <f t="shared" si="142"/>
        <v>6038.1859981440066</v>
      </c>
      <c r="AB126" s="24">
        <f t="shared" si="142"/>
        <v>6642.3211219212235</v>
      </c>
      <c r="AC126" s="24">
        <f>(AC125*AC122+AB125*AB123+AA124*AA125)*AC76/1000000</f>
        <v>7277.7960888645011</v>
      </c>
      <c r="AD126" s="24">
        <f>(AD125*AD122+AC125*AC123+AB124*AB125)*AD76/1000000</f>
        <v>7942.9866513867164</v>
      </c>
      <c r="AE126" s="24">
        <f>(AE125*AE122+AD125*AD123+AC124*AC125)*AE76/1000000</f>
        <v>8668.9756313234629</v>
      </c>
    </row>
    <row r="127" spans="1:33" s="28" customFormat="1" hidden="1" outlineLevel="1">
      <c r="B127" s="31" t="s">
        <v>378</v>
      </c>
      <c r="C127" s="31"/>
      <c r="D127" s="29"/>
      <c r="J127" s="30">
        <f t="shared" ref="J127:T127" si="143">(J113*(J68-J71)+J121*J71)/J68</f>
        <v>10.14</v>
      </c>
      <c r="K127" s="30">
        <f t="shared" si="143"/>
        <v>14.8</v>
      </c>
      <c r="L127" s="30">
        <f t="shared" si="143"/>
        <v>18.799999999999997</v>
      </c>
      <c r="M127" s="30">
        <f t="shared" si="143"/>
        <v>21.409999999999997</v>
      </c>
      <c r="N127" s="30">
        <f t="shared" si="143"/>
        <v>22.56</v>
      </c>
      <c r="O127" s="30">
        <f t="shared" si="143"/>
        <v>23.5</v>
      </c>
      <c r="P127" s="30">
        <f t="shared" si="143"/>
        <v>25.844999999999999</v>
      </c>
      <c r="Q127" s="30">
        <f t="shared" si="143"/>
        <v>28.120000000000005</v>
      </c>
      <c r="R127" s="30">
        <f t="shared" si="143"/>
        <v>29.482749999999999</v>
      </c>
      <c r="S127" s="30">
        <f t="shared" si="143"/>
        <v>30.535425</v>
      </c>
      <c r="T127" s="30">
        <f t="shared" si="143"/>
        <v>31.606805224999999</v>
      </c>
      <c r="U127" s="30">
        <f>(U113*(U68-U71)+U121*U71)/U68</f>
        <v>32.697159511999999</v>
      </c>
      <c r="V127" s="30">
        <f t="shared" ref="V127:AB127" si="144">(V113*(V68-V71)+V121*V71)/V68</f>
        <v>32.964131107119996</v>
      </c>
      <c r="W127" s="30">
        <f t="shared" si="144"/>
        <v>33.233772418191201</v>
      </c>
      <c r="X127" s="30">
        <f t="shared" si="144"/>
        <v>33.506110142373117</v>
      </c>
      <c r="Y127" s="30">
        <f t="shared" si="144"/>
        <v>33.781171243796848</v>
      </c>
      <c r="Z127" s="30">
        <f t="shared" si="144"/>
        <v>34.058982956234814</v>
      </c>
      <c r="AA127" s="30">
        <f t="shared" si="144"/>
        <v>34.339572785797166</v>
      </c>
      <c r="AB127" s="30">
        <f t="shared" si="144"/>
        <v>34.339572785797166</v>
      </c>
      <c r="AC127" s="30">
        <f>(AC113*(AC68-AC71)+AC121*AC71)/AC68</f>
        <v>34.339572785797159</v>
      </c>
      <c r="AD127" s="30">
        <f>(AD113*(AD68-AD71)+AD121*AD71)/AD68</f>
        <v>34.339572785797159</v>
      </c>
      <c r="AE127" s="30">
        <f>(AE113*(AE68-AE71)+AE121*AE71)/AE68</f>
        <v>34.339572785797159</v>
      </c>
      <c r="AG127" s="28" t="s">
        <v>443</v>
      </c>
    </row>
    <row r="128" spans="1:33" hidden="1" outlineLevel="1">
      <c r="B128" s="148" t="s">
        <v>381</v>
      </c>
      <c r="C128" s="148"/>
      <c r="D128" s="149"/>
      <c r="E128" s="25"/>
      <c r="F128" s="25"/>
      <c r="G128" s="25"/>
      <c r="H128" s="25"/>
      <c r="I128" s="25"/>
      <c r="J128" s="151">
        <f>J126+J115</f>
        <v>321.48477579001798</v>
      </c>
      <c r="K128" s="151">
        <f>K126+K115</f>
        <v>446.00044210104284</v>
      </c>
      <c r="L128" s="151">
        <f>L126+L115</f>
        <v>752.17586893612804</v>
      </c>
      <c r="M128" s="151">
        <f>M126+M115</f>
        <v>987.12098223881412</v>
      </c>
      <c r="N128" s="151">
        <f>N126+N115</f>
        <v>1213.9704605788652</v>
      </c>
      <c r="O128" s="151">
        <f t="shared" ref="O128:AB128" si="145">O126+O115</f>
        <v>1508.0679401679988</v>
      </c>
      <c r="P128" s="151">
        <f t="shared" si="145"/>
        <v>1775.9240829649164</v>
      </c>
      <c r="Q128" s="151">
        <f t="shared" si="145"/>
        <v>2111.8341285888082</v>
      </c>
      <c r="R128" s="151">
        <f t="shared" si="145"/>
        <v>2582.3680478963588</v>
      </c>
      <c r="S128" s="151">
        <f t="shared" si="145"/>
        <v>3036.0766867503025</v>
      </c>
      <c r="T128" s="151">
        <f t="shared" si="145"/>
        <v>3511.5062305870274</v>
      </c>
      <c r="U128" s="151">
        <f t="shared" si="145"/>
        <v>4043.2090428440688</v>
      </c>
      <c r="V128" s="151">
        <f t="shared" si="145"/>
        <v>4536.8999440332327</v>
      </c>
      <c r="W128" s="151">
        <f>W126+W115</f>
        <v>5054.0891334214311</v>
      </c>
      <c r="X128" s="151">
        <f t="shared" si="145"/>
        <v>5594.8426385536713</v>
      </c>
      <c r="Y128" s="151">
        <f t="shared" si="145"/>
        <v>6155.41231652034</v>
      </c>
      <c r="Z128" s="151">
        <f t="shared" si="145"/>
        <v>6772.2520203881486</v>
      </c>
      <c r="AA128" s="151">
        <f t="shared" si="145"/>
        <v>7451.0198748352295</v>
      </c>
      <c r="AB128" s="151">
        <f t="shared" si="145"/>
        <v>8184.2880149420243</v>
      </c>
      <c r="AC128" s="151">
        <f>AC126+AC115</f>
        <v>8960.6987559074041</v>
      </c>
      <c r="AD128" s="151">
        <f>AD126+AD115</f>
        <v>9779.70662219734</v>
      </c>
      <c r="AE128" s="151">
        <f>AE126+AE115</f>
        <v>10673.571807466178</v>
      </c>
      <c r="AG128" s="28"/>
    </row>
    <row r="129" spans="1:33" hidden="1" outlineLevel="1">
      <c r="D129" s="371"/>
      <c r="AG129" s="7"/>
    </row>
    <row r="130" spans="1:33" hidden="1" outlineLevel="1">
      <c r="B130" s="510" t="s">
        <v>44</v>
      </c>
      <c r="C130" s="510"/>
      <c r="D130" s="511"/>
      <c r="E130" s="510"/>
      <c r="F130" s="510"/>
      <c r="G130" s="510"/>
      <c r="H130" s="510"/>
      <c r="I130" s="510"/>
      <c r="J130" s="512">
        <f>J128+J110+J95</f>
        <v>471.65918172654119</v>
      </c>
      <c r="K130" s="512">
        <f>K128+K110+K95</f>
        <v>644.45391209938225</v>
      </c>
      <c r="L130" s="512">
        <f>L128+L110+L95</f>
        <v>1063.9214415771003</v>
      </c>
      <c r="M130" s="512">
        <f>M128+M110+M95</f>
        <v>1389.6071687520671</v>
      </c>
      <c r="N130" s="512">
        <f>N128+N110+N95</f>
        <v>1725.5381214925776</v>
      </c>
      <c r="O130" s="512">
        <f t="shared" ref="O130:AE130" si="146">O128+O110+O95</f>
        <v>2155.5952752486305</v>
      </c>
      <c r="P130" s="512">
        <f t="shared" si="146"/>
        <v>2575.2295943557592</v>
      </c>
      <c r="Q130" s="512">
        <f t="shared" si="146"/>
        <v>3093.0044156019458</v>
      </c>
      <c r="R130" s="512">
        <f t="shared" si="146"/>
        <v>3741.9248956279444</v>
      </c>
      <c r="S130" s="512">
        <f t="shared" si="146"/>
        <v>4299.8067825194448</v>
      </c>
      <c r="T130" s="512">
        <f t="shared" si="146"/>
        <v>4871.3672582819845</v>
      </c>
      <c r="U130" s="512">
        <f t="shared" si="146"/>
        <v>5458.5174561488884</v>
      </c>
      <c r="V130" s="512">
        <f t="shared" si="146"/>
        <v>6046.7235636176565</v>
      </c>
      <c r="W130" s="512">
        <f t="shared" si="146"/>
        <v>6693.1852986366775</v>
      </c>
      <c r="X130" s="512">
        <f t="shared" si="146"/>
        <v>7402.9485015143046</v>
      </c>
      <c r="Y130" s="512">
        <f t="shared" si="146"/>
        <v>8142.7057933964461</v>
      </c>
      <c r="Z130" s="512">
        <f t="shared" si="146"/>
        <v>8952.7315438809292</v>
      </c>
      <c r="AA130" s="512">
        <f t="shared" si="146"/>
        <v>9839.4536020542546</v>
      </c>
      <c r="AB130" s="512">
        <f t="shared" si="146"/>
        <v>10798.591090997723</v>
      </c>
      <c r="AC130" s="512">
        <f t="shared" si="146"/>
        <v>11818.057430662133</v>
      </c>
      <c r="AD130" s="512">
        <f t="shared" si="146"/>
        <v>12898.227879824653</v>
      </c>
      <c r="AE130" s="512">
        <f t="shared" si="146"/>
        <v>14077.125908040627</v>
      </c>
    </row>
    <row r="131" spans="1:33" hidden="1" outlineLevel="1">
      <c r="B131" s="27" t="s">
        <v>48</v>
      </c>
      <c r="C131" s="28"/>
      <c r="D131" s="29"/>
      <c r="E131" s="28"/>
      <c r="F131" s="28"/>
      <c r="G131" s="28"/>
      <c r="H131" s="28"/>
      <c r="I131" s="28"/>
      <c r="J131" s="30">
        <f>(J94*J81+J109*J99+J127*J114)/(J81+J99+J114)</f>
        <v>10.049761273209549</v>
      </c>
      <c r="K131" s="30">
        <f>(K94*K81+K109*K99+K127*K114)/(K81+K99+K114)</f>
        <v>14.486484448633362</v>
      </c>
      <c r="L131" s="30">
        <f>(L94*L81+L109*L99+L127*L114)/(L81+L99+L114)</f>
        <v>18.134834892154991</v>
      </c>
      <c r="M131" s="30">
        <f>(M94*M81+M109*M99+M127*M114)/(M81+M99+M114)</f>
        <v>20.492830466337121</v>
      </c>
      <c r="N131" s="30">
        <f>(N94*N81+N109*N99+N127*N114)/(N81+N99+N114)</f>
        <v>21.495680413615482</v>
      </c>
      <c r="O131" s="30">
        <f t="shared" ref="O131:AE131" si="147">(O94*O81+O109*O99+O127*O114)/(O81+O99+O114)</f>
        <v>22.613086607219653</v>
      </c>
      <c r="P131" s="30">
        <f t="shared" si="147"/>
        <v>25.512035125563362</v>
      </c>
      <c r="Q131" s="30">
        <f t="shared" si="147"/>
        <v>27.727856033300629</v>
      </c>
      <c r="R131" s="30">
        <f t="shared" si="147"/>
        <v>29.211899078881803</v>
      </c>
      <c r="S131" s="30">
        <f t="shared" si="147"/>
        <v>30.28243214706367</v>
      </c>
      <c r="T131" s="30">
        <f t="shared" si="147"/>
        <v>31.372374624446053</v>
      </c>
      <c r="U131" s="30">
        <f t="shared" si="147"/>
        <v>32.281345286061899</v>
      </c>
      <c r="V131" s="30">
        <f t="shared" si="147"/>
        <v>32.551195640057237</v>
      </c>
      <c r="W131" s="30">
        <f t="shared" si="147"/>
        <v>32.81670759645781</v>
      </c>
      <c r="X131" s="30">
        <f t="shared" si="147"/>
        <v>33.084874672422387</v>
      </c>
      <c r="Y131" s="30">
        <f t="shared" si="147"/>
        <v>33.319924580673977</v>
      </c>
      <c r="Z131" s="30">
        <f t="shared" si="147"/>
        <v>33.55732498800807</v>
      </c>
      <c r="AA131" s="30">
        <f t="shared" si="147"/>
        <v>33.797099399415501</v>
      </c>
      <c r="AB131" s="30">
        <f t="shared" si="147"/>
        <v>33.797099399415501</v>
      </c>
      <c r="AC131" s="30">
        <f t="shared" si="147"/>
        <v>33.797099399415494</v>
      </c>
      <c r="AD131" s="30">
        <f t="shared" si="147"/>
        <v>33.797099399415494</v>
      </c>
      <c r="AE131" s="30">
        <f t="shared" si="147"/>
        <v>33.797099399415494</v>
      </c>
    </row>
    <row r="132" spans="1:33" ht="13.5" hidden="1" outlineLevel="1" thickBot="1">
      <c r="D132" s="371"/>
      <c r="R132" s="12"/>
    </row>
    <row r="133" spans="1:33" collapsed="1">
      <c r="B133" s="469" t="s">
        <v>50</v>
      </c>
      <c r="C133" s="469"/>
      <c r="D133" s="472"/>
      <c r="E133" s="472"/>
      <c r="F133" s="472"/>
      <c r="G133" s="472"/>
      <c r="H133" s="472"/>
      <c r="I133" s="472"/>
      <c r="J133" s="472"/>
      <c r="K133" s="472"/>
      <c r="L133" s="472"/>
      <c r="M133" s="472"/>
      <c r="N133" s="472"/>
      <c r="O133" s="472"/>
      <c r="P133" s="472"/>
      <c r="Q133" s="472"/>
      <c r="R133" s="472"/>
      <c r="S133" s="472"/>
      <c r="T133" s="472"/>
      <c r="U133" s="472"/>
      <c r="V133" s="472"/>
      <c r="W133" s="472"/>
      <c r="X133" s="472"/>
      <c r="Y133" s="472"/>
      <c r="Z133" s="472"/>
      <c r="AA133" s="472"/>
      <c r="AB133" s="472"/>
      <c r="AC133" s="472"/>
      <c r="AD133" s="472"/>
      <c r="AE133" s="472"/>
    </row>
    <row r="134" spans="1:33" s="50" customFormat="1">
      <c r="B134" s="365" t="s">
        <v>433</v>
      </c>
      <c r="C134" s="158"/>
      <c r="D134" s="182"/>
      <c r="E134" s="513">
        <f t="shared" ref="E134:AE134" si="148">E8-E9</f>
        <v>42182.487514315275</v>
      </c>
      <c r="F134" s="513">
        <f t="shared" si="148"/>
        <v>43127.876539744742</v>
      </c>
      <c r="G134" s="513">
        <f t="shared" si="148"/>
        <v>45504.123835937076</v>
      </c>
      <c r="H134" s="513">
        <f t="shared" si="148"/>
        <v>47051.495551015192</v>
      </c>
      <c r="I134" s="513">
        <f t="shared" si="148"/>
        <v>48129.316017545651</v>
      </c>
      <c r="J134" s="513">
        <f t="shared" si="148"/>
        <v>49602.619198072018</v>
      </c>
      <c r="K134" s="513">
        <f t="shared" si="148"/>
        <v>51352.710174014181</v>
      </c>
      <c r="L134" s="513">
        <f t="shared" si="148"/>
        <v>53032.10667923461</v>
      </c>
      <c r="M134" s="513">
        <f t="shared" si="148"/>
        <v>54764.470679611652</v>
      </c>
      <c r="N134" s="513">
        <f t="shared" si="148"/>
        <v>55267.308793770004</v>
      </c>
      <c r="O134" s="513">
        <f t="shared" si="148"/>
        <v>57642.339825875402</v>
      </c>
      <c r="P134" s="513">
        <f t="shared" si="148"/>
        <v>59844.919072311401</v>
      </c>
      <c r="Q134" s="513">
        <f t="shared" si="148"/>
        <v>61877.901072775203</v>
      </c>
      <c r="R134" s="513">
        <f t="shared" si="148"/>
        <v>63743.741457640266</v>
      </c>
      <c r="S134" s="513">
        <f t="shared" si="148"/>
        <v>65444.507545135282</v>
      </c>
      <c r="T134" s="513">
        <f t="shared" si="148"/>
        <v>66981.888094959315</v>
      </c>
      <c r="U134" s="513">
        <f t="shared" si="148"/>
        <v>68357.202250434886</v>
      </c>
      <c r="V134" s="513">
        <f>V8-V9</f>
        <v>69571.407699380303</v>
      </c>
      <c r="W134" s="513">
        <f t="shared" si="148"/>
        <v>70625.1080820481</v>
      </c>
      <c r="X134" s="513">
        <f t="shared" si="148"/>
        <v>71518.559672723786</v>
      </c>
      <c r="Y134" s="513">
        <f t="shared" si="148"/>
        <v>72251.677359903435</v>
      </c>
      <c r="Z134" s="513">
        <f t="shared" si="148"/>
        <v>72824.039948366873</v>
      </c>
      <c r="AA134" s="513">
        <f t="shared" si="148"/>
        <v>73234.894804929558</v>
      </c>
      <c r="AB134" s="513">
        <f t="shared" si="148"/>
        <v>73483.161868188763</v>
      </c>
      <c r="AC134" s="513">
        <f t="shared" si="148"/>
        <v>73567.437041173558</v>
      </c>
      <c r="AD134" s="513">
        <f t="shared" si="148"/>
        <v>73485.994984459918</v>
      </c>
      <c r="AE134" s="513">
        <f t="shared" si="148"/>
        <v>73236.79132602051</v>
      </c>
    </row>
    <row r="135" spans="1:33" s="50" customFormat="1" hidden="1" outlineLevel="1">
      <c r="B135" s="514" t="s">
        <v>463</v>
      </c>
      <c r="C135" s="515"/>
      <c r="D135" s="516"/>
      <c r="E135" s="517"/>
      <c r="F135" s="517"/>
      <c r="G135" s="517"/>
      <c r="H135" s="517"/>
      <c r="I135" s="517"/>
      <c r="J135" s="517"/>
      <c r="K135" s="517"/>
      <c r="L135" s="517"/>
      <c r="M135" s="517"/>
      <c r="N135" s="517"/>
      <c r="O135" s="518">
        <f>N138*1.03</f>
        <v>0.30075641833221178</v>
      </c>
      <c r="P135" s="518">
        <f t="shared" ref="P135:AE135" si="149">O135*1.03</f>
        <v>0.30977911088217813</v>
      </c>
      <c r="Q135" s="518">
        <f t="shared" si="149"/>
        <v>0.31907248420864348</v>
      </c>
      <c r="R135" s="518">
        <f t="shared" si="149"/>
        <v>0.32864465873490278</v>
      </c>
      <c r="S135" s="518">
        <f t="shared" si="149"/>
        <v>0.3385039984969499</v>
      </c>
      <c r="T135" s="518">
        <f t="shared" si="149"/>
        <v>0.34865911845185843</v>
      </c>
      <c r="U135" s="518">
        <f t="shared" si="149"/>
        <v>0.35911889200541419</v>
      </c>
      <c r="V135" s="518">
        <f t="shared" si="149"/>
        <v>0.36989245876557664</v>
      </c>
      <c r="W135" s="518">
        <f t="shared" si="149"/>
        <v>0.38098923252854394</v>
      </c>
      <c r="X135" s="518">
        <f t="shared" si="149"/>
        <v>0.39241890950440028</v>
      </c>
      <c r="Y135" s="518">
        <f t="shared" si="149"/>
        <v>0.40419147678953232</v>
      </c>
      <c r="Z135" s="518">
        <f t="shared" si="149"/>
        <v>0.41631722109321828</v>
      </c>
      <c r="AA135" s="518">
        <f t="shared" si="149"/>
        <v>0.42880673772601485</v>
      </c>
      <c r="AB135" s="518">
        <f t="shared" si="149"/>
        <v>0.44167093985779532</v>
      </c>
      <c r="AC135" s="518">
        <f t="shared" si="149"/>
        <v>0.45492106805352917</v>
      </c>
      <c r="AD135" s="518">
        <f t="shared" si="149"/>
        <v>0.46856870009513507</v>
      </c>
      <c r="AE135" s="518">
        <f t="shared" si="149"/>
        <v>0.48262576109798916</v>
      </c>
    </row>
    <row r="136" spans="1:33" s="50" customFormat="1" hidden="1" outlineLevel="1">
      <c r="B136" s="514" t="s">
        <v>461</v>
      </c>
      <c r="C136" s="515"/>
      <c r="D136" s="516"/>
      <c r="E136" s="517"/>
      <c r="F136" s="517"/>
      <c r="G136" s="517"/>
      <c r="H136" s="517"/>
      <c r="I136" s="517"/>
      <c r="J136" s="517"/>
      <c r="K136" s="517"/>
      <c r="L136" s="517"/>
      <c r="M136" s="517"/>
      <c r="N136" s="517"/>
      <c r="O136" s="518">
        <f>N138</f>
        <v>0.29199652265263282</v>
      </c>
      <c r="P136" s="518">
        <v>0.3</v>
      </c>
      <c r="Q136" s="518">
        <f t="shared" ref="Q136:AE136" si="150">P136</f>
        <v>0.3</v>
      </c>
      <c r="R136" s="518">
        <f t="shared" si="150"/>
        <v>0.3</v>
      </c>
      <c r="S136" s="518">
        <f>R136*1.02</f>
        <v>0.30599999999999999</v>
      </c>
      <c r="T136" s="518">
        <f>S136*1.02</f>
        <v>0.31212000000000001</v>
      </c>
      <c r="U136" s="518">
        <f>T136*1.02</f>
        <v>0.31836239999999999</v>
      </c>
      <c r="V136" s="518">
        <f>U136*0.99</f>
        <v>0.31517877599999999</v>
      </c>
      <c r="W136" s="518">
        <f>V136*0.99</f>
        <v>0.31202698823999997</v>
      </c>
      <c r="X136" s="518">
        <f>W136*0.99</f>
        <v>0.30890671835759997</v>
      </c>
      <c r="Y136" s="518">
        <f>X136*0.99</f>
        <v>0.30581765117402399</v>
      </c>
      <c r="Z136" s="518">
        <f>Y136*0.99</f>
        <v>0.30275947466228376</v>
      </c>
      <c r="AA136" s="518">
        <f t="shared" si="150"/>
        <v>0.30275947466228376</v>
      </c>
      <c r="AB136" s="518">
        <f t="shared" si="150"/>
        <v>0.30275947466228376</v>
      </c>
      <c r="AC136" s="518">
        <f t="shared" si="150"/>
        <v>0.30275947466228376</v>
      </c>
      <c r="AD136" s="518">
        <f t="shared" si="150"/>
        <v>0.30275947466228376</v>
      </c>
      <c r="AE136" s="518">
        <f t="shared" si="150"/>
        <v>0.30275947466228376</v>
      </c>
    </row>
    <row r="137" spans="1:33" s="50" customFormat="1" hidden="1" outlineLevel="1">
      <c r="B137" s="514" t="s">
        <v>462</v>
      </c>
      <c r="C137" s="515"/>
      <c r="D137" s="516"/>
      <c r="E137" s="517"/>
      <c r="F137" s="517"/>
      <c r="G137" s="517"/>
      <c r="H137" s="517"/>
      <c r="I137" s="517"/>
      <c r="J137" s="517"/>
      <c r="K137" s="517"/>
      <c r="L137" s="517"/>
      <c r="M137" s="517"/>
      <c r="N137" s="517"/>
      <c r="O137" s="518">
        <f t="shared" ref="O137:U137" si="151">O136</f>
        <v>0.29199652265263282</v>
      </c>
      <c r="P137" s="518">
        <f t="shared" si="151"/>
        <v>0.3</v>
      </c>
      <c r="Q137" s="518">
        <f t="shared" si="151"/>
        <v>0.3</v>
      </c>
      <c r="R137" s="518">
        <f t="shared" si="151"/>
        <v>0.3</v>
      </c>
      <c r="S137" s="518">
        <f t="shared" si="151"/>
        <v>0.30599999999999999</v>
      </c>
      <c r="T137" s="518">
        <f t="shared" si="151"/>
        <v>0.31212000000000001</v>
      </c>
      <c r="U137" s="518">
        <f t="shared" si="151"/>
        <v>0.31836239999999999</v>
      </c>
      <c r="V137" s="518">
        <f t="shared" ref="V137:AB137" si="152">V136</f>
        <v>0.31517877599999999</v>
      </c>
      <c r="W137" s="518">
        <f t="shared" si="152"/>
        <v>0.31202698823999997</v>
      </c>
      <c r="X137" s="518">
        <f t="shared" si="152"/>
        <v>0.30890671835759997</v>
      </c>
      <c r="Y137" s="518">
        <f t="shared" si="152"/>
        <v>0.30581765117402399</v>
      </c>
      <c r="Z137" s="518">
        <f t="shared" si="152"/>
        <v>0.30275947466228376</v>
      </c>
      <c r="AA137" s="518">
        <f t="shared" si="152"/>
        <v>0.30275947466228376</v>
      </c>
      <c r="AB137" s="518">
        <f t="shared" si="152"/>
        <v>0.30275947466228376</v>
      </c>
      <c r="AC137" s="518">
        <f>AC136</f>
        <v>0.30275947466228376</v>
      </c>
      <c r="AD137" s="518">
        <f>AD136</f>
        <v>0.30275947466228376</v>
      </c>
      <c r="AE137" s="518">
        <f>AE136</f>
        <v>0.30275947466228376</v>
      </c>
    </row>
    <row r="138" spans="1:33" s="50" customFormat="1" collapsed="1">
      <c r="A138" s="485" t="s">
        <v>78</v>
      </c>
      <c r="B138" s="519" t="s">
        <v>435</v>
      </c>
      <c r="C138" s="515"/>
      <c r="D138" s="516"/>
      <c r="E138" s="520">
        <v>0.3</v>
      </c>
      <c r="F138" s="521">
        <f>E138*0.997</f>
        <v>0.29909999999999998</v>
      </c>
      <c r="G138" s="521">
        <f t="shared" ref="G138:N138" si="153">F138*0.997</f>
        <v>0.29820269999999999</v>
      </c>
      <c r="H138" s="521">
        <f t="shared" si="153"/>
        <v>0.29730809189999996</v>
      </c>
      <c r="I138" s="521">
        <f t="shared" si="153"/>
        <v>0.29641616762429995</v>
      </c>
      <c r="J138" s="521">
        <f t="shared" si="153"/>
        <v>0.29552691912142703</v>
      </c>
      <c r="K138" s="521">
        <f t="shared" si="153"/>
        <v>0.29464033836406273</v>
      </c>
      <c r="L138" s="521">
        <f t="shared" si="153"/>
        <v>0.29375641734897051</v>
      </c>
      <c r="M138" s="521">
        <f t="shared" si="153"/>
        <v>0.29287514809692361</v>
      </c>
      <c r="N138" s="521">
        <f t="shared" si="153"/>
        <v>0.29199652265263282</v>
      </c>
      <c r="O138" s="486">
        <f t="shared" ref="O138:AE138" si="154">CHOOSE($J$1,O135,O136,O137)</f>
        <v>0.29199652265263282</v>
      </c>
      <c r="P138" s="486">
        <f t="shared" si="154"/>
        <v>0.3</v>
      </c>
      <c r="Q138" s="486">
        <f t="shared" si="154"/>
        <v>0.3</v>
      </c>
      <c r="R138" s="486">
        <f t="shared" si="154"/>
        <v>0.3</v>
      </c>
      <c r="S138" s="486">
        <f t="shared" si="154"/>
        <v>0.30599999999999999</v>
      </c>
      <c r="T138" s="486">
        <f t="shared" si="154"/>
        <v>0.31212000000000001</v>
      </c>
      <c r="U138" s="486">
        <f t="shared" si="154"/>
        <v>0.31836239999999999</v>
      </c>
      <c r="V138" s="486">
        <f t="shared" si="154"/>
        <v>0.31517877599999999</v>
      </c>
      <c r="W138" s="486">
        <f t="shared" si="154"/>
        <v>0.31202698823999997</v>
      </c>
      <c r="X138" s="486">
        <f t="shared" si="154"/>
        <v>0.30890671835759997</v>
      </c>
      <c r="Y138" s="486">
        <f t="shared" si="154"/>
        <v>0.30581765117402399</v>
      </c>
      <c r="Z138" s="486">
        <f t="shared" si="154"/>
        <v>0.30275947466228376</v>
      </c>
      <c r="AA138" s="486">
        <f t="shared" si="154"/>
        <v>0.30275947466228376</v>
      </c>
      <c r="AB138" s="486">
        <f t="shared" si="154"/>
        <v>0.30275947466228376</v>
      </c>
      <c r="AC138" s="486">
        <f t="shared" si="154"/>
        <v>0.30275947466228376</v>
      </c>
      <c r="AD138" s="486">
        <f t="shared" si="154"/>
        <v>0.30275947466228376</v>
      </c>
      <c r="AE138" s="486">
        <f t="shared" si="154"/>
        <v>0.30275947466228376</v>
      </c>
      <c r="AG138" s="186" t="s">
        <v>444</v>
      </c>
    </row>
    <row r="139" spans="1:33" s="50" customFormat="1">
      <c r="B139" s="369" t="s">
        <v>436</v>
      </c>
      <c r="C139" s="158"/>
      <c r="D139" s="182"/>
      <c r="E139" s="522">
        <v>0.19400000000000001</v>
      </c>
      <c r="F139" s="523">
        <f>E139*0.997</f>
        <v>0.19341800000000001</v>
      </c>
      <c r="G139" s="523">
        <f t="shared" ref="G139:N139" si="155">F139*0.997</f>
        <v>0.192837746</v>
      </c>
      <c r="H139" s="523">
        <f t="shared" si="155"/>
        <v>0.19225923276199999</v>
      </c>
      <c r="I139" s="523">
        <f t="shared" si="155"/>
        <v>0.19168245506371398</v>
      </c>
      <c r="J139" s="523">
        <f t="shared" si="155"/>
        <v>0.19110740769852283</v>
      </c>
      <c r="K139" s="523">
        <f t="shared" si="155"/>
        <v>0.19053408547542727</v>
      </c>
      <c r="L139" s="523">
        <f t="shared" si="155"/>
        <v>0.189962483219001</v>
      </c>
      <c r="M139" s="523">
        <f t="shared" si="155"/>
        <v>0.189392595769344</v>
      </c>
      <c r="N139" s="523">
        <f t="shared" si="155"/>
        <v>0.18882441798203597</v>
      </c>
      <c r="O139" s="524">
        <f t="shared" ref="O139:U139" si="156">N139*1.01</f>
        <v>0.19071266216185634</v>
      </c>
      <c r="P139" s="524">
        <f t="shared" si="156"/>
        <v>0.19261978878347491</v>
      </c>
      <c r="Q139" s="524">
        <f t="shared" si="156"/>
        <v>0.19454598667130965</v>
      </c>
      <c r="R139" s="524">
        <f t="shared" si="156"/>
        <v>0.19649144653802275</v>
      </c>
      <c r="S139" s="524">
        <f t="shared" si="156"/>
        <v>0.19845636100340297</v>
      </c>
      <c r="T139" s="524">
        <f t="shared" si="156"/>
        <v>0.20044092461343699</v>
      </c>
      <c r="U139" s="524">
        <f t="shared" si="156"/>
        <v>0.20244533385957136</v>
      </c>
      <c r="V139" s="524">
        <f t="shared" ref="V139:AB139" si="157">U139*1.01</f>
        <v>0.20446978719816708</v>
      </c>
      <c r="W139" s="524">
        <f t="shared" si="157"/>
        <v>0.20651448507014875</v>
      </c>
      <c r="X139" s="524">
        <f t="shared" si="157"/>
        <v>0.20857962992085025</v>
      </c>
      <c r="Y139" s="524">
        <f t="shared" si="157"/>
        <v>0.21066542622005874</v>
      </c>
      <c r="Z139" s="524">
        <f t="shared" si="157"/>
        <v>0.21277208048225932</v>
      </c>
      <c r="AA139" s="524">
        <f t="shared" si="157"/>
        <v>0.21489980128708192</v>
      </c>
      <c r="AB139" s="524">
        <f t="shared" si="157"/>
        <v>0.21704879929995274</v>
      </c>
      <c r="AC139" s="524">
        <f>AB139*1.01</f>
        <v>0.21921928729295229</v>
      </c>
      <c r="AD139" s="524">
        <f>AC139*1.01</f>
        <v>0.2214114801658818</v>
      </c>
      <c r="AE139" s="524">
        <f>AD139*1.01</f>
        <v>0.22362559496754061</v>
      </c>
    </row>
    <row r="140" spans="1:33" s="50" customFormat="1">
      <c r="B140" s="369" t="s">
        <v>437</v>
      </c>
      <c r="C140" s="158"/>
      <c r="D140" s="182"/>
      <c r="E140" s="522">
        <v>8.6999999999999994E-2</v>
      </c>
      <c r="F140" s="523">
        <f>E140*0.999</f>
        <v>8.691299999999999E-2</v>
      </c>
      <c r="G140" s="523">
        <f t="shared" ref="G140:N140" si="158">F140*0.999</f>
        <v>8.6826086999999996E-2</v>
      </c>
      <c r="H140" s="523">
        <f t="shared" si="158"/>
        <v>8.6739260912999994E-2</v>
      </c>
      <c r="I140" s="523">
        <f t="shared" si="158"/>
        <v>8.6652521652086992E-2</v>
      </c>
      <c r="J140" s="523">
        <f t="shared" si="158"/>
        <v>8.6565869130434903E-2</v>
      </c>
      <c r="K140" s="523">
        <f t="shared" si="158"/>
        <v>8.6479303261304472E-2</v>
      </c>
      <c r="L140" s="523">
        <f t="shared" si="158"/>
        <v>8.6392823958043166E-2</v>
      </c>
      <c r="M140" s="523">
        <f t="shared" si="158"/>
        <v>8.6306431134085121E-2</v>
      </c>
      <c r="N140" s="523">
        <f t="shared" si="158"/>
        <v>8.622012470295104E-2</v>
      </c>
      <c r="O140" s="524">
        <f t="shared" ref="O140:U140" si="159">1-O138-O139-O144</f>
        <v>8.8661469869754428E-2</v>
      </c>
      <c r="P140" s="524">
        <f t="shared" si="159"/>
        <v>8.3037159353926304E-2</v>
      </c>
      <c r="Q140" s="524">
        <f t="shared" si="159"/>
        <v>8.5354391984717504E-2</v>
      </c>
      <c r="R140" s="524">
        <f t="shared" si="159"/>
        <v>8.7609928331444098E-2</v>
      </c>
      <c r="S140" s="524">
        <f t="shared" si="159"/>
        <v>8.3804000117369215E-2</v>
      </c>
      <c r="T140" s="524">
        <f t="shared" si="159"/>
        <v>7.9816832896127565E-2</v>
      </c>
      <c r="U140" s="524">
        <f t="shared" si="159"/>
        <v>7.564624607489745E-2</v>
      </c>
      <c r="V140" s="524">
        <f t="shared" ref="V140:AB140" si="160">1-V138-V139-V144</f>
        <v>8.0840876936957073E-2</v>
      </c>
      <c r="W140" s="524">
        <f t="shared" si="160"/>
        <v>8.5943072423624201E-2</v>
      </c>
      <c r="X140" s="524">
        <f t="shared" si="160"/>
        <v>9.0953351997984988E-2</v>
      </c>
      <c r="Y140" s="524">
        <f t="shared" si="160"/>
        <v>9.5872225879588047E-2</v>
      </c>
      <c r="Z140" s="524">
        <f t="shared" si="160"/>
        <v>0.10070019509639111</v>
      </c>
      <c r="AA140" s="524">
        <f t="shared" si="160"/>
        <v>0.10241015678915916</v>
      </c>
      <c r="AB140" s="524">
        <f t="shared" si="160"/>
        <v>0.1040604644489031</v>
      </c>
      <c r="AC140" s="524">
        <f>1-AC138-AC139-AC144</f>
        <v>0.10565128907179222</v>
      </c>
      <c r="AD140" s="524">
        <f>1-AD138-AD139-AD144</f>
        <v>0.1071827956885924</v>
      </c>
      <c r="AE140" s="524">
        <f>1-AE138-AE139-AE144</f>
        <v>0.10865514338176596</v>
      </c>
    </row>
    <row r="141" spans="1:33" s="50" customFormat="1" hidden="1" outlineLevel="1">
      <c r="B141" s="514" t="s">
        <v>463</v>
      </c>
      <c r="C141" s="515"/>
      <c r="D141" s="516"/>
      <c r="E141" s="517"/>
      <c r="F141" s="517"/>
      <c r="G141" s="517"/>
      <c r="H141" s="517"/>
      <c r="I141" s="517"/>
      <c r="J141" s="517"/>
      <c r="K141" s="517"/>
      <c r="L141" s="517"/>
      <c r="M141" s="517"/>
      <c r="N141" s="518">
        <f>N142*0.7</f>
        <v>0.3030712542636661</v>
      </c>
      <c r="O141" s="518">
        <f t="shared" ref="O141:AE141" si="161">O142*0.7</f>
        <v>0.30004054172102945</v>
      </c>
      <c r="P141" s="518">
        <f t="shared" si="161"/>
        <v>0.29704013630381915</v>
      </c>
      <c r="Q141" s="518">
        <f t="shared" si="161"/>
        <v>0.29406973494078098</v>
      </c>
      <c r="R141" s="518">
        <f t="shared" si="161"/>
        <v>0.29112903759137315</v>
      </c>
      <c r="S141" s="518">
        <f t="shared" si="161"/>
        <v>0.2882177472154594</v>
      </c>
      <c r="T141" s="518">
        <f t="shared" si="161"/>
        <v>0.28533556974330482</v>
      </c>
      <c r="U141" s="518">
        <f t="shared" si="161"/>
        <v>0.28248221404587176</v>
      </c>
      <c r="V141" s="518">
        <f t="shared" si="161"/>
        <v>0.27965739190541306</v>
      </c>
      <c r="W141" s="518">
        <f t="shared" si="161"/>
        <v>0.27686081798635892</v>
      </c>
      <c r="X141" s="518">
        <f t="shared" si="161"/>
        <v>0.27409220980649535</v>
      </c>
      <c r="Y141" s="518">
        <f t="shared" si="161"/>
        <v>0.27135128770843042</v>
      </c>
      <c r="Z141" s="518">
        <f t="shared" si="161"/>
        <v>0.2686377748313461</v>
      </c>
      <c r="AA141" s="518">
        <f t="shared" si="161"/>
        <v>0.26595139708303261</v>
      </c>
      <c r="AB141" s="518">
        <f t="shared" si="161"/>
        <v>0.26329188311220231</v>
      </c>
      <c r="AC141" s="518">
        <f t="shared" si="161"/>
        <v>0.26065896428108026</v>
      </c>
      <c r="AD141" s="518">
        <f t="shared" si="161"/>
        <v>0.25805237463826947</v>
      </c>
      <c r="AE141" s="518">
        <f t="shared" si="161"/>
        <v>0.25547185089188679</v>
      </c>
    </row>
    <row r="142" spans="1:33" s="50" customFormat="1" hidden="1" outlineLevel="1">
      <c r="B142" s="514" t="s">
        <v>461</v>
      </c>
      <c r="C142" s="515"/>
      <c r="D142" s="516"/>
      <c r="E142" s="517"/>
      <c r="F142" s="517"/>
      <c r="G142" s="517"/>
      <c r="H142" s="517"/>
      <c r="I142" s="517"/>
      <c r="J142" s="517"/>
      <c r="K142" s="517"/>
      <c r="L142" s="517"/>
      <c r="M142" s="518"/>
      <c r="N142" s="518">
        <f>1-N140-N139-N138</f>
        <v>0.43295893466238017</v>
      </c>
      <c r="O142" s="518">
        <f>N142*0.99</f>
        <v>0.42862934531575636</v>
      </c>
      <c r="P142" s="518">
        <f t="shared" ref="P142:AE142" si="162">O142*0.99</f>
        <v>0.4243430518625988</v>
      </c>
      <c r="Q142" s="518">
        <f t="shared" si="162"/>
        <v>0.42009962134397283</v>
      </c>
      <c r="R142" s="518">
        <f t="shared" si="162"/>
        <v>0.41589862513053311</v>
      </c>
      <c r="S142" s="518">
        <f t="shared" si="162"/>
        <v>0.41173963887922777</v>
      </c>
      <c r="T142" s="518">
        <f t="shared" si="162"/>
        <v>0.40762224249043549</v>
      </c>
      <c r="U142" s="518">
        <f t="shared" si="162"/>
        <v>0.40354602006553114</v>
      </c>
      <c r="V142" s="518">
        <f t="shared" si="162"/>
        <v>0.39951055986487582</v>
      </c>
      <c r="W142" s="518">
        <f t="shared" si="162"/>
        <v>0.39551545426622708</v>
      </c>
      <c r="X142" s="518">
        <f t="shared" si="162"/>
        <v>0.39156029972356482</v>
      </c>
      <c r="Y142" s="518">
        <f t="shared" si="162"/>
        <v>0.38764469672632917</v>
      </c>
      <c r="Z142" s="518">
        <f t="shared" si="162"/>
        <v>0.38376824975906587</v>
      </c>
      <c r="AA142" s="518">
        <f t="shared" si="162"/>
        <v>0.37993056726147523</v>
      </c>
      <c r="AB142" s="518">
        <f t="shared" si="162"/>
        <v>0.37613126158886045</v>
      </c>
      <c r="AC142" s="518">
        <f t="shared" si="162"/>
        <v>0.37236994897297182</v>
      </c>
      <c r="AD142" s="518">
        <f t="shared" si="162"/>
        <v>0.36864624948324209</v>
      </c>
      <c r="AE142" s="518">
        <f t="shared" si="162"/>
        <v>0.3649597869884097</v>
      </c>
    </row>
    <row r="143" spans="1:33" s="50" customFormat="1" hidden="1" outlineLevel="1">
      <c r="B143" s="514" t="s">
        <v>462</v>
      </c>
      <c r="C143" s="515"/>
      <c r="D143" s="516"/>
      <c r="E143" s="517"/>
      <c r="F143" s="517"/>
      <c r="G143" s="517"/>
      <c r="H143" s="517"/>
      <c r="I143" s="517"/>
      <c r="J143" s="517"/>
      <c r="K143" s="517"/>
      <c r="L143" s="517"/>
      <c r="M143" s="517"/>
      <c r="N143" s="518">
        <f>N142</f>
        <v>0.43295893466238017</v>
      </c>
      <c r="O143" s="518">
        <f t="shared" ref="O143:AE143" si="163">O142</f>
        <v>0.42862934531575636</v>
      </c>
      <c r="P143" s="518">
        <f t="shared" si="163"/>
        <v>0.4243430518625988</v>
      </c>
      <c r="Q143" s="518">
        <f t="shared" si="163"/>
        <v>0.42009962134397283</v>
      </c>
      <c r="R143" s="518">
        <f t="shared" si="163"/>
        <v>0.41589862513053311</v>
      </c>
      <c r="S143" s="518">
        <f t="shared" si="163"/>
        <v>0.41173963887922777</v>
      </c>
      <c r="T143" s="518">
        <f t="shared" si="163"/>
        <v>0.40762224249043549</v>
      </c>
      <c r="U143" s="518">
        <f t="shared" si="163"/>
        <v>0.40354602006553114</v>
      </c>
      <c r="V143" s="518">
        <f t="shared" si="163"/>
        <v>0.39951055986487582</v>
      </c>
      <c r="W143" s="518">
        <f t="shared" si="163"/>
        <v>0.39551545426622708</v>
      </c>
      <c r="X143" s="518">
        <f t="shared" si="163"/>
        <v>0.39156029972356482</v>
      </c>
      <c r="Y143" s="518">
        <f t="shared" si="163"/>
        <v>0.38764469672632917</v>
      </c>
      <c r="Z143" s="518">
        <f t="shared" si="163"/>
        <v>0.38376824975906587</v>
      </c>
      <c r="AA143" s="518">
        <f t="shared" si="163"/>
        <v>0.37993056726147523</v>
      </c>
      <c r="AB143" s="518">
        <f t="shared" si="163"/>
        <v>0.37613126158886045</v>
      </c>
      <c r="AC143" s="518">
        <f t="shared" si="163"/>
        <v>0.37236994897297182</v>
      </c>
      <c r="AD143" s="518">
        <f t="shared" si="163"/>
        <v>0.36864624948324209</v>
      </c>
      <c r="AE143" s="518">
        <f t="shared" si="163"/>
        <v>0.3649597869884097</v>
      </c>
    </row>
    <row r="144" spans="1:33" s="50" customFormat="1" collapsed="1">
      <c r="A144" s="485" t="s">
        <v>78</v>
      </c>
      <c r="B144" s="514" t="s">
        <v>438</v>
      </c>
      <c r="C144" s="515"/>
      <c r="D144" s="1222"/>
      <c r="E144" s="518">
        <f>1-E140-E139-E138</f>
        <v>0.41900000000000009</v>
      </c>
      <c r="F144" s="518">
        <f t="shared" ref="F144:M144" si="164">1-F140-F139-F138</f>
        <v>0.42056900000000003</v>
      </c>
      <c r="G144" s="518">
        <f t="shared" si="164"/>
        <v>0.42213346700000004</v>
      </c>
      <c r="H144" s="518">
        <f t="shared" si="164"/>
        <v>0.42369341442500008</v>
      </c>
      <c r="I144" s="518">
        <f t="shared" si="164"/>
        <v>0.42524885565989906</v>
      </c>
      <c r="J144" s="518">
        <f t="shared" si="164"/>
        <v>0.42679980404961515</v>
      </c>
      <c r="K144" s="518">
        <f t="shared" si="164"/>
        <v>0.42834627289920552</v>
      </c>
      <c r="L144" s="518">
        <f t="shared" si="164"/>
        <v>0.42988827547398534</v>
      </c>
      <c r="M144" s="518">
        <f t="shared" si="164"/>
        <v>0.43142582499964732</v>
      </c>
      <c r="N144" s="486">
        <f t="shared" ref="N144:AD144" si="165">CHOOSE($J$1,N141,N142,N143)</f>
        <v>0.43295893466238017</v>
      </c>
      <c r="O144" s="486">
        <f t="shared" si="165"/>
        <v>0.42862934531575636</v>
      </c>
      <c r="P144" s="486">
        <f t="shared" si="165"/>
        <v>0.4243430518625988</v>
      </c>
      <c r="Q144" s="486">
        <f t="shared" si="165"/>
        <v>0.42009962134397283</v>
      </c>
      <c r="R144" s="486">
        <f t="shared" si="165"/>
        <v>0.41589862513053311</v>
      </c>
      <c r="S144" s="486">
        <f t="shared" si="165"/>
        <v>0.41173963887922777</v>
      </c>
      <c r="T144" s="486">
        <f t="shared" si="165"/>
        <v>0.40762224249043549</v>
      </c>
      <c r="U144" s="486">
        <f t="shared" si="165"/>
        <v>0.40354602006553114</v>
      </c>
      <c r="V144" s="486">
        <f t="shared" si="165"/>
        <v>0.39951055986487582</v>
      </c>
      <c r="W144" s="486">
        <f t="shared" si="165"/>
        <v>0.39551545426622708</v>
      </c>
      <c r="X144" s="486">
        <f t="shared" si="165"/>
        <v>0.39156029972356482</v>
      </c>
      <c r="Y144" s="486">
        <f t="shared" si="165"/>
        <v>0.38764469672632917</v>
      </c>
      <c r="Z144" s="486">
        <f t="shared" si="165"/>
        <v>0.38376824975906587</v>
      </c>
      <c r="AA144" s="486">
        <f t="shared" si="165"/>
        <v>0.37993056726147523</v>
      </c>
      <c r="AB144" s="486">
        <f t="shared" si="165"/>
        <v>0.37613126158886045</v>
      </c>
      <c r="AC144" s="486">
        <f t="shared" si="165"/>
        <v>0.37236994897297182</v>
      </c>
      <c r="AD144" s="486">
        <f t="shared" si="165"/>
        <v>0.36864624948324209</v>
      </c>
      <c r="AE144" s="486">
        <f t="shared" ref="AE144" si="166">CHOOSE($J$1,AE141,AE142,AE143)</f>
        <v>0.3649597869884097</v>
      </c>
    </row>
    <row r="145" spans="1:31" s="50" customFormat="1">
      <c r="B145" s="158"/>
      <c r="C145" s="158"/>
      <c r="D145" s="182"/>
      <c r="E145" s="182"/>
      <c r="F145" s="182"/>
      <c r="G145" s="182"/>
      <c r="H145" s="182"/>
      <c r="I145" s="182"/>
      <c r="J145" s="182"/>
      <c r="K145" s="182"/>
      <c r="L145" s="182"/>
      <c r="M145" s="182"/>
      <c r="N145" s="182"/>
      <c r="O145" s="182"/>
      <c r="P145" s="182"/>
      <c r="Q145" s="182"/>
      <c r="R145" s="182"/>
      <c r="S145" s="182"/>
      <c r="T145" s="182"/>
      <c r="U145" s="182"/>
      <c r="V145" s="764"/>
      <c r="W145" s="764"/>
      <c r="X145" s="764"/>
      <c r="Y145" s="764"/>
      <c r="Z145" s="764"/>
      <c r="AA145" s="764"/>
      <c r="AB145" s="764"/>
      <c r="AC145" s="764"/>
      <c r="AD145" s="764"/>
      <c r="AE145" s="764"/>
    </row>
    <row r="146" spans="1:31" s="50" customFormat="1">
      <c r="B146" s="473" t="s">
        <v>445</v>
      </c>
      <c r="C146" s="473"/>
      <c r="D146" s="473"/>
      <c r="E146" s="473"/>
      <c r="F146" s="473"/>
      <c r="G146" s="473"/>
      <c r="H146" s="473"/>
      <c r="I146" s="473"/>
      <c r="J146" s="473"/>
      <c r="K146" s="473"/>
      <c r="L146" s="473"/>
      <c r="M146" s="473"/>
      <c r="N146" s="473"/>
      <c r="O146" s="473"/>
      <c r="P146" s="473"/>
      <c r="Q146" s="473"/>
      <c r="R146" s="473"/>
      <c r="S146" s="473"/>
      <c r="T146" s="473"/>
      <c r="U146" s="473"/>
      <c r="V146" s="757"/>
      <c r="W146" s="757"/>
      <c r="X146" s="757"/>
      <c r="Y146" s="757"/>
      <c r="Z146" s="757"/>
      <c r="AA146" s="757"/>
      <c r="AB146" s="757"/>
      <c r="AC146" s="757"/>
      <c r="AD146" s="757"/>
      <c r="AE146" s="757"/>
    </row>
    <row r="147" spans="1:31" ht="12.75" customHeight="1">
      <c r="B147" s="359" t="s">
        <v>364</v>
      </c>
      <c r="C147" s="10"/>
      <c r="D147" s="371"/>
    </row>
    <row r="148" spans="1:31" ht="12.75" customHeight="1">
      <c r="B148" s="492" t="s">
        <v>446</v>
      </c>
      <c r="C148" s="11"/>
      <c r="D148" s="371"/>
      <c r="J148" s="475">
        <v>0.45</v>
      </c>
      <c r="K148" s="475">
        <v>0.58499999999999996</v>
      </c>
      <c r="L148" s="475">
        <v>0.5</v>
      </c>
      <c r="M148" s="475">
        <v>0.42499999999999999</v>
      </c>
      <c r="N148" s="475">
        <v>0.38</v>
      </c>
      <c r="O148" s="123">
        <f>N148*0.875</f>
        <v>0.33250000000000002</v>
      </c>
      <c r="P148" s="123">
        <f>O148*1.025</f>
        <v>0.34081249999999996</v>
      </c>
      <c r="Q148" s="123">
        <f>P148*1.3</f>
        <v>0.44305624999999998</v>
      </c>
      <c r="R148" s="123">
        <v>0.47</v>
      </c>
      <c r="S148" s="123">
        <f t="shared" ref="S148:AE148" si="167">R148*1.025</f>
        <v>0.48174999999999996</v>
      </c>
      <c r="T148" s="123">
        <f t="shared" si="167"/>
        <v>0.49379374999999992</v>
      </c>
      <c r="U148" s="123">
        <f t="shared" si="167"/>
        <v>0.50613859374999992</v>
      </c>
      <c r="V148" s="123">
        <f t="shared" si="167"/>
        <v>0.51879205859374988</v>
      </c>
      <c r="W148" s="123">
        <f t="shared" si="167"/>
        <v>0.53176186005859361</v>
      </c>
      <c r="X148" s="123">
        <f t="shared" si="167"/>
        <v>0.54505590656005842</v>
      </c>
      <c r="Y148" s="123">
        <f t="shared" si="167"/>
        <v>0.55868230422405984</v>
      </c>
      <c r="Z148" s="123">
        <f t="shared" si="167"/>
        <v>0.57264936182966131</v>
      </c>
      <c r="AA148" s="123">
        <f t="shared" si="167"/>
        <v>0.58696559587540276</v>
      </c>
      <c r="AB148" s="123">
        <f t="shared" si="167"/>
        <v>0.6016397357722878</v>
      </c>
      <c r="AC148" s="123">
        <f t="shared" si="167"/>
        <v>0.61668072916659489</v>
      </c>
      <c r="AD148" s="123">
        <f t="shared" si="167"/>
        <v>0.63209774739575975</v>
      </c>
      <c r="AE148" s="123">
        <f t="shared" si="167"/>
        <v>0.64790019108065366</v>
      </c>
    </row>
    <row r="149" spans="1:31" ht="12.75" hidden="1" customHeight="1" outlineLevel="1">
      <c r="B149" s="770" t="s">
        <v>463</v>
      </c>
      <c r="C149" s="490"/>
      <c r="D149" s="482"/>
      <c r="E149" s="481"/>
      <c r="F149" s="481"/>
      <c r="G149" s="481"/>
      <c r="H149" s="481"/>
      <c r="I149" s="481"/>
      <c r="J149" s="481"/>
      <c r="K149" s="481"/>
      <c r="L149" s="481"/>
      <c r="M149" s="481"/>
      <c r="N149" s="481"/>
      <c r="O149" s="481"/>
      <c r="P149" s="526">
        <f t="shared" ref="P149:AA149" si="168">P150*1.5</f>
        <v>0.13500000000000001</v>
      </c>
      <c r="Q149" s="526">
        <f t="shared" si="168"/>
        <v>0.15000000000000002</v>
      </c>
      <c r="R149" s="526">
        <f t="shared" si="168"/>
        <v>0.16500000000000001</v>
      </c>
      <c r="S149" s="526">
        <f t="shared" si="168"/>
        <v>0.18</v>
      </c>
      <c r="T149" s="526">
        <f t="shared" si="168"/>
        <v>0.19350000000000001</v>
      </c>
      <c r="U149" s="526">
        <f t="shared" si="168"/>
        <v>0.20801249999999999</v>
      </c>
      <c r="V149" s="526">
        <f t="shared" si="168"/>
        <v>0.22361343749999998</v>
      </c>
      <c r="W149" s="526">
        <f t="shared" si="168"/>
        <v>0.24038444531249997</v>
      </c>
      <c r="X149" s="526">
        <f t="shared" si="168"/>
        <v>0.24639405644531248</v>
      </c>
      <c r="Y149" s="526">
        <f t="shared" si="168"/>
        <v>0.25255390785644527</v>
      </c>
      <c r="Z149" s="526">
        <f t="shared" si="168"/>
        <v>0.25886775555285635</v>
      </c>
      <c r="AA149" s="526">
        <f t="shared" si="168"/>
        <v>0.26533944944167775</v>
      </c>
      <c r="AB149" s="526">
        <f>AB150*1.5</f>
        <v>0.27197293567771963</v>
      </c>
      <c r="AC149" s="526">
        <f>AC150*1.5</f>
        <v>0.27877225906966263</v>
      </c>
      <c r="AD149" s="526">
        <f>AD150*1.5</f>
        <v>0.28574156554640417</v>
      </c>
      <c r="AE149" s="526">
        <f>AE150*1.5</f>
        <v>0.29288510468506423</v>
      </c>
    </row>
    <row r="150" spans="1:31" ht="12.75" hidden="1" customHeight="1" outlineLevel="1">
      <c r="B150" s="770" t="s">
        <v>461</v>
      </c>
      <c r="C150" s="490"/>
      <c r="D150" s="482"/>
      <c r="E150" s="481"/>
      <c r="F150" s="481"/>
      <c r="G150" s="481"/>
      <c r="H150" s="481"/>
      <c r="I150" s="481"/>
      <c r="J150" s="481"/>
      <c r="K150" s="481"/>
      <c r="L150" s="481"/>
      <c r="M150" s="481"/>
      <c r="N150" s="481"/>
      <c r="O150" s="481"/>
      <c r="P150" s="484">
        <v>0.09</v>
      </c>
      <c r="Q150" s="484">
        <v>0.1</v>
      </c>
      <c r="R150" s="484">
        <v>0.11</v>
      </c>
      <c r="S150" s="484">
        <v>0.12</v>
      </c>
      <c r="T150" s="489">
        <f>S150*1.075</f>
        <v>0.129</v>
      </c>
      <c r="U150" s="489">
        <f t="shared" ref="U150:W150" si="169">T150*1.075</f>
        <v>0.13867499999999999</v>
      </c>
      <c r="V150" s="489">
        <f t="shared" si="169"/>
        <v>0.14907562499999999</v>
      </c>
      <c r="W150" s="489">
        <f t="shared" si="169"/>
        <v>0.16025629687499998</v>
      </c>
      <c r="X150" s="489">
        <f>W150*1.025</f>
        <v>0.16426270429687498</v>
      </c>
      <c r="Y150" s="489">
        <f t="shared" ref="Y150:AE150" si="170">X150*1.025</f>
        <v>0.16836927190429685</v>
      </c>
      <c r="Z150" s="489">
        <f t="shared" si="170"/>
        <v>0.17257850370190425</v>
      </c>
      <c r="AA150" s="489">
        <f t="shared" si="170"/>
        <v>0.17689296629445184</v>
      </c>
      <c r="AB150" s="489">
        <f t="shared" si="170"/>
        <v>0.1813152904518131</v>
      </c>
      <c r="AC150" s="489">
        <f t="shared" si="170"/>
        <v>0.18584817271310841</v>
      </c>
      <c r="AD150" s="489">
        <f t="shared" si="170"/>
        <v>0.19049437703093611</v>
      </c>
      <c r="AE150" s="489">
        <f t="shared" si="170"/>
        <v>0.19525673645670949</v>
      </c>
    </row>
    <row r="151" spans="1:31" ht="12.75" hidden="1" customHeight="1" outlineLevel="1">
      <c r="B151" s="770" t="s">
        <v>462</v>
      </c>
      <c r="C151" s="490"/>
      <c r="D151" s="482"/>
      <c r="E151" s="481"/>
      <c r="F151" s="481"/>
      <c r="G151" s="481"/>
      <c r="H151" s="481"/>
      <c r="I151" s="481"/>
      <c r="J151" s="481"/>
      <c r="K151" s="481"/>
      <c r="L151" s="481"/>
      <c r="M151" s="481"/>
      <c r="N151" s="481"/>
      <c r="O151" s="481"/>
      <c r="P151" s="484">
        <v>0</v>
      </c>
      <c r="Q151" s="526">
        <f>P151</f>
        <v>0</v>
      </c>
      <c r="R151" s="526">
        <f>Q151</f>
        <v>0</v>
      </c>
      <c r="S151" s="526">
        <f>R151</f>
        <v>0</v>
      </c>
      <c r="T151" s="526">
        <f>S151</f>
        <v>0</v>
      </c>
      <c r="U151" s="526">
        <f>T151</f>
        <v>0</v>
      </c>
      <c r="V151" s="526">
        <f t="shared" ref="V151:AA151" si="171">U151</f>
        <v>0</v>
      </c>
      <c r="W151" s="526">
        <f t="shared" si="171"/>
        <v>0</v>
      </c>
      <c r="X151" s="526">
        <f t="shared" si="171"/>
        <v>0</v>
      </c>
      <c r="Y151" s="526">
        <f t="shared" si="171"/>
        <v>0</v>
      </c>
      <c r="Z151" s="526">
        <f t="shared" si="171"/>
        <v>0</v>
      </c>
      <c r="AA151" s="526">
        <f t="shared" si="171"/>
        <v>0</v>
      </c>
      <c r="AB151" s="526">
        <f>AA151</f>
        <v>0</v>
      </c>
      <c r="AC151" s="526">
        <f>AB151</f>
        <v>0</v>
      </c>
      <c r="AD151" s="526">
        <f>AC151</f>
        <v>0</v>
      </c>
      <c r="AE151" s="526">
        <f>AD151</f>
        <v>0</v>
      </c>
    </row>
    <row r="152" spans="1:31" ht="12.75" customHeight="1" collapsed="1">
      <c r="A152" s="485" t="s">
        <v>78</v>
      </c>
      <c r="B152" s="487" t="s">
        <v>447</v>
      </c>
      <c r="C152" s="490"/>
      <c r="D152" s="482"/>
      <c r="E152" s="481"/>
      <c r="F152" s="481"/>
      <c r="G152" s="481"/>
      <c r="H152" s="481"/>
      <c r="I152" s="481"/>
      <c r="J152" s="481"/>
      <c r="K152" s="481"/>
      <c r="L152" s="481"/>
      <c r="M152" s="481"/>
      <c r="N152" s="481"/>
      <c r="O152" s="481"/>
      <c r="P152" s="486">
        <f t="shared" ref="P152:AB152" si="172">CHOOSE($J$1,P149,P150,P151)</f>
        <v>0.09</v>
      </c>
      <c r="Q152" s="486">
        <f t="shared" si="172"/>
        <v>0.1</v>
      </c>
      <c r="R152" s="486">
        <f t="shared" si="172"/>
        <v>0.11</v>
      </c>
      <c r="S152" s="486">
        <f t="shared" si="172"/>
        <v>0.12</v>
      </c>
      <c r="T152" s="486">
        <f t="shared" si="172"/>
        <v>0.129</v>
      </c>
      <c r="U152" s="486">
        <f t="shared" si="172"/>
        <v>0.13867499999999999</v>
      </c>
      <c r="V152" s="486">
        <f t="shared" si="172"/>
        <v>0.14907562499999999</v>
      </c>
      <c r="W152" s="486">
        <f t="shared" si="172"/>
        <v>0.16025629687499998</v>
      </c>
      <c r="X152" s="486">
        <f t="shared" si="172"/>
        <v>0.16426270429687498</v>
      </c>
      <c r="Y152" s="486">
        <f t="shared" si="172"/>
        <v>0.16836927190429685</v>
      </c>
      <c r="Z152" s="486">
        <f t="shared" si="172"/>
        <v>0.17257850370190425</v>
      </c>
      <c r="AA152" s="486">
        <f t="shared" si="172"/>
        <v>0.17689296629445184</v>
      </c>
      <c r="AB152" s="486">
        <f t="shared" si="172"/>
        <v>0.1813152904518131</v>
      </c>
      <c r="AC152" s="486">
        <f>CHOOSE($J$1,AC149,AC150,AC151)</f>
        <v>0.18584817271310841</v>
      </c>
      <c r="AD152" s="486">
        <f>CHOOSE($J$1,AD149,AD150,AD151)</f>
        <v>0.19049437703093611</v>
      </c>
      <c r="AE152" s="486">
        <f>CHOOSE($J$1,AE149,AE150,AE151)</f>
        <v>0.19525673645670949</v>
      </c>
    </row>
    <row r="153" spans="1:31" ht="12.75" hidden="1" customHeight="1" outlineLevel="1">
      <c r="B153" s="770" t="s">
        <v>463</v>
      </c>
      <c r="C153" s="490"/>
      <c r="D153" s="482"/>
      <c r="E153" s="481"/>
      <c r="F153" s="481"/>
      <c r="G153" s="481"/>
      <c r="H153" s="481"/>
      <c r="I153" s="481"/>
      <c r="J153" s="481"/>
      <c r="K153" s="481"/>
      <c r="L153" s="481"/>
      <c r="M153" s="481"/>
      <c r="N153" s="481"/>
      <c r="O153" s="481"/>
      <c r="P153" s="526">
        <f>P154*1.5</f>
        <v>4.4999999999999998E-2</v>
      </c>
      <c r="Q153" s="526">
        <f>Q154*1.5</f>
        <v>0.09</v>
      </c>
      <c r="R153" s="526">
        <f>R154*1.6</f>
        <v>0.11200000000000002</v>
      </c>
      <c r="S153" s="526">
        <f>S154*1.7</f>
        <v>0.13090000000000002</v>
      </c>
      <c r="T153" s="526">
        <f>T154*1.8</f>
        <v>0.15246000000000004</v>
      </c>
      <c r="U153" s="526">
        <f>U154*1.9</f>
        <v>0.17702300000000004</v>
      </c>
      <c r="V153" s="526">
        <f t="shared" ref="V153:AE153" si="173">V154*1.9</f>
        <v>0.19472530000000007</v>
      </c>
      <c r="W153" s="526">
        <f t="shared" si="173"/>
        <v>0.21419783000000009</v>
      </c>
      <c r="X153" s="526">
        <f t="shared" si="173"/>
        <v>0.23561761300000011</v>
      </c>
      <c r="Y153" s="526">
        <f t="shared" si="173"/>
        <v>0.2591793743000001</v>
      </c>
      <c r="Z153" s="526">
        <f t="shared" si="173"/>
        <v>0.28509731173000014</v>
      </c>
      <c r="AA153" s="526">
        <f t="shared" si="173"/>
        <v>0.31360704290300012</v>
      </c>
      <c r="AB153" s="526">
        <f t="shared" si="173"/>
        <v>0.3449677471933002</v>
      </c>
      <c r="AC153" s="526">
        <f t="shared" si="173"/>
        <v>0.37946452191263025</v>
      </c>
      <c r="AD153" s="526">
        <f t="shared" si="173"/>
        <v>0.41741097410389327</v>
      </c>
      <c r="AE153" s="526">
        <f t="shared" si="173"/>
        <v>0.45915207151428267</v>
      </c>
    </row>
    <row r="154" spans="1:31" ht="12.75" hidden="1" customHeight="1" outlineLevel="1">
      <c r="B154" s="770" t="s">
        <v>461</v>
      </c>
      <c r="C154" s="490"/>
      <c r="D154" s="482"/>
      <c r="E154" s="481"/>
      <c r="F154" s="481"/>
      <c r="G154" s="481"/>
      <c r="H154" s="481"/>
      <c r="I154" s="481"/>
      <c r="J154" s="481"/>
      <c r="K154" s="481"/>
      <c r="L154" s="481"/>
      <c r="M154" s="481"/>
      <c r="N154" s="481"/>
      <c r="O154" s="481"/>
      <c r="P154" s="484">
        <v>0.03</v>
      </c>
      <c r="Q154" s="484">
        <v>0.06</v>
      </c>
      <c r="R154" s="484">
        <v>7.0000000000000007E-2</v>
      </c>
      <c r="S154" s="489">
        <f>R154*1.1</f>
        <v>7.7000000000000013E-2</v>
      </c>
      <c r="T154" s="489">
        <f>S154*1.1</f>
        <v>8.4700000000000025E-2</v>
      </c>
      <c r="U154" s="489">
        <f>T154*1.1</f>
        <v>9.3170000000000031E-2</v>
      </c>
      <c r="V154" s="489">
        <f t="shared" ref="V154:AB154" si="174">U154*1.1</f>
        <v>0.10248700000000004</v>
      </c>
      <c r="W154" s="489">
        <f t="shared" si="174"/>
        <v>0.11273570000000005</v>
      </c>
      <c r="X154" s="489">
        <f t="shared" si="174"/>
        <v>0.12400927000000006</v>
      </c>
      <c r="Y154" s="489">
        <f t="shared" si="174"/>
        <v>0.13641019700000007</v>
      </c>
      <c r="Z154" s="489">
        <f t="shared" si="174"/>
        <v>0.15005121670000007</v>
      </c>
      <c r="AA154" s="489">
        <f t="shared" si="174"/>
        <v>0.16505633837000008</v>
      </c>
      <c r="AB154" s="489">
        <f t="shared" si="174"/>
        <v>0.1815619722070001</v>
      </c>
      <c r="AC154" s="489">
        <f>AB154*1.1</f>
        <v>0.19971816942770013</v>
      </c>
      <c r="AD154" s="489">
        <f>AC154*1.1</f>
        <v>0.21968998637047016</v>
      </c>
      <c r="AE154" s="489">
        <f>AD154*1.1</f>
        <v>0.2416589850075172</v>
      </c>
    </row>
    <row r="155" spans="1:31" ht="12.75" hidden="1" customHeight="1" outlineLevel="1">
      <c r="B155" s="770" t="s">
        <v>462</v>
      </c>
      <c r="C155" s="490"/>
      <c r="D155" s="482"/>
      <c r="E155" s="481"/>
      <c r="F155" s="481"/>
      <c r="G155" s="481"/>
      <c r="H155" s="481"/>
      <c r="I155" s="481"/>
      <c r="J155" s="481"/>
      <c r="K155" s="481"/>
      <c r="L155" s="481"/>
      <c r="M155" s="481"/>
      <c r="N155" s="481"/>
      <c r="O155" s="481"/>
      <c r="P155" s="526">
        <f t="shared" ref="P155:U155" si="175">P154*0.75</f>
        <v>2.2499999999999999E-2</v>
      </c>
      <c r="Q155" s="526">
        <f t="shared" si="175"/>
        <v>4.4999999999999998E-2</v>
      </c>
      <c r="R155" s="526">
        <f t="shared" si="175"/>
        <v>5.2500000000000005E-2</v>
      </c>
      <c r="S155" s="526">
        <f t="shared" si="175"/>
        <v>5.775000000000001E-2</v>
      </c>
      <c r="T155" s="526">
        <f t="shared" si="175"/>
        <v>6.3525000000000026E-2</v>
      </c>
      <c r="U155" s="526">
        <f t="shared" si="175"/>
        <v>6.9877500000000023E-2</v>
      </c>
      <c r="V155" s="526">
        <f t="shared" ref="V155:AB155" si="176">V154*0.75</f>
        <v>7.6865250000000024E-2</v>
      </c>
      <c r="W155" s="526">
        <f t="shared" si="176"/>
        <v>8.4551775000000037E-2</v>
      </c>
      <c r="X155" s="526">
        <f t="shared" si="176"/>
        <v>9.3006952500000045E-2</v>
      </c>
      <c r="Y155" s="526">
        <f t="shared" si="176"/>
        <v>0.10230764775000005</v>
      </c>
      <c r="Z155" s="526">
        <f t="shared" si="176"/>
        <v>0.11253841252500005</v>
      </c>
      <c r="AA155" s="526">
        <f t="shared" si="176"/>
        <v>0.12379225377750006</v>
      </c>
      <c r="AB155" s="526">
        <f t="shared" si="176"/>
        <v>0.13617147915525007</v>
      </c>
      <c r="AC155" s="526">
        <f>AC154*0.75</f>
        <v>0.14978862707077509</v>
      </c>
      <c r="AD155" s="526">
        <f>AD154*0.75</f>
        <v>0.1647674897778526</v>
      </c>
      <c r="AE155" s="526">
        <f>AE154*0.75</f>
        <v>0.18124423875563789</v>
      </c>
    </row>
    <row r="156" spans="1:31" ht="12.75" customHeight="1" collapsed="1">
      <c r="A156" s="485" t="s">
        <v>78</v>
      </c>
      <c r="B156" s="487" t="s">
        <v>448</v>
      </c>
      <c r="C156" s="490"/>
      <c r="D156" s="482"/>
      <c r="E156" s="481"/>
      <c r="F156" s="481"/>
      <c r="G156" s="481"/>
      <c r="H156" s="481"/>
      <c r="I156" s="481"/>
      <c r="J156" s="481"/>
      <c r="K156" s="481"/>
      <c r="L156" s="481"/>
      <c r="M156" s="481"/>
      <c r="N156" s="481"/>
      <c r="O156" s="481"/>
      <c r="P156" s="486">
        <f t="shared" ref="P156:AB156" si="177">CHOOSE($J$1,P153,P154,P155)</f>
        <v>0.03</v>
      </c>
      <c r="Q156" s="486">
        <f t="shared" si="177"/>
        <v>0.06</v>
      </c>
      <c r="R156" s="486">
        <f t="shared" si="177"/>
        <v>7.0000000000000007E-2</v>
      </c>
      <c r="S156" s="486">
        <f t="shared" si="177"/>
        <v>7.7000000000000013E-2</v>
      </c>
      <c r="T156" s="486">
        <f t="shared" si="177"/>
        <v>8.4700000000000025E-2</v>
      </c>
      <c r="U156" s="486">
        <f t="shared" si="177"/>
        <v>9.3170000000000031E-2</v>
      </c>
      <c r="V156" s="486">
        <f t="shared" si="177"/>
        <v>0.10248700000000004</v>
      </c>
      <c r="W156" s="486">
        <f t="shared" si="177"/>
        <v>0.11273570000000005</v>
      </c>
      <c r="X156" s="486">
        <f t="shared" si="177"/>
        <v>0.12400927000000006</v>
      </c>
      <c r="Y156" s="486">
        <f t="shared" si="177"/>
        <v>0.13641019700000007</v>
      </c>
      <c r="Z156" s="486">
        <f t="shared" si="177"/>
        <v>0.15005121670000007</v>
      </c>
      <c r="AA156" s="486">
        <f t="shared" si="177"/>
        <v>0.16505633837000008</v>
      </c>
      <c r="AB156" s="486">
        <f t="shared" si="177"/>
        <v>0.1815619722070001</v>
      </c>
      <c r="AC156" s="486">
        <f>CHOOSE($J$1,AC153,AC154,AC155)</f>
        <v>0.19971816942770013</v>
      </c>
      <c r="AD156" s="486">
        <f>CHOOSE($J$1,AD153,AD154,AD155)</f>
        <v>0.21968998637047016</v>
      </c>
      <c r="AE156" s="486">
        <f>CHOOSE($J$1,AE153,AE154,AE155)</f>
        <v>0.2416589850075172</v>
      </c>
    </row>
    <row r="157" spans="1:31" ht="12.75" customHeight="1">
      <c r="B157" s="492" t="s">
        <v>449</v>
      </c>
      <c r="C157" s="11"/>
      <c r="D157" s="371"/>
    </row>
    <row r="158" spans="1:31" ht="12.75" customHeight="1">
      <c r="D158" s="371"/>
    </row>
    <row r="159" spans="1:31" ht="12.75" customHeight="1">
      <c r="B159" s="359" t="s">
        <v>420</v>
      </c>
      <c r="C159" s="10"/>
      <c r="D159" s="371"/>
      <c r="E159" s="5">
        <f t="shared" ref="E159:AE159" si="178">E134*E138</f>
        <v>12654.746254294581</v>
      </c>
      <c r="F159" s="5">
        <f t="shared" si="178"/>
        <v>12899.547873037651</v>
      </c>
      <c r="G159" s="5">
        <f t="shared" si="178"/>
        <v>13569.452589010793</v>
      </c>
      <c r="H159" s="5">
        <f t="shared" si="178"/>
        <v>13988.790363313665</v>
      </c>
      <c r="I159" s="5">
        <f t="shared" si="178"/>
        <v>14266.307404299716</v>
      </c>
      <c r="J159" s="5">
        <f t="shared" si="178"/>
        <v>14658.909231959573</v>
      </c>
      <c r="K159" s="5">
        <f t="shared" si="178"/>
        <v>15130.579901583185</v>
      </c>
      <c r="L159" s="5">
        <f t="shared" si="178"/>
        <v>15578.521662560368</v>
      </c>
      <c r="M159" s="5">
        <f t="shared" si="178"/>
        <v>16039.152460740894</v>
      </c>
      <c r="N159" s="5">
        <f t="shared" si="178"/>
        <v>16137.861984150115</v>
      </c>
      <c r="O159" s="5">
        <f t="shared" si="178"/>
        <v>16831.362786716985</v>
      </c>
      <c r="P159" s="5">
        <f t="shared" si="178"/>
        <v>17953.475721693419</v>
      </c>
      <c r="Q159" s="5">
        <f t="shared" si="178"/>
        <v>18563.370321832561</v>
      </c>
      <c r="R159" s="5">
        <f t="shared" si="178"/>
        <v>19123.122437292081</v>
      </c>
      <c r="S159" s="5">
        <f t="shared" si="178"/>
        <v>20026.019308811396</v>
      </c>
      <c r="T159" s="5">
        <f t="shared" si="178"/>
        <v>20906.386912198701</v>
      </c>
      <c r="U159" s="5">
        <f t="shared" si="178"/>
        <v>21762.36296573385</v>
      </c>
      <c r="V159" s="5">
        <f t="shared" si="178"/>
        <v>21927.431123287661</v>
      </c>
      <c r="W159" s="5">
        <f t="shared" si="178"/>
        <v>22036.939768965949</v>
      </c>
      <c r="X159" s="5">
        <f t="shared" si="178"/>
        <v>22092.563570163293</v>
      </c>
      <c r="Y159" s="5">
        <f t="shared" si="178"/>
        <v>22095.838263589074</v>
      </c>
      <c r="Z159" s="5">
        <f t="shared" si="178"/>
        <v>22048.16807755272</v>
      </c>
      <c r="AA159" s="5">
        <f t="shared" si="178"/>
        <v>22172.558278088087</v>
      </c>
      <c r="AB159" s="5">
        <f t="shared" si="178"/>
        <v>22247.72348373639</v>
      </c>
      <c r="AC159" s="5">
        <f t="shared" si="178"/>
        <v>22273.238590836343</v>
      </c>
      <c r="AD159" s="5">
        <f t="shared" si="178"/>
        <v>22248.581236530303</v>
      </c>
      <c r="AE159" s="5">
        <f t="shared" si="178"/>
        <v>22173.132467817268</v>
      </c>
    </row>
    <row r="160" spans="1:31" ht="12.75" customHeight="1">
      <c r="B160" s="11" t="s">
        <v>51</v>
      </c>
      <c r="C160" s="11"/>
      <c r="D160" s="371"/>
      <c r="E160" s="5">
        <f t="shared" ref="E160:AB160" si="179">E$159*E148</f>
        <v>0</v>
      </c>
      <c r="F160" s="5">
        <f t="shared" si="179"/>
        <v>0</v>
      </c>
      <c r="G160" s="5">
        <f t="shared" si="179"/>
        <v>0</v>
      </c>
      <c r="H160" s="5">
        <f t="shared" si="179"/>
        <v>0</v>
      </c>
      <c r="I160" s="5">
        <f t="shared" si="179"/>
        <v>0</v>
      </c>
      <c r="J160" s="5">
        <f t="shared" si="179"/>
        <v>6596.509154381808</v>
      </c>
      <c r="K160" s="5">
        <f t="shared" si="179"/>
        <v>8851.389242426163</v>
      </c>
      <c r="L160" s="5">
        <f t="shared" si="179"/>
        <v>7789.260831280184</v>
      </c>
      <c r="M160" s="5">
        <f t="shared" si="179"/>
        <v>6816.63979581488</v>
      </c>
      <c r="N160" s="5">
        <f t="shared" si="179"/>
        <v>6132.3875539770434</v>
      </c>
      <c r="O160" s="5">
        <f t="shared" si="179"/>
        <v>5596.4281265833979</v>
      </c>
      <c r="P160" s="5">
        <f t="shared" si="179"/>
        <v>6118.7689443996378</v>
      </c>
      <c r="Q160" s="5">
        <f t="shared" si="179"/>
        <v>8224.6172421524279</v>
      </c>
      <c r="R160" s="5">
        <f t="shared" si="179"/>
        <v>8987.8675455272769</v>
      </c>
      <c r="S160" s="5">
        <f t="shared" si="179"/>
        <v>9647.534802019889</v>
      </c>
      <c r="T160" s="5">
        <f t="shared" si="179"/>
        <v>10323.443192325516</v>
      </c>
      <c r="U160" s="5">
        <f t="shared" si="179"/>
        <v>11014.771788153608</v>
      </c>
      <c r="V160" s="5">
        <f t="shared" si="179"/>
        <v>11375.777132123067</v>
      </c>
      <c r="W160" s="5">
        <f t="shared" si="179"/>
        <v>11718.404081544528</v>
      </c>
      <c r="X160" s="5">
        <f t="shared" si="179"/>
        <v>12041.682264971074</v>
      </c>
      <c r="Y160" s="5">
        <f t="shared" si="179"/>
        <v>12344.553834864093</v>
      </c>
      <c r="Z160" s="5">
        <f t="shared" si="179"/>
        <v>12625.869379123676</v>
      </c>
      <c r="AA160" s="5">
        <f t="shared" si="179"/>
        <v>13014.528881780068</v>
      </c>
      <c r="AB160" s="5">
        <f t="shared" si="179"/>
        <v>13385.114478290085</v>
      </c>
      <c r="AC160" s="5">
        <f>AC$159*AC148</f>
        <v>13735.477015098497</v>
      </c>
      <c r="AD160" s="5">
        <f>AD$159*AD148</f>
        <v>14063.278082362371</v>
      </c>
      <c r="AE160" s="5">
        <f>AE$159*AE148</f>
        <v>14365.976762755454</v>
      </c>
    </row>
    <row r="161" spans="2:31" ht="12.75" customHeight="1">
      <c r="B161" s="11" t="s">
        <v>52</v>
      </c>
      <c r="C161" s="11"/>
      <c r="D161" s="371"/>
      <c r="E161" s="5">
        <f t="shared" ref="E161:AB161" si="180">E$159*E152</f>
        <v>0</v>
      </c>
      <c r="F161" s="5">
        <f t="shared" si="180"/>
        <v>0</v>
      </c>
      <c r="G161" s="5">
        <f t="shared" si="180"/>
        <v>0</v>
      </c>
      <c r="H161" s="5">
        <f t="shared" si="180"/>
        <v>0</v>
      </c>
      <c r="I161" s="5">
        <f t="shared" si="180"/>
        <v>0</v>
      </c>
      <c r="J161" s="5">
        <f t="shared" si="180"/>
        <v>0</v>
      </c>
      <c r="K161" s="5">
        <f t="shared" si="180"/>
        <v>0</v>
      </c>
      <c r="L161" s="5">
        <f t="shared" si="180"/>
        <v>0</v>
      </c>
      <c r="M161" s="5">
        <f t="shared" si="180"/>
        <v>0</v>
      </c>
      <c r="N161" s="5">
        <f t="shared" si="180"/>
        <v>0</v>
      </c>
      <c r="O161" s="5">
        <f t="shared" si="180"/>
        <v>0</v>
      </c>
      <c r="P161" s="5">
        <f t="shared" si="180"/>
        <v>1615.8128149524077</v>
      </c>
      <c r="Q161" s="5">
        <f t="shared" si="180"/>
        <v>1856.3370321832563</v>
      </c>
      <c r="R161" s="5">
        <f t="shared" si="180"/>
        <v>2103.5434681021288</v>
      </c>
      <c r="S161" s="5">
        <f t="shared" si="180"/>
        <v>2403.1223170573676</v>
      </c>
      <c r="T161" s="5">
        <f t="shared" si="180"/>
        <v>2696.9239116736326</v>
      </c>
      <c r="U161" s="5">
        <f t="shared" si="180"/>
        <v>3017.8956842731413</v>
      </c>
      <c r="V161" s="5">
        <f t="shared" si="180"/>
        <v>3268.8454993485598</v>
      </c>
      <c r="W161" s="5">
        <f t="shared" si="180"/>
        <v>3531.5583618319006</v>
      </c>
      <c r="X161" s="5">
        <f t="shared" si="180"/>
        <v>3628.9842368856457</v>
      </c>
      <c r="Y161" s="5">
        <f t="shared" si="180"/>
        <v>3720.260200555595</v>
      </c>
      <c r="Z161" s="5">
        <f t="shared" si="180"/>
        <v>3805.0398561921393</v>
      </c>
      <c r="AA161" s="5">
        <f t="shared" si="180"/>
        <v>3922.1696041476048</v>
      </c>
      <c r="AB161" s="5">
        <f t="shared" si="180"/>
        <v>4033.8524453452869</v>
      </c>
      <c r="AC161" s="5">
        <f>AC$159*AC152</f>
        <v>4139.4406925100238</v>
      </c>
      <c r="AD161" s="5">
        <f>AD$159*AD152</f>
        <v>4238.2296224750144</v>
      </c>
      <c r="AE161" s="5">
        <f>AE$159*AE152</f>
        <v>4329.4534826883046</v>
      </c>
    </row>
    <row r="162" spans="2:31" ht="12.75" customHeight="1">
      <c r="B162" s="11" t="s">
        <v>53</v>
      </c>
      <c r="C162" s="11"/>
      <c r="D162" s="371"/>
      <c r="E162" s="5">
        <f t="shared" ref="E162:AB162" si="181">E$159*E156</f>
        <v>0</v>
      </c>
      <c r="F162" s="5">
        <f t="shared" si="181"/>
        <v>0</v>
      </c>
      <c r="G162" s="5">
        <f t="shared" si="181"/>
        <v>0</v>
      </c>
      <c r="H162" s="5">
        <f t="shared" si="181"/>
        <v>0</v>
      </c>
      <c r="I162" s="5">
        <f t="shared" si="181"/>
        <v>0</v>
      </c>
      <c r="J162" s="5">
        <f t="shared" si="181"/>
        <v>0</v>
      </c>
      <c r="K162" s="5">
        <f t="shared" si="181"/>
        <v>0</v>
      </c>
      <c r="L162" s="5">
        <f t="shared" si="181"/>
        <v>0</v>
      </c>
      <c r="M162" s="5">
        <f t="shared" si="181"/>
        <v>0</v>
      </c>
      <c r="N162" s="5">
        <f t="shared" si="181"/>
        <v>0</v>
      </c>
      <c r="O162" s="5">
        <f t="shared" si="181"/>
        <v>0</v>
      </c>
      <c r="P162" s="5">
        <f t="shared" si="181"/>
        <v>538.60427165080262</v>
      </c>
      <c r="Q162" s="5">
        <f t="shared" si="181"/>
        <v>1113.8022193099537</v>
      </c>
      <c r="R162" s="5">
        <f t="shared" si="181"/>
        <v>1338.6185706104457</v>
      </c>
      <c r="S162" s="5">
        <f t="shared" si="181"/>
        <v>1542.0034867784777</v>
      </c>
      <c r="T162" s="5">
        <f t="shared" si="181"/>
        <v>1770.7709714632306</v>
      </c>
      <c r="U162" s="5">
        <f t="shared" si="181"/>
        <v>2027.5993575174234</v>
      </c>
      <c r="V162" s="5">
        <f t="shared" si="181"/>
        <v>2247.2766335323831</v>
      </c>
      <c r="W162" s="5">
        <f t="shared" si="181"/>
        <v>2484.3498307122159</v>
      </c>
      <c r="X162" s="5">
        <f t="shared" si="181"/>
        <v>2739.6826807645452</v>
      </c>
      <c r="Y162" s="5">
        <f t="shared" si="181"/>
        <v>3014.097650416325</v>
      </c>
      <c r="Z162" s="5">
        <f t="shared" si="181"/>
        <v>3308.354446042887</v>
      </c>
      <c r="AA162" s="5">
        <f t="shared" si="181"/>
        <v>3659.7212816766537</v>
      </c>
      <c r="AB162" s="5">
        <f t="shared" si="181"/>
        <v>4039.3405528231701</v>
      </c>
      <c r="AC162" s="5">
        <f>AC$159*AC156</f>
        <v>4448.370438588242</v>
      </c>
      <c r="AD162" s="5">
        <f>AD$159*AD156</f>
        <v>4887.7905086156406</v>
      </c>
      <c r="AE162" s="5">
        <f>AE$159*AE156</f>
        <v>5358.3366866099459</v>
      </c>
    </row>
    <row r="163" spans="2:31" ht="12.75" customHeight="1">
      <c r="B163" s="11"/>
      <c r="C163" s="11"/>
      <c r="D163" s="371"/>
      <c r="V163" s="763"/>
      <c r="W163" s="763"/>
      <c r="X163" s="763"/>
      <c r="Y163" s="763"/>
      <c r="Z163" s="763"/>
      <c r="AA163" s="763"/>
      <c r="AB163" s="763"/>
      <c r="AC163" s="763"/>
      <c r="AD163" s="763"/>
      <c r="AE163" s="763"/>
    </row>
    <row r="164" spans="2:31" s="50" customFormat="1">
      <c r="B164" s="473" t="s">
        <v>450</v>
      </c>
      <c r="C164" s="473"/>
      <c r="D164" s="473"/>
      <c r="E164" s="473"/>
      <c r="F164" s="473"/>
      <c r="G164" s="473"/>
      <c r="H164" s="473"/>
      <c r="I164" s="473"/>
      <c r="J164" s="473"/>
      <c r="K164" s="473"/>
      <c r="L164" s="473"/>
      <c r="M164" s="473"/>
      <c r="N164" s="473"/>
      <c r="O164" s="473"/>
      <c r="P164" s="473"/>
      <c r="Q164" s="473"/>
      <c r="R164" s="473"/>
      <c r="S164" s="473"/>
      <c r="T164" s="473"/>
      <c r="U164" s="473"/>
      <c r="V164" s="757"/>
      <c r="W164" s="757"/>
      <c r="X164" s="757"/>
      <c r="Y164" s="757"/>
      <c r="Z164" s="757"/>
      <c r="AA164" s="757"/>
      <c r="AB164" s="757"/>
      <c r="AC164" s="757"/>
      <c r="AD164" s="757"/>
      <c r="AE164" s="757"/>
    </row>
    <row r="165" spans="2:31" ht="12.75" customHeight="1">
      <c r="B165" s="359" t="s">
        <v>364</v>
      </c>
      <c r="C165" s="11"/>
      <c r="D165" s="371"/>
    </row>
    <row r="166" spans="2:31" ht="12.75" customHeight="1">
      <c r="B166" s="492" t="s">
        <v>446</v>
      </c>
      <c r="C166" s="16"/>
      <c r="D166" s="371"/>
      <c r="J166" s="475">
        <v>0.45</v>
      </c>
      <c r="K166" s="475">
        <v>0.56000000000000005</v>
      </c>
      <c r="L166" s="475">
        <v>0.5</v>
      </c>
      <c r="M166" s="475">
        <v>0.4</v>
      </c>
      <c r="N166" s="475">
        <v>0.38</v>
      </c>
      <c r="O166" s="123">
        <f>N166*0.8</f>
        <v>0.30400000000000005</v>
      </c>
      <c r="P166" s="123">
        <f>O166</f>
        <v>0.30400000000000005</v>
      </c>
      <c r="Q166" s="123">
        <f t="shared" ref="Q166:AE167" si="182">P166</f>
        <v>0.30400000000000005</v>
      </c>
      <c r="R166" s="123">
        <f t="shared" si="182"/>
        <v>0.30400000000000005</v>
      </c>
      <c r="S166" s="123">
        <f t="shared" si="182"/>
        <v>0.30400000000000005</v>
      </c>
      <c r="T166" s="123">
        <f t="shared" si="182"/>
        <v>0.30400000000000005</v>
      </c>
      <c r="U166" s="123">
        <f t="shared" si="182"/>
        <v>0.30400000000000005</v>
      </c>
      <c r="V166" s="123">
        <f t="shared" si="182"/>
        <v>0.30400000000000005</v>
      </c>
      <c r="W166" s="123">
        <f t="shared" si="182"/>
        <v>0.30400000000000005</v>
      </c>
      <c r="X166" s="123">
        <f t="shared" si="182"/>
        <v>0.30400000000000005</v>
      </c>
      <c r="Y166" s="123">
        <f t="shared" si="182"/>
        <v>0.30400000000000005</v>
      </c>
      <c r="Z166" s="123">
        <f t="shared" si="182"/>
        <v>0.30400000000000005</v>
      </c>
      <c r="AA166" s="123">
        <f t="shared" si="182"/>
        <v>0.30400000000000005</v>
      </c>
      <c r="AB166" s="123">
        <f t="shared" si="182"/>
        <v>0.30400000000000005</v>
      </c>
      <c r="AC166" s="123">
        <f t="shared" si="182"/>
        <v>0.30400000000000005</v>
      </c>
      <c r="AD166" s="123">
        <f t="shared" si="182"/>
        <v>0.30400000000000005</v>
      </c>
      <c r="AE166" s="123">
        <f t="shared" si="182"/>
        <v>0.30400000000000005</v>
      </c>
    </row>
    <row r="167" spans="2:31" ht="12.75" customHeight="1">
      <c r="B167" s="492" t="s">
        <v>447</v>
      </c>
      <c r="C167" s="16"/>
      <c r="D167" s="371"/>
      <c r="M167" s="475">
        <v>4.9000000000000002E-2</v>
      </c>
      <c r="N167" s="475">
        <v>0.27500000000000002</v>
      </c>
      <c r="O167" s="475">
        <v>0.25</v>
      </c>
      <c r="P167" s="475">
        <v>0.26500000000000001</v>
      </c>
      <c r="Q167" s="475">
        <v>0.3</v>
      </c>
      <c r="R167" s="475">
        <f t="shared" ref="R167:S167" si="183">Q167*1.01</f>
        <v>0.30299999999999999</v>
      </c>
      <c r="S167" s="475">
        <f t="shared" si="183"/>
        <v>0.30602999999999997</v>
      </c>
      <c r="T167" s="475">
        <f>S167</f>
        <v>0.30602999999999997</v>
      </c>
      <c r="U167" s="475">
        <f t="shared" si="182"/>
        <v>0.30602999999999997</v>
      </c>
      <c r="V167" s="475">
        <f t="shared" si="182"/>
        <v>0.30602999999999997</v>
      </c>
      <c r="W167" s="475">
        <f t="shared" si="182"/>
        <v>0.30602999999999997</v>
      </c>
      <c r="X167" s="475">
        <f t="shared" si="182"/>
        <v>0.30602999999999997</v>
      </c>
      <c r="Y167" s="475">
        <f t="shared" si="182"/>
        <v>0.30602999999999997</v>
      </c>
      <c r="Z167" s="475">
        <f t="shared" si="182"/>
        <v>0.30602999999999997</v>
      </c>
      <c r="AA167" s="475">
        <f t="shared" si="182"/>
        <v>0.30602999999999997</v>
      </c>
      <c r="AB167" s="475">
        <f t="shared" si="182"/>
        <v>0.30602999999999997</v>
      </c>
      <c r="AC167" s="475">
        <f t="shared" si="182"/>
        <v>0.30602999999999997</v>
      </c>
      <c r="AD167" s="475">
        <f t="shared" si="182"/>
        <v>0.30602999999999997</v>
      </c>
      <c r="AE167" s="475">
        <f t="shared" si="182"/>
        <v>0.30602999999999997</v>
      </c>
    </row>
    <row r="168" spans="2:31" ht="12.75" customHeight="1">
      <c r="B168" s="492" t="s">
        <v>448</v>
      </c>
      <c r="C168" s="16"/>
      <c r="D168" s="371"/>
      <c r="N168" s="475">
        <v>0.23</v>
      </c>
      <c r="O168" s="475">
        <v>0.35</v>
      </c>
      <c r="P168" s="475">
        <v>0.375</v>
      </c>
      <c r="Q168" s="475">
        <v>0.4</v>
      </c>
      <c r="R168" s="475">
        <v>0.40500000000000003</v>
      </c>
      <c r="S168" s="475">
        <f>R168</f>
        <v>0.40500000000000003</v>
      </c>
      <c r="T168" s="475">
        <f t="shared" ref="T168:AE168" si="184">S168</f>
        <v>0.40500000000000003</v>
      </c>
      <c r="U168" s="475">
        <f t="shared" si="184"/>
        <v>0.40500000000000003</v>
      </c>
      <c r="V168" s="475">
        <f t="shared" si="184"/>
        <v>0.40500000000000003</v>
      </c>
      <c r="W168" s="475">
        <f t="shared" si="184"/>
        <v>0.40500000000000003</v>
      </c>
      <c r="X168" s="475">
        <f t="shared" si="184"/>
        <v>0.40500000000000003</v>
      </c>
      <c r="Y168" s="475">
        <f t="shared" si="184"/>
        <v>0.40500000000000003</v>
      </c>
      <c r="Z168" s="475">
        <f t="shared" si="184"/>
        <v>0.40500000000000003</v>
      </c>
      <c r="AA168" s="475">
        <f t="shared" si="184"/>
        <v>0.40500000000000003</v>
      </c>
      <c r="AB168" s="475">
        <f t="shared" si="184"/>
        <v>0.40500000000000003</v>
      </c>
      <c r="AC168" s="475">
        <f t="shared" si="184"/>
        <v>0.40500000000000003</v>
      </c>
      <c r="AD168" s="475">
        <f t="shared" si="184"/>
        <v>0.40500000000000003</v>
      </c>
      <c r="AE168" s="475">
        <f t="shared" si="184"/>
        <v>0.40500000000000003</v>
      </c>
    </row>
    <row r="169" spans="2:31" ht="12.75" customHeight="1">
      <c r="B169" s="492" t="s">
        <v>449</v>
      </c>
      <c r="C169" s="16"/>
      <c r="D169" s="371"/>
      <c r="J169" s="7">
        <f>1-J168-J167-J166</f>
        <v>0.55000000000000004</v>
      </c>
      <c r="K169" s="7">
        <f t="shared" ref="K169:AB169" si="185">1-K168-K167-K166</f>
        <v>0.43999999999999995</v>
      </c>
      <c r="L169" s="7">
        <f t="shared" si="185"/>
        <v>0.5</v>
      </c>
      <c r="M169" s="7">
        <f t="shared" si="185"/>
        <v>0.55099999999999993</v>
      </c>
      <c r="N169" s="7">
        <f t="shared" si="185"/>
        <v>0.11499999999999999</v>
      </c>
      <c r="O169" s="7">
        <f t="shared" si="185"/>
        <v>9.5999999999999974E-2</v>
      </c>
      <c r="P169" s="7">
        <f t="shared" si="185"/>
        <v>5.5999999999999939E-2</v>
      </c>
      <c r="Q169" s="7">
        <f t="shared" si="185"/>
        <v>-4.0000000000000591E-3</v>
      </c>
      <c r="R169" s="7">
        <f>1-R168-R167-R166</f>
        <v>-1.2000000000000066E-2</v>
      </c>
      <c r="S169" s="7">
        <f t="shared" si="185"/>
        <v>-1.5030000000000043E-2</v>
      </c>
      <c r="T169" s="7">
        <f t="shared" si="185"/>
        <v>-1.5030000000000043E-2</v>
      </c>
      <c r="U169" s="7">
        <f t="shared" si="185"/>
        <v>-1.5030000000000043E-2</v>
      </c>
      <c r="V169" s="7">
        <f t="shared" si="185"/>
        <v>-1.5030000000000043E-2</v>
      </c>
      <c r="W169" s="7">
        <f t="shared" si="185"/>
        <v>-1.5030000000000043E-2</v>
      </c>
      <c r="X169" s="7">
        <f t="shared" si="185"/>
        <v>-1.5030000000000043E-2</v>
      </c>
      <c r="Y169" s="7">
        <f t="shared" si="185"/>
        <v>-1.5030000000000043E-2</v>
      </c>
      <c r="Z169" s="7">
        <f t="shared" si="185"/>
        <v>-1.5030000000000043E-2</v>
      </c>
      <c r="AA169" s="7">
        <f t="shared" si="185"/>
        <v>-1.5030000000000043E-2</v>
      </c>
      <c r="AB169" s="7">
        <f t="shared" si="185"/>
        <v>-1.5030000000000043E-2</v>
      </c>
      <c r="AC169" s="7">
        <f>1-AC168-AC167-AC166</f>
        <v>-1.5030000000000043E-2</v>
      </c>
      <c r="AD169" s="7">
        <f>1-AD168-AD167-AD166</f>
        <v>-1.5030000000000043E-2</v>
      </c>
      <c r="AE169" s="7">
        <f>1-AE168-AE167-AE166</f>
        <v>-1.5030000000000043E-2</v>
      </c>
    </row>
    <row r="170" spans="2:31" ht="12.75" customHeight="1">
      <c r="D170" s="371"/>
    </row>
    <row r="171" spans="2:31" ht="12.75" customHeight="1">
      <c r="B171" s="359" t="s">
        <v>420</v>
      </c>
      <c r="C171" s="11"/>
      <c r="D171" s="371"/>
      <c r="E171" s="5">
        <f t="shared" ref="E171:T171" si="186">E139*E134</f>
        <v>8183.402577777164</v>
      </c>
      <c r="F171" s="5">
        <f t="shared" si="186"/>
        <v>8341.7076245643493</v>
      </c>
      <c r="G171" s="5">
        <f t="shared" si="186"/>
        <v>8774.91267422698</v>
      </c>
      <c r="H171" s="5">
        <f t="shared" si="186"/>
        <v>9046.0844349428371</v>
      </c>
      <c r="I171" s="5">
        <f t="shared" si="186"/>
        <v>9225.5454547804839</v>
      </c>
      <c r="J171" s="5">
        <f t="shared" si="186"/>
        <v>9479.4279700005245</v>
      </c>
      <c r="K171" s="5">
        <f t="shared" si="186"/>
        <v>9784.4416696904609</v>
      </c>
      <c r="L171" s="5">
        <f t="shared" si="186"/>
        <v>10074.110675122376</v>
      </c>
      <c r="M171" s="5">
        <f t="shared" si="186"/>
        <v>10371.985257945782</v>
      </c>
      <c r="N171" s="5">
        <f t="shared" si="186"/>
        <v>10435.81741641708</v>
      </c>
      <c r="O171" s="5">
        <f t="shared" si="186"/>
        <v>10993.124081431093</v>
      </c>
      <c r="P171" s="5">
        <f t="shared" si="186"/>
        <v>11527.315671472772</v>
      </c>
      <c r="Q171" s="5">
        <f t="shared" si="186"/>
        <v>12038.097317352742</v>
      </c>
      <c r="R171" s="5">
        <f t="shared" si="186"/>
        <v>12525.099966757467</v>
      </c>
      <c r="S171" s="5">
        <f t="shared" si="186"/>
        <v>12987.878815067297</v>
      </c>
      <c r="T171" s="5">
        <f t="shared" si="186"/>
        <v>13425.911582107412</v>
      </c>
      <c r="U171" s="5">
        <f>U139*U134</f>
        <v>13838.596631295533</v>
      </c>
      <c r="V171" s="5">
        <f t="shared" ref="V171:AB171" si="187">V139*V134</f>
        <v>14225.250927369214</v>
      </c>
      <c r="W171" s="5">
        <f t="shared" si="187"/>
        <v>14585.107828587765</v>
      </c>
      <c r="X171" s="5">
        <f t="shared" si="187"/>
        <v>14917.314709008971</v>
      </c>
      <c r="Y171" s="5">
        <f t="shared" si="187"/>
        <v>15220.930406138224</v>
      </c>
      <c r="Z171" s="5">
        <f t="shared" si="187"/>
        <v>15494.922488937184</v>
      </c>
      <c r="AA171" s="5">
        <f t="shared" si="187"/>
        <v>15738.16434085971</v>
      </c>
      <c r="AB171" s="5">
        <f t="shared" si="187"/>
        <v>15949.432052254444</v>
      </c>
      <c r="AC171" s="5">
        <f>AC139*AC134</f>
        <v>16127.401116135206</v>
      </c>
      <c r="AD171" s="5">
        <f>AD139*AD134</f>
        <v>16270.642920971837</v>
      </c>
      <c r="AE171" s="5">
        <f>AE139*AE134</f>
        <v>16377.621033794954</v>
      </c>
    </row>
    <row r="172" spans="2:31" ht="12.75" customHeight="1">
      <c r="B172" s="11" t="s">
        <v>51</v>
      </c>
      <c r="C172" s="16"/>
      <c r="D172" s="371"/>
      <c r="E172" s="5">
        <f t="shared" ref="E172:T172" si="188">E$171*E166</f>
        <v>0</v>
      </c>
      <c r="F172" s="5">
        <f t="shared" si="188"/>
        <v>0</v>
      </c>
      <c r="G172" s="5">
        <f t="shared" si="188"/>
        <v>0</v>
      </c>
      <c r="H172" s="5">
        <f t="shared" si="188"/>
        <v>0</v>
      </c>
      <c r="I172" s="5">
        <f t="shared" si="188"/>
        <v>0</v>
      </c>
      <c r="J172" s="5">
        <f t="shared" si="188"/>
        <v>4265.742586500236</v>
      </c>
      <c r="K172" s="5">
        <f t="shared" si="188"/>
        <v>5479.2873350266582</v>
      </c>
      <c r="L172" s="5">
        <f t="shared" si="188"/>
        <v>5037.055337561188</v>
      </c>
      <c r="M172" s="5">
        <f t="shared" si="188"/>
        <v>4148.794103178313</v>
      </c>
      <c r="N172" s="5">
        <f t="shared" si="188"/>
        <v>3965.6106182384901</v>
      </c>
      <c r="O172" s="5">
        <f t="shared" si="188"/>
        <v>3341.9097207550531</v>
      </c>
      <c r="P172" s="5">
        <f t="shared" si="188"/>
        <v>3504.3039641277232</v>
      </c>
      <c r="Q172" s="5">
        <f t="shared" si="188"/>
        <v>3659.5815844752342</v>
      </c>
      <c r="R172" s="5">
        <f t="shared" si="188"/>
        <v>3807.6303898942706</v>
      </c>
      <c r="S172" s="5">
        <f t="shared" si="188"/>
        <v>3948.315159780459</v>
      </c>
      <c r="T172" s="5">
        <f t="shared" si="188"/>
        <v>4081.4771209606538</v>
      </c>
      <c r="U172" s="5">
        <f>U$171*U166</f>
        <v>4206.9333759138426</v>
      </c>
      <c r="V172" s="5">
        <f t="shared" ref="V172:AB172" si="189">V$171*V166</f>
        <v>4324.4762819202415</v>
      </c>
      <c r="W172" s="5">
        <f t="shared" si="189"/>
        <v>4433.8727798906812</v>
      </c>
      <c r="X172" s="5">
        <f t="shared" si="189"/>
        <v>4534.8636715387283</v>
      </c>
      <c r="Y172" s="5">
        <f t="shared" si="189"/>
        <v>4627.1628434660206</v>
      </c>
      <c r="Z172" s="5">
        <f t="shared" si="189"/>
        <v>4710.456436636905</v>
      </c>
      <c r="AA172" s="5">
        <f t="shared" si="189"/>
        <v>4784.4019596213529</v>
      </c>
      <c r="AB172" s="5">
        <f t="shared" si="189"/>
        <v>4848.6273438853514</v>
      </c>
      <c r="AC172" s="5">
        <f t="shared" ref="AC172:AE174" si="190">AC$171*AC166</f>
        <v>4902.7299393051035</v>
      </c>
      <c r="AD172" s="5">
        <f t="shared" si="190"/>
        <v>4946.2754479754394</v>
      </c>
      <c r="AE172" s="5">
        <f t="shared" si="190"/>
        <v>4978.7967942736668</v>
      </c>
    </row>
    <row r="173" spans="2:31" ht="12.75" customHeight="1">
      <c r="B173" s="11" t="s">
        <v>52</v>
      </c>
      <c r="C173" s="16"/>
      <c r="D173" s="371"/>
      <c r="E173" s="5">
        <f t="shared" ref="E173:T173" si="191">E$171*E167</f>
        <v>0</v>
      </c>
      <c r="F173" s="5">
        <f t="shared" si="191"/>
        <v>0</v>
      </c>
      <c r="G173" s="5">
        <f t="shared" si="191"/>
        <v>0</v>
      </c>
      <c r="H173" s="5">
        <f t="shared" si="191"/>
        <v>0</v>
      </c>
      <c r="I173" s="5">
        <f t="shared" si="191"/>
        <v>0</v>
      </c>
      <c r="J173" s="5">
        <f t="shared" si="191"/>
        <v>0</v>
      </c>
      <c r="K173" s="5">
        <f t="shared" si="191"/>
        <v>0</v>
      </c>
      <c r="L173" s="5">
        <f t="shared" si="191"/>
        <v>0</v>
      </c>
      <c r="M173" s="5">
        <f t="shared" si="191"/>
        <v>508.22727763934336</v>
      </c>
      <c r="N173" s="5">
        <f t="shared" si="191"/>
        <v>2869.849789514697</v>
      </c>
      <c r="O173" s="5">
        <f t="shared" si="191"/>
        <v>2748.2810203577733</v>
      </c>
      <c r="P173" s="5">
        <f t="shared" si="191"/>
        <v>3054.7386529402847</v>
      </c>
      <c r="Q173" s="5">
        <f t="shared" si="191"/>
        <v>3611.4291952058225</v>
      </c>
      <c r="R173" s="5">
        <f t="shared" si="191"/>
        <v>3795.1052899275123</v>
      </c>
      <c r="S173" s="5">
        <f t="shared" si="191"/>
        <v>3974.6805537750447</v>
      </c>
      <c r="T173" s="5">
        <f t="shared" si="191"/>
        <v>4108.7317214723307</v>
      </c>
      <c r="U173" s="5">
        <f>U$171*U167</f>
        <v>4235.0257270753718</v>
      </c>
      <c r="V173" s="5">
        <f t="shared" ref="V173:AB173" si="192">V$171*V167</f>
        <v>4353.3535413028003</v>
      </c>
      <c r="W173" s="5">
        <f t="shared" si="192"/>
        <v>4463.4805487827134</v>
      </c>
      <c r="X173" s="5">
        <f t="shared" si="192"/>
        <v>4565.1458203980146</v>
      </c>
      <c r="Y173" s="5">
        <f t="shared" si="192"/>
        <v>4658.0613321904802</v>
      </c>
      <c r="Z173" s="5">
        <f t="shared" si="192"/>
        <v>4741.9111292894459</v>
      </c>
      <c r="AA173" s="5">
        <f t="shared" si="192"/>
        <v>4816.3504332332968</v>
      </c>
      <c r="AB173" s="5">
        <f t="shared" si="192"/>
        <v>4881.0046909514267</v>
      </c>
      <c r="AC173" s="5">
        <f t="shared" si="190"/>
        <v>4935.4685635708565</v>
      </c>
      <c r="AD173" s="5">
        <f t="shared" si="190"/>
        <v>4979.3048531050108</v>
      </c>
      <c r="AE173" s="5">
        <f t="shared" si="190"/>
        <v>5012.043364972269</v>
      </c>
    </row>
    <row r="174" spans="2:31" ht="12.75" customHeight="1">
      <c r="B174" s="11" t="s">
        <v>53</v>
      </c>
      <c r="C174" s="16"/>
      <c r="D174" s="371"/>
      <c r="E174" s="5">
        <f t="shared" ref="E174:T174" si="193">E$171*E168</f>
        <v>0</v>
      </c>
      <c r="F174" s="5">
        <f t="shared" si="193"/>
        <v>0</v>
      </c>
      <c r="G174" s="5">
        <f t="shared" si="193"/>
        <v>0</v>
      </c>
      <c r="H174" s="5">
        <f t="shared" si="193"/>
        <v>0</v>
      </c>
      <c r="I174" s="5">
        <f t="shared" si="193"/>
        <v>0</v>
      </c>
      <c r="J174" s="5">
        <f t="shared" si="193"/>
        <v>0</v>
      </c>
      <c r="K174" s="5">
        <f t="shared" si="193"/>
        <v>0</v>
      </c>
      <c r="L174" s="5">
        <f t="shared" si="193"/>
        <v>0</v>
      </c>
      <c r="M174" s="5">
        <f t="shared" si="193"/>
        <v>0</v>
      </c>
      <c r="N174" s="5">
        <f t="shared" si="193"/>
        <v>2400.2380057759283</v>
      </c>
      <c r="O174" s="5">
        <f t="shared" si="193"/>
        <v>3847.5934285008825</v>
      </c>
      <c r="P174" s="5">
        <f t="shared" si="193"/>
        <v>4322.7433768022893</v>
      </c>
      <c r="Q174" s="5">
        <f t="shared" si="193"/>
        <v>4815.2389269410969</v>
      </c>
      <c r="R174" s="5">
        <f t="shared" si="193"/>
        <v>5072.6654865367746</v>
      </c>
      <c r="S174" s="5">
        <f t="shared" si="193"/>
        <v>5260.090920102256</v>
      </c>
      <c r="T174" s="5">
        <f t="shared" si="193"/>
        <v>5437.4941907535022</v>
      </c>
      <c r="U174" s="5">
        <f>U$171*U168</f>
        <v>5604.6316356746911</v>
      </c>
      <c r="V174" s="5">
        <f t="shared" ref="V174:AB174" si="194">V$171*V168</f>
        <v>5761.2266255845325</v>
      </c>
      <c r="W174" s="5">
        <f t="shared" si="194"/>
        <v>5906.968670578045</v>
      </c>
      <c r="X174" s="5">
        <f t="shared" si="194"/>
        <v>6041.512457148634</v>
      </c>
      <c r="Y174" s="5">
        <f t="shared" si="194"/>
        <v>6164.4768144859818</v>
      </c>
      <c r="Z174" s="5">
        <f t="shared" si="194"/>
        <v>6275.4436080195601</v>
      </c>
      <c r="AA174" s="5">
        <f t="shared" si="194"/>
        <v>6373.9565580481831</v>
      </c>
      <c r="AB174" s="5">
        <f t="shared" si="194"/>
        <v>6459.51998116305</v>
      </c>
      <c r="AC174" s="5">
        <f t="shared" si="190"/>
        <v>6531.597452034759</v>
      </c>
      <c r="AD174" s="5">
        <f t="shared" si="190"/>
        <v>6589.6103829935946</v>
      </c>
      <c r="AE174" s="5">
        <f t="shared" si="190"/>
        <v>6632.9365186869572</v>
      </c>
    </row>
    <row r="175" spans="2:31" ht="12.75" customHeight="1">
      <c r="D175" s="371"/>
      <c r="V175" s="763"/>
      <c r="W175" s="763"/>
      <c r="X175" s="763"/>
      <c r="Y175" s="763"/>
      <c r="Z175" s="763"/>
      <c r="AA175" s="763"/>
      <c r="AB175" s="763"/>
      <c r="AC175" s="763"/>
      <c r="AD175" s="763"/>
      <c r="AE175" s="763"/>
    </row>
    <row r="176" spans="2:31" s="50" customFormat="1">
      <c r="B176" s="473" t="s">
        <v>451</v>
      </c>
      <c r="C176" s="473"/>
      <c r="D176" s="473"/>
      <c r="E176" s="473"/>
      <c r="F176" s="473"/>
      <c r="G176" s="473"/>
      <c r="H176" s="473"/>
      <c r="I176" s="473"/>
      <c r="J176" s="473"/>
      <c r="K176" s="473"/>
      <c r="L176" s="473"/>
      <c r="M176" s="473"/>
      <c r="N176" s="473"/>
      <c r="O176" s="473"/>
      <c r="P176" s="473"/>
      <c r="Q176" s="473"/>
      <c r="R176" s="473"/>
      <c r="S176" s="473"/>
      <c r="T176" s="473"/>
      <c r="U176" s="473"/>
      <c r="V176" s="757"/>
      <c r="W176" s="757"/>
      <c r="X176" s="757"/>
      <c r="Y176" s="757"/>
      <c r="Z176" s="757"/>
      <c r="AA176" s="757"/>
      <c r="AB176" s="757"/>
      <c r="AC176" s="757"/>
      <c r="AD176" s="757"/>
      <c r="AE176" s="757"/>
    </row>
    <row r="177" spans="2:31" ht="12.75" customHeight="1">
      <c r="B177" s="359" t="s">
        <v>364</v>
      </c>
      <c r="C177" s="16"/>
      <c r="D177" s="371"/>
    </row>
    <row r="178" spans="2:31" ht="12.75" customHeight="1">
      <c r="B178" s="492" t="s">
        <v>446</v>
      </c>
      <c r="C178" s="17"/>
      <c r="D178" s="371"/>
      <c r="J178" s="475">
        <v>0.35</v>
      </c>
      <c r="K178" s="475">
        <v>0.4</v>
      </c>
      <c r="L178" s="475">
        <v>0.4</v>
      </c>
      <c r="M178" s="475">
        <v>0.3</v>
      </c>
      <c r="N178" s="475">
        <v>0.15</v>
      </c>
      <c r="O178" s="123">
        <f>N178*0.8</f>
        <v>0.12</v>
      </c>
      <c r="P178" s="123">
        <f t="shared" ref="P178:U178" si="195">1-P179-P180</f>
        <v>0.13</v>
      </c>
      <c r="Q178" s="123">
        <f t="shared" si="195"/>
        <v>0.10499999999999998</v>
      </c>
      <c r="R178" s="123">
        <f t="shared" si="195"/>
        <v>0.11685000000000001</v>
      </c>
      <c r="S178" s="123">
        <f t="shared" si="195"/>
        <v>0.12869074999999996</v>
      </c>
      <c r="T178" s="123">
        <f t="shared" si="195"/>
        <v>0.13552229625000001</v>
      </c>
      <c r="U178" s="123">
        <f t="shared" si="195"/>
        <v>0.13734468476875006</v>
      </c>
      <c r="V178" s="123">
        <f t="shared" ref="V178:AE178" si="196">1-V179-V180</f>
        <v>0.13915796134490632</v>
      </c>
      <c r="W178" s="123">
        <f t="shared" si="196"/>
        <v>0.14096217153818169</v>
      </c>
      <c r="X178" s="123">
        <f t="shared" si="196"/>
        <v>0.14275736068049083</v>
      </c>
      <c r="Y178" s="123">
        <f t="shared" si="196"/>
        <v>0.14454357387708838</v>
      </c>
      <c r="Z178" s="123">
        <f t="shared" si="196"/>
        <v>0.14632085600770295</v>
      </c>
      <c r="AA178" s="123">
        <f t="shared" si="196"/>
        <v>0.14808925172766441</v>
      </c>
      <c r="AB178" s="123">
        <f t="shared" si="196"/>
        <v>0.14984880546902613</v>
      </c>
      <c r="AC178" s="123">
        <f t="shared" si="196"/>
        <v>0.15159956144168096</v>
      </c>
      <c r="AD178" s="123">
        <f t="shared" si="196"/>
        <v>0.1533415636344726</v>
      </c>
      <c r="AE178" s="123">
        <f t="shared" si="196"/>
        <v>0.15507485581630021</v>
      </c>
    </row>
    <row r="179" spans="2:31" ht="12.75" customHeight="1">
      <c r="B179" s="492" t="s">
        <v>447</v>
      </c>
      <c r="C179" s="17"/>
      <c r="D179" s="371"/>
      <c r="M179" s="475">
        <v>0.14799999999999999</v>
      </c>
      <c r="N179" s="475">
        <v>0.37</v>
      </c>
      <c r="O179" s="475">
        <v>0.37</v>
      </c>
      <c r="P179" s="475">
        <v>0.37</v>
      </c>
      <c r="Q179" s="475">
        <f t="shared" ref="Q179" si="197">P179</f>
        <v>0.37</v>
      </c>
      <c r="R179" s="475">
        <f>Q179*0.995</f>
        <v>0.36814999999999998</v>
      </c>
      <c r="S179" s="475">
        <f t="shared" ref="S179:AE179" si="198">R179*0.995</f>
        <v>0.36630924999999998</v>
      </c>
      <c r="T179" s="475">
        <f t="shared" si="198"/>
        <v>0.36447770374999999</v>
      </c>
      <c r="U179" s="475">
        <f t="shared" si="198"/>
        <v>0.36265531523125</v>
      </c>
      <c r="V179" s="475">
        <f t="shared" si="198"/>
        <v>0.36084203865509373</v>
      </c>
      <c r="W179" s="475">
        <f t="shared" si="198"/>
        <v>0.35903782846181825</v>
      </c>
      <c r="X179" s="475">
        <f t="shared" si="198"/>
        <v>0.35724263931950917</v>
      </c>
      <c r="Y179" s="475">
        <f t="shared" si="198"/>
        <v>0.35545642612291162</v>
      </c>
      <c r="Z179" s="475">
        <f t="shared" si="198"/>
        <v>0.35367914399229705</v>
      </c>
      <c r="AA179" s="475">
        <f t="shared" si="198"/>
        <v>0.35191074827233554</v>
      </c>
      <c r="AB179" s="475">
        <f t="shared" si="198"/>
        <v>0.35015119453097387</v>
      </c>
      <c r="AC179" s="475">
        <f t="shared" si="198"/>
        <v>0.34840043855831898</v>
      </c>
      <c r="AD179" s="475">
        <f t="shared" si="198"/>
        <v>0.3466584363655274</v>
      </c>
      <c r="AE179" s="475">
        <f t="shared" si="198"/>
        <v>0.34492514418369974</v>
      </c>
    </row>
    <row r="180" spans="2:31" ht="12.75" customHeight="1">
      <c r="B180" s="492" t="s">
        <v>448</v>
      </c>
      <c r="C180" s="17"/>
      <c r="D180" s="371"/>
      <c r="N180" s="475">
        <v>0.27500000000000002</v>
      </c>
      <c r="O180" s="475">
        <v>0.5</v>
      </c>
      <c r="P180" s="475">
        <v>0.5</v>
      </c>
      <c r="Q180" s="475">
        <v>0.52500000000000002</v>
      </c>
      <c r="R180" s="475">
        <v>0.51500000000000001</v>
      </c>
      <c r="S180" s="475">
        <v>0.505</v>
      </c>
      <c r="T180" s="475">
        <v>0.5</v>
      </c>
      <c r="U180" s="475">
        <f t="shared" ref="U180:AE180" si="199">T180</f>
        <v>0.5</v>
      </c>
      <c r="V180" s="475">
        <f t="shared" si="199"/>
        <v>0.5</v>
      </c>
      <c r="W180" s="475">
        <f t="shared" si="199"/>
        <v>0.5</v>
      </c>
      <c r="X180" s="475">
        <f t="shared" si="199"/>
        <v>0.5</v>
      </c>
      <c r="Y180" s="475">
        <f t="shared" si="199"/>
        <v>0.5</v>
      </c>
      <c r="Z180" s="475">
        <f t="shared" si="199"/>
        <v>0.5</v>
      </c>
      <c r="AA180" s="475">
        <f t="shared" si="199"/>
        <v>0.5</v>
      </c>
      <c r="AB180" s="475">
        <f t="shared" si="199"/>
        <v>0.5</v>
      </c>
      <c r="AC180" s="475">
        <f t="shared" si="199"/>
        <v>0.5</v>
      </c>
      <c r="AD180" s="475">
        <f t="shared" si="199"/>
        <v>0.5</v>
      </c>
      <c r="AE180" s="475">
        <f t="shared" si="199"/>
        <v>0.5</v>
      </c>
    </row>
    <row r="181" spans="2:31" ht="12.75" customHeight="1">
      <c r="B181" s="492" t="s">
        <v>449</v>
      </c>
      <c r="C181" s="17"/>
      <c r="D181" s="371"/>
      <c r="J181" s="7">
        <f>1-J180-J179-J178</f>
        <v>0.65</v>
      </c>
      <c r="K181" s="7">
        <f t="shared" ref="K181:T181" si="200">1-K180-K179-K178</f>
        <v>0.6</v>
      </c>
      <c r="L181" s="7">
        <f t="shared" si="200"/>
        <v>0.6</v>
      </c>
      <c r="M181" s="7">
        <f t="shared" si="200"/>
        <v>0.55200000000000005</v>
      </c>
      <c r="N181" s="7">
        <f t="shared" si="200"/>
        <v>0.20499999999999999</v>
      </c>
      <c r="O181" s="7">
        <f t="shared" si="200"/>
        <v>1.0000000000000009E-2</v>
      </c>
      <c r="P181" s="7">
        <f t="shared" si="200"/>
        <v>0</v>
      </c>
      <c r="Q181" s="7">
        <f t="shared" si="200"/>
        <v>0</v>
      </c>
      <c r="R181" s="7">
        <f t="shared" si="200"/>
        <v>0</v>
      </c>
      <c r="S181" s="7">
        <f t="shared" si="200"/>
        <v>0</v>
      </c>
      <c r="T181" s="7">
        <f t="shared" si="200"/>
        <v>0</v>
      </c>
      <c r="U181" s="7">
        <f t="shared" ref="U181:AE181" si="201">1-U180-U179-U178</f>
        <v>0</v>
      </c>
      <c r="V181" s="7">
        <f t="shared" si="201"/>
        <v>0</v>
      </c>
      <c r="W181" s="7">
        <f t="shared" si="201"/>
        <v>0</v>
      </c>
      <c r="X181" s="7">
        <f t="shared" si="201"/>
        <v>0</v>
      </c>
      <c r="Y181" s="7">
        <f t="shared" si="201"/>
        <v>0</v>
      </c>
      <c r="Z181" s="7">
        <f t="shared" si="201"/>
        <v>0</v>
      </c>
      <c r="AA181" s="7">
        <f t="shared" si="201"/>
        <v>0</v>
      </c>
      <c r="AB181" s="7">
        <f t="shared" si="201"/>
        <v>0</v>
      </c>
      <c r="AC181" s="7">
        <f t="shared" si="201"/>
        <v>0</v>
      </c>
      <c r="AD181" s="7">
        <f t="shared" si="201"/>
        <v>0</v>
      </c>
      <c r="AE181" s="7">
        <f t="shared" si="201"/>
        <v>0</v>
      </c>
    </row>
    <row r="182" spans="2:31" ht="12.75" customHeight="1">
      <c r="D182" s="371"/>
    </row>
    <row r="183" spans="2:31" s="25" customFormat="1" ht="12.75" customHeight="1">
      <c r="B183" s="359" t="s">
        <v>420</v>
      </c>
      <c r="C183" s="16"/>
      <c r="D183" s="371"/>
      <c r="E183" s="5">
        <f t="shared" ref="E183:T183" si="202">E140*E134</f>
        <v>3669.8764137454286</v>
      </c>
      <c r="F183" s="5">
        <f t="shared" si="202"/>
        <v>3748.3731336988344</v>
      </c>
      <c r="G183" s="5">
        <f t="shared" si="202"/>
        <v>3950.9450150378461</v>
      </c>
      <c r="H183" s="5">
        <f t="shared" si="202"/>
        <v>4081.2119489463653</v>
      </c>
      <c r="I183" s="5">
        <f t="shared" si="202"/>
        <v>4170.5265983105119</v>
      </c>
      <c r="J183" s="5">
        <f t="shared" si="202"/>
        <v>4293.8938420270997</v>
      </c>
      <c r="K183" s="5">
        <f t="shared" si="202"/>
        <v>4440.9465964284482</v>
      </c>
      <c r="L183" s="5">
        <f t="shared" si="202"/>
        <v>4581.5934564632807</v>
      </c>
      <c r="M183" s="5">
        <f t="shared" si="202"/>
        <v>4726.5260173045272</v>
      </c>
      <c r="N183" s="5">
        <f t="shared" si="202"/>
        <v>4765.154256195352</v>
      </c>
      <c r="O183" s="5">
        <f t="shared" si="202"/>
        <v>5110.6545756939977</v>
      </c>
      <c r="P183" s="5">
        <f t="shared" si="202"/>
        <v>4969.3520815303455</v>
      </c>
      <c r="Q183" s="5">
        <f t="shared" si="202"/>
        <v>5281.550623357226</v>
      </c>
      <c r="R183" s="5">
        <f t="shared" si="202"/>
        <v>5584.584620681966</v>
      </c>
      <c r="S183" s="5">
        <f t="shared" si="202"/>
        <v>5484.5115179936874</v>
      </c>
      <c r="T183" s="5">
        <f t="shared" si="202"/>
        <v>5346.2821691424842</v>
      </c>
      <c r="U183" s="5">
        <f>U140*U134</f>
        <v>5170.9657424279312</v>
      </c>
      <c r="V183" s="5">
        <f t="shared" ref="V183:AB183" si="203">V140*V134</f>
        <v>5624.2136081564713</v>
      </c>
      <c r="W183" s="5">
        <f t="shared" si="203"/>
        <v>6069.7387788217466</v>
      </c>
      <c r="X183" s="5">
        <f t="shared" si="203"/>
        <v>6504.8527323021408</v>
      </c>
      <c r="Y183" s="5">
        <f t="shared" si="203"/>
        <v>6926.9291320277798</v>
      </c>
      <c r="Z183" s="5">
        <f t="shared" si="203"/>
        <v>7333.3950305079243</v>
      </c>
      <c r="AA183" s="5">
        <f t="shared" si="203"/>
        <v>7499.9970594104134</v>
      </c>
      <c r="AB183" s="5">
        <f t="shared" si="203"/>
        <v>7646.6919531776484</v>
      </c>
      <c r="AC183" s="5">
        <f>AC140*AC134</f>
        <v>7772.4945571079024</v>
      </c>
      <c r="AD183" s="5">
        <f>AD140*AD134</f>
        <v>7876.4343863922932</v>
      </c>
      <c r="AE183" s="5">
        <f>AE140*AE134</f>
        <v>7957.5540623492325</v>
      </c>
    </row>
    <row r="184" spans="2:31" ht="12.75" customHeight="1">
      <c r="B184" s="11" t="s">
        <v>51</v>
      </c>
      <c r="C184" s="17"/>
      <c r="D184" s="371"/>
      <c r="E184" s="5">
        <f t="shared" ref="E184:I186" si="204">E$171*E178</f>
        <v>0</v>
      </c>
      <c r="F184" s="5">
        <f t="shared" si="204"/>
        <v>0</v>
      </c>
      <c r="G184" s="5">
        <f t="shared" si="204"/>
        <v>0</v>
      </c>
      <c r="H184" s="5">
        <f t="shared" si="204"/>
        <v>0</v>
      </c>
      <c r="I184" s="5">
        <f t="shared" si="204"/>
        <v>0</v>
      </c>
      <c r="J184" s="5">
        <f t="shared" ref="J184:T184" si="205">J183*J178</f>
        <v>1502.8628447094848</v>
      </c>
      <c r="K184" s="5">
        <f t="shared" si="205"/>
        <v>1776.3786385713793</v>
      </c>
      <c r="L184" s="5">
        <f t="shared" si="205"/>
        <v>1832.6373825853125</v>
      </c>
      <c r="M184" s="5">
        <f t="shared" si="205"/>
        <v>1417.9578051913581</v>
      </c>
      <c r="N184" s="5">
        <f t="shared" si="205"/>
        <v>714.77313842930278</v>
      </c>
      <c r="O184" s="5">
        <f t="shared" si="205"/>
        <v>613.2785490832797</v>
      </c>
      <c r="P184" s="5">
        <f t="shared" si="205"/>
        <v>646.01577059894498</v>
      </c>
      <c r="Q184" s="5">
        <f t="shared" si="205"/>
        <v>554.56281545250863</v>
      </c>
      <c r="R184" s="5">
        <f t="shared" si="205"/>
        <v>652.5587129266878</v>
      </c>
      <c r="S184" s="5">
        <f t="shared" si="205"/>
        <v>705.80590063424597</v>
      </c>
      <c r="T184" s="5">
        <f t="shared" si="205"/>
        <v>724.54043596262045</v>
      </c>
      <c r="U184" s="5">
        <f>U183*U178</f>
        <v>710.20465984376983</v>
      </c>
      <c r="V184" s="5">
        <f t="shared" ref="V184:AB184" si="206">V183*V178</f>
        <v>782.65409987933435</v>
      </c>
      <c r="W184" s="5">
        <f t="shared" si="206"/>
        <v>855.60355893222447</v>
      </c>
      <c r="X184" s="5">
        <f t="shared" si="206"/>
        <v>928.615607678733</v>
      </c>
      <c r="Y184" s="5">
        <f t="shared" si="206"/>
        <v>1001.2430927366131</v>
      </c>
      <c r="Z184" s="5">
        <f t="shared" si="206"/>
        <v>1073.0286383065543</v>
      </c>
      <c r="AA184" s="5">
        <f t="shared" si="206"/>
        <v>1110.6689524877715</v>
      </c>
      <c r="AB184" s="5">
        <f t="shared" si="206"/>
        <v>1145.8476549732848</v>
      </c>
      <c r="AC184" s="5">
        <f>AC183*AC178</f>
        <v>1178.3067661654104</v>
      </c>
      <c r="AD184" s="5">
        <f>AD183*AD178</f>
        <v>1207.7847646737221</v>
      </c>
      <c r="AE184" s="5">
        <f>AE183*AE178</f>
        <v>1234.0165488692212</v>
      </c>
    </row>
    <row r="185" spans="2:31" ht="12.75" customHeight="1">
      <c r="B185" s="11" t="s">
        <v>52</v>
      </c>
      <c r="C185" s="17"/>
      <c r="D185" s="371"/>
      <c r="E185" s="5">
        <f t="shared" si="204"/>
        <v>0</v>
      </c>
      <c r="F185" s="5">
        <f t="shared" si="204"/>
        <v>0</v>
      </c>
      <c r="G185" s="5">
        <f t="shared" si="204"/>
        <v>0</v>
      </c>
      <c r="H185" s="5">
        <f t="shared" si="204"/>
        <v>0</v>
      </c>
      <c r="I185" s="5">
        <f t="shared" si="204"/>
        <v>0</v>
      </c>
      <c r="J185" s="5">
        <f t="shared" ref="J185:T185" si="207">J$183*J179</f>
        <v>0</v>
      </c>
      <c r="K185" s="5">
        <f t="shared" si="207"/>
        <v>0</v>
      </c>
      <c r="L185" s="5">
        <f t="shared" si="207"/>
        <v>0</v>
      </c>
      <c r="M185" s="5">
        <f t="shared" si="207"/>
        <v>699.52585056107</v>
      </c>
      <c r="N185" s="5">
        <f t="shared" si="207"/>
        <v>1763.1070747922802</v>
      </c>
      <c r="O185" s="5">
        <f t="shared" si="207"/>
        <v>1890.9421930067792</v>
      </c>
      <c r="P185" s="5">
        <f t="shared" si="207"/>
        <v>1838.6602701662277</v>
      </c>
      <c r="Q185" s="5">
        <f t="shared" si="207"/>
        <v>1954.1737306421735</v>
      </c>
      <c r="R185" s="5">
        <f t="shared" si="207"/>
        <v>2055.9648281040659</v>
      </c>
      <c r="S185" s="5">
        <f t="shared" si="207"/>
        <v>2009.0273007726289</v>
      </c>
      <c r="T185" s="5">
        <f t="shared" si="207"/>
        <v>1948.6006486086217</v>
      </c>
      <c r="U185" s="5">
        <f>U$183*U179</f>
        <v>1875.278211370196</v>
      </c>
      <c r="V185" s="5">
        <f>V$183*V179</f>
        <v>2029.4527041989015</v>
      </c>
      <c r="W185" s="5">
        <f t="shared" ref="W185:AB185" si="208">W$183*W179</f>
        <v>2179.2658304786482</v>
      </c>
      <c r="X185" s="5">
        <f t="shared" si="208"/>
        <v>2323.8107584723375</v>
      </c>
      <c r="Y185" s="5">
        <f t="shared" si="208"/>
        <v>2462.2214732772768</v>
      </c>
      <c r="Z185" s="5">
        <f t="shared" si="208"/>
        <v>2593.6688769474076</v>
      </c>
      <c r="AA185" s="5">
        <f t="shared" si="208"/>
        <v>2639.3295772174347</v>
      </c>
      <c r="AB185" s="5">
        <f t="shared" si="208"/>
        <v>2677.4983216155392</v>
      </c>
      <c r="AC185" s="5">
        <f t="shared" ref="AC185:AE186" si="209">AC$183*AC179</f>
        <v>2707.9405123885404</v>
      </c>
      <c r="AD185" s="5">
        <f t="shared" si="209"/>
        <v>2730.4324285224247</v>
      </c>
      <c r="AE185" s="5">
        <f t="shared" si="209"/>
        <v>2744.7604823053948</v>
      </c>
    </row>
    <row r="186" spans="2:31" ht="12.75" customHeight="1">
      <c r="B186" s="11" t="s">
        <v>53</v>
      </c>
      <c r="C186" s="17"/>
      <c r="D186" s="371"/>
      <c r="E186" s="5">
        <f t="shared" si="204"/>
        <v>0</v>
      </c>
      <c r="F186" s="5">
        <f t="shared" si="204"/>
        <v>0</v>
      </c>
      <c r="G186" s="5">
        <f t="shared" si="204"/>
        <v>0</v>
      </c>
      <c r="H186" s="5">
        <f t="shared" si="204"/>
        <v>0</v>
      </c>
      <c r="I186" s="5">
        <f t="shared" si="204"/>
        <v>0</v>
      </c>
      <c r="J186" s="5">
        <f t="shared" ref="J186:T186" si="210">J$183*J180</f>
        <v>0</v>
      </c>
      <c r="K186" s="5">
        <f t="shared" si="210"/>
        <v>0</v>
      </c>
      <c r="L186" s="5">
        <f t="shared" si="210"/>
        <v>0</v>
      </c>
      <c r="M186" s="5">
        <f t="shared" si="210"/>
        <v>0</v>
      </c>
      <c r="N186" s="5">
        <f t="shared" si="210"/>
        <v>1310.4174204537219</v>
      </c>
      <c r="O186" s="5">
        <f t="shared" si="210"/>
        <v>2555.3272878469988</v>
      </c>
      <c r="P186" s="5">
        <f t="shared" si="210"/>
        <v>2484.6760407651727</v>
      </c>
      <c r="Q186" s="5">
        <f t="shared" si="210"/>
        <v>2772.8140772625438</v>
      </c>
      <c r="R186" s="5">
        <f t="shared" si="210"/>
        <v>2876.0610796512124</v>
      </c>
      <c r="S186" s="5">
        <f t="shared" si="210"/>
        <v>2769.6783165868123</v>
      </c>
      <c r="T186" s="5">
        <f t="shared" si="210"/>
        <v>2673.1410845712421</v>
      </c>
      <c r="U186" s="5">
        <f>U$183*U180</f>
        <v>2585.4828712139656</v>
      </c>
      <c r="V186" s="5">
        <f t="shared" ref="V186:AB186" si="211">V$183*V180</f>
        <v>2812.1068040782357</v>
      </c>
      <c r="W186" s="5">
        <f t="shared" si="211"/>
        <v>3034.8693894108733</v>
      </c>
      <c r="X186" s="5">
        <f t="shared" si="211"/>
        <v>3252.4263661510704</v>
      </c>
      <c r="Y186" s="5">
        <f t="shared" si="211"/>
        <v>3463.4645660138899</v>
      </c>
      <c r="Z186" s="5">
        <f t="shared" si="211"/>
        <v>3666.6975152539621</v>
      </c>
      <c r="AA186" s="5">
        <f t="shared" si="211"/>
        <v>3749.9985297052067</v>
      </c>
      <c r="AB186" s="5">
        <f t="shared" si="211"/>
        <v>3823.3459765888242</v>
      </c>
      <c r="AC186" s="5">
        <f t="shared" si="209"/>
        <v>3886.2472785539512</v>
      </c>
      <c r="AD186" s="5">
        <f t="shared" si="209"/>
        <v>3938.2171931961466</v>
      </c>
      <c r="AE186" s="5">
        <f t="shared" si="209"/>
        <v>3978.7770311746162</v>
      </c>
    </row>
    <row r="187" spans="2:31" ht="12.75" customHeight="1" thickBot="1">
      <c r="D187" s="371"/>
    </row>
    <row r="188" spans="2:31" ht="12.75" customHeight="1">
      <c r="B188" s="469" t="s">
        <v>452</v>
      </c>
      <c r="C188" s="469"/>
      <c r="D188" s="472"/>
      <c r="E188" s="472"/>
      <c r="F188" s="472"/>
      <c r="G188" s="472"/>
      <c r="H188" s="472"/>
      <c r="I188" s="472"/>
      <c r="J188" s="472"/>
      <c r="K188" s="472"/>
      <c r="L188" s="472"/>
      <c r="M188" s="472"/>
      <c r="N188" s="472"/>
      <c r="O188" s="472"/>
      <c r="P188" s="472"/>
      <c r="Q188" s="472"/>
      <c r="R188" s="472"/>
      <c r="S188" s="472"/>
      <c r="T188" s="472"/>
      <c r="U188" s="472"/>
      <c r="V188" s="440"/>
      <c r="W188" s="440"/>
      <c r="X188" s="440"/>
      <c r="Y188" s="440"/>
      <c r="Z188" s="440"/>
      <c r="AA188" s="440"/>
      <c r="AB188" s="440"/>
      <c r="AC188" s="440"/>
      <c r="AD188" s="440"/>
      <c r="AE188" s="440"/>
    </row>
    <row r="189" spans="2:31" ht="12.75" customHeight="1">
      <c r="B189" s="498" t="s">
        <v>459</v>
      </c>
      <c r="C189" s="498"/>
      <c r="D189" s="499" t="s">
        <v>26</v>
      </c>
      <c r="E189" s="498"/>
      <c r="F189" s="498"/>
      <c r="G189" s="498"/>
      <c r="H189" s="498"/>
      <c r="I189" s="498"/>
      <c r="J189" s="498"/>
      <c r="K189" s="498"/>
      <c r="L189" s="498"/>
      <c r="M189" s="498"/>
      <c r="N189" s="498"/>
      <c r="O189" s="498"/>
      <c r="P189" s="498"/>
      <c r="Q189" s="498"/>
      <c r="R189" s="498"/>
      <c r="S189" s="498"/>
      <c r="T189" s="498"/>
      <c r="U189" s="498"/>
      <c r="V189" s="515"/>
      <c r="W189" s="515"/>
      <c r="X189" s="515"/>
      <c r="Y189" s="515"/>
      <c r="Z189" s="515"/>
      <c r="AA189" s="515"/>
      <c r="AB189" s="515"/>
      <c r="AC189" s="515"/>
      <c r="AD189" s="515"/>
      <c r="AE189" s="515"/>
    </row>
    <row r="190" spans="2:31" s="28" customFormat="1" ht="12.75" customHeight="1">
      <c r="B190"/>
      <c r="C190"/>
      <c r="D190" s="371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2:31" ht="12.75" customHeight="1">
      <c r="B191" s="10" t="s">
        <v>47</v>
      </c>
      <c r="C191" s="373"/>
      <c r="D191" s="371"/>
      <c r="J191" s="24">
        <f t="shared" ref="J191:T191" si="212">J76</f>
        <v>6530.3959666809315</v>
      </c>
      <c r="K191" s="24">
        <f t="shared" si="212"/>
        <v>6787.5164141883424</v>
      </c>
      <c r="L191" s="24">
        <f t="shared" si="212"/>
        <v>7000</v>
      </c>
      <c r="M191" s="24">
        <f t="shared" si="212"/>
        <v>7342.68942852492</v>
      </c>
      <c r="N191" s="24">
        <f t="shared" si="212"/>
        <v>7640.8990798539453</v>
      </c>
      <c r="O191" s="24">
        <f t="shared" si="212"/>
        <v>8022.9440338466429</v>
      </c>
      <c r="P191" s="24">
        <f t="shared" si="212"/>
        <v>8584.5501162159089</v>
      </c>
      <c r="Q191" s="24">
        <f t="shared" si="212"/>
        <v>9228.3913749321018</v>
      </c>
      <c r="R191" s="24">
        <f t="shared" si="212"/>
        <v>9874.3787711773493</v>
      </c>
      <c r="S191" s="24">
        <f t="shared" si="212"/>
        <v>10565.585285159765</v>
      </c>
      <c r="T191" s="24">
        <f t="shared" si="212"/>
        <v>11305.176255120949</v>
      </c>
      <c r="U191" s="24">
        <f>U76</f>
        <v>12096.538592979416</v>
      </c>
      <c r="V191" s="24">
        <f t="shared" ref="V191:AE191" si="213">V76</f>
        <v>12943.296294487975</v>
      </c>
      <c r="W191" s="24">
        <f t="shared" si="213"/>
        <v>13849.327035102133</v>
      </c>
      <c r="X191" s="24">
        <f t="shared" si="213"/>
        <v>14818.779927559282</v>
      </c>
      <c r="Y191" s="24">
        <f t="shared" si="213"/>
        <v>15856.094522488433</v>
      </c>
      <c r="Z191" s="24">
        <f t="shared" si="213"/>
        <v>16966.021139062625</v>
      </c>
      <c r="AA191" s="24">
        <f t="shared" si="213"/>
        <v>18153.64261879701</v>
      </c>
      <c r="AB191" s="24">
        <f t="shared" si="213"/>
        <v>19424.397602112804</v>
      </c>
      <c r="AC191" s="24">
        <f t="shared" si="213"/>
        <v>20784.105434260702</v>
      </c>
      <c r="AD191" s="24">
        <f t="shared" si="213"/>
        <v>22238.992814658952</v>
      </c>
      <c r="AE191" s="24">
        <f t="shared" si="213"/>
        <v>23795.72231168508</v>
      </c>
    </row>
    <row r="192" spans="2:31" ht="12.75" customHeight="1">
      <c r="D192" s="371"/>
    </row>
    <row r="193" spans="2:31" ht="12.75" customHeight="1">
      <c r="B193" s="11" t="s">
        <v>35</v>
      </c>
      <c r="C193" s="11"/>
      <c r="D193" s="19">
        <v>1.05</v>
      </c>
      <c r="J193" s="12">
        <v>7</v>
      </c>
      <c r="K193" s="12">
        <f>J193*D193</f>
        <v>7.3500000000000005</v>
      </c>
      <c r="L193" s="12">
        <f>K193*$D$193</f>
        <v>7.7175000000000011</v>
      </c>
      <c r="M193" s="12">
        <f>L193*$D$193</f>
        <v>8.1033750000000015</v>
      </c>
      <c r="N193" s="12">
        <f t="shared" ref="N193:T193" si="214">M193*$D$193</f>
        <v>8.5085437500000012</v>
      </c>
      <c r="O193" s="12">
        <f t="shared" si="214"/>
        <v>8.9339709375000016</v>
      </c>
      <c r="P193" s="12">
        <v>10</v>
      </c>
      <c r="Q193" s="12">
        <f t="shared" si="214"/>
        <v>10.5</v>
      </c>
      <c r="R193" s="12">
        <f t="shared" si="214"/>
        <v>11.025</v>
      </c>
      <c r="S193" s="12">
        <f t="shared" si="214"/>
        <v>11.576250000000002</v>
      </c>
      <c r="T193" s="12">
        <f t="shared" si="214"/>
        <v>12.155062500000001</v>
      </c>
      <c r="U193" s="12">
        <f>T193*$D$193</f>
        <v>12.762815625000002</v>
      </c>
      <c r="V193" s="12">
        <f t="shared" ref="V193:AB193" si="215">U193*$D$193</f>
        <v>13.400956406250003</v>
      </c>
      <c r="W193" s="12">
        <f t="shared" si="215"/>
        <v>14.071004226562504</v>
      </c>
      <c r="X193" s="12">
        <f t="shared" si="215"/>
        <v>14.774554437890631</v>
      </c>
      <c r="Y193" s="12">
        <f t="shared" si="215"/>
        <v>15.513282159785163</v>
      </c>
      <c r="Z193" s="12">
        <f t="shared" si="215"/>
        <v>16.288946267774421</v>
      </c>
      <c r="AA193" s="12">
        <f t="shared" si="215"/>
        <v>17.103393581163143</v>
      </c>
      <c r="AB193" s="12">
        <f t="shared" si="215"/>
        <v>17.9585632602213</v>
      </c>
      <c r="AC193" s="12">
        <f>AB193*$D$193</f>
        <v>18.856491423232367</v>
      </c>
      <c r="AD193" s="12">
        <f>AC193*$D$193</f>
        <v>19.799315994393986</v>
      </c>
      <c r="AE193" s="12">
        <f>AD193*$D$193</f>
        <v>20.789281794113688</v>
      </c>
    </row>
    <row r="194" spans="2:31" s="25" customFormat="1" ht="12.75" customHeight="1">
      <c r="B194" s="11" t="s">
        <v>36</v>
      </c>
      <c r="C194" s="11"/>
      <c r="D194" s="19">
        <v>1.03</v>
      </c>
      <c r="E194"/>
      <c r="F194"/>
      <c r="G194"/>
      <c r="H194"/>
      <c r="I194"/>
      <c r="J194" s="12">
        <f>J193*0.6</f>
        <v>4.2</v>
      </c>
      <c r="K194" s="12">
        <f>J194*D194</f>
        <v>4.3260000000000005</v>
      </c>
      <c r="L194" s="12">
        <f>K194*$D$194</f>
        <v>4.4557800000000007</v>
      </c>
      <c r="M194" s="12">
        <f>L194*$D$194</f>
        <v>4.5894534000000009</v>
      </c>
      <c r="N194" s="12">
        <f t="shared" ref="N194:P195" si="216">M194</f>
        <v>4.5894534000000009</v>
      </c>
      <c r="O194" s="12">
        <f t="shared" si="216"/>
        <v>4.5894534000000009</v>
      </c>
      <c r="P194" s="12">
        <f t="shared" si="216"/>
        <v>4.5894534000000009</v>
      </c>
      <c r="Q194" s="12">
        <v>5</v>
      </c>
      <c r="R194" s="12">
        <v>5.5</v>
      </c>
      <c r="S194" s="12">
        <v>6</v>
      </c>
      <c r="T194" s="12">
        <v>6.5</v>
      </c>
      <c r="U194" s="12">
        <v>7</v>
      </c>
      <c r="V194" s="12">
        <f t="shared" ref="V194:AB194" si="217">U194</f>
        <v>7</v>
      </c>
      <c r="W194" s="12">
        <f t="shared" si="217"/>
        <v>7</v>
      </c>
      <c r="X194" s="12">
        <f t="shared" si="217"/>
        <v>7</v>
      </c>
      <c r="Y194" s="12">
        <f t="shared" si="217"/>
        <v>7</v>
      </c>
      <c r="Z194" s="12">
        <f t="shared" si="217"/>
        <v>7</v>
      </c>
      <c r="AA194" s="12">
        <f t="shared" si="217"/>
        <v>7</v>
      </c>
      <c r="AB194" s="12">
        <f t="shared" si="217"/>
        <v>7</v>
      </c>
      <c r="AC194" s="12">
        <f t="shared" ref="AC194:AE195" si="218">AB194</f>
        <v>7</v>
      </c>
      <c r="AD194" s="12">
        <f t="shared" si="218"/>
        <v>7</v>
      </c>
      <c r="AE194" s="12">
        <f t="shared" si="218"/>
        <v>7</v>
      </c>
    </row>
    <row r="195" spans="2:31" ht="12.75" customHeight="1">
      <c r="B195" s="11" t="s">
        <v>37</v>
      </c>
      <c r="C195" s="11"/>
      <c r="D195" s="19">
        <v>1.02</v>
      </c>
      <c r="J195" s="12">
        <f>J194*0.75</f>
        <v>3.1500000000000004</v>
      </c>
      <c r="K195" s="12">
        <f>J195*D195</f>
        <v>3.2130000000000005</v>
      </c>
      <c r="L195" s="12">
        <f>K195*$D$195</f>
        <v>3.2772600000000005</v>
      </c>
      <c r="M195" s="12">
        <f>L195*$D$195</f>
        <v>3.3428052000000004</v>
      </c>
      <c r="N195" s="12">
        <f t="shared" si="216"/>
        <v>3.3428052000000004</v>
      </c>
      <c r="O195" s="12">
        <f t="shared" si="216"/>
        <v>3.3428052000000004</v>
      </c>
      <c r="P195" s="12">
        <f t="shared" si="216"/>
        <v>3.3428052000000004</v>
      </c>
      <c r="Q195" s="12">
        <v>4</v>
      </c>
      <c r="R195" s="12">
        <v>4.5</v>
      </c>
      <c r="S195" s="12">
        <v>5</v>
      </c>
      <c r="T195" s="12">
        <v>5.5</v>
      </c>
      <c r="U195" s="12">
        <v>6</v>
      </c>
      <c r="V195" s="12">
        <f t="shared" ref="V195:AB195" si="219">U195</f>
        <v>6</v>
      </c>
      <c r="W195" s="12">
        <f t="shared" si="219"/>
        <v>6</v>
      </c>
      <c r="X195" s="12">
        <f t="shared" si="219"/>
        <v>6</v>
      </c>
      <c r="Y195" s="12">
        <f t="shared" si="219"/>
        <v>6</v>
      </c>
      <c r="Z195" s="12">
        <f t="shared" si="219"/>
        <v>6</v>
      </c>
      <c r="AA195" s="12">
        <f t="shared" si="219"/>
        <v>6</v>
      </c>
      <c r="AB195" s="12">
        <f t="shared" si="219"/>
        <v>6</v>
      </c>
      <c r="AC195" s="12">
        <f t="shared" si="218"/>
        <v>6</v>
      </c>
      <c r="AD195" s="12">
        <f t="shared" si="218"/>
        <v>6</v>
      </c>
      <c r="AE195" s="12">
        <f t="shared" si="218"/>
        <v>6</v>
      </c>
    </row>
    <row r="196" spans="2:31" ht="12.75" customHeight="1">
      <c r="B196" s="11"/>
      <c r="C196" s="11"/>
      <c r="D196" s="19"/>
      <c r="K196" s="13"/>
      <c r="L196" s="13"/>
      <c r="M196" s="13"/>
    </row>
    <row r="197" spans="2:31" ht="12.75" customHeight="1">
      <c r="B197" s="527" t="s">
        <v>382</v>
      </c>
      <c r="C197" s="528"/>
      <c r="D197" s="511"/>
      <c r="E197" s="510"/>
      <c r="F197" s="510"/>
      <c r="G197" s="510"/>
      <c r="H197" s="510"/>
      <c r="I197" s="510"/>
      <c r="J197" s="512">
        <f t="shared" ref="J197:AE197" si="220">+(J193*J160+J194*J172+J195*J184)*J191/1000000</f>
        <v>449.45907959274979</v>
      </c>
      <c r="K197" s="512">
        <f t="shared" si="220"/>
        <v>641.20725802967195</v>
      </c>
      <c r="L197" s="512">
        <f t="shared" si="220"/>
        <v>619.94562060098337</v>
      </c>
      <c r="M197" s="512">
        <f t="shared" si="220"/>
        <v>580.20788190921871</v>
      </c>
      <c r="N197" s="512">
        <f t="shared" si="220"/>
        <v>556.00545840723396</v>
      </c>
      <c r="O197" s="512">
        <f t="shared" si="220"/>
        <v>540.63359231416905</v>
      </c>
      <c r="P197" s="512">
        <f t="shared" si="220"/>
        <v>681.87110815545395</v>
      </c>
      <c r="Q197" s="512">
        <f t="shared" si="220"/>
        <v>986.28100806784983</v>
      </c>
      <c r="R197" s="512">
        <f t="shared" si="220"/>
        <v>1214.2496029549902</v>
      </c>
      <c r="S197" s="512">
        <f t="shared" si="220"/>
        <v>1467.5724242413607</v>
      </c>
      <c r="T197" s="512">
        <f t="shared" si="220"/>
        <v>1763.5698597586968</v>
      </c>
      <c r="U197" s="512">
        <f t="shared" si="220"/>
        <v>2108.2967971179814</v>
      </c>
      <c r="V197" s="512">
        <f t="shared" si="220"/>
        <v>2425.7491332356931</v>
      </c>
      <c r="W197" s="512">
        <f t="shared" si="220"/>
        <v>2784.5518451721191</v>
      </c>
      <c r="X197" s="512">
        <f t="shared" si="220"/>
        <v>3189.3901295164865</v>
      </c>
      <c r="Y197" s="512">
        <f t="shared" si="220"/>
        <v>3645.3501458100354</v>
      </c>
      <c r="Z197" s="512">
        <f t="shared" si="220"/>
        <v>4157.9217538560679</v>
      </c>
      <c r="AA197" s="512">
        <f t="shared" si="220"/>
        <v>4769.8230734030831</v>
      </c>
      <c r="AB197" s="512">
        <f t="shared" si="220"/>
        <v>5462.0027399005385</v>
      </c>
      <c r="AC197" s="512">
        <f t="shared" si="220"/>
        <v>6243.3759797057364</v>
      </c>
      <c r="AD197" s="512">
        <f t="shared" si="220"/>
        <v>7123.4590407854448</v>
      </c>
      <c r="AE197" s="512">
        <f t="shared" si="220"/>
        <v>8112.2952574147603</v>
      </c>
    </row>
    <row r="198" spans="2:31" ht="12.75" customHeight="1">
      <c r="B198" s="27" t="s">
        <v>48</v>
      </c>
      <c r="C198" s="28"/>
      <c r="D198" s="29"/>
      <c r="E198" s="28"/>
      <c r="F198" s="28"/>
      <c r="G198" s="28"/>
      <c r="H198" s="28"/>
      <c r="I198" s="28"/>
      <c r="J198" s="30">
        <f>+(J193*J160+J194*J172+J195*J184)/SUM(J160,J172,J184)</f>
        <v>5.566119135281431</v>
      </c>
      <c r="K198" s="30">
        <f>+(K193*K160+K194*K172+K195*K184)/SUM(K160,K172,K184)</f>
        <v>5.8650455494127085</v>
      </c>
      <c r="L198" s="30">
        <f>+(L193*L160+L194*L172+L195*L184)/SUM(L160,L172,L184)</f>
        <v>6.0416086165465277</v>
      </c>
      <c r="M198" s="30">
        <f>+(M193*M160+M194*M172+M195*M184)/SUM(M160,M172,M184)</f>
        <v>6.3810016125078013</v>
      </c>
      <c r="N198" s="30">
        <f t="shared" ref="N198:T198" si="221">+(N193*N$160+N194*N$172+N195*N$184)/SUM(N$160,N$172,N$184)</f>
        <v>6.7297289661758439</v>
      </c>
      <c r="O198" s="30">
        <f t="shared" si="221"/>
        <v>7.0549248518067005</v>
      </c>
      <c r="P198" s="30">
        <f t="shared" si="221"/>
        <v>7.7348668948093948</v>
      </c>
      <c r="Q198" s="30">
        <f t="shared" si="221"/>
        <v>8.5920643310047176</v>
      </c>
      <c r="R198" s="30">
        <f t="shared" si="221"/>
        <v>9.1440513865719506</v>
      </c>
      <c r="S198" s="30">
        <f t="shared" si="221"/>
        <v>9.7122456692991186</v>
      </c>
      <c r="T198" s="30">
        <f t="shared" si="221"/>
        <v>10.310788565924295</v>
      </c>
      <c r="U198" s="30">
        <f>+(U193*U$160+U194*U$172+U195*U$184)/SUM(U$160,U$172,U$184)</f>
        <v>10.939634042651658</v>
      </c>
      <c r="V198" s="30">
        <f t="shared" ref="V198:AE198" si="222">+(V193*V$160+V194*V$172+V195*V$184)/SUM(V$160,V$172,V$184)</f>
        <v>11.37017554998787</v>
      </c>
      <c r="W198" s="30">
        <f t="shared" si="222"/>
        <v>11.821604997412418</v>
      </c>
      <c r="X198" s="30">
        <f t="shared" si="222"/>
        <v>12.295015327401694</v>
      </c>
      <c r="Y198" s="30">
        <f t="shared" si="222"/>
        <v>12.791557326450375</v>
      </c>
      <c r="Z198" s="30">
        <f t="shared" si="222"/>
        <v>13.312442617054295</v>
      </c>
      <c r="AA198" s="30">
        <f t="shared" si="222"/>
        <v>13.894923215439219</v>
      </c>
      <c r="AB198" s="30">
        <f t="shared" si="222"/>
        <v>14.509745047606913</v>
      </c>
      <c r="AC198" s="30">
        <f t="shared" si="222"/>
        <v>15.158663069455027</v>
      </c>
      <c r="AD198" s="30">
        <f t="shared" si="222"/>
        <v>15.843525924114006</v>
      </c>
      <c r="AE198" s="30">
        <f t="shared" si="222"/>
        <v>16.566280829310255</v>
      </c>
    </row>
    <row r="199" spans="2:31" ht="12.75" customHeight="1">
      <c r="B199" s="27"/>
      <c r="C199" s="28"/>
      <c r="D199" s="29"/>
      <c r="E199" s="28"/>
      <c r="F199" s="28"/>
      <c r="G199" s="28"/>
      <c r="H199" s="28"/>
      <c r="I199" s="28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</row>
    <row r="200" spans="2:31" ht="12.75" customHeight="1">
      <c r="B200" s="498" t="s">
        <v>458</v>
      </c>
      <c r="C200" s="498"/>
      <c r="D200" s="499" t="s">
        <v>26</v>
      </c>
      <c r="E200" s="498"/>
      <c r="F200" s="498"/>
      <c r="G200" s="498"/>
      <c r="H200" s="498"/>
      <c r="I200" s="498"/>
      <c r="J200" s="498"/>
      <c r="K200" s="498"/>
      <c r="L200" s="498"/>
      <c r="M200" s="498"/>
      <c r="N200" s="498"/>
      <c r="O200" s="498"/>
      <c r="P200" s="498"/>
      <c r="Q200" s="498"/>
      <c r="R200" s="498"/>
      <c r="S200" s="498"/>
      <c r="T200" s="498"/>
      <c r="U200" s="498"/>
      <c r="V200" s="498"/>
      <c r="W200" s="498"/>
      <c r="X200" s="498"/>
      <c r="Y200" s="498"/>
      <c r="Z200" s="498"/>
      <c r="AA200" s="498"/>
      <c r="AB200" s="498"/>
      <c r="AC200" s="498"/>
      <c r="AD200" s="498"/>
      <c r="AE200" s="498"/>
    </row>
    <row r="201" spans="2:31" ht="12.75" customHeight="1">
      <c r="D201" s="371"/>
    </row>
    <row r="202" spans="2:31" ht="12.75" customHeight="1">
      <c r="B202" s="10" t="s">
        <v>47</v>
      </c>
      <c r="C202" s="373"/>
      <c r="D202" s="371"/>
      <c r="J202" s="24"/>
      <c r="K202" s="24"/>
      <c r="L202" s="24"/>
      <c r="M202" s="24"/>
      <c r="N202" s="24">
        <f>10445.4*0.9</f>
        <v>9400.86</v>
      </c>
      <c r="O202" s="24">
        <f t="shared" ref="O202:AE202" si="223">N202*(1+O203)</f>
        <v>9588.8772000000008</v>
      </c>
      <c r="P202" s="24">
        <f t="shared" si="223"/>
        <v>10068.321060000002</v>
      </c>
      <c r="Q202" s="24">
        <f t="shared" si="223"/>
        <v>10722.761928900001</v>
      </c>
      <c r="R202" s="24">
        <f t="shared" si="223"/>
        <v>11258.900025345001</v>
      </c>
      <c r="S202" s="24">
        <f t="shared" si="223"/>
        <v>11821.845026612253</v>
      </c>
      <c r="T202" s="24">
        <f t="shared" si="223"/>
        <v>12412.937277942865</v>
      </c>
      <c r="U202" s="24">
        <f t="shared" si="223"/>
        <v>13033.584141840009</v>
      </c>
      <c r="V202" s="24">
        <f t="shared" si="223"/>
        <v>13685.263348932011</v>
      </c>
      <c r="W202" s="24">
        <f t="shared" si="223"/>
        <v>14369.526516378612</v>
      </c>
      <c r="X202" s="24">
        <f t="shared" si="223"/>
        <v>15088.002842197542</v>
      </c>
      <c r="Y202" s="24">
        <f t="shared" si="223"/>
        <v>15842.40298430742</v>
      </c>
      <c r="Z202" s="24">
        <f t="shared" si="223"/>
        <v>16634.523133522791</v>
      </c>
      <c r="AA202" s="24">
        <f t="shared" si="223"/>
        <v>17466.249290198932</v>
      </c>
      <c r="AB202" s="24">
        <f t="shared" si="223"/>
        <v>18339.56175470888</v>
      </c>
      <c r="AC202" s="24">
        <f t="shared" si="223"/>
        <v>19256.539842444326</v>
      </c>
      <c r="AD202" s="24">
        <f t="shared" si="223"/>
        <v>20219.366834566543</v>
      </c>
      <c r="AE202" s="24">
        <f t="shared" si="223"/>
        <v>21230.33517629487</v>
      </c>
    </row>
    <row r="203" spans="2:31" ht="12.75" hidden="1" customHeight="1" outlineLevel="1">
      <c r="D203" s="371"/>
      <c r="O203" s="7">
        <v>0.02</v>
      </c>
      <c r="P203" s="7">
        <v>0.05</v>
      </c>
      <c r="Q203" s="7">
        <v>6.5000000000000002E-2</v>
      </c>
      <c r="R203" s="7">
        <v>0.05</v>
      </c>
      <c r="S203" s="7">
        <f t="shared" ref="S203:AE203" si="224">R203</f>
        <v>0.05</v>
      </c>
      <c r="T203" s="7">
        <f t="shared" si="224"/>
        <v>0.05</v>
      </c>
      <c r="U203" s="7">
        <f t="shared" si="224"/>
        <v>0.05</v>
      </c>
      <c r="V203" s="7">
        <f t="shared" si="224"/>
        <v>0.05</v>
      </c>
      <c r="W203" s="7">
        <f t="shared" si="224"/>
        <v>0.05</v>
      </c>
      <c r="X203" s="7">
        <f t="shared" si="224"/>
        <v>0.05</v>
      </c>
      <c r="Y203" s="7">
        <f t="shared" si="224"/>
        <v>0.05</v>
      </c>
      <c r="Z203" s="7">
        <f t="shared" si="224"/>
        <v>0.05</v>
      </c>
      <c r="AA203" s="7">
        <f t="shared" si="224"/>
        <v>0.05</v>
      </c>
      <c r="AB203" s="7">
        <f t="shared" si="224"/>
        <v>0.05</v>
      </c>
      <c r="AC203" s="7">
        <f t="shared" si="224"/>
        <v>0.05</v>
      </c>
      <c r="AD203" s="7">
        <f t="shared" si="224"/>
        <v>0.05</v>
      </c>
      <c r="AE203" s="7">
        <f t="shared" si="224"/>
        <v>0.05</v>
      </c>
    </row>
    <row r="204" spans="2:31" ht="12.75" customHeight="1" collapsed="1">
      <c r="D204" s="371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</row>
    <row r="205" spans="2:31" ht="12.75" customHeight="1">
      <c r="B205" s="11" t="s">
        <v>35</v>
      </c>
      <c r="C205" s="11"/>
      <c r="D205" s="19">
        <v>1.05</v>
      </c>
      <c r="J205" s="12"/>
      <c r="K205" s="12"/>
      <c r="L205" s="12"/>
      <c r="M205" s="12"/>
      <c r="N205" s="12">
        <v>10</v>
      </c>
      <c r="O205" s="12">
        <v>11</v>
      </c>
      <c r="P205" s="12">
        <v>12</v>
      </c>
      <c r="Q205" s="12">
        <f>P205</f>
        <v>12</v>
      </c>
      <c r="R205" s="12">
        <v>14</v>
      </c>
      <c r="S205" s="12">
        <f>R205</f>
        <v>14</v>
      </c>
      <c r="T205" s="12">
        <f>S205</f>
        <v>14</v>
      </c>
      <c r="U205" s="12">
        <f>T205</f>
        <v>14</v>
      </c>
      <c r="V205" s="12">
        <f t="shared" ref="V205:AB205" si="225">U205</f>
        <v>14</v>
      </c>
      <c r="W205" s="12">
        <f t="shared" si="225"/>
        <v>14</v>
      </c>
      <c r="X205" s="12">
        <f t="shared" si="225"/>
        <v>14</v>
      </c>
      <c r="Y205" s="12">
        <f t="shared" si="225"/>
        <v>14</v>
      </c>
      <c r="Z205" s="12">
        <f t="shared" si="225"/>
        <v>14</v>
      </c>
      <c r="AA205" s="12">
        <f t="shared" si="225"/>
        <v>14</v>
      </c>
      <c r="AB205" s="12">
        <f t="shared" si="225"/>
        <v>14</v>
      </c>
      <c r="AC205" s="12">
        <f t="shared" ref="AC205:AE207" si="226">AB205</f>
        <v>14</v>
      </c>
      <c r="AD205" s="12">
        <f t="shared" si="226"/>
        <v>14</v>
      </c>
      <c r="AE205" s="12">
        <f t="shared" si="226"/>
        <v>14</v>
      </c>
    </row>
    <row r="206" spans="2:31" ht="12.75" customHeight="1">
      <c r="B206" s="11" t="s">
        <v>36</v>
      </c>
      <c r="C206" s="11"/>
      <c r="D206" s="19">
        <v>1.03</v>
      </c>
      <c r="J206" s="12"/>
      <c r="K206" s="12"/>
      <c r="L206" s="12"/>
      <c r="M206" s="12"/>
      <c r="N206" s="12">
        <v>8</v>
      </c>
      <c r="O206" s="12">
        <f t="shared" ref="O206:U206" si="227">N206*1.05</f>
        <v>8.4</v>
      </c>
      <c r="P206" s="12">
        <f t="shared" si="227"/>
        <v>8.82</v>
      </c>
      <c r="Q206" s="12">
        <f t="shared" si="227"/>
        <v>9.261000000000001</v>
      </c>
      <c r="R206" s="12">
        <v>10</v>
      </c>
      <c r="S206" s="12">
        <f t="shared" si="227"/>
        <v>10.5</v>
      </c>
      <c r="T206" s="12">
        <f t="shared" si="227"/>
        <v>11.025</v>
      </c>
      <c r="U206" s="12">
        <f t="shared" si="227"/>
        <v>11.576250000000002</v>
      </c>
      <c r="V206" s="767">
        <f>U206</f>
        <v>11.576250000000002</v>
      </c>
      <c r="W206" s="89">
        <f t="shared" ref="W206:AB206" si="228">V206</f>
        <v>11.576250000000002</v>
      </c>
      <c r="X206" s="89">
        <f t="shared" si="228"/>
        <v>11.576250000000002</v>
      </c>
      <c r="Y206" s="89">
        <f t="shared" si="228"/>
        <v>11.576250000000002</v>
      </c>
      <c r="Z206" s="89">
        <f t="shared" si="228"/>
        <v>11.576250000000002</v>
      </c>
      <c r="AA206" s="89">
        <f t="shared" si="228"/>
        <v>11.576250000000002</v>
      </c>
      <c r="AB206" s="89">
        <f t="shared" si="228"/>
        <v>11.576250000000002</v>
      </c>
      <c r="AC206" s="89">
        <f t="shared" si="226"/>
        <v>11.576250000000002</v>
      </c>
      <c r="AD206" s="89">
        <f t="shared" si="226"/>
        <v>11.576250000000002</v>
      </c>
      <c r="AE206" s="89">
        <f t="shared" si="226"/>
        <v>11.576250000000002</v>
      </c>
    </row>
    <row r="207" spans="2:31" ht="12.75" customHeight="1">
      <c r="B207" s="11" t="s">
        <v>37</v>
      </c>
      <c r="C207" s="11"/>
      <c r="D207" s="19">
        <v>1.02</v>
      </c>
      <c r="J207" s="12"/>
      <c r="K207" s="12"/>
      <c r="L207" s="12"/>
      <c r="M207" s="12"/>
      <c r="N207" s="12">
        <v>5</v>
      </c>
      <c r="O207" s="12">
        <v>5.3</v>
      </c>
      <c r="P207" s="12">
        <v>5.5</v>
      </c>
      <c r="Q207" s="12">
        <v>5.8</v>
      </c>
      <c r="R207" s="12">
        <v>6.5</v>
      </c>
      <c r="S207" s="12">
        <f>R207</f>
        <v>6.5</v>
      </c>
      <c r="T207" s="12">
        <f>S207</f>
        <v>6.5</v>
      </c>
      <c r="U207" s="12">
        <f>T207</f>
        <v>6.5</v>
      </c>
      <c r="V207" s="12">
        <f t="shared" ref="V207:AB207" si="229">U207</f>
        <v>6.5</v>
      </c>
      <c r="W207" s="12">
        <f t="shared" si="229"/>
        <v>6.5</v>
      </c>
      <c r="X207" s="12">
        <f t="shared" si="229"/>
        <v>6.5</v>
      </c>
      <c r="Y207" s="12">
        <f t="shared" si="229"/>
        <v>6.5</v>
      </c>
      <c r="Z207" s="12">
        <f t="shared" si="229"/>
        <v>6.5</v>
      </c>
      <c r="AA207" s="12">
        <f t="shared" si="229"/>
        <v>6.5</v>
      </c>
      <c r="AB207" s="12">
        <f t="shared" si="229"/>
        <v>6.5</v>
      </c>
      <c r="AC207" s="12">
        <f t="shared" si="226"/>
        <v>6.5</v>
      </c>
      <c r="AD207" s="12">
        <f t="shared" si="226"/>
        <v>6.5</v>
      </c>
      <c r="AE207" s="12">
        <f t="shared" si="226"/>
        <v>6.5</v>
      </c>
    </row>
    <row r="208" spans="2:31" ht="12.75" customHeight="1">
      <c r="B208" s="11"/>
      <c r="C208" s="11"/>
      <c r="D208" s="19"/>
      <c r="K208" s="13"/>
      <c r="L208" s="13"/>
      <c r="M208" s="13"/>
    </row>
    <row r="209" spans="2:31" ht="12.75" customHeight="1">
      <c r="B209" s="527" t="s">
        <v>387</v>
      </c>
      <c r="C209" s="528"/>
      <c r="D209" s="511"/>
      <c r="E209" s="510"/>
      <c r="F209" s="510"/>
      <c r="G209" s="510"/>
      <c r="H209" s="510"/>
      <c r="I209" s="510"/>
      <c r="J209" s="512"/>
      <c r="K209" s="512"/>
      <c r="L209" s="512"/>
      <c r="M209" s="512"/>
      <c r="N209" s="512">
        <f t="shared" ref="N209:T209" si="230">+(N205*N162+N206*N174+N207*N186)*N202/1000000</f>
        <v>242.10966522806245</v>
      </c>
      <c r="O209" s="512">
        <f t="shared" si="230"/>
        <v>439.77486128750616</v>
      </c>
      <c r="P209" s="512">
        <f t="shared" si="230"/>
        <v>586.53574269876867</v>
      </c>
      <c r="Q209" s="512">
        <f t="shared" si="230"/>
        <v>793.93340892673814</v>
      </c>
      <c r="R209" s="512">
        <f t="shared" si="230"/>
        <v>992.60390002614372</v>
      </c>
      <c r="S209" s="512">
        <f t="shared" si="230"/>
        <v>1120.9699551014078</v>
      </c>
      <c r="T209" s="512">
        <f t="shared" si="230"/>
        <v>1267.5419276369341</v>
      </c>
      <c r="U209" s="512">
        <f>+((U205*U162+U206*U174+U207*U186)*U202/1000000)*(1-U245)</f>
        <v>1434.6411017054636</v>
      </c>
      <c r="V209" s="512">
        <f t="shared" ref="V209:AE209" si="231">+((V205*V162+V206*V174+V207*V186)*V202/1000000)*(1-V245)</f>
        <v>1593.4294986977784</v>
      </c>
      <c r="W209" s="512">
        <f t="shared" si="231"/>
        <v>1765.8437358263218</v>
      </c>
      <c r="X209" s="512">
        <f t="shared" si="231"/>
        <v>1952.9064063687472</v>
      </c>
      <c r="Y209" s="512">
        <f t="shared" si="231"/>
        <v>1940.1283221866647</v>
      </c>
      <c r="Z209" s="512">
        <f t="shared" si="231"/>
        <v>1187.6766743840083</v>
      </c>
      <c r="AA209" s="512">
        <f t="shared" si="231"/>
        <v>260.94157772105427</v>
      </c>
      <c r="AB209" s="512">
        <f t="shared" si="231"/>
        <v>143.21321113615545</v>
      </c>
      <c r="AC209" s="512">
        <f t="shared" si="231"/>
        <v>94.250671209320132</v>
      </c>
      <c r="AD209" s="512">
        <f t="shared" si="231"/>
        <v>68.871391741853742</v>
      </c>
      <c r="AE209" s="512">
        <f t="shared" si="231"/>
        <v>37.71851316015907</v>
      </c>
    </row>
    <row r="210" spans="2:31" ht="12.75" customHeight="1">
      <c r="B210" s="27" t="s">
        <v>48</v>
      </c>
      <c r="C210" s="28"/>
      <c r="D210" s="29"/>
      <c r="E210" s="28"/>
      <c r="F210" s="28"/>
      <c r="G210" s="28"/>
      <c r="H210" s="28"/>
      <c r="I210" s="28"/>
      <c r="J210" s="30"/>
      <c r="K210" s="30"/>
      <c r="L210" s="30"/>
      <c r="M210" s="30"/>
      <c r="N210" s="30">
        <f t="shared" ref="N210:AB210" si="232">+(N205*N$162+N206*N$174+N207*N$186)/SUM(N$162,N$174,N$186)</f>
        <v>6.9405504392641326</v>
      </c>
      <c r="O210" s="30">
        <f t="shared" si="232"/>
        <v>7.1628279431759081</v>
      </c>
      <c r="P210" s="30">
        <f t="shared" si="232"/>
        <v>7.9302175614973551</v>
      </c>
      <c r="Q210" s="30">
        <f t="shared" si="232"/>
        <v>8.5087460179953922</v>
      </c>
      <c r="R210" s="30">
        <f t="shared" si="232"/>
        <v>9.4926710026454657</v>
      </c>
      <c r="S210" s="30">
        <f t="shared" si="232"/>
        <v>9.9064107844211033</v>
      </c>
      <c r="T210" s="30">
        <f t="shared" si="232"/>
        <v>10.33401335325615</v>
      </c>
      <c r="U210" s="30">
        <f t="shared" si="232"/>
        <v>10.772727451691271</v>
      </c>
      <c r="V210" s="30">
        <f t="shared" si="232"/>
        <v>10.760388382945182</v>
      </c>
      <c r="W210" s="30">
        <f t="shared" si="232"/>
        <v>10.754951337176037</v>
      </c>
      <c r="X210" s="30">
        <f t="shared" si="232"/>
        <v>10.756062707227176</v>
      </c>
      <c r="Y210" s="30">
        <f t="shared" si="232"/>
        <v>10.763407008620092</v>
      </c>
      <c r="Z210" s="30">
        <f t="shared" si="232"/>
        <v>10.776698834702865</v>
      </c>
      <c r="AA210" s="30">
        <f t="shared" si="232"/>
        <v>10.838734092959548</v>
      </c>
      <c r="AB210" s="30">
        <f t="shared" si="232"/>
        <v>10.904711830120082</v>
      </c>
      <c r="AC210" s="30">
        <f>+(AC205*AC$162+AC206*AC$174+AC207*AC$186)/SUM(AC$162,AC$174,AC$186)</f>
        <v>10.974494624107209</v>
      </c>
      <c r="AD210" s="30">
        <f>+(AD205*AD$162+AD206*AD$174+AD207*AD$186)/SUM(AD$162,AD$174,AD$186)</f>
        <v>11.047916154616752</v>
      </c>
      <c r="AE210" s="30">
        <f>+(AE205*AE$162+AE206*AE$174+AE207*AE$186)/SUM(AE$162,AE$174,AE$186)</f>
        <v>11.124780013771433</v>
      </c>
    </row>
    <row r="211" spans="2:31" ht="12.75" hidden="1" customHeight="1" outlineLevel="1">
      <c r="B211" s="27"/>
      <c r="C211" s="28"/>
      <c r="D211" s="29"/>
      <c r="E211" s="28"/>
      <c r="F211" s="28"/>
      <c r="G211" s="28"/>
      <c r="H211" s="28"/>
      <c r="I211" s="28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</row>
    <row r="212" spans="2:31" ht="12.75" hidden="1" customHeight="1" outlineLevel="1">
      <c r="B212" s="498" t="s">
        <v>386</v>
      </c>
      <c r="C212" s="498"/>
      <c r="D212" s="499" t="s">
        <v>26</v>
      </c>
      <c r="E212" s="498"/>
      <c r="F212" s="498"/>
      <c r="G212" s="498"/>
      <c r="H212" s="498"/>
      <c r="I212" s="498"/>
      <c r="J212" s="498"/>
      <c r="K212" s="498"/>
      <c r="L212" s="498"/>
      <c r="M212" s="498"/>
      <c r="N212" s="498"/>
      <c r="O212" s="498"/>
      <c r="P212" s="498"/>
      <c r="Q212" s="498"/>
      <c r="R212" s="498"/>
      <c r="S212" s="498"/>
      <c r="T212" s="498"/>
      <c r="U212" s="498"/>
      <c r="V212" s="498"/>
      <c r="W212" s="498"/>
      <c r="X212" s="498"/>
      <c r="Y212" s="498"/>
      <c r="Z212" s="498"/>
      <c r="AA212" s="498"/>
      <c r="AB212" s="498"/>
      <c r="AC212" s="498"/>
      <c r="AD212" s="498"/>
      <c r="AE212" s="498"/>
    </row>
    <row r="213" spans="2:31" ht="12.75" hidden="1" customHeight="1" outlineLevel="1">
      <c r="D213" s="371"/>
    </row>
    <row r="214" spans="2:31" ht="12.75" hidden="1" customHeight="1" outlineLevel="1">
      <c r="B214" s="10" t="s">
        <v>47</v>
      </c>
      <c r="C214" s="373"/>
      <c r="D214" s="371"/>
      <c r="J214" s="24"/>
      <c r="K214" s="24"/>
      <c r="L214" s="24"/>
      <c r="M214" s="24">
        <f>1658*6*0.9</f>
        <v>8953.2000000000007</v>
      </c>
      <c r="N214" s="24">
        <f>1658*6*0.9</f>
        <v>8953.2000000000007</v>
      </c>
      <c r="O214" s="24">
        <f t="shared" ref="O214:U214" si="233">N214*(1+O215)</f>
        <v>9132.264000000001</v>
      </c>
      <c r="P214" s="24">
        <f t="shared" si="233"/>
        <v>9314.9092800000017</v>
      </c>
      <c r="Q214" s="24">
        <f t="shared" si="233"/>
        <v>9501.2074656000023</v>
      </c>
      <c r="R214" s="24">
        <f t="shared" si="233"/>
        <v>9691.2316149120034</v>
      </c>
      <c r="S214" s="24">
        <f t="shared" si="233"/>
        <v>9885.0562472102429</v>
      </c>
      <c r="T214" s="24">
        <f t="shared" si="233"/>
        <v>10082.757372154449</v>
      </c>
      <c r="U214" s="24">
        <f t="shared" si="233"/>
        <v>10284.412519597538</v>
      </c>
      <c r="V214" s="24">
        <f t="shared" ref="V214:AB214" si="234">U214*(1+V215)</f>
        <v>10490.100769989489</v>
      </c>
      <c r="W214" s="24">
        <f t="shared" si="234"/>
        <v>10699.902785389279</v>
      </c>
      <c r="X214" s="24">
        <f t="shared" si="234"/>
        <v>10913.900841097064</v>
      </c>
      <c r="Y214" s="24">
        <f t="shared" si="234"/>
        <v>11132.178857919005</v>
      </c>
      <c r="Z214" s="24">
        <f t="shared" si="234"/>
        <v>11354.822435077385</v>
      </c>
      <c r="AA214" s="24">
        <f t="shared" si="234"/>
        <v>11581.918883778933</v>
      </c>
      <c r="AB214" s="24">
        <f t="shared" si="234"/>
        <v>11813.557261454513</v>
      </c>
      <c r="AC214" s="24">
        <f>AB214*(1+AC215)</f>
        <v>12049.828406683602</v>
      </c>
      <c r="AD214" s="24">
        <f>AC214*(1+AD215)</f>
        <v>12290.824974817275</v>
      </c>
      <c r="AE214" s="24">
        <f>AD214*(1+AE215)</f>
        <v>12536.641474313621</v>
      </c>
    </row>
    <row r="215" spans="2:31" ht="12.75" hidden="1" customHeight="1" outlineLevel="2">
      <c r="D215" s="371"/>
      <c r="O215" s="7">
        <f>O203</f>
        <v>0.02</v>
      </c>
      <c r="P215" s="7">
        <f t="shared" ref="P215:U215" si="235">O215</f>
        <v>0.02</v>
      </c>
      <c r="Q215" s="7">
        <f t="shared" si="235"/>
        <v>0.02</v>
      </c>
      <c r="R215" s="7">
        <f t="shared" si="235"/>
        <v>0.02</v>
      </c>
      <c r="S215" s="7">
        <f t="shared" si="235"/>
        <v>0.02</v>
      </c>
      <c r="T215" s="7">
        <f t="shared" si="235"/>
        <v>0.02</v>
      </c>
      <c r="U215" s="7">
        <f t="shared" si="235"/>
        <v>0.02</v>
      </c>
      <c r="V215" s="7">
        <f t="shared" ref="V215:AE215" si="236">U215</f>
        <v>0.02</v>
      </c>
      <c r="W215" s="7">
        <f t="shared" si="236"/>
        <v>0.02</v>
      </c>
      <c r="X215" s="7">
        <f t="shared" si="236"/>
        <v>0.02</v>
      </c>
      <c r="Y215" s="7">
        <f t="shared" si="236"/>
        <v>0.02</v>
      </c>
      <c r="Z215" s="7">
        <f t="shared" si="236"/>
        <v>0.02</v>
      </c>
      <c r="AA215" s="7">
        <f t="shared" si="236"/>
        <v>0.02</v>
      </c>
      <c r="AB215" s="7">
        <f t="shared" si="236"/>
        <v>0.02</v>
      </c>
      <c r="AC215" s="7">
        <f t="shared" si="236"/>
        <v>0.02</v>
      </c>
      <c r="AD215" s="7">
        <f t="shared" si="236"/>
        <v>0.02</v>
      </c>
      <c r="AE215" s="7">
        <f t="shared" si="236"/>
        <v>0.02</v>
      </c>
    </row>
    <row r="216" spans="2:31" ht="12.75" hidden="1" customHeight="1" outlineLevel="1" collapsed="1">
      <c r="D216" s="371"/>
    </row>
    <row r="217" spans="2:31" ht="12.75" hidden="1" customHeight="1" outlineLevel="1">
      <c r="B217" s="11" t="s">
        <v>35</v>
      </c>
      <c r="C217" s="11"/>
      <c r="D217" s="19">
        <v>1.05</v>
      </c>
      <c r="J217" s="12"/>
      <c r="K217" s="12"/>
      <c r="L217" s="12"/>
      <c r="M217" s="12">
        <f>M193</f>
        <v>8.1033750000000015</v>
      </c>
      <c r="N217" s="12">
        <f t="shared" ref="N217:O217" si="237">N193</f>
        <v>8.5085437500000012</v>
      </c>
      <c r="O217" s="12">
        <f t="shared" si="237"/>
        <v>8.9339709375000016</v>
      </c>
      <c r="P217" s="12">
        <f>O217*$D$217</f>
        <v>9.3806694843750016</v>
      </c>
      <c r="Q217" s="12">
        <f t="shared" ref="Q217:AE217" si="238">P217*$D$217</f>
        <v>9.8497029585937526</v>
      </c>
      <c r="R217" s="12">
        <f t="shared" si="238"/>
        <v>10.342188106523441</v>
      </c>
      <c r="S217" s="12">
        <f t="shared" si="238"/>
        <v>10.859297511849613</v>
      </c>
      <c r="T217" s="12">
        <f t="shared" si="238"/>
        <v>11.402262387442095</v>
      </c>
      <c r="U217" s="12">
        <f t="shared" si="238"/>
        <v>11.972375506814201</v>
      </c>
      <c r="V217" s="12">
        <f t="shared" si="238"/>
        <v>12.570994282154912</v>
      </c>
      <c r="W217" s="12">
        <f t="shared" si="238"/>
        <v>13.199543996262658</v>
      </c>
      <c r="X217" s="12">
        <f t="shared" si="238"/>
        <v>13.859521196075791</v>
      </c>
      <c r="Y217" s="12">
        <f t="shared" si="238"/>
        <v>14.552497255879581</v>
      </c>
      <c r="Z217" s="12">
        <f t="shared" si="238"/>
        <v>15.28012211867356</v>
      </c>
      <c r="AA217" s="12">
        <f t="shared" si="238"/>
        <v>16.044128224607238</v>
      </c>
      <c r="AB217" s="12">
        <f t="shared" si="238"/>
        <v>16.8463346358376</v>
      </c>
      <c r="AC217" s="12">
        <f t="shared" si="238"/>
        <v>17.688651367629483</v>
      </c>
      <c r="AD217" s="12">
        <f t="shared" si="238"/>
        <v>18.573083936010956</v>
      </c>
      <c r="AE217" s="12">
        <f t="shared" si="238"/>
        <v>19.501738132811504</v>
      </c>
    </row>
    <row r="218" spans="2:31" ht="12.75" hidden="1" customHeight="1" outlineLevel="1">
      <c r="B218" s="11" t="s">
        <v>36</v>
      </c>
      <c r="C218" s="11"/>
      <c r="D218" s="19">
        <v>1.03</v>
      </c>
      <c r="J218" s="12"/>
      <c r="K218" s="12"/>
      <c r="L218" s="12"/>
      <c r="M218" s="12">
        <v>6.5</v>
      </c>
      <c r="N218" s="12">
        <f>M218*$D$194</f>
        <v>6.6950000000000003</v>
      </c>
      <c r="O218" s="12">
        <v>7.2</v>
      </c>
      <c r="P218" s="12">
        <f>O218*1.01</f>
        <v>7.2720000000000002</v>
      </c>
      <c r="Q218" s="12">
        <f>P218*1.01</f>
        <v>7.3447200000000006</v>
      </c>
      <c r="R218" s="12">
        <f t="shared" ref="R218:T219" si="239">Q218</f>
        <v>7.3447200000000006</v>
      </c>
      <c r="S218" s="12">
        <f t="shared" si="239"/>
        <v>7.3447200000000006</v>
      </c>
      <c r="T218" s="12">
        <f t="shared" si="239"/>
        <v>7.3447200000000006</v>
      </c>
      <c r="U218" s="12">
        <f>T218</f>
        <v>7.3447200000000006</v>
      </c>
      <c r="V218" s="12">
        <f t="shared" ref="V218:AB218" si="240">U218</f>
        <v>7.3447200000000006</v>
      </c>
      <c r="W218" s="12">
        <f t="shared" si="240"/>
        <v>7.3447200000000006</v>
      </c>
      <c r="X218" s="12">
        <f t="shared" si="240"/>
        <v>7.3447200000000006</v>
      </c>
      <c r="Y218" s="12">
        <f t="shared" si="240"/>
        <v>7.3447200000000006</v>
      </c>
      <c r="Z218" s="12">
        <f t="shared" si="240"/>
        <v>7.3447200000000006</v>
      </c>
      <c r="AA218" s="12">
        <f t="shared" si="240"/>
        <v>7.3447200000000006</v>
      </c>
      <c r="AB218" s="12">
        <f t="shared" si="240"/>
        <v>7.3447200000000006</v>
      </c>
      <c r="AC218" s="12">
        <f t="shared" ref="AC218:AE219" si="241">AB218</f>
        <v>7.3447200000000006</v>
      </c>
      <c r="AD218" s="12">
        <f t="shared" si="241"/>
        <v>7.3447200000000006</v>
      </c>
      <c r="AE218" s="12">
        <f t="shared" si="241"/>
        <v>7.3447200000000006</v>
      </c>
    </row>
    <row r="219" spans="2:31" ht="12.75" hidden="1" customHeight="1" outlineLevel="1">
      <c r="B219" s="11" t="s">
        <v>37</v>
      </c>
      <c r="C219" s="11"/>
      <c r="D219" s="19">
        <v>1.02</v>
      </c>
      <c r="J219" s="12"/>
      <c r="K219" s="12"/>
      <c r="L219" s="12"/>
      <c r="M219" s="12">
        <v>5.5</v>
      </c>
      <c r="N219" s="12">
        <f>M219*$D$195</f>
        <v>5.61</v>
      </c>
      <c r="O219" s="408">
        <v>6.75</v>
      </c>
      <c r="P219" s="12">
        <f>O219*$D$195</f>
        <v>6.8849999999999998</v>
      </c>
      <c r="Q219" s="12">
        <f>P219</f>
        <v>6.8849999999999998</v>
      </c>
      <c r="R219" s="12">
        <f t="shared" si="239"/>
        <v>6.8849999999999998</v>
      </c>
      <c r="S219" s="12">
        <f t="shared" si="239"/>
        <v>6.8849999999999998</v>
      </c>
      <c r="T219" s="12">
        <f t="shared" si="239"/>
        <v>6.8849999999999998</v>
      </c>
      <c r="U219" s="12">
        <f>T219</f>
        <v>6.8849999999999998</v>
      </c>
      <c r="V219" s="12">
        <f t="shared" ref="V219:AB219" si="242">U219</f>
        <v>6.8849999999999998</v>
      </c>
      <c r="W219" s="12">
        <f t="shared" si="242"/>
        <v>6.8849999999999998</v>
      </c>
      <c r="X219" s="12">
        <f t="shared" si="242"/>
        <v>6.8849999999999998</v>
      </c>
      <c r="Y219" s="12">
        <f t="shared" si="242"/>
        <v>6.8849999999999998</v>
      </c>
      <c r="Z219" s="12">
        <f t="shared" si="242"/>
        <v>6.8849999999999998</v>
      </c>
      <c r="AA219" s="12">
        <f t="shared" si="242"/>
        <v>6.8849999999999998</v>
      </c>
      <c r="AB219" s="12">
        <f t="shared" si="242"/>
        <v>6.8849999999999998</v>
      </c>
      <c r="AC219" s="12">
        <f t="shared" si="241"/>
        <v>6.8849999999999998</v>
      </c>
      <c r="AD219" s="12">
        <f t="shared" si="241"/>
        <v>6.8849999999999998</v>
      </c>
      <c r="AE219" s="12">
        <f t="shared" si="241"/>
        <v>6.8849999999999998</v>
      </c>
    </row>
    <row r="220" spans="2:31" ht="12.75" hidden="1" customHeight="1" outlineLevel="1">
      <c r="B220" s="11"/>
      <c r="C220" s="11"/>
      <c r="D220" s="19"/>
      <c r="K220" s="13"/>
      <c r="L220" s="13"/>
      <c r="M220" s="13"/>
    </row>
    <row r="221" spans="2:31" ht="12.75" hidden="1" customHeight="1" outlineLevel="1">
      <c r="B221" s="527" t="s">
        <v>388</v>
      </c>
      <c r="C221" s="528"/>
      <c r="D221" s="511"/>
      <c r="E221" s="510"/>
      <c r="F221" s="510"/>
      <c r="G221" s="510"/>
      <c r="H221" s="510"/>
      <c r="I221" s="510"/>
      <c r="J221" s="512"/>
      <c r="K221" s="512"/>
      <c r="L221" s="512"/>
      <c r="M221" s="512">
        <f t="shared" ref="M221:T221" si="243">+(M217*M161+M218*M173+M219*M185)*M214/1000000</f>
        <v>64.023164652882244</v>
      </c>
      <c r="N221" s="512">
        <f t="shared" si="243"/>
        <v>260.57997648204827</v>
      </c>
      <c r="O221" s="512">
        <f t="shared" si="243"/>
        <v>297.26873771161405</v>
      </c>
      <c r="P221" s="512">
        <f t="shared" si="243"/>
        <v>466.03088595401067</v>
      </c>
      <c r="Q221" s="512">
        <f t="shared" si="243"/>
        <v>553.57636347823211</v>
      </c>
      <c r="R221" s="512">
        <f t="shared" si="243"/>
        <v>618.15080683749841</v>
      </c>
      <c r="S221" s="512">
        <f t="shared" si="243"/>
        <v>683.26782886408682</v>
      </c>
      <c r="T221" s="512">
        <f t="shared" si="243"/>
        <v>749.59890245881775</v>
      </c>
      <c r="U221" s="512">
        <f>+(U217*U161+U218*U173+U219*U185)*U214/1000000</f>
        <v>824.27251339730901</v>
      </c>
      <c r="V221" s="512">
        <f t="shared" ref="V221:AB221" si="244">+(V217*V161+V218*V173+V219*V185)*V214/1000000</f>
        <v>913.05399425450048</v>
      </c>
      <c r="W221" s="512">
        <f t="shared" si="244"/>
        <v>1010.094577489657</v>
      </c>
      <c r="X221" s="512">
        <f t="shared" si="244"/>
        <v>1089.4816666766642</v>
      </c>
      <c r="Y221" s="512">
        <f t="shared" si="244"/>
        <v>1172.2588149498188</v>
      </c>
      <c r="Z221" s="512">
        <f t="shared" si="244"/>
        <v>1258.4196955466191</v>
      </c>
      <c r="AA221" s="512">
        <f t="shared" si="244"/>
        <v>1348.9961441278101</v>
      </c>
      <c r="AB221" s="512">
        <f t="shared" si="244"/>
        <v>1444.087076387977</v>
      </c>
      <c r="AC221" s="512">
        <f>+(AC217*AC161+AC218*AC173+AC219*AC185)*AC214/1000000</f>
        <v>1543.7629031064685</v>
      </c>
      <c r="AD221" s="512">
        <f>+(AD217*AD161+AD218*AD173+AD219*AD185)*AD214/1000000</f>
        <v>1648.0474899654478</v>
      </c>
      <c r="AE221" s="512">
        <f>+(AE217*AE161+AE218*AE173+AE219*AE185)*AE214/1000000</f>
        <v>1756.9049840780731</v>
      </c>
    </row>
    <row r="222" spans="2:31" ht="12.75" hidden="1" customHeight="1" outlineLevel="1">
      <c r="B222" s="27" t="s">
        <v>48</v>
      </c>
      <c r="C222" s="28"/>
      <c r="D222" s="29"/>
      <c r="E222" s="28"/>
      <c r="F222" s="28"/>
      <c r="G222" s="28"/>
      <c r="H222" s="28"/>
      <c r="I222" s="28"/>
      <c r="J222" s="30"/>
      <c r="K222" s="30"/>
      <c r="L222" s="30"/>
      <c r="M222" s="30">
        <f t="shared" ref="M222:U222" si="245">+(M217*M$161+M218*M$173+M219*M$185)/SUM(M$161,M$173,M$185)</f>
        <v>5.920803942273051</v>
      </c>
      <c r="N222" s="30">
        <f t="shared" si="245"/>
        <v>6.2820949736468625</v>
      </c>
      <c r="O222" s="30">
        <f t="shared" si="245"/>
        <v>7.0165805033045778</v>
      </c>
      <c r="P222" s="30">
        <f t="shared" si="245"/>
        <v>7.6861290465382437</v>
      </c>
      <c r="Q222" s="30">
        <f t="shared" si="245"/>
        <v>7.8502104654025153</v>
      </c>
      <c r="R222" s="30">
        <f t="shared" si="245"/>
        <v>8.0185599354670725</v>
      </c>
      <c r="S222" s="30">
        <f t="shared" si="245"/>
        <v>8.2416464274017098</v>
      </c>
      <c r="T222" s="30">
        <f t="shared" si="245"/>
        <v>8.4923985775718513</v>
      </c>
      <c r="U222" s="30">
        <f t="shared" si="245"/>
        <v>8.7802362271400405</v>
      </c>
      <c r="V222" s="30">
        <f t="shared" ref="V222:AB222" si="246">+(V217*V$161+V218*V$173+V219*V$185)/SUM(V$161,V$173,V$185)</f>
        <v>9.0181022971831091</v>
      </c>
      <c r="W222" s="30">
        <f t="shared" si="246"/>
        <v>9.2784934669969896</v>
      </c>
      <c r="X222" s="30">
        <f t="shared" si="246"/>
        <v>9.4909393941329334</v>
      </c>
      <c r="Y222" s="30">
        <f t="shared" si="246"/>
        <v>9.7138701790596063</v>
      </c>
      <c r="Z222" s="30">
        <f t="shared" si="246"/>
        <v>9.9480006287702238</v>
      </c>
      <c r="AA222" s="30">
        <f t="shared" si="246"/>
        <v>10.236936282870028</v>
      </c>
      <c r="AB222" s="30">
        <f t="shared" si="246"/>
        <v>10.544864443446015</v>
      </c>
      <c r="AC222" s="30">
        <f>+(AC217*AC$161+AC218*AC$173+AC219*AC$185)/SUM(AC$161,AC$173,AC$185)</f>
        <v>10.873000240200447</v>
      </c>
      <c r="AD222" s="30">
        <f>+(AD217*AD$161+AD218*AD$173+AD219*AD$185)/SUM(AD$161,AD$173,AD$185)</f>
        <v>11.222630829630981</v>
      </c>
      <c r="AE222" s="30">
        <f>+(AE217*AE$161+AE218*AE$173+AE219*AE$185)/SUM(AE$161,AE$173,AE$185)</f>
        <v>11.595119590443343</v>
      </c>
    </row>
    <row r="223" spans="2:31" ht="12.75" customHeight="1" collapsed="1" thickBot="1">
      <c r="D223" s="371"/>
    </row>
    <row r="224" spans="2:31" ht="12.75" customHeight="1">
      <c r="B224" s="469" t="s">
        <v>454</v>
      </c>
      <c r="C224" s="469"/>
      <c r="D224" s="469"/>
      <c r="E224" s="469"/>
      <c r="F224" s="469"/>
      <c r="G224" s="469"/>
      <c r="H224" s="469"/>
      <c r="I224" s="469"/>
      <c r="J224" s="469"/>
      <c r="K224" s="469"/>
      <c r="L224" s="469"/>
      <c r="M224" s="469"/>
      <c r="N224" s="469"/>
      <c r="O224" s="469"/>
      <c r="P224" s="469"/>
      <c r="Q224" s="469"/>
      <c r="R224" s="469"/>
      <c r="S224" s="469"/>
      <c r="T224" s="469"/>
      <c r="U224" s="469"/>
      <c r="V224" s="469"/>
      <c r="W224" s="469"/>
      <c r="X224" s="469"/>
      <c r="Y224" s="469"/>
      <c r="Z224" s="469"/>
      <c r="AA224" s="469"/>
      <c r="AB224" s="469"/>
      <c r="AC224" s="469"/>
      <c r="AD224" s="469"/>
      <c r="AE224" s="469"/>
    </row>
    <row r="225" spans="2:31" ht="12.75" customHeight="1">
      <c r="B225" s="498" t="s">
        <v>122</v>
      </c>
      <c r="C225" s="498"/>
      <c r="D225" s="499" t="s">
        <v>26</v>
      </c>
      <c r="E225" s="498"/>
      <c r="F225" s="498"/>
      <c r="G225" s="498"/>
      <c r="H225" s="498"/>
      <c r="I225" s="498"/>
      <c r="J225" s="498"/>
      <c r="K225" s="498"/>
      <c r="L225" s="498"/>
      <c r="M225" s="498"/>
      <c r="N225" s="498"/>
      <c r="O225" s="498"/>
      <c r="P225" s="498"/>
      <c r="Q225" s="498"/>
      <c r="R225" s="498"/>
      <c r="S225" s="498"/>
      <c r="T225" s="498"/>
      <c r="U225" s="498"/>
      <c r="V225" s="498"/>
      <c r="W225" s="498"/>
      <c r="X225" s="498"/>
      <c r="Y225" s="498"/>
      <c r="Z225" s="498"/>
      <c r="AA225" s="498"/>
      <c r="AB225" s="498"/>
      <c r="AC225" s="498"/>
      <c r="AD225" s="498"/>
      <c r="AE225" s="498"/>
    </row>
    <row r="226" spans="2:31" ht="12.75" customHeight="1">
      <c r="D226" s="371"/>
    </row>
    <row r="227" spans="2:31" ht="12.75" customHeight="1">
      <c r="B227" s="360" t="s">
        <v>389</v>
      </c>
      <c r="D227" s="371"/>
      <c r="J227" s="24">
        <f t="shared" ref="J227:T227" si="247">J197+J130</f>
        <v>921.11826131929092</v>
      </c>
      <c r="K227" s="24">
        <f t="shared" si="247"/>
        <v>1285.6611701290542</v>
      </c>
      <c r="L227" s="24">
        <f t="shared" si="247"/>
        <v>1683.8670621780836</v>
      </c>
      <c r="M227" s="24">
        <f t="shared" si="247"/>
        <v>1969.8150506612858</v>
      </c>
      <c r="N227" s="24">
        <f t="shared" si="247"/>
        <v>2281.5435798998114</v>
      </c>
      <c r="O227" s="24">
        <f t="shared" si="247"/>
        <v>2696.2288675627997</v>
      </c>
      <c r="P227" s="24">
        <f t="shared" si="247"/>
        <v>3257.1007025112131</v>
      </c>
      <c r="Q227" s="24">
        <f t="shared" si="247"/>
        <v>4079.2854236697958</v>
      </c>
      <c r="R227" s="24">
        <f t="shared" si="247"/>
        <v>4956.1744985829346</v>
      </c>
      <c r="S227" s="24">
        <f t="shared" si="247"/>
        <v>5767.3792067608056</v>
      </c>
      <c r="T227" s="24">
        <f t="shared" si="247"/>
        <v>6634.9371180406815</v>
      </c>
      <c r="U227" s="24">
        <f>(U197+U130)*(1-MDS!U25)</f>
        <v>7566.8142532668699</v>
      </c>
      <c r="V227" s="24">
        <f>(V197+V130)*(1-V244)</f>
        <v>8472.4726968533505</v>
      </c>
      <c r="W227" s="24">
        <f t="shared" ref="W227:AE227" si="248">(W197+W130)*(1-W244)</f>
        <v>9003.8502866183571</v>
      </c>
      <c r="X227" s="24">
        <f t="shared" si="248"/>
        <v>9109.41122268648</v>
      </c>
      <c r="Y227" s="24">
        <f t="shared" si="248"/>
        <v>8958.9225137969261</v>
      </c>
      <c r="Z227" s="24">
        <f t="shared" si="248"/>
        <v>7866.3919786421975</v>
      </c>
      <c r="AA227" s="24">
        <f t="shared" si="248"/>
        <v>2921.8553350914672</v>
      </c>
      <c r="AB227" s="24">
        <f t="shared" si="248"/>
        <v>813.02969154491382</v>
      </c>
      <c r="AC227" s="24">
        <f t="shared" si="248"/>
        <v>361.22866820735771</v>
      </c>
      <c r="AD227" s="24">
        <f t="shared" si="248"/>
        <v>200.21686920610114</v>
      </c>
      <c r="AE227" s="24">
        <f t="shared" si="248"/>
        <v>166.42065874091432</v>
      </c>
    </row>
    <row r="228" spans="2:31" ht="12.75" customHeight="1">
      <c r="B228" s="28" t="s">
        <v>48</v>
      </c>
      <c r="D228" s="371"/>
      <c r="J228" s="30">
        <f t="shared" ref="J228:AE228" si="249">(J198*(J184+J172+J160)+J131*(J34+J53+J68))/(J184+J172+J160+J34+J53+J68)</f>
        <v>7.3671894876346817</v>
      </c>
      <c r="K228" s="30">
        <f t="shared" si="249"/>
        <v>8.9817501979244341</v>
      </c>
      <c r="L228" s="30">
        <f t="shared" si="249"/>
        <v>11.157520829668245</v>
      </c>
      <c r="M228" s="30">
        <f t="shared" si="249"/>
        <v>13.129122080592332</v>
      </c>
      <c r="N228" s="30">
        <f t="shared" si="249"/>
        <v>14.75115310060842</v>
      </c>
      <c r="O228" s="30">
        <f t="shared" si="249"/>
        <v>16.140582599152488</v>
      </c>
      <c r="P228" s="30">
        <f t="shared" si="249"/>
        <v>18.004735359440524</v>
      </c>
      <c r="Q228" s="30">
        <f t="shared" si="249"/>
        <v>18.79056142704848</v>
      </c>
      <c r="R228" s="30">
        <f t="shared" si="249"/>
        <v>19.514237087898668</v>
      </c>
      <c r="S228" s="30">
        <f t="shared" si="249"/>
        <v>20.105802697914466</v>
      </c>
      <c r="T228" s="30">
        <f t="shared" si="249"/>
        <v>20.750716735087572</v>
      </c>
      <c r="U228" s="30">
        <f t="shared" si="249"/>
        <v>21.349821478646188</v>
      </c>
      <c r="V228" s="30">
        <f t="shared" si="249"/>
        <v>21.716270745360447</v>
      </c>
      <c r="W228" s="30">
        <f t="shared" si="249"/>
        <v>22.01630329532453</v>
      </c>
      <c r="X228" s="30">
        <f t="shared" si="249"/>
        <v>22.343235790652027</v>
      </c>
      <c r="Y228" s="30">
        <f t="shared" si="249"/>
        <v>22.679716169830318</v>
      </c>
      <c r="Z228" s="30">
        <f t="shared" si="249"/>
        <v>23.042885874480774</v>
      </c>
      <c r="AA228" s="30">
        <f t="shared" si="249"/>
        <v>23.425836877869777</v>
      </c>
      <c r="AB228" s="30">
        <f t="shared" si="249"/>
        <v>23.72337659115485</v>
      </c>
      <c r="AC228" s="30">
        <f t="shared" si="249"/>
        <v>24.05071374029157</v>
      </c>
      <c r="AD228" s="30">
        <f t="shared" si="249"/>
        <v>24.407845512569168</v>
      </c>
      <c r="AE228" s="30">
        <f t="shared" si="249"/>
        <v>24.794778838916628</v>
      </c>
    </row>
    <row r="229" spans="2:31" ht="12.75" customHeight="1">
      <c r="B229" s="10" t="s">
        <v>56</v>
      </c>
      <c r="D229" s="371"/>
      <c r="J229" s="130">
        <f t="shared" ref="J229:AB229" si="250">(J34+J53+J68)/(J62+J43+J25)</f>
        <v>0.47125</v>
      </c>
      <c r="K229" s="130">
        <f t="shared" si="250"/>
        <v>0.50928000000000007</v>
      </c>
      <c r="L229" s="130">
        <f t="shared" si="250"/>
        <v>0.58676799999999996</v>
      </c>
      <c r="M229" s="130">
        <f t="shared" si="250"/>
        <v>0.60560479999999994</v>
      </c>
      <c r="N229" s="130">
        <f t="shared" si="250"/>
        <v>0.63230127999999997</v>
      </c>
      <c r="O229" s="130">
        <f t="shared" si="250"/>
        <v>0.64632034399999994</v>
      </c>
      <c r="P229" s="130">
        <f t="shared" si="250"/>
        <v>0.66389556120000015</v>
      </c>
      <c r="Q229" s="130">
        <f t="shared" si="250"/>
        <v>0.65764846908000008</v>
      </c>
      <c r="R229" s="130">
        <f t="shared" si="250"/>
        <v>0.65322893545200011</v>
      </c>
      <c r="S229" s="130">
        <f t="shared" si="250"/>
        <v>0.65047826145240006</v>
      </c>
      <c r="T229" s="130">
        <f t="shared" si="250"/>
        <v>0.64925409924367217</v>
      </c>
      <c r="U229" s="130">
        <f t="shared" si="250"/>
        <v>0.64942882653454714</v>
      </c>
      <c r="V229" s="130">
        <f t="shared" si="250"/>
        <v>0.6604958498611383</v>
      </c>
      <c r="W229" s="130">
        <f t="shared" si="250"/>
        <v>0.66049584986113841</v>
      </c>
      <c r="X229" s="130">
        <f t="shared" si="250"/>
        <v>0.66049584986113841</v>
      </c>
      <c r="Y229" s="130">
        <f t="shared" si="250"/>
        <v>0.66049584986113841</v>
      </c>
      <c r="Z229" s="130">
        <f t="shared" si="250"/>
        <v>0.66049584986113852</v>
      </c>
      <c r="AA229" s="130">
        <f t="shared" si="250"/>
        <v>0.66049584986113841</v>
      </c>
      <c r="AB229" s="130">
        <f t="shared" si="250"/>
        <v>0.66049584986113852</v>
      </c>
      <c r="AC229" s="130">
        <f>(AC34+AC53+AC68)/(AC62+AC43+AC25)</f>
        <v>0.66049584986113841</v>
      </c>
      <c r="AD229" s="130">
        <f>(AD34+AD53+AD68)/(AD62+AD43+AD25)</f>
        <v>0.66049584986113841</v>
      </c>
      <c r="AE229" s="130">
        <f>(AE34+AE53+AE68)/(AE62+AE43+AE25)</f>
        <v>0.6604958498611383</v>
      </c>
    </row>
    <row r="230" spans="2:31" ht="12.75" customHeight="1">
      <c r="B230" s="31" t="s">
        <v>48</v>
      </c>
      <c r="D230" s="371"/>
      <c r="J230" s="30">
        <f t="shared" ref="J230:AB230" si="251">J131</f>
        <v>10.049761273209549</v>
      </c>
      <c r="K230" s="30">
        <f t="shared" si="251"/>
        <v>14.486484448633362</v>
      </c>
      <c r="L230" s="30">
        <f t="shared" si="251"/>
        <v>18.134834892154991</v>
      </c>
      <c r="M230" s="30">
        <f t="shared" si="251"/>
        <v>20.492830466337121</v>
      </c>
      <c r="N230" s="30">
        <f t="shared" si="251"/>
        <v>21.495680413615482</v>
      </c>
      <c r="O230" s="30">
        <f t="shared" si="251"/>
        <v>22.613086607219653</v>
      </c>
      <c r="P230" s="30">
        <f t="shared" si="251"/>
        <v>25.512035125563362</v>
      </c>
      <c r="Q230" s="30">
        <f t="shared" si="251"/>
        <v>27.727856033300629</v>
      </c>
      <c r="R230" s="30">
        <f t="shared" si="251"/>
        <v>29.211899078881803</v>
      </c>
      <c r="S230" s="30">
        <f t="shared" si="251"/>
        <v>30.28243214706367</v>
      </c>
      <c r="T230" s="30">
        <f t="shared" si="251"/>
        <v>31.372374624446053</v>
      </c>
      <c r="U230" s="30">
        <f t="shared" si="251"/>
        <v>32.281345286061899</v>
      </c>
      <c r="V230" s="30">
        <f t="shared" si="251"/>
        <v>32.551195640057237</v>
      </c>
      <c r="W230" s="30">
        <f t="shared" si="251"/>
        <v>32.81670759645781</v>
      </c>
      <c r="X230" s="30">
        <f t="shared" si="251"/>
        <v>33.084874672422387</v>
      </c>
      <c r="Y230" s="30">
        <f t="shared" si="251"/>
        <v>33.319924580673977</v>
      </c>
      <c r="Z230" s="30">
        <f t="shared" si="251"/>
        <v>33.55732498800807</v>
      </c>
      <c r="AA230" s="30">
        <f t="shared" si="251"/>
        <v>33.797099399415501</v>
      </c>
      <c r="AB230" s="30">
        <f t="shared" si="251"/>
        <v>33.797099399415501</v>
      </c>
      <c r="AC230" s="30">
        <f>AC131</f>
        <v>33.797099399415494</v>
      </c>
      <c r="AD230" s="30">
        <f>AD131</f>
        <v>33.797099399415494</v>
      </c>
      <c r="AE230" s="30">
        <f>AE131</f>
        <v>33.797099399415494</v>
      </c>
    </row>
    <row r="231" spans="2:31" ht="12.75" customHeight="1">
      <c r="B231" s="10" t="s">
        <v>57</v>
      </c>
      <c r="D231" s="371"/>
      <c r="J231" s="130">
        <f t="shared" ref="J231:AB231" si="252">(J184+J172+J160)/(J8-J9)</f>
        <v>0.24928350126462961</v>
      </c>
      <c r="K231" s="130">
        <f t="shared" si="252"/>
        <v>0.31365540711373774</v>
      </c>
      <c r="L231" s="130">
        <f t="shared" si="252"/>
        <v>0.27641657986720303</v>
      </c>
      <c r="M231" s="130">
        <f t="shared" si="252"/>
        <v>0.22612090558915571</v>
      </c>
      <c r="N231" s="130">
        <f t="shared" si="252"/>
        <v>0.19564497614661677</v>
      </c>
      <c r="O231" s="130">
        <f t="shared" si="252"/>
        <v>0.16570486946357529</v>
      </c>
      <c r="P231" s="130">
        <f t="shared" si="252"/>
        <v>0.17159499650618681</v>
      </c>
      <c r="Q231" s="130">
        <f t="shared" si="252"/>
        <v>0.20102106610647349</v>
      </c>
      <c r="R231" s="130">
        <f t="shared" si="252"/>
        <v>0.21097061987308818</v>
      </c>
      <c r="S231" s="130">
        <f t="shared" si="252"/>
        <v>0.21853103337313884</v>
      </c>
      <c r="T231" s="130">
        <f t="shared" si="252"/>
        <v>0.22587390680597058</v>
      </c>
      <c r="U231" s="130">
        <f t="shared" si="252"/>
        <v>0.23306848875328076</v>
      </c>
      <c r="V231" s="130">
        <f t="shared" si="252"/>
        <v>0.23692071296222256</v>
      </c>
      <c r="W231" s="130">
        <f t="shared" si="252"/>
        <v>0.24081917723380583</v>
      </c>
      <c r="X231" s="130">
        <f t="shared" si="252"/>
        <v>0.24476389938910878</v>
      </c>
      <c r="Y231" s="130">
        <f t="shared" si="252"/>
        <v>0.24875491376537845</v>
      </c>
      <c r="Z231" s="130">
        <f t="shared" si="252"/>
        <v>0.25279227116649378</v>
      </c>
      <c r="AA231" s="130">
        <f t="shared" si="252"/>
        <v>0.25820477853156359</v>
      </c>
      <c r="AB231" s="130">
        <f t="shared" si="252"/>
        <v>0.26372830161977889</v>
      </c>
      <c r="AC231" s="130">
        <f>(AC184+AC172+AC160)/(AC8-AC9)</f>
        <v>0.26936528602292187</v>
      </c>
      <c r="AD231" s="130">
        <f>(AD184+AD172+AD160)/(AD8-AD9)</f>
        <v>0.27511824939278423</v>
      </c>
      <c r="AE231" s="130">
        <f>(AE184+AE172+AE160)/(AE8-AE9)</f>
        <v>0.28098978304893107</v>
      </c>
    </row>
    <row r="232" spans="2:31" ht="12.75" customHeight="1">
      <c r="B232" s="31" t="s">
        <v>48</v>
      </c>
      <c r="D232" s="371"/>
      <c r="J232" s="30">
        <f>J198</f>
        <v>5.566119135281431</v>
      </c>
      <c r="K232" s="30">
        <f t="shared" ref="K232:T232" si="253">K198</f>
        <v>5.8650455494127085</v>
      </c>
      <c r="L232" s="30">
        <f t="shared" si="253"/>
        <v>6.0416086165465277</v>
      </c>
      <c r="M232" s="30">
        <f t="shared" si="253"/>
        <v>6.3810016125078013</v>
      </c>
      <c r="N232" s="30">
        <f t="shared" si="253"/>
        <v>6.7297289661758439</v>
      </c>
      <c r="O232" s="30">
        <f t="shared" si="253"/>
        <v>7.0549248518067005</v>
      </c>
      <c r="P232" s="30">
        <f t="shared" si="253"/>
        <v>7.7348668948093948</v>
      </c>
      <c r="Q232" s="30">
        <f t="shared" si="253"/>
        <v>8.5920643310047176</v>
      </c>
      <c r="R232" s="30">
        <f t="shared" si="253"/>
        <v>9.1440513865719506</v>
      </c>
      <c r="S232" s="30">
        <f t="shared" si="253"/>
        <v>9.7122456692991186</v>
      </c>
      <c r="T232" s="30">
        <f t="shared" si="253"/>
        <v>10.310788565924295</v>
      </c>
      <c r="U232" s="30">
        <f>U198</f>
        <v>10.939634042651658</v>
      </c>
      <c r="V232" s="30">
        <f t="shared" ref="V232:AB232" si="254">V198</f>
        <v>11.37017554998787</v>
      </c>
      <c r="W232" s="30">
        <f t="shared" si="254"/>
        <v>11.821604997412418</v>
      </c>
      <c r="X232" s="30">
        <f t="shared" si="254"/>
        <v>12.295015327401694</v>
      </c>
      <c r="Y232" s="30">
        <f t="shared" si="254"/>
        <v>12.791557326450375</v>
      </c>
      <c r="Z232" s="30">
        <f t="shared" si="254"/>
        <v>13.312442617054295</v>
      </c>
      <c r="AA232" s="30">
        <f t="shared" si="254"/>
        <v>13.894923215439219</v>
      </c>
      <c r="AB232" s="30">
        <f t="shared" si="254"/>
        <v>14.509745047606913</v>
      </c>
      <c r="AC232" s="30">
        <f>AC198</f>
        <v>15.158663069455027</v>
      </c>
      <c r="AD232" s="30">
        <f>AD198</f>
        <v>15.843525924114006</v>
      </c>
      <c r="AE232" s="30">
        <f>AE198</f>
        <v>16.566280829310255</v>
      </c>
    </row>
    <row r="233" spans="2:31" ht="12.75" customHeight="1">
      <c r="D233" s="371"/>
      <c r="M233" s="26"/>
    </row>
    <row r="234" spans="2:31" ht="12.75" customHeight="1">
      <c r="B234" s="28" t="s">
        <v>977</v>
      </c>
      <c r="D234" s="371"/>
      <c r="M234" s="140"/>
    </row>
    <row r="235" spans="2:31" ht="12.75" customHeight="1">
      <c r="B235" s="25" t="s">
        <v>980</v>
      </c>
      <c r="C235" s="25"/>
      <c r="D235" s="149"/>
      <c r="E235" s="25"/>
      <c r="F235" s="25"/>
      <c r="G235" s="25"/>
      <c r="H235" s="25"/>
      <c r="I235" s="25"/>
      <c r="J235" s="25"/>
      <c r="K235" s="25"/>
      <c r="L235" s="25"/>
      <c r="M235" s="868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</row>
    <row r="236" spans="2:31" ht="12.75" hidden="1" customHeight="1" outlineLevel="1">
      <c r="B236" s="770">
        <v>2020</v>
      </c>
      <c r="C236" s="490"/>
      <c r="D236" s="482"/>
      <c r="E236" s="481"/>
      <c r="F236" s="481"/>
      <c r="G236" s="481"/>
      <c r="H236" s="481"/>
      <c r="I236" s="481"/>
      <c r="J236" s="481"/>
      <c r="K236" s="481"/>
      <c r="L236" s="481"/>
      <c r="M236" s="481"/>
      <c r="N236" s="481"/>
      <c r="O236" s="481"/>
      <c r="P236" s="526"/>
      <c r="Q236" s="526"/>
      <c r="R236" s="526"/>
      <c r="S236" s="526"/>
      <c r="T236" s="526"/>
      <c r="U236" s="484">
        <v>0.1</v>
      </c>
      <c r="V236" s="484">
        <v>0.8</v>
      </c>
      <c r="W236" s="484">
        <v>0.95</v>
      </c>
      <c r="X236" s="484">
        <v>0.98</v>
      </c>
      <c r="Y236" s="484">
        <v>0.99</v>
      </c>
      <c r="Z236" s="484">
        <v>0.99250000000000005</v>
      </c>
      <c r="AA236" s="484">
        <v>0.995</v>
      </c>
      <c r="AB236" s="484">
        <v>0.99750000000000005</v>
      </c>
      <c r="AC236" s="484">
        <v>0.999</v>
      </c>
      <c r="AD236" s="526">
        <f t="shared" ref="AD236:AE236" si="255">AC236</f>
        <v>0.999</v>
      </c>
      <c r="AE236" s="526">
        <f t="shared" si="255"/>
        <v>0.999</v>
      </c>
    </row>
    <row r="237" spans="2:31" ht="12.75" hidden="1" customHeight="1" outlineLevel="1">
      <c r="B237" s="770">
        <f>B236+1</f>
        <v>2021</v>
      </c>
      <c r="C237" s="490"/>
      <c r="D237" s="482"/>
      <c r="E237" s="481"/>
      <c r="F237" s="481"/>
      <c r="G237" s="481"/>
      <c r="H237" s="481"/>
      <c r="I237" s="481"/>
      <c r="J237" s="481"/>
      <c r="K237" s="481"/>
      <c r="L237" s="481"/>
      <c r="M237" s="481"/>
      <c r="N237" s="481"/>
      <c r="O237" s="481"/>
      <c r="P237" s="484"/>
      <c r="Q237" s="484"/>
      <c r="R237" s="484"/>
      <c r="S237" s="489"/>
      <c r="T237" s="489"/>
      <c r="U237" s="496">
        <v>0</v>
      </c>
      <c r="V237" s="489">
        <f>U236</f>
        <v>0.1</v>
      </c>
      <c r="W237" s="489">
        <f t="shared" ref="W237:AE241" si="256">V236</f>
        <v>0.8</v>
      </c>
      <c r="X237" s="489">
        <f t="shared" si="256"/>
        <v>0.95</v>
      </c>
      <c r="Y237" s="489">
        <f t="shared" si="256"/>
        <v>0.98</v>
      </c>
      <c r="Z237" s="489">
        <f t="shared" si="256"/>
        <v>0.99</v>
      </c>
      <c r="AA237" s="489">
        <f t="shared" si="256"/>
        <v>0.99250000000000005</v>
      </c>
      <c r="AB237" s="489">
        <f t="shared" si="256"/>
        <v>0.995</v>
      </c>
      <c r="AC237" s="489">
        <f t="shared" si="256"/>
        <v>0.99750000000000005</v>
      </c>
      <c r="AD237" s="489">
        <f t="shared" si="256"/>
        <v>0.999</v>
      </c>
      <c r="AE237" s="489">
        <f t="shared" si="256"/>
        <v>0.999</v>
      </c>
    </row>
    <row r="238" spans="2:31" ht="12.75" hidden="1" customHeight="1" outlineLevel="1">
      <c r="B238" s="770">
        <f t="shared" ref="B238:B243" si="257">B237+1</f>
        <v>2022</v>
      </c>
      <c r="C238" s="490"/>
      <c r="D238" s="482"/>
      <c r="E238" s="481"/>
      <c r="F238" s="481"/>
      <c r="G238" s="481"/>
      <c r="H238" s="481"/>
      <c r="I238" s="481"/>
      <c r="J238" s="481"/>
      <c r="K238" s="481"/>
      <c r="L238" s="481"/>
      <c r="M238" s="481"/>
      <c r="N238" s="481"/>
      <c r="O238" s="481"/>
      <c r="P238" s="526"/>
      <c r="Q238" s="526"/>
      <c r="R238" s="526"/>
      <c r="S238" s="526"/>
      <c r="T238" s="526"/>
      <c r="U238" s="484">
        <v>0</v>
      </c>
      <c r="V238" s="526">
        <f t="shared" ref="V238:V243" si="258">U238</f>
        <v>0</v>
      </c>
      <c r="W238" s="526">
        <f>V237</f>
        <v>0.1</v>
      </c>
      <c r="X238" s="526">
        <f t="shared" si="256"/>
        <v>0.8</v>
      </c>
      <c r="Y238" s="526">
        <f t="shared" si="256"/>
        <v>0.95</v>
      </c>
      <c r="Z238" s="526">
        <f t="shared" si="256"/>
        <v>0.98</v>
      </c>
      <c r="AA238" s="526">
        <f t="shared" si="256"/>
        <v>0.99</v>
      </c>
      <c r="AB238" s="526">
        <f t="shared" si="256"/>
        <v>0.99250000000000005</v>
      </c>
      <c r="AC238" s="526">
        <f t="shared" si="256"/>
        <v>0.995</v>
      </c>
      <c r="AD238" s="526">
        <f t="shared" si="256"/>
        <v>0.99750000000000005</v>
      </c>
      <c r="AE238" s="526">
        <f t="shared" si="256"/>
        <v>0.999</v>
      </c>
    </row>
    <row r="239" spans="2:31" ht="12.75" hidden="1" customHeight="1" outlineLevel="1">
      <c r="B239" s="770">
        <f t="shared" si="257"/>
        <v>2023</v>
      </c>
      <c r="C239" s="490"/>
      <c r="D239" s="482"/>
      <c r="E239" s="481"/>
      <c r="F239" s="481"/>
      <c r="G239" s="481"/>
      <c r="H239" s="481"/>
      <c r="I239" s="481"/>
      <c r="J239" s="481"/>
      <c r="K239" s="481"/>
      <c r="L239" s="481"/>
      <c r="M239" s="481"/>
      <c r="N239" s="481"/>
      <c r="O239" s="481"/>
      <c r="P239" s="526"/>
      <c r="Q239" s="526"/>
      <c r="R239" s="526"/>
      <c r="S239" s="526"/>
      <c r="T239" s="526"/>
      <c r="U239" s="484">
        <v>0</v>
      </c>
      <c r="V239" s="526">
        <f t="shared" si="258"/>
        <v>0</v>
      </c>
      <c r="W239" s="526">
        <v>0.05</v>
      </c>
      <c r="X239" s="526">
        <v>0.3</v>
      </c>
      <c r="Y239" s="526">
        <f t="shared" si="256"/>
        <v>0.8</v>
      </c>
      <c r="Z239" s="526">
        <f t="shared" si="256"/>
        <v>0.95</v>
      </c>
      <c r="AA239" s="526">
        <f t="shared" si="256"/>
        <v>0.98</v>
      </c>
      <c r="AB239" s="526">
        <f t="shared" si="256"/>
        <v>0.99</v>
      </c>
      <c r="AC239" s="526">
        <f t="shared" si="256"/>
        <v>0.99250000000000005</v>
      </c>
      <c r="AD239" s="526">
        <f t="shared" si="256"/>
        <v>0.995</v>
      </c>
      <c r="AE239" s="526">
        <f t="shared" si="256"/>
        <v>0.99750000000000005</v>
      </c>
    </row>
    <row r="240" spans="2:31" ht="12.75" hidden="1" customHeight="1" outlineLevel="1">
      <c r="B240" s="770">
        <f t="shared" si="257"/>
        <v>2024</v>
      </c>
      <c r="C240" s="490"/>
      <c r="D240" s="482"/>
      <c r="E240" s="481"/>
      <c r="F240" s="481"/>
      <c r="G240" s="481"/>
      <c r="H240" s="481"/>
      <c r="I240" s="481"/>
      <c r="J240" s="481"/>
      <c r="K240" s="481"/>
      <c r="L240" s="481"/>
      <c r="M240" s="481"/>
      <c r="N240" s="481"/>
      <c r="O240" s="481"/>
      <c r="P240" s="526"/>
      <c r="Q240" s="526"/>
      <c r="R240" s="526"/>
      <c r="S240" s="526"/>
      <c r="T240" s="526"/>
      <c r="U240" s="484">
        <v>0</v>
      </c>
      <c r="V240" s="526">
        <f t="shared" si="258"/>
        <v>0</v>
      </c>
      <c r="W240" s="526">
        <v>0.05</v>
      </c>
      <c r="X240" s="526">
        <v>0.14000000000000001</v>
      </c>
      <c r="Y240" s="526">
        <v>0.4</v>
      </c>
      <c r="Z240" s="526">
        <f t="shared" si="256"/>
        <v>0.8</v>
      </c>
      <c r="AA240" s="526">
        <f t="shared" si="256"/>
        <v>0.95</v>
      </c>
      <c r="AB240" s="526">
        <f t="shared" si="256"/>
        <v>0.98</v>
      </c>
      <c r="AC240" s="526">
        <f t="shared" si="256"/>
        <v>0.99</v>
      </c>
      <c r="AD240" s="526">
        <f t="shared" si="256"/>
        <v>0.99250000000000005</v>
      </c>
      <c r="AE240" s="526">
        <f t="shared" si="256"/>
        <v>0.995</v>
      </c>
    </row>
    <row r="241" spans="1:31" ht="12.75" hidden="1" customHeight="1" outlineLevel="1">
      <c r="B241" s="770">
        <f t="shared" si="257"/>
        <v>2025</v>
      </c>
      <c r="C241" s="490"/>
      <c r="D241" s="482"/>
      <c r="E241" s="481"/>
      <c r="F241" s="481"/>
      <c r="G241" s="481"/>
      <c r="H241" s="481"/>
      <c r="I241" s="481"/>
      <c r="J241" s="481"/>
      <c r="K241" s="481"/>
      <c r="L241" s="481"/>
      <c r="M241" s="481"/>
      <c r="N241" s="481"/>
      <c r="O241" s="481"/>
      <c r="P241" s="526"/>
      <c r="Q241" s="526"/>
      <c r="R241" s="526"/>
      <c r="S241" s="526"/>
      <c r="T241" s="526"/>
      <c r="U241" s="484">
        <v>0</v>
      </c>
      <c r="V241" s="526">
        <f t="shared" si="258"/>
        <v>0</v>
      </c>
      <c r="W241" s="526">
        <v>0.05</v>
      </c>
      <c r="X241" s="526">
        <v>0.14000000000000001</v>
      </c>
      <c r="Y241" s="526">
        <v>0.24</v>
      </c>
      <c r="Z241" s="526">
        <f>Y240</f>
        <v>0.4</v>
      </c>
      <c r="AA241" s="526">
        <f t="shared" si="256"/>
        <v>0.8</v>
      </c>
      <c r="AB241" s="526">
        <f t="shared" si="256"/>
        <v>0.95</v>
      </c>
      <c r="AC241" s="526">
        <f t="shared" si="256"/>
        <v>0.98</v>
      </c>
      <c r="AD241" s="526">
        <f t="shared" si="256"/>
        <v>0.99</v>
      </c>
      <c r="AE241" s="526">
        <f t="shared" si="256"/>
        <v>0.99250000000000005</v>
      </c>
    </row>
    <row r="242" spans="1:31" ht="12.75" hidden="1" customHeight="1" outlineLevel="1">
      <c r="B242" s="770">
        <f t="shared" si="257"/>
        <v>2026</v>
      </c>
      <c r="C242" s="490"/>
      <c r="D242" s="482"/>
      <c r="E242" s="481"/>
      <c r="F242" s="481"/>
      <c r="G242" s="481"/>
      <c r="H242" s="481"/>
      <c r="I242" s="481"/>
      <c r="J242" s="481"/>
      <c r="K242" s="481"/>
      <c r="L242" s="481"/>
      <c r="M242" s="481"/>
      <c r="N242" s="481"/>
      <c r="O242" s="481"/>
      <c r="P242" s="526"/>
      <c r="Q242" s="526"/>
      <c r="R242" s="526"/>
      <c r="S242" s="526"/>
      <c r="T242" s="526"/>
      <c r="U242" s="484">
        <v>0</v>
      </c>
      <c r="V242" s="526">
        <f t="shared" si="258"/>
        <v>0</v>
      </c>
      <c r="W242" s="526">
        <v>0.05</v>
      </c>
      <c r="X242" s="526">
        <v>0.14000000000000001</v>
      </c>
      <c r="Y242" s="526">
        <v>0.24</v>
      </c>
      <c r="Z242" s="526">
        <v>0.33</v>
      </c>
      <c r="AA242" s="526">
        <v>0.85</v>
      </c>
      <c r="AB242" s="526">
        <v>0.95</v>
      </c>
      <c r="AC242" s="526">
        <v>0.99</v>
      </c>
      <c r="AD242" s="526">
        <v>0.99250000000000005</v>
      </c>
      <c r="AE242" s="526">
        <v>0.995</v>
      </c>
    </row>
    <row r="243" spans="1:31" ht="12.75" hidden="1" customHeight="1" outlineLevel="1">
      <c r="B243" s="770">
        <f t="shared" si="257"/>
        <v>2027</v>
      </c>
      <c r="C243" s="490"/>
      <c r="D243" s="482"/>
      <c r="E243" s="481"/>
      <c r="F243" s="481"/>
      <c r="G243" s="481"/>
      <c r="H243" s="481"/>
      <c r="I243" s="481"/>
      <c r="J243" s="481"/>
      <c r="K243" s="481"/>
      <c r="L243" s="481"/>
      <c r="M243" s="481"/>
      <c r="N243" s="481"/>
      <c r="O243" s="481"/>
      <c r="P243" s="526"/>
      <c r="Q243" s="526"/>
      <c r="R243" s="526"/>
      <c r="S243" s="526"/>
      <c r="T243" s="526"/>
      <c r="U243" s="484">
        <v>0</v>
      </c>
      <c r="V243" s="526">
        <f t="shared" si="258"/>
        <v>0</v>
      </c>
      <c r="W243" s="526">
        <v>0.05</v>
      </c>
      <c r="X243" s="526">
        <v>0.14000000000000001</v>
      </c>
      <c r="Y243" s="526">
        <v>0.24</v>
      </c>
      <c r="Z243" s="526">
        <v>0.33</v>
      </c>
      <c r="AA243" s="526">
        <v>0.8</v>
      </c>
      <c r="AB243" s="526">
        <v>0.98</v>
      </c>
      <c r="AC243" s="526">
        <v>0.99</v>
      </c>
      <c r="AD243" s="526">
        <v>0.99250000000000005</v>
      </c>
      <c r="AE243" s="526">
        <v>0.995</v>
      </c>
    </row>
    <row r="244" spans="1:31" ht="12.75" customHeight="1" collapsed="1">
      <c r="A244" s="485" t="s">
        <v>78</v>
      </c>
      <c r="B244" s="487" t="s">
        <v>981</v>
      </c>
      <c r="C244" s="490"/>
      <c r="D244" s="482"/>
      <c r="E244" s="481"/>
      <c r="F244" s="481"/>
      <c r="G244" s="481"/>
      <c r="H244" s="481"/>
      <c r="I244" s="481"/>
      <c r="J244" s="481"/>
      <c r="K244" s="481"/>
      <c r="L244" s="481"/>
      <c r="M244" s="481"/>
      <c r="N244" s="481"/>
      <c r="O244" s="481"/>
      <c r="P244" s="486"/>
      <c r="Q244" s="486"/>
      <c r="R244" s="486"/>
      <c r="S244" s="486"/>
      <c r="T244" s="486"/>
      <c r="U244" s="486">
        <f t="shared" ref="U244:AE244" si="259">CHOOSE($J$249,U236,U237,U238,U239,U240,U241,U242,U243)</f>
        <v>0</v>
      </c>
      <c r="V244" s="486">
        <f t="shared" si="259"/>
        <v>0</v>
      </c>
      <c r="W244" s="486">
        <f t="shared" si="259"/>
        <v>0.05</v>
      </c>
      <c r="X244" s="486">
        <f t="shared" si="259"/>
        <v>0.14000000000000001</v>
      </c>
      <c r="Y244" s="486">
        <f t="shared" si="259"/>
        <v>0.24</v>
      </c>
      <c r="Z244" s="486">
        <f t="shared" si="259"/>
        <v>0.4</v>
      </c>
      <c r="AA244" s="486">
        <f t="shared" si="259"/>
        <v>0.8</v>
      </c>
      <c r="AB244" s="486">
        <f t="shared" si="259"/>
        <v>0.95</v>
      </c>
      <c r="AC244" s="486">
        <f t="shared" si="259"/>
        <v>0.98</v>
      </c>
      <c r="AD244" s="486">
        <f t="shared" si="259"/>
        <v>0.99</v>
      </c>
      <c r="AE244" s="486">
        <f t="shared" si="259"/>
        <v>0.99250000000000005</v>
      </c>
    </row>
    <row r="245" spans="1:31" ht="12.75" customHeight="1">
      <c r="B245" s="360" t="s">
        <v>913</v>
      </c>
      <c r="D245" s="371"/>
      <c r="Y245" s="7">
        <v>0.1</v>
      </c>
      <c r="Z245" s="7">
        <v>0.5</v>
      </c>
      <c r="AA245" s="7">
        <v>0.9</v>
      </c>
      <c r="AB245" s="7">
        <v>0.95</v>
      </c>
      <c r="AC245" s="7">
        <v>0.97</v>
      </c>
      <c r="AD245" s="7">
        <v>0.98</v>
      </c>
      <c r="AE245" s="7">
        <v>0.99</v>
      </c>
    </row>
    <row r="246" spans="1:31" ht="12.75" customHeight="1">
      <c r="D246" s="371"/>
    </row>
    <row r="247" spans="1:31" ht="12.75" customHeight="1">
      <c r="D247" s="371"/>
      <c r="J247" s="865" t="s">
        <v>975</v>
      </c>
      <c r="K247" s="865"/>
      <c r="L247" s="865"/>
      <c r="M247" s="50"/>
      <c r="O247" s="360"/>
    </row>
    <row r="248" spans="1:31" ht="12.75" customHeight="1">
      <c r="D248" s="371"/>
      <c r="J248" s="867" t="s">
        <v>979</v>
      </c>
      <c r="K248" s="867" t="s">
        <v>978</v>
      </c>
      <c r="L248" s="867" t="s">
        <v>976</v>
      </c>
      <c r="M248" s="50"/>
    </row>
    <row r="249" spans="1:31" ht="12.75" customHeight="1">
      <c r="D249" s="371"/>
      <c r="J249" s="866">
        <f>DCF!$C$30</f>
        <v>6</v>
      </c>
      <c r="K249" s="371">
        <v>1</v>
      </c>
      <c r="L249" s="371">
        <v>2020</v>
      </c>
    </row>
    <row r="250" spans="1:31" ht="12.75" customHeight="1">
      <c r="D250" s="371"/>
      <c r="J250" s="371"/>
      <c r="K250" s="371">
        <f>K249+1</f>
        <v>2</v>
      </c>
      <c r="L250" s="371">
        <f>L249+1</f>
        <v>2021</v>
      </c>
    </row>
    <row r="251" spans="1:31" ht="12.75" customHeight="1">
      <c r="D251" s="371"/>
      <c r="J251" s="371"/>
      <c r="K251" s="371">
        <f t="shared" ref="K251:K256" si="260">K250+1</f>
        <v>3</v>
      </c>
      <c r="L251" s="371">
        <f t="shared" ref="L251:L256" si="261">L250+1</f>
        <v>2022</v>
      </c>
    </row>
    <row r="252" spans="1:31" ht="12.75" customHeight="1">
      <c r="D252" s="371"/>
      <c r="J252" s="371"/>
      <c r="K252" s="371">
        <f t="shared" si="260"/>
        <v>4</v>
      </c>
      <c r="L252" s="371">
        <f t="shared" si="261"/>
        <v>2023</v>
      </c>
    </row>
    <row r="253" spans="1:31" ht="12.75" customHeight="1">
      <c r="D253" s="371"/>
      <c r="J253" s="371"/>
      <c r="K253" s="371">
        <f t="shared" si="260"/>
        <v>5</v>
      </c>
      <c r="L253" s="371">
        <f t="shared" si="261"/>
        <v>2024</v>
      </c>
    </row>
    <row r="254" spans="1:31" ht="12.75" customHeight="1">
      <c r="D254" s="371"/>
      <c r="J254" s="371"/>
      <c r="K254" s="371">
        <f t="shared" si="260"/>
        <v>6</v>
      </c>
      <c r="L254" s="371">
        <f t="shared" si="261"/>
        <v>2025</v>
      </c>
    </row>
    <row r="255" spans="1:31" ht="12.75" customHeight="1">
      <c r="D255" s="371"/>
      <c r="J255" s="371"/>
      <c r="K255" s="371">
        <f t="shared" si="260"/>
        <v>7</v>
      </c>
      <c r="L255" s="371">
        <f t="shared" si="261"/>
        <v>2026</v>
      </c>
    </row>
    <row r="256" spans="1:31" ht="12.75" customHeight="1">
      <c r="D256" s="371"/>
      <c r="J256" s="371"/>
      <c r="K256" s="371">
        <f t="shared" si="260"/>
        <v>8</v>
      </c>
      <c r="L256" s="371">
        <f t="shared" si="261"/>
        <v>2027</v>
      </c>
    </row>
    <row r="257" spans="2:13" ht="12.75" customHeight="1">
      <c r="D257" s="371"/>
    </row>
    <row r="258" spans="2:13" ht="12.75" customHeight="1">
      <c r="D258" s="371"/>
    </row>
    <row r="259" spans="2:13" ht="12.75" customHeight="1">
      <c r="B259" t="s">
        <v>122</v>
      </c>
      <c r="D259" s="371"/>
      <c r="J259">
        <v>1038</v>
      </c>
      <c r="K259">
        <v>1432</v>
      </c>
      <c r="L259">
        <v>1844.5</v>
      </c>
      <c r="M259">
        <v>2150</v>
      </c>
    </row>
    <row r="260" spans="2:13" ht="12.75" customHeight="1">
      <c r="B260" s="20" t="s">
        <v>38</v>
      </c>
      <c r="C260" s="22"/>
      <c r="D260" s="21"/>
      <c r="E260" s="22"/>
      <c r="F260" s="22"/>
      <c r="G260" s="22"/>
      <c r="H260" s="22"/>
      <c r="I260" s="22"/>
      <c r="J260" s="22">
        <f>J259-J261-J262</f>
        <v>920.36131725004861</v>
      </c>
      <c r="K260" s="22">
        <f>K259-K261-K262</f>
        <v>1286.7669713160778</v>
      </c>
      <c r="L260" s="22">
        <f>L259-L261-L262</f>
        <v>1682.0943826707592</v>
      </c>
      <c r="M260" s="23">
        <f>M259-M261-M262</f>
        <v>1967.7499963819789</v>
      </c>
    </row>
    <row r="261" spans="2:13" ht="12.75" customHeight="1">
      <c r="B261" t="s">
        <v>127</v>
      </c>
      <c r="D261" s="371"/>
      <c r="J261" s="5">
        <f>MDS!J26</f>
        <v>107.63868274995139</v>
      </c>
      <c r="K261" s="5">
        <f>MDS!K26</f>
        <v>115.23302868392224</v>
      </c>
      <c r="L261" s="5">
        <f>MDS!L26</f>
        <v>122.40561732924084</v>
      </c>
      <c r="M261" s="5">
        <f>MDS!M26</f>
        <v>132.25000361802114</v>
      </c>
    </row>
    <row r="262" spans="2:13" ht="12.75" customHeight="1">
      <c r="B262" t="s">
        <v>111</v>
      </c>
      <c r="D262" s="371"/>
      <c r="J262">
        <v>10</v>
      </c>
      <c r="K262">
        <v>30</v>
      </c>
      <c r="L262">
        <v>40</v>
      </c>
      <c r="M262">
        <v>50</v>
      </c>
    </row>
    <row r="263" spans="2:13" ht="12.75" customHeight="1">
      <c r="D263" s="371"/>
    </row>
    <row r="264" spans="2:13" ht="12.75" customHeight="1">
      <c r="D264" s="371"/>
      <c r="J264" s="12">
        <f>J197+J130</f>
        <v>921.11826131929092</v>
      </c>
      <c r="K264" s="12">
        <f>K197+K130</f>
        <v>1285.6611701290542</v>
      </c>
      <c r="L264" s="12">
        <f>L197+L130</f>
        <v>1683.8670621780836</v>
      </c>
      <c r="M264" s="12">
        <f>M197+M130</f>
        <v>1969.8150506612858</v>
      </c>
    </row>
    <row r="265" spans="2:13" ht="12.75" customHeight="1">
      <c r="D265" s="371"/>
      <c r="J265" s="12">
        <f>J260-J264</f>
        <v>-0.75694406924230861</v>
      </c>
      <c r="K265" s="12">
        <f>K260-K264</f>
        <v>1.1058011870236442</v>
      </c>
      <c r="L265" s="12">
        <f>L260-L264</f>
        <v>-1.772679507324483</v>
      </c>
      <c r="M265" s="12">
        <f>M260-M264</f>
        <v>-2.065054279306878</v>
      </c>
    </row>
    <row r="266" spans="2:13" ht="12.75" customHeight="1"/>
    <row r="278" spans="6:10" ht="13.5" thickBot="1">
      <c r="F278" s="144" t="s">
        <v>126</v>
      </c>
      <c r="G278" s="144" t="s">
        <v>72</v>
      </c>
    </row>
    <row r="279" spans="6:10" ht="13.5" thickBot="1">
      <c r="F279" s="145">
        <v>8931.9699999999993</v>
      </c>
      <c r="G279" s="146">
        <v>41547</v>
      </c>
    </row>
    <row r="280" spans="6:10" ht="13.5" thickBot="1">
      <c r="F280" s="145">
        <v>8671.82</v>
      </c>
      <c r="G280" s="146">
        <v>41362</v>
      </c>
      <c r="H280" s="5">
        <f>F281*3/12+F280*6/12+F279*3/12</f>
        <v>8673.7124999999996</v>
      </c>
      <c r="I280">
        <f>I281+1</f>
        <v>2013</v>
      </c>
      <c r="J280" s="2">
        <f>H280/H281-1</f>
        <v>8.1226273896465973E-2</v>
      </c>
    </row>
    <row r="281" spans="6:10" ht="13.5" thickBot="1">
      <c r="F281" s="145">
        <v>8419.24</v>
      </c>
      <c r="G281" s="146">
        <v>41213</v>
      </c>
      <c r="H281" s="5">
        <f>F282*10/12+F281*2/12</f>
        <v>8022.1066666666675</v>
      </c>
      <c r="I281">
        <f>I282+1</f>
        <v>2012</v>
      </c>
      <c r="J281" s="2">
        <f>H281/H282-1</f>
        <v>6.527417686188941E-2</v>
      </c>
    </row>
    <row r="282" spans="6:10" ht="13.5" thickBot="1">
      <c r="F282" s="145">
        <v>7942.68</v>
      </c>
      <c r="G282" s="146">
        <v>40875</v>
      </c>
      <c r="H282" s="5">
        <f>F283*11/12+F282*1/12</f>
        <v>7530.5558333333338</v>
      </c>
      <c r="I282">
        <f>I283+1</f>
        <v>2011</v>
      </c>
      <c r="J282" s="2">
        <f>H282/H283-1</f>
        <v>4.1740075524039133E-2</v>
      </c>
    </row>
    <row r="283" spans="6:10" ht="13.5" thickBot="1">
      <c r="F283" s="145">
        <v>7493.09</v>
      </c>
      <c r="G283" s="146">
        <v>40522</v>
      </c>
      <c r="H283" s="5">
        <f>F284*11/12+F283*1/12</f>
        <v>7228.8241666666672</v>
      </c>
      <c r="I283">
        <f>I284+1</f>
        <v>2010</v>
      </c>
      <c r="J283" s="2">
        <f>H283/H284-1</f>
        <v>5.2497163279588532E-2</v>
      </c>
    </row>
    <row r="284" spans="6:10" ht="13.5" thickBot="1">
      <c r="F284" s="145">
        <v>7204.8</v>
      </c>
      <c r="G284" s="146">
        <v>40182</v>
      </c>
      <c r="H284" s="5">
        <f>F285</f>
        <v>6868.26</v>
      </c>
      <c r="I284">
        <v>2009</v>
      </c>
    </row>
    <row r="285" spans="6:10" ht="13.5" thickBot="1">
      <c r="F285" s="145">
        <v>6868.26</v>
      </c>
      <c r="G285" s="146">
        <v>39904</v>
      </c>
      <c r="H285" s="13"/>
    </row>
  </sheetData>
  <mergeCells count="2">
    <mergeCell ref="J1:K1"/>
    <mergeCell ref="M1:O1"/>
  </mergeCells>
  <phoneticPr fontId="9" type="noConversion"/>
  <hyperlinks>
    <hyperlink ref="AG8" r:id="rId1"/>
    <hyperlink ref="AG138" r:id="rId2"/>
  </hyperlinks>
  <pageMargins left="0.75" right="0.75" top="1" bottom="1" header="0.5" footer="0.5"/>
  <pageSetup orientation="portrait" r:id="rId3"/>
  <headerFooter alignWithMargins="0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V278"/>
  <sheetViews>
    <sheetView zoomScaleNormal="100" workbookViewId="0">
      <pane xSplit="2" ySplit="6" topLeftCell="C192" activePane="bottomRight" state="frozen"/>
      <selection pane="topRight"/>
      <selection pane="bottomLeft"/>
      <selection pane="bottomRight" activeCell="S213" sqref="S213"/>
    </sheetView>
  </sheetViews>
  <sheetFormatPr defaultRowHeight="12.75" outlineLevelRow="3" outlineLevelCol="1"/>
  <cols>
    <col min="1" max="1" width="2" customWidth="1"/>
    <col min="2" max="2" width="45.7109375" customWidth="1"/>
    <col min="3" max="3" width="3.5703125" customWidth="1"/>
    <col min="4" max="4" width="6.7109375" style="18" hidden="1" customWidth="1" outlineLevel="1"/>
    <col min="5" max="9" width="9.140625" hidden="1" customWidth="1" outlineLevel="1"/>
    <col min="10" max="10" width="9.140625" collapsed="1"/>
    <col min="32" max="32" width="3" customWidth="1"/>
    <col min="33" max="33" width="21.140625" customWidth="1"/>
  </cols>
  <sheetData>
    <row r="1" spans="2:48">
      <c r="B1" s="25" t="s">
        <v>775</v>
      </c>
      <c r="D1" s="371"/>
      <c r="J1" s="1242">
        <f>DCF!C25</f>
        <v>2</v>
      </c>
      <c r="K1" s="1242"/>
      <c r="M1" s="1243" t="s">
        <v>465</v>
      </c>
      <c r="N1" s="1243"/>
      <c r="O1" s="1243"/>
    </row>
    <row r="2" spans="2:48">
      <c r="D2" s="371"/>
    </row>
    <row r="3" spans="2:48" hidden="1" outlineLevel="1">
      <c r="B3" t="s">
        <v>102</v>
      </c>
      <c r="D3" s="371"/>
      <c r="E3" s="1">
        <v>292800000</v>
      </c>
      <c r="F3" s="1">
        <v>295500000</v>
      </c>
      <c r="G3" s="1">
        <v>298400000</v>
      </c>
      <c r="H3" s="1">
        <v>301200000</v>
      </c>
      <c r="I3" s="1">
        <v>304100000</v>
      </c>
      <c r="J3" s="1">
        <v>306800000</v>
      </c>
      <c r="K3" s="1">
        <v>309400000</v>
      </c>
      <c r="L3" s="1">
        <v>311600000</v>
      </c>
      <c r="M3" s="1">
        <v>313900000</v>
      </c>
      <c r="N3" s="1">
        <f>M3*(1+N4)</f>
        <v>316097299.99999994</v>
      </c>
      <c r="O3" s="1">
        <f t="shared" ref="O3:U3" si="0">N3*(1+O4)</f>
        <v>318309981.0999999</v>
      </c>
      <c r="P3" s="1">
        <f t="shared" si="0"/>
        <v>320538150.96769989</v>
      </c>
      <c r="Q3" s="1">
        <f t="shared" si="0"/>
        <v>322781918.02447373</v>
      </c>
      <c r="R3" s="1">
        <f t="shared" si="0"/>
        <v>325041391.45064503</v>
      </c>
      <c r="S3" s="1">
        <f t="shared" si="0"/>
        <v>327316681.19079953</v>
      </c>
      <c r="T3" s="1">
        <f t="shared" si="0"/>
        <v>329607897.95913512</v>
      </c>
      <c r="U3" s="1">
        <f t="shared" si="0"/>
        <v>331915153.24484903</v>
      </c>
      <c r="V3" s="1">
        <f t="shared" ref="V3:AE3" si="1">U3*(1+V4)</f>
        <v>334238559.31756294</v>
      </c>
      <c r="W3" s="1">
        <f t="shared" si="1"/>
        <v>336578229.23278582</v>
      </c>
      <c r="X3" s="1">
        <f t="shared" si="1"/>
        <v>338934276.83741528</v>
      </c>
      <c r="Y3" s="1">
        <f t="shared" si="1"/>
        <v>341306816.77527714</v>
      </c>
      <c r="Z3" s="1">
        <f t="shared" si="1"/>
        <v>343695964.49270403</v>
      </c>
      <c r="AA3" s="1">
        <f t="shared" si="1"/>
        <v>346101836.2441529</v>
      </c>
      <c r="AB3" s="1">
        <f t="shared" si="1"/>
        <v>348524549.09786195</v>
      </c>
      <c r="AC3" s="1">
        <f t="shared" si="1"/>
        <v>350964220.94154692</v>
      </c>
      <c r="AD3" s="1">
        <f t="shared" si="1"/>
        <v>353420970.48813772</v>
      </c>
      <c r="AE3" s="1">
        <f t="shared" si="1"/>
        <v>355894917.28155464</v>
      </c>
    </row>
    <row r="4" spans="2:48" hidden="1" outlineLevel="1">
      <c r="D4" s="371"/>
      <c r="E4" s="1"/>
      <c r="F4" s="3">
        <f t="shared" ref="F4:M4" si="2">F3/E3-1</f>
        <v>9.2213114754098324E-3</v>
      </c>
      <c r="G4" s="3">
        <f t="shared" si="2"/>
        <v>9.8138747884941591E-3</v>
      </c>
      <c r="H4" s="3">
        <f t="shared" si="2"/>
        <v>9.3833780160856861E-3</v>
      </c>
      <c r="I4" s="3">
        <f t="shared" si="2"/>
        <v>9.6281540504647989E-3</v>
      </c>
      <c r="J4" s="3">
        <f t="shared" si="2"/>
        <v>8.8786583360735971E-3</v>
      </c>
      <c r="K4" s="3">
        <f t="shared" si="2"/>
        <v>8.4745762711864181E-3</v>
      </c>
      <c r="L4" s="3">
        <f t="shared" si="2"/>
        <v>7.1105365223012029E-3</v>
      </c>
      <c r="M4" s="3">
        <f t="shared" si="2"/>
        <v>7.3812580231065184E-3</v>
      </c>
      <c r="N4" s="15">
        <v>7.0000000000000001E-3</v>
      </c>
      <c r="O4" s="466">
        <f>N4</f>
        <v>7.0000000000000001E-3</v>
      </c>
      <c r="P4" s="466">
        <f t="shared" ref="P4:U4" si="3">O4</f>
        <v>7.0000000000000001E-3</v>
      </c>
      <c r="Q4" s="466">
        <f t="shared" si="3"/>
        <v>7.0000000000000001E-3</v>
      </c>
      <c r="R4" s="466">
        <f t="shared" si="3"/>
        <v>7.0000000000000001E-3</v>
      </c>
      <c r="S4" s="466">
        <f t="shared" si="3"/>
        <v>7.0000000000000001E-3</v>
      </c>
      <c r="T4" s="466">
        <f t="shared" si="3"/>
        <v>7.0000000000000001E-3</v>
      </c>
      <c r="U4" s="466">
        <f t="shared" si="3"/>
        <v>7.0000000000000001E-3</v>
      </c>
      <c r="V4" s="466">
        <f t="shared" ref="V4:AE4" si="4">U4</f>
        <v>7.0000000000000001E-3</v>
      </c>
      <c r="W4" s="466">
        <f t="shared" si="4"/>
        <v>7.0000000000000001E-3</v>
      </c>
      <c r="X4" s="466">
        <f t="shared" si="4"/>
        <v>7.0000000000000001E-3</v>
      </c>
      <c r="Y4" s="466">
        <f t="shared" si="4"/>
        <v>7.0000000000000001E-3</v>
      </c>
      <c r="Z4" s="466">
        <f t="shared" si="4"/>
        <v>7.0000000000000001E-3</v>
      </c>
      <c r="AA4" s="466">
        <f t="shared" si="4"/>
        <v>7.0000000000000001E-3</v>
      </c>
      <c r="AB4" s="466">
        <f t="shared" si="4"/>
        <v>7.0000000000000001E-3</v>
      </c>
      <c r="AC4" s="466">
        <f t="shared" si="4"/>
        <v>7.0000000000000001E-3</v>
      </c>
      <c r="AD4" s="466">
        <f t="shared" si="4"/>
        <v>7.0000000000000001E-3</v>
      </c>
      <c r="AE4" s="466">
        <f t="shared" si="4"/>
        <v>7.0000000000000001E-3</v>
      </c>
    </row>
    <row r="5" spans="2:48" hidden="1" outlineLevel="1">
      <c r="B5" t="s">
        <v>103</v>
      </c>
      <c r="D5" s="371"/>
    </row>
    <row r="6" spans="2:48" ht="13.5" collapsed="1" thickBot="1">
      <c r="B6" s="467"/>
      <c r="C6" s="467"/>
      <c r="D6" s="468"/>
      <c r="E6" s="467">
        <v>2004</v>
      </c>
      <c r="F6" s="467">
        <f t="shared" ref="F6:M6" si="5">E6+1</f>
        <v>2005</v>
      </c>
      <c r="G6" s="467">
        <f t="shared" si="5"/>
        <v>2006</v>
      </c>
      <c r="H6" s="467">
        <f t="shared" si="5"/>
        <v>2007</v>
      </c>
      <c r="I6" s="467">
        <f t="shared" si="5"/>
        <v>2008</v>
      </c>
      <c r="J6" s="467">
        <f t="shared" si="5"/>
        <v>2009</v>
      </c>
      <c r="K6" s="467">
        <f t="shared" si="5"/>
        <v>2010</v>
      </c>
      <c r="L6" s="467">
        <f t="shared" si="5"/>
        <v>2011</v>
      </c>
      <c r="M6" s="467">
        <f t="shared" si="5"/>
        <v>2012</v>
      </c>
      <c r="N6" s="467">
        <v>2013</v>
      </c>
      <c r="O6" s="467">
        <f>N6+1</f>
        <v>2014</v>
      </c>
      <c r="P6" s="467">
        <f t="shared" ref="P6:U6" si="6">O6+1</f>
        <v>2015</v>
      </c>
      <c r="Q6" s="467">
        <f t="shared" si="6"/>
        <v>2016</v>
      </c>
      <c r="R6" s="467">
        <f t="shared" si="6"/>
        <v>2017</v>
      </c>
      <c r="S6" s="467">
        <f t="shared" si="6"/>
        <v>2018</v>
      </c>
      <c r="T6" s="467">
        <f t="shared" si="6"/>
        <v>2019</v>
      </c>
      <c r="U6" s="467">
        <f t="shared" si="6"/>
        <v>2020</v>
      </c>
      <c r="V6" s="467">
        <f t="shared" ref="V6:AE6" si="7">U6+1</f>
        <v>2021</v>
      </c>
      <c r="W6" s="467">
        <f t="shared" si="7"/>
        <v>2022</v>
      </c>
      <c r="X6" s="467">
        <f t="shared" si="7"/>
        <v>2023</v>
      </c>
      <c r="Y6" s="467">
        <f t="shared" si="7"/>
        <v>2024</v>
      </c>
      <c r="Z6" s="467">
        <f t="shared" si="7"/>
        <v>2025</v>
      </c>
      <c r="AA6" s="467">
        <f t="shared" si="7"/>
        <v>2026</v>
      </c>
      <c r="AB6" s="467">
        <f t="shared" si="7"/>
        <v>2027</v>
      </c>
      <c r="AC6" s="467">
        <f t="shared" si="7"/>
        <v>2028</v>
      </c>
      <c r="AD6" s="467">
        <f t="shared" si="7"/>
        <v>2029</v>
      </c>
      <c r="AE6" s="467">
        <f t="shared" si="7"/>
        <v>2030</v>
      </c>
      <c r="AG6" t="s">
        <v>105</v>
      </c>
    </row>
    <row r="7" spans="2:48" outlineLevel="1">
      <c r="B7" s="469" t="s">
        <v>350</v>
      </c>
      <c r="C7" s="470"/>
      <c r="D7" s="471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70"/>
      <c r="R7" s="470"/>
      <c r="S7" s="470"/>
      <c r="T7" s="470"/>
      <c r="U7" s="470"/>
      <c r="V7" s="470"/>
      <c r="W7" s="470"/>
      <c r="X7" s="470"/>
      <c r="Y7" s="470"/>
      <c r="Z7" s="470"/>
      <c r="AA7" s="470"/>
      <c r="AB7" s="470"/>
      <c r="AC7" s="470"/>
      <c r="AD7" s="470"/>
      <c r="AE7" s="470"/>
    </row>
    <row r="8" spans="2:48" outlineLevel="1">
      <c r="B8" s="360" t="s">
        <v>434</v>
      </c>
      <c r="D8" s="371"/>
      <c r="E8" s="5">
        <f t="shared" ref="E8:L8" si="8">F8/1.03</f>
        <v>75114.735283001137</v>
      </c>
      <c r="F8" s="5">
        <f t="shared" si="8"/>
        <v>77368.177341491173</v>
      </c>
      <c r="G8" s="5">
        <f t="shared" si="8"/>
        <v>79689.222661735912</v>
      </c>
      <c r="H8" s="5">
        <f t="shared" si="8"/>
        <v>82079.899341587996</v>
      </c>
      <c r="I8" s="5">
        <f t="shared" si="8"/>
        <v>84542.296321835631</v>
      </c>
      <c r="J8" s="5">
        <f t="shared" si="8"/>
        <v>87078.565211490699</v>
      </c>
      <c r="K8" s="5">
        <f t="shared" si="8"/>
        <v>89690.922167835422</v>
      </c>
      <c r="L8" s="5">
        <f t="shared" si="8"/>
        <v>92381.649832870491</v>
      </c>
      <c r="M8" s="5">
        <f>N8/1.03</f>
        <v>95153.099327856602</v>
      </c>
      <c r="N8" s="5">
        <f>89187/0.91</f>
        <v>98007.692307692298</v>
      </c>
      <c r="O8" s="5">
        <f t="shared" ref="O8:U8" si="9">N8+N13</f>
        <v>104300.32967032967</v>
      </c>
      <c r="P8" s="5">
        <f t="shared" si="9"/>
        <v>110018.72527472526</v>
      </c>
      <c r="Q8" s="5">
        <f t="shared" si="9"/>
        <v>115213.39835164834</v>
      </c>
      <c r="R8" s="5">
        <f t="shared" si="9"/>
        <v>119929.43794835164</v>
      </c>
      <c r="S8" s="5">
        <f t="shared" si="9"/>
        <v>124207.03117686813</v>
      </c>
      <c r="T8" s="5">
        <f t="shared" si="9"/>
        <v>128081.93812593154</v>
      </c>
      <c r="U8" s="5">
        <f t="shared" si="9"/>
        <v>131585.91875344311</v>
      </c>
      <c r="V8" s="5">
        <f t="shared" ref="V8:AE8" si="10">U8+U13</f>
        <v>134747.11654418567</v>
      </c>
      <c r="W8" s="5">
        <f t="shared" si="10"/>
        <v>137590.40323847119</v>
      </c>
      <c r="X8" s="5">
        <f t="shared" si="10"/>
        <v>140137.68850627658</v>
      </c>
      <c r="Y8" s="5">
        <f t="shared" si="10"/>
        <v>142408.19805338804</v>
      </c>
      <c r="Z8" s="5">
        <f t="shared" si="10"/>
        <v>144418.72329682432</v>
      </c>
      <c r="AA8" s="5">
        <f t="shared" si="10"/>
        <v>146183.84543246607</v>
      </c>
      <c r="AB8" s="5">
        <f t="shared" si="10"/>
        <v>147716.13643489094</v>
      </c>
      <c r="AC8" s="5">
        <f t="shared" si="10"/>
        <v>149026.33927475879</v>
      </c>
      <c r="AD8" s="5">
        <f t="shared" si="10"/>
        <v>150123.52940988221</v>
      </c>
      <c r="AE8" s="5">
        <f t="shared" si="10"/>
        <v>151015.25939980772</v>
      </c>
      <c r="AG8" s="6" t="s">
        <v>390</v>
      </c>
    </row>
    <row r="9" spans="2:48" outlineLevel="1">
      <c r="B9" t="s">
        <v>100</v>
      </c>
      <c r="D9" s="371"/>
      <c r="E9" s="5">
        <f t="shared" ref="E9:M9" si="11">F9*0.98</f>
        <v>35666.080092530188</v>
      </c>
      <c r="F9" s="5">
        <f t="shared" si="11"/>
        <v>36393.959278092028</v>
      </c>
      <c r="G9" s="5">
        <f t="shared" si="11"/>
        <v>37136.693140910233</v>
      </c>
      <c r="H9" s="5">
        <f t="shared" si="11"/>
        <v>37894.584837663504</v>
      </c>
      <c r="I9" s="5">
        <f t="shared" si="11"/>
        <v>38667.943711901535</v>
      </c>
      <c r="J9" s="5">
        <f t="shared" si="11"/>
        <v>39457.085420307689</v>
      </c>
      <c r="K9" s="5">
        <f t="shared" si="11"/>
        <v>40262.332061538458</v>
      </c>
      <c r="L9" s="5">
        <f t="shared" si="11"/>
        <v>41084.012307692305</v>
      </c>
      <c r="M9" s="5">
        <f t="shared" si="11"/>
        <v>41922.461538461539</v>
      </c>
      <c r="N9" s="5">
        <f>38928/0.91</f>
        <v>42778.021978021978</v>
      </c>
      <c r="O9" s="5">
        <f>N9*1.02</f>
        <v>43633.582417582416</v>
      </c>
      <c r="P9" s="5">
        <f t="shared" ref="P9:U9" si="12">O9*1.02</f>
        <v>44506.254065934067</v>
      </c>
      <c r="Q9" s="5">
        <f t="shared" si="12"/>
        <v>45396.379147252752</v>
      </c>
      <c r="R9" s="5">
        <f t="shared" si="12"/>
        <v>46304.306730197808</v>
      </c>
      <c r="S9" s="5">
        <f t="shared" si="12"/>
        <v>47230.392864801768</v>
      </c>
      <c r="T9" s="5">
        <f t="shared" si="12"/>
        <v>48175.000722097808</v>
      </c>
      <c r="U9" s="5">
        <f t="shared" si="12"/>
        <v>49138.500736539761</v>
      </c>
      <c r="V9" s="5">
        <f t="shared" ref="V9:AE9" si="13">U9*1.02</f>
        <v>50121.27075127056</v>
      </c>
      <c r="W9" s="5">
        <f t="shared" si="13"/>
        <v>51123.696166295973</v>
      </c>
      <c r="X9" s="5">
        <f t="shared" si="13"/>
        <v>52146.17008962189</v>
      </c>
      <c r="Y9" s="5">
        <f t="shared" si="13"/>
        <v>53189.093491414329</v>
      </c>
      <c r="Z9" s="5">
        <f t="shared" si="13"/>
        <v>54252.875361242615</v>
      </c>
      <c r="AA9" s="5">
        <f t="shared" si="13"/>
        <v>55337.932868467469</v>
      </c>
      <c r="AB9" s="5">
        <f t="shared" si="13"/>
        <v>56444.691525836817</v>
      </c>
      <c r="AC9" s="5">
        <f t="shared" si="13"/>
        <v>57573.585356353557</v>
      </c>
      <c r="AD9" s="5">
        <f t="shared" si="13"/>
        <v>58725.057063480628</v>
      </c>
      <c r="AE9" s="5">
        <f t="shared" si="13"/>
        <v>59899.558204750239</v>
      </c>
    </row>
    <row r="10" spans="2:48" outlineLevel="1">
      <c r="B10" s="360" t="s">
        <v>457</v>
      </c>
      <c r="D10" s="371"/>
      <c r="E10" s="5">
        <f t="shared" ref="E10:L10" si="14">E8-F8+E9</f>
        <v>33412.638034040152</v>
      </c>
      <c r="F10" s="5">
        <f t="shared" si="14"/>
        <v>34072.91395784729</v>
      </c>
      <c r="G10" s="5">
        <f t="shared" si="14"/>
        <v>34746.016461058149</v>
      </c>
      <c r="H10" s="5">
        <f t="shared" si="14"/>
        <v>35432.187857415869</v>
      </c>
      <c r="I10" s="5">
        <f t="shared" si="14"/>
        <v>36131.674822246467</v>
      </c>
      <c r="J10" s="5">
        <f t="shared" si="14"/>
        <v>36844.728463962965</v>
      </c>
      <c r="K10" s="5">
        <f t="shared" si="14"/>
        <v>37571.60439650339</v>
      </c>
      <c r="L10" s="5">
        <f t="shared" si="14"/>
        <v>38312.562812706194</v>
      </c>
      <c r="M10" s="5">
        <f>M8-N8+M9</f>
        <v>39067.868558625843</v>
      </c>
      <c r="N10" s="5">
        <f>N11+N12</f>
        <v>36485.38461538461</v>
      </c>
      <c r="O10" s="5">
        <f>O11+O12</f>
        <v>37915.18681318681</v>
      </c>
      <c r="P10" s="5">
        <f t="shared" ref="P10:U10" si="15">P11+P12</f>
        <v>39311.580989010989</v>
      </c>
      <c r="Q10" s="5">
        <f t="shared" si="15"/>
        <v>40680.339550549448</v>
      </c>
      <c r="R10" s="5">
        <f t="shared" si="15"/>
        <v>42026.713501681319</v>
      </c>
      <c r="S10" s="5">
        <f t="shared" si="15"/>
        <v>43355.485915738354</v>
      </c>
      <c r="T10" s="5">
        <f t="shared" si="15"/>
        <v>44671.020094586245</v>
      </c>
      <c r="U10" s="5">
        <f t="shared" si="15"/>
        <v>45977.302945797193</v>
      </c>
      <c r="V10" s="5">
        <f t="shared" ref="V10:AE10" si="16">V11+V12</f>
        <v>47277.984056985042</v>
      </c>
      <c r="W10" s="5">
        <f t="shared" si="16"/>
        <v>48576.410898490583</v>
      </c>
      <c r="X10" s="5">
        <f t="shared" si="16"/>
        <v>49875.660542510428</v>
      </c>
      <c r="Y10" s="5">
        <f t="shared" si="16"/>
        <v>51178.568247978059</v>
      </c>
      <c r="Z10" s="5">
        <f t="shared" si="16"/>
        <v>52487.753225600864</v>
      </c>
      <c r="AA10" s="5">
        <f t="shared" si="16"/>
        <v>53805.641866042599</v>
      </c>
      <c r="AB10" s="5">
        <f t="shared" si="16"/>
        <v>55134.488685968965</v>
      </c>
      <c r="AC10" s="5">
        <f t="shared" si="16"/>
        <v>56476.395221230145</v>
      </c>
      <c r="AD10" s="5">
        <f t="shared" si="16"/>
        <v>57833.32707355512</v>
      </c>
      <c r="AE10" s="5">
        <f t="shared" si="16"/>
        <v>59207.129296524668</v>
      </c>
    </row>
    <row r="11" spans="2:48" hidden="1" outlineLevel="2">
      <c r="B11" t="s">
        <v>101</v>
      </c>
      <c r="D11" s="371"/>
      <c r="E11" s="5">
        <f t="shared" ref="E11:L11" si="17">F11/1.03</f>
        <v>20451.53572692339</v>
      </c>
      <c r="F11" s="5">
        <f t="shared" si="17"/>
        <v>21065.081798731091</v>
      </c>
      <c r="G11" s="5">
        <f t="shared" si="17"/>
        <v>21697.034252693025</v>
      </c>
      <c r="H11" s="5">
        <f t="shared" si="17"/>
        <v>22347.945280273816</v>
      </c>
      <c r="I11" s="5">
        <f t="shared" si="17"/>
        <v>23018.383638682029</v>
      </c>
      <c r="J11" s="5">
        <f t="shared" si="17"/>
        <v>23708.935147842491</v>
      </c>
      <c r="K11" s="5">
        <f t="shared" si="17"/>
        <v>24420.203202277768</v>
      </c>
      <c r="L11" s="5">
        <f t="shared" si="17"/>
        <v>25152.809298346103</v>
      </c>
      <c r="M11" s="5">
        <f>N11/1.03</f>
        <v>25907.393577296487</v>
      </c>
      <c r="N11" s="465">
        <f>24283/0.91</f>
        <v>26684.615384615383</v>
      </c>
      <c r="O11" s="5">
        <f t="shared" ref="O11:U11" si="18">N11*1.03</f>
        <v>27485.153846153844</v>
      </c>
      <c r="P11" s="5">
        <f t="shared" si="18"/>
        <v>28309.708461538459</v>
      </c>
      <c r="Q11" s="5">
        <f t="shared" si="18"/>
        <v>29158.999715384613</v>
      </c>
      <c r="R11" s="5">
        <f t="shared" si="18"/>
        <v>30033.769706846153</v>
      </c>
      <c r="S11" s="5">
        <f t="shared" si="18"/>
        <v>30934.782798051539</v>
      </c>
      <c r="T11" s="5">
        <f t="shared" si="18"/>
        <v>31862.826281993086</v>
      </c>
      <c r="U11" s="5">
        <f t="shared" si="18"/>
        <v>32818.711070452882</v>
      </c>
      <c r="V11" s="5">
        <f t="shared" ref="V11:AE11" si="19">U11*1.03</f>
        <v>33803.272402566472</v>
      </c>
      <c r="W11" s="5">
        <f t="shared" si="19"/>
        <v>34817.370574643464</v>
      </c>
      <c r="X11" s="5">
        <f t="shared" si="19"/>
        <v>35861.891691882767</v>
      </c>
      <c r="Y11" s="5">
        <f t="shared" si="19"/>
        <v>36937.748442639255</v>
      </c>
      <c r="Z11" s="5">
        <f t="shared" si="19"/>
        <v>38045.880895918432</v>
      </c>
      <c r="AA11" s="5">
        <f t="shared" si="19"/>
        <v>39187.257322795987</v>
      </c>
      <c r="AB11" s="5">
        <f t="shared" si="19"/>
        <v>40362.875042479871</v>
      </c>
      <c r="AC11" s="5">
        <f t="shared" si="19"/>
        <v>41573.761293754265</v>
      </c>
      <c r="AD11" s="5">
        <f t="shared" si="19"/>
        <v>42820.974132566895</v>
      </c>
      <c r="AE11" s="5">
        <f t="shared" si="19"/>
        <v>44105.603356543899</v>
      </c>
    </row>
    <row r="12" spans="2:48" hidden="1" outlineLevel="2">
      <c r="B12" s="360" t="s">
        <v>455</v>
      </c>
      <c r="D12" s="371"/>
      <c r="E12" s="5"/>
      <c r="F12" s="5"/>
      <c r="G12" s="5"/>
      <c r="H12" s="5"/>
      <c r="I12" s="5"/>
      <c r="J12" s="5"/>
      <c r="K12" s="5"/>
      <c r="L12" s="5"/>
      <c r="M12" s="5"/>
      <c r="N12" s="465">
        <f t="shared" ref="N12:U12" si="20">N8*0.1</f>
        <v>9800.7692307692305</v>
      </c>
      <c r="O12" s="465">
        <f t="shared" si="20"/>
        <v>10430.032967032967</v>
      </c>
      <c r="P12" s="465">
        <f t="shared" si="20"/>
        <v>11001.872527472528</v>
      </c>
      <c r="Q12" s="465">
        <f t="shared" si="20"/>
        <v>11521.339835164836</v>
      </c>
      <c r="R12" s="465">
        <f t="shared" si="20"/>
        <v>11992.943794835164</v>
      </c>
      <c r="S12" s="465">
        <f t="shared" si="20"/>
        <v>12420.703117686813</v>
      </c>
      <c r="T12" s="465">
        <f t="shared" si="20"/>
        <v>12808.193812593156</v>
      </c>
      <c r="U12" s="465">
        <f t="shared" si="20"/>
        <v>13158.591875344311</v>
      </c>
      <c r="V12" s="465">
        <f t="shared" ref="V12:AE12" si="21">V8*0.1</f>
        <v>13474.711654418568</v>
      </c>
      <c r="W12" s="465">
        <f t="shared" si="21"/>
        <v>13759.040323847119</v>
      </c>
      <c r="X12" s="465">
        <f t="shared" si="21"/>
        <v>14013.768850627659</v>
      </c>
      <c r="Y12" s="465">
        <f t="shared" si="21"/>
        <v>14240.819805338804</v>
      </c>
      <c r="Z12" s="465">
        <f t="shared" si="21"/>
        <v>14441.872329682432</v>
      </c>
      <c r="AA12" s="465">
        <f t="shared" si="21"/>
        <v>14618.384543246608</v>
      </c>
      <c r="AB12" s="465">
        <f t="shared" si="21"/>
        <v>14771.613643489094</v>
      </c>
      <c r="AC12" s="465">
        <f t="shared" si="21"/>
        <v>14902.633927475879</v>
      </c>
      <c r="AD12" s="465">
        <f t="shared" si="21"/>
        <v>15012.352940988221</v>
      </c>
      <c r="AE12" s="465">
        <f t="shared" si="21"/>
        <v>15101.525939980773</v>
      </c>
    </row>
    <row r="13" spans="2:48" hidden="1" outlineLevel="2">
      <c r="B13" s="360" t="s">
        <v>456</v>
      </c>
      <c r="D13" s="371"/>
      <c r="E13" s="5"/>
      <c r="F13" s="5"/>
      <c r="G13" s="5"/>
      <c r="H13" s="5"/>
      <c r="I13" s="5"/>
      <c r="J13" s="5"/>
      <c r="K13" s="5"/>
      <c r="L13" s="5"/>
      <c r="M13" s="5"/>
      <c r="N13" s="465">
        <f>N9-N11-N12</f>
        <v>6292.6373626373643</v>
      </c>
      <c r="O13" s="465">
        <f t="shared" ref="O13:U13" si="22">O9-O11-O12</f>
        <v>5718.3956043956059</v>
      </c>
      <c r="P13" s="465">
        <f t="shared" si="22"/>
        <v>5194.6730769230799</v>
      </c>
      <c r="Q13" s="465">
        <f t="shared" si="22"/>
        <v>4716.0395967033037</v>
      </c>
      <c r="R13" s="465">
        <f t="shared" si="22"/>
        <v>4277.5932285164909</v>
      </c>
      <c r="S13" s="465">
        <f t="shared" si="22"/>
        <v>3874.9069490634156</v>
      </c>
      <c r="T13" s="465">
        <f t="shared" si="22"/>
        <v>3503.9806275115661</v>
      </c>
      <c r="U13" s="465">
        <f t="shared" si="22"/>
        <v>3161.197790742568</v>
      </c>
      <c r="V13" s="465">
        <f t="shared" ref="V13:AE13" si="23">V9-V11-V12</f>
        <v>2843.2866942855198</v>
      </c>
      <c r="W13" s="465">
        <f t="shared" si="23"/>
        <v>2547.2852678053896</v>
      </c>
      <c r="X13" s="465">
        <f t="shared" si="23"/>
        <v>2270.5095471114637</v>
      </c>
      <c r="Y13" s="465">
        <f t="shared" si="23"/>
        <v>2010.5252434362701</v>
      </c>
      <c r="Z13" s="465">
        <f t="shared" si="23"/>
        <v>1765.1221356417518</v>
      </c>
      <c r="AA13" s="465">
        <f t="shared" si="23"/>
        <v>1532.291002424874</v>
      </c>
      <c r="AB13" s="465">
        <f t="shared" si="23"/>
        <v>1310.2028398678522</v>
      </c>
      <c r="AC13" s="465">
        <f t="shared" si="23"/>
        <v>1097.1901351234119</v>
      </c>
      <c r="AD13" s="465">
        <f t="shared" si="23"/>
        <v>891.7299899255122</v>
      </c>
      <c r="AE13" s="465">
        <f t="shared" si="23"/>
        <v>692.42890822556728</v>
      </c>
    </row>
    <row r="14" spans="2:48" ht="13.5" outlineLevel="1" collapsed="1" thickBot="1">
      <c r="D14" s="371"/>
      <c r="AF14" s="5"/>
      <c r="AS14" s="360" t="s">
        <v>128</v>
      </c>
      <c r="AT14">
        <v>10</v>
      </c>
      <c r="AV14" s="7">
        <v>0.65</v>
      </c>
    </row>
    <row r="15" spans="2:48" outlineLevel="1">
      <c r="B15" s="469" t="s">
        <v>392</v>
      </c>
      <c r="C15" s="469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2"/>
      <c r="P15" s="472"/>
      <c r="Q15" s="472"/>
      <c r="R15" s="472"/>
      <c r="S15" s="472"/>
      <c r="T15" s="472"/>
      <c r="U15" s="472"/>
      <c r="V15" s="472"/>
      <c r="W15" s="472"/>
      <c r="X15" s="472"/>
      <c r="Y15" s="472"/>
      <c r="Z15" s="472"/>
      <c r="AA15" s="472"/>
      <c r="AB15" s="472"/>
      <c r="AC15" s="472"/>
      <c r="AD15" s="472"/>
      <c r="AE15" s="472"/>
    </row>
    <row r="16" spans="2:48" outlineLevel="1">
      <c r="B16" t="s">
        <v>46</v>
      </c>
      <c r="D16" s="371"/>
      <c r="E16" s="7">
        <v>0.91</v>
      </c>
      <c r="F16" s="7">
        <f>E16</f>
        <v>0.91</v>
      </c>
      <c r="G16" s="7">
        <f t="shared" ref="G16:U16" si="24">F16</f>
        <v>0.91</v>
      </c>
      <c r="H16" s="7">
        <f t="shared" si="24"/>
        <v>0.91</v>
      </c>
      <c r="I16" s="7">
        <f t="shared" si="24"/>
        <v>0.91</v>
      </c>
      <c r="J16" s="7">
        <f t="shared" si="24"/>
        <v>0.91</v>
      </c>
      <c r="K16" s="7">
        <f t="shared" si="24"/>
        <v>0.91</v>
      </c>
      <c r="L16" s="7">
        <f t="shared" si="24"/>
        <v>0.91</v>
      </c>
      <c r="M16" s="7">
        <f t="shared" si="24"/>
        <v>0.91</v>
      </c>
      <c r="N16" s="7">
        <f t="shared" si="24"/>
        <v>0.91</v>
      </c>
      <c r="O16" s="7">
        <f t="shared" si="24"/>
        <v>0.91</v>
      </c>
      <c r="P16" s="7">
        <f t="shared" si="24"/>
        <v>0.91</v>
      </c>
      <c r="Q16" s="7">
        <f t="shared" si="24"/>
        <v>0.91</v>
      </c>
      <c r="R16" s="7">
        <f t="shared" si="24"/>
        <v>0.91</v>
      </c>
      <c r="S16" s="7">
        <f t="shared" si="24"/>
        <v>0.91</v>
      </c>
      <c r="T16" s="7">
        <f t="shared" si="24"/>
        <v>0.91</v>
      </c>
      <c r="U16" s="7">
        <f t="shared" si="24"/>
        <v>0.91</v>
      </c>
      <c r="V16" s="7">
        <f t="shared" ref="V16:AE16" si="25">U16</f>
        <v>0.91</v>
      </c>
      <c r="W16" s="7">
        <f t="shared" si="25"/>
        <v>0.91</v>
      </c>
      <c r="X16" s="7">
        <f t="shared" si="25"/>
        <v>0.91</v>
      </c>
      <c r="Y16" s="7">
        <f t="shared" si="25"/>
        <v>0.91</v>
      </c>
      <c r="Z16" s="7">
        <f t="shared" si="25"/>
        <v>0.91</v>
      </c>
      <c r="AA16" s="7">
        <f t="shared" si="25"/>
        <v>0.91</v>
      </c>
      <c r="AB16" s="7">
        <f t="shared" si="25"/>
        <v>0.91</v>
      </c>
      <c r="AC16" s="7">
        <f t="shared" si="25"/>
        <v>0.91</v>
      </c>
      <c r="AD16" s="7">
        <f t="shared" si="25"/>
        <v>0.91</v>
      </c>
      <c r="AE16" s="7">
        <f t="shared" si="25"/>
        <v>0.91</v>
      </c>
      <c r="AG16" s="357" t="s">
        <v>348</v>
      </c>
    </row>
    <row r="17" spans="2:45" outlineLevel="1">
      <c r="B17" s="360" t="s">
        <v>349</v>
      </c>
      <c r="D17" s="371"/>
      <c r="E17" s="5">
        <f t="shared" ref="E17:U17" si="26">E16*E9</f>
        <v>32456.132884202474</v>
      </c>
      <c r="F17" s="5">
        <f t="shared" si="26"/>
        <v>33118.502943063744</v>
      </c>
      <c r="G17" s="5">
        <f t="shared" si="26"/>
        <v>33794.390758228314</v>
      </c>
      <c r="H17" s="5">
        <f t="shared" si="26"/>
        <v>34484.07220227379</v>
      </c>
      <c r="I17" s="5">
        <f t="shared" si="26"/>
        <v>35187.8287778304</v>
      </c>
      <c r="J17" s="5">
        <f t="shared" si="26"/>
        <v>35905.947732479995</v>
      </c>
      <c r="K17" s="5">
        <f t="shared" si="26"/>
        <v>36638.722175999996</v>
      </c>
      <c r="L17" s="5">
        <f t="shared" si="26"/>
        <v>37386.451199999996</v>
      </c>
      <c r="M17" s="5">
        <f t="shared" si="26"/>
        <v>38149.440000000002</v>
      </c>
      <c r="N17" s="5">
        <f t="shared" si="26"/>
        <v>38928</v>
      </c>
      <c r="O17" s="5">
        <f t="shared" si="26"/>
        <v>39706.559999999998</v>
      </c>
      <c r="P17" s="5">
        <f t="shared" si="26"/>
        <v>40500.691200000001</v>
      </c>
      <c r="Q17" s="5">
        <f t="shared" si="26"/>
        <v>41310.705024000003</v>
      </c>
      <c r="R17" s="5">
        <f t="shared" si="26"/>
        <v>42136.919124480009</v>
      </c>
      <c r="S17" s="5">
        <f t="shared" si="26"/>
        <v>42979.657506969612</v>
      </c>
      <c r="T17" s="5">
        <f t="shared" si="26"/>
        <v>43839.250657109005</v>
      </c>
      <c r="U17" s="5">
        <f t="shared" si="26"/>
        <v>44716.035670251185</v>
      </c>
      <c r="V17" s="5">
        <f t="shared" ref="V17:AE17" si="27">V16*V9</f>
        <v>45610.35638365621</v>
      </c>
      <c r="W17" s="5">
        <f t="shared" si="27"/>
        <v>46522.563511329339</v>
      </c>
      <c r="X17" s="5">
        <f t="shared" si="27"/>
        <v>47453.014781555925</v>
      </c>
      <c r="Y17" s="5">
        <f t="shared" si="27"/>
        <v>48402.075077187044</v>
      </c>
      <c r="Z17" s="5">
        <f t="shared" si="27"/>
        <v>49370.116578730784</v>
      </c>
      <c r="AA17" s="5">
        <f t="shared" si="27"/>
        <v>50357.5189103054</v>
      </c>
      <c r="AB17" s="5">
        <f t="shared" si="27"/>
        <v>51364.669288511504</v>
      </c>
      <c r="AC17" s="5">
        <f t="shared" si="27"/>
        <v>52391.962674281742</v>
      </c>
      <c r="AD17" s="5">
        <f t="shared" si="27"/>
        <v>53439.801927767374</v>
      </c>
      <c r="AE17" s="5">
        <f t="shared" si="27"/>
        <v>54508.597966322719</v>
      </c>
    </row>
    <row r="18" spans="2:45" outlineLevel="1">
      <c r="D18" s="371"/>
    </row>
    <row r="19" spans="2:45" outlineLevel="1">
      <c r="B19" s="473" t="s">
        <v>351</v>
      </c>
      <c r="C19" s="473"/>
      <c r="D19" s="474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</row>
    <row r="20" spans="2:45" outlineLevel="1">
      <c r="B20" s="360" t="s">
        <v>352</v>
      </c>
      <c r="D20" s="371"/>
      <c r="E20" s="475">
        <v>0.42</v>
      </c>
      <c r="F20" s="7">
        <f>E20</f>
        <v>0.42</v>
      </c>
      <c r="G20" s="7">
        <f t="shared" ref="G20:U21" si="28">F20</f>
        <v>0.42</v>
      </c>
      <c r="H20" s="7">
        <f t="shared" si="28"/>
        <v>0.42</v>
      </c>
      <c r="I20" s="7">
        <f t="shared" si="28"/>
        <v>0.42</v>
      </c>
      <c r="J20" s="7">
        <f t="shared" si="28"/>
        <v>0.42</v>
      </c>
      <c r="K20" s="7">
        <f t="shared" si="28"/>
        <v>0.42</v>
      </c>
      <c r="L20" s="7">
        <f t="shared" si="28"/>
        <v>0.42</v>
      </c>
      <c r="M20" s="7">
        <f t="shared" si="28"/>
        <v>0.42</v>
      </c>
      <c r="N20" s="7">
        <f t="shared" si="28"/>
        <v>0.42</v>
      </c>
      <c r="O20" s="7">
        <f t="shared" si="28"/>
        <v>0.42</v>
      </c>
      <c r="P20" s="7">
        <f t="shared" si="28"/>
        <v>0.42</v>
      </c>
      <c r="Q20" s="7">
        <f t="shared" si="28"/>
        <v>0.42</v>
      </c>
      <c r="R20" s="7">
        <f t="shared" si="28"/>
        <v>0.42</v>
      </c>
      <c r="S20" s="7">
        <f t="shared" si="28"/>
        <v>0.42</v>
      </c>
      <c r="T20" s="7">
        <f t="shared" si="28"/>
        <v>0.42</v>
      </c>
      <c r="U20" s="7">
        <f t="shared" si="28"/>
        <v>0.42</v>
      </c>
      <c r="V20" s="7">
        <f t="shared" ref="V20:AE20" si="29">U20</f>
        <v>0.42</v>
      </c>
      <c r="W20" s="7">
        <f t="shared" si="29"/>
        <v>0.42</v>
      </c>
      <c r="X20" s="7">
        <f t="shared" si="29"/>
        <v>0.42</v>
      </c>
      <c r="Y20" s="7">
        <f t="shared" si="29"/>
        <v>0.42</v>
      </c>
      <c r="Z20" s="7">
        <f t="shared" si="29"/>
        <v>0.42</v>
      </c>
      <c r="AA20" s="7">
        <f t="shared" si="29"/>
        <v>0.42</v>
      </c>
      <c r="AB20" s="7">
        <f t="shared" si="29"/>
        <v>0.42</v>
      </c>
      <c r="AC20" s="7">
        <f t="shared" si="29"/>
        <v>0.42</v>
      </c>
      <c r="AD20" s="7">
        <f t="shared" si="29"/>
        <v>0.42</v>
      </c>
      <c r="AE20" s="7">
        <f t="shared" si="29"/>
        <v>0.42</v>
      </c>
    </row>
    <row r="21" spans="2:45" outlineLevel="1">
      <c r="B21" s="360" t="s">
        <v>353</v>
      </c>
      <c r="D21" s="371"/>
      <c r="E21" s="475">
        <v>0.6</v>
      </c>
      <c r="F21" s="7">
        <f>E21</f>
        <v>0.6</v>
      </c>
      <c r="G21" s="7">
        <f t="shared" si="28"/>
        <v>0.6</v>
      </c>
      <c r="H21" s="475">
        <v>0.55000000000000004</v>
      </c>
      <c r="I21" s="7">
        <f>H21</f>
        <v>0.55000000000000004</v>
      </c>
      <c r="J21" s="7">
        <f>I21</f>
        <v>0.55000000000000004</v>
      </c>
      <c r="K21" s="7">
        <f t="shared" si="28"/>
        <v>0.55000000000000004</v>
      </c>
      <c r="L21" s="7">
        <f t="shared" si="28"/>
        <v>0.55000000000000004</v>
      </c>
      <c r="M21" s="7">
        <f t="shared" si="28"/>
        <v>0.55000000000000004</v>
      </c>
      <c r="N21" s="7">
        <f t="shared" si="28"/>
        <v>0.55000000000000004</v>
      </c>
      <c r="O21" s="7">
        <f t="shared" si="28"/>
        <v>0.55000000000000004</v>
      </c>
      <c r="P21" s="7">
        <f t="shared" si="28"/>
        <v>0.55000000000000004</v>
      </c>
      <c r="Q21" s="7">
        <f t="shared" si="28"/>
        <v>0.55000000000000004</v>
      </c>
      <c r="R21" s="7">
        <f t="shared" si="28"/>
        <v>0.55000000000000004</v>
      </c>
      <c r="S21" s="7">
        <f t="shared" si="28"/>
        <v>0.55000000000000004</v>
      </c>
      <c r="T21" s="7">
        <f t="shared" si="28"/>
        <v>0.55000000000000004</v>
      </c>
      <c r="U21" s="7">
        <f t="shared" si="28"/>
        <v>0.55000000000000004</v>
      </c>
      <c r="V21" s="7">
        <f t="shared" ref="V21:AE21" si="30">U21</f>
        <v>0.55000000000000004</v>
      </c>
      <c r="W21" s="7">
        <f t="shared" si="30"/>
        <v>0.55000000000000004</v>
      </c>
      <c r="X21" s="7">
        <f t="shared" si="30"/>
        <v>0.55000000000000004</v>
      </c>
      <c r="Y21" s="7">
        <f t="shared" si="30"/>
        <v>0.55000000000000004</v>
      </c>
      <c r="Z21" s="7">
        <f t="shared" si="30"/>
        <v>0.55000000000000004</v>
      </c>
      <c r="AA21" s="7">
        <f t="shared" si="30"/>
        <v>0.55000000000000004</v>
      </c>
      <c r="AB21" s="7">
        <f t="shared" si="30"/>
        <v>0.55000000000000004</v>
      </c>
      <c r="AC21" s="7">
        <f t="shared" si="30"/>
        <v>0.55000000000000004</v>
      </c>
      <c r="AD21" s="7">
        <f t="shared" si="30"/>
        <v>0.55000000000000004</v>
      </c>
      <c r="AE21" s="7">
        <f t="shared" si="30"/>
        <v>0.55000000000000004</v>
      </c>
    </row>
    <row r="22" spans="2:45" s="28" customFormat="1" outlineLevel="1">
      <c r="B22" s="27" t="s">
        <v>354</v>
      </c>
      <c r="D22" s="29"/>
      <c r="E22" s="120">
        <f>E21*E20</f>
        <v>0.252</v>
      </c>
      <c r="F22" s="120">
        <f t="shared" ref="F22:U22" si="31">F21*F20</f>
        <v>0.252</v>
      </c>
      <c r="G22" s="120">
        <f t="shared" si="31"/>
        <v>0.252</v>
      </c>
      <c r="H22" s="120">
        <f t="shared" si="31"/>
        <v>0.23100000000000001</v>
      </c>
      <c r="I22" s="120">
        <f t="shared" si="31"/>
        <v>0.23100000000000001</v>
      </c>
      <c r="J22" s="120">
        <f t="shared" si="31"/>
        <v>0.23100000000000001</v>
      </c>
      <c r="K22" s="120">
        <f t="shared" si="31"/>
        <v>0.23100000000000001</v>
      </c>
      <c r="L22" s="120">
        <f t="shared" si="31"/>
        <v>0.23100000000000001</v>
      </c>
      <c r="M22" s="120">
        <f t="shared" si="31"/>
        <v>0.23100000000000001</v>
      </c>
      <c r="N22" s="120">
        <f t="shared" si="31"/>
        <v>0.23100000000000001</v>
      </c>
      <c r="O22" s="120">
        <f t="shared" si="31"/>
        <v>0.23100000000000001</v>
      </c>
      <c r="P22" s="120">
        <f t="shared" si="31"/>
        <v>0.23100000000000001</v>
      </c>
      <c r="Q22" s="120">
        <f t="shared" si="31"/>
        <v>0.23100000000000001</v>
      </c>
      <c r="R22" s="120">
        <f t="shared" si="31"/>
        <v>0.23100000000000001</v>
      </c>
      <c r="S22" s="120">
        <f t="shared" si="31"/>
        <v>0.23100000000000001</v>
      </c>
      <c r="T22" s="120">
        <f t="shared" si="31"/>
        <v>0.23100000000000001</v>
      </c>
      <c r="U22" s="120">
        <f t="shared" si="31"/>
        <v>0.23100000000000001</v>
      </c>
      <c r="V22" s="120">
        <f t="shared" ref="V22:AE22" si="32">V21*V20</f>
        <v>0.23100000000000001</v>
      </c>
      <c r="W22" s="120">
        <f t="shared" si="32"/>
        <v>0.23100000000000001</v>
      </c>
      <c r="X22" s="120">
        <f t="shared" si="32"/>
        <v>0.23100000000000001</v>
      </c>
      <c r="Y22" s="120">
        <f t="shared" si="32"/>
        <v>0.23100000000000001</v>
      </c>
      <c r="Z22" s="120">
        <f t="shared" si="32"/>
        <v>0.23100000000000001</v>
      </c>
      <c r="AA22" s="120">
        <f t="shared" si="32"/>
        <v>0.23100000000000001</v>
      </c>
      <c r="AB22" s="120">
        <f t="shared" si="32"/>
        <v>0.23100000000000001</v>
      </c>
      <c r="AC22" s="120">
        <f t="shared" si="32"/>
        <v>0.23100000000000001</v>
      </c>
      <c r="AD22" s="120">
        <f t="shared" si="32"/>
        <v>0.23100000000000001</v>
      </c>
      <c r="AE22" s="120">
        <f t="shared" si="32"/>
        <v>0.23100000000000001</v>
      </c>
      <c r="AG22"/>
    </row>
    <row r="23" spans="2:45" outlineLevel="1">
      <c r="D23" s="371"/>
    </row>
    <row r="24" spans="2:45" outlineLevel="1">
      <c r="B24" s="476" t="s">
        <v>359</v>
      </c>
      <c r="C24" s="477"/>
      <c r="D24" s="478"/>
      <c r="E24" s="477"/>
      <c r="F24" s="477"/>
      <c r="G24" s="477"/>
      <c r="H24" s="477"/>
      <c r="I24" s="477"/>
      <c r="J24" s="477"/>
      <c r="K24" s="477"/>
      <c r="L24" s="477"/>
      <c r="M24" s="477"/>
      <c r="N24" s="477"/>
      <c r="O24" s="477"/>
      <c r="P24" s="477"/>
      <c r="Q24" s="477"/>
      <c r="R24" s="477"/>
      <c r="S24" s="477"/>
      <c r="T24" s="477"/>
      <c r="U24" s="477"/>
      <c r="V24" s="477"/>
      <c r="W24" s="477"/>
      <c r="X24" s="477"/>
      <c r="Y24" s="477"/>
      <c r="Z24" s="477"/>
      <c r="AA24" s="477"/>
      <c r="AB24" s="477"/>
      <c r="AC24" s="477"/>
      <c r="AD24" s="477"/>
      <c r="AE24" s="477"/>
    </row>
    <row r="25" spans="2:45" outlineLevel="1">
      <c r="B25" s="360" t="s">
        <v>355</v>
      </c>
      <c r="D25" s="371"/>
      <c r="E25" s="5">
        <f>E22*E17</f>
        <v>8178.9454868190232</v>
      </c>
      <c r="F25" s="5">
        <f t="shared" ref="F25:AE25" si="33">F22*F17</f>
        <v>8345.8627416520631</v>
      </c>
      <c r="G25" s="5">
        <f t="shared" si="33"/>
        <v>8516.1864710735354</v>
      </c>
      <c r="H25" s="5">
        <f t="shared" si="33"/>
        <v>7965.8206787252457</v>
      </c>
      <c r="I25" s="5">
        <f t="shared" si="33"/>
        <v>8128.3884476788226</v>
      </c>
      <c r="J25" s="5">
        <f t="shared" si="33"/>
        <v>8294.273926202879</v>
      </c>
      <c r="K25" s="5">
        <f t="shared" si="33"/>
        <v>8463.5448226560002</v>
      </c>
      <c r="L25" s="5">
        <f t="shared" si="33"/>
        <v>8636.2702271999988</v>
      </c>
      <c r="M25" s="5">
        <f t="shared" si="33"/>
        <v>8812.5206400000006</v>
      </c>
      <c r="N25" s="5">
        <f t="shared" si="33"/>
        <v>8992.3680000000004</v>
      </c>
      <c r="O25" s="5">
        <f t="shared" si="33"/>
        <v>9172.2153600000001</v>
      </c>
      <c r="P25" s="5">
        <f t="shared" si="33"/>
        <v>9355.6596672000014</v>
      </c>
      <c r="Q25" s="5">
        <f t="shared" si="33"/>
        <v>9542.7728605440007</v>
      </c>
      <c r="R25" s="5">
        <f t="shared" si="33"/>
        <v>9733.628317754883</v>
      </c>
      <c r="S25" s="5">
        <f t="shared" si="33"/>
        <v>9928.30088410998</v>
      </c>
      <c r="T25" s="5">
        <f t="shared" si="33"/>
        <v>10126.86690179218</v>
      </c>
      <c r="U25" s="5">
        <f t="shared" si="33"/>
        <v>10329.404239828023</v>
      </c>
      <c r="V25" s="5">
        <f t="shared" si="33"/>
        <v>10535.992324624585</v>
      </c>
      <c r="W25" s="5">
        <f t="shared" si="33"/>
        <v>10746.712171117078</v>
      </c>
      <c r="X25" s="5">
        <f t="shared" si="33"/>
        <v>10961.646414539418</v>
      </c>
      <c r="Y25" s="5">
        <f t="shared" si="33"/>
        <v>11180.879342830207</v>
      </c>
      <c r="Z25" s="5">
        <f t="shared" si="33"/>
        <v>11404.496929686811</v>
      </c>
      <c r="AA25" s="5">
        <f t="shared" si="33"/>
        <v>11632.586868280549</v>
      </c>
      <c r="AB25" s="5">
        <f t="shared" si="33"/>
        <v>11865.238605646158</v>
      </c>
      <c r="AC25" s="5">
        <f t="shared" si="33"/>
        <v>12102.543377759082</v>
      </c>
      <c r="AD25" s="5">
        <f t="shared" si="33"/>
        <v>12344.594245314263</v>
      </c>
      <c r="AE25" s="5">
        <f t="shared" si="33"/>
        <v>12591.486130220548</v>
      </c>
      <c r="AG25" s="360" t="s">
        <v>391</v>
      </c>
      <c r="AR25">
        <f>(0.65*16)/(10/1.7+6)</f>
        <v>0.87524752475247525</v>
      </c>
      <c r="AS25" s="360"/>
    </row>
    <row r="26" spans="2:45" outlineLevel="1">
      <c r="D26" s="371"/>
      <c r="AH26" s="8"/>
    </row>
    <row r="27" spans="2:45" outlineLevel="1">
      <c r="B27" s="10" t="s">
        <v>107</v>
      </c>
      <c r="C27" s="10"/>
      <c r="D27" s="371"/>
      <c r="AR27">
        <f>AR25/1.7</f>
        <v>0.51485148514851486</v>
      </c>
    </row>
    <row r="28" spans="2:45" outlineLevel="1">
      <c r="B28" s="11" t="s">
        <v>108</v>
      </c>
      <c r="C28" s="11"/>
      <c r="D28" s="371"/>
      <c r="F28" s="9"/>
      <c r="G28" s="8">
        <v>7.0000000000000007E-2</v>
      </c>
      <c r="H28" s="8">
        <v>0.19</v>
      </c>
      <c r="I28" s="8">
        <v>0.27</v>
      </c>
      <c r="J28" s="8">
        <v>0.3</v>
      </c>
      <c r="K28" s="8">
        <v>0.33</v>
      </c>
      <c r="L28" s="2">
        <f>K28*1.1</f>
        <v>0.36300000000000004</v>
      </c>
      <c r="M28" s="2">
        <f>L28*1.1</f>
        <v>0.3993000000000001</v>
      </c>
      <c r="N28" s="2">
        <f>M28*1.1</f>
        <v>0.43923000000000012</v>
      </c>
      <c r="O28" s="2">
        <f>N28*1.05</f>
        <v>0.46119150000000014</v>
      </c>
      <c r="P28" s="2">
        <f>O28*1.05</f>
        <v>0.4842510750000002</v>
      </c>
      <c r="Q28" s="2">
        <f>P28*0.9</f>
        <v>0.43582596750000019</v>
      </c>
      <c r="R28" s="2">
        <f>Q28*0.9</f>
        <v>0.39224337075000015</v>
      </c>
      <c r="S28" s="2">
        <f>R28*0.9</f>
        <v>0.35301903367500015</v>
      </c>
      <c r="T28" s="2">
        <f>S28*0.9</f>
        <v>0.31771713030750015</v>
      </c>
      <c r="U28" s="2">
        <f>T28*0.9</f>
        <v>0.28594541727675016</v>
      </c>
      <c r="V28" s="2">
        <f t="shared" ref="V28:AA28" si="34">U28*0.9</f>
        <v>0.25735087554907515</v>
      </c>
      <c r="W28" s="2">
        <f t="shared" si="34"/>
        <v>0.23161578799416765</v>
      </c>
      <c r="X28" s="2">
        <f t="shared" si="34"/>
        <v>0.20845420919475088</v>
      </c>
      <c r="Y28" s="2">
        <f t="shared" si="34"/>
        <v>0.1876087882752758</v>
      </c>
      <c r="Z28" s="2">
        <f t="shared" si="34"/>
        <v>0.16884790944774822</v>
      </c>
      <c r="AA28" s="2">
        <f t="shared" si="34"/>
        <v>0.15196311850297339</v>
      </c>
      <c r="AB28" s="2">
        <f>AA28*0.9</f>
        <v>0.13676680665267607</v>
      </c>
      <c r="AC28" s="616">
        <f>AB28*0.2</f>
        <v>2.7353361330535217E-2</v>
      </c>
      <c r="AD28" s="616">
        <f>AC28*0.2</f>
        <v>5.4706722661070437E-3</v>
      </c>
      <c r="AE28" s="616">
        <f>AD28*0.2</f>
        <v>1.0941344532214088E-3</v>
      </c>
      <c r="AF28" s="7"/>
      <c r="AG28" s="360" t="s">
        <v>468</v>
      </c>
    </row>
    <row r="29" spans="2:45" outlineLevel="1">
      <c r="B29" s="11" t="s">
        <v>109</v>
      </c>
      <c r="C29" s="11"/>
      <c r="D29" s="371"/>
      <c r="F29" s="7">
        <v>0.33</v>
      </c>
      <c r="G29" s="4">
        <f>F29+6%</f>
        <v>0.39</v>
      </c>
      <c r="H29" s="4">
        <f>G29+6%</f>
        <v>0.45</v>
      </c>
      <c r="I29" s="4">
        <f>H29+6%</f>
        <v>0.51</v>
      </c>
      <c r="J29" s="4">
        <f>I29+6%</f>
        <v>0.57000000000000006</v>
      </c>
      <c r="K29" s="4">
        <f>J29+6%</f>
        <v>0.63000000000000012</v>
      </c>
      <c r="L29" s="2">
        <f>K29*0.98</f>
        <v>0.61740000000000006</v>
      </c>
      <c r="M29" s="2">
        <f>L29*0.98</f>
        <v>0.60505200000000003</v>
      </c>
      <c r="N29" s="2">
        <f>M29*0.98</f>
        <v>0.59295096000000003</v>
      </c>
      <c r="O29" s="2">
        <f>N29*0.98</f>
        <v>0.58109194080000004</v>
      </c>
      <c r="P29" s="2">
        <f>O29*0.98</f>
        <v>0.56947010198400005</v>
      </c>
      <c r="Q29" s="2">
        <f>P29</f>
        <v>0.56947010198400005</v>
      </c>
      <c r="R29" s="2">
        <f t="shared" ref="R29:T32" si="35">Q29</f>
        <v>0.56947010198400005</v>
      </c>
      <c r="S29" s="2">
        <f t="shared" si="35"/>
        <v>0.56947010198400005</v>
      </c>
      <c r="T29" s="2">
        <f t="shared" si="35"/>
        <v>0.56947010198400005</v>
      </c>
      <c r="U29" s="2">
        <f>T29</f>
        <v>0.56947010198400005</v>
      </c>
      <c r="V29" s="2">
        <f t="shared" ref="V29:AA29" si="36">U29</f>
        <v>0.56947010198400005</v>
      </c>
      <c r="W29" s="2">
        <f t="shared" si="36"/>
        <v>0.56947010198400005</v>
      </c>
      <c r="X29" s="2">
        <f t="shared" si="36"/>
        <v>0.56947010198400005</v>
      </c>
      <c r="Y29" s="2">
        <f t="shared" si="36"/>
        <v>0.56947010198400005</v>
      </c>
      <c r="Z29" s="2">
        <f t="shared" si="36"/>
        <v>0.56947010198400005</v>
      </c>
      <c r="AA29" s="2">
        <f t="shared" si="36"/>
        <v>0.56947010198400005</v>
      </c>
      <c r="AB29" s="2">
        <f t="shared" ref="AB29:AE31" si="37">AA29</f>
        <v>0.56947010198400005</v>
      </c>
      <c r="AC29" s="2">
        <f t="shared" si="37"/>
        <v>0.56947010198400005</v>
      </c>
      <c r="AD29" s="2">
        <f t="shared" si="37"/>
        <v>0.56947010198400005</v>
      </c>
      <c r="AE29" s="2">
        <f t="shared" si="37"/>
        <v>0.56947010198400005</v>
      </c>
      <c r="AF29" s="7"/>
      <c r="AL29">
        <v>0.3</v>
      </c>
      <c r="AM29" s="130">
        <f>(AL29*16/(10/1.7+6))/17</f>
        <v>2.3762376237623759E-2</v>
      </c>
    </row>
    <row r="30" spans="2:45" outlineLevel="1">
      <c r="B30" s="11" t="s">
        <v>110</v>
      </c>
      <c r="C30" s="11"/>
      <c r="D30" s="371"/>
      <c r="F30" s="479">
        <v>0.2</v>
      </c>
      <c r="G30" s="8">
        <f>F30+1%</f>
        <v>0.21000000000000002</v>
      </c>
      <c r="H30" s="8">
        <f>G30+1%</f>
        <v>0.22000000000000003</v>
      </c>
      <c r="I30" s="8">
        <f>H30+1%</f>
        <v>0.23000000000000004</v>
      </c>
      <c r="J30" s="8">
        <f>I30+1%</f>
        <v>0.24000000000000005</v>
      </c>
      <c r="K30" s="8">
        <f>J30+1%</f>
        <v>0.25000000000000006</v>
      </c>
      <c r="L30" s="2">
        <f t="shared" ref="L30:T30" si="38">K30*1.1</f>
        <v>0.27500000000000008</v>
      </c>
      <c r="M30" s="2">
        <f t="shared" si="38"/>
        <v>0.3025000000000001</v>
      </c>
      <c r="N30" s="2">
        <f t="shared" si="38"/>
        <v>0.33275000000000016</v>
      </c>
      <c r="O30" s="2">
        <f t="shared" si="38"/>
        <v>0.36602500000000021</v>
      </c>
      <c r="P30" s="2">
        <f t="shared" si="38"/>
        <v>0.40262750000000025</v>
      </c>
      <c r="Q30" s="2">
        <f t="shared" si="38"/>
        <v>0.44289025000000032</v>
      </c>
      <c r="R30" s="2">
        <f t="shared" si="38"/>
        <v>0.48717927500000041</v>
      </c>
      <c r="S30" s="2">
        <f t="shared" si="38"/>
        <v>0.5358972025000005</v>
      </c>
      <c r="T30" s="2">
        <f t="shared" si="38"/>
        <v>0.58948692275000059</v>
      </c>
      <c r="U30" s="2">
        <f>T30*1.1</f>
        <v>0.64843561502500069</v>
      </c>
      <c r="V30" s="766">
        <f t="shared" ref="V30:AA30" si="39">U30</f>
        <v>0.64843561502500069</v>
      </c>
      <c r="W30" s="2">
        <f t="shared" si="39"/>
        <v>0.64843561502500069</v>
      </c>
      <c r="X30" s="2">
        <f t="shared" si="39"/>
        <v>0.64843561502500069</v>
      </c>
      <c r="Y30" s="2">
        <f t="shared" si="39"/>
        <v>0.64843561502500069</v>
      </c>
      <c r="Z30" s="2">
        <f t="shared" si="39"/>
        <v>0.64843561502500069</v>
      </c>
      <c r="AA30" s="2">
        <f t="shared" si="39"/>
        <v>0.64843561502500069</v>
      </c>
      <c r="AB30" s="2">
        <f t="shared" si="37"/>
        <v>0.64843561502500069</v>
      </c>
      <c r="AC30" s="2">
        <f t="shared" si="37"/>
        <v>0.64843561502500069</v>
      </c>
      <c r="AD30" s="2">
        <f t="shared" si="37"/>
        <v>0.64843561502500069</v>
      </c>
      <c r="AE30" s="2">
        <f t="shared" si="37"/>
        <v>0.64843561502500069</v>
      </c>
      <c r="AF30" s="7"/>
    </row>
    <row r="31" spans="2:45" outlineLevel="1">
      <c r="B31" s="11" t="s">
        <v>113</v>
      </c>
      <c r="C31" s="11"/>
      <c r="D31" s="371"/>
      <c r="F31" s="8">
        <f>1.25-F32-F29-F28-F30</f>
        <v>0.66999999999999993</v>
      </c>
      <c r="G31" s="8">
        <f>1.3-G32-G29-G28-G30</f>
        <v>0.58000000000000007</v>
      </c>
      <c r="H31" s="8">
        <f>1.35-H32-H29-H28-H30</f>
        <v>0.44000000000000011</v>
      </c>
      <c r="I31" s="8">
        <f>1.4-I32-I29-I28-I30</f>
        <v>0.3399999999999998</v>
      </c>
      <c r="J31" s="8">
        <f>1.43-J32-J29-J28-J30</f>
        <v>0.26999999999999974</v>
      </c>
      <c r="K31" s="8">
        <f>1.45-K32-K29-K28-K30</f>
        <v>0.18999999999999972</v>
      </c>
      <c r="L31" s="8">
        <f>1.46-L32-L29-L28-L30</f>
        <v>0.15459999999999974</v>
      </c>
      <c r="M31" s="8">
        <f>1.47-M32-M29-M28-M30</f>
        <v>0.11314799999999969</v>
      </c>
      <c r="N31" s="8">
        <f>1.48-N32-N29-N28-N30</f>
        <v>6.5069039999999634E-2</v>
      </c>
      <c r="O31" s="8">
        <f>1.52-O32-O29-O28-O30</f>
        <v>6.1691559199999579E-2</v>
      </c>
      <c r="P31" s="8">
        <f>1.54-P32-P29-P28-P30</f>
        <v>3.365132301599949E-2</v>
      </c>
      <c r="Q31" s="8">
        <f>P31</f>
        <v>3.365132301599949E-2</v>
      </c>
      <c r="R31" s="8">
        <f t="shared" si="35"/>
        <v>3.365132301599949E-2</v>
      </c>
      <c r="S31" s="8">
        <f t="shared" si="35"/>
        <v>3.365132301599949E-2</v>
      </c>
      <c r="T31" s="8">
        <f t="shared" si="35"/>
        <v>3.365132301599949E-2</v>
      </c>
      <c r="U31" s="8">
        <f>T31</f>
        <v>3.365132301599949E-2</v>
      </c>
      <c r="V31" s="8">
        <f t="shared" ref="V31:AA31" si="40">U31</f>
        <v>3.365132301599949E-2</v>
      </c>
      <c r="W31" s="8">
        <f t="shared" si="40"/>
        <v>3.365132301599949E-2</v>
      </c>
      <c r="X31" s="8">
        <f t="shared" si="40"/>
        <v>3.365132301599949E-2</v>
      </c>
      <c r="Y31" s="8">
        <f t="shared" si="40"/>
        <v>3.365132301599949E-2</v>
      </c>
      <c r="Z31" s="8">
        <f t="shared" si="40"/>
        <v>3.365132301599949E-2</v>
      </c>
      <c r="AA31" s="8">
        <f t="shared" si="40"/>
        <v>3.365132301599949E-2</v>
      </c>
      <c r="AB31" s="8">
        <f t="shared" si="37"/>
        <v>3.365132301599949E-2</v>
      </c>
      <c r="AC31" s="8">
        <f t="shared" si="37"/>
        <v>3.365132301599949E-2</v>
      </c>
      <c r="AD31" s="8">
        <f t="shared" si="37"/>
        <v>3.365132301599949E-2</v>
      </c>
      <c r="AE31" s="8">
        <f t="shared" si="37"/>
        <v>3.365132301599949E-2</v>
      </c>
      <c r="AF31" s="8"/>
    </row>
    <row r="32" spans="2:45" outlineLevel="1">
      <c r="B32" s="11" t="s">
        <v>111</v>
      </c>
      <c r="C32" s="11"/>
      <c r="D32" s="371"/>
      <c r="F32" s="475">
        <v>0.05</v>
      </c>
      <c r="G32" s="7">
        <f t="shared" ref="G32:P32" si="41">F32</f>
        <v>0.05</v>
      </c>
      <c r="H32" s="7">
        <f t="shared" si="41"/>
        <v>0.05</v>
      </c>
      <c r="I32" s="7">
        <f t="shared" si="41"/>
        <v>0.05</v>
      </c>
      <c r="J32" s="7">
        <f t="shared" si="41"/>
        <v>0.05</v>
      </c>
      <c r="K32" s="7">
        <f t="shared" si="41"/>
        <v>0.05</v>
      </c>
      <c r="L32" s="2">
        <f t="shared" si="41"/>
        <v>0.05</v>
      </c>
      <c r="M32" s="2">
        <f t="shared" si="41"/>
        <v>0.05</v>
      </c>
      <c r="N32" s="2">
        <f t="shared" si="41"/>
        <v>0.05</v>
      </c>
      <c r="O32" s="2">
        <f t="shared" si="41"/>
        <v>0.05</v>
      </c>
      <c r="P32" s="2">
        <f t="shared" si="41"/>
        <v>0.05</v>
      </c>
      <c r="Q32" s="2">
        <f>P32</f>
        <v>0.05</v>
      </c>
      <c r="R32" s="2">
        <f t="shared" si="35"/>
        <v>0.05</v>
      </c>
      <c r="S32" s="2">
        <f t="shared" si="35"/>
        <v>0.05</v>
      </c>
      <c r="T32" s="2">
        <f t="shared" si="35"/>
        <v>0.05</v>
      </c>
      <c r="U32" s="2">
        <f>T32</f>
        <v>0.05</v>
      </c>
      <c r="V32" s="2">
        <f t="shared" ref="V32:AB32" si="42">U32</f>
        <v>0.05</v>
      </c>
      <c r="W32" s="2">
        <f t="shared" si="42"/>
        <v>0.05</v>
      </c>
      <c r="X32" s="2">
        <f t="shared" si="42"/>
        <v>0.05</v>
      </c>
      <c r="Y32" s="2">
        <f t="shared" si="42"/>
        <v>0.05</v>
      </c>
      <c r="Z32" s="2">
        <f t="shared" si="42"/>
        <v>0.05</v>
      </c>
      <c r="AA32" s="2">
        <f t="shared" si="42"/>
        <v>0.05</v>
      </c>
      <c r="AB32" s="2">
        <f t="shared" si="42"/>
        <v>0.05</v>
      </c>
      <c r="AC32" s="2">
        <f>AB32</f>
        <v>0.05</v>
      </c>
      <c r="AD32" s="2">
        <f>AC32</f>
        <v>0.05</v>
      </c>
      <c r="AE32" s="2">
        <f>AD32</f>
        <v>0.05</v>
      </c>
    </row>
    <row r="33" spans="1:33" outlineLevel="1">
      <c r="D33" s="371"/>
    </row>
    <row r="34" spans="1:33" outlineLevel="1">
      <c r="B34" s="148" t="s">
        <v>114</v>
      </c>
      <c r="C34" s="148"/>
      <c r="D34" s="149"/>
      <c r="E34" s="25"/>
      <c r="F34" s="150"/>
      <c r="G34" s="150"/>
      <c r="H34" s="150"/>
      <c r="I34" s="150">
        <f t="shared" ref="I34:T34" si="43">I28*I25</f>
        <v>2194.6648808732821</v>
      </c>
      <c r="J34" s="150">
        <f t="shared" si="43"/>
        <v>2488.2821778608636</v>
      </c>
      <c r="K34" s="150">
        <f t="shared" si="43"/>
        <v>2792.9697914764802</v>
      </c>
      <c r="L34" s="150">
        <f t="shared" si="43"/>
        <v>3134.9660924735999</v>
      </c>
      <c r="M34" s="150">
        <f t="shared" si="43"/>
        <v>3518.8394915520012</v>
      </c>
      <c r="N34" s="150">
        <f t="shared" si="43"/>
        <v>3949.7177966400013</v>
      </c>
      <c r="O34" s="150">
        <f t="shared" si="43"/>
        <v>4230.1477602014411</v>
      </c>
      <c r="P34" s="150">
        <f t="shared" si="43"/>
        <v>4530.4882511757451</v>
      </c>
      <c r="Q34" s="150">
        <f t="shared" si="43"/>
        <v>4158.9882145793335</v>
      </c>
      <c r="R34" s="150">
        <f t="shared" si="43"/>
        <v>3817.9511809838291</v>
      </c>
      <c r="S34" s="150">
        <f t="shared" si="43"/>
        <v>3504.8791841431548</v>
      </c>
      <c r="T34" s="150">
        <f t="shared" si="43"/>
        <v>3217.4790910434162</v>
      </c>
      <c r="U34" s="150">
        <f>U28*U25</f>
        <v>2953.6458055778567</v>
      </c>
      <c r="V34" s="150">
        <f t="shared" ref="V34:AE34" si="44">V28*V25</f>
        <v>2711.4468495204728</v>
      </c>
      <c r="W34" s="150">
        <f t="shared" si="44"/>
        <v>2489.1082078597942</v>
      </c>
      <c r="X34" s="150">
        <f t="shared" si="44"/>
        <v>2285.0013348152911</v>
      </c>
      <c r="Y34" s="150">
        <f t="shared" si="44"/>
        <v>2097.6312253604369</v>
      </c>
      <c r="Z34" s="150">
        <f t="shared" si="44"/>
        <v>1925.6254648808813</v>
      </c>
      <c r="AA34" s="150">
        <f t="shared" si="44"/>
        <v>1767.7241767606492</v>
      </c>
      <c r="AB34" s="150">
        <f t="shared" si="44"/>
        <v>1622.770794266276</v>
      </c>
      <c r="AC34" s="150">
        <f>AC28*AC25</f>
        <v>331.04524203032037</v>
      </c>
      <c r="AD34" s="150">
        <f t="shared" si="44"/>
        <v>67.533229374185353</v>
      </c>
      <c r="AE34" s="150">
        <f t="shared" si="44"/>
        <v>13.776778792333813</v>
      </c>
    </row>
    <row r="35" spans="1:33" outlineLevel="1">
      <c r="D35" s="371"/>
    </row>
    <row r="36" spans="1:33" outlineLevel="2">
      <c r="B36" s="480" t="s">
        <v>460</v>
      </c>
      <c r="C36" s="481"/>
      <c r="D36" s="482"/>
      <c r="E36" s="481"/>
      <c r="F36" s="481"/>
      <c r="G36" s="483"/>
      <c r="H36" s="483"/>
      <c r="I36" s="483"/>
      <c r="J36" s="483"/>
      <c r="K36" s="483"/>
      <c r="L36" s="483"/>
      <c r="M36" s="483"/>
      <c r="N36" s="483"/>
      <c r="O36" s="483">
        <f>O37+2%</f>
        <v>0.3805</v>
      </c>
      <c r="P36" s="483">
        <f>P37+3%</f>
        <v>0.46260000000000001</v>
      </c>
      <c r="Q36" s="483">
        <f>Q37+0.05</f>
        <v>0.52</v>
      </c>
      <c r="R36" s="483">
        <f>R37*1.1</f>
        <v>0.53900000000000003</v>
      </c>
      <c r="S36" s="483">
        <f>S37*1.1</f>
        <v>0.54439000000000004</v>
      </c>
      <c r="T36" s="483">
        <f>T37*1.1</f>
        <v>0.54983389999999999</v>
      </c>
      <c r="U36" s="483">
        <f>U37*1.1</f>
        <v>0.55533223899999995</v>
      </c>
      <c r="V36" s="483">
        <f t="shared" ref="V36:AA36" si="45">V37*1.1</f>
        <v>0.56088556139000001</v>
      </c>
      <c r="W36" s="483">
        <f t="shared" si="45"/>
        <v>0.56649441700390002</v>
      </c>
      <c r="X36" s="483">
        <f t="shared" si="45"/>
        <v>0.57215936117393906</v>
      </c>
      <c r="Y36" s="483">
        <f t="shared" si="45"/>
        <v>0.57788095478567847</v>
      </c>
      <c r="Z36" s="483">
        <f t="shared" si="45"/>
        <v>0.58365976433353528</v>
      </c>
      <c r="AA36" s="483">
        <f t="shared" si="45"/>
        <v>0.58949636197687061</v>
      </c>
      <c r="AB36" s="483">
        <f>AB37*1.1</f>
        <v>0.59539132559663943</v>
      </c>
      <c r="AC36" s="483">
        <f>AC37*1.1</f>
        <v>0.60134523885260582</v>
      </c>
      <c r="AD36" s="483">
        <f>AD37*1.1</f>
        <v>0.60735869124113195</v>
      </c>
      <c r="AE36" s="483">
        <f>AE37*1.1</f>
        <v>0.61343227815354329</v>
      </c>
      <c r="AG36" s="357"/>
    </row>
    <row r="37" spans="1:33" outlineLevel="2">
      <c r="B37" s="480" t="s">
        <v>461</v>
      </c>
      <c r="C37" s="481"/>
      <c r="D37" s="482"/>
      <c r="E37" s="481"/>
      <c r="F37" s="481"/>
      <c r="G37" s="483"/>
      <c r="H37" s="483"/>
      <c r="I37" s="483"/>
      <c r="J37" s="483"/>
      <c r="K37" s="483"/>
      <c r="L37" s="483"/>
      <c r="M37" s="483"/>
      <c r="N37" s="526">
        <f>N39</f>
        <v>0.35</v>
      </c>
      <c r="O37" s="496">
        <f>N37*1.03</f>
        <v>0.36049999999999999</v>
      </c>
      <c r="P37" s="496">
        <f>O37*1.2</f>
        <v>0.43259999999999998</v>
      </c>
      <c r="Q37" s="496">
        <v>0.47</v>
      </c>
      <c r="R37" s="496">
        <v>0.49</v>
      </c>
      <c r="S37" s="496">
        <f>R37*1.01</f>
        <v>0.49490000000000001</v>
      </c>
      <c r="T37" s="496">
        <f>S37*1.01</f>
        <v>0.49984899999999999</v>
      </c>
      <c r="U37" s="496">
        <f>T37*1.01</f>
        <v>0.50484748999999995</v>
      </c>
      <c r="V37" s="496">
        <f t="shared" ref="V37:AB37" si="46">U37*1.01</f>
        <v>0.5098959649</v>
      </c>
      <c r="W37" s="496">
        <f t="shared" si="46"/>
        <v>0.51499492454899998</v>
      </c>
      <c r="X37" s="496">
        <f t="shared" si="46"/>
        <v>0.52014487379449004</v>
      </c>
      <c r="Y37" s="496">
        <f t="shared" si="46"/>
        <v>0.52534632253243496</v>
      </c>
      <c r="Z37" s="496">
        <f t="shared" si="46"/>
        <v>0.53059978575775935</v>
      </c>
      <c r="AA37" s="496">
        <f t="shared" si="46"/>
        <v>0.53590578361533692</v>
      </c>
      <c r="AB37" s="496">
        <f t="shared" si="46"/>
        <v>0.54126484145149034</v>
      </c>
      <c r="AC37" s="496">
        <f>AB37*1.01</f>
        <v>0.54667748986600528</v>
      </c>
      <c r="AD37" s="496">
        <f>AC37*1.01</f>
        <v>0.55214426476466538</v>
      </c>
      <c r="AE37" s="496">
        <f>AD37*1.01</f>
        <v>0.55766570741231203</v>
      </c>
      <c r="AG37" s="357"/>
    </row>
    <row r="38" spans="1:33" outlineLevel="2">
      <c r="B38" s="480" t="s">
        <v>462</v>
      </c>
      <c r="C38" s="481"/>
      <c r="D38" s="482"/>
      <c r="E38" s="481"/>
      <c r="F38" s="481"/>
      <c r="G38" s="483"/>
      <c r="H38" s="483"/>
      <c r="I38" s="483"/>
      <c r="J38" s="483"/>
      <c r="K38" s="483"/>
      <c r="L38" s="483"/>
      <c r="M38" s="483"/>
      <c r="N38" s="483"/>
      <c r="O38" s="483">
        <f t="shared" ref="O38:U38" si="47">N37*0.9</f>
        <v>0.315</v>
      </c>
      <c r="P38" s="483">
        <f t="shared" si="47"/>
        <v>0.32445000000000002</v>
      </c>
      <c r="Q38" s="483">
        <f t="shared" si="47"/>
        <v>0.38934000000000002</v>
      </c>
      <c r="R38" s="483">
        <f t="shared" si="47"/>
        <v>0.42299999999999999</v>
      </c>
      <c r="S38" s="483">
        <f t="shared" si="47"/>
        <v>0.441</v>
      </c>
      <c r="T38" s="483">
        <f t="shared" si="47"/>
        <v>0.44541000000000003</v>
      </c>
      <c r="U38" s="483">
        <f t="shared" si="47"/>
        <v>0.44986409999999999</v>
      </c>
      <c r="V38" s="483">
        <f t="shared" ref="V38:AA38" si="48">U37*0.9</f>
        <v>0.45436274099999996</v>
      </c>
      <c r="W38" s="483">
        <f t="shared" si="48"/>
        <v>0.45890636840999999</v>
      </c>
      <c r="X38" s="483">
        <f t="shared" si="48"/>
        <v>0.46349543209409999</v>
      </c>
      <c r="Y38" s="483">
        <f t="shared" si="48"/>
        <v>0.46813038641504107</v>
      </c>
      <c r="Z38" s="483">
        <f t="shared" si="48"/>
        <v>0.47281169027919145</v>
      </c>
      <c r="AA38" s="483">
        <f t="shared" si="48"/>
        <v>0.47753980718198341</v>
      </c>
      <c r="AB38" s="483">
        <f>AA37*0.9</f>
        <v>0.48231520525380323</v>
      </c>
      <c r="AC38" s="483">
        <f>AB37*0.9</f>
        <v>0.48713835730634131</v>
      </c>
      <c r="AD38" s="483">
        <f>AC37*0.9</f>
        <v>0.49200974087940474</v>
      </c>
      <c r="AE38" s="483">
        <f>AD37*0.9</f>
        <v>0.49692983828819887</v>
      </c>
      <c r="AG38" s="357"/>
    </row>
    <row r="39" spans="1:33" outlineLevel="1">
      <c r="A39" s="485" t="s">
        <v>78</v>
      </c>
      <c r="B39" s="480" t="s">
        <v>357</v>
      </c>
      <c r="C39" s="481"/>
      <c r="D39" s="482"/>
      <c r="E39" s="481"/>
      <c r="F39" s="481"/>
      <c r="G39" s="483"/>
      <c r="H39" s="483"/>
      <c r="I39" s="483">
        <v>0.1</v>
      </c>
      <c r="J39" s="484">
        <f>K39-5%</f>
        <v>0.25999999999999995</v>
      </c>
      <c r="K39" s="484">
        <f>L39-2%</f>
        <v>0.30999999999999994</v>
      </c>
      <c r="L39" s="484">
        <f>M39-1%</f>
        <v>0.32999999999999996</v>
      </c>
      <c r="M39" s="484">
        <f>N39-1%</f>
        <v>0.33999999999999997</v>
      </c>
      <c r="N39" s="484">
        <v>0.35</v>
      </c>
      <c r="O39" s="486">
        <f t="shared" ref="O39:AE39" si="49">CHOOSE($J$1,O36,O37,O38)</f>
        <v>0.36049999999999999</v>
      </c>
      <c r="P39" s="486">
        <f t="shared" si="49"/>
        <v>0.43259999999999998</v>
      </c>
      <c r="Q39" s="486">
        <f t="shared" si="49"/>
        <v>0.47</v>
      </c>
      <c r="R39" s="486">
        <f t="shared" si="49"/>
        <v>0.49</v>
      </c>
      <c r="S39" s="486">
        <f t="shared" si="49"/>
        <v>0.49490000000000001</v>
      </c>
      <c r="T39" s="486">
        <f t="shared" si="49"/>
        <v>0.49984899999999999</v>
      </c>
      <c r="U39" s="486">
        <f t="shared" si="49"/>
        <v>0.50484748999999995</v>
      </c>
      <c r="V39" s="486">
        <f t="shared" si="49"/>
        <v>0.5098959649</v>
      </c>
      <c r="W39" s="486">
        <f t="shared" si="49"/>
        <v>0.51499492454899998</v>
      </c>
      <c r="X39" s="486">
        <f t="shared" si="49"/>
        <v>0.52014487379449004</v>
      </c>
      <c r="Y39" s="486">
        <f t="shared" si="49"/>
        <v>0.52534632253243496</v>
      </c>
      <c r="Z39" s="486">
        <f t="shared" si="49"/>
        <v>0.53059978575775935</v>
      </c>
      <c r="AA39" s="486">
        <f t="shared" si="49"/>
        <v>0.53590578361533692</v>
      </c>
      <c r="AB39" s="486">
        <f t="shared" si="49"/>
        <v>0.54126484145149034</v>
      </c>
      <c r="AC39" s="486">
        <f t="shared" si="49"/>
        <v>0.54667748986600528</v>
      </c>
      <c r="AD39" s="486">
        <f t="shared" si="49"/>
        <v>0.55214426476466538</v>
      </c>
      <c r="AE39" s="486">
        <f t="shared" si="49"/>
        <v>0.55766570741231203</v>
      </c>
      <c r="AG39" s="357" t="s">
        <v>440</v>
      </c>
    </row>
    <row r="40" spans="1:33" outlineLevel="1">
      <c r="B40" s="148" t="s">
        <v>358</v>
      </c>
      <c r="C40" s="148"/>
      <c r="D40" s="149"/>
      <c r="E40" s="25"/>
      <c r="F40" s="25"/>
      <c r="G40" s="150"/>
      <c r="H40" s="150"/>
      <c r="I40" s="150">
        <f t="shared" ref="I40:N40" si="50">I39*I34</f>
        <v>219.46648808732823</v>
      </c>
      <c r="J40" s="150">
        <f t="shared" si="50"/>
        <v>646.95336624382446</v>
      </c>
      <c r="K40" s="150">
        <f t="shared" si="50"/>
        <v>865.82063535770874</v>
      </c>
      <c r="L40" s="150">
        <f t="shared" si="50"/>
        <v>1034.5388105162879</v>
      </c>
      <c r="M40" s="150">
        <f t="shared" si="50"/>
        <v>1196.4054271276802</v>
      </c>
      <c r="N40" s="150">
        <f t="shared" si="50"/>
        <v>1382.4012288240003</v>
      </c>
      <c r="O40" s="150">
        <f t="shared" ref="O40:AE40" si="51">O39*O34</f>
        <v>1524.9682675526194</v>
      </c>
      <c r="P40" s="150">
        <f t="shared" si="51"/>
        <v>1959.8892174586272</v>
      </c>
      <c r="Q40" s="150">
        <f t="shared" si="51"/>
        <v>1954.7244608522867</v>
      </c>
      <c r="R40" s="150">
        <f t="shared" si="51"/>
        <v>1870.7960786820763</v>
      </c>
      <c r="S40" s="150">
        <f t="shared" si="51"/>
        <v>1734.5647082324474</v>
      </c>
      <c r="T40" s="150">
        <f t="shared" si="51"/>
        <v>1608.2537061789606</v>
      </c>
      <c r="U40" s="150">
        <f t="shared" si="51"/>
        <v>1491.1406712950088</v>
      </c>
      <c r="V40" s="150">
        <f t="shared" si="51"/>
        <v>1382.5558076113066</v>
      </c>
      <c r="W40" s="150">
        <f t="shared" si="51"/>
        <v>1281.8780937010513</v>
      </c>
      <c r="X40" s="150">
        <f t="shared" si="51"/>
        <v>1188.5317309177408</v>
      </c>
      <c r="Y40" s="150">
        <f t="shared" si="51"/>
        <v>1101.9828502723108</v>
      </c>
      <c r="Z40" s="150">
        <f t="shared" si="51"/>
        <v>1021.7364591154814</v>
      </c>
      <c r="AA40" s="150">
        <f t="shared" si="51"/>
        <v>947.33361016269203</v>
      </c>
      <c r="AB40" s="150">
        <f t="shared" si="51"/>
        <v>878.34877667064495</v>
      </c>
      <c r="AC40" s="150">
        <f t="shared" si="51"/>
        <v>180.97498194521972</v>
      </c>
      <c r="AD40" s="150">
        <f t="shared" si="51"/>
        <v>37.288085279993076</v>
      </c>
      <c r="AE40" s="150">
        <f t="shared" si="51"/>
        <v>7.6828370910897732</v>
      </c>
    </row>
    <row r="41" spans="1:33" outlineLevel="1">
      <c r="D41" s="371"/>
    </row>
    <row r="42" spans="1:33" outlineLevel="1">
      <c r="B42" s="476" t="s">
        <v>360</v>
      </c>
      <c r="C42" s="477"/>
      <c r="D42" s="478"/>
      <c r="E42" s="477"/>
      <c r="F42" s="477"/>
      <c r="G42" s="477"/>
      <c r="H42" s="477"/>
      <c r="I42" s="477"/>
      <c r="J42" s="477"/>
      <c r="K42" s="477"/>
      <c r="L42" s="477"/>
      <c r="M42" s="477"/>
      <c r="N42" s="477"/>
      <c r="O42" s="477"/>
      <c r="P42" s="477"/>
      <c r="Q42" s="477"/>
      <c r="R42" s="477"/>
      <c r="S42" s="477"/>
      <c r="T42" s="477"/>
      <c r="U42" s="477"/>
      <c r="V42" s="477"/>
      <c r="W42" s="477"/>
      <c r="X42" s="477"/>
      <c r="Y42" s="477"/>
      <c r="Z42" s="477"/>
      <c r="AA42" s="477"/>
      <c r="AB42" s="477"/>
      <c r="AC42" s="477"/>
      <c r="AD42" s="477"/>
      <c r="AE42" s="477"/>
    </row>
    <row r="43" spans="1:33" outlineLevel="1">
      <c r="B43" s="360" t="s">
        <v>361</v>
      </c>
      <c r="D43" s="371"/>
      <c r="E43" s="5">
        <f t="shared" ref="E43:AA43" si="52">E20*E17-E25</f>
        <v>5452.6303245460158</v>
      </c>
      <c r="F43" s="5">
        <f t="shared" si="52"/>
        <v>5563.9084944347087</v>
      </c>
      <c r="G43" s="5">
        <f t="shared" si="52"/>
        <v>5677.4576473823563</v>
      </c>
      <c r="H43" s="5">
        <f t="shared" si="52"/>
        <v>6517.4896462297456</v>
      </c>
      <c r="I43" s="5">
        <f t="shared" si="52"/>
        <v>6650.4996390099441</v>
      </c>
      <c r="J43" s="5">
        <f t="shared" si="52"/>
        <v>6786.2241214387177</v>
      </c>
      <c r="K43" s="5">
        <f t="shared" si="52"/>
        <v>6924.7184912639968</v>
      </c>
      <c r="L43" s="5">
        <f t="shared" si="52"/>
        <v>7066.0392767999983</v>
      </c>
      <c r="M43" s="5">
        <f t="shared" si="52"/>
        <v>7210.2441600000002</v>
      </c>
      <c r="N43" s="5">
        <f t="shared" si="52"/>
        <v>7357.3919999999998</v>
      </c>
      <c r="O43" s="5">
        <f t="shared" si="52"/>
        <v>7504.5398399999995</v>
      </c>
      <c r="P43" s="5">
        <f t="shared" si="52"/>
        <v>7654.6306367999969</v>
      </c>
      <c r="Q43" s="5">
        <f t="shared" si="52"/>
        <v>7807.7232495359985</v>
      </c>
      <c r="R43" s="5">
        <f t="shared" si="52"/>
        <v>7963.8777145267195</v>
      </c>
      <c r="S43" s="5">
        <f t="shared" si="52"/>
        <v>8123.155268817256</v>
      </c>
      <c r="T43" s="5">
        <f t="shared" si="52"/>
        <v>8285.618374193602</v>
      </c>
      <c r="U43" s="5">
        <f t="shared" si="52"/>
        <v>8451.3307416774751</v>
      </c>
      <c r="V43" s="5">
        <f t="shared" si="52"/>
        <v>8620.3573565110237</v>
      </c>
      <c r="W43" s="5">
        <f t="shared" si="52"/>
        <v>8792.764503641245</v>
      </c>
      <c r="X43" s="5">
        <f t="shared" si="52"/>
        <v>8968.6197937140696</v>
      </c>
      <c r="Y43" s="5">
        <f t="shared" si="52"/>
        <v>9147.9921895883508</v>
      </c>
      <c r="Z43" s="5">
        <f t="shared" si="52"/>
        <v>9330.9520333801156</v>
      </c>
      <c r="AA43" s="5">
        <f t="shared" si="52"/>
        <v>9517.5710740477189</v>
      </c>
      <c r="AB43" s="5">
        <f>AB20*AB17-AB25</f>
        <v>9707.9224955286736</v>
      </c>
      <c r="AC43" s="5">
        <f>AC20*AC17-AC25</f>
        <v>9902.0809454392493</v>
      </c>
      <c r="AD43" s="5">
        <f>AD20*AD17-AD25</f>
        <v>10100.122564348032</v>
      </c>
      <c r="AE43" s="5">
        <f>AE20*AE17-AE25</f>
        <v>10302.125015634994</v>
      </c>
      <c r="AF43" s="5"/>
    </row>
    <row r="44" spans="1:33" outlineLevel="1">
      <c r="D44" s="371"/>
    </row>
    <row r="45" spans="1:33" outlineLevel="1">
      <c r="B45" s="359" t="s">
        <v>364</v>
      </c>
      <c r="C45" s="10"/>
      <c r="D45" s="371"/>
    </row>
    <row r="46" spans="1:33" outlineLevel="2">
      <c r="B46" s="487" t="s">
        <v>463</v>
      </c>
      <c r="C46" s="488"/>
      <c r="D46" s="482"/>
      <c r="E46" s="481"/>
      <c r="F46" s="481"/>
      <c r="G46" s="481"/>
      <c r="H46" s="481"/>
      <c r="I46" s="481"/>
      <c r="J46" s="481"/>
      <c r="K46" s="481"/>
      <c r="L46" s="481"/>
      <c r="M46" s="481"/>
      <c r="N46" s="481"/>
      <c r="O46" s="483">
        <f t="shared" ref="O46:U46" si="53">O47</f>
        <v>0.51249999999999996</v>
      </c>
      <c r="P46" s="483">
        <f t="shared" si="53"/>
        <v>0.52531249999999996</v>
      </c>
      <c r="Q46" s="483">
        <f t="shared" si="53"/>
        <v>0.53844531249999994</v>
      </c>
      <c r="R46" s="483">
        <f t="shared" si="53"/>
        <v>0.55190644531249988</v>
      </c>
      <c r="S46" s="483">
        <f t="shared" si="53"/>
        <v>0.56570410644531233</v>
      </c>
      <c r="T46" s="483">
        <f t="shared" si="53"/>
        <v>0.57984670910644509</v>
      </c>
      <c r="U46" s="483">
        <f t="shared" si="53"/>
        <v>0.59434287683410614</v>
      </c>
      <c r="V46" s="483">
        <f t="shared" ref="V46:AE46" si="54">V47</f>
        <v>0.60920144875495874</v>
      </c>
      <c r="W46" s="483">
        <f t="shared" si="54"/>
        <v>0.62443148497383261</v>
      </c>
      <c r="X46" s="483">
        <f t="shared" si="54"/>
        <v>0.64004227209817832</v>
      </c>
      <c r="Y46" s="483">
        <f t="shared" si="54"/>
        <v>0.65604332890063277</v>
      </c>
      <c r="Z46" s="483">
        <f t="shared" si="54"/>
        <v>0.67244441212314854</v>
      </c>
      <c r="AA46" s="483">
        <f t="shared" si="54"/>
        <v>0.68925552242622723</v>
      </c>
      <c r="AB46" s="483">
        <f t="shared" si="54"/>
        <v>0.70648691048688284</v>
      </c>
      <c r="AC46" s="483">
        <f t="shared" si="54"/>
        <v>0.7241490832490548</v>
      </c>
      <c r="AD46" s="483">
        <f t="shared" si="54"/>
        <v>0.74225281033028112</v>
      </c>
      <c r="AE46" s="483">
        <f t="shared" si="54"/>
        <v>0.76080913058853805</v>
      </c>
    </row>
    <row r="47" spans="1:33" outlineLevel="2">
      <c r="B47" s="487" t="s">
        <v>464</v>
      </c>
      <c r="C47" s="488"/>
      <c r="D47" s="482"/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4">
        <f>N49*1.025</f>
        <v>0.51249999999999996</v>
      </c>
      <c r="P47" s="484">
        <f t="shared" ref="P47:U47" si="55">O47*1.025</f>
        <v>0.52531249999999996</v>
      </c>
      <c r="Q47" s="484">
        <f t="shared" si="55"/>
        <v>0.53844531249999994</v>
      </c>
      <c r="R47" s="484">
        <f t="shared" si="55"/>
        <v>0.55190644531249988</v>
      </c>
      <c r="S47" s="484">
        <f t="shared" si="55"/>
        <v>0.56570410644531233</v>
      </c>
      <c r="T47" s="484">
        <f t="shared" si="55"/>
        <v>0.57984670910644509</v>
      </c>
      <c r="U47" s="484">
        <f t="shared" si="55"/>
        <v>0.59434287683410614</v>
      </c>
      <c r="V47" s="484">
        <f t="shared" ref="V47:AE47" si="56">U47*1.025</f>
        <v>0.60920144875495874</v>
      </c>
      <c r="W47" s="484">
        <f t="shared" si="56"/>
        <v>0.62443148497383261</v>
      </c>
      <c r="X47" s="484">
        <f t="shared" si="56"/>
        <v>0.64004227209817832</v>
      </c>
      <c r="Y47" s="484">
        <f t="shared" si="56"/>
        <v>0.65604332890063277</v>
      </c>
      <c r="Z47" s="484">
        <f t="shared" si="56"/>
        <v>0.67244441212314854</v>
      </c>
      <c r="AA47" s="484">
        <f t="shared" si="56"/>
        <v>0.68925552242622723</v>
      </c>
      <c r="AB47" s="484">
        <f t="shared" si="56"/>
        <v>0.70648691048688284</v>
      </c>
      <c r="AC47" s="484">
        <f t="shared" si="56"/>
        <v>0.7241490832490548</v>
      </c>
      <c r="AD47" s="484">
        <f t="shared" si="56"/>
        <v>0.74225281033028112</v>
      </c>
      <c r="AE47" s="484">
        <f t="shared" si="56"/>
        <v>0.76080913058853805</v>
      </c>
    </row>
    <row r="48" spans="1:33" outlineLevel="2">
      <c r="B48" s="487" t="s">
        <v>462</v>
      </c>
      <c r="C48" s="488"/>
      <c r="D48" s="482"/>
      <c r="E48" s="481"/>
      <c r="F48" s="481"/>
      <c r="G48" s="481"/>
      <c r="H48" s="481"/>
      <c r="I48" s="481"/>
      <c r="J48" s="481"/>
      <c r="K48" s="481"/>
      <c r="L48" s="481"/>
      <c r="M48" s="481"/>
      <c r="N48" s="481"/>
      <c r="O48" s="483">
        <f>O47</f>
        <v>0.51249999999999996</v>
      </c>
      <c r="P48" s="483">
        <f>P47</f>
        <v>0.52531249999999996</v>
      </c>
      <c r="Q48" s="483">
        <f>Q47</f>
        <v>0.53844531249999994</v>
      </c>
      <c r="R48" s="489">
        <f>Q47*0.95</f>
        <v>0.51152304687499994</v>
      </c>
      <c r="S48" s="489">
        <f>R48*0.9</f>
        <v>0.46037074218749996</v>
      </c>
      <c r="T48" s="489">
        <f>S48*0.9</f>
        <v>0.41433366796874999</v>
      </c>
      <c r="U48" s="489">
        <f>T48*0.95</f>
        <v>0.39361698457031247</v>
      </c>
      <c r="V48" s="489">
        <f t="shared" ref="V48:AB48" si="57">U48*0.95</f>
        <v>0.37393613534179682</v>
      </c>
      <c r="W48" s="489">
        <f t="shared" si="57"/>
        <v>0.35523932857470697</v>
      </c>
      <c r="X48" s="489">
        <f t="shared" si="57"/>
        <v>0.33747736214597163</v>
      </c>
      <c r="Y48" s="489">
        <f t="shared" si="57"/>
        <v>0.32060349403867305</v>
      </c>
      <c r="Z48" s="489">
        <f t="shared" si="57"/>
        <v>0.30457331933673937</v>
      </c>
      <c r="AA48" s="489">
        <f t="shared" si="57"/>
        <v>0.28934465336990239</v>
      </c>
      <c r="AB48" s="489">
        <f t="shared" si="57"/>
        <v>0.27487742070140725</v>
      </c>
      <c r="AC48" s="489">
        <f>AB48*0.95</f>
        <v>0.26113354966633689</v>
      </c>
      <c r="AD48" s="489">
        <f>AC48*0.95</f>
        <v>0.24807687218302005</v>
      </c>
      <c r="AE48" s="489">
        <f>AD48*0.95</f>
        <v>0.23567302857386904</v>
      </c>
      <c r="AG48" s="360" t="s">
        <v>469</v>
      </c>
    </row>
    <row r="49" spans="1:33" outlineLevel="1">
      <c r="A49" s="485" t="s">
        <v>78</v>
      </c>
      <c r="B49" s="490" t="s">
        <v>108</v>
      </c>
      <c r="C49" s="529"/>
      <c r="D49" s="530"/>
      <c r="E49" s="531"/>
      <c r="F49" s="484">
        <v>0</v>
      </c>
      <c r="G49" s="484">
        <v>0</v>
      </c>
      <c r="H49" s="484">
        <v>0.05</v>
      </c>
      <c r="I49" s="484">
        <v>0.25</v>
      </c>
      <c r="J49" s="484">
        <v>0.35</v>
      </c>
      <c r="K49" s="484">
        <v>0.43</v>
      </c>
      <c r="L49" s="484">
        <v>0.45</v>
      </c>
      <c r="M49" s="484">
        <v>0.47</v>
      </c>
      <c r="N49" s="484">
        <v>0.5</v>
      </c>
      <c r="O49" s="486">
        <f t="shared" ref="O49:AE49" si="58">CHOOSE($J$1,O46,O47,O48)</f>
        <v>0.51249999999999996</v>
      </c>
      <c r="P49" s="486">
        <f t="shared" si="58"/>
        <v>0.52531249999999996</v>
      </c>
      <c r="Q49" s="486">
        <f t="shared" si="58"/>
        <v>0.53844531249999994</v>
      </c>
      <c r="R49" s="486">
        <f t="shared" si="58"/>
        <v>0.55190644531249988</v>
      </c>
      <c r="S49" s="486">
        <f t="shared" si="58"/>
        <v>0.56570410644531233</v>
      </c>
      <c r="T49" s="486">
        <f t="shared" si="58"/>
        <v>0.57984670910644509</v>
      </c>
      <c r="U49" s="486">
        <f t="shared" si="58"/>
        <v>0.59434287683410614</v>
      </c>
      <c r="V49" s="486">
        <f t="shared" si="58"/>
        <v>0.60920144875495874</v>
      </c>
      <c r="W49" s="486">
        <f t="shared" si="58"/>
        <v>0.62443148497383261</v>
      </c>
      <c r="X49" s="486">
        <f t="shared" si="58"/>
        <v>0.64004227209817832</v>
      </c>
      <c r="Y49" s="486">
        <f t="shared" si="58"/>
        <v>0.65604332890063277</v>
      </c>
      <c r="Z49" s="486">
        <f t="shared" si="58"/>
        <v>0.67244441212314854</v>
      </c>
      <c r="AA49" s="486">
        <f t="shared" si="58"/>
        <v>0.68925552242622723</v>
      </c>
      <c r="AB49" s="486">
        <f t="shared" si="58"/>
        <v>0.70648691048688284</v>
      </c>
      <c r="AC49" s="486">
        <f>CHOOSE($J$1,AC46,AC47,AC48)</f>
        <v>0.7241490832490548</v>
      </c>
      <c r="AD49" s="486">
        <f t="shared" si="58"/>
        <v>0.74225281033028112</v>
      </c>
      <c r="AE49" s="486">
        <f t="shared" si="58"/>
        <v>0.76080913058853805</v>
      </c>
      <c r="AG49" s="360" t="s">
        <v>441</v>
      </c>
    </row>
    <row r="50" spans="1:33" outlineLevel="1">
      <c r="B50" s="11" t="s">
        <v>110</v>
      </c>
      <c r="C50" s="11"/>
      <c r="D50" s="371"/>
      <c r="F50" s="491">
        <v>0.2</v>
      </c>
      <c r="G50" s="153">
        <f>F50+1%</f>
        <v>0.21000000000000002</v>
      </c>
      <c r="H50" s="153">
        <f>G50+1%</f>
        <v>0.22000000000000003</v>
      </c>
      <c r="I50" s="153">
        <f>H50+1%</f>
        <v>0.23000000000000004</v>
      </c>
      <c r="J50" s="153">
        <f>I50+1%</f>
        <v>0.24000000000000005</v>
      </c>
      <c r="K50" s="153">
        <f>J50+1%</f>
        <v>0.25000000000000006</v>
      </c>
      <c r="L50" s="154">
        <f>K50*1.1</f>
        <v>0.27500000000000008</v>
      </c>
      <c r="M50" s="154">
        <f>L50*1.1</f>
        <v>0.3025000000000001</v>
      </c>
      <c r="N50" s="154">
        <f>M50*1.1</f>
        <v>0.33275000000000016</v>
      </c>
      <c r="O50" s="154">
        <f t="shared" ref="O50:U51" si="59">N50</f>
        <v>0.33275000000000016</v>
      </c>
      <c r="P50" s="154">
        <f t="shared" si="59"/>
        <v>0.33275000000000016</v>
      </c>
      <c r="Q50" s="154">
        <f t="shared" si="59"/>
        <v>0.33275000000000016</v>
      </c>
      <c r="R50" s="154">
        <f t="shared" si="59"/>
        <v>0.33275000000000016</v>
      </c>
      <c r="S50" s="154">
        <f t="shared" si="59"/>
        <v>0.33275000000000016</v>
      </c>
      <c r="T50" s="154">
        <f t="shared" si="59"/>
        <v>0.33275000000000016</v>
      </c>
      <c r="U50" s="154">
        <f t="shared" si="59"/>
        <v>0.33275000000000016</v>
      </c>
      <c r="V50" s="154">
        <f t="shared" ref="V50:AA50" si="60">U50</f>
        <v>0.33275000000000016</v>
      </c>
      <c r="W50" s="154">
        <f t="shared" si="60"/>
        <v>0.33275000000000016</v>
      </c>
      <c r="X50" s="154">
        <f t="shared" si="60"/>
        <v>0.33275000000000016</v>
      </c>
      <c r="Y50" s="154">
        <f t="shared" si="60"/>
        <v>0.33275000000000016</v>
      </c>
      <c r="Z50" s="154">
        <f t="shared" si="60"/>
        <v>0.33275000000000016</v>
      </c>
      <c r="AA50" s="154">
        <f t="shared" si="60"/>
        <v>0.33275000000000016</v>
      </c>
      <c r="AB50" s="154">
        <f t="shared" ref="AB50:AE51" si="61">AA50</f>
        <v>0.33275000000000016</v>
      </c>
      <c r="AC50" s="154">
        <f t="shared" si="61"/>
        <v>0.33275000000000016</v>
      </c>
      <c r="AD50" s="154">
        <f t="shared" si="61"/>
        <v>0.33275000000000016</v>
      </c>
      <c r="AE50" s="154">
        <f t="shared" si="61"/>
        <v>0.33275000000000016</v>
      </c>
    </row>
    <row r="51" spans="1:33" outlineLevel="1">
      <c r="B51" s="11" t="s">
        <v>111</v>
      </c>
      <c r="C51" s="11"/>
      <c r="D51" s="371"/>
      <c r="F51" s="153">
        <v>0.33</v>
      </c>
      <c r="G51" s="153">
        <f>F51+6%</f>
        <v>0.39</v>
      </c>
      <c r="H51" s="153">
        <f>G51+6%</f>
        <v>0.45</v>
      </c>
      <c r="I51" s="153">
        <f>H51+6%</f>
        <v>0.51</v>
      </c>
      <c r="J51" s="153">
        <f>I51+6%</f>
        <v>0.57000000000000006</v>
      </c>
      <c r="K51" s="153">
        <f>J51+6%</f>
        <v>0.63000000000000012</v>
      </c>
      <c r="L51" s="154">
        <f>K51*0.98</f>
        <v>0.61740000000000006</v>
      </c>
      <c r="M51" s="154">
        <f>L51*0.98</f>
        <v>0.60505200000000003</v>
      </c>
      <c r="N51" s="154">
        <v>0.25</v>
      </c>
      <c r="O51" s="154">
        <f t="shared" si="59"/>
        <v>0.25</v>
      </c>
      <c r="P51" s="154">
        <f t="shared" si="59"/>
        <v>0.25</v>
      </c>
      <c r="Q51" s="154">
        <f t="shared" si="59"/>
        <v>0.25</v>
      </c>
      <c r="R51" s="154">
        <f t="shared" si="59"/>
        <v>0.25</v>
      </c>
      <c r="S51" s="154">
        <f t="shared" si="59"/>
        <v>0.25</v>
      </c>
      <c r="T51" s="154">
        <f t="shared" si="59"/>
        <v>0.25</v>
      </c>
      <c r="U51" s="154">
        <f t="shared" si="59"/>
        <v>0.25</v>
      </c>
      <c r="V51" s="154">
        <f t="shared" ref="V51:AA51" si="62">U51</f>
        <v>0.25</v>
      </c>
      <c r="W51" s="154">
        <f t="shared" si="62"/>
        <v>0.25</v>
      </c>
      <c r="X51" s="154">
        <f t="shared" si="62"/>
        <v>0.25</v>
      </c>
      <c r="Y51" s="154">
        <f t="shared" si="62"/>
        <v>0.25</v>
      </c>
      <c r="Z51" s="154">
        <f t="shared" si="62"/>
        <v>0.25</v>
      </c>
      <c r="AA51" s="154">
        <f t="shared" si="62"/>
        <v>0.25</v>
      </c>
      <c r="AB51" s="154">
        <f t="shared" si="61"/>
        <v>0.25</v>
      </c>
      <c r="AC51" s="154">
        <f t="shared" si="61"/>
        <v>0.25</v>
      </c>
      <c r="AD51" s="154">
        <f t="shared" si="61"/>
        <v>0.25</v>
      </c>
      <c r="AE51" s="154">
        <f t="shared" si="61"/>
        <v>0.25</v>
      </c>
    </row>
    <row r="52" spans="1:33" outlineLevel="1">
      <c r="D52" s="371"/>
    </row>
    <row r="53" spans="1:33" outlineLevel="1">
      <c r="B53" s="148" t="s">
        <v>365</v>
      </c>
      <c r="C53" s="148"/>
      <c r="D53" s="149"/>
      <c r="E53" s="25"/>
      <c r="F53" s="150">
        <f t="shared" ref="F53:AE53" si="63">F49*F43</f>
        <v>0</v>
      </c>
      <c r="G53" s="150">
        <f t="shared" si="63"/>
        <v>0</v>
      </c>
      <c r="H53" s="150">
        <f t="shared" si="63"/>
        <v>325.87448231148733</v>
      </c>
      <c r="I53" s="150">
        <f t="shared" si="63"/>
        <v>1662.624909752486</v>
      </c>
      <c r="J53" s="150">
        <f t="shared" si="63"/>
        <v>2375.1784425035512</v>
      </c>
      <c r="K53" s="150">
        <f t="shared" si="63"/>
        <v>2977.6289512435187</v>
      </c>
      <c r="L53" s="150">
        <f t="shared" si="63"/>
        <v>3179.7176745599995</v>
      </c>
      <c r="M53" s="150">
        <f t="shared" si="63"/>
        <v>3388.8147552</v>
      </c>
      <c r="N53" s="150">
        <f t="shared" si="63"/>
        <v>3678.6959999999999</v>
      </c>
      <c r="O53" s="150">
        <f t="shared" si="63"/>
        <v>3846.0766679999992</v>
      </c>
      <c r="P53" s="150">
        <f t="shared" si="63"/>
        <v>4021.073156393998</v>
      </c>
      <c r="Q53" s="150">
        <f t="shared" si="63"/>
        <v>4204.0319850099258</v>
      </c>
      <c r="R53" s="150">
        <f t="shared" si="63"/>
        <v>4395.3154403278777</v>
      </c>
      <c r="S53" s="150">
        <f t="shared" si="63"/>
        <v>4595.302292862797</v>
      </c>
      <c r="T53" s="150">
        <f t="shared" si="63"/>
        <v>4804.388547188054</v>
      </c>
      <c r="U53" s="150">
        <f t="shared" si="63"/>
        <v>5022.98822608511</v>
      </c>
      <c r="V53" s="150">
        <f t="shared" si="63"/>
        <v>5251.5341903719818</v>
      </c>
      <c r="W53" s="150">
        <f t="shared" si="63"/>
        <v>5490.4789960339067</v>
      </c>
      <c r="X53" s="150">
        <f t="shared" si="63"/>
        <v>5740.2957903534489</v>
      </c>
      <c r="Y53" s="150">
        <f t="shared" si="63"/>
        <v>6001.4792488145304</v>
      </c>
      <c r="Z53" s="150">
        <f t="shared" si="63"/>
        <v>6274.546554635589</v>
      </c>
      <c r="AA53" s="150">
        <f t="shared" si="63"/>
        <v>6560.0384228715093</v>
      </c>
      <c r="AB53" s="150">
        <f t="shared" si="63"/>
        <v>6858.5201711121626</v>
      </c>
      <c r="AC53" s="150">
        <f t="shared" si="63"/>
        <v>7170.5828388977661</v>
      </c>
      <c r="AD53" s="150">
        <f t="shared" si="63"/>
        <v>7496.8443580676121</v>
      </c>
      <c r="AE53" s="150">
        <f t="shared" si="63"/>
        <v>7837.9507763596894</v>
      </c>
    </row>
    <row r="54" spans="1:33" outlineLevel="1">
      <c r="B54" s="148"/>
      <c r="C54" s="148"/>
      <c r="D54" s="149"/>
      <c r="E54" s="25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</row>
    <row r="55" spans="1:33" outlineLevel="2">
      <c r="B55" s="487" t="s">
        <v>463</v>
      </c>
      <c r="C55" s="532"/>
      <c r="D55" s="533"/>
      <c r="E55" s="534"/>
      <c r="F55" s="535"/>
      <c r="G55" s="535"/>
      <c r="H55" s="535"/>
      <c r="I55" s="535"/>
      <c r="J55" s="535"/>
      <c r="K55" s="535"/>
      <c r="L55" s="535"/>
      <c r="M55" s="535"/>
      <c r="N55" s="535"/>
      <c r="O55" s="489">
        <f>O56*1.05</f>
        <v>0.57267000000000001</v>
      </c>
      <c r="P55" s="489">
        <f t="shared" ref="P55:AE55" si="64">P56*1.05</f>
        <v>0.64425374999999996</v>
      </c>
      <c r="Q55" s="489">
        <f t="shared" si="64"/>
        <v>0.72478546875000005</v>
      </c>
      <c r="R55" s="489">
        <f t="shared" si="64"/>
        <v>0.73499999999999999</v>
      </c>
      <c r="S55" s="489">
        <f t="shared" si="64"/>
        <v>0.74234999999999995</v>
      </c>
      <c r="T55" s="489">
        <f t="shared" si="64"/>
        <v>0.74977349999999998</v>
      </c>
      <c r="U55" s="489">
        <f t="shared" si="64"/>
        <v>0.75727123500000004</v>
      </c>
      <c r="V55" s="489">
        <f t="shared" si="64"/>
        <v>0.76484394734999994</v>
      </c>
      <c r="W55" s="489">
        <f t="shared" si="64"/>
        <v>0.77249238682349997</v>
      </c>
      <c r="X55" s="489">
        <f t="shared" si="64"/>
        <v>0.78021731069173494</v>
      </c>
      <c r="Y55" s="489">
        <f t="shared" si="64"/>
        <v>0.78801948379865228</v>
      </c>
      <c r="Z55" s="489">
        <f t="shared" si="64"/>
        <v>0.7958996786366388</v>
      </c>
      <c r="AA55" s="489">
        <f t="shared" si="64"/>
        <v>0.80385867542300515</v>
      </c>
      <c r="AB55" s="489">
        <f t="shared" si="64"/>
        <v>0.81189726217723523</v>
      </c>
      <c r="AC55" s="489">
        <f t="shared" si="64"/>
        <v>0.81189726217723523</v>
      </c>
      <c r="AD55" s="489">
        <f t="shared" si="64"/>
        <v>0.81189726217723523</v>
      </c>
      <c r="AE55" s="489">
        <f t="shared" si="64"/>
        <v>0.81189726217723523</v>
      </c>
    </row>
    <row r="56" spans="1:33" outlineLevel="2">
      <c r="B56" s="487" t="s">
        <v>464</v>
      </c>
      <c r="C56" s="532"/>
      <c r="D56" s="533"/>
      <c r="E56" s="534"/>
      <c r="F56" s="535"/>
      <c r="G56" s="535"/>
      <c r="H56" s="535"/>
      <c r="I56" s="535"/>
      <c r="J56" s="535"/>
      <c r="K56" s="535"/>
      <c r="L56" s="535"/>
      <c r="M56" s="535"/>
      <c r="N56" s="535"/>
      <c r="O56" s="496">
        <f>N58*1.01</f>
        <v>0.5454</v>
      </c>
      <c r="P56" s="496">
        <f>O56*1.125</f>
        <v>0.61357499999999998</v>
      </c>
      <c r="Q56" s="496">
        <f>P56*1.125</f>
        <v>0.69027187499999998</v>
      </c>
      <c r="R56" s="496">
        <v>0.7</v>
      </c>
      <c r="S56" s="496">
        <f>R56*1.01</f>
        <v>0.70699999999999996</v>
      </c>
      <c r="T56" s="496">
        <f>S56*1.01</f>
        <v>0.71406999999999998</v>
      </c>
      <c r="U56" s="496">
        <f>T56*1.01</f>
        <v>0.72121069999999998</v>
      </c>
      <c r="V56" s="496">
        <f t="shared" ref="V56:AB56" si="65">U56*1.01</f>
        <v>0.72842280699999995</v>
      </c>
      <c r="W56" s="496">
        <f t="shared" si="65"/>
        <v>0.7357070350699999</v>
      </c>
      <c r="X56" s="496">
        <f t="shared" si="65"/>
        <v>0.74306410542069989</v>
      </c>
      <c r="Y56" s="496">
        <f t="shared" si="65"/>
        <v>0.75049474647490688</v>
      </c>
      <c r="Z56" s="496">
        <f t="shared" si="65"/>
        <v>0.75799969393965594</v>
      </c>
      <c r="AA56" s="496">
        <f t="shared" si="65"/>
        <v>0.76557969087905253</v>
      </c>
      <c r="AB56" s="496">
        <f t="shared" si="65"/>
        <v>0.77323548778784301</v>
      </c>
      <c r="AC56" s="496">
        <f t="shared" ref="AC56:AE57" si="66">AB56</f>
        <v>0.77323548778784301</v>
      </c>
      <c r="AD56" s="496">
        <f t="shared" si="66"/>
        <v>0.77323548778784301</v>
      </c>
      <c r="AE56" s="496">
        <f t="shared" si="66"/>
        <v>0.77323548778784301</v>
      </c>
    </row>
    <row r="57" spans="1:33" outlineLevel="2">
      <c r="B57" s="487" t="s">
        <v>462</v>
      </c>
      <c r="C57" s="532"/>
      <c r="D57" s="533"/>
      <c r="E57" s="534"/>
      <c r="F57" s="535"/>
      <c r="G57" s="535"/>
      <c r="H57" s="535"/>
      <c r="I57" s="535"/>
      <c r="J57" s="535"/>
      <c r="K57" s="535"/>
      <c r="L57" s="535"/>
      <c r="M57" s="535"/>
      <c r="N57" s="535"/>
      <c r="O57" s="489">
        <f>N58</f>
        <v>0.54</v>
      </c>
      <c r="P57" s="489">
        <f t="shared" ref="P57:U57" si="67">O57</f>
        <v>0.54</v>
      </c>
      <c r="Q57" s="489">
        <f t="shared" si="67"/>
        <v>0.54</v>
      </c>
      <c r="R57" s="489">
        <f t="shared" si="67"/>
        <v>0.54</v>
      </c>
      <c r="S57" s="489">
        <f t="shared" si="67"/>
        <v>0.54</v>
      </c>
      <c r="T57" s="489">
        <f t="shared" si="67"/>
        <v>0.54</v>
      </c>
      <c r="U57" s="489">
        <f t="shared" si="67"/>
        <v>0.54</v>
      </c>
      <c r="V57" s="489">
        <f t="shared" ref="V57:AB57" si="68">U57</f>
        <v>0.54</v>
      </c>
      <c r="W57" s="489">
        <f t="shared" si="68"/>
        <v>0.54</v>
      </c>
      <c r="X57" s="489">
        <f t="shared" si="68"/>
        <v>0.54</v>
      </c>
      <c r="Y57" s="489">
        <f t="shared" si="68"/>
        <v>0.54</v>
      </c>
      <c r="Z57" s="489">
        <f t="shared" si="68"/>
        <v>0.54</v>
      </c>
      <c r="AA57" s="489">
        <f t="shared" si="68"/>
        <v>0.54</v>
      </c>
      <c r="AB57" s="489">
        <f t="shared" si="68"/>
        <v>0.54</v>
      </c>
      <c r="AC57" s="489">
        <f t="shared" si="66"/>
        <v>0.54</v>
      </c>
      <c r="AD57" s="489">
        <f t="shared" si="66"/>
        <v>0.54</v>
      </c>
      <c r="AE57" s="489">
        <f t="shared" si="66"/>
        <v>0.54</v>
      </c>
    </row>
    <row r="58" spans="1:33" outlineLevel="1">
      <c r="A58" s="485" t="s">
        <v>78</v>
      </c>
      <c r="B58" s="487" t="s">
        <v>366</v>
      </c>
      <c r="C58" s="487"/>
      <c r="D58" s="493"/>
      <c r="E58" s="494"/>
      <c r="F58" s="489"/>
      <c r="G58" s="489"/>
      <c r="H58" s="495"/>
      <c r="I58" s="495">
        <f>J58-5%</f>
        <v>0.29000000000000009</v>
      </c>
      <c r="J58" s="536">
        <f>K58-5%</f>
        <v>0.34000000000000008</v>
      </c>
      <c r="K58" s="536">
        <f>L58-5%</f>
        <v>0.39000000000000007</v>
      </c>
      <c r="L58" s="536">
        <f>M58-5%</f>
        <v>0.44000000000000006</v>
      </c>
      <c r="M58" s="536">
        <f>N58-5%</f>
        <v>0.49000000000000005</v>
      </c>
      <c r="N58" s="496">
        <v>0.54</v>
      </c>
      <c r="O58" s="486">
        <f t="shared" ref="O58:AE58" si="69">CHOOSE($J$1,O55,O56,O57)</f>
        <v>0.5454</v>
      </c>
      <c r="P58" s="486">
        <f t="shared" si="69"/>
        <v>0.61357499999999998</v>
      </c>
      <c r="Q58" s="486">
        <f t="shared" si="69"/>
        <v>0.69027187499999998</v>
      </c>
      <c r="R58" s="486">
        <f t="shared" si="69"/>
        <v>0.7</v>
      </c>
      <c r="S58" s="486">
        <f t="shared" si="69"/>
        <v>0.70699999999999996</v>
      </c>
      <c r="T58" s="486">
        <f t="shared" si="69"/>
        <v>0.71406999999999998</v>
      </c>
      <c r="U58" s="486">
        <f t="shared" si="69"/>
        <v>0.72121069999999998</v>
      </c>
      <c r="V58" s="486">
        <f t="shared" si="69"/>
        <v>0.72842280699999995</v>
      </c>
      <c r="W58" s="486">
        <f t="shared" si="69"/>
        <v>0.7357070350699999</v>
      </c>
      <c r="X58" s="486">
        <f t="shared" si="69"/>
        <v>0.74306410542069989</v>
      </c>
      <c r="Y58" s="486">
        <f t="shared" si="69"/>
        <v>0.75049474647490688</v>
      </c>
      <c r="Z58" s="486">
        <f t="shared" si="69"/>
        <v>0.75799969393965594</v>
      </c>
      <c r="AA58" s="486">
        <f t="shared" si="69"/>
        <v>0.76557969087905253</v>
      </c>
      <c r="AB58" s="486">
        <f t="shared" si="69"/>
        <v>0.77323548778784301</v>
      </c>
      <c r="AC58" s="486">
        <f t="shared" si="69"/>
        <v>0.77323548778784301</v>
      </c>
      <c r="AD58" s="486">
        <f t="shared" si="69"/>
        <v>0.77323548778784301</v>
      </c>
      <c r="AE58" s="486">
        <f t="shared" si="69"/>
        <v>0.77323548778784301</v>
      </c>
      <c r="AG58" s="357" t="s">
        <v>440</v>
      </c>
    </row>
    <row r="59" spans="1:33" outlineLevel="1">
      <c r="B59" s="148" t="s">
        <v>367</v>
      </c>
      <c r="C59" s="148"/>
      <c r="D59" s="149"/>
      <c r="E59" s="25"/>
      <c r="F59" s="150"/>
      <c r="G59" s="150"/>
      <c r="H59" s="150"/>
      <c r="I59" s="150">
        <f t="shared" ref="I59:AE59" si="70">I58*I53</f>
        <v>482.16122382822113</v>
      </c>
      <c r="J59" s="150">
        <f t="shared" si="70"/>
        <v>807.56067045120756</v>
      </c>
      <c r="K59" s="150">
        <f t="shared" si="70"/>
        <v>1161.2752909849726</v>
      </c>
      <c r="L59" s="150">
        <f t="shared" si="70"/>
        <v>1399.0757768064</v>
      </c>
      <c r="M59" s="150">
        <f t="shared" si="70"/>
        <v>1660.5192300480003</v>
      </c>
      <c r="N59" s="150">
        <f t="shared" si="70"/>
        <v>1986.49584</v>
      </c>
      <c r="O59" s="150">
        <f t="shared" si="70"/>
        <v>2097.6502147271995</v>
      </c>
      <c r="P59" s="150">
        <f t="shared" si="70"/>
        <v>2467.2299619344471</v>
      </c>
      <c r="Q59" s="150">
        <f t="shared" si="70"/>
        <v>2901.9250408527732</v>
      </c>
      <c r="R59" s="150">
        <f t="shared" si="70"/>
        <v>3076.7208082295142</v>
      </c>
      <c r="S59" s="150">
        <f t="shared" si="70"/>
        <v>3248.8787210539972</v>
      </c>
      <c r="T59" s="150">
        <f t="shared" si="70"/>
        <v>3430.6697298905738</v>
      </c>
      <c r="U59" s="150">
        <f t="shared" si="70"/>
        <v>3622.6328546266004</v>
      </c>
      <c r="V59" s="150">
        <f t="shared" si="70"/>
        <v>3825.3372760072311</v>
      </c>
      <c r="W59" s="150">
        <f t="shared" si="70"/>
        <v>4039.3840232862153</v>
      </c>
      <c r="X59" s="150">
        <f t="shared" si="70"/>
        <v>4265.4077563091951</v>
      </c>
      <c r="Y59" s="150">
        <f t="shared" si="70"/>
        <v>4504.0786473134758</v>
      </c>
      <c r="Z59" s="150">
        <f t="shared" si="70"/>
        <v>4756.104368023899</v>
      </c>
      <c r="AA59" s="150">
        <f t="shared" si="70"/>
        <v>5022.2321879366773</v>
      </c>
      <c r="AB59" s="150">
        <f t="shared" si="70"/>
        <v>5303.2511900126738</v>
      </c>
      <c r="AC59" s="150">
        <f t="shared" si="70"/>
        <v>5544.5491191582505</v>
      </c>
      <c r="AD59" s="150">
        <f t="shared" si="70"/>
        <v>5796.8261040799489</v>
      </c>
      <c r="AE59" s="150">
        <f t="shared" si="70"/>
        <v>6060.581691815587</v>
      </c>
    </row>
    <row r="60" spans="1:33" outlineLevel="1">
      <c r="D60" s="371"/>
    </row>
    <row r="61" spans="1:33" outlineLevel="1">
      <c r="B61" s="473" t="s">
        <v>362</v>
      </c>
      <c r="C61" s="473"/>
      <c r="D61" s="474"/>
      <c r="E61" s="473"/>
      <c r="F61" s="473"/>
      <c r="G61" s="473"/>
      <c r="H61" s="473"/>
      <c r="I61" s="473"/>
      <c r="J61" s="473"/>
      <c r="K61" s="473"/>
      <c r="L61" s="473"/>
      <c r="M61" s="473"/>
      <c r="N61" s="473"/>
      <c r="O61" s="473"/>
      <c r="P61" s="473"/>
      <c r="Q61" s="473"/>
      <c r="R61" s="473"/>
      <c r="S61" s="473"/>
      <c r="T61" s="473"/>
      <c r="U61" s="473"/>
      <c r="V61" s="473"/>
      <c r="W61" s="473"/>
      <c r="X61" s="473"/>
      <c r="Y61" s="473"/>
      <c r="Z61" s="473"/>
      <c r="AA61" s="473"/>
      <c r="AB61" s="473"/>
      <c r="AC61" s="473"/>
      <c r="AD61" s="473"/>
      <c r="AE61" s="473"/>
    </row>
    <row r="62" spans="1:33" ht="12.75" customHeight="1" outlineLevel="1">
      <c r="B62" s="497" t="s">
        <v>363</v>
      </c>
      <c r="C62" s="14"/>
      <c r="D62" s="371"/>
      <c r="E62" s="5">
        <f t="shared" ref="E62:AA62" si="71">(1-E20)*E17</f>
        <v>18824.557072837437</v>
      </c>
      <c r="F62" s="5">
        <f t="shared" si="71"/>
        <v>19208.731706976974</v>
      </c>
      <c r="G62" s="5">
        <f t="shared" si="71"/>
        <v>19600.746639772424</v>
      </c>
      <c r="H62" s="5">
        <f t="shared" si="71"/>
        <v>20000.761877318801</v>
      </c>
      <c r="I62" s="5">
        <f t="shared" si="71"/>
        <v>20408.940691141634</v>
      </c>
      <c r="J62" s="5">
        <f t="shared" si="71"/>
        <v>20825.449684838401</v>
      </c>
      <c r="K62" s="5">
        <f t="shared" si="71"/>
        <v>21250.458862079999</v>
      </c>
      <c r="L62" s="5">
        <f t="shared" si="71"/>
        <v>21684.141695999999</v>
      </c>
      <c r="M62" s="5">
        <f t="shared" si="71"/>
        <v>22126.675200000005</v>
      </c>
      <c r="N62" s="5">
        <f t="shared" si="71"/>
        <v>22578.240000000002</v>
      </c>
      <c r="O62" s="5">
        <f t="shared" si="71"/>
        <v>23029.804800000002</v>
      </c>
      <c r="P62" s="5">
        <f t="shared" si="71"/>
        <v>23490.400896000003</v>
      </c>
      <c r="Q62" s="5">
        <f t="shared" si="71"/>
        <v>23960.208913920003</v>
      </c>
      <c r="R62" s="5">
        <f t="shared" si="71"/>
        <v>24439.413092198407</v>
      </c>
      <c r="S62" s="5">
        <f t="shared" si="71"/>
        <v>24928.20135404238</v>
      </c>
      <c r="T62" s="5">
        <f t="shared" si="71"/>
        <v>25426.765381123227</v>
      </c>
      <c r="U62" s="5">
        <f t="shared" si="71"/>
        <v>25935.30068874569</v>
      </c>
      <c r="V62" s="5">
        <f t="shared" si="71"/>
        <v>26454.006702520604</v>
      </c>
      <c r="W62" s="5">
        <f t="shared" si="71"/>
        <v>26983.086836571019</v>
      </c>
      <c r="X62" s="5">
        <f t="shared" si="71"/>
        <v>27522.74857330244</v>
      </c>
      <c r="Y62" s="5">
        <f t="shared" si="71"/>
        <v>28073.20354476849</v>
      </c>
      <c r="Z62" s="5">
        <f t="shared" si="71"/>
        <v>28634.667615663857</v>
      </c>
      <c r="AA62" s="5">
        <f t="shared" si="71"/>
        <v>29207.360967977136</v>
      </c>
      <c r="AB62" s="5">
        <f>(1-AB20)*AB17</f>
        <v>29791.508187336676</v>
      </c>
      <c r="AC62" s="5">
        <f>(1-AC20)*AC17</f>
        <v>30387.338351083414</v>
      </c>
      <c r="AD62" s="5">
        <f>(1-AD20)*AD17</f>
        <v>30995.085118105082</v>
      </c>
      <c r="AE62" s="5">
        <f>(1-AE20)*AE17</f>
        <v>31614.98682046718</v>
      </c>
    </row>
    <row r="63" spans="1:33" ht="12.75" customHeight="1" outlineLevel="1">
      <c r="D63" s="371"/>
    </row>
    <row r="64" spans="1:33" ht="12.75" customHeight="1" outlineLevel="1">
      <c r="B64" s="10" t="s">
        <v>31</v>
      </c>
      <c r="C64" s="10"/>
      <c r="D64" s="371"/>
    </row>
    <row r="65" spans="1:33" outlineLevel="1" collapsed="1">
      <c r="A65" s="485" t="s">
        <v>78</v>
      </c>
      <c r="B65" s="490" t="s">
        <v>108</v>
      </c>
      <c r="C65" s="529"/>
      <c r="D65" s="530"/>
      <c r="E65" s="531"/>
      <c r="F65" s="484">
        <v>0</v>
      </c>
      <c r="G65" s="484">
        <v>0</v>
      </c>
      <c r="H65" s="484">
        <v>0.05</v>
      </c>
      <c r="I65" s="484">
        <v>0.2</v>
      </c>
      <c r="J65" s="484">
        <f t="shared" ref="J65:AA65" si="72">J49</f>
        <v>0.35</v>
      </c>
      <c r="K65" s="484">
        <f t="shared" si="72"/>
        <v>0.43</v>
      </c>
      <c r="L65" s="484">
        <f t="shared" si="72"/>
        <v>0.45</v>
      </c>
      <c r="M65" s="484">
        <f t="shared" si="72"/>
        <v>0.47</v>
      </c>
      <c r="N65" s="484">
        <f t="shared" si="72"/>
        <v>0.5</v>
      </c>
      <c r="O65" s="486">
        <f t="shared" si="72"/>
        <v>0.51249999999999996</v>
      </c>
      <c r="P65" s="486">
        <f t="shared" si="72"/>
        <v>0.52531249999999996</v>
      </c>
      <c r="Q65" s="486">
        <f t="shared" si="72"/>
        <v>0.53844531249999994</v>
      </c>
      <c r="R65" s="486">
        <f t="shared" si="72"/>
        <v>0.55190644531249988</v>
      </c>
      <c r="S65" s="486">
        <f t="shared" si="72"/>
        <v>0.56570410644531233</v>
      </c>
      <c r="T65" s="486">
        <f t="shared" si="72"/>
        <v>0.57984670910644509</v>
      </c>
      <c r="U65" s="486">
        <f t="shared" si="72"/>
        <v>0.59434287683410614</v>
      </c>
      <c r="V65" s="486">
        <f t="shared" si="72"/>
        <v>0.60920144875495874</v>
      </c>
      <c r="W65" s="486">
        <f t="shared" si="72"/>
        <v>0.62443148497383261</v>
      </c>
      <c r="X65" s="486">
        <f t="shared" si="72"/>
        <v>0.64004227209817832</v>
      </c>
      <c r="Y65" s="486">
        <f t="shared" si="72"/>
        <v>0.65604332890063277</v>
      </c>
      <c r="Z65" s="486">
        <f t="shared" si="72"/>
        <v>0.67244441212314854</v>
      </c>
      <c r="AA65" s="486">
        <f t="shared" si="72"/>
        <v>0.68925552242622723</v>
      </c>
      <c r="AB65" s="486">
        <f>AB49</f>
        <v>0.70648691048688284</v>
      </c>
      <c r="AC65" s="486">
        <f>AC49</f>
        <v>0.7241490832490548</v>
      </c>
      <c r="AD65" s="486">
        <f>AD49</f>
        <v>0.74225281033028112</v>
      </c>
      <c r="AE65" s="486">
        <f>AE49</f>
        <v>0.76080913058853805</v>
      </c>
      <c r="AG65" s="360" t="s">
        <v>471</v>
      </c>
    </row>
    <row r="66" spans="1:33" ht="12.75" customHeight="1" outlineLevel="1">
      <c r="B66" s="11" t="s">
        <v>110</v>
      </c>
      <c r="C66" s="11"/>
      <c r="D66" s="371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</row>
    <row r="67" spans="1:33" ht="12.75" customHeight="1" outlineLevel="1">
      <c r="B67" s="11" t="s">
        <v>111</v>
      </c>
      <c r="C67" s="11"/>
      <c r="D67" s="371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</row>
    <row r="68" spans="1:33" s="28" customFormat="1" ht="12.75" customHeight="1" outlineLevel="1">
      <c r="B68" s="11"/>
      <c r="C68" s="11"/>
      <c r="D68" s="371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3" ht="12.75" customHeight="1" outlineLevel="1">
      <c r="B69" s="148" t="s">
        <v>379</v>
      </c>
      <c r="C69" s="148"/>
      <c r="D69" s="149"/>
      <c r="E69" s="25"/>
      <c r="F69" s="150">
        <f t="shared" ref="F69:AE69" si="73">F65*F62</f>
        <v>0</v>
      </c>
      <c r="G69" s="150">
        <f t="shared" si="73"/>
        <v>0</v>
      </c>
      <c r="H69" s="150">
        <f t="shared" si="73"/>
        <v>1000.03809386594</v>
      </c>
      <c r="I69" s="150">
        <f t="shared" si="73"/>
        <v>4081.7881382283267</v>
      </c>
      <c r="J69" s="150">
        <f t="shared" si="73"/>
        <v>7288.9073896934397</v>
      </c>
      <c r="K69" s="150">
        <f t="shared" si="73"/>
        <v>9137.6973106943988</v>
      </c>
      <c r="L69" s="150">
        <f t="shared" si="73"/>
        <v>9757.8637631999991</v>
      </c>
      <c r="M69" s="150">
        <f t="shared" si="73"/>
        <v>10399.537344000002</v>
      </c>
      <c r="N69" s="150">
        <f t="shared" si="73"/>
        <v>11289.12</v>
      </c>
      <c r="O69" s="150">
        <f t="shared" si="73"/>
        <v>11802.774960000001</v>
      </c>
      <c r="P69" s="150">
        <f t="shared" si="73"/>
        <v>12339.801220680001</v>
      </c>
      <c r="Q69" s="150">
        <f t="shared" si="73"/>
        <v>12901.26217622094</v>
      </c>
      <c r="R69" s="150">
        <f t="shared" si="73"/>
        <v>13488.269605238993</v>
      </c>
      <c r="S69" s="150">
        <f t="shared" si="73"/>
        <v>14101.98587227737</v>
      </c>
      <c r="T69" s="150">
        <f t="shared" si="73"/>
        <v>14743.626229465988</v>
      </c>
      <c r="U69" s="150">
        <f t="shared" si="73"/>
        <v>15414.461222906688</v>
      </c>
      <c r="V69" s="150">
        <f t="shared" si="73"/>
        <v>16115.819208548941</v>
      </c>
      <c r="W69" s="150">
        <f t="shared" si="73"/>
        <v>16849.088982537916</v>
      </c>
      <c r="X69" s="150">
        <f t="shared" si="73"/>
        <v>17615.722531243391</v>
      </c>
      <c r="Y69" s="150">
        <f t="shared" si="73"/>
        <v>18417.237906414965</v>
      </c>
      <c r="Z69" s="150">
        <f t="shared" si="73"/>
        <v>19255.22223115684</v>
      </c>
      <c r="AA69" s="150">
        <f t="shared" si="73"/>
        <v>20131.334842674478</v>
      </c>
      <c r="AB69" s="150">
        <f t="shared" si="73"/>
        <v>21047.310578016164</v>
      </c>
      <c r="AC69" s="150">
        <f t="shared" si="73"/>
        <v>22004.963209315898</v>
      </c>
      <c r="AD69" s="150">
        <f t="shared" si="73"/>
        <v>23006.189035339772</v>
      </c>
      <c r="AE69" s="150">
        <f t="shared" si="73"/>
        <v>24052.970636447724</v>
      </c>
    </row>
    <row r="70" spans="1:33" ht="12.75" customHeight="1" outlineLevel="1">
      <c r="B70" s="11"/>
      <c r="C70" s="11"/>
      <c r="D70" s="371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</row>
    <row r="71" spans="1:33" ht="12.75" customHeight="1" outlineLevel="2">
      <c r="B71" s="490"/>
      <c r="C71" s="490"/>
      <c r="D71" s="482"/>
      <c r="E71" s="481"/>
      <c r="F71" s="537"/>
      <c r="G71" s="537"/>
      <c r="H71" s="537"/>
      <c r="I71" s="537"/>
      <c r="J71" s="537"/>
      <c r="K71" s="537"/>
      <c r="L71" s="537"/>
      <c r="M71" s="537"/>
      <c r="N71" s="537"/>
      <c r="O71" s="489">
        <v>0.1</v>
      </c>
      <c r="P71" s="489">
        <f>P72*1.1</f>
        <v>0.22000000000000003</v>
      </c>
      <c r="Q71" s="489">
        <f>Q72*1.15</f>
        <v>0.40249999999999997</v>
      </c>
      <c r="R71" s="489">
        <f>R72*1.15</f>
        <v>0.42549999999999999</v>
      </c>
      <c r="S71" s="489">
        <f>S72*1.175</f>
        <v>0.45825000000000005</v>
      </c>
      <c r="T71" s="489">
        <f>T72*1.175</f>
        <v>0.52875000000000005</v>
      </c>
      <c r="U71" s="489">
        <f>U72*1.2</f>
        <v>0.66</v>
      </c>
      <c r="V71" s="489">
        <f t="shared" ref="V71:AE71" si="74">V72*1.2</f>
        <v>0.78</v>
      </c>
      <c r="W71" s="489">
        <f t="shared" si="74"/>
        <v>0.78</v>
      </c>
      <c r="X71" s="489">
        <f t="shared" si="74"/>
        <v>0.78</v>
      </c>
      <c r="Y71" s="489">
        <f t="shared" si="74"/>
        <v>0.78</v>
      </c>
      <c r="Z71" s="489">
        <f t="shared" si="74"/>
        <v>0.78</v>
      </c>
      <c r="AA71" s="489">
        <f t="shared" si="74"/>
        <v>0.78</v>
      </c>
      <c r="AB71" s="489">
        <f t="shared" si="74"/>
        <v>0.78</v>
      </c>
      <c r="AC71" s="489">
        <f t="shared" si="74"/>
        <v>0.78</v>
      </c>
      <c r="AD71" s="489">
        <f t="shared" si="74"/>
        <v>0.78</v>
      </c>
      <c r="AE71" s="489">
        <f t="shared" si="74"/>
        <v>0.78</v>
      </c>
    </row>
    <row r="72" spans="1:33" ht="12.75" customHeight="1" outlineLevel="2">
      <c r="B72" s="490"/>
      <c r="C72" s="490"/>
      <c r="D72" s="482"/>
      <c r="E72" s="481"/>
      <c r="F72" s="537"/>
      <c r="G72" s="537"/>
      <c r="H72" s="537"/>
      <c r="I72" s="537"/>
      <c r="J72" s="537"/>
      <c r="K72" s="537"/>
      <c r="L72" s="537"/>
      <c r="M72" s="537"/>
      <c r="N72" s="537"/>
      <c r="O72" s="496">
        <f>N74</f>
        <v>0.05</v>
      </c>
      <c r="P72" s="496">
        <v>0.2</v>
      </c>
      <c r="Q72" s="496">
        <v>0.35</v>
      </c>
      <c r="R72" s="496">
        <v>0.37</v>
      </c>
      <c r="S72" s="496">
        <v>0.39</v>
      </c>
      <c r="T72" s="496">
        <v>0.45</v>
      </c>
      <c r="U72" s="496">
        <v>0.55000000000000004</v>
      </c>
      <c r="V72" s="496">
        <v>0.65</v>
      </c>
      <c r="W72" s="496">
        <f t="shared" ref="W72:AE72" si="75">V72</f>
        <v>0.65</v>
      </c>
      <c r="X72" s="496">
        <f t="shared" si="75"/>
        <v>0.65</v>
      </c>
      <c r="Y72" s="496">
        <f t="shared" si="75"/>
        <v>0.65</v>
      </c>
      <c r="Z72" s="496">
        <f t="shared" si="75"/>
        <v>0.65</v>
      </c>
      <c r="AA72" s="496">
        <f t="shared" si="75"/>
        <v>0.65</v>
      </c>
      <c r="AB72" s="496">
        <f t="shared" si="75"/>
        <v>0.65</v>
      </c>
      <c r="AC72" s="496">
        <f t="shared" si="75"/>
        <v>0.65</v>
      </c>
      <c r="AD72" s="496">
        <f t="shared" si="75"/>
        <v>0.65</v>
      </c>
      <c r="AE72" s="496">
        <f t="shared" si="75"/>
        <v>0.65</v>
      </c>
    </row>
    <row r="73" spans="1:33" ht="12.75" customHeight="1" outlineLevel="2">
      <c r="B73" s="490"/>
      <c r="C73" s="490"/>
      <c r="D73" s="482"/>
      <c r="E73" s="481"/>
      <c r="F73" s="537"/>
      <c r="G73" s="537"/>
      <c r="H73" s="537"/>
      <c r="I73" s="537"/>
      <c r="J73" s="537"/>
      <c r="K73" s="537"/>
      <c r="L73" s="537"/>
      <c r="M73" s="537"/>
      <c r="N73" s="537"/>
      <c r="O73" s="489">
        <f>O72</f>
        <v>0.05</v>
      </c>
      <c r="P73" s="489">
        <f>P72*0.8</f>
        <v>0.16000000000000003</v>
      </c>
      <c r="Q73" s="489">
        <f>Q72*0.7</f>
        <v>0.24499999999999997</v>
      </c>
      <c r="R73" s="489">
        <f>R72*0.6</f>
        <v>0.222</v>
      </c>
      <c r="S73" s="489">
        <f>S72*0.6</f>
        <v>0.23399999999999999</v>
      </c>
      <c r="T73" s="489">
        <f>T72*0.6</f>
        <v>0.27</v>
      </c>
      <c r="U73" s="489">
        <f>U72*0.6</f>
        <v>0.33</v>
      </c>
      <c r="V73" s="489">
        <f t="shared" ref="V73:AB73" si="76">V72*0.6</f>
        <v>0.39</v>
      </c>
      <c r="W73" s="489">
        <f t="shared" si="76"/>
        <v>0.39</v>
      </c>
      <c r="X73" s="489">
        <f t="shared" si="76"/>
        <v>0.39</v>
      </c>
      <c r="Y73" s="489">
        <f t="shared" si="76"/>
        <v>0.39</v>
      </c>
      <c r="Z73" s="489">
        <f t="shared" si="76"/>
        <v>0.39</v>
      </c>
      <c r="AA73" s="489">
        <f t="shared" si="76"/>
        <v>0.39</v>
      </c>
      <c r="AB73" s="489">
        <f t="shared" si="76"/>
        <v>0.39</v>
      </c>
      <c r="AC73" s="489">
        <f>AC72*0.6</f>
        <v>0.39</v>
      </c>
      <c r="AD73" s="489">
        <f>AD72*0.6</f>
        <v>0.39</v>
      </c>
      <c r="AE73" s="489">
        <f>AE72*0.6</f>
        <v>0.39</v>
      </c>
    </row>
    <row r="74" spans="1:33" ht="12.75" customHeight="1" outlineLevel="1">
      <c r="A74" s="485" t="s">
        <v>78</v>
      </c>
      <c r="B74" s="487" t="s">
        <v>366</v>
      </c>
      <c r="C74" s="490"/>
      <c r="D74" s="482"/>
      <c r="E74" s="481"/>
      <c r="F74" s="537"/>
      <c r="G74" s="537"/>
      <c r="H74" s="495">
        <v>0</v>
      </c>
      <c r="I74" s="495">
        <v>0</v>
      </c>
      <c r="J74" s="536">
        <v>0.01</v>
      </c>
      <c r="K74" s="536">
        <v>0.02</v>
      </c>
      <c r="L74" s="536">
        <v>0.02</v>
      </c>
      <c r="M74" s="536">
        <v>0.03</v>
      </c>
      <c r="N74" s="496">
        <v>0.05</v>
      </c>
      <c r="O74" s="486">
        <f t="shared" ref="O74:AE74" si="77">CHOOSE($J$1,O71,O72,O73)</f>
        <v>0.05</v>
      </c>
      <c r="P74" s="486">
        <f t="shared" si="77"/>
        <v>0.2</v>
      </c>
      <c r="Q74" s="486">
        <f t="shared" si="77"/>
        <v>0.35</v>
      </c>
      <c r="R74" s="486">
        <f t="shared" si="77"/>
        <v>0.37</v>
      </c>
      <c r="S74" s="486">
        <f t="shared" si="77"/>
        <v>0.39</v>
      </c>
      <c r="T74" s="486">
        <f t="shared" si="77"/>
        <v>0.45</v>
      </c>
      <c r="U74" s="486">
        <f t="shared" si="77"/>
        <v>0.55000000000000004</v>
      </c>
      <c r="V74" s="486">
        <f t="shared" si="77"/>
        <v>0.65</v>
      </c>
      <c r="W74" s="486">
        <f t="shared" si="77"/>
        <v>0.65</v>
      </c>
      <c r="X74" s="486">
        <f t="shared" si="77"/>
        <v>0.65</v>
      </c>
      <c r="Y74" s="486">
        <f t="shared" si="77"/>
        <v>0.65</v>
      </c>
      <c r="Z74" s="486">
        <f t="shared" si="77"/>
        <v>0.65</v>
      </c>
      <c r="AA74" s="486">
        <f t="shared" si="77"/>
        <v>0.65</v>
      </c>
      <c r="AB74" s="486">
        <f t="shared" si="77"/>
        <v>0.65</v>
      </c>
      <c r="AC74" s="486">
        <f t="shared" si="77"/>
        <v>0.65</v>
      </c>
      <c r="AD74" s="486">
        <f t="shared" si="77"/>
        <v>0.65</v>
      </c>
      <c r="AE74" s="486">
        <f t="shared" si="77"/>
        <v>0.65</v>
      </c>
      <c r="AG74" s="357" t="s">
        <v>440</v>
      </c>
    </row>
    <row r="75" spans="1:33" ht="12.75" customHeight="1" outlineLevel="1">
      <c r="B75" s="148" t="s">
        <v>367</v>
      </c>
      <c r="C75" s="11"/>
      <c r="D75" s="371"/>
      <c r="F75" s="150"/>
      <c r="G75" s="150"/>
      <c r="H75" s="150"/>
      <c r="I75" s="150"/>
      <c r="J75" s="150">
        <f>J74*J69</f>
        <v>72.889073896934391</v>
      </c>
      <c r="K75" s="150">
        <f>K74*K69</f>
        <v>182.75394621388799</v>
      </c>
      <c r="L75" s="150">
        <f>L74*L69</f>
        <v>195.15727526399999</v>
      </c>
      <c r="M75" s="150">
        <f>M74*M69</f>
        <v>311.98612032000005</v>
      </c>
      <c r="N75" s="150">
        <f>N74*N69</f>
        <v>564.45600000000002</v>
      </c>
      <c r="O75" s="150">
        <f t="shared" ref="O75:AE75" si="78">O74*O69</f>
        <v>590.13874800000008</v>
      </c>
      <c r="P75" s="150">
        <f t="shared" si="78"/>
        <v>2467.9602441360003</v>
      </c>
      <c r="Q75" s="150">
        <f t="shared" si="78"/>
        <v>4515.4417616773289</v>
      </c>
      <c r="R75" s="150">
        <f t="shared" si="78"/>
        <v>4990.6597539384275</v>
      </c>
      <c r="S75" s="150">
        <f t="shared" si="78"/>
        <v>5499.7744901881742</v>
      </c>
      <c r="T75" s="150">
        <f t="shared" si="78"/>
        <v>6634.6318032596946</v>
      </c>
      <c r="U75" s="150">
        <f t="shared" si="78"/>
        <v>8477.9536725986782</v>
      </c>
      <c r="V75" s="150">
        <f t="shared" si="78"/>
        <v>10475.282485556812</v>
      </c>
      <c r="W75" s="150">
        <f t="shared" si="78"/>
        <v>10951.907838649646</v>
      </c>
      <c r="X75" s="150">
        <f t="shared" si="78"/>
        <v>11450.219645308205</v>
      </c>
      <c r="Y75" s="150">
        <f t="shared" si="78"/>
        <v>11971.204639169728</v>
      </c>
      <c r="Z75" s="150">
        <f t="shared" si="78"/>
        <v>12515.894450251946</v>
      </c>
      <c r="AA75" s="150">
        <f t="shared" si="78"/>
        <v>13085.367647738411</v>
      </c>
      <c r="AB75" s="150">
        <f t="shared" si="78"/>
        <v>13680.751875710506</v>
      </c>
      <c r="AC75" s="150">
        <f t="shared" si="78"/>
        <v>14303.226086055334</v>
      </c>
      <c r="AD75" s="150">
        <f t="shared" si="78"/>
        <v>14954.022872970852</v>
      </c>
      <c r="AE75" s="150">
        <f t="shared" si="78"/>
        <v>15634.430913691021</v>
      </c>
    </row>
    <row r="76" spans="1:33" ht="12.75" customHeight="1" outlineLevel="1" thickBot="1">
      <c r="D76" s="371"/>
    </row>
    <row r="77" spans="1:33" ht="12.75" customHeight="1" outlineLevel="1">
      <c r="B77" s="469" t="s">
        <v>45</v>
      </c>
      <c r="C77" s="469"/>
      <c r="D77" s="472"/>
      <c r="E77" s="472"/>
      <c r="F77" s="472"/>
      <c r="G77" s="472"/>
      <c r="H77" s="472"/>
      <c r="I77" s="472"/>
      <c r="J77" s="472"/>
      <c r="K77" s="472"/>
      <c r="L77" s="472"/>
      <c r="M77" s="472"/>
      <c r="N77" s="472"/>
      <c r="O77" s="472"/>
      <c r="P77" s="472"/>
      <c r="Q77" s="472"/>
      <c r="R77" s="472"/>
      <c r="S77" s="472"/>
      <c r="T77" s="472"/>
      <c r="U77" s="472"/>
      <c r="V77" s="472"/>
      <c r="W77" s="472"/>
      <c r="X77" s="472"/>
      <c r="Y77" s="472"/>
      <c r="Z77" s="472"/>
      <c r="AA77" s="472"/>
      <c r="AB77" s="472"/>
      <c r="AC77" s="472"/>
      <c r="AD77" s="472"/>
      <c r="AE77" s="472"/>
    </row>
    <row r="78" spans="1:33" outlineLevel="1">
      <c r="B78" s="498" t="s">
        <v>122</v>
      </c>
      <c r="C78" s="498"/>
      <c r="D78" s="499" t="s">
        <v>26</v>
      </c>
      <c r="E78" s="498"/>
      <c r="F78" s="498"/>
      <c r="G78" s="498"/>
      <c r="H78" s="498"/>
      <c r="I78" s="498"/>
      <c r="J78" s="498"/>
      <c r="K78" s="498"/>
      <c r="L78" s="498"/>
      <c r="M78" s="498"/>
      <c r="N78" s="498"/>
      <c r="O78" s="498"/>
      <c r="P78" s="498"/>
      <c r="Q78" s="498"/>
      <c r="R78" s="498"/>
      <c r="S78" s="498"/>
      <c r="T78" s="498"/>
      <c r="U78" s="498"/>
      <c r="V78" s="498"/>
      <c r="W78" s="498"/>
      <c r="X78" s="498"/>
      <c r="Y78" s="498"/>
      <c r="Z78" s="498"/>
      <c r="AA78" s="498"/>
      <c r="AB78" s="498"/>
      <c r="AC78" s="498"/>
      <c r="AD78" s="498"/>
      <c r="AE78" s="498"/>
    </row>
    <row r="79" spans="1:33" outlineLevel="1">
      <c r="D79" s="371"/>
    </row>
    <row r="80" spans="1:33" outlineLevel="1">
      <c r="B80" s="10" t="s">
        <v>47</v>
      </c>
      <c r="C80" s="373"/>
      <c r="D80" s="371">
        <v>1.05</v>
      </c>
      <c r="J80" s="24">
        <f>K80/(1+K81*3/4)</f>
        <v>5900.3318936690184</v>
      </c>
      <c r="K80" s="24">
        <f>L80/(1+L81*3/4)</f>
        <v>5944.584382871536</v>
      </c>
      <c r="L80" s="500">
        <v>5900</v>
      </c>
      <c r="M80" s="24">
        <f>L80*(1+M81*3/4)</f>
        <v>5855.75</v>
      </c>
      <c r="N80" s="24">
        <f>M80*(1+N81*3/4)</f>
        <v>5745.9546874999996</v>
      </c>
      <c r="O80" s="24">
        <f t="shared" ref="O80:AE80" si="79">N80*(1+O81)</f>
        <v>5688.4951406249993</v>
      </c>
      <c r="P80" s="24">
        <f t="shared" si="79"/>
        <v>5631.6101892187489</v>
      </c>
      <c r="Q80" s="24">
        <f t="shared" si="79"/>
        <v>5575.2940873265616</v>
      </c>
      <c r="R80" s="24">
        <f t="shared" si="79"/>
        <v>5240.776442086968</v>
      </c>
      <c r="S80" s="24">
        <f t="shared" si="79"/>
        <v>5083.5531488243587</v>
      </c>
      <c r="T80" s="24">
        <f t="shared" si="79"/>
        <v>5007.2998515919935</v>
      </c>
      <c r="U80" s="24">
        <f t="shared" si="79"/>
        <v>4932.1903538181132</v>
      </c>
      <c r="V80" s="24">
        <f t="shared" si="79"/>
        <v>4858.2074985108411</v>
      </c>
      <c r="W80" s="24">
        <f t="shared" si="79"/>
        <v>4785.3343860331788</v>
      </c>
      <c r="X80" s="24">
        <f t="shared" si="79"/>
        <v>4713.5543702426812</v>
      </c>
      <c r="Y80" s="24">
        <f t="shared" si="79"/>
        <v>4642.8510546890411</v>
      </c>
      <c r="Z80" s="24">
        <f t="shared" si="79"/>
        <v>4573.2082888687055</v>
      </c>
      <c r="AA80" s="24">
        <f t="shared" si="79"/>
        <v>4504.6101645356748</v>
      </c>
      <c r="AB80" s="24">
        <f t="shared" si="79"/>
        <v>4437.0410120676397</v>
      </c>
      <c r="AC80" s="24">
        <f t="shared" si="79"/>
        <v>4370.4853968866255</v>
      </c>
      <c r="AD80" s="24">
        <f t="shared" si="79"/>
        <v>4304.9281159333259</v>
      </c>
      <c r="AE80" s="24">
        <f t="shared" si="79"/>
        <v>4240.3541941943258</v>
      </c>
    </row>
    <row r="81" spans="1:31" outlineLevel="2">
      <c r="B81" s="31" t="s">
        <v>368</v>
      </c>
      <c r="C81" s="147"/>
      <c r="D81" s="29"/>
      <c r="E81" s="28"/>
      <c r="F81" s="28"/>
      <c r="G81" s="28"/>
      <c r="H81" s="28"/>
      <c r="I81" s="28"/>
      <c r="J81" s="121"/>
      <c r="K81" s="136">
        <v>0.01</v>
      </c>
      <c r="L81" s="501">
        <v>-0.01</v>
      </c>
      <c r="M81" s="136">
        <f>L81</f>
        <v>-0.01</v>
      </c>
      <c r="N81" s="136">
        <v>-2.5000000000000001E-2</v>
      </c>
      <c r="O81" s="136">
        <v>-0.01</v>
      </c>
      <c r="P81" s="136">
        <f t="shared" ref="P81:U81" si="80">O81</f>
        <v>-0.01</v>
      </c>
      <c r="Q81" s="136">
        <f t="shared" si="80"/>
        <v>-0.01</v>
      </c>
      <c r="R81" s="136">
        <v>-0.06</v>
      </c>
      <c r="S81" s="136">
        <v>-0.03</v>
      </c>
      <c r="T81" s="136">
        <v>-1.4999999999999999E-2</v>
      </c>
      <c r="U81" s="136">
        <f t="shared" si="80"/>
        <v>-1.4999999999999999E-2</v>
      </c>
      <c r="V81" s="136">
        <f t="shared" ref="V81:AA81" si="81">U81</f>
        <v>-1.4999999999999999E-2</v>
      </c>
      <c r="W81" s="136">
        <f t="shared" si="81"/>
        <v>-1.4999999999999999E-2</v>
      </c>
      <c r="X81" s="136">
        <f t="shared" si="81"/>
        <v>-1.4999999999999999E-2</v>
      </c>
      <c r="Y81" s="136">
        <f t="shared" si="81"/>
        <v>-1.4999999999999999E-2</v>
      </c>
      <c r="Z81" s="136">
        <f t="shared" si="81"/>
        <v>-1.4999999999999999E-2</v>
      </c>
      <c r="AA81" s="136">
        <f t="shared" si="81"/>
        <v>-1.4999999999999999E-2</v>
      </c>
      <c r="AB81" s="136">
        <f>AA81</f>
        <v>-1.4999999999999999E-2</v>
      </c>
      <c r="AC81" s="136">
        <f>AB81</f>
        <v>-1.4999999999999999E-2</v>
      </c>
      <c r="AD81" s="136">
        <f>AC81</f>
        <v>-1.4999999999999999E-2</v>
      </c>
      <c r="AE81" s="136">
        <f>AD81</f>
        <v>-1.4999999999999999E-2</v>
      </c>
    </row>
    <row r="82" spans="1:31" outlineLevel="1">
      <c r="D82" s="371"/>
    </row>
    <row r="83" spans="1:31" outlineLevel="1">
      <c r="B83" s="502" t="s">
        <v>39</v>
      </c>
      <c r="C83" s="502"/>
      <c r="D83" s="503"/>
      <c r="E83" s="504"/>
      <c r="F83" s="504"/>
      <c r="G83" s="504"/>
      <c r="H83" s="504"/>
      <c r="I83" s="504"/>
      <c r="J83" s="504"/>
      <c r="K83" s="504"/>
      <c r="L83" s="504"/>
      <c r="M83" s="504"/>
      <c r="N83" s="504"/>
      <c r="O83" s="504"/>
      <c r="P83" s="504"/>
      <c r="Q83" s="504"/>
      <c r="R83" s="504"/>
      <c r="S83" s="504"/>
      <c r="T83" s="504"/>
      <c r="U83" s="504"/>
      <c r="V83" s="504"/>
      <c r="W83" s="504"/>
      <c r="X83" s="504"/>
      <c r="Y83" s="504"/>
      <c r="Z83" s="504"/>
      <c r="AA83" s="504"/>
      <c r="AB83" s="504"/>
      <c r="AC83" s="504"/>
      <c r="AD83" s="504"/>
      <c r="AE83" s="504"/>
    </row>
    <row r="84" spans="1:31" hidden="1" outlineLevel="2">
      <c r="B84" s="11" t="s">
        <v>41</v>
      </c>
      <c r="C84" s="11"/>
      <c r="D84" s="371"/>
      <c r="I84" s="505"/>
      <c r="J84" s="505">
        <v>4</v>
      </c>
      <c r="K84" s="505">
        <v>5</v>
      </c>
      <c r="L84" s="505">
        <v>6</v>
      </c>
      <c r="M84" s="505">
        <v>6</v>
      </c>
      <c r="N84" s="505">
        <v>6</v>
      </c>
      <c r="O84" s="360">
        <f t="shared" ref="O84:U84" si="82">N84</f>
        <v>6</v>
      </c>
      <c r="P84" s="360">
        <f t="shared" si="82"/>
        <v>6</v>
      </c>
      <c r="Q84" s="360">
        <f t="shared" si="82"/>
        <v>6</v>
      </c>
      <c r="R84" s="360">
        <f t="shared" si="82"/>
        <v>6</v>
      </c>
      <c r="S84" s="360">
        <f t="shared" si="82"/>
        <v>6</v>
      </c>
      <c r="T84" s="360">
        <f t="shared" si="82"/>
        <v>6</v>
      </c>
      <c r="U84" s="360">
        <f t="shared" si="82"/>
        <v>6</v>
      </c>
      <c r="V84" s="360">
        <f t="shared" ref="V84:AB84" si="83">U84</f>
        <v>6</v>
      </c>
      <c r="W84" s="360">
        <f t="shared" si="83"/>
        <v>6</v>
      </c>
      <c r="X84" s="360">
        <f t="shared" si="83"/>
        <v>6</v>
      </c>
      <c r="Y84" s="360">
        <f t="shared" si="83"/>
        <v>6</v>
      </c>
      <c r="Z84" s="360">
        <f t="shared" si="83"/>
        <v>6</v>
      </c>
      <c r="AA84" s="360">
        <f t="shared" si="83"/>
        <v>6</v>
      </c>
      <c r="AB84" s="360">
        <f t="shared" si="83"/>
        <v>6</v>
      </c>
      <c r="AC84" s="360">
        <f>AB84</f>
        <v>6</v>
      </c>
      <c r="AD84" s="360">
        <f>AC84</f>
        <v>6</v>
      </c>
      <c r="AE84" s="360">
        <f>AD84</f>
        <v>6</v>
      </c>
    </row>
    <row r="85" spans="1:31" hidden="1" outlineLevel="2">
      <c r="B85" s="492" t="s">
        <v>373</v>
      </c>
      <c r="C85" s="11"/>
      <c r="D85" s="371"/>
      <c r="J85" s="5">
        <f t="shared" ref="J85:AE85" si="84">J34</f>
        <v>2488.2821778608636</v>
      </c>
      <c r="K85" s="5">
        <f t="shared" si="84"/>
        <v>2792.9697914764802</v>
      </c>
      <c r="L85" s="5">
        <f t="shared" si="84"/>
        <v>3134.9660924735999</v>
      </c>
      <c r="M85" s="5">
        <f t="shared" si="84"/>
        <v>3518.8394915520012</v>
      </c>
      <c r="N85" s="5">
        <f t="shared" si="84"/>
        <v>3949.7177966400013</v>
      </c>
      <c r="O85" s="5">
        <f t="shared" si="84"/>
        <v>4230.1477602014411</v>
      </c>
      <c r="P85" s="5">
        <f t="shared" si="84"/>
        <v>4530.4882511757451</v>
      </c>
      <c r="Q85" s="5">
        <f t="shared" si="84"/>
        <v>4158.9882145793335</v>
      </c>
      <c r="R85" s="5">
        <f t="shared" si="84"/>
        <v>3817.9511809838291</v>
      </c>
      <c r="S85" s="5">
        <f>S34</f>
        <v>3504.8791841431548</v>
      </c>
      <c r="T85" s="5">
        <f t="shared" si="84"/>
        <v>3217.4790910434162</v>
      </c>
      <c r="U85" s="5">
        <f t="shared" si="84"/>
        <v>2953.6458055778567</v>
      </c>
      <c r="V85" s="5">
        <f t="shared" si="84"/>
        <v>2711.4468495204728</v>
      </c>
      <c r="W85" s="5">
        <f t="shared" si="84"/>
        <v>2489.1082078597942</v>
      </c>
      <c r="X85" s="5">
        <f t="shared" si="84"/>
        <v>2285.0013348152911</v>
      </c>
      <c r="Y85" s="5">
        <f t="shared" si="84"/>
        <v>2097.6312253604369</v>
      </c>
      <c r="Z85" s="5">
        <f t="shared" si="84"/>
        <v>1925.6254648808813</v>
      </c>
      <c r="AA85" s="5">
        <f t="shared" si="84"/>
        <v>1767.7241767606492</v>
      </c>
      <c r="AB85" s="5">
        <f t="shared" si="84"/>
        <v>1622.770794266276</v>
      </c>
      <c r="AC85" s="5">
        <f>AC34</f>
        <v>331.04524203032037</v>
      </c>
      <c r="AD85" s="5">
        <f t="shared" si="84"/>
        <v>67.533229374185353</v>
      </c>
      <c r="AE85" s="5">
        <f t="shared" si="84"/>
        <v>13.776778792333813</v>
      </c>
    </row>
    <row r="86" spans="1:31" hidden="1" outlineLevel="2">
      <c r="B86" s="492" t="s">
        <v>374</v>
      </c>
      <c r="C86" s="11"/>
      <c r="D86" s="371"/>
      <c r="J86" s="24">
        <f>J85*J84*J80/1000000</f>
        <v>58.726762777922637</v>
      </c>
      <c r="K86" s="24">
        <f>K85*K84*K80/1000000</f>
        <v>83.015223021215277</v>
      </c>
      <c r="L86" s="24">
        <f>L85*L84*L80/1000000</f>
        <v>110.97779967356543</v>
      </c>
      <c r="M86" s="24">
        <f>M85*M84*M80/1000000</f>
        <v>123.63266611593379</v>
      </c>
      <c r="N86" s="24">
        <f>N85*N84*N80/1000000</f>
        <v>136.16939692743472</v>
      </c>
      <c r="O86" s="24">
        <f t="shared" ref="O86:T86" si="85">O85*O84*O80/1000000</f>
        <v>144.37904986818972</v>
      </c>
      <c r="P86" s="24">
        <f t="shared" si="85"/>
        <v>153.08366278474293</v>
      </c>
      <c r="Q86" s="24">
        <f t="shared" si="85"/>
        <v>139.12549441203006</v>
      </c>
      <c r="R86" s="24">
        <f t="shared" si="85"/>
        <v>120.054171638029</v>
      </c>
      <c r="S86" s="24">
        <f t="shared" si="85"/>
        <v>106.9034376767993</v>
      </c>
      <c r="T86" s="24">
        <f t="shared" si="85"/>
        <v>96.665295450492238</v>
      </c>
      <c r="U86" s="152">
        <f>U85*U84*U80/1000000</f>
        <v>87.407660105198602</v>
      </c>
      <c r="V86" s="152">
        <f t="shared" ref="V86:AA86" si="86">V85*V84*V80/1000000</f>
        <v>79.03662849692374</v>
      </c>
      <c r="W86" s="152">
        <f t="shared" si="86"/>
        <v>71.46729058577337</v>
      </c>
      <c r="X86" s="152">
        <f t="shared" si="86"/>
        <v>64.622868166373848</v>
      </c>
      <c r="Y86" s="152">
        <f t="shared" si="86"/>
        <v>58.433936082080216</v>
      </c>
      <c r="Z86" s="152">
        <f t="shared" si="86"/>
        <v>52.837718023499406</v>
      </c>
      <c r="AA86" s="152">
        <f t="shared" si="86"/>
        <v>47.77744976838887</v>
      </c>
      <c r="AB86" s="152">
        <f>AB85*AB84*AB80/1000000</f>
        <v>43.201803404070269</v>
      </c>
      <c r="AC86" s="152">
        <f>AC85*AC84*AC80/1000000</f>
        <v>8.6809703760138817</v>
      </c>
      <c r="AD86" s="152">
        <f>AD85*AD84*AD80/1000000</f>
        <v>1.7443541873562294</v>
      </c>
      <c r="AE86" s="152">
        <f>AE85*AE84*AE80/1000000</f>
        <v>0.35051053040736069</v>
      </c>
    </row>
    <row r="87" spans="1:31" hidden="1" outlineLevel="2">
      <c r="B87" s="492"/>
      <c r="C87" s="11"/>
      <c r="D87" s="371"/>
      <c r="J87" s="152"/>
    </row>
    <row r="88" spans="1:31" hidden="1" outlineLevel="2">
      <c r="B88" s="492" t="s">
        <v>42</v>
      </c>
      <c r="C88" s="11"/>
      <c r="D88" s="371"/>
      <c r="J88">
        <f>J92-J84</f>
        <v>6</v>
      </c>
      <c r="K88">
        <f>K92-K84</f>
        <v>10</v>
      </c>
      <c r="L88">
        <f>L92-L84</f>
        <v>14</v>
      </c>
      <c r="M88">
        <f>M92-M84</f>
        <v>23</v>
      </c>
      <c r="N88">
        <f>N92-N84</f>
        <v>24</v>
      </c>
      <c r="O88">
        <f t="shared" ref="O88:T88" si="87">O92-O84</f>
        <v>24</v>
      </c>
      <c r="P88">
        <f t="shared" si="87"/>
        <v>26</v>
      </c>
      <c r="Q88">
        <f t="shared" si="87"/>
        <v>27</v>
      </c>
      <c r="R88">
        <f t="shared" si="87"/>
        <v>28</v>
      </c>
      <c r="S88">
        <f t="shared" si="87"/>
        <v>28</v>
      </c>
      <c r="T88">
        <f t="shared" si="87"/>
        <v>28</v>
      </c>
      <c r="U88" s="13">
        <f>U92-U84</f>
        <v>28</v>
      </c>
      <c r="V88" s="13">
        <f t="shared" ref="V88:AA88" si="88">V92-V84</f>
        <v>28</v>
      </c>
      <c r="W88" s="13">
        <f t="shared" si="88"/>
        <v>28</v>
      </c>
      <c r="X88" s="13">
        <f t="shared" si="88"/>
        <v>28</v>
      </c>
      <c r="Y88" s="13">
        <f t="shared" si="88"/>
        <v>28</v>
      </c>
      <c r="Z88" s="13">
        <f t="shared" si="88"/>
        <v>28</v>
      </c>
      <c r="AA88" s="13">
        <f t="shared" si="88"/>
        <v>28</v>
      </c>
      <c r="AB88" s="13">
        <f>AB92-AB84</f>
        <v>28</v>
      </c>
      <c r="AC88" s="13">
        <f>AC92-AC84</f>
        <v>28</v>
      </c>
      <c r="AD88" s="13">
        <f>AD92-AD84</f>
        <v>28</v>
      </c>
      <c r="AE88" s="13">
        <f>AE92-AE84</f>
        <v>28</v>
      </c>
    </row>
    <row r="89" spans="1:31" hidden="1" outlineLevel="3">
      <c r="B89" s="538" t="s">
        <v>463</v>
      </c>
      <c r="C89" s="490"/>
      <c r="D89" s="482"/>
      <c r="E89" s="481"/>
      <c r="F89" s="481"/>
      <c r="G89" s="481"/>
      <c r="H89" s="481"/>
      <c r="I89" s="481"/>
      <c r="J89" s="481"/>
      <c r="K89" s="481"/>
      <c r="L89" s="481"/>
      <c r="M89" s="481"/>
      <c r="N89" s="481"/>
      <c r="O89" s="506">
        <f>O90</f>
        <v>30</v>
      </c>
      <c r="P89" s="506">
        <f>P90+1</f>
        <v>33</v>
      </c>
      <c r="Q89" s="506">
        <f>P89+1</f>
        <v>34</v>
      </c>
      <c r="R89" s="506">
        <f>Q89+1</f>
        <v>35</v>
      </c>
      <c r="S89" s="506">
        <f>R89+1</f>
        <v>36</v>
      </c>
      <c r="T89" s="506">
        <f>S89+1</f>
        <v>37</v>
      </c>
      <c r="U89" s="506">
        <f>T89+1</f>
        <v>38</v>
      </c>
      <c r="V89" s="506">
        <f>U89</f>
        <v>38</v>
      </c>
      <c r="W89" s="506">
        <f t="shared" ref="W89:AB89" si="89">V89</f>
        <v>38</v>
      </c>
      <c r="X89" s="506">
        <f t="shared" si="89"/>
        <v>38</v>
      </c>
      <c r="Y89" s="506">
        <f t="shared" si="89"/>
        <v>38</v>
      </c>
      <c r="Z89" s="506">
        <f t="shared" si="89"/>
        <v>38</v>
      </c>
      <c r="AA89" s="506">
        <f t="shared" si="89"/>
        <v>38</v>
      </c>
      <c r="AB89" s="506">
        <f t="shared" si="89"/>
        <v>38</v>
      </c>
      <c r="AC89" s="506">
        <f t="shared" ref="AC89:AE90" si="90">AB89</f>
        <v>38</v>
      </c>
      <c r="AD89" s="506">
        <f t="shared" si="90"/>
        <v>38</v>
      </c>
      <c r="AE89" s="506">
        <f t="shared" si="90"/>
        <v>38</v>
      </c>
    </row>
    <row r="90" spans="1:31" hidden="1" outlineLevel="3">
      <c r="B90" s="538" t="s">
        <v>464</v>
      </c>
      <c r="C90" s="490"/>
      <c r="D90" s="482"/>
      <c r="E90" s="481"/>
      <c r="F90" s="481"/>
      <c r="G90" s="481"/>
      <c r="H90" s="481"/>
      <c r="I90" s="481"/>
      <c r="J90" s="481"/>
      <c r="K90" s="481"/>
      <c r="L90" s="481"/>
      <c r="M90" s="481"/>
      <c r="N90" s="481"/>
      <c r="O90" s="507">
        <f>N92</f>
        <v>30</v>
      </c>
      <c r="P90" s="507">
        <v>32</v>
      </c>
      <c r="Q90" s="507">
        <v>33</v>
      </c>
      <c r="R90" s="507">
        <v>34</v>
      </c>
      <c r="S90" s="507">
        <f>R90</f>
        <v>34</v>
      </c>
      <c r="T90" s="507">
        <f>S90</f>
        <v>34</v>
      </c>
      <c r="U90" s="507">
        <f>T90</f>
        <v>34</v>
      </c>
      <c r="V90" s="507">
        <f t="shared" ref="V90:AB90" si="91">U90</f>
        <v>34</v>
      </c>
      <c r="W90" s="507">
        <f t="shared" si="91"/>
        <v>34</v>
      </c>
      <c r="X90" s="507">
        <f t="shared" si="91"/>
        <v>34</v>
      </c>
      <c r="Y90" s="507">
        <f t="shared" si="91"/>
        <v>34</v>
      </c>
      <c r="Z90" s="507">
        <f t="shared" si="91"/>
        <v>34</v>
      </c>
      <c r="AA90" s="507">
        <f t="shared" si="91"/>
        <v>34</v>
      </c>
      <c r="AB90" s="507">
        <f t="shared" si="91"/>
        <v>34</v>
      </c>
      <c r="AC90" s="507">
        <f t="shared" si="90"/>
        <v>34</v>
      </c>
      <c r="AD90" s="507">
        <f t="shared" si="90"/>
        <v>34</v>
      </c>
      <c r="AE90" s="507">
        <f t="shared" si="90"/>
        <v>34</v>
      </c>
    </row>
    <row r="91" spans="1:31" hidden="1" outlineLevel="3">
      <c r="B91" s="538" t="s">
        <v>462</v>
      </c>
      <c r="C91" s="490"/>
      <c r="D91" s="482"/>
      <c r="E91" s="481"/>
      <c r="F91" s="481"/>
      <c r="G91" s="481"/>
      <c r="H91" s="481"/>
      <c r="I91" s="481"/>
      <c r="J91" s="481"/>
      <c r="K91" s="481"/>
      <c r="L91" s="481"/>
      <c r="M91" s="481"/>
      <c r="N91" s="481"/>
      <c r="O91" s="506">
        <f t="shared" ref="O91:U91" si="92">O90</f>
        <v>30</v>
      </c>
      <c r="P91" s="506">
        <f t="shared" si="92"/>
        <v>32</v>
      </c>
      <c r="Q91" s="506">
        <f t="shared" si="92"/>
        <v>33</v>
      </c>
      <c r="R91" s="506">
        <f t="shared" si="92"/>
        <v>34</v>
      </c>
      <c r="S91" s="506">
        <f t="shared" si="92"/>
        <v>34</v>
      </c>
      <c r="T91" s="506">
        <f t="shared" si="92"/>
        <v>34</v>
      </c>
      <c r="U91" s="506">
        <f t="shared" si="92"/>
        <v>34</v>
      </c>
      <c r="V91" s="506">
        <f t="shared" ref="V91:AE91" si="93">V90</f>
        <v>34</v>
      </c>
      <c r="W91" s="506">
        <f t="shared" si="93"/>
        <v>34</v>
      </c>
      <c r="X91" s="506">
        <f t="shared" si="93"/>
        <v>34</v>
      </c>
      <c r="Y91" s="506">
        <f t="shared" si="93"/>
        <v>34</v>
      </c>
      <c r="Z91" s="506">
        <f t="shared" si="93"/>
        <v>34</v>
      </c>
      <c r="AA91" s="506">
        <f t="shared" si="93"/>
        <v>34</v>
      </c>
      <c r="AB91" s="506">
        <f t="shared" si="93"/>
        <v>34</v>
      </c>
      <c r="AC91" s="506">
        <f t="shared" si="93"/>
        <v>34</v>
      </c>
      <c r="AD91" s="506">
        <f t="shared" si="93"/>
        <v>34</v>
      </c>
      <c r="AE91" s="506">
        <f t="shared" si="93"/>
        <v>34</v>
      </c>
    </row>
    <row r="92" spans="1:31" hidden="1" outlineLevel="2">
      <c r="A92" s="485" t="s">
        <v>78</v>
      </c>
      <c r="B92" s="487" t="s">
        <v>369</v>
      </c>
      <c r="C92" s="490"/>
      <c r="D92" s="482"/>
      <c r="E92" s="481"/>
      <c r="F92" s="481"/>
      <c r="G92" s="481"/>
      <c r="H92" s="481"/>
      <c r="I92" s="507">
        <v>15</v>
      </c>
      <c r="J92" s="507">
        <v>10</v>
      </c>
      <c r="K92" s="507">
        <v>15</v>
      </c>
      <c r="L92" s="507">
        <v>20</v>
      </c>
      <c r="M92" s="507">
        <v>29</v>
      </c>
      <c r="N92" s="507">
        <v>30</v>
      </c>
      <c r="O92" s="508">
        <f t="shared" ref="O92:AE92" si="94">CHOOSE($J$1,O89,O90,O91)</f>
        <v>30</v>
      </c>
      <c r="P92" s="508">
        <f t="shared" si="94"/>
        <v>32</v>
      </c>
      <c r="Q92" s="508">
        <f t="shared" si="94"/>
        <v>33</v>
      </c>
      <c r="R92" s="508">
        <f t="shared" si="94"/>
        <v>34</v>
      </c>
      <c r="S92" s="508">
        <f t="shared" si="94"/>
        <v>34</v>
      </c>
      <c r="T92" s="508">
        <f t="shared" si="94"/>
        <v>34</v>
      </c>
      <c r="U92" s="508">
        <f t="shared" si="94"/>
        <v>34</v>
      </c>
      <c r="V92" s="508">
        <f t="shared" si="94"/>
        <v>34</v>
      </c>
      <c r="W92" s="508">
        <f t="shared" si="94"/>
        <v>34</v>
      </c>
      <c r="X92" s="508">
        <f t="shared" si="94"/>
        <v>34</v>
      </c>
      <c r="Y92" s="508">
        <f t="shared" si="94"/>
        <v>34</v>
      </c>
      <c r="Z92" s="508">
        <f t="shared" si="94"/>
        <v>34</v>
      </c>
      <c r="AA92" s="508">
        <f t="shared" si="94"/>
        <v>34</v>
      </c>
      <c r="AB92" s="508">
        <f t="shared" si="94"/>
        <v>34</v>
      </c>
      <c r="AC92" s="508">
        <f t="shared" si="94"/>
        <v>34</v>
      </c>
      <c r="AD92" s="508">
        <f t="shared" si="94"/>
        <v>34</v>
      </c>
      <c r="AE92" s="508">
        <f t="shared" si="94"/>
        <v>34</v>
      </c>
    </row>
    <row r="93" spans="1:31" hidden="1" outlineLevel="2">
      <c r="B93" s="16" t="s">
        <v>49</v>
      </c>
      <c r="C93" s="16"/>
      <c r="D93" s="371"/>
      <c r="J93">
        <f>IF(J92&lt;6,J92,6)</f>
        <v>6</v>
      </c>
      <c r="K93">
        <f>IF(K92&lt;6,K92,6)</f>
        <v>6</v>
      </c>
      <c r="L93">
        <f>IF(L92&lt;6,L92,6)</f>
        <v>6</v>
      </c>
      <c r="M93">
        <f>IF(M92&lt;6,M92,6)</f>
        <v>6</v>
      </c>
      <c r="N93">
        <f>IF(N92&lt;6,N92,6)</f>
        <v>6</v>
      </c>
      <c r="O93">
        <f t="shared" ref="O93:T93" si="95">IF(O92&lt;6,O92,6)</f>
        <v>6</v>
      </c>
      <c r="P93">
        <f t="shared" si="95"/>
        <v>6</v>
      </c>
      <c r="Q93">
        <f t="shared" si="95"/>
        <v>6</v>
      </c>
      <c r="R93">
        <f t="shared" si="95"/>
        <v>6</v>
      </c>
      <c r="S93">
        <f t="shared" si="95"/>
        <v>6</v>
      </c>
      <c r="T93">
        <f t="shared" si="95"/>
        <v>6</v>
      </c>
      <c r="U93">
        <f>IF(U92&lt;6,U92,6)</f>
        <v>6</v>
      </c>
      <c r="V93">
        <f t="shared" ref="V93:AE93" si="96">IF(V92&lt;6,V92,6)</f>
        <v>6</v>
      </c>
      <c r="W93">
        <f t="shared" si="96"/>
        <v>6</v>
      </c>
      <c r="X93">
        <f t="shared" si="96"/>
        <v>6</v>
      </c>
      <c r="Y93">
        <f t="shared" si="96"/>
        <v>6</v>
      </c>
      <c r="Z93">
        <f t="shared" si="96"/>
        <v>6</v>
      </c>
      <c r="AA93">
        <f t="shared" si="96"/>
        <v>6</v>
      </c>
      <c r="AB93">
        <f t="shared" si="96"/>
        <v>6</v>
      </c>
      <c r="AC93">
        <f t="shared" si="96"/>
        <v>6</v>
      </c>
      <c r="AD93">
        <f t="shared" si="96"/>
        <v>6</v>
      </c>
      <c r="AE93">
        <f t="shared" si="96"/>
        <v>6</v>
      </c>
    </row>
    <row r="94" spans="1:31" hidden="1" outlineLevel="2">
      <c r="B94" s="509" t="s">
        <v>375</v>
      </c>
      <c r="C94" s="16"/>
      <c r="D94" s="371"/>
      <c r="J94">
        <f>IF(J92&gt;24,12,IF(J92&gt;12,J92-12,0))</f>
        <v>0</v>
      </c>
      <c r="K94">
        <f>IF(K92&gt;24,12,IF(K92&gt;12,K92-12,0))</f>
        <v>3</v>
      </c>
      <c r="L94">
        <f>IF(L92&gt;24,12,IF(L92&gt;12,L92-12,0))</f>
        <v>8</v>
      </c>
      <c r="M94">
        <f>IF(M92&gt;24,12,IF(M92&gt;12,M92-12,0))</f>
        <v>12</v>
      </c>
      <c r="N94">
        <f>IF(N92&gt;24,12,IF(N92&gt;12,N92-12,0))</f>
        <v>12</v>
      </c>
      <c r="O94">
        <f t="shared" ref="O94:T94" si="97">IF(O92&gt;24,12,IF(O92&gt;12,O92-12,0))</f>
        <v>12</v>
      </c>
      <c r="P94">
        <f t="shared" si="97"/>
        <v>12</v>
      </c>
      <c r="Q94">
        <f t="shared" si="97"/>
        <v>12</v>
      </c>
      <c r="R94">
        <f t="shared" si="97"/>
        <v>12</v>
      </c>
      <c r="S94">
        <f t="shared" si="97"/>
        <v>12</v>
      </c>
      <c r="T94">
        <f t="shared" si="97"/>
        <v>12</v>
      </c>
      <c r="U94">
        <f>IF(U92&gt;24,12,IF(U92&gt;12,U92-12,0))</f>
        <v>12</v>
      </c>
      <c r="V94">
        <f t="shared" ref="V94:AE94" si="98">IF(V92&gt;24,12,IF(V92&gt;12,V92-12,0))</f>
        <v>12</v>
      </c>
      <c r="W94">
        <f t="shared" si="98"/>
        <v>12</v>
      </c>
      <c r="X94">
        <f t="shared" si="98"/>
        <v>12</v>
      </c>
      <c r="Y94">
        <f t="shared" si="98"/>
        <v>12</v>
      </c>
      <c r="Z94">
        <f t="shared" si="98"/>
        <v>12</v>
      </c>
      <c r="AA94">
        <f t="shared" si="98"/>
        <v>12</v>
      </c>
      <c r="AB94">
        <f t="shared" si="98"/>
        <v>12</v>
      </c>
      <c r="AC94">
        <f t="shared" si="98"/>
        <v>12</v>
      </c>
      <c r="AD94">
        <f t="shared" si="98"/>
        <v>12</v>
      </c>
      <c r="AE94">
        <f t="shared" si="98"/>
        <v>12</v>
      </c>
    </row>
    <row r="95" spans="1:31" hidden="1" outlineLevel="2">
      <c r="B95" s="509" t="s">
        <v>384</v>
      </c>
      <c r="C95" s="16"/>
      <c r="D95" s="371"/>
      <c r="J95">
        <f>IF(J92&gt;36,12,IF(J92&gt;24,J92-24,0))</f>
        <v>0</v>
      </c>
      <c r="K95">
        <f>IF(K92&gt;36,12,IF(K92&gt;24,K92-24,0))</f>
        <v>0</v>
      </c>
      <c r="L95">
        <f>IF(L92&gt;36,12,IF(L92&gt;24,L92-24,0))</f>
        <v>0</v>
      </c>
      <c r="M95">
        <f>IF(M92&gt;36,12,IF(M92&gt;24,M92-24,0))</f>
        <v>5</v>
      </c>
      <c r="N95">
        <f>IF(N92&gt;36,12,IF(N92&gt;24,N92-24,0))</f>
        <v>6</v>
      </c>
      <c r="O95">
        <f t="shared" ref="O95:T95" si="99">IF(O92&gt;36,12,IF(O92&gt;24,O92-24,0))</f>
        <v>6</v>
      </c>
      <c r="P95">
        <f t="shared" si="99"/>
        <v>8</v>
      </c>
      <c r="Q95">
        <f t="shared" si="99"/>
        <v>9</v>
      </c>
      <c r="R95">
        <f t="shared" si="99"/>
        <v>10</v>
      </c>
      <c r="S95">
        <f t="shared" si="99"/>
        <v>10</v>
      </c>
      <c r="T95">
        <f t="shared" si="99"/>
        <v>10</v>
      </c>
      <c r="U95">
        <f>IF(U92&gt;36,12,IF(U92&gt;24,U92-24,0))</f>
        <v>10</v>
      </c>
      <c r="V95">
        <f t="shared" ref="V95:AE95" si="100">IF(V92&gt;36,12,IF(V92&gt;24,V92-24,0))</f>
        <v>10</v>
      </c>
      <c r="W95">
        <f t="shared" si="100"/>
        <v>10</v>
      </c>
      <c r="X95">
        <f t="shared" si="100"/>
        <v>10</v>
      </c>
      <c r="Y95">
        <f t="shared" si="100"/>
        <v>10</v>
      </c>
      <c r="Z95">
        <f t="shared" si="100"/>
        <v>10</v>
      </c>
      <c r="AA95">
        <f t="shared" si="100"/>
        <v>10</v>
      </c>
      <c r="AB95">
        <f t="shared" si="100"/>
        <v>10</v>
      </c>
      <c r="AC95">
        <f t="shared" si="100"/>
        <v>10</v>
      </c>
      <c r="AD95">
        <f t="shared" si="100"/>
        <v>10</v>
      </c>
      <c r="AE95">
        <f t="shared" si="100"/>
        <v>10</v>
      </c>
    </row>
    <row r="96" spans="1:31" hidden="1" outlineLevel="2">
      <c r="B96" s="492" t="s">
        <v>376</v>
      </c>
      <c r="C96" s="16"/>
      <c r="D96" s="371"/>
      <c r="I96" s="5">
        <f t="shared" ref="I96:T96" si="101">I40</f>
        <v>219.46648808732823</v>
      </c>
      <c r="J96" s="5">
        <f t="shared" si="101"/>
        <v>646.95336624382446</v>
      </c>
      <c r="K96" s="5">
        <f t="shared" si="101"/>
        <v>865.82063535770874</v>
      </c>
      <c r="L96" s="5">
        <f t="shared" si="101"/>
        <v>1034.5388105162879</v>
      </c>
      <c r="M96" s="5">
        <f t="shared" si="101"/>
        <v>1196.4054271276802</v>
      </c>
      <c r="N96" s="5">
        <f t="shared" si="101"/>
        <v>1382.4012288240003</v>
      </c>
      <c r="O96" s="5">
        <f t="shared" si="101"/>
        <v>1524.9682675526194</v>
      </c>
      <c r="P96" s="5">
        <f t="shared" si="101"/>
        <v>1959.8892174586272</v>
      </c>
      <c r="Q96" s="5">
        <f t="shared" si="101"/>
        <v>1954.7244608522867</v>
      </c>
      <c r="R96" s="5">
        <f t="shared" si="101"/>
        <v>1870.7960786820763</v>
      </c>
      <c r="S96" s="5">
        <f t="shared" si="101"/>
        <v>1734.5647082324474</v>
      </c>
      <c r="T96" s="5">
        <f t="shared" si="101"/>
        <v>1608.2537061789606</v>
      </c>
      <c r="U96" s="5">
        <f>U40</f>
        <v>1491.1406712950088</v>
      </c>
      <c r="V96" s="5">
        <f t="shared" ref="V96:AE96" si="102">V40</f>
        <v>1382.5558076113066</v>
      </c>
      <c r="W96" s="5">
        <f t="shared" si="102"/>
        <v>1281.8780937010513</v>
      </c>
      <c r="X96" s="5">
        <f t="shared" si="102"/>
        <v>1188.5317309177408</v>
      </c>
      <c r="Y96" s="5">
        <f t="shared" si="102"/>
        <v>1101.9828502723108</v>
      </c>
      <c r="Z96" s="5">
        <f t="shared" si="102"/>
        <v>1021.7364591154814</v>
      </c>
      <c r="AA96" s="5">
        <f t="shared" si="102"/>
        <v>947.33361016269203</v>
      </c>
      <c r="AB96" s="5">
        <f t="shared" si="102"/>
        <v>878.34877667064495</v>
      </c>
      <c r="AC96" s="5">
        <f t="shared" si="102"/>
        <v>180.97498194521972</v>
      </c>
      <c r="AD96" s="5">
        <f t="shared" si="102"/>
        <v>37.288085279993076</v>
      </c>
      <c r="AE96" s="5">
        <f t="shared" si="102"/>
        <v>7.6828370910897732</v>
      </c>
    </row>
    <row r="97" spans="1:33" hidden="1" outlineLevel="2">
      <c r="B97" s="492" t="s">
        <v>377</v>
      </c>
      <c r="C97" s="16"/>
      <c r="D97" s="371"/>
      <c r="J97" s="24">
        <f>(J96*J93+I96*I94+H95*H96)*J80/1000000</f>
        <v>22.903437483389826</v>
      </c>
      <c r="K97" s="24">
        <f>(K96*K93+J96*J94+I95*I96)*K80/1000000</f>
        <v>30.881662963892076</v>
      </c>
      <c r="L97" s="24">
        <f>(L96*L93+K96*K94+J95*J96)*L80/1000000</f>
        <v>51.947699138108035</v>
      </c>
      <c r="M97" s="24">
        <f>(M96*M93+L96*L94+K95*K96)*M80/1000000</f>
        <v>90.499111596863514</v>
      </c>
      <c r="N97" s="24">
        <f>(N96*N93+M96*M94+L95*L96)*N80/1000000</f>
        <v>130.15318539045896</v>
      </c>
      <c r="O97" s="24">
        <f t="shared" ref="O97:T97" si="103">(O96*O93+N96*N94+M95*M96)*O80/1000000</f>
        <v>180.44277184036059</v>
      </c>
      <c r="P97" s="24">
        <f t="shared" si="103"/>
        <v>215.9911836010975</v>
      </c>
      <c r="Q97" s="24">
        <f t="shared" si="103"/>
        <v>247.52536695728057</v>
      </c>
      <c r="R97" s="24">
        <f t="shared" si="103"/>
        <v>263.9285608847635</v>
      </c>
      <c r="S97" s="24">
        <f t="shared" si="103"/>
        <v>256.46251805780508</v>
      </c>
      <c r="T97" s="24">
        <f t="shared" si="103"/>
        <v>246.22024781037803</v>
      </c>
      <c r="U97" s="152">
        <f>(U96*U93+T96*T94+S95*S96)*U80/1000000</f>
        <v>224.86613202435393</v>
      </c>
      <c r="V97" s="152">
        <f>(V96*V93+U96*U94+T95*T96)*V80/1000000</f>
        <v>205.36400958598537</v>
      </c>
      <c r="W97" s="152">
        <f t="shared" ref="W97:AB97" si="104">(W96*W93+V96*V94+U95*U96)*W80/1000000</f>
        <v>187.55326137181493</v>
      </c>
      <c r="X97" s="152">
        <f t="shared" si="104"/>
        <v>171.2871983855386</v>
      </c>
      <c r="Y97" s="152">
        <f t="shared" si="104"/>
        <v>156.43185363011716</v>
      </c>
      <c r="Z97" s="152">
        <f t="shared" si="104"/>
        <v>142.86487875804042</v>
      </c>
      <c r="AA97" s="152">
        <f t="shared" si="104"/>
        <v>130.47453641257673</v>
      </c>
      <c r="AB97" s="152">
        <f t="shared" si="104"/>
        <v>119.15877996094771</v>
      </c>
      <c r="AC97" s="152">
        <f>(AC96*AC93+AB96*AB94+AA95*AA96)*AC80/1000000</f>
        <v>92.214494208467187</v>
      </c>
      <c r="AD97" s="152">
        <f>(AD96*AD93+AC96*AC94+AB95*AB96)*AD80/1000000</f>
        <v>48.124430059796012</v>
      </c>
      <c r="AE97" s="152">
        <f>(AE96*AE93+AD96*AD94+AC95*AC96)*AE80/1000000</f>
        <v>9.7668242059775672</v>
      </c>
    </row>
    <row r="98" spans="1:33" s="28" customFormat="1" outlineLevel="1" collapsed="1">
      <c r="B98" s="31" t="s">
        <v>370</v>
      </c>
      <c r="C98" s="31"/>
      <c r="D98" s="29"/>
      <c r="J98" s="30">
        <f t="shared" ref="J98:T98" si="105">(J84*(J34-J40)+J92*J40)/J34</f>
        <v>5.5600000000000005</v>
      </c>
      <c r="K98" s="30">
        <f t="shared" si="105"/>
        <v>8.1000000000000014</v>
      </c>
      <c r="L98" s="30">
        <f t="shared" si="105"/>
        <v>10.619999999999997</v>
      </c>
      <c r="M98" s="30">
        <f t="shared" si="105"/>
        <v>13.819999999999999</v>
      </c>
      <c r="N98" s="30">
        <f t="shared" si="105"/>
        <v>14.4</v>
      </c>
      <c r="O98" s="30">
        <f t="shared" si="105"/>
        <v>14.651999999999999</v>
      </c>
      <c r="P98" s="30">
        <f t="shared" si="105"/>
        <v>17.247599999999998</v>
      </c>
      <c r="Q98" s="30">
        <f t="shared" si="105"/>
        <v>18.689999999999998</v>
      </c>
      <c r="R98" s="30">
        <f t="shared" si="105"/>
        <v>19.720000000000002</v>
      </c>
      <c r="S98" s="30">
        <f t="shared" si="105"/>
        <v>19.857199999999999</v>
      </c>
      <c r="T98" s="30">
        <f t="shared" si="105"/>
        <v>19.995771999999999</v>
      </c>
      <c r="U98" s="30">
        <f>(U84*(U34-U40)+U92*U40)/U34</f>
        <v>20.13572972</v>
      </c>
      <c r="V98" s="30">
        <f t="shared" ref="V98:AE98" si="106">(V84*(V34-V40)+V92*V40)/V34</f>
        <v>20.277087017200003</v>
      </c>
      <c r="W98" s="30">
        <f t="shared" si="106"/>
        <v>20.419857887372</v>
      </c>
      <c r="X98" s="30">
        <f t="shared" si="106"/>
        <v>20.56405646624572</v>
      </c>
      <c r="Y98" s="30">
        <f t="shared" si="106"/>
        <v>20.709697030908178</v>
      </c>
      <c r="Z98" s="30">
        <f t="shared" si="106"/>
        <v>20.856794001217263</v>
      </c>
      <c r="AA98" s="30">
        <f t="shared" si="106"/>
        <v>21.005361941229435</v>
      </c>
      <c r="AB98" s="30">
        <f t="shared" si="106"/>
        <v>21.155415560641728</v>
      </c>
      <c r="AC98" s="30">
        <f t="shared" si="106"/>
        <v>21.306969716248148</v>
      </c>
      <c r="AD98" s="30">
        <f t="shared" si="106"/>
        <v>21.460039413410634</v>
      </c>
      <c r="AE98" s="30">
        <f t="shared" si="106"/>
        <v>21.614639807544734</v>
      </c>
    </row>
    <row r="99" spans="1:33" outlineLevel="1">
      <c r="B99" s="148" t="s">
        <v>43</v>
      </c>
      <c r="C99" s="148"/>
      <c r="D99" s="149"/>
      <c r="E99" s="25"/>
      <c r="F99" s="25"/>
      <c r="G99" s="25"/>
      <c r="H99" s="25"/>
      <c r="I99" s="25"/>
      <c r="J99" s="151">
        <f>J97+J86</f>
        <v>81.630200261312467</v>
      </c>
      <c r="K99" s="151">
        <f>K97+K86</f>
        <v>113.89688598510736</v>
      </c>
      <c r="L99" s="151">
        <f>L97+L86</f>
        <v>162.92549881167346</v>
      </c>
      <c r="M99" s="151">
        <f>M97+M86</f>
        <v>214.13177771279732</v>
      </c>
      <c r="N99" s="151">
        <f>N97+N86</f>
        <v>266.32258231789365</v>
      </c>
      <c r="O99" s="151">
        <f t="shared" ref="O99:AE99" si="107">O97+O86</f>
        <v>324.82182170855032</v>
      </c>
      <c r="P99" s="151">
        <f t="shared" si="107"/>
        <v>369.07484638584043</v>
      </c>
      <c r="Q99" s="151">
        <f t="shared" si="107"/>
        <v>386.65086136931063</v>
      </c>
      <c r="R99" s="151">
        <f t="shared" si="107"/>
        <v>383.9827325227925</v>
      </c>
      <c r="S99" s="151">
        <f t="shared" si="107"/>
        <v>363.36595573460437</v>
      </c>
      <c r="T99" s="151">
        <f t="shared" si="107"/>
        <v>342.88554326087024</v>
      </c>
      <c r="U99" s="151">
        <f t="shared" si="107"/>
        <v>312.27379212955253</v>
      </c>
      <c r="V99" s="151">
        <f t="shared" si="107"/>
        <v>284.4006380829091</v>
      </c>
      <c r="W99" s="151">
        <f t="shared" si="107"/>
        <v>259.02055195758828</v>
      </c>
      <c r="X99" s="151">
        <f t="shared" si="107"/>
        <v>235.91006655191245</v>
      </c>
      <c r="Y99" s="151">
        <f t="shared" si="107"/>
        <v>214.86578971219737</v>
      </c>
      <c r="Z99" s="151">
        <f t="shared" si="107"/>
        <v>195.70259678153982</v>
      </c>
      <c r="AA99" s="151">
        <f t="shared" si="107"/>
        <v>178.25198618096559</v>
      </c>
      <c r="AB99" s="151">
        <f t="shared" si="107"/>
        <v>162.36058336501799</v>
      </c>
      <c r="AC99" s="151">
        <f t="shared" si="107"/>
        <v>100.89546458448106</v>
      </c>
      <c r="AD99" s="151">
        <f t="shared" si="107"/>
        <v>49.868784247152242</v>
      </c>
      <c r="AE99" s="151">
        <f t="shared" si="107"/>
        <v>10.117334736384928</v>
      </c>
    </row>
    <row r="100" spans="1:33" s="28" customFormat="1" outlineLevel="1">
      <c r="B100"/>
      <c r="C100"/>
      <c r="D100" s="371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3" outlineLevel="1">
      <c r="B101" s="502" t="s">
        <v>371</v>
      </c>
      <c r="C101" s="502"/>
      <c r="D101" s="503"/>
      <c r="E101" s="504"/>
      <c r="F101" s="504"/>
      <c r="G101" s="504"/>
      <c r="H101" s="504"/>
      <c r="I101" s="504"/>
      <c r="J101" s="504"/>
      <c r="K101" s="504"/>
      <c r="L101" s="504"/>
      <c r="M101" s="504"/>
      <c r="N101" s="504"/>
      <c r="O101" s="504"/>
      <c r="P101" s="504"/>
      <c r="Q101" s="504"/>
      <c r="R101" s="504"/>
      <c r="S101" s="504"/>
      <c r="T101" s="504"/>
      <c r="U101" s="504"/>
      <c r="V101" s="504"/>
      <c r="W101" s="504"/>
      <c r="X101" s="504"/>
      <c r="Y101" s="504"/>
      <c r="Z101" s="504"/>
      <c r="AA101" s="504"/>
      <c r="AB101" s="504"/>
      <c r="AC101" s="504"/>
      <c r="AD101" s="504"/>
      <c r="AE101" s="504"/>
    </row>
    <row r="102" spans="1:33" outlineLevel="2">
      <c r="B102" s="11" t="s">
        <v>41</v>
      </c>
      <c r="C102" s="11"/>
      <c r="D102" s="371"/>
      <c r="I102" s="505"/>
      <c r="J102" s="505">
        <v>4</v>
      </c>
      <c r="K102" s="505">
        <v>5</v>
      </c>
      <c r="L102" s="505">
        <v>6</v>
      </c>
      <c r="M102" s="505">
        <v>6</v>
      </c>
      <c r="N102" s="505">
        <v>6</v>
      </c>
      <c r="O102" s="360">
        <f t="shared" ref="O102:U102" si="108">N102</f>
        <v>6</v>
      </c>
      <c r="P102" s="360">
        <f t="shared" si="108"/>
        <v>6</v>
      </c>
      <c r="Q102" s="360">
        <f t="shared" si="108"/>
        <v>6</v>
      </c>
      <c r="R102" s="360">
        <f t="shared" si="108"/>
        <v>6</v>
      </c>
      <c r="S102" s="360">
        <f t="shared" si="108"/>
        <v>6</v>
      </c>
      <c r="T102" s="360">
        <f t="shared" si="108"/>
        <v>6</v>
      </c>
      <c r="U102" s="360">
        <f t="shared" si="108"/>
        <v>6</v>
      </c>
      <c r="V102" s="360">
        <f t="shared" ref="V102:AB102" si="109">U102</f>
        <v>6</v>
      </c>
      <c r="W102" s="360">
        <f t="shared" si="109"/>
        <v>6</v>
      </c>
      <c r="X102" s="360">
        <f t="shared" si="109"/>
        <v>6</v>
      </c>
      <c r="Y102" s="360">
        <f t="shared" si="109"/>
        <v>6</v>
      </c>
      <c r="Z102" s="360">
        <f t="shared" si="109"/>
        <v>6</v>
      </c>
      <c r="AA102" s="360">
        <f t="shared" si="109"/>
        <v>6</v>
      </c>
      <c r="AB102" s="360">
        <f t="shared" si="109"/>
        <v>6</v>
      </c>
      <c r="AC102" s="360">
        <f>AB102</f>
        <v>6</v>
      </c>
      <c r="AD102" s="360">
        <f>AC102</f>
        <v>6</v>
      </c>
      <c r="AE102" s="360">
        <f>AD102</f>
        <v>6</v>
      </c>
    </row>
    <row r="103" spans="1:33" outlineLevel="2">
      <c r="B103" s="492" t="s">
        <v>373</v>
      </c>
      <c r="C103" s="11"/>
      <c r="D103" s="371"/>
      <c r="J103" s="5">
        <f t="shared" ref="J103:AE103" si="110">J53</f>
        <v>2375.1784425035512</v>
      </c>
      <c r="K103" s="5">
        <f t="shared" si="110"/>
        <v>2977.6289512435187</v>
      </c>
      <c r="L103" s="5">
        <f t="shared" si="110"/>
        <v>3179.7176745599995</v>
      </c>
      <c r="M103" s="5">
        <f t="shared" si="110"/>
        <v>3388.8147552</v>
      </c>
      <c r="N103" s="5">
        <f t="shared" si="110"/>
        <v>3678.6959999999999</v>
      </c>
      <c r="O103" s="5">
        <f t="shared" si="110"/>
        <v>3846.0766679999992</v>
      </c>
      <c r="P103" s="5">
        <f t="shared" si="110"/>
        <v>4021.073156393998</v>
      </c>
      <c r="Q103" s="5">
        <f t="shared" si="110"/>
        <v>4204.0319850099258</v>
      </c>
      <c r="R103" s="5">
        <f t="shared" si="110"/>
        <v>4395.3154403278777</v>
      </c>
      <c r="S103" s="5">
        <f t="shared" si="110"/>
        <v>4595.302292862797</v>
      </c>
      <c r="T103" s="5">
        <f t="shared" si="110"/>
        <v>4804.388547188054</v>
      </c>
      <c r="U103" s="5">
        <f t="shared" si="110"/>
        <v>5022.98822608511</v>
      </c>
      <c r="V103" s="5">
        <f t="shared" si="110"/>
        <v>5251.5341903719818</v>
      </c>
      <c r="W103" s="5">
        <f t="shared" si="110"/>
        <v>5490.4789960339067</v>
      </c>
      <c r="X103" s="5">
        <f t="shared" si="110"/>
        <v>5740.2957903534489</v>
      </c>
      <c r="Y103" s="5">
        <f t="shared" si="110"/>
        <v>6001.4792488145304</v>
      </c>
      <c r="Z103" s="5">
        <f t="shared" si="110"/>
        <v>6274.546554635589</v>
      </c>
      <c r="AA103" s="5">
        <f t="shared" si="110"/>
        <v>6560.0384228715093</v>
      </c>
      <c r="AB103" s="5">
        <f t="shared" si="110"/>
        <v>6858.5201711121626</v>
      </c>
      <c r="AC103" s="5">
        <f t="shared" si="110"/>
        <v>7170.5828388977661</v>
      </c>
      <c r="AD103" s="5">
        <f t="shared" si="110"/>
        <v>7496.8443580676121</v>
      </c>
      <c r="AE103" s="5">
        <f t="shared" si="110"/>
        <v>7837.9507763596894</v>
      </c>
    </row>
    <row r="104" spans="1:33" outlineLevel="2">
      <c r="B104" s="492" t="s">
        <v>374</v>
      </c>
      <c r="C104" s="11"/>
      <c r="D104" s="371"/>
      <c r="J104" s="24">
        <f>J103*J102*J80/1000000</f>
        <v>56.057364469835228</v>
      </c>
      <c r="K104" s="24">
        <f>K103*K102*K80/1000000</f>
        <v>88.503832807741844</v>
      </c>
      <c r="L104" s="24">
        <f>L103*L102*L80/1000000</f>
        <v>112.56200567942399</v>
      </c>
      <c r="M104" s="24">
        <f>M103*M102*M80/1000000</f>
        <v>119.06431201657439</v>
      </c>
      <c r="N104" s="24">
        <f>N103*N102*N80/1000000</f>
        <v>126.82572315052499</v>
      </c>
      <c r="O104" s="24">
        <f t="shared" ref="O104:T104" si="111">O103*O102*O80/1000000</f>
        <v>131.27033061833509</v>
      </c>
      <c r="P104" s="24">
        <f t="shared" si="111"/>
        <v>135.87069935485462</v>
      </c>
      <c r="Q104" s="24">
        <f t="shared" si="111"/>
        <v>140.63228801374552</v>
      </c>
      <c r="R104" s="24">
        <f t="shared" si="111"/>
        <v>138.20919369126869</v>
      </c>
      <c r="S104" s="24">
        <f t="shared" si="111"/>
        <v>140.16278064409479</v>
      </c>
      <c r="T104" s="24">
        <f t="shared" si="111"/>
        <v>144.34208435595011</v>
      </c>
      <c r="U104" s="152">
        <f>U103*U102*U80/1000000</f>
        <v>148.64600445623361</v>
      </c>
      <c r="V104" s="152">
        <f t="shared" ref="V104:AA104" si="112">V103*V102*V80/1000000</f>
        <v>153.07825669410732</v>
      </c>
      <c r="W104" s="152">
        <f t="shared" si="112"/>
        <v>157.64266761308386</v>
      </c>
      <c r="X104" s="152">
        <f t="shared" si="112"/>
        <v>162.34317785463699</v>
      </c>
      <c r="Y104" s="152">
        <f t="shared" si="112"/>
        <v>167.18384556031759</v>
      </c>
      <c r="Z104" s="152">
        <f t="shared" si="112"/>
        <v>172.16884987531233</v>
      </c>
      <c r="AA104" s="152">
        <f t="shared" si="112"/>
        <v>177.30249455646947</v>
      </c>
      <c r="AB104" s="152">
        <f>AB103*AB102*AB80/1000000</f>
        <v>182.58921168790698</v>
      </c>
      <c r="AC104" s="152">
        <f>AC103*AC102*AC80/1000000</f>
        <v>188.03356550741114</v>
      </c>
      <c r="AD104" s="152">
        <f>AD103*AD102*AD80/1000000</f>
        <v>193.64025634692837</v>
      </c>
      <c r="AE104" s="152">
        <f>AE103*AE102*AE80/1000000</f>
        <v>199.41412469055288</v>
      </c>
    </row>
    <row r="105" spans="1:33" outlineLevel="2">
      <c r="B105" s="492"/>
      <c r="C105" s="11"/>
      <c r="D105" s="371"/>
      <c r="J105" s="152"/>
    </row>
    <row r="106" spans="1:33" outlineLevel="2">
      <c r="B106" s="492" t="s">
        <v>42</v>
      </c>
      <c r="C106" s="11"/>
      <c r="D106" s="371"/>
      <c r="J106">
        <f>J107-J102</f>
        <v>6</v>
      </c>
      <c r="K106">
        <f>K107-K102</f>
        <v>10</v>
      </c>
      <c r="L106">
        <f>L107-L102</f>
        <v>14</v>
      </c>
      <c r="M106">
        <f>M107-M102</f>
        <v>23</v>
      </c>
      <c r="N106">
        <f>N107-N102</f>
        <v>24</v>
      </c>
      <c r="O106">
        <f t="shared" ref="O106:T106" si="113">O107-O102</f>
        <v>24</v>
      </c>
      <c r="P106">
        <f t="shared" si="113"/>
        <v>26</v>
      </c>
      <c r="Q106">
        <f t="shared" si="113"/>
        <v>27</v>
      </c>
      <c r="R106">
        <f t="shared" si="113"/>
        <v>28</v>
      </c>
      <c r="S106">
        <f t="shared" si="113"/>
        <v>28</v>
      </c>
      <c r="T106">
        <f t="shared" si="113"/>
        <v>28</v>
      </c>
      <c r="U106" s="13">
        <f>U107-U102</f>
        <v>28</v>
      </c>
      <c r="V106" s="13">
        <f t="shared" ref="V106:AE106" si="114">V107-V102</f>
        <v>28</v>
      </c>
      <c r="W106" s="13">
        <f t="shared" si="114"/>
        <v>28</v>
      </c>
      <c r="X106" s="13">
        <f t="shared" si="114"/>
        <v>28</v>
      </c>
      <c r="Y106" s="13">
        <f t="shared" si="114"/>
        <v>28</v>
      </c>
      <c r="Z106" s="13">
        <f t="shared" si="114"/>
        <v>28</v>
      </c>
      <c r="AA106" s="13">
        <f t="shared" si="114"/>
        <v>28</v>
      </c>
      <c r="AB106" s="13">
        <f t="shared" si="114"/>
        <v>28</v>
      </c>
      <c r="AC106" s="13">
        <f t="shared" si="114"/>
        <v>28</v>
      </c>
      <c r="AD106" s="13">
        <f t="shared" si="114"/>
        <v>28</v>
      </c>
      <c r="AE106" s="13">
        <f t="shared" si="114"/>
        <v>28</v>
      </c>
    </row>
    <row r="107" spans="1:33" outlineLevel="2">
      <c r="A107" s="485" t="s">
        <v>78</v>
      </c>
      <c r="B107" s="487" t="s">
        <v>369</v>
      </c>
      <c r="C107" s="490"/>
      <c r="D107" s="482"/>
      <c r="E107" s="481"/>
      <c r="F107" s="481"/>
      <c r="G107" s="481"/>
      <c r="H107" s="481"/>
      <c r="I107" s="507">
        <v>15</v>
      </c>
      <c r="J107" s="507">
        <f>J92</f>
        <v>10</v>
      </c>
      <c r="K107" s="507">
        <f t="shared" ref="K107:AE107" si="115">K92</f>
        <v>15</v>
      </c>
      <c r="L107" s="507">
        <f t="shared" si="115"/>
        <v>20</v>
      </c>
      <c r="M107" s="507">
        <f t="shared" si="115"/>
        <v>29</v>
      </c>
      <c r="N107" s="507">
        <f t="shared" si="115"/>
        <v>30</v>
      </c>
      <c r="O107" s="508">
        <f t="shared" si="115"/>
        <v>30</v>
      </c>
      <c r="P107" s="508">
        <f t="shared" si="115"/>
        <v>32</v>
      </c>
      <c r="Q107" s="508">
        <f t="shared" si="115"/>
        <v>33</v>
      </c>
      <c r="R107" s="508">
        <f t="shared" si="115"/>
        <v>34</v>
      </c>
      <c r="S107" s="508">
        <f t="shared" si="115"/>
        <v>34</v>
      </c>
      <c r="T107" s="508">
        <f t="shared" si="115"/>
        <v>34</v>
      </c>
      <c r="U107" s="508">
        <f t="shared" si="115"/>
        <v>34</v>
      </c>
      <c r="V107" s="508">
        <f>V92</f>
        <v>34</v>
      </c>
      <c r="W107" s="508">
        <f t="shared" si="115"/>
        <v>34</v>
      </c>
      <c r="X107" s="508">
        <f t="shared" si="115"/>
        <v>34</v>
      </c>
      <c r="Y107" s="508">
        <f t="shared" si="115"/>
        <v>34</v>
      </c>
      <c r="Z107" s="508">
        <f t="shared" si="115"/>
        <v>34</v>
      </c>
      <c r="AA107" s="508">
        <f t="shared" si="115"/>
        <v>34</v>
      </c>
      <c r="AB107" s="508">
        <f t="shared" si="115"/>
        <v>34</v>
      </c>
      <c r="AC107" s="508">
        <f t="shared" si="115"/>
        <v>34</v>
      </c>
      <c r="AD107" s="508">
        <f t="shared" si="115"/>
        <v>34</v>
      </c>
      <c r="AE107" s="508">
        <f t="shared" si="115"/>
        <v>34</v>
      </c>
      <c r="AG107" t="s">
        <v>470</v>
      </c>
    </row>
    <row r="108" spans="1:33" outlineLevel="2">
      <c r="B108" s="16" t="s">
        <v>49</v>
      </c>
      <c r="C108" s="16"/>
      <c r="D108" s="371"/>
      <c r="J108">
        <f>IF(J107&lt;6,J107,6)</f>
        <v>6</v>
      </c>
      <c r="K108">
        <f>IF(K107&lt;6,K107,6)</f>
        <v>6</v>
      </c>
      <c r="L108">
        <f>IF(L107&lt;6,L107,6)</f>
        <v>6</v>
      </c>
      <c r="M108">
        <f>IF(M107&lt;6,M107,6)</f>
        <v>6</v>
      </c>
      <c r="N108">
        <f>IF(N107&lt;6,N107,6)</f>
        <v>6</v>
      </c>
      <c r="O108">
        <f t="shared" ref="O108:T108" si="116">IF(O107&lt;6,O107,6)</f>
        <v>6</v>
      </c>
      <c r="P108">
        <f t="shared" si="116"/>
        <v>6</v>
      </c>
      <c r="Q108">
        <f t="shared" si="116"/>
        <v>6</v>
      </c>
      <c r="R108">
        <f t="shared" si="116"/>
        <v>6</v>
      </c>
      <c r="S108">
        <f t="shared" si="116"/>
        <v>6</v>
      </c>
      <c r="T108">
        <f t="shared" si="116"/>
        <v>6</v>
      </c>
      <c r="U108">
        <f>IF(U107&lt;6,U107,6)</f>
        <v>6</v>
      </c>
      <c r="V108">
        <f t="shared" ref="V108:AA108" si="117">IF(V107&lt;6,V107,6)</f>
        <v>6</v>
      </c>
      <c r="W108">
        <f t="shared" si="117"/>
        <v>6</v>
      </c>
      <c r="X108">
        <f t="shared" si="117"/>
        <v>6</v>
      </c>
      <c r="Y108">
        <f t="shared" si="117"/>
        <v>6</v>
      </c>
      <c r="Z108">
        <f t="shared" si="117"/>
        <v>6</v>
      </c>
      <c r="AA108">
        <f t="shared" si="117"/>
        <v>6</v>
      </c>
      <c r="AB108">
        <f>IF(AB107&lt;6,AB107,6)</f>
        <v>6</v>
      </c>
      <c r="AC108">
        <f>IF(AC107&lt;6,AC107,6)</f>
        <v>6</v>
      </c>
      <c r="AD108">
        <f>IF(AD107&lt;6,AD107,6)</f>
        <v>6</v>
      </c>
      <c r="AE108">
        <f>IF(AE107&lt;6,AE107,6)</f>
        <v>6</v>
      </c>
    </row>
    <row r="109" spans="1:33" outlineLevel="2">
      <c r="B109" s="509" t="s">
        <v>375</v>
      </c>
      <c r="C109" s="16"/>
      <c r="D109" s="371"/>
      <c r="J109">
        <f>IF(J107&gt;24,12,IF(J107&gt;12,J107-12,0))</f>
        <v>0</v>
      </c>
      <c r="K109">
        <f>IF(K107&gt;24,12,IF(K107&gt;12,K107-12,0))</f>
        <v>3</v>
      </c>
      <c r="L109">
        <f>IF(L107&gt;24,12,IF(L107&gt;12,L107-12,0))</f>
        <v>8</v>
      </c>
      <c r="M109">
        <f>IF(M107&gt;24,12,IF(M107&gt;12,M107-12,0))</f>
        <v>12</v>
      </c>
      <c r="N109">
        <f>IF(N107&gt;24,12,IF(N107&gt;12,N107-12,0))</f>
        <v>12</v>
      </c>
      <c r="O109">
        <f t="shared" ref="O109:T109" si="118">IF(O107&gt;24,12,IF(O107&gt;12,O107-12,0))</f>
        <v>12</v>
      </c>
      <c r="P109">
        <f t="shared" si="118"/>
        <v>12</v>
      </c>
      <c r="Q109">
        <f t="shared" si="118"/>
        <v>12</v>
      </c>
      <c r="R109">
        <f t="shared" si="118"/>
        <v>12</v>
      </c>
      <c r="S109">
        <f t="shared" si="118"/>
        <v>12</v>
      </c>
      <c r="T109">
        <f t="shared" si="118"/>
        <v>12</v>
      </c>
      <c r="U109">
        <f>IF(U107&gt;24,12,IF(U107&gt;12,U107-12,0))</f>
        <v>12</v>
      </c>
      <c r="V109">
        <f t="shared" ref="V109:AA109" si="119">IF(V107&gt;24,12,IF(V107&gt;12,V107-12,0))</f>
        <v>12</v>
      </c>
      <c r="W109">
        <f t="shared" si="119"/>
        <v>12</v>
      </c>
      <c r="X109">
        <f t="shared" si="119"/>
        <v>12</v>
      </c>
      <c r="Y109">
        <f t="shared" si="119"/>
        <v>12</v>
      </c>
      <c r="Z109">
        <f t="shared" si="119"/>
        <v>12</v>
      </c>
      <c r="AA109">
        <f t="shared" si="119"/>
        <v>12</v>
      </c>
      <c r="AB109">
        <f>IF(AB107&gt;24,12,IF(AB107&gt;12,AB107-12,0))</f>
        <v>12</v>
      </c>
      <c r="AC109">
        <f>IF(AC107&gt;24,12,IF(AC107&gt;12,AC107-12,0))</f>
        <v>12</v>
      </c>
      <c r="AD109">
        <f>IF(AD107&gt;24,12,IF(AD107&gt;12,AD107-12,0))</f>
        <v>12</v>
      </c>
      <c r="AE109">
        <f>IF(AE107&gt;24,12,IF(AE107&gt;12,AE107-12,0))</f>
        <v>12</v>
      </c>
    </row>
    <row r="110" spans="1:33" outlineLevel="2">
      <c r="B110" s="509" t="s">
        <v>384</v>
      </c>
      <c r="C110" s="16"/>
      <c r="D110" s="371"/>
      <c r="J110">
        <f>IF(J107&gt;36,12,IF(J107&gt;24,J107-24,0))</f>
        <v>0</v>
      </c>
      <c r="K110">
        <f>IF(K107&gt;36,12,IF(K107&gt;24,K107-24,0))</f>
        <v>0</v>
      </c>
      <c r="L110">
        <f>IF(L107&gt;36,12,IF(L107&gt;24,L107-24,0))</f>
        <v>0</v>
      </c>
      <c r="M110">
        <f>IF(M107&gt;36,12,IF(M107&gt;24,M107-24,0))</f>
        <v>5</v>
      </c>
      <c r="N110">
        <f>IF(N107&gt;36,12,IF(N107&gt;24,N107-24,0))</f>
        <v>6</v>
      </c>
      <c r="O110">
        <f t="shared" ref="O110:T110" si="120">IF(O107&gt;36,12,IF(O107&gt;24,O107-24,0))</f>
        <v>6</v>
      </c>
      <c r="P110">
        <f t="shared" si="120"/>
        <v>8</v>
      </c>
      <c r="Q110">
        <f t="shared" si="120"/>
        <v>9</v>
      </c>
      <c r="R110">
        <f t="shared" si="120"/>
        <v>10</v>
      </c>
      <c r="S110">
        <f t="shared" si="120"/>
        <v>10</v>
      </c>
      <c r="T110">
        <f t="shared" si="120"/>
        <v>10</v>
      </c>
      <c r="U110">
        <f>IF(U107&gt;36,12,IF(U107&gt;24,U107-24,0))</f>
        <v>10</v>
      </c>
      <c r="V110">
        <f t="shared" ref="V110:AA110" si="121">IF(V107&gt;36,12,IF(V107&gt;24,V107-24,0))</f>
        <v>10</v>
      </c>
      <c r="W110">
        <f t="shared" si="121"/>
        <v>10</v>
      </c>
      <c r="X110">
        <f t="shared" si="121"/>
        <v>10</v>
      </c>
      <c r="Y110">
        <f t="shared" si="121"/>
        <v>10</v>
      </c>
      <c r="Z110">
        <f t="shared" si="121"/>
        <v>10</v>
      </c>
      <c r="AA110">
        <f t="shared" si="121"/>
        <v>10</v>
      </c>
      <c r="AB110">
        <f>IF(AB107&gt;36,12,IF(AB107&gt;24,AB107-24,0))</f>
        <v>10</v>
      </c>
      <c r="AC110">
        <f>IF(AC107&gt;36,12,IF(AC107&gt;24,AC107-24,0))</f>
        <v>10</v>
      </c>
      <c r="AD110">
        <f>IF(AD107&gt;36,12,IF(AD107&gt;24,AD107-24,0))</f>
        <v>10</v>
      </c>
      <c r="AE110">
        <f>IF(AE107&gt;36,12,IF(AE107&gt;24,AE107-24,0))</f>
        <v>10</v>
      </c>
    </row>
    <row r="111" spans="1:33" outlineLevel="2">
      <c r="B111" s="492" t="s">
        <v>376</v>
      </c>
      <c r="C111" s="16"/>
      <c r="D111" s="371"/>
      <c r="I111" s="5">
        <f t="shared" ref="I111:T111" si="122">I59</f>
        <v>482.16122382822113</v>
      </c>
      <c r="J111" s="5">
        <f t="shared" si="122"/>
        <v>807.56067045120756</v>
      </c>
      <c r="K111" s="5">
        <f t="shared" si="122"/>
        <v>1161.2752909849726</v>
      </c>
      <c r="L111" s="5">
        <f t="shared" si="122"/>
        <v>1399.0757768064</v>
      </c>
      <c r="M111" s="5">
        <f t="shared" si="122"/>
        <v>1660.5192300480003</v>
      </c>
      <c r="N111" s="5">
        <f t="shared" si="122"/>
        <v>1986.49584</v>
      </c>
      <c r="O111" s="5">
        <f t="shared" si="122"/>
        <v>2097.6502147271995</v>
      </c>
      <c r="P111" s="5">
        <f t="shared" si="122"/>
        <v>2467.2299619344471</v>
      </c>
      <c r="Q111" s="5">
        <f t="shared" si="122"/>
        <v>2901.9250408527732</v>
      </c>
      <c r="R111" s="5">
        <f t="shared" si="122"/>
        <v>3076.7208082295142</v>
      </c>
      <c r="S111" s="5">
        <f t="shared" si="122"/>
        <v>3248.8787210539972</v>
      </c>
      <c r="T111" s="5">
        <f t="shared" si="122"/>
        <v>3430.6697298905738</v>
      </c>
      <c r="U111" s="5">
        <f>U59</f>
        <v>3622.6328546266004</v>
      </c>
      <c r="V111" s="5">
        <f t="shared" ref="V111:AA111" si="123">V59</f>
        <v>3825.3372760072311</v>
      </c>
      <c r="W111" s="5">
        <f t="shared" si="123"/>
        <v>4039.3840232862153</v>
      </c>
      <c r="X111" s="5">
        <f t="shared" si="123"/>
        <v>4265.4077563091951</v>
      </c>
      <c r="Y111" s="5">
        <f t="shared" si="123"/>
        <v>4504.0786473134758</v>
      </c>
      <c r="Z111" s="5">
        <f t="shared" si="123"/>
        <v>4756.104368023899</v>
      </c>
      <c r="AA111" s="5">
        <f t="shared" si="123"/>
        <v>5022.2321879366773</v>
      </c>
      <c r="AB111" s="5">
        <f>AB59</f>
        <v>5303.2511900126738</v>
      </c>
      <c r="AC111" s="5">
        <f>AC59</f>
        <v>5544.5491191582505</v>
      </c>
      <c r="AD111" s="5">
        <f>AD59</f>
        <v>5796.8261040799489</v>
      </c>
      <c r="AE111" s="5">
        <f>AE59</f>
        <v>6060.581691815587</v>
      </c>
    </row>
    <row r="112" spans="1:33" outlineLevel="2">
      <c r="B112" s="492" t="s">
        <v>377</v>
      </c>
      <c r="C112" s="16"/>
      <c r="D112" s="371"/>
      <c r="J112" s="24">
        <f>(J111*J108+I111*I109+H110*H111)*J80/1000000</f>
        <v>28.589255879615973</v>
      </c>
      <c r="K112" s="24">
        <f>(K111*K108+J111*J109+I110*I111)*K80/1000000</f>
        <v>41.419793754023203</v>
      </c>
      <c r="L112" s="24">
        <f>(L111*L108+K111*K109+J110*J111)*L80/1000000</f>
        <v>70.081855149380573</v>
      </c>
      <c r="M112" s="24">
        <f>(M111*M108+L111*L109+K110*K111)*M80/1000000</f>
        <v>123.8826167283941</v>
      </c>
      <c r="N112" s="24">
        <f>(N111*N108+M111*M109+L110*L111)*N80/1000000</f>
        <v>182.98110954422188</v>
      </c>
      <c r="O112" s="24">
        <f t="shared" ref="O112:U112" si="124">(O111*O108+N111*N109+M110*M111)*O80/1000000</f>
        <v>254.42617936699338</v>
      </c>
      <c r="P112" s="24">
        <f t="shared" si="124"/>
        <v>292.24766550905798</v>
      </c>
      <c r="Q112" s="24">
        <f t="shared" si="124"/>
        <v>332.31100559565198</v>
      </c>
      <c r="R112" s="24">
        <f t="shared" si="124"/>
        <v>382.68812556726721</v>
      </c>
      <c r="S112" s="24">
        <f t="shared" si="124"/>
        <v>419.5519825598322</v>
      </c>
      <c r="T112" s="24">
        <f t="shared" si="124"/>
        <v>452.34830789371847</v>
      </c>
      <c r="U112" s="24">
        <f t="shared" si="124"/>
        <v>470.49456559998288</v>
      </c>
      <c r="V112" s="24">
        <f t="shared" ref="V112:AE112" si="125">(V111*V108+U111*U109+T110*T111)*V80/1000000</f>
        <v>489.36877268285787</v>
      </c>
      <c r="W112" s="24">
        <f t="shared" si="125"/>
        <v>509.00013132295231</v>
      </c>
      <c r="X112" s="24">
        <f t="shared" si="125"/>
        <v>529.41901516606106</v>
      </c>
      <c r="Y112" s="24">
        <f t="shared" si="125"/>
        <v>550.6570163172828</v>
      </c>
      <c r="Z112" s="24">
        <f t="shared" si="125"/>
        <v>572.74699422033655</v>
      </c>
      <c r="AA112" s="24">
        <f t="shared" si="125"/>
        <v>595.72312649770629</v>
      </c>
      <c r="AB112" s="24">
        <f t="shared" si="125"/>
        <v>619.62096183027222</v>
      </c>
      <c r="AC112" s="24">
        <f t="shared" si="125"/>
        <v>643.02353270078675</v>
      </c>
      <c r="AD112" s="24">
        <f t="shared" si="125"/>
        <v>664.45729432805695</v>
      </c>
      <c r="AE112" s="24">
        <f t="shared" si="125"/>
        <v>684.26974970168374</v>
      </c>
    </row>
    <row r="113" spans="1:33" s="28" customFormat="1" outlineLevel="1">
      <c r="B113" s="31" t="s">
        <v>378</v>
      </c>
      <c r="C113" s="31"/>
      <c r="D113" s="29"/>
      <c r="J113" s="30">
        <f t="shared" ref="J113:AA113" si="126">(J102*(J53-J59)+J107*J59)/J53</f>
        <v>6.0400000000000009</v>
      </c>
      <c r="K113" s="30">
        <f t="shared" si="126"/>
        <v>8.9</v>
      </c>
      <c r="L113" s="30">
        <f t="shared" si="126"/>
        <v>12.160000000000002</v>
      </c>
      <c r="M113" s="30">
        <f t="shared" si="126"/>
        <v>17.270000000000003</v>
      </c>
      <c r="N113" s="30">
        <f t="shared" si="126"/>
        <v>18.96</v>
      </c>
      <c r="O113" s="30">
        <f t="shared" si="126"/>
        <v>19.089599999999997</v>
      </c>
      <c r="P113" s="30">
        <f t="shared" si="126"/>
        <v>21.952949999999998</v>
      </c>
      <c r="Q113" s="30">
        <f t="shared" si="126"/>
        <v>24.637340625</v>
      </c>
      <c r="R113" s="30">
        <f t="shared" si="126"/>
        <v>25.599999999999998</v>
      </c>
      <c r="S113" s="30">
        <f t="shared" si="126"/>
        <v>25.795999999999996</v>
      </c>
      <c r="T113" s="30">
        <f t="shared" si="126"/>
        <v>25.993960000000001</v>
      </c>
      <c r="U113" s="30">
        <f t="shared" si="126"/>
        <v>26.193899599999998</v>
      </c>
      <c r="V113" s="30">
        <f t="shared" si="126"/>
        <v>26.395838595999997</v>
      </c>
      <c r="W113" s="30">
        <f t="shared" si="126"/>
        <v>26.599796981960001</v>
      </c>
      <c r="X113" s="30">
        <f t="shared" si="126"/>
        <v>26.8057949517796</v>
      </c>
      <c r="Y113" s="30">
        <f t="shared" si="126"/>
        <v>27.013852901297394</v>
      </c>
      <c r="Z113" s="30">
        <f t="shared" si="126"/>
        <v>27.223991430310363</v>
      </c>
      <c r="AA113" s="30">
        <f t="shared" si="126"/>
        <v>27.436231344613471</v>
      </c>
      <c r="AB113" s="30">
        <f>(AB102*(AB53-AB59)+AB107*AB59)/AB53</f>
        <v>27.650593658059602</v>
      </c>
      <c r="AC113" s="30">
        <f>(AC102*(AC53-AC59)+AC107*AC59)/AC53</f>
        <v>27.650593658059609</v>
      </c>
      <c r="AD113" s="30">
        <f>(AD102*(AD53-AD59)+AD107*AD59)/AD53</f>
        <v>27.650593658059606</v>
      </c>
      <c r="AE113" s="30">
        <f>(AE102*(AE53-AE59)+AE107*AE59)/AE53</f>
        <v>27.650593658059602</v>
      </c>
    </row>
    <row r="114" spans="1:33" outlineLevel="1">
      <c r="B114" s="148" t="s">
        <v>372</v>
      </c>
      <c r="C114" s="148"/>
      <c r="D114" s="149"/>
      <c r="E114" s="25"/>
      <c r="F114" s="25"/>
      <c r="G114" s="25"/>
      <c r="H114" s="25"/>
      <c r="I114" s="25"/>
      <c r="J114" s="151">
        <f>J112+J104</f>
        <v>84.646620349451197</v>
      </c>
      <c r="K114" s="151">
        <f>K112+K104</f>
        <v>129.92362656176505</v>
      </c>
      <c r="L114" s="151">
        <f>L112+L104</f>
        <v>182.64386082880458</v>
      </c>
      <c r="M114" s="151">
        <f>M112+M104</f>
        <v>242.94692874496849</v>
      </c>
      <c r="N114" s="151">
        <f>N112+N104</f>
        <v>309.80683269474684</v>
      </c>
      <c r="O114" s="151">
        <f t="shared" ref="O114:AE114" si="127">O112+O104</f>
        <v>385.69650998532848</v>
      </c>
      <c r="P114" s="151">
        <f t="shared" si="127"/>
        <v>428.11836486391257</v>
      </c>
      <c r="Q114" s="151">
        <f t="shared" si="127"/>
        <v>472.94329360939753</v>
      </c>
      <c r="R114" s="151">
        <f t="shared" si="127"/>
        <v>520.89731925853584</v>
      </c>
      <c r="S114" s="151">
        <f t="shared" si="127"/>
        <v>559.71476320392696</v>
      </c>
      <c r="T114" s="151">
        <f t="shared" si="127"/>
        <v>596.69039224966855</v>
      </c>
      <c r="U114" s="151">
        <f t="shared" si="127"/>
        <v>619.14057005621646</v>
      </c>
      <c r="V114" s="151">
        <f t="shared" si="127"/>
        <v>642.44702937696525</v>
      </c>
      <c r="W114" s="151">
        <f t="shared" si="127"/>
        <v>666.64279893603612</v>
      </c>
      <c r="X114" s="151">
        <f t="shared" si="127"/>
        <v>691.76219302069808</v>
      </c>
      <c r="Y114" s="151">
        <f t="shared" si="127"/>
        <v>717.84086187760045</v>
      </c>
      <c r="Z114" s="151">
        <f t="shared" si="127"/>
        <v>744.91584409564894</v>
      </c>
      <c r="AA114" s="151">
        <f t="shared" si="127"/>
        <v>773.02562105417576</v>
      </c>
      <c r="AB114" s="151">
        <f t="shared" si="127"/>
        <v>802.2101735181792</v>
      </c>
      <c r="AC114" s="151">
        <f t="shared" si="127"/>
        <v>831.05709820819789</v>
      </c>
      <c r="AD114" s="151">
        <f t="shared" si="127"/>
        <v>858.09755067498531</v>
      </c>
      <c r="AE114" s="151">
        <f t="shared" si="127"/>
        <v>883.68387439223659</v>
      </c>
    </row>
    <row r="115" spans="1:33" outlineLevel="1">
      <c r="D115" s="371"/>
      <c r="AG115" s="7"/>
    </row>
    <row r="116" spans="1:33" outlineLevel="1">
      <c r="B116" s="502" t="s">
        <v>380</v>
      </c>
      <c r="C116" s="502"/>
      <c r="D116" s="503"/>
      <c r="E116" s="504"/>
      <c r="F116" s="504"/>
      <c r="G116" s="504"/>
      <c r="H116" s="504"/>
      <c r="I116" s="504"/>
      <c r="J116" s="504"/>
      <c r="K116" s="504"/>
      <c r="L116" s="504"/>
      <c r="M116" s="504"/>
      <c r="N116" s="504"/>
      <c r="O116" s="504"/>
      <c r="P116" s="504"/>
      <c r="Q116" s="504"/>
      <c r="R116" s="504"/>
      <c r="S116" s="504"/>
      <c r="T116" s="504"/>
      <c r="U116" s="504"/>
      <c r="V116" s="504"/>
      <c r="W116" s="504"/>
      <c r="X116" s="504"/>
      <c r="Y116" s="504"/>
      <c r="Z116" s="504"/>
      <c r="AA116" s="504"/>
      <c r="AB116" s="504"/>
      <c r="AC116" s="504"/>
      <c r="AD116" s="504"/>
      <c r="AE116" s="504"/>
    </row>
    <row r="117" spans="1:33" outlineLevel="2">
      <c r="B117" s="11" t="s">
        <v>41</v>
      </c>
      <c r="C117" s="11"/>
      <c r="D117" s="371"/>
      <c r="I117" s="505"/>
      <c r="J117" s="505">
        <v>4</v>
      </c>
      <c r="K117" s="505">
        <v>5</v>
      </c>
      <c r="L117" s="505">
        <v>6</v>
      </c>
      <c r="M117" s="505">
        <v>6</v>
      </c>
      <c r="N117" s="505">
        <v>6</v>
      </c>
      <c r="O117" s="505">
        <f t="shared" ref="O117:T117" si="128">N117</f>
        <v>6</v>
      </c>
      <c r="P117" s="505">
        <f t="shared" si="128"/>
        <v>6</v>
      </c>
      <c r="Q117" s="505">
        <f t="shared" si="128"/>
        <v>6</v>
      </c>
      <c r="R117" s="505">
        <f t="shared" si="128"/>
        <v>6</v>
      </c>
      <c r="S117" s="505">
        <f t="shared" si="128"/>
        <v>6</v>
      </c>
      <c r="T117" s="505">
        <f t="shared" si="128"/>
        <v>6</v>
      </c>
      <c r="U117" s="505">
        <f>T117</f>
        <v>6</v>
      </c>
      <c r="V117" s="505">
        <f t="shared" ref="V117:AB117" si="129">U117</f>
        <v>6</v>
      </c>
      <c r="W117" s="505">
        <f t="shared" si="129"/>
        <v>6</v>
      </c>
      <c r="X117" s="505">
        <f t="shared" si="129"/>
        <v>6</v>
      </c>
      <c r="Y117" s="505">
        <f t="shared" si="129"/>
        <v>6</v>
      </c>
      <c r="Z117" s="505">
        <f t="shared" si="129"/>
        <v>6</v>
      </c>
      <c r="AA117" s="505">
        <f t="shared" si="129"/>
        <v>6</v>
      </c>
      <c r="AB117" s="505">
        <f t="shared" si="129"/>
        <v>6</v>
      </c>
      <c r="AC117" s="505">
        <f>AB117</f>
        <v>6</v>
      </c>
      <c r="AD117" s="505">
        <f>AC117</f>
        <v>6</v>
      </c>
      <c r="AE117" s="505">
        <f>AD117</f>
        <v>6</v>
      </c>
    </row>
    <row r="118" spans="1:33" outlineLevel="2">
      <c r="B118" s="492" t="s">
        <v>373</v>
      </c>
      <c r="C118" s="11"/>
      <c r="D118" s="371"/>
      <c r="J118" s="5">
        <f>J69</f>
        <v>7288.9073896934397</v>
      </c>
      <c r="K118" s="5">
        <f>K69</f>
        <v>9137.6973106943988</v>
      </c>
      <c r="L118" s="5">
        <f>L69</f>
        <v>9757.8637631999991</v>
      </c>
      <c r="M118" s="5">
        <f>M69</f>
        <v>10399.537344000002</v>
      </c>
      <c r="N118" s="5">
        <f>N69</f>
        <v>11289.12</v>
      </c>
      <c r="O118" s="5">
        <f t="shared" ref="O118:T118" si="130">O69</f>
        <v>11802.774960000001</v>
      </c>
      <c r="P118" s="5">
        <f t="shared" si="130"/>
        <v>12339.801220680001</v>
      </c>
      <c r="Q118" s="5">
        <f t="shared" si="130"/>
        <v>12901.26217622094</v>
      </c>
      <c r="R118" s="5">
        <f t="shared" si="130"/>
        <v>13488.269605238993</v>
      </c>
      <c r="S118" s="5">
        <f t="shared" si="130"/>
        <v>14101.98587227737</v>
      </c>
      <c r="T118" s="5">
        <f t="shared" si="130"/>
        <v>14743.626229465988</v>
      </c>
      <c r="U118" s="5">
        <f>U69</f>
        <v>15414.461222906688</v>
      </c>
      <c r="V118" s="5">
        <f t="shared" ref="V118:AE118" si="131">V69</f>
        <v>16115.819208548941</v>
      </c>
      <c r="W118" s="5">
        <f t="shared" si="131"/>
        <v>16849.088982537916</v>
      </c>
      <c r="X118" s="5">
        <f t="shared" si="131"/>
        <v>17615.722531243391</v>
      </c>
      <c r="Y118" s="5">
        <f t="shared" si="131"/>
        <v>18417.237906414965</v>
      </c>
      <c r="Z118" s="5">
        <f t="shared" si="131"/>
        <v>19255.22223115684</v>
      </c>
      <c r="AA118" s="5">
        <f t="shared" si="131"/>
        <v>20131.334842674478</v>
      </c>
      <c r="AB118" s="5">
        <f t="shared" si="131"/>
        <v>21047.310578016164</v>
      </c>
      <c r="AC118" s="5">
        <f t="shared" si="131"/>
        <v>22004.963209315898</v>
      </c>
      <c r="AD118" s="5">
        <f t="shared" si="131"/>
        <v>23006.189035339772</v>
      </c>
      <c r="AE118" s="5">
        <f t="shared" si="131"/>
        <v>24052.970636447724</v>
      </c>
    </row>
    <row r="119" spans="1:33" outlineLevel="2">
      <c r="B119" s="492" t="s">
        <v>374</v>
      </c>
      <c r="C119" s="11"/>
      <c r="D119" s="371"/>
      <c r="J119" s="24">
        <f>J118*J117*J80/1000000</f>
        <v>172.027890965632</v>
      </c>
      <c r="K119" s="24">
        <f>K118*K117*K80/1000000</f>
        <v>271.59906364280573</v>
      </c>
      <c r="L119" s="24">
        <f>L118*L117*L80/1000000</f>
        <v>345.42837721727994</v>
      </c>
      <c r="M119" s="24">
        <f>M118*M117*M80/1000000</f>
        <v>365.38254481276806</v>
      </c>
      <c r="N119" s="24">
        <f>N118*N117*N80/1000000</f>
        <v>389.20063189050001</v>
      </c>
      <c r="O119" s="24">
        <f t="shared" ref="O119:T119" si="132">O118*O117*O80/1000000</f>
        <v>402.84016803510252</v>
      </c>
      <c r="P119" s="24">
        <f t="shared" si="132"/>
        <v>416.95770172389268</v>
      </c>
      <c r="Q119" s="24">
        <f t="shared" si="132"/>
        <v>431.56998438080649</v>
      </c>
      <c r="R119" s="24">
        <f t="shared" si="132"/>
        <v>424.13403354992522</v>
      </c>
      <c r="S119" s="24">
        <f t="shared" si="132"/>
        <v>430.12916811415346</v>
      </c>
      <c r="T119" s="24">
        <f t="shared" si="132"/>
        <v>442.95454458439718</v>
      </c>
      <c r="U119" s="152">
        <f>U118*U117*U80/1000000</f>
        <v>456.16234171754235</v>
      </c>
      <c r="V119" s="152">
        <f t="shared" ref="V119:AE119" si="133">V118*V117*V80/1000000</f>
        <v>469.76396234170511</v>
      </c>
      <c r="W119" s="152">
        <f t="shared" si="133"/>
        <v>483.77114928882889</v>
      </c>
      <c r="X119" s="152">
        <f t="shared" si="133"/>
        <v>498.19599553274855</v>
      </c>
      <c r="Y119" s="152">
        <f t="shared" si="133"/>
        <v>513.05095462954625</v>
      </c>
      <c r="Z119" s="152">
        <f t="shared" si="133"/>
        <v>528.3488514692126</v>
      </c>
      <c r="AA119" s="152">
        <f t="shared" si="133"/>
        <v>544.10289334789582</v>
      </c>
      <c r="AB119" s="152">
        <f t="shared" si="133"/>
        <v>560.32668137029668</v>
      </c>
      <c r="AC119" s="152">
        <f t="shared" si="133"/>
        <v>577.03422219205549</v>
      </c>
      <c r="AD119" s="152">
        <f t="shared" si="133"/>
        <v>594.23994011226716</v>
      </c>
      <c r="AE119" s="152">
        <f t="shared" si="133"/>
        <v>611.95868952656451</v>
      </c>
    </row>
    <row r="120" spans="1:33" outlineLevel="2">
      <c r="B120" s="492"/>
      <c r="C120" s="11"/>
      <c r="D120" s="371"/>
      <c r="J120" s="152"/>
    </row>
    <row r="121" spans="1:33" outlineLevel="2">
      <c r="B121" s="492" t="s">
        <v>42</v>
      </c>
      <c r="C121" s="11"/>
      <c r="D121" s="371"/>
      <c r="J121">
        <f>J125-J117</f>
        <v>-4</v>
      </c>
      <c r="K121">
        <f>K125-K117</f>
        <v>10</v>
      </c>
      <c r="L121">
        <f>L125-L117</f>
        <v>14</v>
      </c>
      <c r="M121">
        <f>M125-M117</f>
        <v>23</v>
      </c>
      <c r="N121">
        <f>N125-N117</f>
        <v>24</v>
      </c>
      <c r="O121">
        <f t="shared" ref="O121:T121" si="134">O125-O117</f>
        <v>25</v>
      </c>
      <c r="P121">
        <f t="shared" si="134"/>
        <v>26</v>
      </c>
      <c r="Q121">
        <f t="shared" si="134"/>
        <v>26</v>
      </c>
      <c r="R121">
        <f t="shared" si="134"/>
        <v>26</v>
      </c>
      <c r="S121">
        <f t="shared" si="134"/>
        <v>27</v>
      </c>
      <c r="T121">
        <f t="shared" si="134"/>
        <v>27.5</v>
      </c>
      <c r="U121" s="13">
        <f>U125-U117</f>
        <v>28</v>
      </c>
      <c r="V121" s="13">
        <f t="shared" ref="V121:AE121" si="135">V125-V117</f>
        <v>28</v>
      </c>
      <c r="W121" s="13">
        <f t="shared" si="135"/>
        <v>28</v>
      </c>
      <c r="X121" s="13">
        <f t="shared" si="135"/>
        <v>28</v>
      </c>
      <c r="Y121" s="13">
        <f t="shared" si="135"/>
        <v>28</v>
      </c>
      <c r="Z121" s="13">
        <f t="shared" si="135"/>
        <v>28</v>
      </c>
      <c r="AA121" s="13">
        <f t="shared" si="135"/>
        <v>28</v>
      </c>
      <c r="AB121" s="13">
        <f t="shared" si="135"/>
        <v>28</v>
      </c>
      <c r="AC121" s="13">
        <f t="shared" si="135"/>
        <v>28</v>
      </c>
      <c r="AD121" s="13">
        <f t="shared" si="135"/>
        <v>28</v>
      </c>
      <c r="AE121" s="13">
        <f t="shared" si="135"/>
        <v>28</v>
      </c>
    </row>
    <row r="122" spans="1:33" outlineLevel="3">
      <c r="B122" s="538" t="s">
        <v>463</v>
      </c>
      <c r="C122" s="490"/>
      <c r="D122" s="482"/>
      <c r="E122" s="481"/>
      <c r="F122" s="481"/>
      <c r="G122" s="481"/>
      <c r="H122" s="481"/>
      <c r="I122" s="481"/>
      <c r="J122" s="481"/>
      <c r="K122" s="481"/>
      <c r="L122" s="481"/>
      <c r="M122" s="481"/>
      <c r="N122" s="481"/>
      <c r="O122" s="506">
        <f>O123</f>
        <v>31</v>
      </c>
      <c r="P122" s="506">
        <f>P123+1</f>
        <v>33</v>
      </c>
      <c r="Q122" s="506">
        <f>P122+1</f>
        <v>34</v>
      </c>
      <c r="R122" s="506">
        <f>Q122+0.5</f>
        <v>34.5</v>
      </c>
      <c r="S122" s="506">
        <f>R122+0.5</f>
        <v>35</v>
      </c>
      <c r="T122" s="506">
        <f>S122+0.5</f>
        <v>35.5</v>
      </c>
      <c r="U122" s="506">
        <f>T122+0.5</f>
        <v>36</v>
      </c>
      <c r="V122" s="506">
        <f>U122+0.5</f>
        <v>36.5</v>
      </c>
      <c r="W122" s="506">
        <f t="shared" ref="W122:AB122" si="136">V122+0.5</f>
        <v>37</v>
      </c>
      <c r="X122" s="506">
        <f>W122+0.5</f>
        <v>37.5</v>
      </c>
      <c r="Y122" s="506">
        <f t="shared" si="136"/>
        <v>38</v>
      </c>
      <c r="Z122" s="506">
        <f t="shared" si="136"/>
        <v>38.5</v>
      </c>
      <c r="AA122" s="506">
        <f t="shared" si="136"/>
        <v>39</v>
      </c>
      <c r="AB122" s="506">
        <f t="shared" si="136"/>
        <v>39.5</v>
      </c>
      <c r="AC122" s="506">
        <f>AB122+0.5</f>
        <v>40</v>
      </c>
      <c r="AD122" s="506">
        <f>AC122+0.5</f>
        <v>40.5</v>
      </c>
      <c r="AE122" s="506">
        <f>AD122+0.5</f>
        <v>41</v>
      </c>
    </row>
    <row r="123" spans="1:33" outlineLevel="3">
      <c r="B123" s="538" t="s">
        <v>464</v>
      </c>
      <c r="C123" s="490"/>
      <c r="D123" s="482"/>
      <c r="E123" s="481"/>
      <c r="F123" s="481"/>
      <c r="G123" s="481"/>
      <c r="H123" s="481"/>
      <c r="I123" s="481"/>
      <c r="J123" s="481"/>
      <c r="K123" s="481"/>
      <c r="L123" s="481"/>
      <c r="M123" s="481"/>
      <c r="N123" s="481"/>
      <c r="O123" s="507">
        <v>31</v>
      </c>
      <c r="P123" s="507">
        <v>32</v>
      </c>
      <c r="Q123" s="507">
        <v>32</v>
      </c>
      <c r="R123" s="507">
        <v>32</v>
      </c>
      <c r="S123" s="507">
        <v>33</v>
      </c>
      <c r="T123" s="507">
        <v>33.5</v>
      </c>
      <c r="U123" s="507">
        <v>34</v>
      </c>
      <c r="V123" s="507">
        <f t="shared" ref="V123:AB123" si="137">U123</f>
        <v>34</v>
      </c>
      <c r="W123" s="507">
        <f t="shared" si="137"/>
        <v>34</v>
      </c>
      <c r="X123" s="507">
        <f>W123</f>
        <v>34</v>
      </c>
      <c r="Y123" s="507">
        <f t="shared" si="137"/>
        <v>34</v>
      </c>
      <c r="Z123" s="507">
        <f t="shared" si="137"/>
        <v>34</v>
      </c>
      <c r="AA123" s="507">
        <f t="shared" si="137"/>
        <v>34</v>
      </c>
      <c r="AB123" s="507">
        <f t="shared" si="137"/>
        <v>34</v>
      </c>
      <c r="AC123" s="507">
        <f>AB123</f>
        <v>34</v>
      </c>
      <c r="AD123" s="507">
        <f>AC123</f>
        <v>34</v>
      </c>
      <c r="AE123" s="507">
        <f>AD123</f>
        <v>34</v>
      </c>
    </row>
    <row r="124" spans="1:33" outlineLevel="3">
      <c r="B124" s="538" t="s">
        <v>462</v>
      </c>
      <c r="C124" s="490"/>
      <c r="D124" s="482"/>
      <c r="E124" s="481"/>
      <c r="F124" s="481"/>
      <c r="G124" s="481"/>
      <c r="H124" s="481"/>
      <c r="I124" s="481"/>
      <c r="J124" s="481"/>
      <c r="K124" s="481"/>
      <c r="L124" s="481"/>
      <c r="M124" s="481"/>
      <c r="N124" s="481"/>
      <c r="O124" s="506">
        <f t="shared" ref="O124:AE124" si="138">O123</f>
        <v>31</v>
      </c>
      <c r="P124" s="506">
        <f t="shared" si="138"/>
        <v>32</v>
      </c>
      <c r="Q124" s="506">
        <f t="shared" si="138"/>
        <v>32</v>
      </c>
      <c r="R124" s="506">
        <f t="shared" si="138"/>
        <v>32</v>
      </c>
      <c r="S124" s="506">
        <f t="shared" si="138"/>
        <v>33</v>
      </c>
      <c r="T124" s="506">
        <f t="shared" si="138"/>
        <v>33.5</v>
      </c>
      <c r="U124" s="506">
        <f>U123</f>
        <v>34</v>
      </c>
      <c r="V124" s="506">
        <f>V123</f>
        <v>34</v>
      </c>
      <c r="W124" s="506">
        <f t="shared" si="138"/>
        <v>34</v>
      </c>
      <c r="X124" s="506">
        <f t="shared" si="138"/>
        <v>34</v>
      </c>
      <c r="Y124" s="506">
        <f t="shared" si="138"/>
        <v>34</v>
      </c>
      <c r="Z124" s="506">
        <f t="shared" si="138"/>
        <v>34</v>
      </c>
      <c r="AA124" s="506">
        <f t="shared" si="138"/>
        <v>34</v>
      </c>
      <c r="AB124" s="506">
        <f t="shared" si="138"/>
        <v>34</v>
      </c>
      <c r="AC124" s="506">
        <f t="shared" si="138"/>
        <v>34</v>
      </c>
      <c r="AD124" s="506">
        <f t="shared" si="138"/>
        <v>34</v>
      </c>
      <c r="AE124" s="506">
        <f t="shared" si="138"/>
        <v>34</v>
      </c>
    </row>
    <row r="125" spans="1:33" outlineLevel="2">
      <c r="A125" s="485" t="s">
        <v>78</v>
      </c>
      <c r="B125" s="487" t="s">
        <v>369</v>
      </c>
      <c r="C125" s="490"/>
      <c r="D125" s="482"/>
      <c r="E125" s="481"/>
      <c r="F125" s="481"/>
      <c r="G125" s="481"/>
      <c r="H125" s="481"/>
      <c r="I125" s="507">
        <v>15</v>
      </c>
      <c r="J125" s="507">
        <v>0</v>
      </c>
      <c r="K125" s="507">
        <v>15</v>
      </c>
      <c r="L125" s="507">
        <v>20</v>
      </c>
      <c r="M125" s="507">
        <v>29</v>
      </c>
      <c r="N125" s="507">
        <v>30</v>
      </c>
      <c r="O125" s="508">
        <f t="shared" ref="O125:AE125" si="139">CHOOSE($J$1,O122,O123,O124)</f>
        <v>31</v>
      </c>
      <c r="P125" s="508">
        <f t="shared" si="139"/>
        <v>32</v>
      </c>
      <c r="Q125" s="508">
        <f t="shared" si="139"/>
        <v>32</v>
      </c>
      <c r="R125" s="508">
        <f t="shared" si="139"/>
        <v>32</v>
      </c>
      <c r="S125" s="508">
        <f t="shared" si="139"/>
        <v>33</v>
      </c>
      <c r="T125" s="508">
        <f t="shared" si="139"/>
        <v>33.5</v>
      </c>
      <c r="U125" s="508">
        <f t="shared" si="139"/>
        <v>34</v>
      </c>
      <c r="V125" s="508">
        <f t="shared" si="139"/>
        <v>34</v>
      </c>
      <c r="W125" s="508">
        <f t="shared" si="139"/>
        <v>34</v>
      </c>
      <c r="X125" s="508">
        <f t="shared" si="139"/>
        <v>34</v>
      </c>
      <c r="Y125" s="508">
        <f t="shared" si="139"/>
        <v>34</v>
      </c>
      <c r="Z125" s="508">
        <f t="shared" si="139"/>
        <v>34</v>
      </c>
      <c r="AA125" s="508">
        <f t="shared" si="139"/>
        <v>34</v>
      </c>
      <c r="AB125" s="508">
        <f t="shared" si="139"/>
        <v>34</v>
      </c>
      <c r="AC125" s="508">
        <f t="shared" si="139"/>
        <v>34</v>
      </c>
      <c r="AD125" s="508">
        <f t="shared" si="139"/>
        <v>34</v>
      </c>
      <c r="AE125" s="508">
        <f t="shared" si="139"/>
        <v>34</v>
      </c>
    </row>
    <row r="126" spans="1:33" outlineLevel="2">
      <c r="B126" s="16" t="s">
        <v>49</v>
      </c>
      <c r="C126" s="16"/>
      <c r="D126" s="371"/>
      <c r="J126">
        <f>IF(J125&lt;6,J125,6)</f>
        <v>0</v>
      </c>
      <c r="K126">
        <f>IF(K125&lt;6,K125,6)</f>
        <v>6</v>
      </c>
      <c r="L126">
        <f>IF(L125&lt;6,L125,6)</f>
        <v>6</v>
      </c>
      <c r="M126">
        <f>IF(M125&lt;6,M125,6)</f>
        <v>6</v>
      </c>
      <c r="N126">
        <f>IF(N125&lt;6,N125,6)</f>
        <v>6</v>
      </c>
      <c r="O126">
        <f t="shared" ref="O126:AE126" si="140">IF(O125&lt;6,O125,6)</f>
        <v>6</v>
      </c>
      <c r="P126">
        <f t="shared" si="140"/>
        <v>6</v>
      </c>
      <c r="Q126">
        <f t="shared" si="140"/>
        <v>6</v>
      </c>
      <c r="R126">
        <f t="shared" si="140"/>
        <v>6</v>
      </c>
      <c r="S126">
        <f t="shared" si="140"/>
        <v>6</v>
      </c>
      <c r="T126">
        <f t="shared" si="140"/>
        <v>6</v>
      </c>
      <c r="U126">
        <f t="shared" si="140"/>
        <v>6</v>
      </c>
      <c r="V126">
        <f t="shared" si="140"/>
        <v>6</v>
      </c>
      <c r="W126">
        <f t="shared" si="140"/>
        <v>6</v>
      </c>
      <c r="X126">
        <f t="shared" si="140"/>
        <v>6</v>
      </c>
      <c r="Y126">
        <f t="shared" si="140"/>
        <v>6</v>
      </c>
      <c r="Z126">
        <f t="shared" si="140"/>
        <v>6</v>
      </c>
      <c r="AA126">
        <f t="shared" si="140"/>
        <v>6</v>
      </c>
      <c r="AB126">
        <f t="shared" si="140"/>
        <v>6</v>
      </c>
      <c r="AC126">
        <f t="shared" si="140"/>
        <v>6</v>
      </c>
      <c r="AD126">
        <f t="shared" si="140"/>
        <v>6</v>
      </c>
      <c r="AE126">
        <f t="shared" si="140"/>
        <v>6</v>
      </c>
    </row>
    <row r="127" spans="1:33" outlineLevel="2">
      <c r="B127" s="509" t="s">
        <v>375</v>
      </c>
      <c r="C127" s="16"/>
      <c r="D127" s="371"/>
      <c r="J127">
        <f>IF(J125&gt;24,12,IF(J125&gt;12,J125-12,0))</f>
        <v>0</v>
      </c>
      <c r="K127">
        <f>IF(K125&gt;24,12,IF(K125&gt;12,K125-12,0))</f>
        <v>3</v>
      </c>
      <c r="L127">
        <f>IF(L125&gt;24,12,IF(L125&gt;12,L125-12,0))</f>
        <v>8</v>
      </c>
      <c r="M127">
        <f>IF(M125&gt;24,12,IF(M125&gt;12,M125-12,0))</f>
        <v>12</v>
      </c>
      <c r="N127">
        <f>IF(N125&gt;24,12,IF(N125&gt;12,N125-12,0))</f>
        <v>12</v>
      </c>
      <c r="O127">
        <f t="shared" ref="O127:T127" si="141">IF(O125&gt;24,12,IF(O125&gt;12,O125-12,0))</f>
        <v>12</v>
      </c>
      <c r="P127">
        <f t="shared" si="141"/>
        <v>12</v>
      </c>
      <c r="Q127">
        <f t="shared" si="141"/>
        <v>12</v>
      </c>
      <c r="R127">
        <f t="shared" si="141"/>
        <v>12</v>
      </c>
      <c r="S127">
        <f t="shared" si="141"/>
        <v>12</v>
      </c>
      <c r="T127">
        <f t="shared" si="141"/>
        <v>12</v>
      </c>
      <c r="U127">
        <f>IF(U125&gt;24,12,IF(U125&gt;12,U125-12,0))</f>
        <v>12</v>
      </c>
      <c r="V127">
        <f t="shared" ref="V127:AE127" si="142">IF(V125&gt;24,12,IF(V125&gt;12,V125-12,0))</f>
        <v>12</v>
      </c>
      <c r="W127">
        <f t="shared" si="142"/>
        <v>12</v>
      </c>
      <c r="X127">
        <f t="shared" si="142"/>
        <v>12</v>
      </c>
      <c r="Y127">
        <f t="shared" si="142"/>
        <v>12</v>
      </c>
      <c r="Z127">
        <f t="shared" si="142"/>
        <v>12</v>
      </c>
      <c r="AA127">
        <f t="shared" si="142"/>
        <v>12</v>
      </c>
      <c r="AB127">
        <f t="shared" si="142"/>
        <v>12</v>
      </c>
      <c r="AC127">
        <f t="shared" si="142"/>
        <v>12</v>
      </c>
      <c r="AD127">
        <f t="shared" si="142"/>
        <v>12</v>
      </c>
      <c r="AE127">
        <f t="shared" si="142"/>
        <v>12</v>
      </c>
    </row>
    <row r="128" spans="1:33" outlineLevel="2">
      <c r="B128" s="509" t="s">
        <v>384</v>
      </c>
      <c r="C128" s="16"/>
      <c r="D128" s="371"/>
      <c r="J128">
        <f>IF(J125&gt;36,12,IF(J125&gt;24,J125-24,0))</f>
        <v>0</v>
      </c>
      <c r="K128">
        <f>IF(K125&gt;36,12,IF(K125&gt;24,K125-24,0))</f>
        <v>0</v>
      </c>
      <c r="L128">
        <f>IF(L125&gt;36,12,IF(L125&gt;24,L125-24,0))</f>
        <v>0</v>
      </c>
      <c r="M128">
        <f>IF(M125&gt;36,12,IF(M125&gt;24,M125-24,0))</f>
        <v>5</v>
      </c>
      <c r="N128">
        <f>IF(N125&gt;36,12,IF(N125&gt;24,N125-24,0))</f>
        <v>6</v>
      </c>
      <c r="O128">
        <f t="shared" ref="O128:AE128" si="143">IF(O125&gt;36,12,IF(O125&gt;24,O125-24,0))</f>
        <v>7</v>
      </c>
      <c r="P128">
        <f t="shared" si="143"/>
        <v>8</v>
      </c>
      <c r="Q128">
        <f t="shared" si="143"/>
        <v>8</v>
      </c>
      <c r="R128">
        <f t="shared" si="143"/>
        <v>8</v>
      </c>
      <c r="S128">
        <f t="shared" si="143"/>
        <v>9</v>
      </c>
      <c r="T128">
        <f t="shared" si="143"/>
        <v>9.5</v>
      </c>
      <c r="U128">
        <f t="shared" si="143"/>
        <v>10</v>
      </c>
      <c r="V128">
        <f t="shared" si="143"/>
        <v>10</v>
      </c>
      <c r="W128">
        <f t="shared" si="143"/>
        <v>10</v>
      </c>
      <c r="X128">
        <f t="shared" si="143"/>
        <v>10</v>
      </c>
      <c r="Y128">
        <f t="shared" si="143"/>
        <v>10</v>
      </c>
      <c r="Z128">
        <f t="shared" si="143"/>
        <v>10</v>
      </c>
      <c r="AA128">
        <f t="shared" si="143"/>
        <v>10</v>
      </c>
      <c r="AB128">
        <f t="shared" si="143"/>
        <v>10</v>
      </c>
      <c r="AC128">
        <f t="shared" si="143"/>
        <v>10</v>
      </c>
      <c r="AD128">
        <f t="shared" si="143"/>
        <v>10</v>
      </c>
      <c r="AE128">
        <f t="shared" si="143"/>
        <v>10</v>
      </c>
    </row>
    <row r="129" spans="1:33" outlineLevel="2">
      <c r="B129" s="492" t="s">
        <v>376</v>
      </c>
      <c r="C129" s="16"/>
      <c r="D129" s="371"/>
      <c r="I129" s="5">
        <f t="shared" ref="I129:AE129" si="144">I75</f>
        <v>0</v>
      </c>
      <c r="J129" s="5">
        <f t="shared" si="144"/>
        <v>72.889073896934391</v>
      </c>
      <c r="K129" s="5">
        <f t="shared" si="144"/>
        <v>182.75394621388799</v>
      </c>
      <c r="L129" s="5">
        <f t="shared" si="144"/>
        <v>195.15727526399999</v>
      </c>
      <c r="M129" s="5">
        <f t="shared" si="144"/>
        <v>311.98612032000005</v>
      </c>
      <c r="N129" s="5">
        <f t="shared" si="144"/>
        <v>564.45600000000002</v>
      </c>
      <c r="O129" s="5">
        <f t="shared" si="144"/>
        <v>590.13874800000008</v>
      </c>
      <c r="P129" s="5">
        <f t="shared" si="144"/>
        <v>2467.9602441360003</v>
      </c>
      <c r="Q129" s="5">
        <f t="shared" si="144"/>
        <v>4515.4417616773289</v>
      </c>
      <c r="R129" s="5">
        <f t="shared" si="144"/>
        <v>4990.6597539384275</v>
      </c>
      <c r="S129" s="5">
        <f t="shared" si="144"/>
        <v>5499.7744901881742</v>
      </c>
      <c r="T129" s="5">
        <f t="shared" si="144"/>
        <v>6634.6318032596946</v>
      </c>
      <c r="U129" s="5">
        <f t="shared" si="144"/>
        <v>8477.9536725986782</v>
      </c>
      <c r="V129" s="5">
        <f t="shared" si="144"/>
        <v>10475.282485556812</v>
      </c>
      <c r="W129" s="5">
        <f t="shared" si="144"/>
        <v>10951.907838649646</v>
      </c>
      <c r="X129" s="5">
        <f t="shared" si="144"/>
        <v>11450.219645308205</v>
      </c>
      <c r="Y129" s="5">
        <f t="shared" si="144"/>
        <v>11971.204639169728</v>
      </c>
      <c r="Z129" s="5">
        <f t="shared" si="144"/>
        <v>12515.894450251946</v>
      </c>
      <c r="AA129" s="5">
        <f t="shared" si="144"/>
        <v>13085.367647738411</v>
      </c>
      <c r="AB129" s="5">
        <f t="shared" si="144"/>
        <v>13680.751875710506</v>
      </c>
      <c r="AC129" s="5">
        <f t="shared" si="144"/>
        <v>14303.226086055334</v>
      </c>
      <c r="AD129" s="5">
        <f t="shared" si="144"/>
        <v>14954.022872970852</v>
      </c>
      <c r="AE129" s="5">
        <f t="shared" si="144"/>
        <v>15634.430913691021</v>
      </c>
    </row>
    <row r="130" spans="1:33" outlineLevel="2">
      <c r="B130" s="492" t="s">
        <v>377</v>
      </c>
      <c r="C130" s="16"/>
      <c r="D130" s="371"/>
      <c r="J130" s="24">
        <f t="shared" ref="J130:U130" si="145">(J129*J126+I129*I127+H128*H129)*J80/1000000</f>
        <v>0</v>
      </c>
      <c r="K130" s="24">
        <f t="shared" si="145"/>
        <v>6.5183775274273401</v>
      </c>
      <c r="L130" s="24">
        <f t="shared" si="145"/>
        <v>10.143312392331417</v>
      </c>
      <c r="M130" s="24">
        <f t="shared" si="145"/>
        <v>20.103814061400389</v>
      </c>
      <c r="N130" s="24">
        <f t="shared" si="145"/>
        <v>40.971928920376719</v>
      </c>
      <c r="O130" s="24">
        <f t="shared" si="145"/>
        <v>67.54652860582847</v>
      </c>
      <c r="P130" s="24">
        <f t="shared" si="145"/>
        <v>142.34549394604764</v>
      </c>
      <c r="Q130" s="24">
        <f t="shared" si="145"/>
        <v>339.19612392293067</v>
      </c>
      <c r="R130" s="24">
        <f t="shared" si="145"/>
        <v>544.37486539584427</v>
      </c>
      <c r="S130" s="24">
        <f t="shared" si="145"/>
        <v>655.82969033391851</v>
      </c>
      <c r="T130" s="24">
        <f t="shared" si="145"/>
        <v>729.71562368701905</v>
      </c>
      <c r="U130" s="24">
        <f t="shared" si="145"/>
        <v>887.70190391684582</v>
      </c>
      <c r="V130" s="24">
        <f t="shared" ref="V130:AE130" si="146">(V129*V126+U129*U127+T128*T129)*V80/1000000</f>
        <v>1105.8064435493854</v>
      </c>
      <c r="W130" s="24">
        <f t="shared" si="146"/>
        <v>1321.6824331431196</v>
      </c>
      <c r="X130" s="24">
        <f t="shared" si="146"/>
        <v>1437.0544891538614</v>
      </c>
      <c r="Y130" s="24">
        <f t="shared" si="146"/>
        <v>1479.9038613842065</v>
      </c>
      <c r="Z130" s="24">
        <f t="shared" si="146"/>
        <v>1524.0308947710298</v>
      </c>
      <c r="AA130" s="24">
        <f t="shared" si="146"/>
        <v>1569.4736859758648</v>
      </c>
      <c r="AB130" s="152">
        <f t="shared" si="146"/>
        <v>1616.2714676074499</v>
      </c>
      <c r="AC130" s="152">
        <f t="shared" si="146"/>
        <v>1664.4646420928352</v>
      </c>
      <c r="AD130" s="152">
        <f t="shared" si="146"/>
        <v>1714.094816558438</v>
      </c>
      <c r="AE130" s="152">
        <f t="shared" si="146"/>
        <v>1765.2048387511691</v>
      </c>
    </row>
    <row r="131" spans="1:33" s="28" customFormat="1" outlineLevel="1">
      <c r="B131" s="31" t="s">
        <v>378</v>
      </c>
      <c r="C131" s="31"/>
      <c r="D131" s="29"/>
      <c r="J131" s="30">
        <f>(J117*(J69-J75)+J125*J75)/J69</f>
        <v>3.9600000000000004</v>
      </c>
      <c r="K131" s="30">
        <f>(K117*(K69-K75)+K125*K75)/K69</f>
        <v>5.1999999999999993</v>
      </c>
      <c r="L131" s="30">
        <f>(L117*(L69-L75)+L125*L75)/L69</f>
        <v>6.28</v>
      </c>
      <c r="M131" s="30">
        <f>(M117*(M69-M75)+M125*M75)/M69</f>
        <v>6.69</v>
      </c>
      <c r="N131" s="30">
        <f>(N117*(N69-N75)+N125*N75)/N69</f>
        <v>7.2</v>
      </c>
      <c r="O131" s="30">
        <f t="shared" ref="O131:T131" si="147">(O117*(O69-O75)+O125*O75)/O69</f>
        <v>7.2500000000000009</v>
      </c>
      <c r="P131" s="30">
        <f t="shared" si="147"/>
        <v>11.2</v>
      </c>
      <c r="Q131" s="30">
        <f t="shared" si="147"/>
        <v>15.1</v>
      </c>
      <c r="R131" s="30">
        <f t="shared" si="147"/>
        <v>15.620000000000001</v>
      </c>
      <c r="S131" s="30">
        <f t="shared" si="147"/>
        <v>16.529999999999998</v>
      </c>
      <c r="T131" s="30">
        <f t="shared" si="147"/>
        <v>18.375000000000004</v>
      </c>
      <c r="U131" s="30">
        <f>(U117*(U69-U75)+U125*U75)/U69</f>
        <v>21.400000000000002</v>
      </c>
      <c r="V131" s="30">
        <f t="shared" ref="V131:AA131" si="148">(V117*(V69-V75)+V125*V75)/V69</f>
        <v>24.200000000000003</v>
      </c>
      <c r="W131" s="30">
        <f t="shared" si="148"/>
        <v>24.2</v>
      </c>
      <c r="X131" s="30">
        <f t="shared" si="148"/>
        <v>24.200000000000003</v>
      </c>
      <c r="Y131" s="30">
        <f t="shared" si="148"/>
        <v>24.200000000000003</v>
      </c>
      <c r="Z131" s="30">
        <f t="shared" si="148"/>
        <v>24.200000000000003</v>
      </c>
      <c r="AA131" s="30">
        <f t="shared" si="148"/>
        <v>24.2</v>
      </c>
      <c r="AB131" s="30">
        <f>(AB117*(AB69-AB75)+AB125*AB75)/AB69</f>
        <v>24.2</v>
      </c>
      <c r="AC131" s="30">
        <f>(AC117*(AC69-AC75)+AC125*AC75)/AC69</f>
        <v>24.2</v>
      </c>
      <c r="AD131" s="30">
        <f>(AD117*(AD69-AD75)+AD125*AD75)/AD69</f>
        <v>24.199999999999996</v>
      </c>
      <c r="AE131" s="30">
        <f>(AE117*(AE69-AE75)+AE125*AE75)/AE69</f>
        <v>24.2</v>
      </c>
    </row>
    <row r="132" spans="1:33" outlineLevel="1">
      <c r="B132" s="148" t="s">
        <v>381</v>
      </c>
      <c r="C132" s="148"/>
      <c r="D132" s="149"/>
      <c r="E132" s="25"/>
      <c r="F132" s="25"/>
      <c r="G132" s="25"/>
      <c r="H132" s="25"/>
      <c r="I132" s="25"/>
      <c r="J132" s="151">
        <f>J130+J119</f>
        <v>172.027890965632</v>
      </c>
      <c r="K132" s="151">
        <f>K130+K119</f>
        <v>278.11744117023306</v>
      </c>
      <c r="L132" s="151">
        <f>L130+L119</f>
        <v>355.57168960961138</v>
      </c>
      <c r="M132" s="151">
        <f>M130+M119</f>
        <v>385.48635887416845</v>
      </c>
      <c r="N132" s="151">
        <f>N130+N119</f>
        <v>430.17256081087675</v>
      </c>
      <c r="O132" s="151">
        <f t="shared" ref="O132:AE132" si="149">O130+O119</f>
        <v>470.38669664093101</v>
      </c>
      <c r="P132" s="151">
        <f t="shared" si="149"/>
        <v>559.30319566994035</v>
      </c>
      <c r="Q132" s="151">
        <f t="shared" si="149"/>
        <v>770.76610830373716</v>
      </c>
      <c r="R132" s="151">
        <f t="shared" si="149"/>
        <v>968.50889894576949</v>
      </c>
      <c r="S132" s="151">
        <f t="shared" si="149"/>
        <v>1085.9588584480721</v>
      </c>
      <c r="T132" s="151">
        <f t="shared" si="149"/>
        <v>1172.6701682714163</v>
      </c>
      <c r="U132" s="151">
        <f t="shared" si="149"/>
        <v>1343.8642456343882</v>
      </c>
      <c r="V132" s="151">
        <f t="shared" si="149"/>
        <v>1575.5704058910906</v>
      </c>
      <c r="W132" s="151">
        <f t="shared" si="149"/>
        <v>1805.4535824319485</v>
      </c>
      <c r="X132" s="151">
        <f t="shared" si="149"/>
        <v>1935.25048468661</v>
      </c>
      <c r="Y132" s="151">
        <f t="shared" si="149"/>
        <v>1992.9548160137529</v>
      </c>
      <c r="Z132" s="151">
        <f t="shared" si="149"/>
        <v>2052.3797462402426</v>
      </c>
      <c r="AA132" s="151">
        <f t="shared" si="149"/>
        <v>2113.5765793237606</v>
      </c>
      <c r="AB132" s="151">
        <f t="shared" si="149"/>
        <v>2176.5981489777469</v>
      </c>
      <c r="AC132" s="151">
        <f t="shared" si="149"/>
        <v>2241.4988642848907</v>
      </c>
      <c r="AD132" s="151">
        <f t="shared" si="149"/>
        <v>2308.3347566707052</v>
      </c>
      <c r="AE132" s="151">
        <f t="shared" si="149"/>
        <v>2377.1635282777333</v>
      </c>
    </row>
    <row r="133" spans="1:33" outlineLevel="1">
      <c r="D133" s="371"/>
      <c r="AG133" s="7"/>
    </row>
    <row r="134" spans="1:33" outlineLevel="1">
      <c r="B134" s="510" t="s">
        <v>44</v>
      </c>
      <c r="C134" s="510"/>
      <c r="D134" s="511"/>
      <c r="E134" s="510"/>
      <c r="F134" s="510"/>
      <c r="G134" s="510"/>
      <c r="H134" s="510"/>
      <c r="I134" s="510"/>
      <c r="J134" s="512">
        <f>J132+J114+J99</f>
        <v>338.30471157639568</v>
      </c>
      <c r="K134" s="512">
        <f>K132+K114+K99</f>
        <v>521.93795371710553</v>
      </c>
      <c r="L134" s="512">
        <f>L132+L114+L99</f>
        <v>701.1410492500894</v>
      </c>
      <c r="M134" s="512">
        <f>M132+M114+M99</f>
        <v>842.56506533193431</v>
      </c>
      <c r="N134" s="512">
        <f>N132+N114+N99</f>
        <v>1006.3019758235173</v>
      </c>
      <c r="O134" s="512">
        <f t="shared" ref="O134:AE134" si="150">O132+O114+O99</f>
        <v>1180.9050283348097</v>
      </c>
      <c r="P134" s="512">
        <f t="shared" si="150"/>
        <v>1356.4964069196933</v>
      </c>
      <c r="Q134" s="512">
        <f t="shared" si="150"/>
        <v>1630.3602632824452</v>
      </c>
      <c r="R134" s="512">
        <f t="shared" si="150"/>
        <v>1873.3889507270978</v>
      </c>
      <c r="S134" s="512">
        <f t="shared" si="150"/>
        <v>2009.0395773866032</v>
      </c>
      <c r="T134" s="512">
        <f t="shared" si="150"/>
        <v>2112.2461037819548</v>
      </c>
      <c r="U134" s="512">
        <f t="shared" si="150"/>
        <v>2275.278607820157</v>
      </c>
      <c r="V134" s="512">
        <f t="shared" si="150"/>
        <v>2502.4180733509652</v>
      </c>
      <c r="W134" s="512">
        <f t="shared" si="150"/>
        <v>2731.116933325573</v>
      </c>
      <c r="X134" s="512">
        <f t="shared" si="150"/>
        <v>2862.922744259221</v>
      </c>
      <c r="Y134" s="512">
        <f t="shared" si="150"/>
        <v>2925.6614676035506</v>
      </c>
      <c r="Z134" s="512">
        <f t="shared" si="150"/>
        <v>2992.9981871174314</v>
      </c>
      <c r="AA134" s="512">
        <f t="shared" si="150"/>
        <v>3064.8541865589018</v>
      </c>
      <c r="AB134" s="512">
        <f t="shared" si="150"/>
        <v>3141.1689058609441</v>
      </c>
      <c r="AC134" s="512">
        <f t="shared" si="150"/>
        <v>3173.4514270775694</v>
      </c>
      <c r="AD134" s="512">
        <f t="shared" si="150"/>
        <v>3216.301091592843</v>
      </c>
      <c r="AE134" s="512">
        <f t="shared" si="150"/>
        <v>3270.9647374063552</v>
      </c>
    </row>
    <row r="135" spans="1:33" outlineLevel="1">
      <c r="B135" s="27" t="s">
        <v>48</v>
      </c>
      <c r="C135" s="28"/>
      <c r="D135" s="29"/>
      <c r="E135" s="28"/>
      <c r="F135" s="28"/>
      <c r="G135" s="28"/>
      <c r="H135" s="28"/>
      <c r="I135" s="28"/>
      <c r="J135" s="30">
        <f>(J98*J85+J113*J103+J131*J118)/(J85+J103+J118)</f>
        <v>4.6941468459152027</v>
      </c>
      <c r="K135" s="30">
        <f>(K98*K85+K113*K103+K131*K118)/(K85+K103+K118)</f>
        <v>6.4822954042762353</v>
      </c>
      <c r="L135" s="30">
        <f>(L98*L85+L113*L103+L131*L118)/(L85+L103+L118)</f>
        <v>8.2897929532941159</v>
      </c>
      <c r="M135" s="30">
        <f>(M98*M85+M113*M103+M131*M118)/(M85+M103+M118)</f>
        <v>10.211252154933463</v>
      </c>
      <c r="N135" s="30">
        <f>(N98*N85+N113*N103+N131*N118)/(N85+N103+N118)</f>
        <v>10.990104665151581</v>
      </c>
      <c r="O135" s="30">
        <f t="shared" ref="O135:T135" si="151">(O98*O85+O113*O103+O131*O118)/(O85+O103+O118)</f>
        <v>11.115766155467279</v>
      </c>
      <c r="P135" s="30">
        <f t="shared" si="151"/>
        <v>14.581157112717024</v>
      </c>
      <c r="Q135" s="30">
        <f t="shared" si="151"/>
        <v>17.687722066387284</v>
      </c>
      <c r="R135" s="30">
        <f t="shared" si="151"/>
        <v>18.362609892459488</v>
      </c>
      <c r="S135" s="30">
        <f t="shared" si="151"/>
        <v>18.973072525930611</v>
      </c>
      <c r="T135" s="30">
        <f t="shared" si="151"/>
        <v>20.211957477393934</v>
      </c>
      <c r="U135" s="30">
        <f>(U98*U85+U113*U103+U131*U118)/(U85+U103+U118)</f>
        <v>22.269796579286755</v>
      </c>
      <c r="V135" s="30">
        <f t="shared" ref="V135:AE135" si="152">(V98*V85+V113*V103+V131*V118)/(V85+V103+V118)</f>
        <v>24.237159302209601</v>
      </c>
      <c r="W135" s="30">
        <f t="shared" si="152"/>
        <v>24.351713773883628</v>
      </c>
      <c r="X135" s="30">
        <f t="shared" si="152"/>
        <v>24.459346081138403</v>
      </c>
      <c r="Y135" s="30">
        <f t="shared" si="152"/>
        <v>24.560755227873685</v>
      </c>
      <c r="Z135" s="30">
        <f t="shared" si="152"/>
        <v>24.65661017613672</v>
      </c>
      <c r="AA135" s="30">
        <f t="shared" si="152"/>
        <v>24.747542418204464</v>
      </c>
      <c r="AB135" s="30">
        <f t="shared" si="152"/>
        <v>24.834141223035132</v>
      </c>
      <c r="AC135" s="30">
        <f t="shared" si="152"/>
        <v>25.006092561626062</v>
      </c>
      <c r="AD135" s="30">
        <f t="shared" si="152"/>
        <v>25.040138997996127</v>
      </c>
      <c r="AE135" s="30">
        <f t="shared" si="152"/>
        <v>25.046582692724911</v>
      </c>
    </row>
    <row r="136" spans="1:33" ht="13.5" outlineLevel="1" thickBot="1">
      <c r="D136" s="371"/>
      <c r="R136" s="24"/>
    </row>
    <row r="137" spans="1:33">
      <c r="B137" s="469" t="s">
        <v>393</v>
      </c>
      <c r="C137" s="469"/>
      <c r="D137" s="472"/>
      <c r="E137" s="472"/>
      <c r="F137" s="472"/>
      <c r="G137" s="472"/>
      <c r="H137" s="472"/>
      <c r="I137" s="472"/>
      <c r="J137" s="472"/>
      <c r="K137" s="472"/>
      <c r="L137" s="472"/>
      <c r="M137" s="472"/>
      <c r="N137" s="472"/>
      <c r="O137" s="472"/>
      <c r="P137" s="472"/>
      <c r="Q137" s="472"/>
      <c r="R137" s="472"/>
      <c r="S137" s="472"/>
      <c r="T137" s="472"/>
      <c r="U137" s="472"/>
      <c r="V137" s="472"/>
      <c r="W137" s="472"/>
      <c r="X137" s="472"/>
      <c r="Y137" s="472"/>
      <c r="Z137" s="472"/>
      <c r="AA137" s="472"/>
      <c r="AB137" s="472"/>
      <c r="AC137" s="472"/>
      <c r="AD137" s="472"/>
      <c r="AE137" s="472"/>
    </row>
    <row r="138" spans="1:33" s="50" customFormat="1">
      <c r="B138" s="365" t="s">
        <v>433</v>
      </c>
      <c r="C138" s="158"/>
      <c r="D138" s="182"/>
      <c r="E138" s="513">
        <f t="shared" ref="E138:T138" si="153">E8-E9</f>
        <v>39448.655190470949</v>
      </c>
      <c r="F138" s="513">
        <f t="shared" si="153"/>
        <v>40974.218063399145</v>
      </c>
      <c r="G138" s="513">
        <f t="shared" si="153"/>
        <v>42552.529520825679</v>
      </c>
      <c r="H138" s="513">
        <f t="shared" si="153"/>
        <v>44185.314503924492</v>
      </c>
      <c r="I138" s="513">
        <f t="shared" si="153"/>
        <v>45874.352609934096</v>
      </c>
      <c r="J138" s="513">
        <f t="shared" si="153"/>
        <v>47621.47979118301</v>
      </c>
      <c r="K138" s="513">
        <f t="shared" si="153"/>
        <v>49428.590106296964</v>
      </c>
      <c r="L138" s="513">
        <f t="shared" si="153"/>
        <v>51297.637525178186</v>
      </c>
      <c r="M138" s="513">
        <f t="shared" si="153"/>
        <v>53230.637789395063</v>
      </c>
      <c r="N138" s="513">
        <f t="shared" si="153"/>
        <v>55229.67032967032</v>
      </c>
      <c r="O138" s="513">
        <f t="shared" si="153"/>
        <v>60666.747252747249</v>
      </c>
      <c r="P138" s="513">
        <f t="shared" si="153"/>
        <v>65512.471208791198</v>
      </c>
      <c r="Q138" s="513">
        <f t="shared" si="153"/>
        <v>69817.01920439559</v>
      </c>
      <c r="R138" s="513">
        <f t="shared" si="153"/>
        <v>73625.131218153838</v>
      </c>
      <c r="S138" s="513">
        <f t="shared" si="153"/>
        <v>76976.638312066352</v>
      </c>
      <c r="T138" s="513">
        <f t="shared" si="153"/>
        <v>79906.937403833726</v>
      </c>
      <c r="U138" s="513">
        <f>U8-U9</f>
        <v>82447.41801690335</v>
      </c>
      <c r="V138" s="513">
        <f t="shared" ref="V138:AE138" si="154">V8-V9</f>
        <v>84625.845792915119</v>
      </c>
      <c r="W138" s="513">
        <f t="shared" si="154"/>
        <v>86466.707072175224</v>
      </c>
      <c r="X138" s="513">
        <f t="shared" si="154"/>
        <v>87991.518416654697</v>
      </c>
      <c r="Y138" s="513">
        <f t="shared" si="154"/>
        <v>89219.104561973712</v>
      </c>
      <c r="Z138" s="513">
        <f t="shared" si="154"/>
        <v>90165.847935581696</v>
      </c>
      <c r="AA138" s="513">
        <f t="shared" si="154"/>
        <v>90845.912563998601</v>
      </c>
      <c r="AB138" s="513">
        <f t="shared" si="154"/>
        <v>91271.444909054117</v>
      </c>
      <c r="AC138" s="513">
        <f t="shared" si="154"/>
        <v>91452.753918405244</v>
      </c>
      <c r="AD138" s="513">
        <f t="shared" si="154"/>
        <v>91398.47234640157</v>
      </c>
      <c r="AE138" s="513">
        <f t="shared" si="154"/>
        <v>91115.701195057482</v>
      </c>
    </row>
    <row r="139" spans="1:33" s="50" customFormat="1" hidden="1" outlineLevel="1">
      <c r="B139" s="514" t="s">
        <v>463</v>
      </c>
      <c r="C139" s="515"/>
      <c r="D139" s="516"/>
      <c r="E139" s="517"/>
      <c r="F139" s="517"/>
      <c r="G139" s="517"/>
      <c r="H139" s="517"/>
      <c r="I139" s="517"/>
      <c r="J139" s="517"/>
      <c r="K139" s="517"/>
      <c r="L139" s="517"/>
      <c r="M139" s="517"/>
      <c r="N139" s="517"/>
      <c r="O139" s="518">
        <f>N142*1.03</f>
        <v>0.40100855777628275</v>
      </c>
      <c r="P139" s="518">
        <f t="shared" ref="P139:U139" si="155">O139*1.03</f>
        <v>0.41303881450957125</v>
      </c>
      <c r="Q139" s="518">
        <f t="shared" si="155"/>
        <v>0.4254299789448584</v>
      </c>
      <c r="R139" s="518">
        <f t="shared" si="155"/>
        <v>0.43819287831320414</v>
      </c>
      <c r="S139" s="518">
        <f t="shared" si="155"/>
        <v>0.45133866466260025</v>
      </c>
      <c r="T139" s="518">
        <f t="shared" si="155"/>
        <v>0.46487882460247826</v>
      </c>
      <c r="U139" s="518">
        <f t="shared" si="155"/>
        <v>0.47882518934055263</v>
      </c>
      <c r="V139" s="518">
        <f t="shared" ref="V139:AE139" si="156">U139*1.03</f>
        <v>0.49318994502076924</v>
      </c>
      <c r="W139" s="518">
        <f t="shared" si="156"/>
        <v>0.50798564337139229</v>
      </c>
      <c r="X139" s="518">
        <f t="shared" si="156"/>
        <v>0.52322521267253408</v>
      </c>
      <c r="Y139" s="518">
        <f t="shared" si="156"/>
        <v>0.53892196905271017</v>
      </c>
      <c r="Z139" s="518">
        <f t="shared" si="156"/>
        <v>0.55508962812429152</v>
      </c>
      <c r="AA139" s="518">
        <f t="shared" si="156"/>
        <v>0.57174231696802025</v>
      </c>
      <c r="AB139" s="518">
        <f t="shared" si="156"/>
        <v>0.58889458647706083</v>
      </c>
      <c r="AC139" s="518">
        <f t="shared" si="156"/>
        <v>0.6065614240713727</v>
      </c>
      <c r="AD139" s="518">
        <f t="shared" si="156"/>
        <v>0.62475826679351387</v>
      </c>
      <c r="AE139" s="518">
        <f t="shared" si="156"/>
        <v>0.64350101479731936</v>
      </c>
    </row>
    <row r="140" spans="1:33" s="50" customFormat="1" hidden="1" outlineLevel="1">
      <c r="B140" s="514" t="s">
        <v>461</v>
      </c>
      <c r="C140" s="515"/>
      <c r="D140" s="516"/>
      <c r="E140" s="517"/>
      <c r="F140" s="517"/>
      <c r="G140" s="517"/>
      <c r="H140" s="517"/>
      <c r="I140" s="517"/>
      <c r="J140" s="517"/>
      <c r="K140" s="517"/>
      <c r="L140" s="517"/>
      <c r="M140" s="517"/>
      <c r="N140" s="517"/>
      <c r="O140" s="518">
        <f>N142</f>
        <v>0.3893286968701774</v>
      </c>
      <c r="P140" s="518">
        <f t="shared" ref="P140:U140" si="157">O140</f>
        <v>0.3893286968701774</v>
      </c>
      <c r="Q140" s="518">
        <f t="shared" si="157"/>
        <v>0.3893286968701774</v>
      </c>
      <c r="R140" s="518">
        <f t="shared" si="157"/>
        <v>0.3893286968701774</v>
      </c>
      <c r="S140" s="518">
        <f t="shared" si="157"/>
        <v>0.3893286968701774</v>
      </c>
      <c r="T140" s="518">
        <f t="shared" si="157"/>
        <v>0.3893286968701774</v>
      </c>
      <c r="U140" s="518">
        <f t="shared" si="157"/>
        <v>0.3893286968701774</v>
      </c>
      <c r="V140" s="518">
        <f t="shared" ref="V140:AB140" si="158">U140</f>
        <v>0.3893286968701774</v>
      </c>
      <c r="W140" s="518">
        <f t="shared" si="158"/>
        <v>0.3893286968701774</v>
      </c>
      <c r="X140" s="518">
        <f t="shared" si="158"/>
        <v>0.3893286968701774</v>
      </c>
      <c r="Y140" s="518">
        <f t="shared" si="158"/>
        <v>0.3893286968701774</v>
      </c>
      <c r="Z140" s="518">
        <f t="shared" si="158"/>
        <v>0.3893286968701774</v>
      </c>
      <c r="AA140" s="518">
        <f t="shared" si="158"/>
        <v>0.3893286968701774</v>
      </c>
      <c r="AB140" s="518">
        <f t="shared" si="158"/>
        <v>0.3893286968701774</v>
      </c>
      <c r="AC140" s="518">
        <f>AB140</f>
        <v>0.3893286968701774</v>
      </c>
      <c r="AD140" s="518">
        <f>AC140</f>
        <v>0.3893286968701774</v>
      </c>
      <c r="AE140" s="518">
        <f>AD140</f>
        <v>0.3893286968701774</v>
      </c>
    </row>
    <row r="141" spans="1:33" s="50" customFormat="1" hidden="1" outlineLevel="1">
      <c r="B141" s="514" t="s">
        <v>462</v>
      </c>
      <c r="C141" s="515"/>
      <c r="D141" s="516"/>
      <c r="E141" s="517"/>
      <c r="F141" s="517"/>
      <c r="G141" s="517"/>
      <c r="H141" s="517"/>
      <c r="I141" s="517"/>
      <c r="J141" s="517"/>
      <c r="K141" s="517"/>
      <c r="L141" s="517"/>
      <c r="M141" s="517"/>
      <c r="N141" s="517"/>
      <c r="O141" s="518">
        <f>O140</f>
        <v>0.3893286968701774</v>
      </c>
      <c r="P141" s="518">
        <f t="shared" ref="P141:AE141" si="159">P140</f>
        <v>0.3893286968701774</v>
      </c>
      <c r="Q141" s="518">
        <f t="shared" si="159"/>
        <v>0.3893286968701774</v>
      </c>
      <c r="R141" s="518">
        <f t="shared" si="159"/>
        <v>0.3893286968701774</v>
      </c>
      <c r="S141" s="518">
        <f t="shared" si="159"/>
        <v>0.3893286968701774</v>
      </c>
      <c r="T141" s="518">
        <f t="shared" si="159"/>
        <v>0.3893286968701774</v>
      </c>
      <c r="U141" s="518">
        <f t="shared" si="159"/>
        <v>0.3893286968701774</v>
      </c>
      <c r="V141" s="518">
        <f t="shared" si="159"/>
        <v>0.3893286968701774</v>
      </c>
      <c r="W141" s="518">
        <f t="shared" si="159"/>
        <v>0.3893286968701774</v>
      </c>
      <c r="X141" s="518">
        <f t="shared" si="159"/>
        <v>0.3893286968701774</v>
      </c>
      <c r="Y141" s="518">
        <f t="shared" si="159"/>
        <v>0.3893286968701774</v>
      </c>
      <c r="Z141" s="518">
        <f t="shared" si="159"/>
        <v>0.3893286968701774</v>
      </c>
      <c r="AA141" s="518">
        <f t="shared" si="159"/>
        <v>0.3893286968701774</v>
      </c>
      <c r="AB141" s="518">
        <f t="shared" si="159"/>
        <v>0.3893286968701774</v>
      </c>
      <c r="AC141" s="518">
        <f t="shared" si="159"/>
        <v>0.3893286968701774</v>
      </c>
      <c r="AD141" s="518">
        <f t="shared" si="159"/>
        <v>0.3893286968701774</v>
      </c>
      <c r="AE141" s="518">
        <f t="shared" si="159"/>
        <v>0.3893286968701774</v>
      </c>
    </row>
    <row r="142" spans="1:33" s="50" customFormat="1" collapsed="1">
      <c r="A142" s="485" t="s">
        <v>78</v>
      </c>
      <c r="B142" s="519" t="s">
        <v>435</v>
      </c>
      <c r="C142" s="515"/>
      <c r="D142" s="516"/>
      <c r="E142" s="520">
        <v>0.4</v>
      </c>
      <c r="F142" s="521">
        <f>E142*0.997</f>
        <v>0.39880000000000004</v>
      </c>
      <c r="G142" s="521">
        <f t="shared" ref="G142:N143" si="160">F142*0.997</f>
        <v>0.39760360000000006</v>
      </c>
      <c r="H142" s="521">
        <f t="shared" si="160"/>
        <v>0.39641078920000006</v>
      </c>
      <c r="I142" s="521">
        <f t="shared" si="160"/>
        <v>0.39522155683240007</v>
      </c>
      <c r="J142" s="521">
        <f t="shared" si="160"/>
        <v>0.39403589216190288</v>
      </c>
      <c r="K142" s="521">
        <f t="shared" si="160"/>
        <v>0.39285378448541719</v>
      </c>
      <c r="L142" s="521">
        <f t="shared" si="160"/>
        <v>0.39167522313196096</v>
      </c>
      <c r="M142" s="521">
        <f t="shared" si="160"/>
        <v>0.39050019746256509</v>
      </c>
      <c r="N142" s="521">
        <f t="shared" si="160"/>
        <v>0.3893286968701774</v>
      </c>
      <c r="O142" s="486">
        <f t="shared" ref="O142:AE142" si="161">CHOOSE($J$1,O139,O140,O141)</f>
        <v>0.3893286968701774</v>
      </c>
      <c r="P142" s="486">
        <f t="shared" si="161"/>
        <v>0.3893286968701774</v>
      </c>
      <c r="Q142" s="486">
        <f t="shared" si="161"/>
        <v>0.3893286968701774</v>
      </c>
      <c r="R142" s="486">
        <f t="shared" si="161"/>
        <v>0.3893286968701774</v>
      </c>
      <c r="S142" s="486">
        <f t="shared" si="161"/>
        <v>0.3893286968701774</v>
      </c>
      <c r="T142" s="486">
        <f t="shared" si="161"/>
        <v>0.3893286968701774</v>
      </c>
      <c r="U142" s="486">
        <f t="shared" si="161"/>
        <v>0.3893286968701774</v>
      </c>
      <c r="V142" s="486">
        <f t="shared" si="161"/>
        <v>0.3893286968701774</v>
      </c>
      <c r="W142" s="486">
        <f t="shared" si="161"/>
        <v>0.3893286968701774</v>
      </c>
      <c r="X142" s="486">
        <f t="shared" si="161"/>
        <v>0.3893286968701774</v>
      </c>
      <c r="Y142" s="486">
        <f t="shared" si="161"/>
        <v>0.3893286968701774</v>
      </c>
      <c r="Z142" s="486">
        <f t="shared" si="161"/>
        <v>0.3893286968701774</v>
      </c>
      <c r="AA142" s="486">
        <f t="shared" si="161"/>
        <v>0.3893286968701774</v>
      </c>
      <c r="AB142" s="486">
        <f t="shared" si="161"/>
        <v>0.3893286968701774</v>
      </c>
      <c r="AC142" s="486">
        <f t="shared" si="161"/>
        <v>0.3893286968701774</v>
      </c>
      <c r="AD142" s="486">
        <f t="shared" si="161"/>
        <v>0.3893286968701774</v>
      </c>
      <c r="AE142" s="486">
        <f t="shared" si="161"/>
        <v>0.3893286968701774</v>
      </c>
      <c r="AG142" s="186" t="s">
        <v>444</v>
      </c>
    </row>
    <row r="143" spans="1:33" s="50" customFormat="1">
      <c r="B143" s="369" t="s">
        <v>436</v>
      </c>
      <c r="C143" s="158"/>
      <c r="D143" s="182"/>
      <c r="E143" s="522">
        <v>0.19</v>
      </c>
      <c r="F143" s="523">
        <f>E143*0.997</f>
        <v>0.18943000000000002</v>
      </c>
      <c r="G143" s="523">
        <f t="shared" si="160"/>
        <v>0.18886171000000002</v>
      </c>
      <c r="H143" s="523">
        <f t="shared" si="160"/>
        <v>0.18829512487000002</v>
      </c>
      <c r="I143" s="523">
        <f t="shared" si="160"/>
        <v>0.18773023949539003</v>
      </c>
      <c r="J143" s="523">
        <f t="shared" si="160"/>
        <v>0.18716704877690385</v>
      </c>
      <c r="K143" s="523">
        <f t="shared" si="160"/>
        <v>0.18660554763057313</v>
      </c>
      <c r="L143" s="523">
        <f t="shared" si="160"/>
        <v>0.1860457309876814</v>
      </c>
      <c r="M143" s="523">
        <f t="shared" si="160"/>
        <v>0.18548759379471835</v>
      </c>
      <c r="N143" s="523">
        <f>M143</f>
        <v>0.18548759379471835</v>
      </c>
      <c r="O143" s="524">
        <f>N143*1.01</f>
        <v>0.18734246973266555</v>
      </c>
      <c r="P143" s="524">
        <f t="shared" ref="P143:U143" si="162">O143*1.01</f>
        <v>0.1892158944299922</v>
      </c>
      <c r="Q143" s="524">
        <f t="shared" si="162"/>
        <v>0.19110805337429213</v>
      </c>
      <c r="R143" s="524">
        <f t="shared" si="162"/>
        <v>0.19301913390803505</v>
      </c>
      <c r="S143" s="524">
        <f t="shared" si="162"/>
        <v>0.19494932524711539</v>
      </c>
      <c r="T143" s="524">
        <f t="shared" si="162"/>
        <v>0.19689881849958654</v>
      </c>
      <c r="U143" s="524">
        <f t="shared" si="162"/>
        <v>0.1988678066845824</v>
      </c>
      <c r="V143" s="524">
        <f t="shared" ref="V143:AE143" si="163">U143*1.01</f>
        <v>0.20085648475142823</v>
      </c>
      <c r="W143" s="524">
        <f t="shared" si="163"/>
        <v>0.2028650495989425</v>
      </c>
      <c r="X143" s="524">
        <f t="shared" si="163"/>
        <v>0.20489370009493194</v>
      </c>
      <c r="Y143" s="524">
        <f t="shared" si="163"/>
        <v>0.20694263709588126</v>
      </c>
      <c r="Z143" s="524">
        <f t="shared" si="163"/>
        <v>0.20901206346684006</v>
      </c>
      <c r="AA143" s="524">
        <f t="shared" si="163"/>
        <v>0.21110218410150847</v>
      </c>
      <c r="AB143" s="524">
        <f t="shared" si="163"/>
        <v>0.21321320594252355</v>
      </c>
      <c r="AC143" s="524">
        <f t="shared" si="163"/>
        <v>0.21534533800194877</v>
      </c>
      <c r="AD143" s="524">
        <f t="shared" si="163"/>
        <v>0.21749879138196826</v>
      </c>
      <c r="AE143" s="524">
        <f t="shared" si="163"/>
        <v>0.21967377929578794</v>
      </c>
    </row>
    <row r="144" spans="1:33" s="50" customFormat="1">
      <c r="B144" s="369" t="s">
        <v>437</v>
      </c>
      <c r="C144" s="158"/>
      <c r="D144" s="182"/>
      <c r="E144" s="522">
        <v>0.09</v>
      </c>
      <c r="F144" s="523">
        <f>E144*0.999</f>
        <v>8.990999999999999E-2</v>
      </c>
      <c r="G144" s="523">
        <f t="shared" ref="G144:N144" si="164">F144*0.999</f>
        <v>8.9820089999999991E-2</v>
      </c>
      <c r="H144" s="523">
        <f t="shared" si="164"/>
        <v>8.9730269909999993E-2</v>
      </c>
      <c r="I144" s="523">
        <f t="shared" si="164"/>
        <v>8.964053964009E-2</v>
      </c>
      <c r="J144" s="523">
        <f t="shared" si="164"/>
        <v>8.9550899100449916E-2</v>
      </c>
      <c r="K144" s="523">
        <f t="shared" si="164"/>
        <v>8.9461348201349461E-2</v>
      </c>
      <c r="L144" s="523">
        <f t="shared" si="164"/>
        <v>8.9371886853148105E-2</v>
      </c>
      <c r="M144" s="523">
        <f t="shared" si="164"/>
        <v>8.9282514966294954E-2</v>
      </c>
      <c r="N144" s="523">
        <f t="shared" si="164"/>
        <v>8.9193232451328652E-2</v>
      </c>
      <c r="O144" s="524">
        <f t="shared" ref="O144:U144" si="165">1-O142-O143-O145</f>
        <v>9.0698261282219195E-2</v>
      </c>
      <c r="P144" s="524">
        <f t="shared" si="165"/>
        <v>9.2151142306041933E-2</v>
      </c>
      <c r="Q144" s="524">
        <f t="shared" si="165"/>
        <v>9.3552026025679857E-2</v>
      </c>
      <c r="R144" s="524">
        <f t="shared" si="165"/>
        <v>9.4901057729235461E-2</v>
      </c>
      <c r="S144" s="524">
        <f t="shared" si="165"/>
        <v>9.6198377505080646E-2</v>
      </c>
      <c r="T144" s="524">
        <f t="shared" si="165"/>
        <v>9.7444120256385713E-2</v>
      </c>
      <c r="U144" s="524">
        <f t="shared" si="165"/>
        <v>9.8638415715128436E-2</v>
      </c>
      <c r="V144" s="524">
        <f t="shared" ref="V144:AA144" si="166">1-V142-V143-V145</f>
        <v>9.9781388455583653E-2</v>
      </c>
      <c r="W144" s="524">
        <f t="shared" si="166"/>
        <v>0.10087315790729756</v>
      </c>
      <c r="X144" s="524">
        <f t="shared" si="166"/>
        <v>0.10191383836754397</v>
      </c>
      <c r="Y144" s="524">
        <f t="shared" si="166"/>
        <v>0.1029035390132681</v>
      </c>
      <c r="Z144" s="524">
        <f t="shared" si="166"/>
        <v>0.10384236391251594</v>
      </c>
      <c r="AA144" s="524">
        <f t="shared" si="166"/>
        <v>0.10473041203535222</v>
      </c>
      <c r="AB144" s="524">
        <f>1-AB142-AB143-AB145</f>
        <v>0.10556777726426675</v>
      </c>
      <c r="AC144" s="524">
        <f>1-AC142-AC143-AC145</f>
        <v>0.10635454840407188</v>
      </c>
      <c r="AD144" s="524">
        <f>1-AD142-AD143-AD145</f>
        <v>0.10709080919129044</v>
      </c>
      <c r="AE144" s="524">
        <f>1-AE142-AE143-AE145</f>
        <v>0.10777663830303641</v>
      </c>
    </row>
    <row r="145" spans="1:31" s="50" customFormat="1">
      <c r="B145" s="369" t="s">
        <v>438</v>
      </c>
      <c r="C145" s="158"/>
      <c r="D145" s="182"/>
      <c r="E145" s="525">
        <f>1-E144-E143-E142</f>
        <v>0.31999999999999995</v>
      </c>
      <c r="F145" s="525">
        <f t="shared" ref="F145:N145" si="167">1-F144-F143-F142</f>
        <v>0.32186000000000003</v>
      </c>
      <c r="G145" s="525">
        <f t="shared" si="167"/>
        <v>0.32371459999999996</v>
      </c>
      <c r="H145" s="525">
        <f t="shared" si="167"/>
        <v>0.32556381601999995</v>
      </c>
      <c r="I145" s="525">
        <f t="shared" si="167"/>
        <v>0.3274076640321199</v>
      </c>
      <c r="J145" s="525">
        <f t="shared" si="167"/>
        <v>0.32924615996074341</v>
      </c>
      <c r="K145" s="525">
        <f t="shared" si="167"/>
        <v>0.33107931968266024</v>
      </c>
      <c r="L145" s="525">
        <f t="shared" si="167"/>
        <v>0.33290715902720952</v>
      </c>
      <c r="M145" s="525">
        <f t="shared" si="167"/>
        <v>0.33472969377642164</v>
      </c>
      <c r="N145" s="525">
        <f t="shared" si="167"/>
        <v>0.33599047688377554</v>
      </c>
      <c r="O145" s="525">
        <f>N145*0.99</f>
        <v>0.33263057211493779</v>
      </c>
      <c r="P145" s="525">
        <f t="shared" ref="P145:U145" si="168">O145*0.99</f>
        <v>0.3293042663937884</v>
      </c>
      <c r="Q145" s="525">
        <f t="shared" si="168"/>
        <v>0.32601122372985053</v>
      </c>
      <c r="R145" s="525">
        <f t="shared" si="168"/>
        <v>0.32275111149255203</v>
      </c>
      <c r="S145" s="525">
        <f t="shared" si="168"/>
        <v>0.3195236003776265</v>
      </c>
      <c r="T145" s="525">
        <f t="shared" si="168"/>
        <v>0.31632836437385026</v>
      </c>
      <c r="U145" s="525">
        <f t="shared" si="168"/>
        <v>0.31316508073011173</v>
      </c>
      <c r="V145" s="525">
        <f t="shared" ref="V145:AE145" si="169">U145*0.99</f>
        <v>0.31003342992281063</v>
      </c>
      <c r="W145" s="525">
        <f t="shared" si="169"/>
        <v>0.30693309562358251</v>
      </c>
      <c r="X145" s="525">
        <f t="shared" si="169"/>
        <v>0.30386376466734666</v>
      </c>
      <c r="Y145" s="525">
        <f t="shared" si="169"/>
        <v>0.30082512702067321</v>
      </c>
      <c r="Z145" s="525">
        <f t="shared" si="169"/>
        <v>0.2978168757504665</v>
      </c>
      <c r="AA145" s="525">
        <f t="shared" si="169"/>
        <v>0.29483870699296183</v>
      </c>
      <c r="AB145" s="525">
        <f t="shared" si="169"/>
        <v>0.29189031992303222</v>
      </c>
      <c r="AC145" s="525">
        <f t="shared" si="169"/>
        <v>0.28897141672380189</v>
      </c>
      <c r="AD145" s="525">
        <f t="shared" si="169"/>
        <v>0.28608170255656384</v>
      </c>
      <c r="AE145" s="525">
        <f t="shared" si="169"/>
        <v>0.28322088553099822</v>
      </c>
    </row>
    <row r="146" spans="1:31" s="50" customFormat="1">
      <c r="B146" s="158"/>
      <c r="C146" s="158"/>
      <c r="D146" s="182"/>
      <c r="E146" s="182"/>
      <c r="F146" s="182"/>
      <c r="G146" s="182"/>
      <c r="H146" s="182"/>
      <c r="I146" s="182"/>
      <c r="J146" s="182"/>
      <c r="K146" s="182"/>
      <c r="L146" s="182"/>
      <c r="M146" s="182"/>
      <c r="N146" s="182"/>
      <c r="O146" s="182"/>
      <c r="P146" s="182"/>
      <c r="Q146" s="182"/>
      <c r="R146" s="182"/>
      <c r="S146" s="182"/>
      <c r="T146" s="182"/>
      <c r="U146" s="182"/>
      <c r="V146" s="182"/>
      <c r="W146" s="182"/>
      <c r="X146" s="182"/>
      <c r="Y146" s="182"/>
      <c r="Z146" s="182"/>
      <c r="AA146" s="182"/>
      <c r="AB146" s="182"/>
      <c r="AC146" s="182"/>
      <c r="AD146" s="182"/>
      <c r="AE146" s="182"/>
    </row>
    <row r="147" spans="1:31" ht="12.75" customHeight="1">
      <c r="B147" s="473" t="s">
        <v>445</v>
      </c>
      <c r="C147" s="473"/>
      <c r="D147" s="473"/>
      <c r="E147" s="473"/>
      <c r="F147" s="473"/>
      <c r="G147" s="473"/>
      <c r="H147" s="473"/>
      <c r="I147" s="473"/>
      <c r="J147" s="473"/>
      <c r="K147" s="473"/>
      <c r="L147" s="473"/>
      <c r="M147" s="473"/>
      <c r="N147" s="473"/>
      <c r="O147" s="473"/>
      <c r="P147" s="473"/>
      <c r="Q147" s="473"/>
      <c r="R147" s="473"/>
      <c r="S147" s="473"/>
      <c r="T147" s="473"/>
      <c r="U147" s="473"/>
      <c r="V147" s="473"/>
      <c r="W147" s="473"/>
      <c r="X147" s="473"/>
      <c r="Y147" s="473"/>
      <c r="Z147" s="473"/>
      <c r="AA147" s="473"/>
      <c r="AB147" s="473"/>
      <c r="AC147" s="473"/>
      <c r="AD147" s="473"/>
      <c r="AE147" s="473"/>
    </row>
    <row r="148" spans="1:31" ht="12.75" customHeight="1">
      <c r="B148" s="359" t="s">
        <v>364</v>
      </c>
      <c r="C148" s="10"/>
      <c r="D148" s="371"/>
    </row>
    <row r="149" spans="1:31" ht="12.75" customHeight="1" outlineLevel="1">
      <c r="B149" s="487" t="s">
        <v>462</v>
      </c>
      <c r="C149" s="490"/>
      <c r="D149" s="482"/>
      <c r="E149" s="481"/>
      <c r="F149" s="481"/>
      <c r="G149" s="481"/>
      <c r="H149" s="481"/>
      <c r="I149" s="481"/>
      <c r="J149" s="481"/>
      <c r="K149" s="481"/>
      <c r="L149" s="481"/>
      <c r="M149" s="481"/>
      <c r="N149" s="481"/>
      <c r="O149" s="483">
        <f>N152</f>
        <v>0.55000000000000004</v>
      </c>
      <c r="P149" s="483">
        <f t="shared" ref="P149:U149" si="170">O149*0.975</f>
        <v>0.53625</v>
      </c>
      <c r="Q149" s="483">
        <f t="shared" si="170"/>
        <v>0.52284374999999994</v>
      </c>
      <c r="R149" s="483">
        <f t="shared" si="170"/>
        <v>0.5097726562499999</v>
      </c>
      <c r="S149" s="483">
        <f t="shared" si="170"/>
        <v>0.49702833984374989</v>
      </c>
      <c r="T149" s="483">
        <f t="shared" si="170"/>
        <v>0.48460263134765613</v>
      </c>
      <c r="U149" s="483">
        <f t="shared" si="170"/>
        <v>0.47248756556396471</v>
      </c>
      <c r="V149" s="483">
        <f t="shared" ref="V149:AE149" si="171">U149*0.975</f>
        <v>0.46067537642486556</v>
      </c>
      <c r="W149" s="483">
        <f t="shared" si="171"/>
        <v>0.4491584920142439</v>
      </c>
      <c r="X149" s="483">
        <f t="shared" si="171"/>
        <v>0.43792952971388782</v>
      </c>
      <c r="Y149" s="483">
        <f t="shared" si="171"/>
        <v>0.42698129147104064</v>
      </c>
      <c r="Z149" s="483">
        <f t="shared" si="171"/>
        <v>0.41630675918426463</v>
      </c>
      <c r="AA149" s="483">
        <f t="shared" si="171"/>
        <v>0.40589909020465803</v>
      </c>
      <c r="AB149" s="483">
        <f t="shared" si="171"/>
        <v>0.39575161294954159</v>
      </c>
      <c r="AC149" s="483">
        <f t="shared" si="171"/>
        <v>0.38585782262580304</v>
      </c>
      <c r="AD149" s="483">
        <f t="shared" si="171"/>
        <v>0.37621137706015795</v>
      </c>
      <c r="AE149" s="483">
        <f t="shared" si="171"/>
        <v>0.36680609263365399</v>
      </c>
    </row>
    <row r="150" spans="1:31" ht="12.75" customHeight="1" outlineLevel="1">
      <c r="B150" s="487" t="s">
        <v>463</v>
      </c>
      <c r="C150" s="490"/>
      <c r="D150" s="482"/>
      <c r="E150" s="481"/>
      <c r="F150" s="481"/>
      <c r="G150" s="481"/>
      <c r="H150" s="481"/>
      <c r="I150" s="481"/>
      <c r="J150" s="481"/>
      <c r="K150" s="481"/>
      <c r="L150" s="481"/>
      <c r="M150" s="481"/>
      <c r="N150" s="481"/>
      <c r="O150" s="526">
        <f>N152*0.95</f>
        <v>0.52249999999999996</v>
      </c>
      <c r="P150" s="526">
        <f>O150*0.95</f>
        <v>0.49637499999999996</v>
      </c>
      <c r="Q150" s="526">
        <f>P150*1.01</f>
        <v>0.50133874999999994</v>
      </c>
      <c r="R150" s="526">
        <v>0.45</v>
      </c>
      <c r="S150" s="526">
        <f t="shared" ref="S150:AE150" si="172">R150*1.01</f>
        <v>0.45450000000000002</v>
      </c>
      <c r="T150" s="526">
        <f t="shared" si="172"/>
        <v>0.45904500000000004</v>
      </c>
      <c r="U150" s="526">
        <f t="shared" si="172"/>
        <v>0.46363545000000006</v>
      </c>
      <c r="V150" s="526">
        <f t="shared" si="172"/>
        <v>0.46827180450000006</v>
      </c>
      <c r="W150" s="526">
        <f t="shared" si="172"/>
        <v>0.47295452254500003</v>
      </c>
      <c r="X150" s="526">
        <f t="shared" si="172"/>
        <v>0.47768406777045003</v>
      </c>
      <c r="Y150" s="526">
        <f t="shared" si="172"/>
        <v>0.48246090844815454</v>
      </c>
      <c r="Z150" s="526">
        <f t="shared" si="172"/>
        <v>0.4872855175326361</v>
      </c>
      <c r="AA150" s="526">
        <f t="shared" si="172"/>
        <v>0.49215837270796248</v>
      </c>
      <c r="AB150" s="526">
        <f t="shared" si="172"/>
        <v>0.4970799564350421</v>
      </c>
      <c r="AC150" s="526">
        <f t="shared" si="172"/>
        <v>0.50205075599939253</v>
      </c>
      <c r="AD150" s="526">
        <f t="shared" si="172"/>
        <v>0.50707126355938648</v>
      </c>
      <c r="AE150" s="526">
        <f t="shared" si="172"/>
        <v>0.51214197619498036</v>
      </c>
    </row>
    <row r="151" spans="1:31" ht="12.75" customHeight="1" outlineLevel="1">
      <c r="B151" s="487" t="s">
        <v>464</v>
      </c>
      <c r="C151" s="490"/>
      <c r="D151" s="482"/>
      <c r="E151" s="481"/>
      <c r="F151" s="481"/>
      <c r="G151" s="481"/>
      <c r="H151" s="481"/>
      <c r="I151" s="481"/>
      <c r="J151" s="481"/>
      <c r="K151" s="481"/>
      <c r="L151" s="481"/>
      <c r="M151" s="481"/>
      <c r="N151" s="481"/>
      <c r="O151" s="489">
        <f>N152*0.85</f>
        <v>0.46750000000000003</v>
      </c>
      <c r="P151" s="489">
        <f t="shared" ref="P151:U151" si="173">O152*0.85</f>
        <v>0.44412499999999994</v>
      </c>
      <c r="Q151" s="489">
        <f t="shared" si="173"/>
        <v>0.42191874999999995</v>
      </c>
      <c r="R151" s="489">
        <f t="shared" si="173"/>
        <v>0.42613793749999995</v>
      </c>
      <c r="S151" s="489">
        <f t="shared" si="173"/>
        <v>0.38250000000000001</v>
      </c>
      <c r="T151" s="489">
        <f t="shared" si="173"/>
        <v>0.38632500000000003</v>
      </c>
      <c r="U151" s="489">
        <f t="shared" si="173"/>
        <v>0.39018825000000001</v>
      </c>
      <c r="V151" s="489">
        <f t="shared" ref="V151:AE151" si="174">U152*0.85</f>
        <v>0.39409013250000002</v>
      </c>
      <c r="W151" s="489">
        <f t="shared" si="174"/>
        <v>0.39803103382500005</v>
      </c>
      <c r="X151" s="489">
        <f t="shared" si="174"/>
        <v>0.40201134416325002</v>
      </c>
      <c r="Y151" s="489">
        <f t="shared" si="174"/>
        <v>0.40603145760488252</v>
      </c>
      <c r="Z151" s="489">
        <f t="shared" si="174"/>
        <v>0.41009177218093135</v>
      </c>
      <c r="AA151" s="489">
        <f t="shared" si="174"/>
        <v>0.41419268990274066</v>
      </c>
      <c r="AB151" s="489">
        <f t="shared" si="174"/>
        <v>0.41833461680176809</v>
      </c>
      <c r="AC151" s="489">
        <f t="shared" si="174"/>
        <v>0.42251796296978578</v>
      </c>
      <c r="AD151" s="489">
        <f t="shared" si="174"/>
        <v>0.42674314259948365</v>
      </c>
      <c r="AE151" s="489">
        <f t="shared" si="174"/>
        <v>0.43101057402547849</v>
      </c>
    </row>
    <row r="152" spans="1:31" ht="12.75" customHeight="1">
      <c r="A152" s="485" t="s">
        <v>78</v>
      </c>
      <c r="B152" s="490" t="s">
        <v>108</v>
      </c>
      <c r="C152" s="490"/>
      <c r="D152" s="482"/>
      <c r="E152" s="481"/>
      <c r="F152" s="481"/>
      <c r="G152" s="481"/>
      <c r="H152" s="481"/>
      <c r="I152" s="481"/>
      <c r="J152" s="484">
        <v>0.32</v>
      </c>
      <c r="K152" s="484">
        <v>0.45</v>
      </c>
      <c r="L152" s="484">
        <v>0.53500000000000003</v>
      </c>
      <c r="M152" s="484">
        <v>0.56499999999999995</v>
      </c>
      <c r="N152" s="484">
        <v>0.55000000000000004</v>
      </c>
      <c r="O152" s="486">
        <f t="shared" ref="O152:AE152" si="175">CHOOSE($J$1,O149,O150,O151)</f>
        <v>0.52249999999999996</v>
      </c>
      <c r="P152" s="486">
        <f t="shared" si="175"/>
        <v>0.49637499999999996</v>
      </c>
      <c r="Q152" s="486">
        <f t="shared" si="175"/>
        <v>0.50133874999999994</v>
      </c>
      <c r="R152" s="486">
        <f t="shared" si="175"/>
        <v>0.45</v>
      </c>
      <c r="S152" s="486">
        <f t="shared" si="175"/>
        <v>0.45450000000000002</v>
      </c>
      <c r="T152" s="486">
        <f t="shared" si="175"/>
        <v>0.45904500000000004</v>
      </c>
      <c r="U152" s="486">
        <f t="shared" si="175"/>
        <v>0.46363545000000006</v>
      </c>
      <c r="V152" s="486">
        <f t="shared" si="175"/>
        <v>0.46827180450000006</v>
      </c>
      <c r="W152" s="486">
        <f t="shared" si="175"/>
        <v>0.47295452254500003</v>
      </c>
      <c r="X152" s="486">
        <f t="shared" si="175"/>
        <v>0.47768406777045003</v>
      </c>
      <c r="Y152" s="486">
        <f t="shared" si="175"/>
        <v>0.48246090844815454</v>
      </c>
      <c r="Z152" s="486">
        <f t="shared" si="175"/>
        <v>0.4872855175326361</v>
      </c>
      <c r="AA152" s="486">
        <f t="shared" si="175"/>
        <v>0.49215837270796248</v>
      </c>
      <c r="AB152" s="486">
        <f t="shared" si="175"/>
        <v>0.4970799564350421</v>
      </c>
      <c r="AC152" s="486">
        <f t="shared" si="175"/>
        <v>0.50205075599939253</v>
      </c>
      <c r="AD152" s="486">
        <f t="shared" si="175"/>
        <v>0.50707126355938648</v>
      </c>
      <c r="AE152" s="486">
        <f t="shared" si="175"/>
        <v>0.51214197619498036</v>
      </c>
    </row>
    <row r="153" spans="1:31" ht="12.75" hidden="1" customHeight="1" outlineLevel="1">
      <c r="B153" s="487" t="s">
        <v>462</v>
      </c>
      <c r="C153" s="490"/>
      <c r="D153" s="482"/>
      <c r="E153" s="481"/>
      <c r="F153" s="481"/>
      <c r="G153" s="481"/>
      <c r="H153" s="481"/>
      <c r="I153" s="481"/>
      <c r="J153" s="481"/>
      <c r="K153" s="481"/>
      <c r="L153" s="481"/>
      <c r="M153" s="481"/>
      <c r="N153" s="481"/>
      <c r="O153" s="481"/>
      <c r="P153" s="526"/>
      <c r="Q153" s="526">
        <f>Q154*1.5</f>
        <v>2.2499999999999999E-2</v>
      </c>
      <c r="R153" s="526">
        <f>R154*1.5</f>
        <v>4.4999999999999998E-2</v>
      </c>
      <c r="S153" s="526">
        <f>S154*1.5</f>
        <v>7.5000000000000011E-2</v>
      </c>
      <c r="T153" s="526">
        <f>T154*1.5</f>
        <v>8.2500000000000018E-2</v>
      </c>
      <c r="U153" s="526">
        <f>U154*1.5</f>
        <v>9.0750000000000025E-2</v>
      </c>
      <c r="V153" s="526">
        <f t="shared" ref="V153:AE153" si="176">V154*1.5</f>
        <v>9.9825000000000025E-2</v>
      </c>
      <c r="W153" s="526">
        <f t="shared" si="176"/>
        <v>0.10980750000000003</v>
      </c>
      <c r="X153" s="526">
        <f t="shared" si="176"/>
        <v>0.12078825000000004</v>
      </c>
      <c r="Y153" s="526">
        <f t="shared" si="176"/>
        <v>0.13286707500000006</v>
      </c>
      <c r="Z153" s="526">
        <f t="shared" si="176"/>
        <v>0.14615378250000005</v>
      </c>
      <c r="AA153" s="526">
        <f t="shared" si="176"/>
        <v>0.16076916075000008</v>
      </c>
      <c r="AB153" s="526">
        <f t="shared" si="176"/>
        <v>0.17684607682500009</v>
      </c>
      <c r="AC153" s="526">
        <f t="shared" si="176"/>
        <v>0.19453068450750011</v>
      </c>
      <c r="AD153" s="526">
        <f t="shared" si="176"/>
        <v>0.21398375295825012</v>
      </c>
      <c r="AE153" s="526">
        <f t="shared" si="176"/>
        <v>0.23538212825407515</v>
      </c>
    </row>
    <row r="154" spans="1:31" ht="12.75" hidden="1" customHeight="1" outlineLevel="1">
      <c r="B154" s="487" t="s">
        <v>463</v>
      </c>
      <c r="C154" s="490"/>
      <c r="D154" s="482"/>
      <c r="E154" s="481"/>
      <c r="F154" s="481"/>
      <c r="G154" s="481"/>
      <c r="H154" s="481"/>
      <c r="I154" s="481"/>
      <c r="J154" s="481"/>
      <c r="K154" s="481"/>
      <c r="L154" s="481"/>
      <c r="M154" s="481"/>
      <c r="N154" s="481"/>
      <c r="O154" s="481"/>
      <c r="P154" s="484"/>
      <c r="Q154" s="484">
        <v>1.4999999999999999E-2</v>
      </c>
      <c r="R154" s="484">
        <v>0.03</v>
      </c>
      <c r="S154" s="484">
        <v>0.05</v>
      </c>
      <c r="T154" s="489">
        <f>S154*1.1</f>
        <v>5.5000000000000007E-2</v>
      </c>
      <c r="U154" s="489">
        <f>T154*1.1</f>
        <v>6.0500000000000012E-2</v>
      </c>
      <c r="V154" s="489">
        <f t="shared" ref="V154:AB154" si="177">U154*1.1</f>
        <v>6.6550000000000012E-2</v>
      </c>
      <c r="W154" s="489">
        <f t="shared" si="177"/>
        <v>7.320500000000002E-2</v>
      </c>
      <c r="X154" s="489">
        <f t="shared" si="177"/>
        <v>8.0525500000000028E-2</v>
      </c>
      <c r="Y154" s="489">
        <f t="shared" si="177"/>
        <v>8.8578050000000033E-2</v>
      </c>
      <c r="Z154" s="489">
        <f t="shared" si="177"/>
        <v>9.7435855000000043E-2</v>
      </c>
      <c r="AA154" s="489">
        <f t="shared" si="177"/>
        <v>0.10717944050000006</v>
      </c>
      <c r="AB154" s="489">
        <f t="shared" si="177"/>
        <v>0.11789738455000007</v>
      </c>
      <c r="AC154" s="489">
        <f>AB154*1.1</f>
        <v>0.12968712300500007</v>
      </c>
      <c r="AD154" s="489">
        <f>AC154*1.1</f>
        <v>0.14265583530550008</v>
      </c>
      <c r="AE154" s="489">
        <f>AD154*1.1</f>
        <v>0.1569214188360501</v>
      </c>
    </row>
    <row r="155" spans="1:31" ht="12.75" hidden="1" customHeight="1" outlineLevel="1">
      <c r="B155" s="487" t="s">
        <v>464</v>
      </c>
      <c r="C155" s="490"/>
      <c r="D155" s="482"/>
      <c r="E155" s="481"/>
      <c r="F155" s="481"/>
      <c r="G155" s="481"/>
      <c r="H155" s="481"/>
      <c r="I155" s="481"/>
      <c r="J155" s="481"/>
      <c r="K155" s="481"/>
      <c r="L155" s="481"/>
      <c r="M155" s="481"/>
      <c r="N155" s="481"/>
      <c r="O155" s="481"/>
      <c r="P155" s="526"/>
      <c r="Q155" s="526">
        <f>Q154*0.75</f>
        <v>1.125E-2</v>
      </c>
      <c r="R155" s="526">
        <f>R154*0.5</f>
        <v>1.4999999999999999E-2</v>
      </c>
      <c r="S155" s="526">
        <f>S154*0.5</f>
        <v>2.5000000000000001E-2</v>
      </c>
      <c r="T155" s="526">
        <f>T154*0.5</f>
        <v>2.7500000000000004E-2</v>
      </c>
      <c r="U155" s="526">
        <f>U154*0.5</f>
        <v>3.0250000000000006E-2</v>
      </c>
      <c r="V155" s="526">
        <f t="shared" ref="V155:AB155" si="178">V154*0.5</f>
        <v>3.3275000000000006E-2</v>
      </c>
      <c r="W155" s="526">
        <f t="shared" si="178"/>
        <v>3.660250000000001E-2</v>
      </c>
      <c r="X155" s="526">
        <f t="shared" si="178"/>
        <v>4.0262750000000014E-2</v>
      </c>
      <c r="Y155" s="526">
        <f t="shared" si="178"/>
        <v>4.4289025000000017E-2</v>
      </c>
      <c r="Z155" s="526">
        <f t="shared" si="178"/>
        <v>4.8717927500000022E-2</v>
      </c>
      <c r="AA155" s="526">
        <f t="shared" si="178"/>
        <v>5.3589720250000028E-2</v>
      </c>
      <c r="AB155" s="526">
        <f t="shared" si="178"/>
        <v>5.8948692275000034E-2</v>
      </c>
      <c r="AC155" s="526">
        <f>AC154*0.5</f>
        <v>6.4843561502500036E-2</v>
      </c>
      <c r="AD155" s="526">
        <f>AD154*0.5</f>
        <v>7.1327917652750039E-2</v>
      </c>
      <c r="AE155" s="526">
        <f>AE154*0.5</f>
        <v>7.8460709418025049E-2</v>
      </c>
    </row>
    <row r="156" spans="1:31" ht="12.75" customHeight="1" collapsed="1">
      <c r="A156" s="485" t="s">
        <v>78</v>
      </c>
      <c r="B156" s="490" t="s">
        <v>32</v>
      </c>
      <c r="C156" s="490"/>
      <c r="D156" s="482"/>
      <c r="E156" s="481"/>
      <c r="F156" s="481"/>
      <c r="G156" s="481"/>
      <c r="H156" s="481"/>
      <c r="I156" s="481"/>
      <c r="J156" s="481"/>
      <c r="K156" s="481"/>
      <c r="L156" s="481"/>
      <c r="M156" s="481"/>
      <c r="N156" s="481"/>
      <c r="O156" s="481"/>
      <c r="P156" s="481"/>
      <c r="Q156" s="486">
        <f>CHOOSE($J$1,Q153,Q154,Q155)</f>
        <v>1.4999999999999999E-2</v>
      </c>
      <c r="R156" s="486">
        <f>CHOOSE($J$1,R153,R154,R155)</f>
        <v>0.03</v>
      </c>
      <c r="S156" s="486">
        <f>CHOOSE($J$1,S153,S154,S155)</f>
        <v>0.05</v>
      </c>
      <c r="T156" s="486">
        <f>CHOOSE($J$1,T153,T154,T155)</f>
        <v>5.5000000000000007E-2</v>
      </c>
      <c r="U156" s="486">
        <f>CHOOSE($J$1,U153,U154,U155)</f>
        <v>6.0500000000000012E-2</v>
      </c>
      <c r="V156" s="486">
        <f t="shared" ref="V156:AE156" si="179">CHOOSE($J$1,V153,V154,V155)</f>
        <v>6.6550000000000012E-2</v>
      </c>
      <c r="W156" s="486">
        <f t="shared" si="179"/>
        <v>7.320500000000002E-2</v>
      </c>
      <c r="X156" s="486">
        <f t="shared" si="179"/>
        <v>8.0525500000000028E-2</v>
      </c>
      <c r="Y156" s="486">
        <f t="shared" si="179"/>
        <v>8.8578050000000033E-2</v>
      </c>
      <c r="Z156" s="486">
        <f t="shared" si="179"/>
        <v>9.7435855000000043E-2</v>
      </c>
      <c r="AA156" s="486">
        <f t="shared" si="179"/>
        <v>0.10717944050000006</v>
      </c>
      <c r="AB156" s="486">
        <f t="shared" si="179"/>
        <v>0.11789738455000007</v>
      </c>
      <c r="AC156" s="486">
        <f t="shared" si="179"/>
        <v>0.12968712300500007</v>
      </c>
      <c r="AD156" s="486">
        <f t="shared" si="179"/>
        <v>0.14265583530550008</v>
      </c>
      <c r="AE156" s="486">
        <f t="shared" si="179"/>
        <v>0.1569214188360501</v>
      </c>
    </row>
    <row r="157" spans="1:31" ht="12.75" customHeight="1" outlineLevel="1">
      <c r="B157" s="487" t="s">
        <v>462</v>
      </c>
      <c r="C157" s="490"/>
      <c r="D157" s="482"/>
      <c r="E157" s="481"/>
      <c r="F157" s="481"/>
      <c r="G157" s="481"/>
      <c r="H157" s="481"/>
      <c r="I157" s="481"/>
      <c r="J157" s="481"/>
      <c r="K157" s="481"/>
      <c r="L157" s="481"/>
      <c r="M157" s="481"/>
      <c r="N157" s="481"/>
      <c r="O157" s="481"/>
      <c r="P157" s="526"/>
      <c r="Q157" s="526">
        <f>Q158*1.5</f>
        <v>0.06</v>
      </c>
      <c r="R157" s="526">
        <f>R158*1.5</f>
        <v>8.2500000000000004E-2</v>
      </c>
      <c r="S157" s="526">
        <f>S158*1.5</f>
        <v>0.10500000000000001</v>
      </c>
      <c r="T157" s="526">
        <f>T158*1.5</f>
        <v>0.11550000000000002</v>
      </c>
      <c r="U157" s="526">
        <f>U158*1.5</f>
        <v>0.12705000000000005</v>
      </c>
      <c r="V157" s="526">
        <f t="shared" ref="V157:AE157" si="180">V158*1.5</f>
        <v>0.13975500000000005</v>
      </c>
      <c r="W157" s="526">
        <f t="shared" si="180"/>
        <v>0.15373050000000005</v>
      </c>
      <c r="X157" s="526">
        <f t="shared" si="180"/>
        <v>0.16910355000000007</v>
      </c>
      <c r="Y157" s="526">
        <f t="shared" si="180"/>
        <v>0.18601390500000009</v>
      </c>
      <c r="Z157" s="526">
        <f t="shared" si="180"/>
        <v>0.2046152955000001</v>
      </c>
      <c r="AA157" s="526">
        <f t="shared" si="180"/>
        <v>0.2250768250500001</v>
      </c>
      <c r="AB157" s="526">
        <f t="shared" si="180"/>
        <v>0.24758450755500011</v>
      </c>
      <c r="AC157" s="526">
        <f t="shared" si="180"/>
        <v>0.27234295831050015</v>
      </c>
      <c r="AD157" s="526">
        <f t="shared" si="180"/>
        <v>0.29957725414155018</v>
      </c>
      <c r="AE157" s="526">
        <f t="shared" si="180"/>
        <v>0.32953497955570521</v>
      </c>
    </row>
    <row r="158" spans="1:31" ht="12.75" customHeight="1" outlineLevel="1">
      <c r="B158" s="487" t="s">
        <v>463</v>
      </c>
      <c r="C158" s="490"/>
      <c r="D158" s="482"/>
      <c r="E158" s="481"/>
      <c r="F158" s="481"/>
      <c r="G158" s="481"/>
      <c r="H158" s="481"/>
      <c r="I158" s="481"/>
      <c r="J158" s="481"/>
      <c r="K158" s="481"/>
      <c r="L158" s="481"/>
      <c r="M158" s="481"/>
      <c r="N158" s="481"/>
      <c r="O158" s="481"/>
      <c r="P158" s="484"/>
      <c r="Q158" s="484">
        <v>0.04</v>
      </c>
      <c r="R158" s="484">
        <v>5.5E-2</v>
      </c>
      <c r="S158" s="484">
        <v>7.0000000000000007E-2</v>
      </c>
      <c r="T158" s="489">
        <f>S158*1.1</f>
        <v>7.7000000000000013E-2</v>
      </c>
      <c r="U158" s="489">
        <f>T158*1.1</f>
        <v>8.4700000000000025E-2</v>
      </c>
      <c r="V158" s="489">
        <f t="shared" ref="V158:AB158" si="181">U158*1.1</f>
        <v>9.3170000000000031E-2</v>
      </c>
      <c r="W158" s="489">
        <f t="shared" si="181"/>
        <v>0.10248700000000004</v>
      </c>
      <c r="X158" s="489">
        <f t="shared" si="181"/>
        <v>0.11273570000000005</v>
      </c>
      <c r="Y158" s="489">
        <f t="shared" si="181"/>
        <v>0.12400927000000006</v>
      </c>
      <c r="Z158" s="489">
        <f t="shared" si="181"/>
        <v>0.13641019700000007</v>
      </c>
      <c r="AA158" s="489">
        <f t="shared" si="181"/>
        <v>0.15005121670000007</v>
      </c>
      <c r="AB158" s="489">
        <f t="shared" si="181"/>
        <v>0.16505633837000008</v>
      </c>
      <c r="AC158" s="489">
        <f>AB158*1.1</f>
        <v>0.1815619722070001</v>
      </c>
      <c r="AD158" s="489">
        <f>AC158*1.1</f>
        <v>0.19971816942770013</v>
      </c>
      <c r="AE158" s="489">
        <f>AD158*1.1</f>
        <v>0.21968998637047016</v>
      </c>
    </row>
    <row r="159" spans="1:31" ht="12.75" customHeight="1" outlineLevel="1">
      <c r="B159" s="487" t="s">
        <v>464</v>
      </c>
      <c r="C159" s="490"/>
      <c r="D159" s="482"/>
      <c r="E159" s="481"/>
      <c r="F159" s="481"/>
      <c r="G159" s="481"/>
      <c r="H159" s="481"/>
      <c r="I159" s="481"/>
      <c r="J159" s="481"/>
      <c r="K159" s="481"/>
      <c r="L159" s="481"/>
      <c r="M159" s="481"/>
      <c r="N159" s="481"/>
      <c r="O159" s="481"/>
      <c r="P159" s="526"/>
      <c r="Q159" s="526">
        <f>Q158*0.75</f>
        <v>0.03</v>
      </c>
      <c r="R159" s="526">
        <f>R158*0.5</f>
        <v>2.75E-2</v>
      </c>
      <c r="S159" s="526">
        <f>S158*0.5</f>
        <v>3.5000000000000003E-2</v>
      </c>
      <c r="T159" s="526">
        <f>T158*0.5</f>
        <v>3.8500000000000006E-2</v>
      </c>
      <c r="U159" s="526">
        <f>U158*0.5</f>
        <v>4.2350000000000013E-2</v>
      </c>
      <c r="V159" s="526">
        <f t="shared" ref="V159:AB159" si="182">V158*0.5</f>
        <v>4.6585000000000015E-2</v>
      </c>
      <c r="W159" s="526">
        <f t="shared" si="182"/>
        <v>5.1243500000000018E-2</v>
      </c>
      <c r="X159" s="526">
        <f t="shared" si="182"/>
        <v>5.6367850000000025E-2</v>
      </c>
      <c r="Y159" s="526">
        <f t="shared" si="182"/>
        <v>6.200463500000003E-2</v>
      </c>
      <c r="Z159" s="526">
        <f t="shared" si="182"/>
        <v>6.8205098500000033E-2</v>
      </c>
      <c r="AA159" s="526">
        <f t="shared" si="182"/>
        <v>7.5025608350000036E-2</v>
      </c>
      <c r="AB159" s="526">
        <f t="shared" si="182"/>
        <v>8.2528169185000042E-2</v>
      </c>
      <c r="AC159" s="526">
        <f>AC158*0.5</f>
        <v>9.078098610350005E-2</v>
      </c>
      <c r="AD159" s="526">
        <f>AD158*0.5</f>
        <v>9.9859084713850063E-2</v>
      </c>
      <c r="AE159" s="526">
        <f>AE158*0.5</f>
        <v>0.10984499318523508</v>
      </c>
    </row>
    <row r="160" spans="1:31" ht="12.75" customHeight="1">
      <c r="A160" s="485" t="s">
        <v>78</v>
      </c>
      <c r="B160" s="490" t="s">
        <v>33</v>
      </c>
      <c r="C160" s="490"/>
      <c r="D160" s="482"/>
      <c r="E160" s="481"/>
      <c r="F160" s="481"/>
      <c r="G160" s="481"/>
      <c r="H160" s="481"/>
      <c r="I160" s="481"/>
      <c r="J160" s="481"/>
      <c r="K160" s="481"/>
      <c r="L160" s="481"/>
      <c r="M160" s="481"/>
      <c r="N160" s="481"/>
      <c r="O160" s="481"/>
      <c r="P160" s="481"/>
      <c r="Q160" s="486">
        <f>CHOOSE($J$1,Q157,Q158,Q159)</f>
        <v>0.04</v>
      </c>
      <c r="R160" s="486">
        <f>CHOOSE($J$1,R157,R158,R159)</f>
        <v>5.5E-2</v>
      </c>
      <c r="S160" s="486">
        <f>CHOOSE($J$1,S157,S158,S159)</f>
        <v>7.0000000000000007E-2</v>
      </c>
      <c r="T160" s="486">
        <f>CHOOSE($J$1,T157,T158,T159)</f>
        <v>7.7000000000000013E-2</v>
      </c>
      <c r="U160" s="486">
        <f>CHOOSE($J$1,U157,U158,U159)</f>
        <v>8.4700000000000025E-2</v>
      </c>
      <c r="V160" s="486">
        <f t="shared" ref="V160:AE160" si="183">CHOOSE($J$1,V157,V158,V159)</f>
        <v>9.3170000000000031E-2</v>
      </c>
      <c r="W160" s="486">
        <f t="shared" si="183"/>
        <v>0.10248700000000004</v>
      </c>
      <c r="X160" s="486">
        <f t="shared" si="183"/>
        <v>0.11273570000000005</v>
      </c>
      <c r="Y160" s="486">
        <f t="shared" si="183"/>
        <v>0.12400927000000006</v>
      </c>
      <c r="Z160" s="486">
        <f t="shared" si="183"/>
        <v>0.13641019700000007</v>
      </c>
      <c r="AA160" s="486">
        <f>CHOOSE($J$1,AA157,AA158,AA159)</f>
        <v>0.15005121670000007</v>
      </c>
      <c r="AB160" s="486">
        <f t="shared" si="183"/>
        <v>0.16505633837000008</v>
      </c>
      <c r="AC160" s="486">
        <f t="shared" si="183"/>
        <v>0.1815619722070001</v>
      </c>
      <c r="AD160" s="486">
        <f t="shared" si="183"/>
        <v>0.19971816942770013</v>
      </c>
      <c r="AE160" s="486">
        <f t="shared" si="183"/>
        <v>0.21968998637047016</v>
      </c>
    </row>
    <row r="161" spans="2:31" ht="12.75" customHeight="1">
      <c r="B161" s="11" t="s">
        <v>111</v>
      </c>
      <c r="C161" s="11"/>
      <c r="D161" s="371"/>
    </row>
    <row r="162" spans="2:31" ht="12.75" customHeight="1">
      <c r="D162" s="371"/>
    </row>
    <row r="163" spans="2:31" ht="12.75" customHeight="1">
      <c r="B163" s="359" t="s">
        <v>420</v>
      </c>
      <c r="C163" s="10"/>
      <c r="D163" s="371"/>
      <c r="E163" s="5">
        <f t="shared" ref="E163:T163" si="184">E142*E138</f>
        <v>15779.46207618838</v>
      </c>
      <c r="F163" s="5">
        <f t="shared" si="184"/>
        <v>16340.51816368358</v>
      </c>
      <c r="G163" s="5">
        <f t="shared" si="184"/>
        <v>16919.038926586567</v>
      </c>
      <c r="H163" s="5">
        <f t="shared" si="184"/>
        <v>17515.535393550916</v>
      </c>
      <c r="I163" s="5">
        <f t="shared" si="184"/>
        <v>18130.533057176628</v>
      </c>
      <c r="J163" s="5">
        <f t="shared" si="184"/>
        <v>18764.572275588827</v>
      </c>
      <c r="K163" s="5">
        <f t="shared" si="184"/>
        <v>19418.208685037211</v>
      </c>
      <c r="L163" s="5">
        <f t="shared" si="184"/>
        <v>20092.01362381662</v>
      </c>
      <c r="M163" s="5">
        <f t="shared" si="184"/>
        <v>20786.57456781705</v>
      </c>
      <c r="N163" s="5">
        <f t="shared" si="184"/>
        <v>21502.495578020047</v>
      </c>
      <c r="O163" s="5">
        <f t="shared" si="184"/>
        <v>23619.305651264502</v>
      </c>
      <c r="P163" s="5">
        <f t="shared" si="184"/>
        <v>25505.885044463692</v>
      </c>
      <c r="Q163" s="5">
        <f t="shared" si="184"/>
        <v>27181.769106207485</v>
      </c>
      <c r="R163" s="5">
        <f t="shared" si="184"/>
        <v>28664.376394059651</v>
      </c>
      <c r="S163" s="5">
        <f t="shared" si="184"/>
        <v>29969.214283483765</v>
      </c>
      <c r="T163" s="5">
        <f t="shared" si="184"/>
        <v>31110.063810321422</v>
      </c>
      <c r="U163" s="5">
        <f>U142*U138</f>
        <v>32099.145816831766</v>
      </c>
      <c r="V163" s="5">
        <f t="shared" ref="V163:AB163" si="185">V142*V138</f>
        <v>32947.270264092229</v>
      </c>
      <c r="W163" s="5">
        <f t="shared" si="185"/>
        <v>33663.970387065332</v>
      </c>
      <c r="X163" s="5">
        <f t="shared" si="185"/>
        <v>34257.623200784386</v>
      </c>
      <c r="Y163" s="5">
        <f t="shared" si="185"/>
        <v>34735.557715037328</v>
      </c>
      <c r="Z163" s="5">
        <f t="shared" si="185"/>
        <v>35104.152078954598</v>
      </c>
      <c r="AA163" s="5">
        <f t="shared" si="185"/>
        <v>35368.92075452365</v>
      </c>
      <c r="AB163" s="5">
        <f t="shared" si="185"/>
        <v>35534.592707900229</v>
      </c>
      <c r="AC163" s="5">
        <f>AC142*AC138</f>
        <v>35605.181508241723</v>
      </c>
      <c r="AD163" s="5">
        <f>AD142*AD138</f>
        <v>35584.04813454947</v>
      </c>
      <c r="AE163" s="5">
        <f>AE142*AE138</f>
        <v>35473.957210684195</v>
      </c>
    </row>
    <row r="164" spans="2:31" ht="12.75" customHeight="1">
      <c r="B164" s="11" t="s">
        <v>51</v>
      </c>
      <c r="C164" s="11"/>
      <c r="D164" s="371"/>
      <c r="E164" s="5">
        <f t="shared" ref="E164:AB164" si="186">E$163*E152</f>
        <v>0</v>
      </c>
      <c r="F164" s="5">
        <f t="shared" si="186"/>
        <v>0</v>
      </c>
      <c r="G164" s="5">
        <f t="shared" si="186"/>
        <v>0</v>
      </c>
      <c r="H164" s="5">
        <f t="shared" si="186"/>
        <v>0</v>
      </c>
      <c r="I164" s="5">
        <f t="shared" si="186"/>
        <v>0</v>
      </c>
      <c r="J164" s="5">
        <f t="shared" si="186"/>
        <v>6004.6631281884247</v>
      </c>
      <c r="K164" s="5">
        <f t="shared" si="186"/>
        <v>8738.193908266745</v>
      </c>
      <c r="L164" s="5">
        <f t="shared" si="186"/>
        <v>10749.227288741891</v>
      </c>
      <c r="M164" s="5">
        <f t="shared" si="186"/>
        <v>11744.414630816633</v>
      </c>
      <c r="N164" s="5">
        <f t="shared" si="186"/>
        <v>11826.372567911027</v>
      </c>
      <c r="O164" s="5">
        <f t="shared" si="186"/>
        <v>12341.087202785702</v>
      </c>
      <c r="P164" s="5">
        <f t="shared" si="186"/>
        <v>12660.483688945664</v>
      </c>
      <c r="Q164" s="5">
        <f t="shared" si="186"/>
        <v>13627.274146494676</v>
      </c>
      <c r="R164" s="5">
        <f t="shared" si="186"/>
        <v>12898.969377326843</v>
      </c>
      <c r="S164" s="5">
        <f t="shared" si="186"/>
        <v>13621.007891843372</v>
      </c>
      <c r="T164" s="5">
        <f t="shared" si="186"/>
        <v>14280.919241808999</v>
      </c>
      <c r="U164" s="5">
        <f t="shared" si="186"/>
        <v>14882.301915402415</v>
      </c>
      <c r="V164" s="5">
        <f t="shared" si="186"/>
        <v>15428.277699915661</v>
      </c>
      <c r="W164" s="5">
        <f t="shared" si="186"/>
        <v>15921.527041383504</v>
      </c>
      <c r="X164" s="5">
        <f t="shared" si="186"/>
        <v>16364.32080269803</v>
      </c>
      <c r="Y164" s="5">
        <f t="shared" si="186"/>
        <v>16758.548730650211</v>
      </c>
      <c r="Z164" s="5">
        <f t="shared" si="186"/>
        <v>17105.744913337756</v>
      </c>
      <c r="AA164" s="5">
        <f t="shared" si="186"/>
        <v>17407.11048298324</v>
      </c>
      <c r="AB164" s="5">
        <f t="shared" si="186"/>
        <v>17663.53379518001</v>
      </c>
      <c r="AC164" s="5">
        <f>AC$163*AC152</f>
        <v>17875.608293708348</v>
      </c>
      <c r="AD164" s="5">
        <f>AD$163*AD152</f>
        <v>18043.64825014403</v>
      </c>
      <c r="AE164" s="5">
        <f>AE$163*AE152</f>
        <v>18167.702549335976</v>
      </c>
    </row>
    <row r="165" spans="2:31" ht="12.75" customHeight="1">
      <c r="B165" s="11" t="s">
        <v>52</v>
      </c>
      <c r="C165" s="11"/>
      <c r="D165" s="371"/>
      <c r="E165" s="5">
        <f t="shared" ref="E165:AB165" si="187">E$163*E156</f>
        <v>0</v>
      </c>
      <c r="F165" s="5">
        <f t="shared" si="187"/>
        <v>0</v>
      </c>
      <c r="G165" s="5">
        <f t="shared" si="187"/>
        <v>0</v>
      </c>
      <c r="H165" s="5">
        <f t="shared" si="187"/>
        <v>0</v>
      </c>
      <c r="I165" s="5">
        <f t="shared" si="187"/>
        <v>0</v>
      </c>
      <c r="J165" s="5">
        <f t="shared" si="187"/>
        <v>0</v>
      </c>
      <c r="K165" s="5">
        <f t="shared" si="187"/>
        <v>0</v>
      </c>
      <c r="L165" s="5">
        <f t="shared" si="187"/>
        <v>0</v>
      </c>
      <c r="M165" s="5">
        <f t="shared" si="187"/>
        <v>0</v>
      </c>
      <c r="N165" s="5">
        <f t="shared" si="187"/>
        <v>0</v>
      </c>
      <c r="O165" s="5">
        <f t="shared" si="187"/>
        <v>0</v>
      </c>
      <c r="P165" s="5">
        <f t="shared" si="187"/>
        <v>0</v>
      </c>
      <c r="Q165" s="5">
        <f t="shared" si="187"/>
        <v>407.72653659311226</v>
      </c>
      <c r="R165" s="5">
        <f t="shared" si="187"/>
        <v>859.9312918217895</v>
      </c>
      <c r="S165" s="5">
        <f t="shared" si="187"/>
        <v>1498.4607141741883</v>
      </c>
      <c r="T165" s="5">
        <f t="shared" si="187"/>
        <v>1711.0535095676785</v>
      </c>
      <c r="U165" s="5">
        <f t="shared" si="187"/>
        <v>1941.9983219183223</v>
      </c>
      <c r="V165" s="5">
        <f t="shared" si="187"/>
        <v>2192.640836075338</v>
      </c>
      <c r="W165" s="5">
        <f t="shared" si="187"/>
        <v>2464.3709521851183</v>
      </c>
      <c r="X165" s="5">
        <f t="shared" si="187"/>
        <v>2758.6122370547641</v>
      </c>
      <c r="Y165" s="5">
        <f t="shared" si="187"/>
        <v>3076.8079680604633</v>
      </c>
      <c r="Z165" s="5">
        <f t="shared" si="187"/>
        <v>3420.4030718629701</v>
      </c>
      <c r="AA165" s="5">
        <f t="shared" si="187"/>
        <v>3790.8211375586848</v>
      </c>
      <c r="AB165" s="5">
        <f t="shared" si="187"/>
        <v>4189.4355413109415</v>
      </c>
      <c r="AC165" s="5">
        <f>AC$163*AC156</f>
        <v>4617.5335538746986</v>
      </c>
      <c r="AD165" s="5">
        <f>AD$163*AD156</f>
        <v>5076.2721101852767</v>
      </c>
      <c r="AE165" s="5">
        <f>AE$163*AE156</f>
        <v>5566.6236972298939</v>
      </c>
    </row>
    <row r="166" spans="2:31" ht="12.75" customHeight="1">
      <c r="B166" s="11" t="s">
        <v>53</v>
      </c>
      <c r="C166" s="11"/>
      <c r="D166" s="371"/>
      <c r="E166" s="5">
        <f t="shared" ref="E166:T166" si="188">E$163*E160</f>
        <v>0</v>
      </c>
      <c r="F166" s="5">
        <f t="shared" si="188"/>
        <v>0</v>
      </c>
      <c r="G166" s="5">
        <f t="shared" si="188"/>
        <v>0</v>
      </c>
      <c r="H166" s="5">
        <f t="shared" si="188"/>
        <v>0</v>
      </c>
      <c r="I166" s="5">
        <f t="shared" si="188"/>
        <v>0</v>
      </c>
      <c r="J166" s="5">
        <f t="shared" si="188"/>
        <v>0</v>
      </c>
      <c r="K166" s="5">
        <f t="shared" si="188"/>
        <v>0</v>
      </c>
      <c r="L166" s="5">
        <f t="shared" si="188"/>
        <v>0</v>
      </c>
      <c r="M166" s="5">
        <f t="shared" si="188"/>
        <v>0</v>
      </c>
      <c r="N166" s="5">
        <f t="shared" si="188"/>
        <v>0</v>
      </c>
      <c r="O166" s="5">
        <f t="shared" si="188"/>
        <v>0</v>
      </c>
      <c r="P166" s="5">
        <f t="shared" si="188"/>
        <v>0</v>
      </c>
      <c r="Q166" s="5">
        <f t="shared" si="188"/>
        <v>1087.2707642482994</v>
      </c>
      <c r="R166" s="5">
        <f t="shared" si="188"/>
        <v>1576.5407016732809</v>
      </c>
      <c r="S166" s="5">
        <f t="shared" si="188"/>
        <v>2097.8449998438637</v>
      </c>
      <c r="T166" s="5">
        <f t="shared" si="188"/>
        <v>2395.4749133947498</v>
      </c>
      <c r="U166" s="5">
        <f>U$163*U160</f>
        <v>2718.7976506856512</v>
      </c>
      <c r="V166" s="5">
        <f t="shared" ref="V166:AB166" si="189">V$163*V160</f>
        <v>3069.6971705054739</v>
      </c>
      <c r="W166" s="5">
        <f t="shared" si="189"/>
        <v>3450.1193330591659</v>
      </c>
      <c r="X166" s="5">
        <f t="shared" si="189"/>
        <v>3862.0571318766702</v>
      </c>
      <c r="Y166" s="5">
        <f t="shared" si="189"/>
        <v>4307.5311552846488</v>
      </c>
      <c r="Z166" s="5">
        <f t="shared" si="189"/>
        <v>4788.5643006081582</v>
      </c>
      <c r="AA166" s="5">
        <f t="shared" si="189"/>
        <v>5307.1495925821582</v>
      </c>
      <c r="AB166" s="5">
        <f t="shared" si="189"/>
        <v>5865.2097578353178</v>
      </c>
      <c r="AC166" s="5">
        <f>AC$163*AC160</f>
        <v>6464.5469754245778</v>
      </c>
      <c r="AD166" s="5">
        <f>AD$163*AD160</f>
        <v>7106.7809542593877</v>
      </c>
      <c r="AE166" s="5">
        <f>AE$163*AE160</f>
        <v>7793.273176121852</v>
      </c>
    </row>
    <row r="167" spans="2:31" ht="12.75" customHeight="1">
      <c r="B167" s="11"/>
      <c r="C167" s="11"/>
      <c r="D167" s="371"/>
    </row>
    <row r="168" spans="2:31" ht="12.75" customHeight="1">
      <c r="B168" s="473" t="s">
        <v>450</v>
      </c>
      <c r="C168" s="473"/>
      <c r="D168" s="473"/>
      <c r="E168" s="473"/>
      <c r="F168" s="473"/>
      <c r="G168" s="473"/>
      <c r="H168" s="473"/>
      <c r="I168" s="473"/>
      <c r="J168" s="473"/>
      <c r="K168" s="473"/>
      <c r="L168" s="473"/>
      <c r="M168" s="473"/>
      <c r="N168" s="473"/>
      <c r="O168" s="473"/>
      <c r="P168" s="473"/>
      <c r="Q168" s="473"/>
      <c r="R168" s="473"/>
      <c r="S168" s="473"/>
      <c r="T168" s="473"/>
      <c r="U168" s="473"/>
      <c r="V168" s="473"/>
      <c r="W168" s="473"/>
      <c r="X168" s="473"/>
      <c r="Y168" s="473"/>
      <c r="Z168" s="473"/>
      <c r="AA168" s="473"/>
      <c r="AB168" s="473"/>
      <c r="AC168" s="473"/>
      <c r="AD168" s="473"/>
      <c r="AE168" s="473"/>
    </row>
    <row r="169" spans="2:31" ht="12.75" customHeight="1">
      <c r="B169" s="359" t="s">
        <v>416</v>
      </c>
      <c r="C169" s="11"/>
      <c r="D169" s="371"/>
    </row>
    <row r="170" spans="2:31" ht="12.75" customHeight="1">
      <c r="B170" s="11" t="s">
        <v>108</v>
      </c>
      <c r="C170" s="16"/>
      <c r="D170" s="371"/>
      <c r="J170" s="475">
        <v>0.27</v>
      </c>
      <c r="K170" s="475">
        <v>0.35</v>
      </c>
      <c r="L170" s="475">
        <v>0.45</v>
      </c>
      <c r="M170" s="475">
        <v>0.46</v>
      </c>
      <c r="N170" s="475">
        <v>0.35</v>
      </c>
      <c r="O170" s="123">
        <f>N170*0.95</f>
        <v>0.33249999999999996</v>
      </c>
      <c r="P170" s="123">
        <f>O170*0.9</f>
        <v>0.29924999999999996</v>
      </c>
      <c r="Q170" s="123">
        <f>P170*0.85</f>
        <v>0.25436249999999994</v>
      </c>
      <c r="R170" s="123">
        <f>Q170*0.8</f>
        <v>0.20348999999999995</v>
      </c>
      <c r="S170" s="123">
        <f>R170*0.8</f>
        <v>0.16279199999999996</v>
      </c>
      <c r="T170" s="123">
        <f>S170*0.8</f>
        <v>0.13023359999999998</v>
      </c>
      <c r="U170" s="123">
        <f>T170*0.8</f>
        <v>0.10418687999999998</v>
      </c>
      <c r="V170" s="123">
        <f t="shared" ref="V170:AB170" si="190">U170*0.8</f>
        <v>8.3349503999999991E-2</v>
      </c>
      <c r="W170" s="123">
        <f t="shared" si="190"/>
        <v>6.6679603199999993E-2</v>
      </c>
      <c r="X170" s="123">
        <f t="shared" si="190"/>
        <v>5.3343682559999994E-2</v>
      </c>
      <c r="Y170" s="123">
        <f t="shared" si="190"/>
        <v>4.2674946047999998E-2</v>
      </c>
      <c r="Z170" s="123">
        <f t="shared" si="190"/>
        <v>3.4139956838400001E-2</v>
      </c>
      <c r="AA170" s="123">
        <f t="shared" si="190"/>
        <v>2.7311965470720002E-2</v>
      </c>
      <c r="AB170" s="123">
        <f t="shared" si="190"/>
        <v>2.1849572376576004E-2</v>
      </c>
      <c r="AC170" s="123">
        <f>AB170*0.2</f>
        <v>4.3699144753152012E-3</v>
      </c>
      <c r="AD170" s="123">
        <f>AC170*0.2</f>
        <v>8.7398289506304032E-4</v>
      </c>
      <c r="AE170" s="123">
        <f>AD170*0.2</f>
        <v>1.7479657901260808E-4</v>
      </c>
    </row>
    <row r="171" spans="2:31" ht="12.75" customHeight="1">
      <c r="B171" s="11" t="s">
        <v>32</v>
      </c>
      <c r="C171" s="16"/>
      <c r="D171" s="371"/>
      <c r="M171" s="475"/>
      <c r="N171" s="475"/>
      <c r="O171" s="475"/>
      <c r="P171" s="475">
        <v>0.02</v>
      </c>
      <c r="Q171" s="475">
        <v>0.1</v>
      </c>
      <c r="R171" s="475">
        <v>0.15</v>
      </c>
      <c r="S171" s="475">
        <f>R171</f>
        <v>0.15</v>
      </c>
      <c r="T171" s="475">
        <f>S171</f>
        <v>0.15</v>
      </c>
      <c r="U171" s="475">
        <f>T171</f>
        <v>0.15</v>
      </c>
      <c r="V171" s="475">
        <f t="shared" ref="V171:AB171" si="191">U171</f>
        <v>0.15</v>
      </c>
      <c r="W171" s="475">
        <f t="shared" si="191"/>
        <v>0.15</v>
      </c>
      <c r="X171" s="475">
        <f t="shared" si="191"/>
        <v>0.15</v>
      </c>
      <c r="Y171" s="475">
        <f t="shared" si="191"/>
        <v>0.15</v>
      </c>
      <c r="Z171" s="475">
        <f t="shared" si="191"/>
        <v>0.15</v>
      </c>
      <c r="AA171" s="475">
        <f t="shared" si="191"/>
        <v>0.15</v>
      </c>
      <c r="AB171" s="475">
        <f t="shared" si="191"/>
        <v>0.15</v>
      </c>
      <c r="AC171" s="475">
        <f>AB171</f>
        <v>0.15</v>
      </c>
      <c r="AD171" s="475">
        <f>AC171</f>
        <v>0.15</v>
      </c>
      <c r="AE171" s="475">
        <f>AD171</f>
        <v>0.15</v>
      </c>
    </row>
    <row r="172" spans="2:31" ht="12.75" customHeight="1">
      <c r="B172" s="11" t="s">
        <v>33</v>
      </c>
      <c r="C172" s="16"/>
      <c r="D172" s="371"/>
      <c r="N172" s="475">
        <v>0.02</v>
      </c>
      <c r="O172" s="475">
        <v>0.19</v>
      </c>
      <c r="P172" s="475">
        <v>0.3</v>
      </c>
      <c r="Q172" s="475">
        <v>0.3</v>
      </c>
      <c r="R172" s="475">
        <v>0.27</v>
      </c>
      <c r="S172" s="475">
        <v>0.28000000000000003</v>
      </c>
      <c r="T172" s="475">
        <v>0.28999999999999998</v>
      </c>
      <c r="U172" s="475">
        <v>0.3</v>
      </c>
      <c r="V172" s="475">
        <v>0.31</v>
      </c>
      <c r="W172" s="475">
        <v>0.32</v>
      </c>
      <c r="X172" s="475">
        <v>0.33</v>
      </c>
      <c r="Y172" s="475">
        <v>0.33</v>
      </c>
      <c r="Z172" s="475">
        <v>0.33</v>
      </c>
      <c r="AA172" s="475">
        <v>0.33</v>
      </c>
      <c r="AB172" s="475">
        <v>0.33</v>
      </c>
      <c r="AC172" s="475">
        <v>0.33</v>
      </c>
      <c r="AD172" s="475">
        <v>0.33</v>
      </c>
      <c r="AE172" s="475">
        <v>0.33</v>
      </c>
    </row>
    <row r="173" spans="2:31" ht="12.75" customHeight="1">
      <c r="B173" s="11" t="s">
        <v>111</v>
      </c>
      <c r="C173" s="16"/>
      <c r="D173" s="371"/>
    </row>
    <row r="174" spans="2:31" ht="12.75" customHeight="1">
      <c r="D174" s="371"/>
    </row>
    <row r="175" spans="2:31" ht="12.75" customHeight="1">
      <c r="B175" s="359" t="s">
        <v>420</v>
      </c>
      <c r="C175" s="11"/>
      <c r="D175" s="371"/>
      <c r="E175" s="5">
        <f t="shared" ref="E175:AE175" si="192">E143*E138</f>
        <v>7495.2444861894801</v>
      </c>
      <c r="F175" s="5">
        <f t="shared" si="192"/>
        <v>7761.7461277497005</v>
      </c>
      <c r="G175" s="5">
        <f t="shared" si="192"/>
        <v>8036.5434901286189</v>
      </c>
      <c r="H175" s="5">
        <f t="shared" si="192"/>
        <v>8319.8793119366856</v>
      </c>
      <c r="I175" s="5">
        <f t="shared" si="192"/>
        <v>8612.0032021588977</v>
      </c>
      <c r="J175" s="5">
        <f t="shared" si="192"/>
        <v>8913.1718309046919</v>
      </c>
      <c r="K175" s="5">
        <f t="shared" si="192"/>
        <v>9223.6491253926743</v>
      </c>
      <c r="L175" s="5">
        <f t="shared" si="192"/>
        <v>9543.7064713128912</v>
      </c>
      <c r="M175" s="5">
        <f t="shared" si="192"/>
        <v>9873.6229197130961</v>
      </c>
      <c r="N175" s="5">
        <f t="shared" si="192"/>
        <v>10244.418655526097</v>
      </c>
      <c r="O175" s="5">
        <f t="shared" si="192"/>
        <v>11365.458260977073</v>
      </c>
      <c r="P175" s="5">
        <f t="shared" si="192"/>
        <v>12396.000836090539</v>
      </c>
      <c r="Q175" s="5">
        <f t="shared" si="192"/>
        <v>13342.594632547611</v>
      </c>
      <c r="R175" s="5">
        <f t="shared" si="192"/>
        <v>14211.059061593487</v>
      </c>
      <c r="S175" s="5">
        <f t="shared" si="192"/>
        <v>15006.543698728587</v>
      </c>
      <c r="T175" s="5">
        <f t="shared" si="192"/>
        <v>15733.581564735279</v>
      </c>
      <c r="U175" s="5">
        <f t="shared" si="192"/>
        <v>16396.137187828492</v>
      </c>
      <c r="V175" s="5">
        <f t="shared" si="192"/>
        <v>16997.649905081373</v>
      </c>
      <c r="W175" s="5">
        <f t="shared" si="192"/>
        <v>17541.07281885406</v>
      </c>
      <c r="X175" s="5">
        <f t="shared" si="192"/>
        <v>18028.907785359726</v>
      </c>
      <c r="Y175" s="5">
        <f t="shared" si="192"/>
        <v>18463.236777388011</v>
      </c>
      <c r="Z175" s="5">
        <f t="shared" si="192"/>
        <v>18845.749931253253</v>
      </c>
      <c r="AA175" s="5">
        <f t="shared" si="192"/>
        <v>19177.770558954773</v>
      </c>
      <c r="AB175" s="5">
        <f t="shared" si="192"/>
        <v>19460.277380065847</v>
      </c>
      <c r="AC175" s="5">
        <f t="shared" si="192"/>
        <v>19693.924203768023</v>
      </c>
      <c r="AD175" s="5">
        <f t="shared" si="192"/>
        <v>19879.05726950059</v>
      </c>
      <c r="AE175" s="5">
        <f t="shared" si="192"/>
        <v>20015.730434704019</v>
      </c>
    </row>
    <row r="176" spans="2:31" ht="12.75" customHeight="1">
      <c r="B176" s="11" t="s">
        <v>51</v>
      </c>
      <c r="C176" s="16"/>
      <c r="D176" s="371"/>
      <c r="E176" s="5">
        <f t="shared" ref="E176:AE176" si="193">E$175*E170</f>
        <v>0</v>
      </c>
      <c r="F176" s="5">
        <f t="shared" si="193"/>
        <v>0</v>
      </c>
      <c r="G176" s="5">
        <f t="shared" si="193"/>
        <v>0</v>
      </c>
      <c r="H176" s="5">
        <f t="shared" si="193"/>
        <v>0</v>
      </c>
      <c r="I176" s="5">
        <f t="shared" si="193"/>
        <v>0</v>
      </c>
      <c r="J176" s="5">
        <f t="shared" si="193"/>
        <v>2406.5563943442671</v>
      </c>
      <c r="K176" s="5">
        <f t="shared" si="193"/>
        <v>3228.2771938874357</v>
      </c>
      <c r="L176" s="5">
        <f t="shared" si="193"/>
        <v>4294.6679120908011</v>
      </c>
      <c r="M176" s="5">
        <f t="shared" si="193"/>
        <v>4541.8665430680239</v>
      </c>
      <c r="N176" s="5">
        <f t="shared" si="193"/>
        <v>3585.5465294341338</v>
      </c>
      <c r="O176" s="5">
        <f t="shared" si="193"/>
        <v>3779.0148717748766</v>
      </c>
      <c r="P176" s="5">
        <f t="shared" si="193"/>
        <v>3709.5032502000936</v>
      </c>
      <c r="Q176" s="5">
        <f t="shared" si="193"/>
        <v>3393.8557272213907</v>
      </c>
      <c r="R176" s="5">
        <f t="shared" si="193"/>
        <v>2891.8084084436578</v>
      </c>
      <c r="S176" s="5">
        <f t="shared" si="193"/>
        <v>2442.9452618034234</v>
      </c>
      <c r="T176" s="5">
        <f t="shared" si="193"/>
        <v>2049.0409680691082</v>
      </c>
      <c r="U176" s="5">
        <f t="shared" si="193"/>
        <v>1708.2623776518242</v>
      </c>
      <c r="V176" s="5">
        <f t="shared" si="193"/>
        <v>1416.7456887541794</v>
      </c>
      <c r="W176" s="5">
        <f t="shared" si="193"/>
        <v>1169.6317752634941</v>
      </c>
      <c r="X176" s="5">
        <f t="shared" si="193"/>
        <v>961.72833380574173</v>
      </c>
      <c r="Y176" s="5">
        <f t="shared" si="193"/>
        <v>787.91763334648272</v>
      </c>
      <c r="Z176" s="5">
        <f t="shared" si="193"/>
        <v>643.39308924026579</v>
      </c>
      <c r="AA176" s="5">
        <f t="shared" si="193"/>
        <v>523.78260731156342</v>
      </c>
      <c r="AB176" s="5">
        <f t="shared" si="193"/>
        <v>425.19873908399359</v>
      </c>
      <c r="AC176" s="5">
        <f t="shared" si="193"/>
        <v>86.060764453806286</v>
      </c>
      <c r="AD176" s="5">
        <f t="shared" si="193"/>
        <v>17.373956023522105</v>
      </c>
      <c r="AE176" s="5">
        <f t="shared" si="193"/>
        <v>3.4986812064248052</v>
      </c>
    </row>
    <row r="177" spans="2:31" ht="12.75" customHeight="1">
      <c r="B177" s="11" t="s">
        <v>52</v>
      </c>
      <c r="C177" s="16"/>
      <c r="D177" s="371"/>
      <c r="E177" s="5">
        <f t="shared" ref="E177:AB177" si="194">E$175*E171</f>
        <v>0</v>
      </c>
      <c r="F177" s="5">
        <f t="shared" si="194"/>
        <v>0</v>
      </c>
      <c r="G177" s="5">
        <f t="shared" si="194"/>
        <v>0</v>
      </c>
      <c r="H177" s="5">
        <f t="shared" si="194"/>
        <v>0</v>
      </c>
      <c r="I177" s="5">
        <f t="shared" si="194"/>
        <v>0</v>
      </c>
      <c r="J177" s="5">
        <f t="shared" si="194"/>
        <v>0</v>
      </c>
      <c r="K177" s="5">
        <f t="shared" si="194"/>
        <v>0</v>
      </c>
      <c r="L177" s="5">
        <f t="shared" si="194"/>
        <v>0</v>
      </c>
      <c r="M177" s="5">
        <f t="shared" si="194"/>
        <v>0</v>
      </c>
      <c r="N177" s="5">
        <f t="shared" si="194"/>
        <v>0</v>
      </c>
      <c r="O177" s="5">
        <f t="shared" si="194"/>
        <v>0</v>
      </c>
      <c r="P177" s="5">
        <f t="shared" si="194"/>
        <v>247.92001672181078</v>
      </c>
      <c r="Q177" s="5">
        <f t="shared" si="194"/>
        <v>1334.2594632547612</v>
      </c>
      <c r="R177" s="5">
        <f t="shared" si="194"/>
        <v>2131.6588592390231</v>
      </c>
      <c r="S177" s="5">
        <f t="shared" si="194"/>
        <v>2250.9815548092879</v>
      </c>
      <c r="T177" s="5">
        <f t="shared" si="194"/>
        <v>2360.0372347102916</v>
      </c>
      <c r="U177" s="5">
        <f t="shared" si="194"/>
        <v>2459.4205781742735</v>
      </c>
      <c r="V177" s="5">
        <f t="shared" si="194"/>
        <v>2549.6474857622056</v>
      </c>
      <c r="W177" s="5">
        <f t="shared" si="194"/>
        <v>2631.1609228281091</v>
      </c>
      <c r="X177" s="5">
        <f t="shared" si="194"/>
        <v>2704.3361678039587</v>
      </c>
      <c r="Y177" s="5">
        <f t="shared" si="194"/>
        <v>2769.4855166082016</v>
      </c>
      <c r="Z177" s="5">
        <f t="shared" si="194"/>
        <v>2826.8624896879878</v>
      </c>
      <c r="AA177" s="5">
        <f t="shared" si="194"/>
        <v>2876.6655838432157</v>
      </c>
      <c r="AB177" s="5">
        <f t="shared" si="194"/>
        <v>2919.0416070098768</v>
      </c>
      <c r="AC177" s="5">
        <f t="shared" ref="AC177:AE178" si="195">AC$175*AC171</f>
        <v>2954.0886305652034</v>
      </c>
      <c r="AD177" s="5">
        <f t="shared" si="195"/>
        <v>2981.8585904250886</v>
      </c>
      <c r="AE177" s="5">
        <f t="shared" si="195"/>
        <v>3002.3595652056028</v>
      </c>
    </row>
    <row r="178" spans="2:31" ht="12.75" customHeight="1">
      <c r="B178" s="11" t="s">
        <v>53</v>
      </c>
      <c r="C178" s="16"/>
      <c r="D178" s="371"/>
      <c r="E178" s="5">
        <f t="shared" ref="E178:AB178" si="196">E$175*E172</f>
        <v>0</v>
      </c>
      <c r="F178" s="5">
        <f t="shared" si="196"/>
        <v>0</v>
      </c>
      <c r="G178" s="5">
        <f t="shared" si="196"/>
        <v>0</v>
      </c>
      <c r="H178" s="5">
        <f t="shared" si="196"/>
        <v>0</v>
      </c>
      <c r="I178" s="5">
        <f t="shared" si="196"/>
        <v>0</v>
      </c>
      <c r="J178" s="5">
        <f t="shared" si="196"/>
        <v>0</v>
      </c>
      <c r="K178" s="5">
        <f t="shared" si="196"/>
        <v>0</v>
      </c>
      <c r="L178" s="5">
        <f t="shared" si="196"/>
        <v>0</v>
      </c>
      <c r="M178" s="5">
        <f t="shared" si="196"/>
        <v>0</v>
      </c>
      <c r="N178" s="5">
        <f t="shared" si="196"/>
        <v>204.88837311052194</v>
      </c>
      <c r="O178" s="5">
        <f t="shared" si="196"/>
        <v>2159.4370695856437</v>
      </c>
      <c r="P178" s="5">
        <f t="shared" si="196"/>
        <v>3718.8002508271616</v>
      </c>
      <c r="Q178" s="5">
        <f t="shared" si="196"/>
        <v>4002.778389764283</v>
      </c>
      <c r="R178" s="5">
        <f t="shared" si="196"/>
        <v>3836.9859466302419</v>
      </c>
      <c r="S178" s="5">
        <f t="shared" si="196"/>
        <v>4201.8322356440049</v>
      </c>
      <c r="T178" s="5">
        <f t="shared" si="196"/>
        <v>4562.7386537732309</v>
      </c>
      <c r="U178" s="5">
        <f t="shared" si="196"/>
        <v>4918.841156348547</v>
      </c>
      <c r="V178" s="5">
        <f t="shared" si="196"/>
        <v>5269.2714705752251</v>
      </c>
      <c r="W178" s="5">
        <f t="shared" si="196"/>
        <v>5613.1433020332988</v>
      </c>
      <c r="X178" s="5">
        <f t="shared" si="196"/>
        <v>5949.5395691687099</v>
      </c>
      <c r="Y178" s="5">
        <f t="shared" si="196"/>
        <v>6092.8681365380435</v>
      </c>
      <c r="Z178" s="5">
        <f t="shared" si="196"/>
        <v>6219.097477313574</v>
      </c>
      <c r="AA178" s="5">
        <f t="shared" si="196"/>
        <v>6328.6642844550752</v>
      </c>
      <c r="AB178" s="5">
        <f t="shared" si="196"/>
        <v>6421.8915354217297</v>
      </c>
      <c r="AC178" s="5">
        <f t="shared" si="195"/>
        <v>6498.9949872434481</v>
      </c>
      <c r="AD178" s="5">
        <f t="shared" si="195"/>
        <v>6560.0888989351952</v>
      </c>
      <c r="AE178" s="5">
        <f t="shared" si="195"/>
        <v>6605.191043452327</v>
      </c>
    </row>
    <row r="179" spans="2:31" ht="12.75" customHeight="1">
      <c r="D179" s="371"/>
    </row>
    <row r="180" spans="2:31" ht="12.75" customHeight="1">
      <c r="B180" s="473" t="s">
        <v>451</v>
      </c>
      <c r="C180" s="473"/>
      <c r="D180" s="473"/>
      <c r="E180" s="473"/>
      <c r="F180" s="473"/>
      <c r="G180" s="473"/>
      <c r="H180" s="473"/>
      <c r="I180" s="473"/>
      <c r="J180" s="473"/>
      <c r="K180" s="473"/>
      <c r="L180" s="473"/>
      <c r="M180" s="473"/>
      <c r="N180" s="473"/>
      <c r="O180" s="473"/>
      <c r="P180" s="473"/>
      <c r="Q180" s="473"/>
      <c r="R180" s="473"/>
      <c r="S180" s="473"/>
      <c r="T180" s="473"/>
      <c r="U180" s="473"/>
      <c r="V180" s="473"/>
      <c r="W180" s="473"/>
      <c r="X180" s="473"/>
      <c r="Y180" s="473"/>
      <c r="Z180" s="473"/>
      <c r="AA180" s="473"/>
      <c r="AB180" s="473"/>
      <c r="AC180" s="473"/>
      <c r="AD180" s="473"/>
      <c r="AE180" s="473"/>
    </row>
    <row r="181" spans="2:31" ht="12.75" customHeight="1">
      <c r="B181" s="10" t="s">
        <v>34</v>
      </c>
      <c r="C181" s="16"/>
      <c r="D181" s="371"/>
    </row>
    <row r="182" spans="2:31" ht="12.75" customHeight="1">
      <c r="B182" s="11" t="s">
        <v>108</v>
      </c>
      <c r="C182" s="17"/>
      <c r="D182" s="371"/>
      <c r="J182" s="475">
        <v>0.2</v>
      </c>
      <c r="K182" s="475">
        <v>0.2</v>
      </c>
      <c r="L182" s="475">
        <v>0.2</v>
      </c>
      <c r="M182" s="475">
        <v>0.2</v>
      </c>
      <c r="N182" s="475">
        <v>0.2</v>
      </c>
      <c r="O182" s="123">
        <f>N182</f>
        <v>0.2</v>
      </c>
      <c r="P182" s="123">
        <f>O182*0.9</f>
        <v>0.18000000000000002</v>
      </c>
      <c r="Q182" s="123">
        <f>P182*0.85</f>
        <v>0.15300000000000002</v>
      </c>
      <c r="R182" s="123">
        <f>Q182*0.8</f>
        <v>0.12240000000000002</v>
      </c>
      <c r="S182" s="123">
        <f>R182*0.8</f>
        <v>9.7920000000000021E-2</v>
      </c>
      <c r="T182" s="123">
        <f>S182*0.8</f>
        <v>7.8336000000000017E-2</v>
      </c>
      <c r="U182" s="123">
        <f>T182*0.8</f>
        <v>6.2668800000000011E-2</v>
      </c>
      <c r="V182" s="491">
        <f>U182</f>
        <v>6.2668800000000011E-2</v>
      </c>
      <c r="W182" s="491">
        <f t="shared" ref="W182:AB182" si="197">V182</f>
        <v>6.2668800000000011E-2</v>
      </c>
      <c r="X182" s="491">
        <f t="shared" si="197"/>
        <v>6.2668800000000011E-2</v>
      </c>
      <c r="Y182" s="491">
        <f t="shared" si="197"/>
        <v>6.2668800000000011E-2</v>
      </c>
      <c r="Z182" s="491">
        <f t="shared" si="197"/>
        <v>6.2668800000000011E-2</v>
      </c>
      <c r="AA182" s="491">
        <f t="shared" si="197"/>
        <v>6.2668800000000011E-2</v>
      </c>
      <c r="AB182" s="491">
        <f t="shared" si="197"/>
        <v>6.2668800000000011E-2</v>
      </c>
      <c r="AC182" s="491">
        <f>AB182*0.2</f>
        <v>1.2533760000000003E-2</v>
      </c>
      <c r="AD182" s="491">
        <f>AC182*0.2</f>
        <v>2.506752000000001E-3</v>
      </c>
      <c r="AE182" s="491">
        <f>AD182*0.2</f>
        <v>5.0135040000000026E-4</v>
      </c>
    </row>
    <row r="183" spans="2:31" ht="12.75" customHeight="1">
      <c r="B183" s="11" t="s">
        <v>32</v>
      </c>
      <c r="C183" s="17"/>
      <c r="D183" s="371"/>
      <c r="M183" s="475"/>
      <c r="N183" s="475">
        <v>0.01</v>
      </c>
      <c r="O183" s="475">
        <v>8.5000000000000006E-2</v>
      </c>
      <c r="P183" s="475">
        <v>0.1</v>
      </c>
      <c r="Q183" s="475">
        <v>0.125</v>
      </c>
      <c r="R183" s="475">
        <v>0.15</v>
      </c>
      <c r="S183" s="475">
        <v>0.17499999999999999</v>
      </c>
      <c r="T183" s="475">
        <f t="shared" ref="T183:U184" si="198">S183</f>
        <v>0.17499999999999999</v>
      </c>
      <c r="U183" s="475">
        <f t="shared" si="198"/>
        <v>0.17499999999999999</v>
      </c>
      <c r="V183" s="475">
        <f>U183</f>
        <v>0.17499999999999999</v>
      </c>
      <c r="W183" s="475">
        <f t="shared" ref="W183:AB184" si="199">V183</f>
        <v>0.17499999999999999</v>
      </c>
      <c r="X183" s="475">
        <f t="shared" si="199"/>
        <v>0.17499999999999999</v>
      </c>
      <c r="Y183" s="475">
        <f t="shared" si="199"/>
        <v>0.17499999999999999</v>
      </c>
      <c r="Z183" s="475">
        <f t="shared" si="199"/>
        <v>0.17499999999999999</v>
      </c>
      <c r="AA183" s="475">
        <f t="shared" si="199"/>
        <v>0.17499999999999999</v>
      </c>
      <c r="AB183" s="475">
        <f t="shared" si="199"/>
        <v>0.17499999999999999</v>
      </c>
      <c r="AC183" s="475">
        <f t="shared" ref="AC183:AE184" si="200">AB183</f>
        <v>0.17499999999999999</v>
      </c>
      <c r="AD183" s="475">
        <f t="shared" si="200"/>
        <v>0.17499999999999999</v>
      </c>
      <c r="AE183" s="475">
        <f t="shared" si="200"/>
        <v>0.17499999999999999</v>
      </c>
    </row>
    <row r="184" spans="2:31" ht="12.75" customHeight="1">
      <c r="B184" s="11" t="s">
        <v>33</v>
      </c>
      <c r="C184" s="17"/>
      <c r="D184" s="371"/>
      <c r="N184" s="475">
        <v>0.17</v>
      </c>
      <c r="O184" s="475">
        <v>0.4</v>
      </c>
      <c r="P184" s="475">
        <v>0.5</v>
      </c>
      <c r="Q184" s="475">
        <v>0.52500000000000002</v>
      </c>
      <c r="R184" s="475">
        <v>0.55000000000000004</v>
      </c>
      <c r="S184" s="475">
        <v>0.56000000000000005</v>
      </c>
      <c r="T184" s="475">
        <f t="shared" si="198"/>
        <v>0.56000000000000005</v>
      </c>
      <c r="U184" s="475">
        <f t="shared" si="198"/>
        <v>0.56000000000000005</v>
      </c>
      <c r="V184" s="475">
        <f>U184</f>
        <v>0.56000000000000005</v>
      </c>
      <c r="W184" s="475">
        <f t="shared" si="199"/>
        <v>0.56000000000000005</v>
      </c>
      <c r="X184" s="475">
        <f t="shared" si="199"/>
        <v>0.56000000000000005</v>
      </c>
      <c r="Y184" s="475">
        <f t="shared" si="199"/>
        <v>0.56000000000000005</v>
      </c>
      <c r="Z184" s="475">
        <f t="shared" si="199"/>
        <v>0.56000000000000005</v>
      </c>
      <c r="AA184" s="475">
        <f t="shared" si="199"/>
        <v>0.56000000000000005</v>
      </c>
      <c r="AB184" s="475">
        <f t="shared" si="199"/>
        <v>0.56000000000000005</v>
      </c>
      <c r="AC184" s="475">
        <f t="shared" si="200"/>
        <v>0.56000000000000005</v>
      </c>
      <c r="AD184" s="475">
        <f t="shared" si="200"/>
        <v>0.56000000000000005</v>
      </c>
      <c r="AE184" s="475">
        <f t="shared" si="200"/>
        <v>0.56000000000000005</v>
      </c>
    </row>
    <row r="185" spans="2:31" ht="12.75" customHeight="1">
      <c r="B185" s="11" t="s">
        <v>111</v>
      </c>
      <c r="C185" s="17"/>
      <c r="D185" s="371"/>
      <c r="J185" s="7">
        <f>1-J184-J183-J182</f>
        <v>0.8</v>
      </c>
      <c r="K185" s="7">
        <f t="shared" ref="K185:T185" si="201">1-K184-K183-K182</f>
        <v>0.8</v>
      </c>
      <c r="L185" s="7">
        <f t="shared" si="201"/>
        <v>0.8</v>
      </c>
      <c r="M185" s="7">
        <f t="shared" si="201"/>
        <v>0.8</v>
      </c>
      <c r="N185" s="7">
        <f t="shared" si="201"/>
        <v>0.61999999999999988</v>
      </c>
      <c r="O185" s="7">
        <f t="shared" si="201"/>
        <v>0.315</v>
      </c>
      <c r="P185" s="7">
        <f t="shared" si="201"/>
        <v>0.22</v>
      </c>
      <c r="Q185" s="7">
        <f t="shared" si="201"/>
        <v>0.19699999999999995</v>
      </c>
      <c r="R185" s="7">
        <f t="shared" si="201"/>
        <v>0.17759999999999992</v>
      </c>
      <c r="S185" s="7">
        <f t="shared" si="201"/>
        <v>0.16707999999999995</v>
      </c>
      <c r="T185" s="7">
        <f t="shared" si="201"/>
        <v>0.18666399999999994</v>
      </c>
      <c r="U185" s="7">
        <f>1-U184-U183-U182</f>
        <v>0.20233119999999993</v>
      </c>
      <c r="V185" s="7">
        <f t="shared" ref="V185:AA185" si="202">1-V184-V183-V182</f>
        <v>0.20233119999999993</v>
      </c>
      <c r="W185" s="7">
        <f t="shared" si="202"/>
        <v>0.20233119999999993</v>
      </c>
      <c r="X185" s="7">
        <f t="shared" si="202"/>
        <v>0.20233119999999993</v>
      </c>
      <c r="Y185" s="7">
        <f t="shared" si="202"/>
        <v>0.20233119999999993</v>
      </c>
      <c r="Z185" s="7">
        <f t="shared" si="202"/>
        <v>0.20233119999999993</v>
      </c>
      <c r="AA185" s="7">
        <f t="shared" si="202"/>
        <v>0.20233119999999993</v>
      </c>
      <c r="AB185" s="7">
        <f>1-AB184-AB183-AB182</f>
        <v>0.20233119999999993</v>
      </c>
      <c r="AC185" s="7">
        <f>1-AC184-AC183-AC182</f>
        <v>0.25246623999999995</v>
      </c>
      <c r="AD185" s="7">
        <f>1-AD184-AD183-AD182</f>
        <v>0.26249324799999996</v>
      </c>
      <c r="AE185" s="7">
        <f>1-AE184-AE183-AE182</f>
        <v>0.26449864959999997</v>
      </c>
    </row>
    <row r="186" spans="2:31" ht="12.75" customHeight="1">
      <c r="D186" s="371"/>
    </row>
    <row r="187" spans="2:31" s="25" customFormat="1" ht="12.75" customHeight="1">
      <c r="B187" s="10" t="s">
        <v>54</v>
      </c>
      <c r="C187" s="16"/>
      <c r="D187" s="371"/>
      <c r="E187" s="5">
        <f t="shared" ref="E187:T187" si="203">E144*E138</f>
        <v>3550.3789671423851</v>
      </c>
      <c r="F187" s="5">
        <f t="shared" si="203"/>
        <v>3683.9919460802166</v>
      </c>
      <c r="G187" s="5">
        <f t="shared" si="203"/>
        <v>3822.072031288219</v>
      </c>
      <c r="H187" s="5">
        <f t="shared" si="203"/>
        <v>3964.7601964953819</v>
      </c>
      <c r="I187" s="5">
        <f t="shared" si="203"/>
        <v>4112.2017235942631</v>
      </c>
      <c r="J187" s="5">
        <f t="shared" si="203"/>
        <v>4264.546331794344</v>
      </c>
      <c r="K187" s="5">
        <f t="shared" si="203"/>
        <v>4421.9483106012094</v>
      </c>
      <c r="L187" s="5">
        <f t="shared" si="203"/>
        <v>4584.5666567340295</v>
      </c>
      <c r="M187" s="5">
        <f t="shared" si="203"/>
        <v>4752.5652150970909</v>
      </c>
      <c r="N187" s="5">
        <f t="shared" si="203"/>
        <v>4926.1128239245336</v>
      </c>
      <c r="O187" s="5">
        <f t="shared" si="203"/>
        <v>5502.3684934720231</v>
      </c>
      <c r="P187" s="5">
        <f t="shared" si="203"/>
        <v>6037.0490571817927</v>
      </c>
      <c r="Q187" s="5">
        <f t="shared" si="203"/>
        <v>6531.5235976450067</v>
      </c>
      <c r="R187" s="5">
        <f t="shared" si="203"/>
        <v>6987.1028280565533</v>
      </c>
      <c r="S187" s="5">
        <f t="shared" si="203"/>
        <v>7405.0277114162127</v>
      </c>
      <c r="T187" s="5">
        <f t="shared" si="203"/>
        <v>7786.4612176986593</v>
      </c>
      <c r="U187" s="5">
        <f>U144*U138</f>
        <v>8132.4826929902829</v>
      </c>
      <c r="V187" s="5">
        <f t="shared" ref="V187:AE187" si="204">V144*V138</f>
        <v>8444.0843924451838</v>
      </c>
      <c r="W187" s="5">
        <f t="shared" si="204"/>
        <v>8722.169796215574</v>
      </c>
      <c r="X187" s="5">
        <f t="shared" si="204"/>
        <v>8967.5533856297152</v>
      </c>
      <c r="Y187" s="5">
        <f t="shared" si="204"/>
        <v>9180.9616070219072</v>
      </c>
      <c r="Z187" s="5">
        <f t="shared" si="204"/>
        <v>9363.0347938072482</v>
      </c>
      <c r="AA187" s="5">
        <f t="shared" si="204"/>
        <v>9514.3298545551534</v>
      </c>
      <c r="AB187" s="5">
        <f t="shared" si="204"/>
        <v>9635.323566746818</v>
      </c>
      <c r="AC187" s="5">
        <f t="shared" si="204"/>
        <v>9726.4163433007052</v>
      </c>
      <c r="AD187" s="5">
        <f t="shared" si="204"/>
        <v>9787.9363624239268</v>
      </c>
      <c r="AE187" s="5">
        <f t="shared" si="204"/>
        <v>9820.1439714272528</v>
      </c>
    </row>
    <row r="188" spans="2:31" ht="12.75" customHeight="1">
      <c r="B188" s="11" t="s">
        <v>51</v>
      </c>
      <c r="C188" s="17"/>
      <c r="D188" s="371"/>
      <c r="E188" s="5">
        <f t="shared" ref="E188:I190" si="205">E$175*E182</f>
        <v>0</v>
      </c>
      <c r="F188" s="5">
        <f t="shared" si="205"/>
        <v>0</v>
      </c>
      <c r="G188" s="5">
        <f t="shared" si="205"/>
        <v>0</v>
      </c>
      <c r="H188" s="5">
        <f t="shared" si="205"/>
        <v>0</v>
      </c>
      <c r="I188" s="5">
        <f t="shared" si="205"/>
        <v>0</v>
      </c>
      <c r="J188" s="5">
        <f t="shared" ref="J188:AE188" si="206">J187*J182</f>
        <v>852.90926635886888</v>
      </c>
      <c r="K188" s="5">
        <f t="shared" si="206"/>
        <v>884.38966212024195</v>
      </c>
      <c r="L188" s="5">
        <f t="shared" si="206"/>
        <v>916.91333134680599</v>
      </c>
      <c r="M188" s="5">
        <f t="shared" si="206"/>
        <v>950.51304301941821</v>
      </c>
      <c r="N188" s="5">
        <f t="shared" si="206"/>
        <v>985.22256478490681</v>
      </c>
      <c r="O188" s="5">
        <f t="shared" si="206"/>
        <v>1100.4736986944047</v>
      </c>
      <c r="P188" s="5">
        <f t="shared" si="206"/>
        <v>1086.6688302927228</v>
      </c>
      <c r="Q188" s="5">
        <f t="shared" si="206"/>
        <v>999.32311043968616</v>
      </c>
      <c r="R188" s="5">
        <f t="shared" si="206"/>
        <v>855.22138615412234</v>
      </c>
      <c r="S188" s="5">
        <f t="shared" si="206"/>
        <v>725.10031350187569</v>
      </c>
      <c r="T188" s="5">
        <f t="shared" si="206"/>
        <v>609.96022594964234</v>
      </c>
      <c r="U188" s="5">
        <f t="shared" si="206"/>
        <v>509.65293139046952</v>
      </c>
      <c r="V188" s="5">
        <f t="shared" si="206"/>
        <v>529.18063597326886</v>
      </c>
      <c r="W188" s="5">
        <f t="shared" si="206"/>
        <v>546.60791452507465</v>
      </c>
      <c r="X188" s="5">
        <f t="shared" si="206"/>
        <v>561.98580961335153</v>
      </c>
      <c r="Y188" s="5">
        <f t="shared" si="206"/>
        <v>575.35984675813461</v>
      </c>
      <c r="Z188" s="5">
        <f t="shared" si="206"/>
        <v>586.77015488614779</v>
      </c>
      <c r="AA188" s="5">
        <f t="shared" si="206"/>
        <v>596.25163478914612</v>
      </c>
      <c r="AB188" s="5">
        <f t="shared" si="206"/>
        <v>603.83416553974314</v>
      </c>
      <c r="AC188" s="5">
        <f t="shared" si="206"/>
        <v>121.90856810700868</v>
      </c>
      <c r="AD188" s="5">
        <f t="shared" si="206"/>
        <v>24.535929052378911</v>
      </c>
      <c r="AE188" s="5">
        <f t="shared" si="206"/>
        <v>4.9233331081326446</v>
      </c>
    </row>
    <row r="189" spans="2:31" ht="12.75" customHeight="1">
      <c r="B189" s="11" t="s">
        <v>52</v>
      </c>
      <c r="C189" s="17"/>
      <c r="D189" s="371"/>
      <c r="E189" s="5">
        <f t="shared" si="205"/>
        <v>0</v>
      </c>
      <c r="F189" s="5">
        <f t="shared" si="205"/>
        <v>0</v>
      </c>
      <c r="G189" s="5">
        <f t="shared" si="205"/>
        <v>0</v>
      </c>
      <c r="H189" s="5">
        <f t="shared" si="205"/>
        <v>0</v>
      </c>
      <c r="I189" s="5">
        <f t="shared" si="205"/>
        <v>0</v>
      </c>
      <c r="J189" s="5">
        <f t="shared" ref="J189:T189" si="207">J$187*J183</f>
        <v>0</v>
      </c>
      <c r="K189" s="5">
        <f t="shared" si="207"/>
        <v>0</v>
      </c>
      <c r="L189" s="5">
        <f t="shared" si="207"/>
        <v>0</v>
      </c>
      <c r="M189" s="5">
        <f t="shared" si="207"/>
        <v>0</v>
      </c>
      <c r="N189" s="5">
        <f t="shared" si="207"/>
        <v>49.261128239245338</v>
      </c>
      <c r="O189" s="5">
        <f t="shared" si="207"/>
        <v>467.701321945122</v>
      </c>
      <c r="P189" s="5">
        <f t="shared" si="207"/>
        <v>603.70490571817925</v>
      </c>
      <c r="Q189" s="5">
        <f t="shared" si="207"/>
        <v>816.44044970562584</v>
      </c>
      <c r="R189" s="5">
        <f t="shared" si="207"/>
        <v>1048.0654242084829</v>
      </c>
      <c r="S189" s="5">
        <f t="shared" si="207"/>
        <v>1295.8798494978371</v>
      </c>
      <c r="T189" s="5">
        <f t="shared" si="207"/>
        <v>1362.6307130972652</v>
      </c>
      <c r="U189" s="5">
        <f>U$187*U183</f>
        <v>1423.1844712732993</v>
      </c>
      <c r="V189" s="5">
        <f t="shared" ref="V189:AE189" si="208">V$187*V183</f>
        <v>1477.7147686779072</v>
      </c>
      <c r="W189" s="5">
        <f t="shared" si="208"/>
        <v>1526.3797143377253</v>
      </c>
      <c r="X189" s="5">
        <f t="shared" si="208"/>
        <v>1569.3218424852</v>
      </c>
      <c r="Y189" s="5">
        <f t="shared" si="208"/>
        <v>1606.6682812288336</v>
      </c>
      <c r="Z189" s="5">
        <f t="shared" si="208"/>
        <v>1638.5310889162683</v>
      </c>
      <c r="AA189" s="5">
        <f t="shared" si="208"/>
        <v>1665.0077245471518</v>
      </c>
      <c r="AB189" s="5">
        <f t="shared" si="208"/>
        <v>1686.181624180693</v>
      </c>
      <c r="AC189" s="5">
        <f t="shared" si="208"/>
        <v>1702.1228600776233</v>
      </c>
      <c r="AD189" s="5">
        <f t="shared" si="208"/>
        <v>1712.8888634241871</v>
      </c>
      <c r="AE189" s="5">
        <f t="shared" si="208"/>
        <v>1718.5251949997692</v>
      </c>
    </row>
    <row r="190" spans="2:31" ht="12.75" customHeight="1">
      <c r="B190" s="11" t="s">
        <v>53</v>
      </c>
      <c r="C190" s="17"/>
      <c r="D190" s="371"/>
      <c r="E190" s="5">
        <f t="shared" si="205"/>
        <v>0</v>
      </c>
      <c r="F190" s="5">
        <f t="shared" si="205"/>
        <v>0</v>
      </c>
      <c r="G190" s="5">
        <f t="shared" si="205"/>
        <v>0</v>
      </c>
      <c r="H190" s="5">
        <f t="shared" si="205"/>
        <v>0</v>
      </c>
      <c r="I190" s="5">
        <f t="shared" si="205"/>
        <v>0</v>
      </c>
      <c r="J190" s="5">
        <f t="shared" ref="J190:T190" si="209">J$187*J184</f>
        <v>0</v>
      </c>
      <c r="K190" s="5">
        <f t="shared" si="209"/>
        <v>0</v>
      </c>
      <c r="L190" s="5">
        <f t="shared" si="209"/>
        <v>0</v>
      </c>
      <c r="M190" s="5">
        <f t="shared" si="209"/>
        <v>0</v>
      </c>
      <c r="N190" s="5">
        <f t="shared" si="209"/>
        <v>837.43918006717081</v>
      </c>
      <c r="O190" s="5">
        <f t="shared" si="209"/>
        <v>2200.9473973888093</v>
      </c>
      <c r="P190" s="5">
        <f t="shared" si="209"/>
        <v>3018.5245285908964</v>
      </c>
      <c r="Q190" s="5">
        <f t="shared" si="209"/>
        <v>3429.0498887636286</v>
      </c>
      <c r="R190" s="5">
        <f t="shared" si="209"/>
        <v>3842.9065554311046</v>
      </c>
      <c r="S190" s="5">
        <f t="shared" si="209"/>
        <v>4146.8155183930794</v>
      </c>
      <c r="T190" s="5">
        <f t="shared" si="209"/>
        <v>4360.4182819112493</v>
      </c>
      <c r="U190" s="5">
        <f>U$187*U184</f>
        <v>4554.1903080745587</v>
      </c>
      <c r="V190" s="5">
        <f>V$187*V184</f>
        <v>4728.6872597693036</v>
      </c>
      <c r="W190" s="5">
        <f t="shared" ref="W190:AE190" si="210">W$187*W184</f>
        <v>4884.4150858807216</v>
      </c>
      <c r="X190" s="5">
        <f t="shared" si="210"/>
        <v>5021.829895952641</v>
      </c>
      <c r="Y190" s="5">
        <f t="shared" si="210"/>
        <v>5141.3384999322689</v>
      </c>
      <c r="Z190" s="5">
        <f t="shared" si="210"/>
        <v>5243.2994845320591</v>
      </c>
      <c r="AA190" s="5">
        <f t="shared" si="210"/>
        <v>5328.0247185508861</v>
      </c>
      <c r="AB190" s="5">
        <f t="shared" si="210"/>
        <v>5395.7811973782182</v>
      </c>
      <c r="AC190" s="5">
        <f t="shared" si="210"/>
        <v>5446.793152248395</v>
      </c>
      <c r="AD190" s="5">
        <f t="shared" si="210"/>
        <v>5481.2443629573991</v>
      </c>
      <c r="AE190" s="5">
        <f t="shared" si="210"/>
        <v>5499.2806239992624</v>
      </c>
    </row>
    <row r="191" spans="2:31" ht="12.75" customHeight="1" thickBot="1">
      <c r="D191" s="371"/>
    </row>
    <row r="192" spans="2:31" ht="12.75" customHeight="1">
      <c r="B192" s="469" t="s">
        <v>383</v>
      </c>
      <c r="C192" s="469"/>
      <c r="D192" s="472"/>
      <c r="E192" s="472"/>
      <c r="F192" s="472"/>
      <c r="G192" s="472"/>
      <c r="H192" s="472"/>
      <c r="I192" s="472"/>
      <c r="J192" s="472"/>
      <c r="K192" s="472"/>
      <c r="L192" s="472"/>
      <c r="M192" s="472"/>
      <c r="N192" s="472"/>
      <c r="O192" s="472"/>
      <c r="P192" s="472"/>
      <c r="Q192" s="472"/>
      <c r="R192" s="472"/>
      <c r="S192" s="472"/>
      <c r="T192" s="472"/>
      <c r="U192" s="472"/>
      <c r="V192" s="472"/>
      <c r="W192" s="472"/>
      <c r="X192" s="472"/>
      <c r="Y192" s="472"/>
      <c r="Z192" s="472"/>
      <c r="AA192" s="472"/>
      <c r="AB192" s="472"/>
      <c r="AC192" s="472"/>
      <c r="AD192" s="472"/>
      <c r="AE192" s="472"/>
    </row>
    <row r="193" spans="2:31" ht="12.75" customHeight="1">
      <c r="B193" s="498" t="s">
        <v>130</v>
      </c>
      <c r="C193" s="498"/>
      <c r="D193" s="499" t="s">
        <v>26</v>
      </c>
      <c r="E193" s="498"/>
      <c r="F193" s="498"/>
      <c r="G193" s="498"/>
      <c r="H193" s="498"/>
      <c r="I193" s="498"/>
      <c r="J193" s="498"/>
      <c r="K193" s="498"/>
      <c r="L193" s="498"/>
      <c r="M193" s="498"/>
      <c r="N193" s="498"/>
      <c r="O193" s="498"/>
      <c r="P193" s="498"/>
      <c r="Q193" s="498"/>
      <c r="R193" s="498"/>
      <c r="S193" s="498"/>
      <c r="T193" s="498"/>
      <c r="U193" s="498"/>
      <c r="V193" s="498"/>
      <c r="W193" s="498"/>
      <c r="X193" s="498"/>
      <c r="Y193" s="498"/>
      <c r="Z193" s="498"/>
      <c r="AA193" s="498"/>
      <c r="AB193" s="498"/>
      <c r="AC193" s="498"/>
      <c r="AD193" s="498"/>
      <c r="AE193" s="498"/>
    </row>
    <row r="194" spans="2:31" s="28" customFormat="1" ht="12.75" customHeight="1">
      <c r="B194"/>
      <c r="C194"/>
      <c r="D194" s="371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2:31" ht="12.75" customHeight="1">
      <c r="B195" s="10" t="s">
        <v>47</v>
      </c>
      <c r="C195" s="373"/>
      <c r="D195" s="371"/>
      <c r="J195" s="24">
        <f t="shared" ref="J195:AE195" si="211">J80</f>
        <v>5900.3318936690184</v>
      </c>
      <c r="K195" s="24">
        <f t="shared" si="211"/>
        <v>5944.584382871536</v>
      </c>
      <c r="L195" s="24">
        <f t="shared" si="211"/>
        <v>5900</v>
      </c>
      <c r="M195" s="24">
        <f t="shared" si="211"/>
        <v>5855.75</v>
      </c>
      <c r="N195" s="24">
        <f t="shared" si="211"/>
        <v>5745.9546874999996</v>
      </c>
      <c r="O195" s="24">
        <f t="shared" si="211"/>
        <v>5688.4951406249993</v>
      </c>
      <c r="P195" s="24">
        <f t="shared" si="211"/>
        <v>5631.6101892187489</v>
      </c>
      <c r="Q195" s="24">
        <f t="shared" si="211"/>
        <v>5575.2940873265616</v>
      </c>
      <c r="R195" s="24">
        <f t="shared" si="211"/>
        <v>5240.776442086968</v>
      </c>
      <c r="S195" s="24">
        <f t="shared" si="211"/>
        <v>5083.5531488243587</v>
      </c>
      <c r="T195" s="24">
        <f t="shared" si="211"/>
        <v>5007.2998515919935</v>
      </c>
      <c r="U195" s="24">
        <f t="shared" si="211"/>
        <v>4932.1903538181132</v>
      </c>
      <c r="V195" s="24">
        <f t="shared" si="211"/>
        <v>4858.2074985108411</v>
      </c>
      <c r="W195" s="24">
        <f t="shared" si="211"/>
        <v>4785.3343860331788</v>
      </c>
      <c r="X195" s="24">
        <f t="shared" si="211"/>
        <v>4713.5543702426812</v>
      </c>
      <c r="Y195" s="24">
        <f t="shared" si="211"/>
        <v>4642.8510546890411</v>
      </c>
      <c r="Z195" s="24">
        <f t="shared" si="211"/>
        <v>4573.2082888687055</v>
      </c>
      <c r="AA195" s="24">
        <f t="shared" si="211"/>
        <v>4504.6101645356748</v>
      </c>
      <c r="AB195" s="24">
        <f t="shared" si="211"/>
        <v>4437.0410120676397</v>
      </c>
      <c r="AC195" s="24">
        <f t="shared" si="211"/>
        <v>4370.4853968866255</v>
      </c>
      <c r="AD195" s="24">
        <f t="shared" si="211"/>
        <v>4304.9281159333259</v>
      </c>
      <c r="AE195" s="24">
        <f t="shared" si="211"/>
        <v>4240.3541941943258</v>
      </c>
    </row>
    <row r="196" spans="2:31" ht="12.75" customHeight="1">
      <c r="D196" s="371"/>
    </row>
    <row r="197" spans="2:31" ht="12.75" customHeight="1">
      <c r="B197" s="11" t="s">
        <v>35</v>
      </c>
      <c r="C197" s="11"/>
      <c r="D197" s="19">
        <v>1.05</v>
      </c>
      <c r="J197" s="12">
        <v>7</v>
      </c>
      <c r="K197" s="12">
        <f>J197*D197</f>
        <v>7.3500000000000005</v>
      </c>
      <c r="L197" s="12">
        <f>K197*$D$197</f>
        <v>7.7175000000000011</v>
      </c>
      <c r="M197" s="12">
        <f t="shared" ref="M197:T197" si="212">L197*$D$197</f>
        <v>8.1033750000000015</v>
      </c>
      <c r="N197" s="12">
        <f t="shared" si="212"/>
        <v>8.5085437500000012</v>
      </c>
      <c r="O197" s="12">
        <f t="shared" si="212"/>
        <v>8.9339709375000016</v>
      </c>
      <c r="P197" s="12">
        <f t="shared" si="212"/>
        <v>9.3806694843750016</v>
      </c>
      <c r="Q197" s="12">
        <v>10.5</v>
      </c>
      <c r="R197" s="12">
        <v>10.6</v>
      </c>
      <c r="S197" s="12">
        <f t="shared" si="212"/>
        <v>11.13</v>
      </c>
      <c r="T197" s="12">
        <f t="shared" si="212"/>
        <v>11.686500000000001</v>
      </c>
      <c r="U197" s="12">
        <f>T197*$D$197</f>
        <v>12.270825</v>
      </c>
      <c r="V197" s="12">
        <f t="shared" ref="V197:AB197" si="213">U197*$D$197</f>
        <v>12.884366250000001</v>
      </c>
      <c r="W197" s="12">
        <f t="shared" si="213"/>
        <v>13.528584562500003</v>
      </c>
      <c r="X197" s="12">
        <f t="shared" si="213"/>
        <v>14.205013790625003</v>
      </c>
      <c r="Y197" s="12">
        <f t="shared" si="213"/>
        <v>14.915264480156253</v>
      </c>
      <c r="Z197" s="12">
        <f t="shared" si="213"/>
        <v>15.661027704164066</v>
      </c>
      <c r="AA197" s="12">
        <f t="shared" si="213"/>
        <v>16.44407908937227</v>
      </c>
      <c r="AB197" s="12">
        <f t="shared" si="213"/>
        <v>17.266283043840883</v>
      </c>
      <c r="AC197" s="12">
        <f>AB197*$D$197</f>
        <v>18.129597196032929</v>
      </c>
      <c r="AD197" s="12">
        <f>AC197*$D$197</f>
        <v>19.036077055834575</v>
      </c>
      <c r="AE197" s="12">
        <f>AD197*$D$197</f>
        <v>19.987880908626305</v>
      </c>
    </row>
    <row r="198" spans="2:31" s="25" customFormat="1" ht="12.75" customHeight="1">
      <c r="B198" s="11" t="s">
        <v>36</v>
      </c>
      <c r="C198" s="11"/>
      <c r="D198" s="19">
        <v>1.03</v>
      </c>
      <c r="E198"/>
      <c r="F198"/>
      <c r="G198"/>
      <c r="H198"/>
      <c r="I198"/>
      <c r="J198" s="12">
        <f>J197*0.6</f>
        <v>4.2</v>
      </c>
      <c r="K198" s="12">
        <f>J198*D198</f>
        <v>4.3260000000000005</v>
      </c>
      <c r="L198" s="12">
        <f>K198*$D$198</f>
        <v>4.4557800000000007</v>
      </c>
      <c r="M198" s="12">
        <f>L198*$D$198</f>
        <v>4.5894534000000009</v>
      </c>
      <c r="N198" s="12">
        <f>M198*$D$198</f>
        <v>4.727137002000001</v>
      </c>
      <c r="O198" s="12">
        <f>N198</f>
        <v>4.727137002000001</v>
      </c>
      <c r="P198" s="12">
        <f t="shared" ref="P198:T199" si="214">O198</f>
        <v>4.727137002000001</v>
      </c>
      <c r="Q198" s="12">
        <f t="shared" si="214"/>
        <v>4.727137002000001</v>
      </c>
      <c r="R198" s="12">
        <f t="shared" si="214"/>
        <v>4.727137002000001</v>
      </c>
      <c r="S198" s="12">
        <f t="shared" si="214"/>
        <v>4.727137002000001</v>
      </c>
      <c r="T198" s="12">
        <f t="shared" si="214"/>
        <v>4.727137002000001</v>
      </c>
      <c r="U198" s="12">
        <f>T198</f>
        <v>4.727137002000001</v>
      </c>
      <c r="V198" s="12">
        <f t="shared" ref="V198:AB198" si="215">U198</f>
        <v>4.727137002000001</v>
      </c>
      <c r="W198" s="12">
        <f t="shared" si="215"/>
        <v>4.727137002000001</v>
      </c>
      <c r="X198" s="12">
        <f t="shared" si="215"/>
        <v>4.727137002000001</v>
      </c>
      <c r="Y198" s="12">
        <f t="shared" si="215"/>
        <v>4.727137002000001</v>
      </c>
      <c r="Z198" s="12">
        <f t="shared" si="215"/>
        <v>4.727137002000001</v>
      </c>
      <c r="AA198" s="12">
        <f t="shared" si="215"/>
        <v>4.727137002000001</v>
      </c>
      <c r="AB198" s="12">
        <f t="shared" si="215"/>
        <v>4.727137002000001</v>
      </c>
      <c r="AC198" s="12">
        <f t="shared" ref="AC198:AE199" si="216">AB198</f>
        <v>4.727137002000001</v>
      </c>
      <c r="AD198" s="12">
        <f t="shared" si="216"/>
        <v>4.727137002000001</v>
      </c>
      <c r="AE198" s="12">
        <f t="shared" si="216"/>
        <v>4.727137002000001</v>
      </c>
    </row>
    <row r="199" spans="2:31" ht="12.75" customHeight="1">
      <c r="B199" s="11" t="s">
        <v>37</v>
      </c>
      <c r="C199" s="11"/>
      <c r="D199" s="19">
        <v>1.02</v>
      </c>
      <c r="J199" s="12">
        <f>J198*0.75</f>
        <v>3.1500000000000004</v>
      </c>
      <c r="K199" s="12">
        <f>J199*D199</f>
        <v>3.2130000000000005</v>
      </c>
      <c r="L199" s="12">
        <f>K199*$D$199</f>
        <v>3.2772600000000005</v>
      </c>
      <c r="M199" s="12">
        <f>L199*$D$199</f>
        <v>3.3428052000000004</v>
      </c>
      <c r="N199" s="12">
        <f>M199*$D$199</f>
        <v>3.4096613040000006</v>
      </c>
      <c r="O199" s="12">
        <f>N199</f>
        <v>3.4096613040000006</v>
      </c>
      <c r="P199" s="12">
        <f t="shared" si="214"/>
        <v>3.4096613040000006</v>
      </c>
      <c r="Q199" s="12">
        <f t="shared" si="214"/>
        <v>3.4096613040000006</v>
      </c>
      <c r="R199" s="12">
        <f t="shared" si="214"/>
        <v>3.4096613040000006</v>
      </c>
      <c r="S199" s="12">
        <f t="shared" si="214"/>
        <v>3.4096613040000006</v>
      </c>
      <c r="T199" s="12">
        <f t="shared" si="214"/>
        <v>3.4096613040000006</v>
      </c>
      <c r="U199" s="12">
        <f>T199</f>
        <v>3.4096613040000006</v>
      </c>
      <c r="V199" s="12">
        <f t="shared" ref="V199:AB199" si="217">U199</f>
        <v>3.4096613040000006</v>
      </c>
      <c r="W199" s="12">
        <f t="shared" si="217"/>
        <v>3.4096613040000006</v>
      </c>
      <c r="X199" s="12">
        <f t="shared" si="217"/>
        <v>3.4096613040000006</v>
      </c>
      <c r="Y199" s="12">
        <f t="shared" si="217"/>
        <v>3.4096613040000006</v>
      </c>
      <c r="Z199" s="12">
        <f t="shared" si="217"/>
        <v>3.4096613040000006</v>
      </c>
      <c r="AA199" s="12">
        <f t="shared" si="217"/>
        <v>3.4096613040000006</v>
      </c>
      <c r="AB199" s="12">
        <f t="shared" si="217"/>
        <v>3.4096613040000006</v>
      </c>
      <c r="AC199" s="12">
        <f t="shared" si="216"/>
        <v>3.4096613040000006</v>
      </c>
      <c r="AD199" s="12">
        <f t="shared" si="216"/>
        <v>3.4096613040000006</v>
      </c>
      <c r="AE199" s="12">
        <f t="shared" si="216"/>
        <v>3.4096613040000006</v>
      </c>
    </row>
    <row r="200" spans="2:31" ht="12.75" customHeight="1">
      <c r="B200" s="11"/>
      <c r="C200" s="11"/>
      <c r="D200" s="19"/>
      <c r="K200" s="13"/>
      <c r="L200" s="13"/>
      <c r="M200" s="13"/>
    </row>
    <row r="201" spans="2:31" ht="12.75" customHeight="1">
      <c r="B201" s="527" t="s">
        <v>382</v>
      </c>
      <c r="C201" s="528"/>
      <c r="D201" s="511"/>
      <c r="E201" s="510"/>
      <c r="F201" s="510"/>
      <c r="G201" s="510"/>
      <c r="H201" s="510"/>
      <c r="I201" s="510"/>
      <c r="J201" s="512">
        <f t="shared" ref="J201:AE201" si="218">+(J197*J164+J198*J176+J199*J188)*J195/1000000</f>
        <v>323.49657004337735</v>
      </c>
      <c r="K201" s="512">
        <f t="shared" si="218"/>
        <v>481.706295688029</v>
      </c>
      <c r="L201" s="512">
        <f t="shared" si="218"/>
        <v>620.07950020949772</v>
      </c>
      <c r="M201" s="512">
        <f t="shared" si="218"/>
        <v>697.95539599576227</v>
      </c>
      <c r="N201" s="512">
        <f t="shared" si="218"/>
        <v>694.88044138749945</v>
      </c>
      <c r="O201" s="512">
        <f t="shared" si="218"/>
        <v>750.14798653319167</v>
      </c>
      <c r="P201" s="512">
        <f t="shared" si="218"/>
        <v>788.44973101257551</v>
      </c>
      <c r="Q201" s="512">
        <f t="shared" si="218"/>
        <v>906.19131228394031</v>
      </c>
      <c r="R201" s="512">
        <f t="shared" si="218"/>
        <v>803.48998189955864</v>
      </c>
      <c r="S201" s="512">
        <f t="shared" si="218"/>
        <v>841.9497710736797</v>
      </c>
      <c r="T201" s="512">
        <f t="shared" si="218"/>
        <v>894.60327954382819</v>
      </c>
      <c r="U201" s="512">
        <f t="shared" si="218"/>
        <v>949.1066010104081</v>
      </c>
      <c r="V201" s="512">
        <f t="shared" si="218"/>
        <v>1007.0338240641514</v>
      </c>
      <c r="W201" s="512">
        <f t="shared" si="218"/>
        <v>1066.1173858402558</v>
      </c>
      <c r="X201" s="512">
        <f t="shared" si="218"/>
        <v>1126.1520664204411</v>
      </c>
      <c r="Y201" s="512">
        <f t="shared" si="218"/>
        <v>1186.919630926632</v>
      </c>
      <c r="Z201" s="512">
        <f t="shared" si="218"/>
        <v>1248.1915300716314</v>
      </c>
      <c r="AA201" s="512">
        <f t="shared" si="218"/>
        <v>1309.7285127193081</v>
      </c>
      <c r="AB201" s="512">
        <f t="shared" si="218"/>
        <v>1371.2782479674379</v>
      </c>
      <c r="AC201" s="512">
        <f t="shared" si="218"/>
        <v>1419.9709936835861</v>
      </c>
      <c r="AD201" s="512">
        <f t="shared" si="218"/>
        <v>1479.3716146232302</v>
      </c>
      <c r="AE201" s="512">
        <f t="shared" si="218"/>
        <v>1539.9575621869901</v>
      </c>
    </row>
    <row r="202" spans="2:31" ht="12.75" customHeight="1">
      <c r="B202" s="27" t="s">
        <v>48</v>
      </c>
      <c r="C202" s="28"/>
      <c r="D202" s="29"/>
      <c r="E202" s="28"/>
      <c r="F202" s="28"/>
      <c r="G202" s="28"/>
      <c r="H202" s="28"/>
      <c r="I202" s="28"/>
      <c r="J202" s="30">
        <f>+(J197*J164+J198*J176+J199*J188)/SUM(J164,J176,J188)</f>
        <v>5.9181866090135902</v>
      </c>
      <c r="K202" s="30">
        <f>+(K197*K164+K198*K176+K199*K188)/SUM(K164,K176,K188)</f>
        <v>6.3056318045389066</v>
      </c>
      <c r="L202" s="30">
        <f>+(L197*L164+L198*L176+L199*L188)/SUM(L164,L176,L188)</f>
        <v>6.5847679434658088</v>
      </c>
      <c r="M202" s="30">
        <f>+(M197*M164+M198*M176+M199*M188)/SUM(M164,M176,M188)</f>
        <v>6.9149436490577783</v>
      </c>
      <c r="N202" s="30">
        <f t="shared" ref="N202:T202" si="219">+(N197*N$164+N198*N$176+N199*N$188)/SUM(N$164,N$176,N$188)</f>
        <v>7.3753008796544384</v>
      </c>
      <c r="O202" s="30">
        <f t="shared" si="219"/>
        <v>7.6577624210237509</v>
      </c>
      <c r="P202" s="30">
        <f t="shared" si="219"/>
        <v>8.0201109296890056</v>
      </c>
      <c r="Q202" s="30">
        <f t="shared" si="219"/>
        <v>9.0195819721379671</v>
      </c>
      <c r="R202" s="30">
        <f t="shared" si="219"/>
        <v>9.2103251726228343</v>
      </c>
      <c r="S202" s="30">
        <f t="shared" si="219"/>
        <v>9.8648980766955638</v>
      </c>
      <c r="T202" s="30">
        <f t="shared" si="219"/>
        <v>10.546673967825154</v>
      </c>
      <c r="U202" s="30">
        <f>+(U197*U$164+U198*U$176+U199*U$188)/SUM(U$164,U$176,U$188)</f>
        <v>11.253135211589182</v>
      </c>
      <c r="V202" s="30">
        <f t="shared" ref="V202:AE202" si="220">+(V197*V$164+V198*V$176+V199*V$188)/SUM(V$164,V$176,V$188)</f>
        <v>11.930621851996868</v>
      </c>
      <c r="W202" s="30">
        <f t="shared" si="220"/>
        <v>12.631331723416078</v>
      </c>
      <c r="X202" s="30">
        <f t="shared" si="220"/>
        <v>13.356291300707611</v>
      </c>
      <c r="Y202" s="30">
        <f t="shared" si="220"/>
        <v>14.106997851795059</v>
      </c>
      <c r="Z202" s="30">
        <f t="shared" si="220"/>
        <v>14.885307965914732</v>
      </c>
      <c r="AA202" s="30">
        <f t="shared" si="220"/>
        <v>15.693346928767722</v>
      </c>
      <c r="AB202" s="30">
        <f t="shared" si="220"/>
        <v>16.533439292008701</v>
      </c>
      <c r="AC202" s="30">
        <f t="shared" si="220"/>
        <v>17.966581207824785</v>
      </c>
      <c r="AD202" s="30">
        <f t="shared" si="220"/>
        <v>19.001131409217361</v>
      </c>
      <c r="AE202" s="30">
        <f t="shared" si="220"/>
        <v>19.980452890905433</v>
      </c>
    </row>
    <row r="203" spans="2:31" ht="12.75" customHeight="1">
      <c r="B203" s="27"/>
      <c r="C203" s="28"/>
      <c r="D203" s="29"/>
      <c r="E203" s="28"/>
      <c r="F203" s="28"/>
      <c r="G203" s="28"/>
      <c r="H203" s="28"/>
      <c r="I203" s="28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</row>
    <row r="204" spans="2:31" ht="12.75" customHeight="1">
      <c r="B204" s="498" t="s">
        <v>385</v>
      </c>
      <c r="C204" s="498"/>
      <c r="D204" s="499" t="s">
        <v>26</v>
      </c>
      <c r="E204" s="498"/>
      <c r="F204" s="498"/>
      <c r="G204" s="498"/>
      <c r="H204" s="498"/>
      <c r="I204" s="498"/>
      <c r="J204" s="498"/>
      <c r="K204" s="498"/>
      <c r="L204" s="498"/>
      <c r="M204" s="498"/>
      <c r="N204" s="498"/>
      <c r="O204" s="498"/>
      <c r="P204" s="498"/>
      <c r="Q204" s="498"/>
      <c r="R204" s="498"/>
      <c r="S204" s="498"/>
      <c r="T204" s="498"/>
      <c r="U204" s="498"/>
      <c r="V204" s="498"/>
      <c r="W204" s="498"/>
      <c r="X204" s="498"/>
      <c r="Y204" s="498"/>
      <c r="Z204" s="498"/>
      <c r="AA204" s="498"/>
      <c r="AB204" s="498"/>
      <c r="AC204" s="498"/>
      <c r="AD204" s="498"/>
      <c r="AE204" s="498"/>
    </row>
    <row r="205" spans="2:31" ht="12.75" customHeight="1">
      <c r="D205" s="371"/>
    </row>
    <row r="206" spans="2:31" ht="12.75" customHeight="1">
      <c r="B206" s="10" t="s">
        <v>47</v>
      </c>
      <c r="C206" s="373"/>
      <c r="D206" s="371"/>
      <c r="J206" s="24"/>
      <c r="K206" s="24"/>
      <c r="L206" s="24"/>
      <c r="M206" s="24"/>
      <c r="N206" s="24">
        <f>10445.4*0.9*0.85</f>
        <v>7990.7310000000007</v>
      </c>
      <c r="O206" s="24">
        <f t="shared" ref="O206:U206" si="221">N206*(1+O207)</f>
        <v>7910.8236900000002</v>
      </c>
      <c r="P206" s="24">
        <f t="shared" si="221"/>
        <v>7831.7154530999996</v>
      </c>
      <c r="Q206" s="24">
        <f t="shared" si="221"/>
        <v>7753.398298569</v>
      </c>
      <c r="R206" s="24">
        <f t="shared" si="221"/>
        <v>7675.8643155833097</v>
      </c>
      <c r="S206" s="24">
        <f t="shared" si="221"/>
        <v>7599.1056724274767</v>
      </c>
      <c r="T206" s="24">
        <f t="shared" si="221"/>
        <v>7523.1146157032017</v>
      </c>
      <c r="U206" s="24">
        <f t="shared" si="221"/>
        <v>7447.8834695461692</v>
      </c>
      <c r="V206" s="24">
        <f t="shared" ref="V206:AB206" si="222">U206*(1+V207)</f>
        <v>7373.4046348507072</v>
      </c>
      <c r="W206" s="24">
        <f t="shared" si="222"/>
        <v>7299.6705885022002</v>
      </c>
      <c r="X206" s="24">
        <f t="shared" si="222"/>
        <v>7226.6738826171777</v>
      </c>
      <c r="Y206" s="24">
        <f t="shared" si="222"/>
        <v>7154.4071437910061</v>
      </c>
      <c r="Z206" s="24">
        <f t="shared" si="222"/>
        <v>7082.863072353096</v>
      </c>
      <c r="AA206" s="24">
        <f t="shared" si="222"/>
        <v>7012.0344416295648</v>
      </c>
      <c r="AB206" s="24">
        <f t="shared" si="222"/>
        <v>6941.9140972132691</v>
      </c>
      <c r="AC206" s="24">
        <f>AB206*(1+AC207)</f>
        <v>6872.4949562411366</v>
      </c>
      <c r="AD206" s="24">
        <f>AC206*(1+AD207)</f>
        <v>6803.7700066787256</v>
      </c>
      <c r="AE206" s="24">
        <f>AD206*(1+AE207)</f>
        <v>6735.7323066119379</v>
      </c>
    </row>
    <row r="207" spans="2:31" ht="12.75" hidden="1" customHeight="1" outlineLevel="1">
      <c r="D207" s="371"/>
      <c r="O207" s="7">
        <v>-0.01</v>
      </c>
      <c r="P207" s="7">
        <f t="shared" ref="P207:U207" si="223">O207</f>
        <v>-0.01</v>
      </c>
      <c r="Q207" s="7">
        <f t="shared" si="223"/>
        <v>-0.01</v>
      </c>
      <c r="R207" s="7">
        <f t="shared" si="223"/>
        <v>-0.01</v>
      </c>
      <c r="S207" s="7">
        <f t="shared" si="223"/>
        <v>-0.01</v>
      </c>
      <c r="T207" s="7">
        <f t="shared" si="223"/>
        <v>-0.01</v>
      </c>
      <c r="U207" s="7">
        <f t="shared" si="223"/>
        <v>-0.01</v>
      </c>
      <c r="V207" s="7">
        <f t="shared" ref="V207:AE207" si="224">U207</f>
        <v>-0.01</v>
      </c>
      <c r="W207" s="7">
        <f t="shared" si="224"/>
        <v>-0.01</v>
      </c>
      <c r="X207" s="7">
        <f t="shared" si="224"/>
        <v>-0.01</v>
      </c>
      <c r="Y207" s="7">
        <f t="shared" si="224"/>
        <v>-0.01</v>
      </c>
      <c r="Z207" s="7">
        <f t="shared" si="224"/>
        <v>-0.01</v>
      </c>
      <c r="AA207" s="7">
        <f t="shared" si="224"/>
        <v>-0.01</v>
      </c>
      <c r="AB207" s="7">
        <f t="shared" si="224"/>
        <v>-0.01</v>
      </c>
      <c r="AC207" s="7">
        <f t="shared" si="224"/>
        <v>-0.01</v>
      </c>
      <c r="AD207" s="7">
        <f t="shared" si="224"/>
        <v>-0.01</v>
      </c>
      <c r="AE207" s="7">
        <f t="shared" si="224"/>
        <v>-0.01</v>
      </c>
    </row>
    <row r="208" spans="2:31" ht="12.75" customHeight="1" collapsed="1">
      <c r="D208" s="371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</row>
    <row r="209" spans="2:31" ht="12.75" customHeight="1">
      <c r="B209" s="11" t="s">
        <v>35</v>
      </c>
      <c r="C209" s="11"/>
      <c r="D209" s="19">
        <v>1.05</v>
      </c>
      <c r="J209" s="12"/>
      <c r="K209" s="12"/>
      <c r="L209" s="12"/>
      <c r="M209" s="12"/>
      <c r="N209" s="12">
        <f>MM_US!N205</f>
        <v>10</v>
      </c>
      <c r="O209" s="12">
        <f>MM_US!O205</f>
        <v>11</v>
      </c>
      <c r="P209" s="12">
        <f>MM_US!P205</f>
        <v>12</v>
      </c>
      <c r="Q209" s="12">
        <f>MM_US!Q205</f>
        <v>12</v>
      </c>
      <c r="R209" s="12">
        <f>MM_US!R205</f>
        <v>14</v>
      </c>
      <c r="S209" s="12">
        <f>MM_US!S205</f>
        <v>14</v>
      </c>
      <c r="T209" s="12">
        <f>MM_US!T205</f>
        <v>14</v>
      </c>
      <c r="U209" s="12">
        <f>MM_US!U205</f>
        <v>14</v>
      </c>
      <c r="V209" s="12">
        <f>MM_US!V205</f>
        <v>14</v>
      </c>
      <c r="W209" s="12">
        <f>MM_US!W205</f>
        <v>14</v>
      </c>
      <c r="X209" s="12">
        <f>MM_US!X205</f>
        <v>14</v>
      </c>
      <c r="Y209" s="12">
        <f>MM_US!Y205</f>
        <v>14</v>
      </c>
      <c r="Z209" s="12">
        <f>MM_US!Z205</f>
        <v>14</v>
      </c>
      <c r="AA209" s="12">
        <f>MM_US!AA205</f>
        <v>14</v>
      </c>
      <c r="AB209" s="12">
        <f>MM_US!AB205</f>
        <v>14</v>
      </c>
      <c r="AC209" s="12">
        <f>MM_US!AC205</f>
        <v>14</v>
      </c>
      <c r="AD209" s="12">
        <f>MM_US!AD205</f>
        <v>14</v>
      </c>
      <c r="AE209" s="12">
        <f>MM_US!AE205</f>
        <v>14</v>
      </c>
    </row>
    <row r="210" spans="2:31" ht="12.75" customHeight="1">
      <c r="B210" s="11" t="s">
        <v>36</v>
      </c>
      <c r="C210" s="11"/>
      <c r="D210" s="19">
        <v>1.03</v>
      </c>
      <c r="J210" s="12"/>
      <c r="K210" s="12"/>
      <c r="L210" s="12"/>
      <c r="M210" s="12"/>
      <c r="N210" s="12">
        <f>MM_US!N206</f>
        <v>8</v>
      </c>
      <c r="O210" s="12">
        <f>MM_US!O206</f>
        <v>8.4</v>
      </c>
      <c r="P210" s="12">
        <f>MM_US!P206</f>
        <v>8.82</v>
      </c>
      <c r="Q210" s="12">
        <f>MM_US!Q206</f>
        <v>9.261000000000001</v>
      </c>
      <c r="R210" s="12">
        <f>MM_US!R206</f>
        <v>10</v>
      </c>
      <c r="S210" s="12">
        <f>MM_US!S206</f>
        <v>10.5</v>
      </c>
      <c r="T210" s="12">
        <f>MM_US!T206</f>
        <v>11.025</v>
      </c>
      <c r="U210" s="12">
        <f>MM_US!U206</f>
        <v>11.576250000000002</v>
      </c>
      <c r="V210" s="12">
        <f>MM_US!V206</f>
        <v>11.576250000000002</v>
      </c>
      <c r="W210" s="12">
        <f>MM_US!W206</f>
        <v>11.576250000000002</v>
      </c>
      <c r="X210" s="12">
        <f>MM_US!X206</f>
        <v>11.576250000000002</v>
      </c>
      <c r="Y210" s="12">
        <f>MM_US!Y206</f>
        <v>11.576250000000002</v>
      </c>
      <c r="Z210" s="12">
        <f>MM_US!Z206</f>
        <v>11.576250000000002</v>
      </c>
      <c r="AA210" s="12">
        <f>MM_US!AA206</f>
        <v>11.576250000000002</v>
      </c>
      <c r="AB210" s="12">
        <f>MM_US!AB206</f>
        <v>11.576250000000002</v>
      </c>
      <c r="AC210" s="12">
        <f>MM_US!AC206</f>
        <v>11.576250000000002</v>
      </c>
      <c r="AD210" s="12">
        <f>MM_US!AD206</f>
        <v>11.576250000000002</v>
      </c>
      <c r="AE210" s="12">
        <f>MM_US!AE206</f>
        <v>11.576250000000002</v>
      </c>
    </row>
    <row r="211" spans="2:31" ht="12.75" customHeight="1">
      <c r="B211" s="11" t="s">
        <v>37</v>
      </c>
      <c r="C211" s="11"/>
      <c r="D211" s="19">
        <v>1.02</v>
      </c>
      <c r="J211" s="12"/>
      <c r="K211" s="12"/>
      <c r="L211" s="12"/>
      <c r="M211" s="12"/>
      <c r="N211" s="12">
        <f>MM_US!N207</f>
        <v>5</v>
      </c>
      <c r="O211" s="12">
        <f>MM_US!O207</f>
        <v>5.3</v>
      </c>
      <c r="P211" s="12">
        <f>MM_US!P207</f>
        <v>5.5</v>
      </c>
      <c r="Q211" s="12">
        <f>MM_US!Q207</f>
        <v>5.8</v>
      </c>
      <c r="R211" s="12">
        <f>MM_US!R207</f>
        <v>6.5</v>
      </c>
      <c r="S211" s="12">
        <f>MM_US!S207</f>
        <v>6.5</v>
      </c>
      <c r="T211" s="12">
        <f>MM_US!T207</f>
        <v>6.5</v>
      </c>
      <c r="U211" s="12">
        <f>MM_US!U207</f>
        <v>6.5</v>
      </c>
      <c r="V211" s="12">
        <f>MM_US!V207</f>
        <v>6.5</v>
      </c>
      <c r="W211" s="12">
        <f>MM_US!W207</f>
        <v>6.5</v>
      </c>
      <c r="X211" s="12">
        <f>MM_US!X207</f>
        <v>6.5</v>
      </c>
      <c r="Y211" s="12">
        <f>MM_US!Y207</f>
        <v>6.5</v>
      </c>
      <c r="Z211" s="12">
        <f>MM_US!Z207</f>
        <v>6.5</v>
      </c>
      <c r="AA211" s="12">
        <f>MM_US!AA207</f>
        <v>6.5</v>
      </c>
      <c r="AB211" s="12">
        <f>MM_US!AB207</f>
        <v>6.5</v>
      </c>
      <c r="AC211" s="12">
        <f>MM_US!AC207</f>
        <v>6.5</v>
      </c>
      <c r="AD211" s="12">
        <f>MM_US!AD207</f>
        <v>6.5</v>
      </c>
      <c r="AE211" s="12">
        <f>MM_US!AE207</f>
        <v>6.5</v>
      </c>
    </row>
    <row r="212" spans="2:31" ht="12.75" customHeight="1">
      <c r="B212" s="11"/>
      <c r="C212" s="11"/>
      <c r="D212" s="19"/>
      <c r="K212" s="13"/>
      <c r="L212" s="13"/>
      <c r="M212" s="13"/>
    </row>
    <row r="213" spans="2:31" ht="12.75" customHeight="1">
      <c r="B213" s="527" t="s">
        <v>387</v>
      </c>
      <c r="C213" s="528"/>
      <c r="D213" s="511"/>
      <c r="E213" s="510"/>
      <c r="F213" s="510"/>
      <c r="G213" s="510"/>
      <c r="H213" s="510"/>
      <c r="I213" s="510"/>
      <c r="J213" s="512"/>
      <c r="K213" s="512"/>
      <c r="L213" s="512"/>
      <c r="M213" s="512"/>
      <c r="N213" s="512">
        <f t="shared" ref="N213:W213" si="225">+(N209*N166+N210*N178+N211*N190)*N206/1000000</f>
        <v>46.556419080317141</v>
      </c>
      <c r="O213" s="512">
        <f t="shared" si="225"/>
        <v>235.77650389004359</v>
      </c>
      <c r="P213" s="512">
        <f>+(P209*P166+P210*P178+P211*P190)*P206/1000000</f>
        <v>386.90008173080298</v>
      </c>
      <c r="Q213" s="512">
        <f>+(Q209*Q166+Q210*Q178+Q211*Q190)*Q206/1000000*0.95</f>
        <v>515.64127144801591</v>
      </c>
      <c r="R213" s="963">
        <f>+(R209*R166+R210*R178+R211*R190)*R206/1000000*0.95</f>
        <v>622.8910606631797</v>
      </c>
      <c r="S213" s="963">
        <f>+(S209*S166+S210*S178+S211*S190)*S206/1000000*0.975</f>
        <v>744.19778327867448</v>
      </c>
      <c r="T213" s="512">
        <f t="shared" si="225"/>
        <v>843.96978949064908</v>
      </c>
      <c r="U213" s="512">
        <f>+(U209*U166+U210*U178+U211*U190)*U206/1000000</f>
        <v>928.05945110500363</v>
      </c>
      <c r="V213" s="512">
        <f t="shared" si="225"/>
        <v>993.27599419994033</v>
      </c>
      <c r="W213" s="512">
        <f t="shared" si="225"/>
        <v>1058.6677133688402</v>
      </c>
      <c r="X213" s="512">
        <f>+((X209*X166+X210*X178+X211*X190)*X206/1000000)*(1-X240)</f>
        <v>899.48416184326379</v>
      </c>
      <c r="Y213" s="512">
        <f t="shared" ref="Y213:AE213" si="226">+((Y209*Y166+Y210*Y178+Y211*Y190)*Y206/1000000)*(1-Y240)</f>
        <v>587.57965820157597</v>
      </c>
      <c r="Z213" s="512">
        <f t="shared" si="226"/>
        <v>367.84532201973332</v>
      </c>
      <c r="AA213" s="512">
        <f t="shared" si="226"/>
        <v>255.5107585520357</v>
      </c>
      <c r="AB213" s="512">
        <f t="shared" si="226"/>
        <v>199.43453084329127</v>
      </c>
      <c r="AC213" s="512">
        <f t="shared" si="226"/>
        <v>138.23460325626971</v>
      </c>
      <c r="AD213" s="512">
        <f t="shared" si="226"/>
        <v>71.801630965716399</v>
      </c>
      <c r="AE213" s="512">
        <f t="shared" si="226"/>
        <v>44.721455076896873</v>
      </c>
    </row>
    <row r="214" spans="2:31" ht="12.75" customHeight="1">
      <c r="B214" s="27" t="s">
        <v>48</v>
      </c>
      <c r="C214" s="28"/>
      <c r="D214" s="29"/>
      <c r="E214" s="28"/>
      <c r="F214" s="28"/>
      <c r="G214" s="28"/>
      <c r="H214" s="28"/>
      <c r="I214" s="28"/>
      <c r="J214" s="30"/>
      <c r="K214" s="30"/>
      <c r="L214" s="30"/>
      <c r="M214" s="30"/>
      <c r="N214" s="30">
        <f t="shared" ref="N214:T214" si="227">+(N209*N$166+N210*N$178+N211*N$190)/SUM(N$166,N$178,N$190)</f>
        <v>5.5897043759974165</v>
      </c>
      <c r="O214" s="30">
        <f t="shared" si="227"/>
        <v>6.8352441892263798</v>
      </c>
      <c r="P214" s="30">
        <f t="shared" si="227"/>
        <v>7.3325399527217998</v>
      </c>
      <c r="Q214" s="30">
        <f t="shared" si="227"/>
        <v>8.2174733316167927</v>
      </c>
      <c r="R214" s="964">
        <f t="shared" si="227"/>
        <v>9.2282113444697682</v>
      </c>
      <c r="S214" s="964">
        <f t="shared" si="227"/>
        <v>9.6150326916481816</v>
      </c>
      <c r="T214" s="30">
        <f t="shared" si="227"/>
        <v>9.9114064997993232</v>
      </c>
      <c r="U214" s="30">
        <f>+(U209*U$166+U210*U$178+U211*U$190)/SUM(U$166,U$178,U$190)</f>
        <v>10.220545077509648</v>
      </c>
      <c r="V214" s="30">
        <f t="shared" ref="V214:AE214" si="228">+(V209*V$166+V210*V$178+V211*V$190)/SUM(V$166,V$178,V$190)</f>
        <v>10.308706661617952</v>
      </c>
      <c r="W214" s="30">
        <f t="shared" si="228"/>
        <v>10.398112271631744</v>
      </c>
      <c r="X214" s="30">
        <f t="shared" si="228"/>
        <v>10.488746520580877</v>
      </c>
      <c r="Y214" s="30">
        <f t="shared" si="228"/>
        <v>10.56874742001394</v>
      </c>
      <c r="Z214" s="30">
        <f t="shared" si="228"/>
        <v>10.652611327656601</v>
      </c>
      <c r="AA214" s="30">
        <f t="shared" si="228"/>
        <v>10.740166729541883</v>
      </c>
      <c r="AB214" s="30">
        <f t="shared" si="228"/>
        <v>10.831205623913975</v>
      </c>
      <c r="AC214" s="30">
        <f t="shared" si="228"/>
        <v>10.925483029565635</v>
      </c>
      <c r="AD214" s="30">
        <f t="shared" si="228"/>
        <v>11.022717352349735</v>
      </c>
      <c r="AE214" s="30">
        <f t="shared" si="228"/>
        <v>11.122591684551939</v>
      </c>
    </row>
    <row r="215" spans="2:31" ht="12.75" customHeight="1" outlineLevel="1">
      <c r="B215" s="27"/>
      <c r="C215" s="28"/>
      <c r="D215" s="29"/>
      <c r="E215" s="28"/>
      <c r="F215" s="28"/>
      <c r="G215" s="28"/>
      <c r="H215" s="28"/>
      <c r="I215" s="28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</row>
    <row r="216" spans="2:31" ht="12.75" customHeight="1" outlineLevel="1">
      <c r="B216" s="498" t="s">
        <v>386</v>
      </c>
      <c r="C216" s="498"/>
      <c r="D216" s="499" t="s">
        <v>26</v>
      </c>
      <c r="E216" s="498"/>
      <c r="F216" s="498"/>
      <c r="G216" s="498"/>
      <c r="H216" s="498"/>
      <c r="I216" s="498"/>
      <c r="J216" s="498"/>
      <c r="K216" s="498"/>
      <c r="L216" s="498"/>
      <c r="M216" s="498"/>
      <c r="N216" s="498"/>
      <c r="O216" s="498"/>
      <c r="P216" s="498"/>
      <c r="Q216" s="498"/>
      <c r="R216" s="498"/>
      <c r="S216" s="498"/>
      <c r="T216" s="498"/>
      <c r="U216" s="498"/>
      <c r="V216" s="498"/>
      <c r="W216" s="498"/>
      <c r="X216" s="498"/>
      <c r="Y216" s="498"/>
      <c r="Z216" s="498"/>
      <c r="AA216" s="498"/>
      <c r="AB216" s="498"/>
      <c r="AC216" s="498"/>
      <c r="AD216" s="498"/>
      <c r="AE216" s="498"/>
    </row>
    <row r="217" spans="2:31" ht="12.75" customHeight="1" outlineLevel="1">
      <c r="D217" s="371"/>
    </row>
    <row r="218" spans="2:31" ht="12.75" customHeight="1" outlineLevel="1">
      <c r="B218" s="10" t="s">
        <v>47</v>
      </c>
      <c r="C218" s="373"/>
      <c r="D218" s="371"/>
      <c r="J218" s="24"/>
      <c r="K218" s="24"/>
      <c r="L218" s="24"/>
      <c r="M218" s="24">
        <f>1658*6*0.9*0.85</f>
        <v>7610.22</v>
      </c>
      <c r="N218" s="24">
        <f>1658*6*0.9</f>
        <v>8953.2000000000007</v>
      </c>
      <c r="O218" s="24">
        <f>N218*(1+O219)</f>
        <v>8863.6680000000015</v>
      </c>
      <c r="P218" s="24">
        <f t="shared" ref="P218:U218" si="229">O218*(1+P219)</f>
        <v>8775.0313200000019</v>
      </c>
      <c r="Q218" s="24">
        <f t="shared" si="229"/>
        <v>8687.2810068000017</v>
      </c>
      <c r="R218" s="24">
        <f t="shared" si="229"/>
        <v>8600.4081967320017</v>
      </c>
      <c r="S218" s="24">
        <f t="shared" si="229"/>
        <v>8514.4041147646822</v>
      </c>
      <c r="T218" s="24">
        <f t="shared" si="229"/>
        <v>8429.2600736170352</v>
      </c>
      <c r="U218" s="24">
        <f t="shared" si="229"/>
        <v>8344.9674728808641</v>
      </c>
      <c r="V218" s="24">
        <f t="shared" ref="V218:AE218" si="230">U218*(1+V219)</f>
        <v>8261.5177981520555</v>
      </c>
      <c r="W218" s="24">
        <f t="shared" si="230"/>
        <v>8178.9026201705346</v>
      </c>
      <c r="X218" s="24">
        <f t="shared" si="230"/>
        <v>8097.1135939688293</v>
      </c>
      <c r="Y218" s="24">
        <f t="shared" si="230"/>
        <v>8016.1424580291405</v>
      </c>
      <c r="Z218" s="24">
        <f t="shared" si="230"/>
        <v>7935.9810334488493</v>
      </c>
      <c r="AA218" s="24">
        <f t="shared" si="230"/>
        <v>7856.6212231143609</v>
      </c>
      <c r="AB218" s="24">
        <f t="shared" si="230"/>
        <v>7778.0550108832176</v>
      </c>
      <c r="AC218" s="24">
        <f t="shared" si="230"/>
        <v>7700.2744607743853</v>
      </c>
      <c r="AD218" s="24">
        <f t="shared" si="230"/>
        <v>7623.2717161666415</v>
      </c>
      <c r="AE218" s="24">
        <f t="shared" si="230"/>
        <v>7547.0389990049753</v>
      </c>
    </row>
    <row r="219" spans="2:31" ht="12.75" customHeight="1" outlineLevel="1">
      <c r="D219" s="371"/>
      <c r="O219" s="7">
        <v>-0.01</v>
      </c>
      <c r="P219" s="7">
        <f t="shared" ref="P219:U219" si="231">O219</f>
        <v>-0.01</v>
      </c>
      <c r="Q219" s="7">
        <f t="shared" si="231"/>
        <v>-0.01</v>
      </c>
      <c r="R219" s="7">
        <f t="shared" si="231"/>
        <v>-0.01</v>
      </c>
      <c r="S219" s="7">
        <f t="shared" si="231"/>
        <v>-0.01</v>
      </c>
      <c r="T219" s="7">
        <f t="shared" si="231"/>
        <v>-0.01</v>
      </c>
      <c r="U219" s="7">
        <f t="shared" si="231"/>
        <v>-0.01</v>
      </c>
      <c r="V219" s="7">
        <f t="shared" ref="V219:AE219" si="232">U219</f>
        <v>-0.01</v>
      </c>
      <c r="W219" s="7">
        <f t="shared" si="232"/>
        <v>-0.01</v>
      </c>
      <c r="X219" s="7">
        <f t="shared" si="232"/>
        <v>-0.01</v>
      </c>
      <c r="Y219" s="7">
        <f t="shared" si="232"/>
        <v>-0.01</v>
      </c>
      <c r="Z219" s="7">
        <f t="shared" si="232"/>
        <v>-0.01</v>
      </c>
      <c r="AA219" s="7">
        <f t="shared" si="232"/>
        <v>-0.01</v>
      </c>
      <c r="AB219" s="7">
        <f t="shared" si="232"/>
        <v>-0.01</v>
      </c>
      <c r="AC219" s="7">
        <f t="shared" si="232"/>
        <v>-0.01</v>
      </c>
      <c r="AD219" s="7">
        <f t="shared" si="232"/>
        <v>-0.01</v>
      </c>
      <c r="AE219" s="7">
        <f t="shared" si="232"/>
        <v>-0.01</v>
      </c>
    </row>
    <row r="220" spans="2:31" ht="12.75" customHeight="1" outlineLevel="1">
      <c r="D220" s="371"/>
    </row>
    <row r="221" spans="2:31" ht="12.75" customHeight="1" outlineLevel="1">
      <c r="B221" s="11" t="s">
        <v>35</v>
      </c>
      <c r="C221" s="11"/>
      <c r="D221" s="19">
        <v>1.01</v>
      </c>
      <c r="J221" s="12"/>
      <c r="K221" s="12"/>
      <c r="L221" s="12"/>
      <c r="M221" s="12">
        <f>M197*0.85</f>
        <v>6.8878687500000009</v>
      </c>
      <c r="N221" s="12">
        <f t="shared" ref="N221:P221" si="233">N197*0.85</f>
        <v>7.2322621875000008</v>
      </c>
      <c r="O221" s="12">
        <f t="shared" si="233"/>
        <v>7.5938752968750007</v>
      </c>
      <c r="P221" s="12">
        <f t="shared" si="233"/>
        <v>7.9735690617187513</v>
      </c>
      <c r="Q221" s="12">
        <f>Q197*0.8</f>
        <v>8.4</v>
      </c>
      <c r="R221" s="12">
        <f t="shared" ref="R221:AE221" si="234">R197*0.8</f>
        <v>8.48</v>
      </c>
      <c r="S221" s="12">
        <f t="shared" si="234"/>
        <v>8.9040000000000017</v>
      </c>
      <c r="T221" s="12">
        <f t="shared" si="234"/>
        <v>9.3492000000000015</v>
      </c>
      <c r="U221" s="12">
        <f t="shared" si="234"/>
        <v>9.8166600000000006</v>
      </c>
      <c r="V221" s="12">
        <f t="shared" si="234"/>
        <v>10.307493000000001</v>
      </c>
      <c r="W221" s="12">
        <f t="shared" si="234"/>
        <v>10.822867650000003</v>
      </c>
      <c r="X221" s="12">
        <f t="shared" si="234"/>
        <v>11.364011032500002</v>
      </c>
      <c r="Y221" s="12">
        <f t="shared" si="234"/>
        <v>11.932211584125003</v>
      </c>
      <c r="Z221" s="12">
        <f t="shared" si="234"/>
        <v>12.528822163331254</v>
      </c>
      <c r="AA221" s="12">
        <f t="shared" si="234"/>
        <v>13.155263271497816</v>
      </c>
      <c r="AB221" s="12">
        <f t="shared" si="234"/>
        <v>13.813026435072707</v>
      </c>
      <c r="AC221" s="12">
        <f t="shared" si="234"/>
        <v>14.503677756826344</v>
      </c>
      <c r="AD221" s="12">
        <f t="shared" si="234"/>
        <v>15.22886164466766</v>
      </c>
      <c r="AE221" s="12">
        <f t="shared" si="234"/>
        <v>15.990304726901044</v>
      </c>
    </row>
    <row r="222" spans="2:31" ht="12.75" customHeight="1" outlineLevel="1">
      <c r="B222" s="11" t="s">
        <v>36</v>
      </c>
      <c r="C222" s="11"/>
      <c r="D222" s="19">
        <v>1.02</v>
      </c>
      <c r="J222" s="12"/>
      <c r="K222" s="12"/>
      <c r="L222" s="12"/>
      <c r="M222" s="12">
        <v>6</v>
      </c>
      <c r="N222" s="12">
        <f>M222*$D$198</f>
        <v>6.18</v>
      </c>
      <c r="O222" s="12">
        <f>N222*$D$198</f>
        <v>6.3654000000000002</v>
      </c>
      <c r="P222" s="12">
        <f t="shared" ref="P222:U222" si="235">O222*1.01</f>
        <v>6.4290539999999998</v>
      </c>
      <c r="Q222" s="12">
        <f t="shared" si="235"/>
        <v>6.4933445399999998</v>
      </c>
      <c r="R222" s="12">
        <f t="shared" si="235"/>
        <v>6.5582779854000002</v>
      </c>
      <c r="S222" s="12">
        <f t="shared" si="235"/>
        <v>6.6238607652540002</v>
      </c>
      <c r="T222" s="12">
        <f t="shared" si="235"/>
        <v>6.6900993729065403</v>
      </c>
      <c r="U222" s="12">
        <f t="shared" si="235"/>
        <v>6.757000366635606</v>
      </c>
      <c r="V222" s="12">
        <f t="shared" ref="V222:AE222" si="236">U222*1.01</f>
        <v>6.824570370301962</v>
      </c>
      <c r="W222" s="12">
        <f t="shared" si="236"/>
        <v>6.8928160740049815</v>
      </c>
      <c r="X222" s="12">
        <f t="shared" si="236"/>
        <v>6.9617442347450318</v>
      </c>
      <c r="Y222" s="12">
        <f t="shared" si="236"/>
        <v>7.0313616770924821</v>
      </c>
      <c r="Z222" s="12">
        <f t="shared" si="236"/>
        <v>7.1016752938634067</v>
      </c>
      <c r="AA222" s="12">
        <f t="shared" si="236"/>
        <v>7.172692046802041</v>
      </c>
      <c r="AB222" s="12">
        <f t="shared" si="236"/>
        <v>7.2444189672700618</v>
      </c>
      <c r="AC222" s="12">
        <f t="shared" si="236"/>
        <v>7.3168631569427625</v>
      </c>
      <c r="AD222" s="12">
        <f t="shared" si="236"/>
        <v>7.3900317885121902</v>
      </c>
      <c r="AE222" s="12">
        <f t="shared" si="236"/>
        <v>7.4639321063973121</v>
      </c>
    </row>
    <row r="223" spans="2:31" ht="12.75" customHeight="1" outlineLevel="1">
      <c r="B223" s="11" t="s">
        <v>37</v>
      </c>
      <c r="C223" s="11"/>
      <c r="D223" s="19">
        <v>1.01</v>
      </c>
      <c r="J223" s="12"/>
      <c r="K223" s="12"/>
      <c r="L223" s="12"/>
      <c r="M223" s="12">
        <v>3.5</v>
      </c>
      <c r="N223" s="12">
        <f>M223*$D$199</f>
        <v>3.5700000000000003</v>
      </c>
      <c r="O223" s="12">
        <v>6</v>
      </c>
      <c r="P223" s="12">
        <f>O223*$D$199</f>
        <v>6.12</v>
      </c>
      <c r="Q223" s="12">
        <f>P223</f>
        <v>6.12</v>
      </c>
      <c r="R223" s="12">
        <f>Q223</f>
        <v>6.12</v>
      </c>
      <c r="S223" s="12">
        <f>R223</f>
        <v>6.12</v>
      </c>
      <c r="T223" s="12">
        <f>S223</f>
        <v>6.12</v>
      </c>
      <c r="U223" s="12">
        <f>T223</f>
        <v>6.12</v>
      </c>
      <c r="V223" s="12">
        <f t="shared" ref="V223:AA223" si="237">U223</f>
        <v>6.12</v>
      </c>
      <c r="W223" s="12">
        <f t="shared" si="237"/>
        <v>6.12</v>
      </c>
      <c r="X223" s="12">
        <f t="shared" si="237"/>
        <v>6.12</v>
      </c>
      <c r="Y223" s="12">
        <f t="shared" si="237"/>
        <v>6.12</v>
      </c>
      <c r="Z223" s="12">
        <f t="shared" si="237"/>
        <v>6.12</v>
      </c>
      <c r="AA223" s="12">
        <f t="shared" si="237"/>
        <v>6.12</v>
      </c>
      <c r="AB223" s="12">
        <f>AA223</f>
        <v>6.12</v>
      </c>
      <c r="AC223" s="12">
        <f>AB223</f>
        <v>6.12</v>
      </c>
      <c r="AD223" s="12">
        <f>AC223</f>
        <v>6.12</v>
      </c>
      <c r="AE223" s="12">
        <f>AD223</f>
        <v>6.12</v>
      </c>
    </row>
    <row r="224" spans="2:31" ht="12.75" customHeight="1" outlineLevel="1">
      <c r="B224" s="11"/>
      <c r="C224" s="11"/>
      <c r="D224" s="19"/>
      <c r="K224" s="13"/>
      <c r="L224" s="13"/>
      <c r="M224" s="13"/>
    </row>
    <row r="225" spans="2:31" ht="12.75" customHeight="1" outlineLevel="1">
      <c r="B225" s="527" t="s">
        <v>388</v>
      </c>
      <c r="C225" s="528"/>
      <c r="D225" s="511"/>
      <c r="E225" s="510"/>
      <c r="F225" s="510"/>
      <c r="G225" s="510"/>
      <c r="H225" s="510"/>
      <c r="I225" s="510"/>
      <c r="J225" s="512"/>
      <c r="K225" s="512"/>
      <c r="L225" s="512"/>
      <c r="M225" s="512">
        <f t="shared" ref="M225:AE225" si="238">+(M221*M165+M222*M177+M223*M189)*M218/1000000</f>
        <v>0</v>
      </c>
      <c r="N225" s="512">
        <f t="shared" si="238"/>
        <v>1.5745296980652528</v>
      </c>
      <c r="O225" s="512">
        <f t="shared" si="238"/>
        <v>24.873295445296062</v>
      </c>
      <c r="P225" s="512">
        <f t="shared" si="238"/>
        <v>46.407325251897497</v>
      </c>
      <c r="Q225" s="512">
        <f t="shared" si="238"/>
        <v>148.42501815345082</v>
      </c>
      <c r="R225" s="512">
        <f t="shared" si="238"/>
        <v>238.11424792327938</v>
      </c>
      <c r="S225" s="512">
        <f t="shared" si="238"/>
        <v>308.07895983272925</v>
      </c>
      <c r="T225" s="512">
        <f t="shared" si="238"/>
        <v>338.22545178567003</v>
      </c>
      <c r="U225" s="512">
        <f t="shared" si="238"/>
        <v>370.45089725361248</v>
      </c>
      <c r="V225" s="512">
        <f t="shared" si="238"/>
        <v>405.18195297511949</v>
      </c>
      <c r="W225" s="512">
        <f t="shared" si="238"/>
        <v>442.88032064091772</v>
      </c>
      <c r="X225" s="512">
        <f t="shared" si="238"/>
        <v>484.04582552204249</v>
      </c>
      <c r="Y225" s="512">
        <f t="shared" si="238"/>
        <v>529.21921506142519</v>
      </c>
      <c r="Z225" s="512">
        <f t="shared" si="238"/>
        <v>578.98450784316071</v>
      </c>
      <c r="AA225" s="512">
        <f t="shared" si="238"/>
        <v>633.97067288117648</v>
      </c>
      <c r="AB225" s="512">
        <f t="shared" si="238"/>
        <v>694.85235620114327</v>
      </c>
      <c r="AC225" s="512">
        <f t="shared" si="238"/>
        <v>762.34929345589558</v>
      </c>
      <c r="AD225" s="512">
        <f t="shared" si="238"/>
        <v>837.22395045467886</v>
      </c>
      <c r="AE225" s="512">
        <f t="shared" si="238"/>
        <v>920.27681392907516</v>
      </c>
    </row>
    <row r="226" spans="2:31" ht="12.75" customHeight="1" outlineLevel="1">
      <c r="B226" s="27" t="s">
        <v>48</v>
      </c>
      <c r="C226" s="28"/>
      <c r="D226" s="29"/>
      <c r="E226" s="28"/>
      <c r="F226" s="28"/>
      <c r="G226" s="28"/>
      <c r="H226" s="28"/>
      <c r="I226" s="28"/>
      <c r="J226" s="30"/>
      <c r="K226" s="30"/>
      <c r="L226" s="30"/>
      <c r="M226" s="30"/>
      <c r="N226" s="30"/>
      <c r="O226" s="30"/>
      <c r="P226" s="30">
        <f t="shared" ref="P226:U226" si="239">+(P221*P$165+P222*P$177+P223*P$189)/SUM(P$165,P$177,P$189)</f>
        <v>6.2099699748434043</v>
      </c>
      <c r="Q226" s="30">
        <f t="shared" si="239"/>
        <v>6.6780598141607559</v>
      </c>
      <c r="R226" s="30">
        <f t="shared" si="239"/>
        <v>6.8536509125259268</v>
      </c>
      <c r="S226" s="30">
        <f t="shared" si="239"/>
        <v>7.1716466129296235</v>
      </c>
      <c r="T226" s="30">
        <f t="shared" si="239"/>
        <v>7.384472202805795</v>
      </c>
      <c r="U226" s="30">
        <f t="shared" si="239"/>
        <v>7.6214858127000467</v>
      </c>
      <c r="V226" s="30">
        <f t="shared" ref="V226:AE226" si="240">+(V221*V$165+V222*V$177+V223*V$189)/SUM(V$165,V$177,V$189)</f>
        <v>7.884962824938536</v>
      </c>
      <c r="W226" s="30">
        <f t="shared" si="240"/>
        <v>8.1772630273400715</v>
      </c>
      <c r="X226" s="30">
        <f t="shared" si="240"/>
        <v>8.5008175446456686</v>
      </c>
      <c r="Y226" s="30">
        <f t="shared" si="240"/>
        <v>8.8581143926653532</v>
      </c>
      <c r="Z226" s="30">
        <f t="shared" si="240"/>
        <v>9.2516830973944018</v>
      </c>
      <c r="AA226" s="30">
        <f t="shared" si="240"/>
        <v>9.6840789072164331</v>
      </c>
      <c r="AB226" s="30">
        <f t="shared" si="240"/>
        <v>10.157867191339571</v>
      </c>
      <c r="AC226" s="30">
        <f t="shared" si="240"/>
        <v>10.675608655239191</v>
      </c>
      <c r="AD226" s="30">
        <f t="shared" si="240"/>
        <v>11.239846009232078</v>
      </c>
      <c r="AE226" s="30">
        <f t="shared" si="240"/>
        <v>11.853092696866694</v>
      </c>
    </row>
    <row r="227" spans="2:31" ht="12.75" customHeight="1" thickBot="1">
      <c r="D227" s="371"/>
    </row>
    <row r="228" spans="2:31" ht="12.75" customHeight="1">
      <c r="B228" s="469" t="s">
        <v>55</v>
      </c>
      <c r="C228" s="469"/>
      <c r="D228" s="469"/>
      <c r="E228" s="469"/>
      <c r="F228" s="469"/>
      <c r="G228" s="469"/>
      <c r="H228" s="469"/>
      <c r="I228" s="469"/>
      <c r="J228" s="469"/>
      <c r="K228" s="469"/>
      <c r="L228" s="469"/>
      <c r="M228" s="469"/>
      <c r="N228" s="469"/>
      <c r="O228" s="469"/>
      <c r="P228" s="469"/>
      <c r="Q228" s="469"/>
      <c r="R228" s="469"/>
      <c r="S228" s="469"/>
      <c r="T228" s="469"/>
      <c r="U228" s="469"/>
      <c r="V228" s="469"/>
      <c r="W228" s="469"/>
      <c r="X228" s="469"/>
      <c r="Y228" s="469"/>
      <c r="Z228" s="469"/>
      <c r="AA228" s="469"/>
      <c r="AB228" s="469"/>
      <c r="AC228" s="469"/>
      <c r="AD228" s="469"/>
      <c r="AE228" s="469"/>
    </row>
    <row r="229" spans="2:31" ht="12.75" customHeight="1">
      <c r="B229" s="498" t="s">
        <v>122</v>
      </c>
      <c r="C229" s="498"/>
      <c r="D229" s="499" t="s">
        <v>26</v>
      </c>
      <c r="E229" s="498"/>
      <c r="F229" s="498"/>
      <c r="G229" s="498"/>
      <c r="H229" s="498"/>
      <c r="I229" s="498"/>
      <c r="J229" s="498"/>
      <c r="K229" s="498"/>
      <c r="L229" s="498"/>
      <c r="M229" s="498"/>
      <c r="N229" s="498"/>
      <c r="O229" s="498"/>
      <c r="P229" s="498"/>
      <c r="Q229" s="498"/>
      <c r="R229" s="498"/>
      <c r="S229" s="498"/>
      <c r="T229" s="498"/>
      <c r="U229" s="498"/>
      <c r="V229" s="498"/>
      <c r="W229" s="498"/>
      <c r="X229" s="498"/>
      <c r="Y229" s="498"/>
      <c r="Z229" s="498"/>
      <c r="AA229" s="498"/>
      <c r="AB229" s="498"/>
      <c r="AC229" s="498"/>
      <c r="AD229" s="498"/>
      <c r="AE229" s="498"/>
    </row>
    <row r="230" spans="2:31" ht="12.75" customHeight="1">
      <c r="D230" s="371"/>
    </row>
    <row r="231" spans="2:31" ht="12.75" customHeight="1">
      <c r="B231" s="360" t="s">
        <v>389</v>
      </c>
      <c r="D231" s="371"/>
      <c r="J231" s="24">
        <f t="shared" ref="J231:T231" si="241">J201+J134</f>
        <v>661.80128161977302</v>
      </c>
      <c r="K231" s="24">
        <f t="shared" si="241"/>
        <v>1003.6442494051346</v>
      </c>
      <c r="L231" s="24">
        <f t="shared" si="241"/>
        <v>1321.2205494595871</v>
      </c>
      <c r="M231" s="24">
        <f t="shared" si="241"/>
        <v>1540.5204613276965</v>
      </c>
      <c r="N231" s="24">
        <f t="shared" si="241"/>
        <v>1701.1824172110169</v>
      </c>
      <c r="O231" s="24">
        <f t="shared" si="241"/>
        <v>1931.0530148680014</v>
      </c>
      <c r="P231" s="24">
        <f t="shared" si="241"/>
        <v>2144.9461379322688</v>
      </c>
      <c r="Q231" s="24">
        <f t="shared" si="241"/>
        <v>2536.5515755663855</v>
      </c>
      <c r="R231" s="24">
        <f t="shared" si="241"/>
        <v>2676.8789326266565</v>
      </c>
      <c r="S231" s="24">
        <f t="shared" si="241"/>
        <v>2850.9893484602831</v>
      </c>
      <c r="T231" s="24">
        <f t="shared" si="241"/>
        <v>3006.849383325783</v>
      </c>
      <c r="U231" s="24">
        <f>U201+U134</f>
        <v>3224.3852088305653</v>
      </c>
      <c r="V231" s="24">
        <f>V201+V134</f>
        <v>3509.4518974151165</v>
      </c>
      <c r="W231" s="24">
        <f t="shared" ref="W231:AE231" si="242">(W201+W134)*(1-W239)</f>
        <v>3037.7874553326633</v>
      </c>
      <c r="X231" s="24">
        <f t="shared" si="242"/>
        <v>1994.5374053398309</v>
      </c>
      <c r="Y231" s="24">
        <f t="shared" si="242"/>
        <v>822.51621970603628</v>
      </c>
      <c r="Z231" s="24">
        <f t="shared" si="242"/>
        <v>212.05948585945336</v>
      </c>
      <c r="AA231" s="24">
        <f t="shared" si="242"/>
        <v>109.36456748195533</v>
      </c>
      <c r="AB231" s="24">
        <f t="shared" si="242"/>
        <v>45.124471538283856</v>
      </c>
      <c r="AC231" s="24">
        <f t="shared" si="242"/>
        <v>45.934224207611592</v>
      </c>
      <c r="AD231" s="24">
        <f t="shared" si="242"/>
        <v>46.956727062160773</v>
      </c>
      <c r="AE231" s="24">
        <f t="shared" si="242"/>
        <v>48.109222995933493</v>
      </c>
    </row>
    <row r="232" spans="2:31" ht="12.75" customHeight="1">
      <c r="B232" s="28" t="s">
        <v>48</v>
      </c>
      <c r="D232" s="371"/>
      <c r="J232" s="30">
        <f t="shared" ref="J232:AE232" si="243">(J202*(J188+J176+J164)+J135*(J34+J53+J69))/(J188+J176+J164+J34+J53+J69)</f>
        <v>5.223629427241204</v>
      </c>
      <c r="K232" s="30">
        <f t="shared" si="243"/>
        <v>6.4005105238041722</v>
      </c>
      <c r="L232" s="30">
        <f t="shared" si="243"/>
        <v>7.4402541890314913</v>
      </c>
      <c r="M232" s="30">
        <f t="shared" si="243"/>
        <v>8.5664566843824925</v>
      </c>
      <c r="N232" s="30">
        <f t="shared" si="243"/>
        <v>9.3116962136623034</v>
      </c>
      <c r="O232" s="30">
        <f t="shared" si="243"/>
        <v>9.5106584130193266</v>
      </c>
      <c r="P232" s="30">
        <f t="shared" si="243"/>
        <v>11.594459768496156</v>
      </c>
      <c r="Q232" s="30">
        <f t="shared" si="243"/>
        <v>13.711525979097907</v>
      </c>
      <c r="R232" s="30">
        <f t="shared" si="243"/>
        <v>14.389762034454078</v>
      </c>
      <c r="S232" s="30">
        <f t="shared" si="243"/>
        <v>15.051224873705245</v>
      </c>
      <c r="T232" s="30">
        <f t="shared" si="243"/>
        <v>16.088360317817724</v>
      </c>
      <c r="U232" s="30">
        <f t="shared" si="243"/>
        <v>17.617260246377985</v>
      </c>
      <c r="V232" s="30">
        <f t="shared" si="243"/>
        <v>19.079118377399272</v>
      </c>
      <c r="W232" s="30">
        <f t="shared" si="243"/>
        <v>19.483838095964057</v>
      </c>
      <c r="X232" s="30">
        <f t="shared" si="243"/>
        <v>19.896604396657654</v>
      </c>
      <c r="Y232" s="30">
        <f t="shared" si="243"/>
        <v>20.316827778935718</v>
      </c>
      <c r="Z232" s="30">
        <f t="shared" si="243"/>
        <v>20.743952302627147</v>
      </c>
      <c r="AA232" s="30">
        <f t="shared" si="243"/>
        <v>21.177382676457388</v>
      </c>
      <c r="AB232" s="30">
        <f t="shared" si="243"/>
        <v>21.616437667651301</v>
      </c>
      <c r="AC232" s="30">
        <f t="shared" si="243"/>
        <v>22.331179803052152</v>
      </c>
      <c r="AD232" s="30">
        <f t="shared" si="243"/>
        <v>22.795430374588303</v>
      </c>
      <c r="AE232" s="30">
        <f t="shared" si="243"/>
        <v>23.207902709700083</v>
      </c>
    </row>
    <row r="233" spans="2:31" ht="12.75" customHeight="1">
      <c r="B233" s="10" t="s">
        <v>56</v>
      </c>
      <c r="D233" s="371"/>
      <c r="J233" s="130">
        <f t="shared" ref="J233:AE233" si="244">(J34+J53+J69)/(J62+J43+J25)</f>
        <v>0.33844999999999997</v>
      </c>
      <c r="K233" s="130">
        <f t="shared" si="244"/>
        <v>0.40689999999999998</v>
      </c>
      <c r="L233" s="130">
        <f t="shared" si="244"/>
        <v>0.42990299999999998</v>
      </c>
      <c r="M233" s="130">
        <f t="shared" si="244"/>
        <v>0.45366829999999991</v>
      </c>
      <c r="N233" s="130">
        <f t="shared" si="244"/>
        <v>0.4859621300000001</v>
      </c>
      <c r="O233" s="130">
        <f t="shared" si="244"/>
        <v>0.50064773649999994</v>
      </c>
      <c r="P233" s="130">
        <f t="shared" si="244"/>
        <v>0.515827310825</v>
      </c>
      <c r="Q233" s="130">
        <f t="shared" si="244"/>
        <v>0.51474024380500005</v>
      </c>
      <c r="R233" s="130">
        <f t="shared" si="244"/>
        <v>0.51502427508856241</v>
      </c>
      <c r="S233" s="130">
        <f t="shared" si="244"/>
        <v>0.51657385463537031</v>
      </c>
      <c r="T233" s="130">
        <f t="shared" si="244"/>
        <v>0.51929477640388877</v>
      </c>
      <c r="U233" s="130">
        <f t="shared" si="244"/>
        <v>0.52310306367635695</v>
      </c>
      <c r="V233" s="130">
        <f t="shared" si="244"/>
        <v>0.52792396634439964</v>
      </c>
      <c r="W233" s="130">
        <f t="shared" si="244"/>
        <v>0.53369105897153002</v>
      </c>
      <c r="X233" s="130">
        <f t="shared" si="244"/>
        <v>0.54034542956748655</v>
      </c>
      <c r="Y233" s="130">
        <f t="shared" si="244"/>
        <v>0.54783495001617522</v>
      </c>
      <c r="Z233" s="130">
        <f t="shared" si="244"/>
        <v>0.55611362000513109</v>
      </c>
      <c r="AA233" s="130">
        <f t="shared" si="244"/>
        <v>0.56514097711995559</v>
      </c>
      <c r="AB233" s="130">
        <f t="shared" si="244"/>
        <v>0.57488156650118116</v>
      </c>
      <c r="AC233" s="130">
        <f t="shared" si="244"/>
        <v>0.56318927148587683</v>
      </c>
      <c r="AD233" s="130">
        <f t="shared" si="244"/>
        <v>0.57205613643745701</v>
      </c>
      <c r="AE233" s="130">
        <f t="shared" si="244"/>
        <v>0.5853149664812799</v>
      </c>
    </row>
    <row r="234" spans="2:31" ht="12.75" customHeight="1">
      <c r="B234" s="31" t="s">
        <v>48</v>
      </c>
      <c r="D234" s="371"/>
      <c r="J234" s="30">
        <f t="shared" ref="J234:AE234" si="245">J135</f>
        <v>4.6941468459152027</v>
      </c>
      <c r="K234" s="30">
        <f t="shared" si="245"/>
        <v>6.4822954042762353</v>
      </c>
      <c r="L234" s="30">
        <f t="shared" si="245"/>
        <v>8.2897929532941159</v>
      </c>
      <c r="M234" s="30">
        <f t="shared" si="245"/>
        <v>10.211252154933463</v>
      </c>
      <c r="N234" s="30">
        <f t="shared" si="245"/>
        <v>10.990104665151581</v>
      </c>
      <c r="O234" s="30">
        <f t="shared" si="245"/>
        <v>11.115766155467279</v>
      </c>
      <c r="P234" s="30">
        <f t="shared" si="245"/>
        <v>14.581157112717024</v>
      </c>
      <c r="Q234" s="30">
        <f t="shared" si="245"/>
        <v>17.687722066387284</v>
      </c>
      <c r="R234" s="30">
        <f t="shared" si="245"/>
        <v>18.362609892459488</v>
      </c>
      <c r="S234" s="30">
        <f t="shared" si="245"/>
        <v>18.973072525930611</v>
      </c>
      <c r="T234" s="30">
        <f t="shared" si="245"/>
        <v>20.211957477393934</v>
      </c>
      <c r="U234" s="30">
        <f t="shared" si="245"/>
        <v>22.269796579286755</v>
      </c>
      <c r="V234" s="30">
        <f t="shared" si="245"/>
        <v>24.237159302209601</v>
      </c>
      <c r="W234" s="30">
        <f t="shared" si="245"/>
        <v>24.351713773883628</v>
      </c>
      <c r="X234" s="30">
        <f t="shared" si="245"/>
        <v>24.459346081138403</v>
      </c>
      <c r="Y234" s="30">
        <f t="shared" si="245"/>
        <v>24.560755227873685</v>
      </c>
      <c r="Z234" s="30">
        <f t="shared" si="245"/>
        <v>24.65661017613672</v>
      </c>
      <c r="AA234" s="30">
        <f t="shared" si="245"/>
        <v>24.747542418204464</v>
      </c>
      <c r="AB234" s="30">
        <f t="shared" si="245"/>
        <v>24.834141223035132</v>
      </c>
      <c r="AC234" s="30">
        <f t="shared" si="245"/>
        <v>25.006092561626062</v>
      </c>
      <c r="AD234" s="30">
        <f t="shared" si="245"/>
        <v>25.040138997996127</v>
      </c>
      <c r="AE234" s="30">
        <f t="shared" si="245"/>
        <v>25.046582692724911</v>
      </c>
    </row>
    <row r="235" spans="2:31" ht="12.75" customHeight="1">
      <c r="B235" s="10" t="s">
        <v>57</v>
      </c>
      <c r="D235" s="371"/>
      <c r="J235" s="130">
        <f t="shared" ref="J235:AE235" si="246">(J188+J176+J164)/(J8-J9)</f>
        <v>0.19453676848166299</v>
      </c>
      <c r="K235" s="130">
        <f t="shared" si="246"/>
        <v>0.25998841432940822</v>
      </c>
      <c r="L235" s="130">
        <f t="shared" si="246"/>
        <v>0.31114120069068535</v>
      </c>
      <c r="M235" s="130">
        <f t="shared" si="246"/>
        <v>0.32381340770517869</v>
      </c>
      <c r="N235" s="130">
        <f t="shared" si="246"/>
        <v>0.29689008759701474</v>
      </c>
      <c r="O235" s="130">
        <f t="shared" si="246"/>
        <v>0.28385526755722285</v>
      </c>
      <c r="P235" s="130">
        <f t="shared" si="246"/>
        <v>0.26646309393219697</v>
      </c>
      <c r="Q235" s="130">
        <f t="shared" si="246"/>
        <v>0.25810974443637102</v>
      </c>
      <c r="R235" s="130">
        <f t="shared" si="246"/>
        <v>0.22609126661658432</v>
      </c>
      <c r="S235" s="130">
        <f t="shared" si="246"/>
        <v>0.21810582840842155</v>
      </c>
      <c r="T235" s="130">
        <f t="shared" si="246"/>
        <v>0.2119956162281226</v>
      </c>
      <c r="U235" s="130">
        <f t="shared" si="246"/>
        <v>0.20740755302899636</v>
      </c>
      <c r="V235" s="130">
        <f t="shared" si="246"/>
        <v>0.2053061196830919</v>
      </c>
      <c r="W235" s="130">
        <f t="shared" si="246"/>
        <v>0.20398332870996844</v>
      </c>
      <c r="X235" s="130">
        <f t="shared" si="246"/>
        <v>0.20329271807101065</v>
      </c>
      <c r="Y235" s="130">
        <f t="shared" si="246"/>
        <v>0.20311598395573424</v>
      </c>
      <c r="Z235" s="130">
        <f t="shared" si="246"/>
        <v>0.20335757470571472</v>
      </c>
      <c r="AA235" s="130">
        <f t="shared" si="246"/>
        <v>0.20394032270887313</v>
      </c>
      <c r="AB235" s="130">
        <f t="shared" si="246"/>
        <v>0.20480191497384137</v>
      </c>
      <c r="AC235" s="130">
        <f t="shared" si="246"/>
        <v>0.19773682969026224</v>
      </c>
      <c r="AD235" s="130">
        <f t="shared" si="246"/>
        <v>0.19787593458537683</v>
      </c>
      <c r="AE235" s="130">
        <f t="shared" si="246"/>
        <v>0.19948400029035268</v>
      </c>
    </row>
    <row r="236" spans="2:31" ht="12.75" customHeight="1">
      <c r="B236" s="31" t="s">
        <v>48</v>
      </c>
      <c r="D236" s="371"/>
      <c r="J236" s="30">
        <f>J202</f>
        <v>5.9181866090135902</v>
      </c>
      <c r="K236" s="30">
        <f t="shared" ref="K236:AE236" si="247">K202</f>
        <v>6.3056318045389066</v>
      </c>
      <c r="L236" s="30">
        <f t="shared" si="247"/>
        <v>6.5847679434658088</v>
      </c>
      <c r="M236" s="30">
        <f t="shared" si="247"/>
        <v>6.9149436490577783</v>
      </c>
      <c r="N236" s="30">
        <f t="shared" si="247"/>
        <v>7.3753008796544384</v>
      </c>
      <c r="O236" s="30">
        <f t="shared" si="247"/>
        <v>7.6577624210237509</v>
      </c>
      <c r="P236" s="30">
        <f t="shared" si="247"/>
        <v>8.0201109296890056</v>
      </c>
      <c r="Q236" s="30">
        <f t="shared" si="247"/>
        <v>9.0195819721379671</v>
      </c>
      <c r="R236" s="30">
        <f t="shared" si="247"/>
        <v>9.2103251726228343</v>
      </c>
      <c r="S236" s="30">
        <f t="shared" si="247"/>
        <v>9.8648980766955638</v>
      </c>
      <c r="T236" s="30">
        <f t="shared" si="247"/>
        <v>10.546673967825154</v>
      </c>
      <c r="U236" s="30">
        <f t="shared" si="247"/>
        <v>11.253135211589182</v>
      </c>
      <c r="V236" s="30">
        <f>V202</f>
        <v>11.930621851996868</v>
      </c>
      <c r="W236" s="30">
        <f t="shared" si="247"/>
        <v>12.631331723416078</v>
      </c>
      <c r="X236" s="30">
        <f t="shared" si="247"/>
        <v>13.356291300707611</v>
      </c>
      <c r="Y236" s="30">
        <f t="shared" si="247"/>
        <v>14.106997851795059</v>
      </c>
      <c r="Z236" s="30">
        <f t="shared" si="247"/>
        <v>14.885307965914732</v>
      </c>
      <c r="AA236" s="30">
        <f t="shared" si="247"/>
        <v>15.693346928767722</v>
      </c>
      <c r="AB236" s="30">
        <f t="shared" si="247"/>
        <v>16.533439292008701</v>
      </c>
      <c r="AC236" s="30">
        <f t="shared" si="247"/>
        <v>17.966581207824785</v>
      </c>
      <c r="AD236" s="30">
        <f t="shared" si="247"/>
        <v>19.001131409217361</v>
      </c>
      <c r="AE236" s="30">
        <f t="shared" si="247"/>
        <v>19.980452890905433</v>
      </c>
    </row>
    <row r="237" spans="2:31" ht="12.75" customHeight="1">
      <c r="D237" s="371"/>
      <c r="M237" s="26"/>
    </row>
    <row r="238" spans="2:31" ht="12.75" customHeight="1">
      <c r="D238" s="371"/>
      <c r="M238" s="140"/>
      <c r="R238" s="24"/>
    </row>
    <row r="239" spans="2:31" ht="12.75" customHeight="1">
      <c r="B239" s="360" t="s">
        <v>912</v>
      </c>
      <c r="D239" s="371"/>
      <c r="M239" s="141"/>
      <c r="W239" s="7">
        <v>0.2</v>
      </c>
      <c r="X239" s="7">
        <f>W239+30%</f>
        <v>0.5</v>
      </c>
      <c r="Y239" s="7">
        <v>0.8</v>
      </c>
      <c r="Z239" s="7">
        <v>0.95</v>
      </c>
      <c r="AA239" s="7">
        <v>0.97499999999999998</v>
      </c>
      <c r="AB239" s="7">
        <v>0.99</v>
      </c>
      <c r="AC239" s="7">
        <f>AB239</f>
        <v>0.99</v>
      </c>
      <c r="AD239" s="7">
        <f>AC239</f>
        <v>0.99</v>
      </c>
      <c r="AE239" s="7">
        <f>AD239</f>
        <v>0.99</v>
      </c>
    </row>
    <row r="240" spans="2:31" ht="12.75" customHeight="1">
      <c r="B240" s="360" t="s">
        <v>913</v>
      </c>
      <c r="D240" s="371"/>
      <c r="X240" s="7">
        <v>0.2</v>
      </c>
      <c r="Y240" s="7">
        <f>X240+30%</f>
        <v>0.5</v>
      </c>
      <c r="Z240" s="7">
        <f>Y240+20%</f>
        <v>0.7</v>
      </c>
      <c r="AA240" s="7">
        <f>Z240+10%</f>
        <v>0.79999999999999993</v>
      </c>
      <c r="AB240" s="7">
        <f>AA240+5%</f>
        <v>0.85</v>
      </c>
      <c r="AC240" s="7">
        <f>AB240+5%</f>
        <v>0.9</v>
      </c>
      <c r="AD240" s="7">
        <f>AC240+5%</f>
        <v>0.95000000000000007</v>
      </c>
      <c r="AE240" s="7">
        <v>0.97</v>
      </c>
    </row>
    <row r="241" spans="2:18" ht="12.75" customHeight="1">
      <c r="D241" s="371"/>
    </row>
    <row r="242" spans="2:18" ht="12.75" customHeight="1">
      <c r="D242" s="371"/>
    </row>
    <row r="243" spans="2:18" ht="12.75" customHeight="1">
      <c r="D243" s="371"/>
    </row>
    <row r="244" spans="2:18" ht="12.75" customHeight="1">
      <c r="D244" s="371"/>
    </row>
    <row r="245" spans="2:18" ht="12.75" customHeight="1">
      <c r="D245" s="371"/>
    </row>
    <row r="246" spans="2:18" ht="12.75" customHeight="1">
      <c r="D246" s="371"/>
    </row>
    <row r="247" spans="2:18" ht="12.75" customHeight="1">
      <c r="D247" s="371"/>
    </row>
    <row r="248" spans="2:18" ht="12.75" customHeight="1">
      <c r="D248" s="371"/>
    </row>
    <row r="249" spans="2:18" ht="12.75" customHeight="1">
      <c r="D249" s="371"/>
    </row>
    <row r="250" spans="2:18" ht="12.75" customHeight="1">
      <c r="D250" s="371"/>
    </row>
    <row r="251" spans="2:18" ht="12.75" customHeight="1">
      <c r="D251" s="371"/>
    </row>
    <row r="252" spans="2:18" ht="12.75" customHeight="1">
      <c r="B252" t="s">
        <v>122</v>
      </c>
      <c r="D252" s="371"/>
      <c r="J252">
        <f>REVS!AL7</f>
        <v>668.4369999999999</v>
      </c>
      <c r="K252">
        <f>REVS!AQ7</f>
        <v>1037.183</v>
      </c>
      <c r="L252">
        <f>REVS!AV7</f>
        <v>1376.1529999999998</v>
      </c>
      <c r="M252">
        <f>REVS!BA7</f>
        <v>1616.64</v>
      </c>
    </row>
    <row r="253" spans="2:18" ht="12.75" customHeight="1">
      <c r="B253" s="20" t="s">
        <v>38</v>
      </c>
      <c r="C253" s="22"/>
      <c r="D253" s="21"/>
      <c r="E253" s="22"/>
      <c r="F253" s="22"/>
      <c r="G253" s="22"/>
      <c r="H253" s="22"/>
      <c r="I253" s="22"/>
      <c r="J253" s="22">
        <f>J252-J254-J255</f>
        <v>662.03876201115077</v>
      </c>
      <c r="K253" s="22">
        <f>K252-K254-K255</f>
        <v>1004.2700760909045</v>
      </c>
      <c r="L253" s="22">
        <f>L252-L254-L255</f>
        <v>1330.0921369666635</v>
      </c>
      <c r="M253" s="23">
        <f>M252-M254-M255</f>
        <v>1557.1929746695905</v>
      </c>
      <c r="R253">
        <f>365-330</f>
        <v>35</v>
      </c>
    </row>
    <row r="254" spans="2:18" ht="12.75" customHeight="1">
      <c r="B254" t="s">
        <v>127</v>
      </c>
      <c r="D254" s="371"/>
      <c r="J254" s="5">
        <f>MDS!J55</f>
        <v>6.3982379888491865</v>
      </c>
      <c r="K254" s="5">
        <f>MDS!K55</f>
        <v>12.912923909095428</v>
      </c>
      <c r="L254" s="5">
        <f>MDS!L55</f>
        <v>26.0608630333364</v>
      </c>
      <c r="M254" s="5">
        <f>MDS!M55</f>
        <v>39.447025330409637</v>
      </c>
    </row>
    <row r="255" spans="2:18" ht="12.75" customHeight="1">
      <c r="B255" t="s">
        <v>111</v>
      </c>
      <c r="D255" s="371"/>
      <c r="J255">
        <v>0</v>
      </c>
      <c r="K255">
        <v>20</v>
      </c>
      <c r="L255">
        <v>20</v>
      </c>
      <c r="M255">
        <v>20</v>
      </c>
    </row>
    <row r="256" spans="2:18" ht="12.75" customHeight="1">
      <c r="D256" s="371"/>
    </row>
    <row r="257" spans="4:13" ht="12.75" customHeight="1">
      <c r="D257" s="371"/>
      <c r="J257" s="12">
        <f>J201+J134</f>
        <v>661.80128161977302</v>
      </c>
      <c r="K257" s="12">
        <f>K201+K134</f>
        <v>1003.6442494051346</v>
      </c>
      <c r="L257" s="12">
        <f>L201+L134</f>
        <v>1321.2205494595871</v>
      </c>
      <c r="M257" s="12">
        <f>M201+M134</f>
        <v>1540.5204613276965</v>
      </c>
    </row>
    <row r="258" spans="4:13" ht="12.75" customHeight="1">
      <c r="D258" s="371"/>
      <c r="J258" s="12">
        <f>J253-J257</f>
        <v>0.23748039137774413</v>
      </c>
      <c r="K258" s="12">
        <f>K253-K257</f>
        <v>0.62582668576987999</v>
      </c>
      <c r="L258" s="12">
        <f>L253-L257</f>
        <v>8.8715875070763559</v>
      </c>
      <c r="M258" s="12">
        <f>M253-M257</f>
        <v>16.672513341894046</v>
      </c>
    </row>
    <row r="259" spans="4:13" ht="12.75" customHeight="1"/>
    <row r="271" spans="4:13" ht="13.5" thickBot="1">
      <c r="F271" s="144" t="s">
        <v>126</v>
      </c>
      <c r="G271" s="144" t="s">
        <v>72</v>
      </c>
    </row>
    <row r="272" spans="4:13" ht="13.5" thickBot="1">
      <c r="F272" s="145">
        <v>8931.9699999999993</v>
      </c>
      <c r="G272" s="146">
        <v>41547</v>
      </c>
    </row>
    <row r="273" spans="6:10" ht="13.5" thickBot="1">
      <c r="F273" s="145">
        <v>8671.82</v>
      </c>
      <c r="G273" s="146">
        <v>41362</v>
      </c>
      <c r="H273" s="5">
        <f>F274*3/12+F273*6/12+F272*3/12</f>
        <v>8673.7124999999996</v>
      </c>
      <c r="I273">
        <f>I274+1</f>
        <v>2013</v>
      </c>
      <c r="J273" s="2">
        <f>H273/H274-1</f>
        <v>8.1226273896465973E-2</v>
      </c>
    </row>
    <row r="274" spans="6:10" ht="13.5" thickBot="1">
      <c r="F274" s="145">
        <v>8419.24</v>
      </c>
      <c r="G274" s="146">
        <v>41213</v>
      </c>
      <c r="H274" s="5">
        <f>F275*10/12+F274*2/12</f>
        <v>8022.1066666666675</v>
      </c>
      <c r="I274">
        <f>I275+1</f>
        <v>2012</v>
      </c>
      <c r="J274" s="2">
        <f>H274/H275-1</f>
        <v>6.527417686188941E-2</v>
      </c>
    </row>
    <row r="275" spans="6:10" ht="13.5" thickBot="1">
      <c r="F275" s="145">
        <v>7942.68</v>
      </c>
      <c r="G275" s="146">
        <v>40875</v>
      </c>
      <c r="H275" s="5">
        <f>F276*11/12+F275*1/12</f>
        <v>7530.5558333333338</v>
      </c>
      <c r="I275">
        <f>I276+1</f>
        <v>2011</v>
      </c>
      <c r="J275" s="2">
        <f>H275/H276-1</f>
        <v>4.1740075524039133E-2</v>
      </c>
    </row>
    <row r="276" spans="6:10" ht="13.5" thickBot="1">
      <c r="F276" s="145">
        <v>7493.09</v>
      </c>
      <c r="G276" s="146">
        <v>40522</v>
      </c>
      <c r="H276" s="5">
        <f>F277*11/12+F276*1/12</f>
        <v>7228.8241666666672</v>
      </c>
      <c r="I276">
        <f>I277+1</f>
        <v>2010</v>
      </c>
      <c r="J276" s="2">
        <f>H276/H277-1</f>
        <v>5.2497163279588532E-2</v>
      </c>
    </row>
    <row r="277" spans="6:10" ht="13.5" thickBot="1">
      <c r="F277" s="145">
        <v>7204.8</v>
      </c>
      <c r="G277" s="146">
        <v>40182</v>
      </c>
      <c r="H277" s="5">
        <f>F278</f>
        <v>6868.26</v>
      </c>
      <c r="I277">
        <v>2009</v>
      </c>
    </row>
    <row r="278" spans="6:10" ht="13.5" thickBot="1">
      <c r="F278" s="145">
        <v>6868.26</v>
      </c>
      <c r="G278" s="146">
        <v>39904</v>
      </c>
      <c r="H278" s="13"/>
    </row>
  </sheetData>
  <mergeCells count="2">
    <mergeCell ref="J1:K1"/>
    <mergeCell ref="M1:O1"/>
  </mergeCells>
  <phoneticPr fontId="52" type="noConversion"/>
  <hyperlinks>
    <hyperlink ref="AG8" r:id="rId1"/>
    <hyperlink ref="AG142" r:id="rId2"/>
  </hyperlinks>
  <pageMargins left="0.75" right="0.75" top="1" bottom="1" header="0.5" footer="0.5"/>
  <pageSetup orientation="portrait" r:id="rId3"/>
  <headerFooter alignWithMargins="0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E157"/>
  <sheetViews>
    <sheetView zoomScaleNormal="100" workbookViewId="0">
      <pane xSplit="2" ySplit="1" topLeftCell="C2" activePane="bottomRight" state="frozen"/>
      <selection activeCell="N43" sqref="N43"/>
      <selection pane="topRight" activeCell="N43" sqref="N43"/>
      <selection pane="bottomLeft" activeCell="N43" sqref="N43"/>
      <selection pane="bottomRight" activeCell="S29" sqref="S29"/>
    </sheetView>
  </sheetViews>
  <sheetFormatPr defaultRowHeight="12.75" customHeight="1" outlineLevelRow="1" outlineLevelCol="1"/>
  <cols>
    <col min="1" max="1" width="1.85546875" style="32" customWidth="1"/>
    <col min="2" max="2" width="29.140625" style="32" customWidth="1"/>
    <col min="3" max="3" width="9.7109375" style="160" customWidth="1" outlineLevel="1"/>
    <col min="4" max="4" width="7.7109375" style="160" customWidth="1" outlineLevel="1"/>
    <col min="5" max="7" width="9.5703125" style="160" customWidth="1" outlineLevel="1"/>
    <col min="8" max="9" width="11" style="160" customWidth="1" outlineLevel="1"/>
    <col min="10" max="11" width="9.5703125" style="160" bestFit="1" customWidth="1"/>
    <col min="12" max="14" width="9.5703125" style="160" customWidth="1"/>
    <col min="15" max="21" width="9.140625" style="160"/>
    <col min="22" max="31" width="9.140625" style="160" customWidth="1"/>
    <col min="32" max="16384" width="9.140625" style="32"/>
  </cols>
  <sheetData>
    <row r="1" spans="2:31" s="539" customFormat="1" ht="12.75" customHeight="1">
      <c r="C1" s="540"/>
      <c r="D1" s="540"/>
      <c r="E1" s="540"/>
      <c r="F1" s="540"/>
      <c r="G1" s="540"/>
      <c r="H1" s="540"/>
      <c r="I1" s="540"/>
      <c r="J1" s="540"/>
      <c r="K1" s="540"/>
      <c r="L1" s="540"/>
      <c r="M1" s="540"/>
      <c r="N1" s="540"/>
      <c r="O1" s="540"/>
      <c r="P1" s="540"/>
      <c r="Q1" s="540"/>
      <c r="R1" s="540"/>
      <c r="S1" s="540"/>
      <c r="T1" s="540"/>
      <c r="U1" s="540"/>
      <c r="V1" s="540"/>
      <c r="W1" s="540"/>
      <c r="X1" s="540"/>
      <c r="Y1" s="540"/>
      <c r="Z1" s="540"/>
      <c r="AA1" s="540"/>
      <c r="AB1" s="540"/>
      <c r="AC1" s="540"/>
      <c r="AD1" s="540"/>
      <c r="AE1" s="540"/>
    </row>
    <row r="2" spans="2:31" s="539" customFormat="1" ht="12.75" customHeight="1" thickBot="1">
      <c r="B2" s="467"/>
      <c r="C2" s="541"/>
      <c r="D2" s="541">
        <v>2003</v>
      </c>
      <c r="E2" s="541" t="s">
        <v>116</v>
      </c>
      <c r="F2" s="541" t="s">
        <v>117</v>
      </c>
      <c r="G2" s="541">
        <v>2006</v>
      </c>
      <c r="H2" s="541">
        <v>2007</v>
      </c>
      <c r="I2" s="541">
        <v>2008</v>
      </c>
      <c r="J2" s="541">
        <v>2009</v>
      </c>
      <c r="K2" s="541">
        <v>2010</v>
      </c>
      <c r="L2" s="541">
        <v>2011</v>
      </c>
      <c r="M2" s="541">
        <v>2012</v>
      </c>
      <c r="N2" s="541">
        <v>2013</v>
      </c>
      <c r="O2" s="541">
        <v>2014</v>
      </c>
      <c r="P2" s="541">
        <v>2015</v>
      </c>
      <c r="Q2" s="541">
        <v>2016</v>
      </c>
      <c r="R2" s="541">
        <v>2017</v>
      </c>
      <c r="S2" s="541">
        <v>2018</v>
      </c>
      <c r="T2" s="541">
        <v>2019</v>
      </c>
      <c r="U2" s="541">
        <v>2020</v>
      </c>
      <c r="V2" s="541">
        <v>2021</v>
      </c>
      <c r="W2" s="541">
        <v>2022</v>
      </c>
      <c r="X2" s="541">
        <v>2023</v>
      </c>
      <c r="Y2" s="541">
        <v>2024</v>
      </c>
      <c r="Z2" s="541">
        <v>2025</v>
      </c>
      <c r="AA2" s="541">
        <v>2026</v>
      </c>
      <c r="AB2" s="541">
        <v>2027</v>
      </c>
      <c r="AC2" s="541">
        <v>2028</v>
      </c>
      <c r="AD2" s="541">
        <v>2029</v>
      </c>
      <c r="AE2" s="541">
        <v>2030</v>
      </c>
    </row>
    <row r="3" spans="2:31" s="539" customFormat="1">
      <c r="B3" s="469" t="s">
        <v>425</v>
      </c>
      <c r="C3" s="542"/>
      <c r="D3" s="542"/>
      <c r="E3" s="542"/>
      <c r="F3" s="542"/>
      <c r="G3" s="542"/>
      <c r="H3" s="542"/>
      <c r="I3" s="542"/>
      <c r="J3" s="542"/>
      <c r="K3" s="542"/>
      <c r="L3" s="542"/>
      <c r="M3" s="542"/>
      <c r="N3" s="542"/>
      <c r="O3" s="542"/>
      <c r="P3" s="542"/>
      <c r="Q3" s="542"/>
      <c r="R3" s="542"/>
      <c r="S3" s="542"/>
      <c r="T3" s="542"/>
      <c r="U3" s="542"/>
      <c r="V3" s="542"/>
      <c r="W3" s="542"/>
      <c r="X3" s="542"/>
      <c r="Y3" s="542"/>
      <c r="Z3" s="542"/>
      <c r="AA3" s="542"/>
      <c r="AB3" s="542"/>
      <c r="AC3" s="542"/>
      <c r="AD3" s="542"/>
      <c r="AE3" s="542"/>
    </row>
    <row r="4" spans="2:31" s="543" customFormat="1" ht="12.75" customHeight="1">
      <c r="B4" s="544" t="s">
        <v>414</v>
      </c>
      <c r="C4" s="177"/>
      <c r="D4" s="545">
        <f>E4*0.9909</f>
        <v>39636</v>
      </c>
      <c r="E4" s="545">
        <v>40000</v>
      </c>
      <c r="F4" s="545">
        <f>E4*1.0091</f>
        <v>40364.000000000007</v>
      </c>
      <c r="G4" s="545">
        <f>F4*1.0091</f>
        <v>40731.31240000001</v>
      </c>
      <c r="H4" s="545">
        <f>G4*1.0091</f>
        <v>41101.967342840013</v>
      </c>
      <c r="I4" s="545">
        <f t="shared" ref="I4:P4" si="0">H4*1.03</f>
        <v>42335.026363125216</v>
      </c>
      <c r="J4" s="545">
        <f t="shared" si="0"/>
        <v>43605.077154018974</v>
      </c>
      <c r="K4" s="545">
        <f t="shared" si="0"/>
        <v>44913.229468639547</v>
      </c>
      <c r="L4" s="545">
        <f t="shared" si="0"/>
        <v>46260.626352698731</v>
      </c>
      <c r="M4" s="545">
        <f t="shared" si="0"/>
        <v>47648.445143279692</v>
      </c>
      <c r="N4" s="545">
        <f t="shared" si="0"/>
        <v>49077.898497578084</v>
      </c>
      <c r="O4" s="545">
        <f t="shared" si="0"/>
        <v>50550.235452505425</v>
      </c>
      <c r="P4" s="545">
        <f t="shared" si="0"/>
        <v>52066.742516080587</v>
      </c>
      <c r="Q4" s="545">
        <f t="shared" ref="Q4:AB4" si="1">P4*1.03</f>
        <v>53628.744791563004</v>
      </c>
      <c r="R4" s="545">
        <f t="shared" si="1"/>
        <v>55237.607135309896</v>
      </c>
      <c r="S4" s="545">
        <f t="shared" si="1"/>
        <v>56894.735349369192</v>
      </c>
      <c r="T4" s="545">
        <f t="shared" si="1"/>
        <v>58601.577409850266</v>
      </c>
      <c r="U4" s="545">
        <f t="shared" si="1"/>
        <v>60359.624732145778</v>
      </c>
      <c r="V4" s="545">
        <f t="shared" si="1"/>
        <v>62170.413474110152</v>
      </c>
      <c r="W4" s="545">
        <f t="shared" si="1"/>
        <v>64035.525878333458</v>
      </c>
      <c r="X4" s="545">
        <f t="shared" si="1"/>
        <v>65956.591654683463</v>
      </c>
      <c r="Y4" s="545">
        <f t="shared" si="1"/>
        <v>67935.289404323965</v>
      </c>
      <c r="Z4" s="545">
        <f t="shared" si="1"/>
        <v>69973.348086453683</v>
      </c>
      <c r="AA4" s="545">
        <f t="shared" si="1"/>
        <v>72072.548529047301</v>
      </c>
      <c r="AB4" s="545">
        <f t="shared" si="1"/>
        <v>74234.724984918721</v>
      </c>
      <c r="AC4" s="545">
        <f>AB4*1.03</f>
        <v>76461.766734466291</v>
      </c>
      <c r="AD4" s="545">
        <f>AC4*1.03</f>
        <v>78755.619736500288</v>
      </c>
      <c r="AE4" s="545">
        <f>AD4*1.03</f>
        <v>81118.288328595299</v>
      </c>
    </row>
    <row r="5" spans="2:31" s="546" customFormat="1" ht="12.75" customHeight="1">
      <c r="B5" s="547" t="s">
        <v>410</v>
      </c>
      <c r="C5" s="161"/>
      <c r="D5" s="548"/>
      <c r="E5" s="549">
        <v>0.6</v>
      </c>
      <c r="F5" s="549">
        <f>E5</f>
        <v>0.6</v>
      </c>
      <c r="G5" s="549">
        <f t="shared" ref="G5:Z5" si="2">F5</f>
        <v>0.6</v>
      </c>
      <c r="H5" s="549">
        <f t="shared" si="2"/>
        <v>0.6</v>
      </c>
      <c r="I5" s="549">
        <f t="shared" si="2"/>
        <v>0.6</v>
      </c>
      <c r="J5" s="549">
        <f t="shared" si="2"/>
        <v>0.6</v>
      </c>
      <c r="K5" s="549">
        <f t="shared" si="2"/>
        <v>0.6</v>
      </c>
      <c r="L5" s="549">
        <f t="shared" si="2"/>
        <v>0.6</v>
      </c>
      <c r="M5" s="549">
        <f t="shared" si="2"/>
        <v>0.6</v>
      </c>
      <c r="N5" s="549">
        <f t="shared" si="2"/>
        <v>0.6</v>
      </c>
      <c r="O5" s="549">
        <f t="shared" si="2"/>
        <v>0.6</v>
      </c>
      <c r="P5" s="549">
        <f t="shared" si="2"/>
        <v>0.6</v>
      </c>
      <c r="Q5" s="549">
        <f t="shared" si="2"/>
        <v>0.6</v>
      </c>
      <c r="R5" s="549">
        <f t="shared" si="2"/>
        <v>0.6</v>
      </c>
      <c r="S5" s="549">
        <f t="shared" si="2"/>
        <v>0.6</v>
      </c>
      <c r="T5" s="549">
        <f t="shared" si="2"/>
        <v>0.6</v>
      </c>
      <c r="U5" s="549">
        <f t="shared" si="2"/>
        <v>0.6</v>
      </c>
      <c r="V5" s="549">
        <f t="shared" si="2"/>
        <v>0.6</v>
      </c>
      <c r="W5" s="549">
        <f t="shared" si="2"/>
        <v>0.6</v>
      </c>
      <c r="X5" s="549">
        <f t="shared" si="2"/>
        <v>0.6</v>
      </c>
      <c r="Y5" s="549">
        <f t="shared" si="2"/>
        <v>0.6</v>
      </c>
      <c r="Z5" s="549">
        <f t="shared" si="2"/>
        <v>0.6</v>
      </c>
      <c r="AA5" s="549">
        <f>Z5</f>
        <v>0.6</v>
      </c>
      <c r="AB5" s="549">
        <f>AA5</f>
        <v>0.6</v>
      </c>
      <c r="AC5" s="549">
        <f t="shared" ref="AC5:AE6" si="3">AB5</f>
        <v>0.6</v>
      </c>
      <c r="AD5" s="549">
        <f t="shared" si="3"/>
        <v>0.6</v>
      </c>
      <c r="AE5" s="549">
        <f t="shared" si="3"/>
        <v>0.6</v>
      </c>
    </row>
    <row r="6" spans="2:31" s="546" customFormat="1" ht="12.75" customHeight="1">
      <c r="B6" s="547" t="s">
        <v>411</v>
      </c>
      <c r="C6" s="161"/>
      <c r="D6" s="548"/>
      <c r="E6" s="549">
        <f>1-E5</f>
        <v>0.4</v>
      </c>
      <c r="F6" s="549">
        <f>E6</f>
        <v>0.4</v>
      </c>
      <c r="G6" s="549">
        <f t="shared" ref="G6:AB6" si="4">F6</f>
        <v>0.4</v>
      </c>
      <c r="H6" s="549">
        <f t="shared" si="4"/>
        <v>0.4</v>
      </c>
      <c r="I6" s="549">
        <f t="shared" si="4"/>
        <v>0.4</v>
      </c>
      <c r="J6" s="549">
        <f t="shared" si="4"/>
        <v>0.4</v>
      </c>
      <c r="K6" s="549">
        <f t="shared" si="4"/>
        <v>0.4</v>
      </c>
      <c r="L6" s="549">
        <f t="shared" si="4"/>
        <v>0.4</v>
      </c>
      <c r="M6" s="549">
        <f t="shared" si="4"/>
        <v>0.4</v>
      </c>
      <c r="N6" s="549">
        <f t="shared" si="4"/>
        <v>0.4</v>
      </c>
      <c r="O6" s="549">
        <f t="shared" si="4"/>
        <v>0.4</v>
      </c>
      <c r="P6" s="549">
        <f t="shared" si="4"/>
        <v>0.4</v>
      </c>
      <c r="Q6" s="549">
        <f t="shared" si="4"/>
        <v>0.4</v>
      </c>
      <c r="R6" s="549">
        <f t="shared" si="4"/>
        <v>0.4</v>
      </c>
      <c r="S6" s="549">
        <f t="shared" si="4"/>
        <v>0.4</v>
      </c>
      <c r="T6" s="549">
        <f t="shared" si="4"/>
        <v>0.4</v>
      </c>
      <c r="U6" s="549">
        <f t="shared" si="4"/>
        <v>0.4</v>
      </c>
      <c r="V6" s="549">
        <f t="shared" si="4"/>
        <v>0.4</v>
      </c>
      <c r="W6" s="549">
        <f t="shared" si="4"/>
        <v>0.4</v>
      </c>
      <c r="X6" s="549">
        <f t="shared" si="4"/>
        <v>0.4</v>
      </c>
      <c r="Y6" s="549">
        <f t="shared" si="4"/>
        <v>0.4</v>
      </c>
      <c r="Z6" s="549">
        <f t="shared" si="4"/>
        <v>0.4</v>
      </c>
      <c r="AA6" s="549">
        <f t="shared" si="4"/>
        <v>0.4</v>
      </c>
      <c r="AB6" s="549">
        <f t="shared" si="4"/>
        <v>0.4</v>
      </c>
      <c r="AC6" s="549">
        <f t="shared" si="3"/>
        <v>0.4</v>
      </c>
      <c r="AD6" s="549">
        <f t="shared" si="3"/>
        <v>0.4</v>
      </c>
      <c r="AE6" s="549">
        <f t="shared" si="3"/>
        <v>0.4</v>
      </c>
    </row>
    <row r="7" spans="2:31" s="543" customFormat="1" ht="12.75" customHeight="1">
      <c r="B7" s="550" t="s">
        <v>412</v>
      </c>
      <c r="C7" s="178"/>
      <c r="D7" s="551"/>
      <c r="E7" s="551">
        <f>E5*E4</f>
        <v>24000</v>
      </c>
      <c r="F7" s="551">
        <f t="shared" ref="F7:P7" si="5">0.6*F4</f>
        <v>24218.400000000005</v>
      </c>
      <c r="G7" s="551">
        <f t="shared" si="5"/>
        <v>24438.787440000004</v>
      </c>
      <c r="H7" s="551">
        <f t="shared" si="5"/>
        <v>24661.180405704006</v>
      </c>
      <c r="I7" s="551">
        <f t="shared" si="5"/>
        <v>25401.01581787513</v>
      </c>
      <c r="J7" s="551">
        <f t="shared" si="5"/>
        <v>26163.046292411385</v>
      </c>
      <c r="K7" s="551">
        <f t="shared" si="5"/>
        <v>26947.937681183728</v>
      </c>
      <c r="L7" s="551">
        <f t="shared" si="5"/>
        <v>27756.375811619237</v>
      </c>
      <c r="M7" s="551">
        <f t="shared" si="5"/>
        <v>28589.067085967814</v>
      </c>
      <c r="N7" s="551">
        <f t="shared" si="5"/>
        <v>29446.739098546848</v>
      </c>
      <c r="O7" s="551">
        <f t="shared" si="5"/>
        <v>30330.141271503253</v>
      </c>
      <c r="P7" s="551">
        <f t="shared" si="5"/>
        <v>31240.045509648349</v>
      </c>
      <c r="Q7" s="551">
        <f t="shared" ref="Q7:AA7" si="6">0.6*Q4</f>
        <v>32177.246874937802</v>
      </c>
      <c r="R7" s="551">
        <f t="shared" si="6"/>
        <v>33142.564281185936</v>
      </c>
      <c r="S7" s="551">
        <f t="shared" si="6"/>
        <v>34136.841209621511</v>
      </c>
      <c r="T7" s="551">
        <f t="shared" si="6"/>
        <v>35160.946445910158</v>
      </c>
      <c r="U7" s="551">
        <f t="shared" si="6"/>
        <v>36215.774839287464</v>
      </c>
      <c r="V7" s="551">
        <f t="shared" si="6"/>
        <v>37302.248084466089</v>
      </c>
      <c r="W7" s="551">
        <f t="shared" si="6"/>
        <v>38421.315527000072</v>
      </c>
      <c r="X7" s="551">
        <f t="shared" si="6"/>
        <v>39573.954992810075</v>
      </c>
      <c r="Y7" s="551">
        <f t="shared" si="6"/>
        <v>40761.173642594375</v>
      </c>
      <c r="Z7" s="551">
        <f t="shared" si="6"/>
        <v>41984.008851872211</v>
      </c>
      <c r="AA7" s="551">
        <f t="shared" si="6"/>
        <v>43243.529117428378</v>
      </c>
      <c r="AB7" s="551">
        <f>0.6*AB4</f>
        <v>44540.834990951233</v>
      </c>
      <c r="AC7" s="551">
        <f>0.6*AC4</f>
        <v>45877.060040679775</v>
      </c>
      <c r="AD7" s="551">
        <f>0.6*AD4</f>
        <v>47253.371841900174</v>
      </c>
      <c r="AE7" s="551">
        <f>0.6*AE4</f>
        <v>48670.97299715718</v>
      </c>
    </row>
    <row r="8" spans="2:31" s="543" customFormat="1" ht="12.75" customHeight="1">
      <c r="B8" s="550" t="s">
        <v>413</v>
      </c>
      <c r="C8" s="178"/>
      <c r="D8" s="551"/>
      <c r="E8" s="551">
        <f>E6*E4</f>
        <v>16000</v>
      </c>
      <c r="F8" s="551">
        <f t="shared" ref="F8:P8" si="7">0.4*F4</f>
        <v>16145.600000000004</v>
      </c>
      <c r="G8" s="551">
        <f t="shared" si="7"/>
        <v>16292.524960000004</v>
      </c>
      <c r="H8" s="551">
        <f t="shared" si="7"/>
        <v>16440.786937136007</v>
      </c>
      <c r="I8" s="551">
        <f t="shared" si="7"/>
        <v>16934.010545250087</v>
      </c>
      <c r="J8" s="551">
        <f t="shared" si="7"/>
        <v>17442.030861607589</v>
      </c>
      <c r="K8" s="551">
        <f t="shared" si="7"/>
        <v>17965.291787455819</v>
      </c>
      <c r="L8" s="551">
        <f t="shared" si="7"/>
        <v>18504.250541079495</v>
      </c>
      <c r="M8" s="551">
        <f t="shared" si="7"/>
        <v>19059.378057311878</v>
      </c>
      <c r="N8" s="551">
        <f t="shared" si="7"/>
        <v>19631.159399031236</v>
      </c>
      <c r="O8" s="551">
        <f t="shared" si="7"/>
        <v>20220.094181002172</v>
      </c>
      <c r="P8" s="551">
        <f t="shared" si="7"/>
        <v>20826.697006432238</v>
      </c>
      <c r="Q8" s="551">
        <f t="shared" ref="Q8:AA8" si="8">0.4*Q4</f>
        <v>21451.497916625201</v>
      </c>
      <c r="R8" s="551">
        <f t="shared" si="8"/>
        <v>22095.04285412396</v>
      </c>
      <c r="S8" s="551">
        <f t="shared" si="8"/>
        <v>22757.894139747677</v>
      </c>
      <c r="T8" s="551">
        <f t="shared" si="8"/>
        <v>23440.630963940108</v>
      </c>
      <c r="U8" s="551">
        <f t="shared" si="8"/>
        <v>24143.849892858314</v>
      </c>
      <c r="V8" s="551">
        <f t="shared" si="8"/>
        <v>24868.165389644062</v>
      </c>
      <c r="W8" s="551">
        <f t="shared" si="8"/>
        <v>25614.210351333386</v>
      </c>
      <c r="X8" s="551">
        <f t="shared" si="8"/>
        <v>26382.636661873388</v>
      </c>
      <c r="Y8" s="551">
        <f t="shared" si="8"/>
        <v>27174.115761729587</v>
      </c>
      <c r="Z8" s="551">
        <f t="shared" si="8"/>
        <v>27989.339234581475</v>
      </c>
      <c r="AA8" s="551">
        <f t="shared" si="8"/>
        <v>28829.019411618923</v>
      </c>
      <c r="AB8" s="551">
        <f>0.4*AB4</f>
        <v>29693.889993967488</v>
      </c>
      <c r="AC8" s="551">
        <f>0.4*AC4</f>
        <v>30584.706693786517</v>
      </c>
      <c r="AD8" s="551">
        <f>0.4*AD4</f>
        <v>31502.247894600117</v>
      </c>
      <c r="AE8" s="551">
        <f>0.4*AE4</f>
        <v>32447.31533143812</v>
      </c>
    </row>
    <row r="9" spans="2:31" s="546" customFormat="1" ht="12.75" customHeight="1">
      <c r="B9" s="544"/>
      <c r="C9" s="552"/>
      <c r="D9" s="553"/>
      <c r="E9" s="554"/>
      <c r="F9" s="554"/>
      <c r="G9" s="554"/>
      <c r="H9" s="554"/>
      <c r="I9" s="554"/>
      <c r="J9" s="554"/>
      <c r="K9" s="554"/>
      <c r="L9" s="555"/>
      <c r="M9" s="555"/>
      <c r="N9" s="555"/>
      <c r="O9" s="555"/>
      <c r="P9" s="555"/>
      <c r="Q9" s="555"/>
      <c r="R9" s="555"/>
      <c r="S9" s="555"/>
      <c r="T9" s="555"/>
      <c r="U9" s="555"/>
      <c r="V9" s="555"/>
      <c r="W9" s="555"/>
      <c r="X9" s="555"/>
      <c r="Y9" s="555"/>
      <c r="Z9" s="555"/>
      <c r="AA9" s="555"/>
      <c r="AB9" s="555"/>
      <c r="AC9" s="555"/>
      <c r="AD9" s="555"/>
      <c r="AE9" s="555"/>
    </row>
    <row r="10" spans="2:31" s="556" customFormat="1" ht="12.75" customHeight="1">
      <c r="B10" s="557" t="s">
        <v>416</v>
      </c>
      <c r="C10" s="558"/>
      <c r="D10" s="559"/>
      <c r="E10" s="560"/>
      <c r="F10" s="560"/>
      <c r="G10" s="560"/>
      <c r="H10" s="560"/>
      <c r="I10" s="560"/>
      <c r="J10" s="560"/>
      <c r="K10" s="561"/>
      <c r="L10" s="561"/>
      <c r="M10" s="561"/>
      <c r="N10" s="561"/>
      <c r="O10" s="561"/>
      <c r="P10" s="561"/>
      <c r="Q10" s="561"/>
      <c r="R10" s="561"/>
      <c r="S10" s="561"/>
      <c r="T10" s="561"/>
      <c r="U10" s="561"/>
      <c r="V10" s="561"/>
      <c r="W10" s="561"/>
      <c r="X10" s="561"/>
      <c r="Y10" s="561"/>
      <c r="Z10" s="561"/>
      <c r="AA10" s="561"/>
      <c r="AB10" s="561"/>
      <c r="AC10" s="561"/>
      <c r="AD10" s="561"/>
      <c r="AE10" s="561"/>
    </row>
    <row r="11" spans="2:31" s="556" customFormat="1" ht="12.75" customHeight="1">
      <c r="B11" s="157"/>
      <c r="C11" s="162"/>
      <c r="D11" s="562"/>
      <c r="E11" s="563"/>
      <c r="F11" s="563"/>
      <c r="G11" s="563"/>
      <c r="H11" s="563"/>
      <c r="I11" s="563"/>
      <c r="J11" s="563"/>
      <c r="K11" s="564"/>
      <c r="L11" s="564"/>
      <c r="M11" s="564"/>
      <c r="N11" s="564"/>
      <c r="O11" s="564"/>
      <c r="P11" s="564"/>
      <c r="Q11" s="564"/>
      <c r="R11" s="564"/>
      <c r="S11" s="564"/>
      <c r="T11" s="564"/>
      <c r="U11" s="564"/>
      <c r="V11" s="564"/>
      <c r="W11" s="564"/>
      <c r="X11" s="564"/>
      <c r="Y11" s="564"/>
      <c r="Z11" s="564"/>
      <c r="AA11" s="564"/>
      <c r="AB11" s="564"/>
      <c r="AC11" s="564"/>
      <c r="AD11" s="564"/>
      <c r="AE11" s="564"/>
    </row>
    <row r="12" spans="2:31" s="556" customFormat="1" ht="12.75" customHeight="1">
      <c r="B12" s="159" t="s">
        <v>415</v>
      </c>
      <c r="C12" s="162"/>
      <c r="D12" s="562"/>
      <c r="E12" s="563"/>
      <c r="F12" s="563"/>
      <c r="G12" s="563"/>
      <c r="H12" s="563"/>
      <c r="I12" s="563"/>
      <c r="J12" s="563"/>
      <c r="K12" s="564"/>
      <c r="L12" s="564"/>
      <c r="M12" s="564"/>
      <c r="N12" s="564"/>
      <c r="O12" s="564"/>
      <c r="P12" s="564"/>
      <c r="Q12" s="564"/>
      <c r="R12" s="564"/>
      <c r="S12" s="564"/>
      <c r="T12" s="564"/>
      <c r="U12" s="564"/>
      <c r="V12" s="564"/>
      <c r="W12" s="564"/>
      <c r="X12" s="564"/>
      <c r="Y12" s="564"/>
      <c r="Z12" s="564"/>
      <c r="AA12" s="564"/>
      <c r="AB12" s="564"/>
      <c r="AC12" s="564"/>
      <c r="AD12" s="564"/>
      <c r="AE12" s="564"/>
    </row>
    <row r="13" spans="2:31" s="556" customFormat="1" ht="12.75" customHeight="1">
      <c r="B13" s="565" t="s">
        <v>419</v>
      </c>
      <c r="C13" s="566"/>
      <c r="D13" s="562"/>
      <c r="E13" s="564">
        <v>0</v>
      </c>
      <c r="F13" s="564">
        <v>0</v>
      </c>
      <c r="G13" s="564">
        <v>0.06</v>
      </c>
      <c r="H13" s="564">
        <v>6.6000000000000003E-2</v>
      </c>
      <c r="I13" s="564">
        <f>J13</f>
        <v>7.0000000000000007E-2</v>
      </c>
      <c r="J13" s="564">
        <f>K13</f>
        <v>7.0000000000000007E-2</v>
      </c>
      <c r="K13" s="564">
        <f>L13</f>
        <v>7.0000000000000007E-2</v>
      </c>
      <c r="L13" s="564">
        <f>M13</f>
        <v>7.0000000000000007E-2</v>
      </c>
      <c r="M13" s="564">
        <v>7.0000000000000007E-2</v>
      </c>
      <c r="N13" s="564">
        <f>M13</f>
        <v>7.0000000000000007E-2</v>
      </c>
      <c r="O13" s="564">
        <f t="shared" ref="O13:AB13" si="9">N13</f>
        <v>7.0000000000000007E-2</v>
      </c>
      <c r="P13" s="564">
        <f t="shared" si="9"/>
        <v>7.0000000000000007E-2</v>
      </c>
      <c r="Q13" s="564">
        <f t="shared" si="9"/>
        <v>7.0000000000000007E-2</v>
      </c>
      <c r="R13" s="564">
        <f t="shared" si="9"/>
        <v>7.0000000000000007E-2</v>
      </c>
      <c r="S13" s="564">
        <f t="shared" si="9"/>
        <v>7.0000000000000007E-2</v>
      </c>
      <c r="T13" s="564">
        <f t="shared" si="9"/>
        <v>7.0000000000000007E-2</v>
      </c>
      <c r="U13" s="564">
        <f t="shared" si="9"/>
        <v>7.0000000000000007E-2</v>
      </c>
      <c r="V13" s="564">
        <f t="shared" si="9"/>
        <v>7.0000000000000007E-2</v>
      </c>
      <c r="W13" s="564">
        <f t="shared" si="9"/>
        <v>7.0000000000000007E-2</v>
      </c>
      <c r="X13" s="564">
        <f t="shared" si="9"/>
        <v>7.0000000000000007E-2</v>
      </c>
      <c r="Y13" s="564">
        <f t="shared" si="9"/>
        <v>7.0000000000000007E-2</v>
      </c>
      <c r="Z13" s="564">
        <f t="shared" si="9"/>
        <v>7.0000000000000007E-2</v>
      </c>
      <c r="AA13" s="564">
        <f t="shared" si="9"/>
        <v>7.0000000000000007E-2</v>
      </c>
      <c r="AB13" s="564">
        <f t="shared" si="9"/>
        <v>7.0000000000000007E-2</v>
      </c>
      <c r="AC13" s="769">
        <f>AB13*0.2</f>
        <v>1.4000000000000002E-2</v>
      </c>
      <c r="AD13" s="769">
        <f>AC13*0.2</f>
        <v>2.8000000000000004E-3</v>
      </c>
      <c r="AE13" s="769">
        <f>AD13*0.2</f>
        <v>5.6000000000000006E-4</v>
      </c>
    </row>
    <row r="14" spans="2:31" s="556" customFormat="1" ht="12.75" customHeight="1">
      <c r="B14" s="567" t="s">
        <v>418</v>
      </c>
      <c r="C14" s="162"/>
      <c r="D14" s="568"/>
      <c r="E14" s="564">
        <v>6.0000000000000001E-3</v>
      </c>
      <c r="F14" s="564">
        <v>0.04</v>
      </c>
      <c r="G14" s="564">
        <v>3.9E-2</v>
      </c>
      <c r="H14" s="564">
        <v>3.9E-2</v>
      </c>
      <c r="I14" s="564">
        <v>0.03</v>
      </c>
      <c r="J14" s="564">
        <v>0.03</v>
      </c>
      <c r="K14" s="564">
        <v>0.03</v>
      </c>
      <c r="L14" s="564">
        <v>0.03</v>
      </c>
      <c r="M14" s="564">
        <v>0.03</v>
      </c>
      <c r="N14" s="564">
        <v>0.03</v>
      </c>
      <c r="O14" s="564">
        <v>0.01</v>
      </c>
      <c r="P14" s="564">
        <f>O14*0.75</f>
        <v>7.4999999999999997E-3</v>
      </c>
      <c r="Q14" s="564">
        <f>P14*0.6</f>
        <v>4.4999999999999997E-3</v>
      </c>
      <c r="R14" s="564">
        <v>1E-3</v>
      </c>
      <c r="S14" s="564">
        <f t="shared" ref="S14:AB14" si="10">R14</f>
        <v>1E-3</v>
      </c>
      <c r="T14" s="564">
        <f t="shared" si="10"/>
        <v>1E-3</v>
      </c>
      <c r="U14" s="564">
        <f t="shared" si="10"/>
        <v>1E-3</v>
      </c>
      <c r="V14" s="564">
        <f t="shared" si="10"/>
        <v>1E-3</v>
      </c>
      <c r="W14" s="564">
        <f t="shared" si="10"/>
        <v>1E-3</v>
      </c>
      <c r="X14" s="564">
        <f t="shared" si="10"/>
        <v>1E-3</v>
      </c>
      <c r="Y14" s="564">
        <f t="shared" si="10"/>
        <v>1E-3</v>
      </c>
      <c r="Z14" s="564">
        <f t="shared" si="10"/>
        <v>1E-3</v>
      </c>
      <c r="AA14" s="564">
        <f t="shared" si="10"/>
        <v>1E-3</v>
      </c>
      <c r="AB14" s="564">
        <f t="shared" si="10"/>
        <v>1E-3</v>
      </c>
      <c r="AC14" s="564">
        <f>AB14</f>
        <v>1E-3</v>
      </c>
      <c r="AD14" s="564">
        <f>AC14</f>
        <v>1E-3</v>
      </c>
      <c r="AE14" s="564">
        <f>AD14</f>
        <v>1E-3</v>
      </c>
    </row>
    <row r="15" spans="2:31" s="556" customFormat="1" ht="12.75" customHeight="1">
      <c r="B15" s="547"/>
      <c r="C15" s="569"/>
      <c r="D15" s="570"/>
      <c r="E15" s="571"/>
      <c r="F15" s="571"/>
      <c r="G15" s="571"/>
      <c r="H15" s="571"/>
      <c r="I15" s="571"/>
      <c r="J15" s="571"/>
      <c r="K15" s="571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</row>
    <row r="16" spans="2:31" s="556" customFormat="1" ht="12.75" customHeight="1">
      <c r="B16" s="159" t="s">
        <v>417</v>
      </c>
      <c r="C16" s="162"/>
      <c r="D16" s="562"/>
      <c r="E16" s="563"/>
      <c r="F16" s="563"/>
      <c r="G16" s="563"/>
      <c r="H16" s="563"/>
      <c r="I16" s="563"/>
      <c r="J16" s="563"/>
      <c r="K16" s="564"/>
      <c r="L16" s="564"/>
      <c r="M16" s="564"/>
      <c r="N16" s="564"/>
      <c r="O16" s="564"/>
      <c r="P16" s="564"/>
      <c r="Q16" s="564"/>
      <c r="R16" s="564"/>
      <c r="S16" s="564"/>
      <c r="T16" s="564"/>
      <c r="U16" s="564"/>
      <c r="V16" s="564"/>
      <c r="W16" s="564"/>
      <c r="X16" s="564"/>
      <c r="Y16" s="564"/>
      <c r="Z16" s="564"/>
      <c r="AA16" s="564"/>
      <c r="AB16" s="564"/>
      <c r="AC16" s="564"/>
      <c r="AD16" s="564"/>
      <c r="AE16" s="564"/>
    </row>
    <row r="17" spans="1:31" s="556" customFormat="1" ht="12.75" customHeight="1">
      <c r="B17" s="565" t="s">
        <v>419</v>
      </c>
      <c r="C17" s="162"/>
      <c r="D17" s="562"/>
      <c r="E17" s="563"/>
      <c r="F17" s="572"/>
      <c r="G17" s="563"/>
      <c r="H17" s="563"/>
      <c r="I17" s="564">
        <v>0</v>
      </c>
      <c r="J17" s="564">
        <v>0</v>
      </c>
      <c r="K17" s="564">
        <v>0</v>
      </c>
      <c r="L17" s="564">
        <v>0</v>
      </c>
      <c r="M17" s="564">
        <v>0</v>
      </c>
      <c r="N17" s="564">
        <v>0</v>
      </c>
      <c r="O17" s="564">
        <v>0</v>
      </c>
      <c r="P17" s="564">
        <v>0</v>
      </c>
      <c r="Q17" s="564">
        <f t="shared" ref="Q17:AB17" si="11">P17</f>
        <v>0</v>
      </c>
      <c r="R17" s="564">
        <f t="shared" si="11"/>
        <v>0</v>
      </c>
      <c r="S17" s="564">
        <f t="shared" si="11"/>
        <v>0</v>
      </c>
      <c r="T17" s="564">
        <f t="shared" si="11"/>
        <v>0</v>
      </c>
      <c r="U17" s="564">
        <f t="shared" si="11"/>
        <v>0</v>
      </c>
      <c r="V17" s="564">
        <f t="shared" si="11"/>
        <v>0</v>
      </c>
      <c r="W17" s="564">
        <f t="shared" si="11"/>
        <v>0</v>
      </c>
      <c r="X17" s="564">
        <f t="shared" si="11"/>
        <v>0</v>
      </c>
      <c r="Y17" s="564">
        <f t="shared" si="11"/>
        <v>0</v>
      </c>
      <c r="Z17" s="564">
        <f t="shared" si="11"/>
        <v>0</v>
      </c>
      <c r="AA17" s="564">
        <f t="shared" si="11"/>
        <v>0</v>
      </c>
      <c r="AB17" s="564">
        <f t="shared" si="11"/>
        <v>0</v>
      </c>
      <c r="AC17" s="564">
        <f t="shared" ref="AC17:AE18" si="12">AB17</f>
        <v>0</v>
      </c>
      <c r="AD17" s="564">
        <f t="shared" si="12"/>
        <v>0</v>
      </c>
      <c r="AE17" s="564">
        <f t="shared" si="12"/>
        <v>0</v>
      </c>
    </row>
    <row r="18" spans="1:31" s="556" customFormat="1" ht="12.75" customHeight="1">
      <c r="B18" s="567" t="s">
        <v>418</v>
      </c>
      <c r="C18" s="566"/>
      <c r="D18" s="568"/>
      <c r="E18" s="564">
        <f>17%+1.8335%</f>
        <v>0.188335</v>
      </c>
      <c r="F18" s="564">
        <v>0.19800000000000001</v>
      </c>
      <c r="G18" s="564">
        <v>0.22800000000000001</v>
      </c>
      <c r="H18" s="564">
        <f t="shared" ref="H18:M18" si="13">G18*1.1</f>
        <v>0.25080000000000002</v>
      </c>
      <c r="I18" s="564">
        <f t="shared" si="13"/>
        <v>0.27588000000000007</v>
      </c>
      <c r="J18" s="564">
        <f t="shared" si="13"/>
        <v>0.30346800000000013</v>
      </c>
      <c r="K18" s="564">
        <f t="shared" si="13"/>
        <v>0.33381480000000019</v>
      </c>
      <c r="L18" s="564">
        <f t="shared" si="13"/>
        <v>0.36719628000000026</v>
      </c>
      <c r="M18" s="564">
        <f t="shared" si="13"/>
        <v>0.40391590800000032</v>
      </c>
      <c r="N18" s="564">
        <f>M18*0.9</f>
        <v>0.36352431720000028</v>
      </c>
      <c r="O18" s="564">
        <v>3.5000000000000003E-2</v>
      </c>
      <c r="P18" s="564">
        <f>O18*0.4</f>
        <v>1.4000000000000002E-2</v>
      </c>
      <c r="Q18" s="564">
        <f>P18*0.6</f>
        <v>8.4000000000000012E-3</v>
      </c>
      <c r="R18" s="564">
        <f>Q18*0.3</f>
        <v>2.5200000000000001E-3</v>
      </c>
      <c r="S18" s="564">
        <f>R18*0.3</f>
        <v>7.5600000000000005E-4</v>
      </c>
      <c r="T18" s="564">
        <f t="shared" ref="T18:AB18" si="14">S18</f>
        <v>7.5600000000000005E-4</v>
      </c>
      <c r="U18" s="564">
        <f t="shared" si="14"/>
        <v>7.5600000000000005E-4</v>
      </c>
      <c r="V18" s="564">
        <f t="shared" si="14"/>
        <v>7.5600000000000005E-4</v>
      </c>
      <c r="W18" s="564">
        <f t="shared" si="14"/>
        <v>7.5600000000000005E-4</v>
      </c>
      <c r="X18" s="564">
        <f t="shared" si="14"/>
        <v>7.5600000000000005E-4</v>
      </c>
      <c r="Y18" s="564">
        <f t="shared" si="14"/>
        <v>7.5600000000000005E-4</v>
      </c>
      <c r="Z18" s="564">
        <f t="shared" si="14"/>
        <v>7.5600000000000005E-4</v>
      </c>
      <c r="AA18" s="564">
        <f t="shared" si="14"/>
        <v>7.5600000000000005E-4</v>
      </c>
      <c r="AB18" s="564">
        <f t="shared" si="14"/>
        <v>7.5600000000000005E-4</v>
      </c>
      <c r="AC18" s="564">
        <f t="shared" si="12"/>
        <v>7.5600000000000005E-4</v>
      </c>
      <c r="AD18" s="564">
        <f t="shared" si="12"/>
        <v>7.5600000000000005E-4</v>
      </c>
      <c r="AE18" s="564">
        <f t="shared" si="12"/>
        <v>7.5600000000000005E-4</v>
      </c>
    </row>
    <row r="19" spans="1:31" s="556" customFormat="1" ht="12.75" customHeight="1">
      <c r="B19" s="567"/>
      <c r="C19" s="566"/>
      <c r="D19" s="568"/>
      <c r="E19" s="564"/>
      <c r="F19" s="564"/>
      <c r="G19" s="564"/>
      <c r="H19" s="564"/>
      <c r="I19" s="564"/>
      <c r="J19" s="564"/>
      <c r="K19" s="564"/>
      <c r="L19" s="564"/>
      <c r="M19" s="564"/>
      <c r="N19" s="564"/>
      <c r="O19" s="564"/>
      <c r="P19" s="564"/>
      <c r="Q19" s="564"/>
      <c r="R19" s="564"/>
      <c r="S19" s="564"/>
      <c r="T19" s="564"/>
      <c r="U19" s="564"/>
      <c r="V19" s="564"/>
      <c r="W19" s="564"/>
      <c r="X19" s="564"/>
      <c r="Y19" s="564"/>
      <c r="Z19" s="564"/>
      <c r="AA19" s="564"/>
      <c r="AB19" s="564"/>
      <c r="AC19" s="564"/>
      <c r="AD19" s="564"/>
      <c r="AE19" s="564"/>
    </row>
    <row r="20" spans="1:31" s="556" customFormat="1" ht="12.75" customHeight="1">
      <c r="B20" s="557" t="s">
        <v>314</v>
      </c>
      <c r="C20" s="558"/>
      <c r="D20" s="559"/>
      <c r="E20" s="560"/>
      <c r="F20" s="560"/>
      <c r="G20" s="560"/>
      <c r="H20" s="560"/>
      <c r="I20" s="560"/>
      <c r="J20" s="560"/>
      <c r="K20" s="561"/>
      <c r="L20" s="561"/>
      <c r="M20" s="561"/>
      <c r="N20" s="561"/>
      <c r="O20" s="561"/>
      <c r="P20" s="561"/>
      <c r="Q20" s="561"/>
      <c r="R20" s="561"/>
      <c r="S20" s="561"/>
      <c r="T20" s="561"/>
      <c r="U20" s="561"/>
      <c r="V20" s="561"/>
      <c r="W20" s="561"/>
      <c r="X20" s="561"/>
      <c r="Y20" s="561"/>
      <c r="Z20" s="561"/>
      <c r="AA20" s="561"/>
      <c r="AB20" s="561"/>
      <c r="AC20" s="561"/>
      <c r="AD20" s="561"/>
      <c r="AE20" s="561"/>
    </row>
    <row r="21" spans="1:31" s="556" customFormat="1" ht="12.75" customHeight="1">
      <c r="B21" s="573"/>
      <c r="C21" s="569"/>
      <c r="D21" s="570"/>
      <c r="E21" s="571"/>
      <c r="F21" s="571"/>
      <c r="G21" s="571"/>
      <c r="H21" s="571"/>
      <c r="I21" s="571"/>
      <c r="J21" s="571"/>
      <c r="K21" s="571"/>
      <c r="L21" s="571"/>
      <c r="M21" s="571"/>
      <c r="N21" s="571"/>
      <c r="O21" s="571"/>
      <c r="P21" s="571"/>
      <c r="Q21" s="571"/>
      <c r="R21" s="571"/>
      <c r="S21" s="571"/>
      <c r="T21" s="571"/>
      <c r="U21" s="571"/>
      <c r="V21" s="571"/>
      <c r="W21" s="571"/>
      <c r="X21" s="571"/>
      <c r="Y21" s="571"/>
      <c r="Z21" s="571"/>
      <c r="AA21" s="571"/>
      <c r="AB21" s="571"/>
      <c r="AC21" s="571"/>
      <c r="AD21" s="571"/>
      <c r="AE21" s="571"/>
    </row>
    <row r="22" spans="1:31" s="556" customFormat="1" ht="12.75" customHeight="1">
      <c r="B22" s="574" t="s">
        <v>122</v>
      </c>
      <c r="C22" s="575"/>
      <c r="D22" s="576"/>
      <c r="E22" s="577"/>
      <c r="F22" s="577"/>
      <c r="G22" s="577"/>
      <c r="H22" s="577"/>
      <c r="I22" s="577"/>
      <c r="J22" s="577"/>
      <c r="K22" s="577"/>
      <c r="L22" s="577"/>
      <c r="M22" s="577"/>
      <c r="N22" s="577"/>
      <c r="O22" s="577"/>
      <c r="P22" s="577"/>
      <c r="Q22" s="577"/>
      <c r="R22" s="577"/>
      <c r="S22" s="577"/>
      <c r="T22" s="577"/>
      <c r="U22" s="577"/>
      <c r="V22" s="577"/>
      <c r="W22" s="577"/>
      <c r="X22" s="577"/>
      <c r="Y22" s="577"/>
      <c r="Z22" s="577"/>
      <c r="AA22" s="577"/>
      <c r="AB22" s="577"/>
      <c r="AC22" s="577"/>
      <c r="AD22" s="577"/>
      <c r="AE22" s="577"/>
    </row>
    <row r="23" spans="1:31" s="578" customFormat="1" ht="12.75" customHeight="1">
      <c r="B23" s="579" t="s">
        <v>421</v>
      </c>
      <c r="C23" s="552"/>
      <c r="D23" s="580"/>
      <c r="E23" s="580">
        <f t="shared" ref="E23:AE23" si="15">E13*E7+E17*E8</f>
        <v>0</v>
      </c>
      <c r="F23" s="580">
        <f t="shared" si="15"/>
        <v>0</v>
      </c>
      <c r="G23" s="580">
        <f t="shared" si="15"/>
        <v>1466.3272464000001</v>
      </c>
      <c r="H23" s="580">
        <f t="shared" si="15"/>
        <v>1627.6379067764644</v>
      </c>
      <c r="I23" s="580">
        <f t="shared" si="15"/>
        <v>1778.0711072512593</v>
      </c>
      <c r="J23" s="580">
        <f t="shared" si="15"/>
        <v>1831.4132404687971</v>
      </c>
      <c r="K23" s="580">
        <f t="shared" si="15"/>
        <v>1886.3556376828612</v>
      </c>
      <c r="L23" s="580">
        <f t="shared" si="15"/>
        <v>1942.9463068133468</v>
      </c>
      <c r="M23" s="580">
        <f t="shared" si="15"/>
        <v>2001.2346960177472</v>
      </c>
      <c r="N23" s="580">
        <f t="shared" si="15"/>
        <v>2061.2717368982794</v>
      </c>
      <c r="O23" s="580">
        <f t="shared" si="15"/>
        <v>2123.1098890052281</v>
      </c>
      <c r="P23" s="580">
        <f t="shared" si="15"/>
        <v>2186.8031856753846</v>
      </c>
      <c r="Q23" s="580">
        <f t="shared" si="15"/>
        <v>2252.4072812456466</v>
      </c>
      <c r="R23" s="580">
        <f t="shared" si="15"/>
        <v>2319.9794996830155</v>
      </c>
      <c r="S23" s="580">
        <f t="shared" si="15"/>
        <v>2389.5788846735059</v>
      </c>
      <c r="T23" s="580">
        <f t="shared" si="15"/>
        <v>2461.2662512137113</v>
      </c>
      <c r="U23" s="580">
        <f t="shared" si="15"/>
        <v>2535.1042387501225</v>
      </c>
      <c r="V23" s="580">
        <f t="shared" si="15"/>
        <v>2611.1573659126266</v>
      </c>
      <c r="W23" s="580">
        <f t="shared" si="15"/>
        <v>2689.4920868900053</v>
      </c>
      <c r="X23" s="580">
        <f t="shared" si="15"/>
        <v>2770.1768494967055</v>
      </c>
      <c r="Y23" s="580">
        <f t="shared" si="15"/>
        <v>2853.2821549816067</v>
      </c>
      <c r="Z23" s="580">
        <f t="shared" si="15"/>
        <v>2938.8806196310552</v>
      </c>
      <c r="AA23" s="580">
        <f t="shared" si="15"/>
        <v>3027.0470382199869</v>
      </c>
      <c r="AB23" s="580">
        <f t="shared" si="15"/>
        <v>3117.8584493665867</v>
      </c>
      <c r="AC23" s="580">
        <f t="shared" si="15"/>
        <v>642.27884056951689</v>
      </c>
      <c r="AD23" s="580">
        <f t="shared" si="15"/>
        <v>132.30944115732052</v>
      </c>
      <c r="AE23" s="580">
        <f t="shared" si="15"/>
        <v>27.255744878408024</v>
      </c>
    </row>
    <row r="24" spans="1:31" s="556" customFormat="1" ht="12.75" customHeight="1">
      <c r="B24" s="567" t="s">
        <v>422</v>
      </c>
      <c r="C24" s="569"/>
      <c r="D24" s="570"/>
      <c r="E24" s="581">
        <v>46750</v>
      </c>
      <c r="F24" s="581">
        <v>46750</v>
      </c>
      <c r="G24" s="581">
        <v>46750</v>
      </c>
      <c r="H24" s="581">
        <v>50957.5</v>
      </c>
      <c r="I24" s="581">
        <f>H24*1.05</f>
        <v>53505.375</v>
      </c>
      <c r="J24" s="581">
        <f>9*MM_US!J76</f>
        <v>58773.563700128383</v>
      </c>
      <c r="K24" s="581">
        <f>9*MM_US!K76</f>
        <v>61087.647727695083</v>
      </c>
      <c r="L24" s="581">
        <f>9*MM_US!L76</f>
        <v>63000</v>
      </c>
      <c r="M24" s="581">
        <f>9*MM_US!M76</f>
        <v>66084.204856724275</v>
      </c>
      <c r="N24" s="581">
        <f>9*MM_US!N76</f>
        <v>68768.091718685508</v>
      </c>
      <c r="O24" s="581">
        <f t="shared" ref="O24:AB24" si="16">N24*1.02</f>
        <v>70143.453553059226</v>
      </c>
      <c r="P24" s="581">
        <f t="shared" si="16"/>
        <v>71546.32262412041</v>
      </c>
      <c r="Q24" s="581">
        <f t="shared" si="16"/>
        <v>72977.24907660282</v>
      </c>
      <c r="R24" s="581">
        <f t="shared" si="16"/>
        <v>74436.794058134881</v>
      </c>
      <c r="S24" s="581">
        <f t="shared" si="16"/>
        <v>75925.529939297587</v>
      </c>
      <c r="T24" s="581">
        <f t="shared" si="16"/>
        <v>77444.040538083544</v>
      </c>
      <c r="U24" s="581">
        <f t="shared" si="16"/>
        <v>78992.921348845222</v>
      </c>
      <c r="V24" s="581">
        <f t="shared" si="16"/>
        <v>80572.779775822128</v>
      </c>
      <c r="W24" s="581">
        <f t="shared" si="16"/>
        <v>82184.235371338567</v>
      </c>
      <c r="X24" s="581">
        <f t="shared" si="16"/>
        <v>83827.920078765339</v>
      </c>
      <c r="Y24" s="581">
        <f t="shared" si="16"/>
        <v>85504.478480340651</v>
      </c>
      <c r="Z24" s="581">
        <f t="shared" si="16"/>
        <v>87214.568049947469</v>
      </c>
      <c r="AA24" s="581">
        <f t="shared" si="16"/>
        <v>88958.859410946417</v>
      </c>
      <c r="AB24" s="581">
        <f t="shared" si="16"/>
        <v>90738.036599165353</v>
      </c>
      <c r="AC24" s="581">
        <f>AB24*1.02</f>
        <v>92552.797331148657</v>
      </c>
      <c r="AD24" s="581">
        <f>AC24*1.02</f>
        <v>94403.853277771632</v>
      </c>
      <c r="AE24" s="581">
        <f>AD24*1.02</f>
        <v>96291.930343327069</v>
      </c>
    </row>
    <row r="25" spans="1:31" s="556" customFormat="1" ht="12.75" customHeight="1">
      <c r="A25" s="485" t="s">
        <v>78</v>
      </c>
      <c r="B25" s="487" t="s">
        <v>981</v>
      </c>
      <c r="C25" s="490"/>
      <c r="D25" s="482"/>
      <c r="E25" s="481"/>
      <c r="F25" s="481"/>
      <c r="G25" s="481"/>
      <c r="H25" s="481"/>
      <c r="I25" s="481"/>
      <c r="J25" s="481"/>
      <c r="K25" s="481"/>
      <c r="L25" s="481"/>
      <c r="M25" s="481"/>
      <c r="N25" s="481"/>
      <c r="O25" s="481"/>
      <c r="P25" s="486"/>
      <c r="Q25" s="486"/>
      <c r="R25" s="486"/>
      <c r="S25" s="486"/>
      <c r="T25" s="486"/>
      <c r="U25" s="486">
        <f>CHOOSE(MM_US!$J$249,MM_US!U236,MM_US!U237,MM_US!U238,MM_US!U239,MM_US!U240,MM_US!U241,MM_US!U242,MM_US!U243)</f>
        <v>0</v>
      </c>
      <c r="V25" s="486">
        <f>CHOOSE(MM_US!$J$249,MM_US!V236,MM_US!V237,MM_US!V238,MM_US!V239,MM_US!V240,MM_US!V241,MM_US!V242,MM_US!V243)</f>
        <v>0</v>
      </c>
      <c r="W25" s="486">
        <f>CHOOSE(MM_US!$J$249,MM_US!W236,MM_US!W237,MM_US!W238,MM_US!W239,MM_US!W240,MM_US!W241,MM_US!W242,MM_US!W243)</f>
        <v>0.05</v>
      </c>
      <c r="X25" s="486">
        <f>CHOOSE(MM_US!$J$249,MM_US!X236,MM_US!X237,MM_US!X238,MM_US!X239,MM_US!X240,MM_US!X241,MM_US!X242,MM_US!X243)</f>
        <v>0.14000000000000001</v>
      </c>
      <c r="Y25" s="486">
        <f>CHOOSE(MM_US!$J$249,MM_US!Y236,MM_US!Y237,MM_US!Y238,MM_US!Y239,MM_US!Y240,MM_US!Y241,MM_US!Y242,MM_US!Y243)</f>
        <v>0.24</v>
      </c>
      <c r="Z25" s="486">
        <f>CHOOSE(MM_US!$J$249,MM_US!Z236,MM_US!Z237,MM_US!Z238,MM_US!Z239,MM_US!Z240,MM_US!Z241,MM_US!Z242,MM_US!Z243)</f>
        <v>0.4</v>
      </c>
      <c r="AA25" s="486">
        <f>CHOOSE(MM_US!$J$249,MM_US!AA236,MM_US!AA237,MM_US!AA238,MM_US!AA239,MM_US!AA240,MM_US!AA241,MM_US!AA242,MM_US!AA243)</f>
        <v>0.8</v>
      </c>
      <c r="AB25" s="486">
        <f>CHOOSE(MM_US!$J$249,MM_US!AB236,MM_US!AB237,MM_US!AB238,MM_US!AB239,MM_US!AB240,MM_US!AB241,MM_US!AB242,MM_US!AB243)</f>
        <v>0.95</v>
      </c>
      <c r="AC25" s="486">
        <f>CHOOSE(MM_US!$J$249,MM_US!AC236,MM_US!AC237,MM_US!AC238,MM_US!AC239,MM_US!AC240,MM_US!AC241,MM_US!AC242,MM_US!AC243)</f>
        <v>0.98</v>
      </c>
      <c r="AD25" s="486">
        <f>CHOOSE(MM_US!$J$249,MM_US!AD236,MM_US!AD237,MM_US!AD238,MM_US!AD239,MM_US!AD240,MM_US!AD241,MM_US!AD242,MM_US!AD243)</f>
        <v>0.99</v>
      </c>
      <c r="AE25" s="486">
        <f>CHOOSE(MM_US!$J$249,MM_US!AE236,MM_US!AE237,MM_US!AE238,MM_US!AE239,MM_US!AE240,MM_US!AE241,MM_US!AE242,MM_US!AE243)</f>
        <v>0.99250000000000005</v>
      </c>
    </row>
    <row r="26" spans="1:31" s="556" customFormat="1" ht="12.75" customHeight="1">
      <c r="B26" s="159" t="s">
        <v>423</v>
      </c>
      <c r="C26" s="162"/>
      <c r="D26" s="174"/>
      <c r="E26" s="175">
        <f t="shared" ref="E26:T26" si="17">+E24*E23/1000000</f>
        <v>0</v>
      </c>
      <c r="F26" s="175">
        <f t="shared" si="17"/>
        <v>0</v>
      </c>
      <c r="G26" s="175">
        <f t="shared" si="17"/>
        <v>68.550798769200014</v>
      </c>
      <c r="H26" s="175">
        <f t="shared" si="17"/>
        <v>82.94035863456169</v>
      </c>
      <c r="I26" s="175">
        <f t="shared" si="17"/>
        <v>95.136361370143845</v>
      </c>
      <c r="J26" s="175">
        <f t="shared" si="17"/>
        <v>107.63868274995139</v>
      </c>
      <c r="K26" s="175">
        <f t="shared" si="17"/>
        <v>115.23302868392224</v>
      </c>
      <c r="L26" s="175">
        <f t="shared" si="17"/>
        <v>122.40561732924084</v>
      </c>
      <c r="M26" s="175">
        <f t="shared" si="17"/>
        <v>132.25000361802114</v>
      </c>
      <c r="N26" s="175">
        <f t="shared" si="17"/>
        <v>141.74972386015509</v>
      </c>
      <c r="O26" s="175">
        <f t="shared" si="17"/>
        <v>148.92225988747896</v>
      </c>
      <c r="P26" s="175">
        <f t="shared" si="17"/>
        <v>156.45772623778538</v>
      </c>
      <c r="Q26" s="175">
        <f t="shared" si="17"/>
        <v>164.37448718541734</v>
      </c>
      <c r="R26" s="175">
        <f t="shared" si="17"/>
        <v>172.69183623699942</v>
      </c>
      <c r="S26" s="175">
        <f t="shared" si="17"/>
        <v>181.43004315059162</v>
      </c>
      <c r="T26" s="175">
        <f t="shared" si="17"/>
        <v>190.61040333401155</v>
      </c>
      <c r="U26" s="175">
        <f>+U24*U23/1000000*(1-U25)</f>
        <v>200.25528974271256</v>
      </c>
      <c r="V26" s="175">
        <f t="shared" ref="V26:AE26" si="18">+V24*V23/1000000*(1-V25)</f>
        <v>210.38820740369385</v>
      </c>
      <c r="W26" s="175">
        <f t="shared" si="18"/>
        <v>209.9821581634047</v>
      </c>
      <c r="X26" s="175">
        <f t="shared" si="18"/>
        <v>199.70762064754396</v>
      </c>
      <c r="Y26" s="175">
        <f t="shared" si="18"/>
        <v>185.41598599041325</v>
      </c>
      <c r="Z26" s="175">
        <f t="shared" si="18"/>
        <v>153.78792227489066</v>
      </c>
      <c r="AA26" s="175">
        <f t="shared" si="18"/>
        <v>53.856530380666698</v>
      </c>
      <c r="AB26" s="175">
        <f t="shared" si="18"/>
        <v>14.145417704482126</v>
      </c>
      <c r="AC26" s="175">
        <f t="shared" si="18"/>
        <v>1.1888940672263137</v>
      </c>
      <c r="AD26" s="175">
        <f t="shared" si="18"/>
        <v>0.12490521070279656</v>
      </c>
      <c r="AE26" s="175">
        <f t="shared" si="18"/>
        <v>1.9683812154653563E-2</v>
      </c>
    </row>
    <row r="27" spans="1:31" s="556" customFormat="1" ht="12.75" customHeight="1">
      <c r="B27" s="573"/>
      <c r="C27" s="569"/>
      <c r="D27" s="570"/>
      <c r="E27" s="571"/>
      <c r="F27" s="571"/>
      <c r="G27" s="571"/>
      <c r="H27" s="524"/>
      <c r="I27" s="524"/>
      <c r="J27" s="524"/>
      <c r="K27" s="524"/>
      <c r="L27" s="524"/>
      <c r="M27" s="524"/>
      <c r="N27" s="524"/>
      <c r="O27" s="524"/>
      <c r="P27" s="524"/>
      <c r="Q27" s="524"/>
      <c r="R27" s="524"/>
      <c r="S27" s="524"/>
      <c r="T27" s="524"/>
      <c r="U27" s="524"/>
      <c r="V27" s="524"/>
      <c r="W27" s="524"/>
      <c r="X27" s="524"/>
      <c r="Y27" s="524"/>
      <c r="Z27" s="524"/>
      <c r="AA27" s="524"/>
      <c r="AB27" s="524"/>
      <c r="AC27" s="524"/>
      <c r="AD27" s="524"/>
      <c r="AE27" s="524"/>
    </row>
    <row r="28" spans="1:31" s="556" customFormat="1" ht="12.75" customHeight="1">
      <c r="B28" s="574" t="s">
        <v>129</v>
      </c>
      <c r="C28" s="575"/>
      <c r="D28" s="576"/>
      <c r="E28" s="577"/>
      <c r="F28" s="577"/>
      <c r="G28" s="577"/>
      <c r="H28" s="577"/>
      <c r="I28" s="577"/>
      <c r="J28" s="577"/>
      <c r="K28" s="577"/>
      <c r="L28" s="577"/>
      <c r="M28" s="577"/>
      <c r="N28" s="577"/>
      <c r="O28" s="577"/>
      <c r="P28" s="577"/>
      <c r="Q28" s="577"/>
      <c r="R28" s="577"/>
      <c r="S28" s="577"/>
      <c r="T28" s="577"/>
      <c r="U28" s="577"/>
      <c r="V28" s="577"/>
      <c r="W28" s="577"/>
      <c r="X28" s="577"/>
      <c r="Y28" s="577"/>
      <c r="Z28" s="577"/>
      <c r="AA28" s="577"/>
      <c r="AB28" s="577"/>
      <c r="AC28" s="577"/>
      <c r="AD28" s="577"/>
      <c r="AE28" s="577"/>
    </row>
    <row r="29" spans="1:31" s="578" customFormat="1" ht="12.75" customHeight="1">
      <c r="B29" s="579" t="s">
        <v>421</v>
      </c>
      <c r="C29" s="552"/>
      <c r="D29" s="580"/>
      <c r="E29" s="580">
        <f t="shared" ref="E29:Z29" si="19">E18*E8+E14*E7</f>
        <v>3157.36</v>
      </c>
      <c r="F29" s="580">
        <f t="shared" si="19"/>
        <v>4165.564800000001</v>
      </c>
      <c r="G29" s="580">
        <f t="shared" si="19"/>
        <v>4667.8084010400016</v>
      </c>
      <c r="H29" s="580">
        <f t="shared" si="19"/>
        <v>5085.1353996561666</v>
      </c>
      <c r="I29" s="580">
        <f t="shared" si="19"/>
        <v>5433.7853037598488</v>
      </c>
      <c r="J29" s="580">
        <f t="shared" si="19"/>
        <v>6077.9896102826751</v>
      </c>
      <c r="K29" s="580">
        <f t="shared" si="19"/>
        <v>6805.5184154067219</v>
      </c>
      <c r="L29" s="580">
        <f t="shared" si="19"/>
        <v>7627.3832372209599</v>
      </c>
      <c r="M29" s="580">
        <f t="shared" si="19"/>
        <v>8556.0580065134436</v>
      </c>
      <c r="N29" s="580">
        <f t="shared" si="19"/>
        <v>8019.8059893336031</v>
      </c>
      <c r="O29" s="580">
        <f t="shared" si="19"/>
        <v>1011.0047090501087</v>
      </c>
      <c r="P29" s="580">
        <f t="shared" si="19"/>
        <v>525.8740994124139</v>
      </c>
      <c r="Q29" s="580">
        <f t="shared" si="19"/>
        <v>324.99019343687178</v>
      </c>
      <c r="R29" s="580">
        <f t="shared" si="19"/>
        <v>88.822072273578314</v>
      </c>
      <c r="S29" s="580">
        <f t="shared" si="19"/>
        <v>51.341809179270754</v>
      </c>
      <c r="T29" s="580">
        <f t="shared" si="19"/>
        <v>52.882063454648879</v>
      </c>
      <c r="U29" s="580">
        <f t="shared" si="19"/>
        <v>54.468525358288346</v>
      </c>
      <c r="V29" s="580">
        <f t="shared" si="19"/>
        <v>56.102581119037005</v>
      </c>
      <c r="W29" s="580">
        <f t="shared" si="19"/>
        <v>57.785658552608112</v>
      </c>
      <c r="X29" s="580">
        <f t="shared" si="19"/>
        <v>59.51922830918636</v>
      </c>
      <c r="Y29" s="580">
        <f t="shared" si="19"/>
        <v>61.304805158461946</v>
      </c>
      <c r="Z29" s="580">
        <f t="shared" si="19"/>
        <v>63.143949313215813</v>
      </c>
      <c r="AA29" s="580">
        <f>AA18*AA8+AA14*AA7</f>
        <v>65.038267792612288</v>
      </c>
      <c r="AB29" s="580">
        <f>AB18*AB8+AB14*AB7</f>
        <v>66.989415826390655</v>
      </c>
      <c r="AC29" s="580">
        <f>AC18*AC8+AC14*AC7</f>
        <v>68.999098301182386</v>
      </c>
      <c r="AD29" s="580">
        <f>AD18*AD8+AD14*AD7</f>
        <v>71.06907125021786</v>
      </c>
      <c r="AE29" s="580">
        <f>AE18*AE8+AE14*AE7</f>
        <v>73.2011433877244</v>
      </c>
    </row>
    <row r="30" spans="1:31" s="556" customFormat="1" ht="12.75" customHeight="1">
      <c r="B30" s="567" t="s">
        <v>422</v>
      </c>
      <c r="C30" s="569"/>
      <c r="D30" s="570"/>
      <c r="E30" s="582">
        <f>30000*6/12</f>
        <v>15000</v>
      </c>
      <c r="F30" s="582">
        <f>30000*(1+((0.02)/4))</f>
        <v>30149.999999999996</v>
      </c>
      <c r="G30" s="582">
        <f>30000*1.02</f>
        <v>30600</v>
      </c>
      <c r="H30" s="582">
        <f>G30*1.02</f>
        <v>31212</v>
      </c>
      <c r="I30" s="582">
        <f>+(4.221*100*6*2*7)*0.94</f>
        <v>33329.016000000003</v>
      </c>
      <c r="J30" s="582">
        <f>I30*1.02</f>
        <v>33995.596320000004</v>
      </c>
      <c r="K30" s="582">
        <f>J30*1.04</f>
        <v>35355.420172800004</v>
      </c>
      <c r="L30" s="582">
        <f>K30*1.02</f>
        <v>36062.528576256002</v>
      </c>
      <c r="M30" s="582">
        <f>L30*1.02</f>
        <v>36783.779147781119</v>
      </c>
      <c r="N30" s="582">
        <f>M30*1.02</f>
        <v>37519.454730736739</v>
      </c>
      <c r="O30" s="582">
        <f>N30*1.02</f>
        <v>38269.843825351476</v>
      </c>
      <c r="P30" s="582">
        <f>O30*1.02</f>
        <v>39035.240701858507</v>
      </c>
      <c r="Q30" s="582">
        <f t="shared" ref="Q30:Z30" si="20">P30*1.02</f>
        <v>39815.945515895677</v>
      </c>
      <c r="R30" s="582">
        <f t="shared" si="20"/>
        <v>40612.264426213595</v>
      </c>
      <c r="S30" s="582">
        <f t="shared" si="20"/>
        <v>41424.509714737869</v>
      </c>
      <c r="T30" s="582">
        <f t="shared" si="20"/>
        <v>42252.999909032631</v>
      </c>
      <c r="U30" s="582">
        <f t="shared" si="20"/>
        <v>43098.059907213283</v>
      </c>
      <c r="V30" s="582">
        <f t="shared" si="20"/>
        <v>43960.021105357548</v>
      </c>
      <c r="W30" s="582">
        <f t="shared" si="20"/>
        <v>44839.221527464702</v>
      </c>
      <c r="X30" s="582">
        <f t="shared" si="20"/>
        <v>45736.005958014</v>
      </c>
      <c r="Y30" s="582">
        <f t="shared" si="20"/>
        <v>46650.72607717428</v>
      </c>
      <c r="Z30" s="582">
        <f t="shared" si="20"/>
        <v>47583.74059871777</v>
      </c>
      <c r="AA30" s="582">
        <f>Z30*1.02</f>
        <v>48535.415410692127</v>
      </c>
      <c r="AB30" s="582">
        <f>AA30*1.02</f>
        <v>49506.123718905968</v>
      </c>
      <c r="AC30" s="582">
        <f>AB30*1.02</f>
        <v>50496.246193284089</v>
      </c>
      <c r="AD30" s="582">
        <f>AC30*1.02</f>
        <v>51506.171117149774</v>
      </c>
      <c r="AE30" s="582">
        <f>AD30*1.02</f>
        <v>52536.294539492766</v>
      </c>
    </row>
    <row r="31" spans="1:31" s="556" customFormat="1" ht="12.75" customHeight="1">
      <c r="B31" s="159" t="s">
        <v>424</v>
      </c>
      <c r="C31" s="162"/>
      <c r="D31" s="174"/>
      <c r="E31" s="175">
        <f t="shared" ref="E31:AE31" si="21">+E30*E29/1000000</f>
        <v>47.360399999999998</v>
      </c>
      <c r="F31" s="175">
        <f t="shared" si="21"/>
        <v>125.59177872000001</v>
      </c>
      <c r="G31" s="175">
        <f t="shared" si="21"/>
        <v>142.83493707182404</v>
      </c>
      <c r="H31" s="175">
        <f t="shared" si="21"/>
        <v>158.71724609406826</v>
      </c>
      <c r="I31" s="175">
        <f t="shared" si="21"/>
        <v>181.10271732957688</v>
      </c>
      <c r="J31" s="175">
        <f t="shared" si="21"/>
        <v>206.62488122832397</v>
      </c>
      <c r="K31" s="175">
        <f t="shared" si="21"/>
        <v>240.61196307043272</v>
      </c>
      <c r="L31" s="175">
        <f t="shared" si="21"/>
        <v>275.06272595433688</v>
      </c>
      <c r="M31" s="175">
        <f t="shared" si="21"/>
        <v>314.72414808719492</v>
      </c>
      <c r="N31" s="175">
        <f t="shared" si="21"/>
        <v>300.89874776609349</v>
      </c>
      <c r="O31" s="175">
        <f t="shared" si="21"/>
        <v>38.690992322042568</v>
      </c>
      <c r="P31" s="175">
        <f t="shared" si="21"/>
        <v>20.527622049436648</v>
      </c>
      <c r="Q31" s="175">
        <f t="shared" si="21"/>
        <v>12.939791835082882</v>
      </c>
      <c r="R31" s="175">
        <f t="shared" si="21"/>
        <v>3.6072654860588171</v>
      </c>
      <c r="S31" s="175">
        <f t="shared" si="21"/>
        <v>2.1268092731189192</v>
      </c>
      <c r="T31" s="175">
        <f t="shared" si="21"/>
        <v>2.234425822338737</v>
      </c>
      <c r="U31" s="175">
        <f t="shared" si="21"/>
        <v>2.347487768949077</v>
      </c>
      <c r="V31" s="175">
        <f t="shared" si="21"/>
        <v>2.4662706500579006</v>
      </c>
      <c r="W31" s="175">
        <f t="shared" si="21"/>
        <v>2.5910639449508306</v>
      </c>
      <c r="X31" s="175">
        <f t="shared" si="21"/>
        <v>2.7221717805653429</v>
      </c>
      <c r="Y31" s="175">
        <f t="shared" si="21"/>
        <v>2.859913672661949</v>
      </c>
      <c r="Z31" s="175">
        <f t="shared" si="21"/>
        <v>3.0046253044986444</v>
      </c>
      <c r="AA31" s="175">
        <f t="shared" si="21"/>
        <v>3.1566593449062763</v>
      </c>
      <c r="AB31" s="175">
        <f t="shared" si="21"/>
        <v>3.3163863077585334</v>
      </c>
      <c r="AC31" s="175">
        <f t="shared" si="21"/>
        <v>3.4841954549311156</v>
      </c>
      <c r="AD31" s="175">
        <f t="shared" si="21"/>
        <v>3.6604957449506306</v>
      </c>
      <c r="AE31" s="175">
        <f t="shared" si="21"/>
        <v>3.8457168296451325</v>
      </c>
    </row>
    <row r="32" spans="1:31" s="546" customFormat="1" ht="12.75" customHeight="1" thickBot="1">
      <c r="B32" s="33"/>
      <c r="C32" s="162"/>
      <c r="D32" s="163"/>
      <c r="E32" s="164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</row>
    <row r="33" spans="2:31" s="539" customFormat="1">
      <c r="B33" s="469" t="s">
        <v>426</v>
      </c>
      <c r="C33" s="542"/>
      <c r="D33" s="542"/>
      <c r="E33" s="542"/>
      <c r="F33" s="542"/>
      <c r="G33" s="542"/>
      <c r="H33" s="542"/>
      <c r="I33" s="542"/>
      <c r="J33" s="542"/>
      <c r="K33" s="542"/>
      <c r="L33" s="542"/>
      <c r="M33" s="542"/>
      <c r="N33" s="542"/>
      <c r="O33" s="542"/>
      <c r="P33" s="542"/>
      <c r="Q33" s="542"/>
      <c r="R33" s="542"/>
      <c r="S33" s="542"/>
      <c r="T33" s="542"/>
      <c r="U33" s="542"/>
      <c r="V33" s="542"/>
      <c r="W33" s="542"/>
      <c r="X33" s="542"/>
      <c r="Y33" s="542"/>
      <c r="Z33" s="542"/>
      <c r="AA33" s="542"/>
      <c r="AB33" s="542"/>
      <c r="AC33" s="542"/>
      <c r="AD33" s="542"/>
      <c r="AE33" s="542"/>
    </row>
    <row r="34" spans="2:31" s="543" customFormat="1" ht="12.75" customHeight="1">
      <c r="B34" s="176" t="s">
        <v>427</v>
      </c>
      <c r="C34" s="177"/>
      <c r="D34" s="583">
        <f>E34*0.9909</f>
        <v>39636</v>
      </c>
      <c r="E34" s="583">
        <v>40000</v>
      </c>
      <c r="F34" s="583">
        <f>E34*1.0091</f>
        <v>40364.000000000007</v>
      </c>
      <c r="G34" s="583">
        <f t="shared" ref="G34:P34" si="22">F34*1.0091</f>
        <v>40731.31240000001</v>
      </c>
      <c r="H34" s="583">
        <f t="shared" si="22"/>
        <v>41101.967342840013</v>
      </c>
      <c r="I34" s="583">
        <f t="shared" si="22"/>
        <v>41475.995245659862</v>
      </c>
      <c r="J34" s="583">
        <f t="shared" si="22"/>
        <v>41853.42680239537</v>
      </c>
      <c r="K34" s="583">
        <f t="shared" si="22"/>
        <v>42234.292986297172</v>
      </c>
      <c r="L34" s="583">
        <f t="shared" si="22"/>
        <v>42618.625052472482</v>
      </c>
      <c r="M34" s="583">
        <f t="shared" si="22"/>
        <v>43006.454540449988</v>
      </c>
      <c r="N34" s="583">
        <f t="shared" si="22"/>
        <v>43397.813276768087</v>
      </c>
      <c r="O34" s="583">
        <f t="shared" si="22"/>
        <v>43792.733377586679</v>
      </c>
      <c r="P34" s="583">
        <f t="shared" si="22"/>
        <v>44191.247251322726</v>
      </c>
      <c r="Q34" s="583">
        <f t="shared" ref="Q34:AB34" si="23">P34*1.0091</f>
        <v>44593.387601309769</v>
      </c>
      <c r="R34" s="583">
        <f t="shared" si="23"/>
        <v>44999.187428481695</v>
      </c>
      <c r="S34" s="583">
        <f t="shared" si="23"/>
        <v>45408.680034080884</v>
      </c>
      <c r="T34" s="583">
        <f t="shared" si="23"/>
        <v>45821.899022391022</v>
      </c>
      <c r="U34" s="583">
        <f t="shared" si="23"/>
        <v>46238.878303494785</v>
      </c>
      <c r="V34" s="583">
        <f t="shared" si="23"/>
        <v>46659.65209605659</v>
      </c>
      <c r="W34" s="583">
        <f t="shared" si="23"/>
        <v>47084.254930130708</v>
      </c>
      <c r="X34" s="583">
        <f t="shared" si="23"/>
        <v>47512.721649994899</v>
      </c>
      <c r="Y34" s="583">
        <f t="shared" si="23"/>
        <v>47945.087417009861</v>
      </c>
      <c r="Z34" s="583">
        <f t="shared" si="23"/>
        <v>48381.387712504657</v>
      </c>
      <c r="AA34" s="583">
        <f t="shared" si="23"/>
        <v>48821.658340688453</v>
      </c>
      <c r="AB34" s="583">
        <f t="shared" si="23"/>
        <v>49265.935431588725</v>
      </c>
      <c r="AC34" s="583">
        <f>AB34*1.0091</f>
        <v>49714.255444016191</v>
      </c>
      <c r="AD34" s="583">
        <f>AC34*1.0091</f>
        <v>50166.655168556747</v>
      </c>
      <c r="AE34" s="583">
        <f>AD34*1.0091</f>
        <v>50623.17173059062</v>
      </c>
    </row>
    <row r="35" spans="2:31" s="546" customFormat="1" ht="12.75" customHeight="1">
      <c r="B35" s="547" t="s">
        <v>410</v>
      </c>
      <c r="C35" s="161"/>
      <c r="D35" s="548"/>
      <c r="E35" s="549">
        <v>0.6</v>
      </c>
      <c r="F35" s="549">
        <f>E35</f>
        <v>0.6</v>
      </c>
      <c r="G35" s="549">
        <f t="shared" ref="G35:Z35" si="24">F35</f>
        <v>0.6</v>
      </c>
      <c r="H35" s="549">
        <f t="shared" si="24"/>
        <v>0.6</v>
      </c>
      <c r="I35" s="549">
        <f t="shared" si="24"/>
        <v>0.6</v>
      </c>
      <c r="J35" s="549">
        <f t="shared" si="24"/>
        <v>0.6</v>
      </c>
      <c r="K35" s="549">
        <f t="shared" si="24"/>
        <v>0.6</v>
      </c>
      <c r="L35" s="549">
        <f t="shared" si="24"/>
        <v>0.6</v>
      </c>
      <c r="M35" s="549">
        <f t="shared" si="24"/>
        <v>0.6</v>
      </c>
      <c r="N35" s="549">
        <f t="shared" si="24"/>
        <v>0.6</v>
      </c>
      <c r="O35" s="549">
        <f t="shared" si="24"/>
        <v>0.6</v>
      </c>
      <c r="P35" s="549">
        <f t="shared" si="24"/>
        <v>0.6</v>
      </c>
      <c r="Q35" s="549">
        <f t="shared" si="24"/>
        <v>0.6</v>
      </c>
      <c r="R35" s="549">
        <f t="shared" si="24"/>
        <v>0.6</v>
      </c>
      <c r="S35" s="549">
        <f t="shared" si="24"/>
        <v>0.6</v>
      </c>
      <c r="T35" s="549">
        <f t="shared" si="24"/>
        <v>0.6</v>
      </c>
      <c r="U35" s="549">
        <f t="shared" si="24"/>
        <v>0.6</v>
      </c>
      <c r="V35" s="549">
        <f t="shared" si="24"/>
        <v>0.6</v>
      </c>
      <c r="W35" s="549">
        <f t="shared" si="24"/>
        <v>0.6</v>
      </c>
      <c r="X35" s="549">
        <f t="shared" si="24"/>
        <v>0.6</v>
      </c>
      <c r="Y35" s="549">
        <f t="shared" si="24"/>
        <v>0.6</v>
      </c>
      <c r="Z35" s="549">
        <f t="shared" si="24"/>
        <v>0.6</v>
      </c>
      <c r="AA35" s="549">
        <f>Z35</f>
        <v>0.6</v>
      </c>
      <c r="AB35" s="549">
        <f>AA35</f>
        <v>0.6</v>
      </c>
      <c r="AC35" s="549">
        <f>AB35</f>
        <v>0.6</v>
      </c>
      <c r="AD35" s="549">
        <f>AC35</f>
        <v>0.6</v>
      </c>
      <c r="AE35" s="549">
        <f>AD35</f>
        <v>0.6</v>
      </c>
    </row>
    <row r="36" spans="2:31" s="546" customFormat="1" ht="12.75" customHeight="1">
      <c r="B36" s="547" t="s">
        <v>411</v>
      </c>
      <c r="C36" s="161"/>
      <c r="D36" s="548"/>
      <c r="E36" s="549">
        <f>1-E35</f>
        <v>0.4</v>
      </c>
      <c r="F36" s="549">
        <f>E36</f>
        <v>0.4</v>
      </c>
      <c r="G36" s="549">
        <f t="shared" ref="G36:AA36" si="25">F36</f>
        <v>0.4</v>
      </c>
      <c r="H36" s="549">
        <f t="shared" si="25"/>
        <v>0.4</v>
      </c>
      <c r="I36" s="549">
        <f t="shared" si="25"/>
        <v>0.4</v>
      </c>
      <c r="J36" s="549">
        <f t="shared" si="25"/>
        <v>0.4</v>
      </c>
      <c r="K36" s="549">
        <f t="shared" si="25"/>
        <v>0.4</v>
      </c>
      <c r="L36" s="549">
        <f t="shared" si="25"/>
        <v>0.4</v>
      </c>
      <c r="M36" s="549">
        <f t="shared" si="25"/>
        <v>0.4</v>
      </c>
      <c r="N36" s="549">
        <f t="shared" si="25"/>
        <v>0.4</v>
      </c>
      <c r="O36" s="549">
        <f t="shared" si="25"/>
        <v>0.4</v>
      </c>
      <c r="P36" s="549">
        <f t="shared" si="25"/>
        <v>0.4</v>
      </c>
      <c r="Q36" s="549">
        <f t="shared" si="25"/>
        <v>0.4</v>
      </c>
      <c r="R36" s="549">
        <f t="shared" si="25"/>
        <v>0.4</v>
      </c>
      <c r="S36" s="549">
        <f t="shared" si="25"/>
        <v>0.4</v>
      </c>
      <c r="T36" s="549">
        <f t="shared" si="25"/>
        <v>0.4</v>
      </c>
      <c r="U36" s="549">
        <f t="shared" si="25"/>
        <v>0.4</v>
      </c>
      <c r="V36" s="549">
        <f t="shared" si="25"/>
        <v>0.4</v>
      </c>
      <c r="W36" s="549">
        <f t="shared" si="25"/>
        <v>0.4</v>
      </c>
      <c r="X36" s="549">
        <f t="shared" si="25"/>
        <v>0.4</v>
      </c>
      <c r="Y36" s="549">
        <f t="shared" si="25"/>
        <v>0.4</v>
      </c>
      <c r="Z36" s="549">
        <f t="shared" si="25"/>
        <v>0.4</v>
      </c>
      <c r="AA36" s="549">
        <f t="shared" si="25"/>
        <v>0.4</v>
      </c>
      <c r="AB36" s="549">
        <f>AA36</f>
        <v>0.4</v>
      </c>
      <c r="AC36" s="549">
        <f>AB36</f>
        <v>0.4</v>
      </c>
      <c r="AD36" s="549">
        <f>AC36</f>
        <v>0.4</v>
      </c>
      <c r="AE36" s="549">
        <f>AD36</f>
        <v>0.4</v>
      </c>
    </row>
    <row r="37" spans="2:31" s="543" customFormat="1" ht="12.75" customHeight="1">
      <c r="B37" s="550" t="s">
        <v>412</v>
      </c>
      <c r="C37" s="178"/>
      <c r="D37" s="584"/>
      <c r="E37" s="584">
        <f>E35*E34</f>
        <v>24000</v>
      </c>
      <c r="F37" s="584">
        <f t="shared" ref="F37:AB37" si="26">F35*F34</f>
        <v>24218.400000000005</v>
      </c>
      <c r="G37" s="584">
        <f t="shared" si="26"/>
        <v>24438.787440000004</v>
      </c>
      <c r="H37" s="584">
        <f t="shared" si="26"/>
        <v>24661.180405704006</v>
      </c>
      <c r="I37" s="584">
        <f t="shared" si="26"/>
        <v>24885.597147395918</v>
      </c>
      <c r="J37" s="584">
        <f t="shared" si="26"/>
        <v>25112.056081437222</v>
      </c>
      <c r="K37" s="584">
        <f t="shared" si="26"/>
        <v>25340.575791778301</v>
      </c>
      <c r="L37" s="584">
        <f t="shared" si="26"/>
        <v>25571.17503148349</v>
      </c>
      <c r="M37" s="584">
        <f t="shared" si="26"/>
        <v>25803.872724269993</v>
      </c>
      <c r="N37" s="584">
        <f t="shared" si="26"/>
        <v>26038.68796606085</v>
      </c>
      <c r="O37" s="584">
        <f t="shared" si="26"/>
        <v>26275.640026552006</v>
      </c>
      <c r="P37" s="584">
        <f t="shared" si="26"/>
        <v>26514.748350793634</v>
      </c>
      <c r="Q37" s="584">
        <f t="shared" si="26"/>
        <v>26756.032560785861</v>
      </c>
      <c r="R37" s="584">
        <f t="shared" si="26"/>
        <v>26999.512457089015</v>
      </c>
      <c r="S37" s="584">
        <f t="shared" si="26"/>
        <v>27245.208020448528</v>
      </c>
      <c r="T37" s="584">
        <f t="shared" si="26"/>
        <v>27493.139413434612</v>
      </c>
      <c r="U37" s="584">
        <f t="shared" si="26"/>
        <v>27743.326982096871</v>
      </c>
      <c r="V37" s="584">
        <f t="shared" si="26"/>
        <v>27995.791257633955</v>
      </c>
      <c r="W37" s="584">
        <f t="shared" si="26"/>
        <v>28250.552958078424</v>
      </c>
      <c r="X37" s="584">
        <f t="shared" si="26"/>
        <v>28507.632989996939</v>
      </c>
      <c r="Y37" s="584">
        <f t="shared" si="26"/>
        <v>28767.052450205916</v>
      </c>
      <c r="Z37" s="584">
        <f t="shared" si="26"/>
        <v>29028.832627502794</v>
      </c>
      <c r="AA37" s="584">
        <f t="shared" si="26"/>
        <v>29292.995004413071</v>
      </c>
      <c r="AB37" s="584">
        <f t="shared" si="26"/>
        <v>29559.561258953232</v>
      </c>
      <c r="AC37" s="584">
        <f>AC35*AC34</f>
        <v>29828.553266409712</v>
      </c>
      <c r="AD37" s="584">
        <f>AD35*AD34</f>
        <v>30099.993101134045</v>
      </c>
      <c r="AE37" s="584">
        <f>AE35*AE34</f>
        <v>30373.903038354372</v>
      </c>
    </row>
    <row r="38" spans="2:31" s="543" customFormat="1" ht="12.75" customHeight="1">
      <c r="B38" s="550" t="s">
        <v>413</v>
      </c>
      <c r="C38" s="178"/>
      <c r="D38" s="584"/>
      <c r="E38" s="584">
        <f>E36*E34</f>
        <v>16000</v>
      </c>
      <c r="F38" s="584">
        <f t="shared" ref="F38:AB38" si="27">F36*F34</f>
        <v>16145.600000000004</v>
      </c>
      <c r="G38" s="584">
        <f t="shared" si="27"/>
        <v>16292.524960000004</v>
      </c>
      <c r="H38" s="584">
        <f t="shared" si="27"/>
        <v>16440.786937136007</v>
      </c>
      <c r="I38" s="584">
        <f t="shared" si="27"/>
        <v>16590.398098263944</v>
      </c>
      <c r="J38" s="584">
        <f t="shared" si="27"/>
        <v>16741.370720958148</v>
      </c>
      <c r="K38" s="584">
        <f t="shared" si="27"/>
        <v>16893.717194518871</v>
      </c>
      <c r="L38" s="584">
        <f t="shared" si="27"/>
        <v>17047.450020988992</v>
      </c>
      <c r="M38" s="584">
        <f t="shared" si="27"/>
        <v>17202.581816179994</v>
      </c>
      <c r="N38" s="584">
        <f t="shared" si="27"/>
        <v>17359.125310707237</v>
      </c>
      <c r="O38" s="584">
        <f t="shared" si="27"/>
        <v>17517.093351034673</v>
      </c>
      <c r="P38" s="584">
        <f t="shared" si="27"/>
        <v>17676.498900529092</v>
      </c>
      <c r="Q38" s="584">
        <f t="shared" si="27"/>
        <v>17837.355040523908</v>
      </c>
      <c r="R38" s="584">
        <f t="shared" si="27"/>
        <v>17999.67497139268</v>
      </c>
      <c r="S38" s="584">
        <f t="shared" si="27"/>
        <v>18163.472013632356</v>
      </c>
      <c r="T38" s="584">
        <f t="shared" si="27"/>
        <v>18328.75960895641</v>
      </c>
      <c r="U38" s="584">
        <f t="shared" si="27"/>
        <v>18495.551321397914</v>
      </c>
      <c r="V38" s="584">
        <f t="shared" si="27"/>
        <v>18663.860838422635</v>
      </c>
      <c r="W38" s="584">
        <f t="shared" si="27"/>
        <v>18833.701972052284</v>
      </c>
      <c r="X38" s="584">
        <f t="shared" si="27"/>
        <v>19005.08865999796</v>
      </c>
      <c r="Y38" s="584">
        <f t="shared" si="27"/>
        <v>19178.034966803945</v>
      </c>
      <c r="Z38" s="584">
        <f t="shared" si="27"/>
        <v>19352.555085001863</v>
      </c>
      <c r="AA38" s="584">
        <f t="shared" si="27"/>
        <v>19528.663336275382</v>
      </c>
      <c r="AB38" s="584">
        <f t="shared" si="27"/>
        <v>19706.374172635493</v>
      </c>
      <c r="AC38" s="584">
        <f>AC36*AC34</f>
        <v>19885.702177606479</v>
      </c>
      <c r="AD38" s="584">
        <f>AD36*AD34</f>
        <v>20066.662067422702</v>
      </c>
      <c r="AE38" s="584">
        <f>AE36*AE34</f>
        <v>20249.268692236248</v>
      </c>
    </row>
    <row r="39" spans="2:31" s="546" customFormat="1" ht="12.75" customHeight="1">
      <c r="B39" s="544"/>
      <c r="C39" s="552"/>
      <c r="D39" s="585"/>
      <c r="E39" s="586"/>
      <c r="F39" s="586"/>
      <c r="G39" s="586"/>
      <c r="H39" s="586"/>
      <c r="I39" s="586"/>
      <c r="J39" s="586"/>
      <c r="K39" s="586"/>
      <c r="L39" s="566"/>
      <c r="M39" s="566"/>
      <c r="N39" s="566"/>
      <c r="O39" s="566"/>
      <c r="P39" s="566"/>
      <c r="Q39" s="566"/>
      <c r="R39" s="566"/>
      <c r="S39" s="566"/>
      <c r="T39" s="566"/>
      <c r="U39" s="566"/>
      <c r="V39" s="566"/>
      <c r="W39" s="566"/>
      <c r="X39" s="566"/>
      <c r="Y39" s="566"/>
      <c r="Z39" s="566"/>
      <c r="AA39" s="566"/>
      <c r="AB39" s="566"/>
      <c r="AC39" s="566"/>
      <c r="AD39" s="566"/>
      <c r="AE39" s="566"/>
    </row>
    <row r="40" spans="2:31" s="556" customFormat="1" ht="12.75" customHeight="1">
      <c r="B40" s="557" t="s">
        <v>416</v>
      </c>
      <c r="C40" s="558"/>
      <c r="D40" s="559"/>
      <c r="E40" s="560"/>
      <c r="F40" s="560"/>
      <c r="G40" s="560"/>
      <c r="H40" s="560"/>
      <c r="I40" s="560"/>
      <c r="J40" s="560"/>
      <c r="K40" s="561"/>
      <c r="L40" s="561"/>
      <c r="M40" s="561"/>
      <c r="N40" s="561"/>
      <c r="O40" s="561"/>
      <c r="P40" s="561"/>
      <c r="Q40" s="561"/>
      <c r="R40" s="561"/>
      <c r="S40" s="561"/>
      <c r="T40" s="561"/>
      <c r="U40" s="561"/>
      <c r="V40" s="561"/>
      <c r="W40" s="561"/>
      <c r="X40" s="561"/>
      <c r="Y40" s="561"/>
      <c r="Z40" s="561"/>
      <c r="AA40" s="561"/>
      <c r="AB40" s="561"/>
      <c r="AC40" s="561"/>
      <c r="AD40" s="561"/>
      <c r="AE40" s="561"/>
    </row>
    <row r="41" spans="2:31" s="556" customFormat="1" ht="12.75" customHeight="1">
      <c r="B41" s="157"/>
      <c r="C41" s="162"/>
      <c r="D41" s="562"/>
      <c r="E41" s="563"/>
      <c r="F41" s="563"/>
      <c r="G41" s="563"/>
      <c r="H41" s="563"/>
      <c r="I41" s="563"/>
      <c r="J41" s="563"/>
      <c r="K41" s="564"/>
      <c r="L41" s="564"/>
      <c r="M41" s="564"/>
      <c r="N41" s="564"/>
      <c r="O41" s="564"/>
      <c r="P41" s="564"/>
      <c r="Q41" s="564"/>
      <c r="R41" s="564"/>
      <c r="S41" s="564"/>
      <c r="T41" s="564"/>
      <c r="U41" s="564"/>
      <c r="V41" s="564"/>
      <c r="W41" s="564"/>
      <c r="X41" s="564"/>
      <c r="Y41" s="564"/>
      <c r="Z41" s="564"/>
      <c r="AA41" s="564"/>
      <c r="AB41" s="564"/>
      <c r="AC41" s="564"/>
      <c r="AD41" s="564"/>
      <c r="AE41" s="564"/>
    </row>
    <row r="42" spans="2:31" s="556" customFormat="1" ht="12.75" customHeight="1">
      <c r="B42" s="159" t="s">
        <v>428</v>
      </c>
      <c r="C42" s="162"/>
      <c r="D42" s="562"/>
      <c r="E42" s="563"/>
      <c r="F42" s="563"/>
      <c r="G42" s="563"/>
      <c r="H42" s="563"/>
      <c r="I42" s="563"/>
      <c r="J42" s="563"/>
      <c r="K42" s="564"/>
      <c r="L42" s="564"/>
      <c r="M42" s="564"/>
      <c r="N42" s="564"/>
      <c r="O42" s="564"/>
      <c r="P42" s="564"/>
      <c r="Q42" s="564"/>
      <c r="R42" s="564"/>
      <c r="S42" s="564"/>
      <c r="T42" s="564"/>
      <c r="U42" s="564"/>
      <c r="V42" s="564"/>
      <c r="W42" s="564"/>
      <c r="X42" s="564"/>
      <c r="Y42" s="564"/>
      <c r="Z42" s="564"/>
      <c r="AA42" s="564"/>
      <c r="AB42" s="564"/>
      <c r="AC42" s="564"/>
      <c r="AD42" s="564"/>
      <c r="AE42" s="564"/>
    </row>
    <row r="43" spans="2:31" s="587" customFormat="1" ht="12.75" customHeight="1">
      <c r="B43" s="588" t="s">
        <v>419</v>
      </c>
      <c r="C43" s="589"/>
      <c r="D43" s="572"/>
      <c r="E43" s="590">
        <v>0</v>
      </c>
      <c r="F43" s="590">
        <v>0</v>
      </c>
      <c r="G43" s="590">
        <v>0</v>
      </c>
      <c r="H43" s="590">
        <v>0</v>
      </c>
      <c r="I43" s="590">
        <v>0</v>
      </c>
      <c r="J43" s="590">
        <v>5.0000000000000001E-3</v>
      </c>
      <c r="K43" s="590">
        <v>0.01</v>
      </c>
      <c r="L43" s="590">
        <v>0.02</v>
      </c>
      <c r="M43" s="590">
        <v>0.03</v>
      </c>
      <c r="N43" s="590">
        <v>0.04</v>
      </c>
      <c r="O43" s="590">
        <v>4.4999999999999998E-2</v>
      </c>
      <c r="P43" s="590">
        <f>O43+0.5%</f>
        <v>4.9999999999999996E-2</v>
      </c>
      <c r="Q43" s="590">
        <f t="shared" ref="Q43:X43" si="28">P43+0.5%</f>
        <v>5.4999999999999993E-2</v>
      </c>
      <c r="R43" s="590">
        <f t="shared" si="28"/>
        <v>5.9999999999999991E-2</v>
      </c>
      <c r="S43" s="590">
        <f t="shared" si="28"/>
        <v>6.4999999999999988E-2</v>
      </c>
      <c r="T43" s="590">
        <f t="shared" si="28"/>
        <v>6.9999999999999993E-2</v>
      </c>
      <c r="U43" s="590">
        <f t="shared" si="28"/>
        <v>7.4999999999999997E-2</v>
      </c>
      <c r="V43" s="590">
        <f t="shared" si="28"/>
        <v>0.08</v>
      </c>
      <c r="W43" s="590">
        <f t="shared" si="28"/>
        <v>8.5000000000000006E-2</v>
      </c>
      <c r="X43" s="590">
        <f t="shared" si="28"/>
        <v>9.0000000000000011E-2</v>
      </c>
      <c r="Y43" s="590">
        <f t="shared" ref="Y43:AE43" si="29">X43*0.2</f>
        <v>1.8000000000000002E-2</v>
      </c>
      <c r="Z43" s="590">
        <f t="shared" si="29"/>
        <v>3.6000000000000008E-3</v>
      </c>
      <c r="AA43" s="590">
        <f t="shared" si="29"/>
        <v>7.2000000000000015E-4</v>
      </c>
      <c r="AB43" s="590">
        <f t="shared" si="29"/>
        <v>1.4400000000000003E-4</v>
      </c>
      <c r="AC43" s="590">
        <f t="shared" si="29"/>
        <v>2.8800000000000009E-5</v>
      </c>
      <c r="AD43" s="590">
        <f t="shared" si="29"/>
        <v>5.7600000000000024E-6</v>
      </c>
      <c r="AE43" s="590">
        <f t="shared" si="29"/>
        <v>1.1520000000000006E-6</v>
      </c>
    </row>
    <row r="44" spans="2:31" s="587" customFormat="1" ht="12.75" customHeight="1">
      <c r="B44" s="591" t="s">
        <v>418</v>
      </c>
      <c r="C44" s="179"/>
      <c r="D44" s="592"/>
      <c r="E44" s="564">
        <v>0</v>
      </c>
      <c r="F44" s="564">
        <v>0</v>
      </c>
      <c r="G44" s="564">
        <v>0</v>
      </c>
      <c r="H44" s="564">
        <v>0</v>
      </c>
      <c r="I44" s="564">
        <v>0</v>
      </c>
      <c r="J44" s="564">
        <v>0</v>
      </c>
      <c r="K44" s="564">
        <v>0</v>
      </c>
      <c r="L44" s="564">
        <v>0</v>
      </c>
      <c r="M44" s="564">
        <v>0</v>
      </c>
      <c r="N44" s="564">
        <v>0</v>
      </c>
      <c r="O44" s="564">
        <v>0</v>
      </c>
      <c r="P44" s="564">
        <v>0</v>
      </c>
      <c r="Q44" s="564">
        <f t="shared" ref="Q44:AB44" si="30">P44</f>
        <v>0</v>
      </c>
      <c r="R44" s="564">
        <f t="shared" si="30"/>
        <v>0</v>
      </c>
      <c r="S44" s="564">
        <f t="shared" si="30"/>
        <v>0</v>
      </c>
      <c r="T44" s="564">
        <f t="shared" si="30"/>
        <v>0</v>
      </c>
      <c r="U44" s="564">
        <f t="shared" si="30"/>
        <v>0</v>
      </c>
      <c r="V44" s="564">
        <f t="shared" si="30"/>
        <v>0</v>
      </c>
      <c r="W44" s="564">
        <f t="shared" si="30"/>
        <v>0</v>
      </c>
      <c r="X44" s="564">
        <f t="shared" si="30"/>
        <v>0</v>
      </c>
      <c r="Y44" s="564">
        <f t="shared" si="30"/>
        <v>0</v>
      </c>
      <c r="Z44" s="564">
        <f t="shared" si="30"/>
        <v>0</v>
      </c>
      <c r="AA44" s="564">
        <f t="shared" si="30"/>
        <v>0</v>
      </c>
      <c r="AB44" s="564">
        <f t="shared" si="30"/>
        <v>0</v>
      </c>
      <c r="AC44" s="564">
        <f>AB44</f>
        <v>0</v>
      </c>
      <c r="AD44" s="564">
        <f>AC44</f>
        <v>0</v>
      </c>
      <c r="AE44" s="564">
        <f>AD44</f>
        <v>0</v>
      </c>
    </row>
    <row r="45" spans="2:31" s="587" customFormat="1" ht="12.75" customHeight="1">
      <c r="B45" s="593"/>
      <c r="C45" s="594"/>
      <c r="D45" s="595"/>
      <c r="E45" s="595"/>
      <c r="F45" s="595"/>
      <c r="G45" s="595"/>
      <c r="H45" s="595"/>
      <c r="I45" s="595"/>
      <c r="J45" s="595"/>
      <c r="K45" s="595"/>
      <c r="L45" s="589"/>
      <c r="M45" s="589"/>
      <c r="N45" s="589"/>
      <c r="O45" s="589"/>
      <c r="P45" s="589"/>
      <c r="Q45" s="589"/>
      <c r="R45" s="589"/>
      <c r="S45" s="589"/>
      <c r="T45" s="589"/>
      <c r="U45" s="589"/>
      <c r="V45" s="589"/>
      <c r="W45" s="589"/>
      <c r="X45" s="589"/>
      <c r="Y45" s="589"/>
      <c r="Z45" s="589"/>
      <c r="AA45" s="589"/>
      <c r="AB45" s="589"/>
      <c r="AC45" s="589"/>
      <c r="AD45" s="589"/>
      <c r="AE45" s="589"/>
    </row>
    <row r="46" spans="2:31" s="587" customFormat="1" ht="12.75" customHeight="1">
      <c r="B46" s="180" t="s">
        <v>417</v>
      </c>
      <c r="C46" s="179"/>
      <c r="D46" s="572"/>
      <c r="E46" s="572"/>
      <c r="F46" s="572"/>
      <c r="G46" s="572"/>
      <c r="H46" s="572"/>
      <c r="I46" s="572"/>
      <c r="J46" s="572"/>
      <c r="K46" s="572"/>
      <c r="L46" s="572"/>
      <c r="M46" s="572"/>
      <c r="N46" s="572"/>
      <c r="O46" s="572"/>
      <c r="P46" s="572"/>
      <c r="Q46" s="572"/>
      <c r="R46" s="572"/>
      <c r="S46" s="572"/>
      <c r="T46" s="572"/>
      <c r="U46" s="572"/>
      <c r="V46" s="572"/>
      <c r="W46" s="572"/>
      <c r="X46" s="572"/>
      <c r="Y46" s="572"/>
      <c r="Z46" s="572"/>
      <c r="AA46" s="572"/>
      <c r="AB46" s="572"/>
      <c r="AC46" s="572"/>
      <c r="AD46" s="572"/>
      <c r="AE46" s="572"/>
    </row>
    <row r="47" spans="2:31" s="587" customFormat="1" ht="12.75" customHeight="1">
      <c r="B47" s="588" t="s">
        <v>419</v>
      </c>
      <c r="C47" s="179"/>
      <c r="D47" s="572"/>
      <c r="E47" s="564">
        <v>0</v>
      </c>
      <c r="F47" s="564">
        <v>0</v>
      </c>
      <c r="G47" s="564">
        <v>0</v>
      </c>
      <c r="H47" s="564">
        <v>0</v>
      </c>
      <c r="I47" s="564">
        <v>0</v>
      </c>
      <c r="J47" s="564">
        <v>0</v>
      </c>
      <c r="K47" s="564">
        <v>0</v>
      </c>
      <c r="L47" s="564">
        <v>0</v>
      </c>
      <c r="M47" s="564">
        <v>0</v>
      </c>
      <c r="N47" s="564">
        <v>0</v>
      </c>
      <c r="O47" s="564">
        <v>0</v>
      </c>
      <c r="P47" s="564">
        <v>0</v>
      </c>
      <c r="Q47" s="564">
        <f t="shared" ref="Q47:AB47" si="31">P47</f>
        <v>0</v>
      </c>
      <c r="R47" s="564">
        <f t="shared" si="31"/>
        <v>0</v>
      </c>
      <c r="S47" s="564">
        <f t="shared" si="31"/>
        <v>0</v>
      </c>
      <c r="T47" s="564">
        <f t="shared" si="31"/>
        <v>0</v>
      </c>
      <c r="U47" s="564">
        <f t="shared" si="31"/>
        <v>0</v>
      </c>
      <c r="V47" s="564">
        <f t="shared" si="31"/>
        <v>0</v>
      </c>
      <c r="W47" s="564">
        <f t="shared" si="31"/>
        <v>0</v>
      </c>
      <c r="X47" s="564">
        <f t="shared" si="31"/>
        <v>0</v>
      </c>
      <c r="Y47" s="564">
        <f t="shared" si="31"/>
        <v>0</v>
      </c>
      <c r="Z47" s="564">
        <f t="shared" si="31"/>
        <v>0</v>
      </c>
      <c r="AA47" s="564">
        <f t="shared" si="31"/>
        <v>0</v>
      </c>
      <c r="AB47" s="564">
        <f t="shared" si="31"/>
        <v>0</v>
      </c>
      <c r="AC47" s="564">
        <f>AB47</f>
        <v>0</v>
      </c>
      <c r="AD47" s="564">
        <f>AC47</f>
        <v>0</v>
      </c>
      <c r="AE47" s="564">
        <f>AD47</f>
        <v>0</v>
      </c>
    </row>
    <row r="48" spans="2:31" s="587" customFormat="1" ht="12.75" customHeight="1">
      <c r="B48" s="591" t="s">
        <v>418</v>
      </c>
      <c r="C48" s="596"/>
      <c r="D48" s="592"/>
      <c r="E48" s="564">
        <v>0</v>
      </c>
      <c r="F48" s="564">
        <v>0</v>
      </c>
      <c r="G48" s="564">
        <v>0</v>
      </c>
      <c r="H48" s="564">
        <v>0</v>
      </c>
      <c r="I48" s="564">
        <v>0.02</v>
      </c>
      <c r="J48" s="564">
        <v>0.25</v>
      </c>
      <c r="K48" s="564">
        <v>0.42</v>
      </c>
      <c r="L48" s="564">
        <v>0.56999999999999995</v>
      </c>
      <c r="M48" s="564">
        <v>0.68200000000000005</v>
      </c>
      <c r="N48" s="564">
        <v>0.72499999999999998</v>
      </c>
      <c r="O48" s="564">
        <f>N48*1.03</f>
        <v>0.74675000000000002</v>
      </c>
      <c r="P48" s="564">
        <f>O48*1.03</f>
        <v>0.76915250000000002</v>
      </c>
      <c r="Q48" s="564">
        <v>0.76</v>
      </c>
      <c r="R48" s="564">
        <f>Q48*1.01</f>
        <v>0.76760000000000006</v>
      </c>
      <c r="S48" s="564">
        <f>R48*1.01</f>
        <v>0.77527600000000008</v>
      </c>
      <c r="T48" s="564">
        <f>S48*0.4</f>
        <v>0.31011040000000006</v>
      </c>
      <c r="U48" s="564">
        <f>T48*0.2</f>
        <v>6.2022080000000014E-2</v>
      </c>
      <c r="V48" s="564">
        <v>1E-3</v>
      </c>
      <c r="W48" s="564">
        <f t="shared" ref="W48:AE48" si="32">V48*1.01</f>
        <v>1.01E-3</v>
      </c>
      <c r="X48" s="564">
        <f t="shared" si="32"/>
        <v>1.0201000000000001E-3</v>
      </c>
      <c r="Y48" s="564">
        <f t="shared" si="32"/>
        <v>1.0303010000000002E-3</v>
      </c>
      <c r="Z48" s="564">
        <f t="shared" si="32"/>
        <v>1.0406040100000003E-3</v>
      </c>
      <c r="AA48" s="564">
        <f t="shared" si="32"/>
        <v>1.0510100501000003E-3</v>
      </c>
      <c r="AB48" s="564">
        <f t="shared" si="32"/>
        <v>1.0615201506010002E-3</v>
      </c>
      <c r="AC48" s="564">
        <f t="shared" si="32"/>
        <v>1.0721353521070103E-3</v>
      </c>
      <c r="AD48" s="564">
        <f t="shared" si="32"/>
        <v>1.0828567056280804E-3</v>
      </c>
      <c r="AE48" s="564">
        <f t="shared" si="32"/>
        <v>1.0936852726843613E-3</v>
      </c>
    </row>
    <row r="49" spans="2:31" s="546" customFormat="1" ht="12.75" customHeight="1">
      <c r="B49" s="597"/>
      <c r="C49" s="598"/>
      <c r="D49" s="570"/>
      <c r="E49" s="571"/>
      <c r="F49" s="571"/>
      <c r="G49" s="571"/>
      <c r="H49" s="571"/>
      <c r="I49" s="571"/>
      <c r="J49" s="571"/>
      <c r="K49" s="571"/>
      <c r="L49" s="566"/>
      <c r="M49" s="566"/>
      <c r="N49" s="566"/>
      <c r="O49" s="566"/>
      <c r="P49" s="566"/>
      <c r="Q49" s="566"/>
      <c r="R49" s="566"/>
      <c r="S49" s="566"/>
      <c r="T49" s="566"/>
      <c r="U49" s="566"/>
      <c r="V49" s="566"/>
      <c r="W49" s="566"/>
      <c r="X49" s="566"/>
      <c r="Y49" s="566"/>
      <c r="Z49" s="566"/>
      <c r="AA49" s="566"/>
      <c r="AB49" s="566"/>
      <c r="AC49" s="566"/>
      <c r="AD49" s="566"/>
      <c r="AE49" s="566"/>
    </row>
    <row r="50" spans="2:31" s="556" customFormat="1" ht="12.75" customHeight="1">
      <c r="B50" s="557" t="s">
        <v>314</v>
      </c>
      <c r="C50" s="558"/>
      <c r="D50" s="559"/>
      <c r="E50" s="560"/>
      <c r="F50" s="560"/>
      <c r="G50" s="560"/>
      <c r="H50" s="560"/>
      <c r="I50" s="560"/>
      <c r="J50" s="560"/>
      <c r="K50" s="561"/>
      <c r="L50" s="561"/>
      <c r="M50" s="561"/>
      <c r="N50" s="561"/>
      <c r="O50" s="561"/>
      <c r="P50" s="561"/>
      <c r="Q50" s="561"/>
      <c r="R50" s="561"/>
      <c r="S50" s="561"/>
      <c r="T50" s="561"/>
      <c r="U50" s="561"/>
      <c r="V50" s="561"/>
      <c r="W50" s="561"/>
      <c r="X50" s="561"/>
      <c r="Y50" s="561"/>
      <c r="Z50" s="561"/>
      <c r="AA50" s="561"/>
      <c r="AB50" s="561"/>
      <c r="AC50" s="561"/>
      <c r="AD50" s="561"/>
      <c r="AE50" s="561"/>
    </row>
    <row r="51" spans="2:31" s="556" customFormat="1" ht="12.75" customHeight="1">
      <c r="B51" s="573"/>
      <c r="C51" s="569"/>
      <c r="D51" s="570"/>
      <c r="E51" s="571"/>
      <c r="F51" s="571"/>
      <c r="G51" s="571"/>
      <c r="H51" s="571"/>
      <c r="I51" s="571"/>
      <c r="J51" s="571"/>
      <c r="K51" s="571"/>
      <c r="L51" s="571"/>
      <c r="M51" s="571"/>
      <c r="N51" s="571"/>
      <c r="O51" s="571"/>
      <c r="P51" s="571"/>
      <c r="Q51" s="571"/>
      <c r="R51" s="571"/>
      <c r="S51" s="571"/>
      <c r="T51" s="571"/>
      <c r="U51" s="571"/>
      <c r="V51" s="571"/>
      <c r="W51" s="571"/>
      <c r="X51" s="571"/>
      <c r="Y51" s="571"/>
      <c r="Z51" s="571"/>
      <c r="AA51" s="571"/>
      <c r="AB51" s="571"/>
      <c r="AC51" s="571"/>
      <c r="AD51" s="571"/>
      <c r="AE51" s="571"/>
    </row>
    <row r="52" spans="2:31" s="556" customFormat="1" ht="12.75" customHeight="1">
      <c r="B52" s="574" t="s">
        <v>122</v>
      </c>
      <c r="C52" s="575"/>
      <c r="D52" s="576"/>
      <c r="E52" s="577"/>
      <c r="F52" s="577"/>
      <c r="G52" s="577"/>
      <c r="H52" s="577"/>
      <c r="I52" s="577"/>
      <c r="J52" s="577"/>
      <c r="K52" s="577"/>
      <c r="L52" s="577"/>
      <c r="M52" s="577"/>
      <c r="N52" s="577"/>
      <c r="O52" s="577"/>
      <c r="P52" s="577"/>
      <c r="Q52" s="577"/>
      <c r="R52" s="577"/>
      <c r="S52" s="577"/>
      <c r="T52" s="577"/>
      <c r="U52" s="577"/>
      <c r="V52" s="577"/>
      <c r="W52" s="577"/>
      <c r="X52" s="577"/>
      <c r="Y52" s="577"/>
      <c r="Z52" s="577"/>
      <c r="AA52" s="577"/>
      <c r="AB52" s="577"/>
      <c r="AC52" s="577"/>
      <c r="AD52" s="577"/>
      <c r="AE52" s="577"/>
    </row>
    <row r="53" spans="2:31" s="543" customFormat="1" ht="12.75" customHeight="1">
      <c r="B53" s="579" t="s">
        <v>421</v>
      </c>
      <c r="C53" s="599"/>
      <c r="D53" s="580"/>
      <c r="E53" s="580">
        <f t="shared" ref="E53:AA53" si="33">E37*E43+E38*E47</f>
        <v>0</v>
      </c>
      <c r="F53" s="580">
        <f t="shared" si="33"/>
        <v>0</v>
      </c>
      <c r="G53" s="580">
        <f t="shared" si="33"/>
        <v>0</v>
      </c>
      <c r="H53" s="580">
        <f t="shared" si="33"/>
        <v>0</v>
      </c>
      <c r="I53" s="580">
        <f t="shared" si="33"/>
        <v>0</v>
      </c>
      <c r="J53" s="580">
        <f t="shared" si="33"/>
        <v>125.56028040718611</v>
      </c>
      <c r="K53" s="580">
        <f t="shared" si="33"/>
        <v>253.40575791778301</v>
      </c>
      <c r="L53" s="580">
        <f t="shared" si="33"/>
        <v>511.42350062966983</v>
      </c>
      <c r="M53" s="580">
        <f t="shared" si="33"/>
        <v>774.11618172809972</v>
      </c>
      <c r="N53" s="580">
        <f t="shared" si="33"/>
        <v>1041.5475186424339</v>
      </c>
      <c r="O53" s="580">
        <f t="shared" si="33"/>
        <v>1182.4038011948403</v>
      </c>
      <c r="P53" s="580">
        <f t="shared" si="33"/>
        <v>1325.7374175396817</v>
      </c>
      <c r="Q53" s="580">
        <f t="shared" si="33"/>
        <v>1471.5817908432223</v>
      </c>
      <c r="R53" s="580">
        <f t="shared" si="33"/>
        <v>1619.9707474253407</v>
      </c>
      <c r="S53" s="580">
        <f t="shared" si="33"/>
        <v>1770.9385213291541</v>
      </c>
      <c r="T53" s="580">
        <f t="shared" si="33"/>
        <v>1924.5197589404227</v>
      </c>
      <c r="U53" s="580">
        <f t="shared" si="33"/>
        <v>2080.7495236572654</v>
      </c>
      <c r="V53" s="580">
        <f t="shared" si="33"/>
        <v>2239.6633006107163</v>
      </c>
      <c r="W53" s="580">
        <f t="shared" si="33"/>
        <v>2401.2970014366661</v>
      </c>
      <c r="X53" s="580">
        <f t="shared" si="33"/>
        <v>2565.6869690997246</v>
      </c>
      <c r="Y53" s="580">
        <f t="shared" si="33"/>
        <v>517.80694410370654</v>
      </c>
      <c r="Z53" s="580">
        <f t="shared" si="33"/>
        <v>104.50379745901009</v>
      </c>
      <c r="AA53" s="580">
        <f t="shared" si="33"/>
        <v>21.090956403177415</v>
      </c>
      <c r="AB53" s="580">
        <f>AB37*AB43+AB38*AB47</f>
        <v>4.2565768212892667</v>
      </c>
      <c r="AC53" s="580">
        <f>AC37*AC43+AC38*AC47</f>
        <v>0.85906233407259991</v>
      </c>
      <c r="AD53" s="580">
        <f>AD37*AD43+AD38*AD47</f>
        <v>0.17337596026253219</v>
      </c>
      <c r="AE53" s="580">
        <f>AE37*AE43+AE38*AE47</f>
        <v>3.4990736300184254E-2</v>
      </c>
    </row>
    <row r="54" spans="2:31" s="556" customFormat="1" ht="12.75" customHeight="1">
      <c r="B54" s="567" t="s">
        <v>422</v>
      </c>
      <c r="C54" s="569"/>
      <c r="D54" s="570"/>
      <c r="E54" s="582">
        <v>46750</v>
      </c>
      <c r="F54" s="582">
        <v>46750</v>
      </c>
      <c r="G54" s="582">
        <v>46750</v>
      </c>
      <c r="H54" s="582">
        <v>50957.5</v>
      </c>
      <c r="I54" s="582">
        <f t="shared" ref="I54:P54" si="34">+H54</f>
        <v>50957.5</v>
      </c>
      <c r="J54" s="582">
        <f t="shared" si="34"/>
        <v>50957.5</v>
      </c>
      <c r="K54" s="582">
        <f t="shared" si="34"/>
        <v>50957.5</v>
      </c>
      <c r="L54" s="582">
        <f t="shared" si="34"/>
        <v>50957.5</v>
      </c>
      <c r="M54" s="582">
        <f t="shared" si="34"/>
        <v>50957.5</v>
      </c>
      <c r="N54" s="582">
        <f t="shared" si="34"/>
        <v>50957.5</v>
      </c>
      <c r="O54" s="582">
        <f t="shared" si="34"/>
        <v>50957.5</v>
      </c>
      <c r="P54" s="582">
        <f t="shared" si="34"/>
        <v>50957.5</v>
      </c>
      <c r="Q54" s="582">
        <f t="shared" ref="Q54:Z54" si="35">+P54</f>
        <v>50957.5</v>
      </c>
      <c r="R54" s="582">
        <f t="shared" si="35"/>
        <v>50957.5</v>
      </c>
      <c r="S54" s="582">
        <f t="shared" si="35"/>
        <v>50957.5</v>
      </c>
      <c r="T54" s="582">
        <f t="shared" si="35"/>
        <v>50957.5</v>
      </c>
      <c r="U54" s="582">
        <f t="shared" si="35"/>
        <v>50957.5</v>
      </c>
      <c r="V54" s="582">
        <f t="shared" si="35"/>
        <v>50957.5</v>
      </c>
      <c r="W54" s="582">
        <f t="shared" si="35"/>
        <v>50957.5</v>
      </c>
      <c r="X54" s="582">
        <f t="shared" si="35"/>
        <v>50957.5</v>
      </c>
      <c r="Y54" s="582">
        <f t="shared" si="35"/>
        <v>50957.5</v>
      </c>
      <c r="Z54" s="582">
        <f t="shared" si="35"/>
        <v>50957.5</v>
      </c>
      <c r="AA54" s="582">
        <f>+Z54</f>
        <v>50957.5</v>
      </c>
      <c r="AB54" s="582">
        <f>+AA54</f>
        <v>50957.5</v>
      </c>
      <c r="AC54" s="582">
        <f>+AB54</f>
        <v>50957.5</v>
      </c>
      <c r="AD54" s="582">
        <f>+AC54</f>
        <v>50957.5</v>
      </c>
      <c r="AE54" s="582">
        <f>+AD54</f>
        <v>50957.5</v>
      </c>
    </row>
    <row r="55" spans="2:31" s="556" customFormat="1" ht="12.75" customHeight="1">
      <c r="B55" s="159" t="s">
        <v>429</v>
      </c>
      <c r="C55" s="162"/>
      <c r="D55" s="174"/>
      <c r="E55" s="175">
        <f>E54*E53/1000000</f>
        <v>0</v>
      </c>
      <c r="F55" s="175">
        <f t="shared" ref="F55:Z55" si="36">F54*F53/1000000</f>
        <v>0</v>
      </c>
      <c r="G55" s="175">
        <f t="shared" si="36"/>
        <v>0</v>
      </c>
      <c r="H55" s="175">
        <f t="shared" si="36"/>
        <v>0</v>
      </c>
      <c r="I55" s="175">
        <f t="shared" si="36"/>
        <v>0</v>
      </c>
      <c r="J55" s="175">
        <f t="shared" si="36"/>
        <v>6.3982379888491865</v>
      </c>
      <c r="K55" s="175">
        <f t="shared" si="36"/>
        <v>12.912923909095428</v>
      </c>
      <c r="L55" s="175">
        <f t="shared" si="36"/>
        <v>26.0608630333364</v>
      </c>
      <c r="M55" s="175">
        <f t="shared" si="36"/>
        <v>39.447025330409637</v>
      </c>
      <c r="N55" s="175">
        <f t="shared" si="36"/>
        <v>53.074657681221829</v>
      </c>
      <c r="O55" s="175">
        <f t="shared" si="36"/>
        <v>60.252341699386072</v>
      </c>
      <c r="P55" s="175">
        <f t="shared" si="36"/>
        <v>67.556264454278335</v>
      </c>
      <c r="Q55" s="175">
        <f t="shared" si="36"/>
        <v>74.988129106893496</v>
      </c>
      <c r="R55" s="175">
        <f t="shared" si="36"/>
        <v>82.5496593619268</v>
      </c>
      <c r="S55" s="175">
        <f t="shared" si="36"/>
        <v>90.242599700630365</v>
      </c>
      <c r="T55" s="175">
        <f t="shared" si="36"/>
        <v>98.068715616206589</v>
      </c>
      <c r="U55" s="175">
        <f t="shared" si="36"/>
        <v>106.02979385176509</v>
      </c>
      <c r="V55" s="175">
        <f t="shared" si="36"/>
        <v>114.12764264087058</v>
      </c>
      <c r="W55" s="175">
        <f t="shared" si="36"/>
        <v>122.36409195070891</v>
      </c>
      <c r="X55" s="175">
        <f t="shared" si="36"/>
        <v>130.74099372789919</v>
      </c>
      <c r="Y55" s="175">
        <f t="shared" si="36"/>
        <v>26.386147354164628</v>
      </c>
      <c r="Z55" s="175">
        <f t="shared" si="36"/>
        <v>5.3252522590175069</v>
      </c>
      <c r="AA55" s="175">
        <f>AA54*AA53/1000000</f>
        <v>1.0747424109149131</v>
      </c>
      <c r="AB55" s="175">
        <f>AB54*AB53/1000000</f>
        <v>0.21690451337084779</v>
      </c>
      <c r="AC55" s="175">
        <f>AC54*AC53/1000000</f>
        <v>4.377566888850451E-2</v>
      </c>
      <c r="AD55" s="175">
        <f>AD54*AD53/1000000</f>
        <v>8.8348054950779849E-3</v>
      </c>
      <c r="AE55" s="175">
        <f>AE54*AE53/1000000</f>
        <v>1.783040445016639E-3</v>
      </c>
    </row>
    <row r="56" spans="2:31" s="556" customFormat="1" ht="12.75" customHeight="1">
      <c r="B56" s="573"/>
      <c r="C56" s="569"/>
      <c r="D56" s="570"/>
      <c r="E56" s="571"/>
      <c r="F56" s="571"/>
      <c r="G56" s="571"/>
      <c r="H56" s="571"/>
      <c r="I56" s="571"/>
      <c r="J56" s="571"/>
      <c r="K56" s="571"/>
      <c r="L56" s="571"/>
      <c r="M56" s="571"/>
      <c r="N56" s="571"/>
      <c r="O56" s="571"/>
      <c r="P56" s="571"/>
      <c r="Q56" s="571"/>
      <c r="R56" s="571"/>
      <c r="S56" s="571"/>
      <c r="T56" s="571"/>
      <c r="U56" s="571"/>
      <c r="V56" s="571"/>
      <c r="W56" s="571"/>
      <c r="X56" s="571"/>
      <c r="Y56" s="571"/>
      <c r="Z56" s="571"/>
      <c r="AA56" s="571"/>
      <c r="AB56" s="571"/>
      <c r="AC56" s="571"/>
      <c r="AD56" s="571"/>
      <c r="AE56" s="571"/>
    </row>
    <row r="57" spans="2:31" s="556" customFormat="1" ht="12.75" customHeight="1">
      <c r="B57" s="574" t="s">
        <v>129</v>
      </c>
      <c r="C57" s="575"/>
      <c r="D57" s="576"/>
      <c r="E57" s="577"/>
      <c r="F57" s="577"/>
      <c r="G57" s="577"/>
      <c r="H57" s="577"/>
      <c r="I57" s="577"/>
      <c r="J57" s="577"/>
      <c r="K57" s="577"/>
      <c r="L57" s="577"/>
      <c r="M57" s="577"/>
      <c r="N57" s="577"/>
      <c r="O57" s="577"/>
      <c r="P57" s="577"/>
      <c r="Q57" s="577"/>
      <c r="R57" s="577"/>
      <c r="S57" s="577"/>
      <c r="T57" s="577"/>
      <c r="U57" s="577"/>
      <c r="V57" s="577"/>
      <c r="W57" s="577"/>
      <c r="X57" s="577"/>
      <c r="Y57" s="577"/>
      <c r="Z57" s="577"/>
      <c r="AA57" s="577"/>
      <c r="AB57" s="577"/>
      <c r="AC57" s="577"/>
      <c r="AD57" s="577"/>
      <c r="AE57" s="577"/>
    </row>
    <row r="58" spans="2:31" s="543" customFormat="1" ht="12.75" customHeight="1">
      <c r="B58" s="579" t="s">
        <v>421</v>
      </c>
      <c r="C58" s="599"/>
      <c r="D58" s="580"/>
      <c r="E58" s="580">
        <f t="shared" ref="E58:AE58" si="37">E37*E44+E38*E48</f>
        <v>0</v>
      </c>
      <c r="F58" s="580">
        <f t="shared" si="37"/>
        <v>0</v>
      </c>
      <c r="G58" s="580">
        <f t="shared" si="37"/>
        <v>0</v>
      </c>
      <c r="H58" s="580">
        <f t="shared" si="37"/>
        <v>0</v>
      </c>
      <c r="I58" s="580">
        <f t="shared" si="37"/>
        <v>331.80796196527888</v>
      </c>
      <c r="J58" s="580">
        <f t="shared" si="37"/>
        <v>4185.342680239537</v>
      </c>
      <c r="K58" s="580">
        <f t="shared" si="37"/>
        <v>7095.3612216979254</v>
      </c>
      <c r="L58" s="580">
        <f t="shared" si="37"/>
        <v>9717.0465119637247</v>
      </c>
      <c r="M58" s="580">
        <f t="shared" si="37"/>
        <v>11732.160798634757</v>
      </c>
      <c r="N58" s="580">
        <f t="shared" si="37"/>
        <v>12585.365850262746</v>
      </c>
      <c r="O58" s="580">
        <f t="shared" si="37"/>
        <v>13080.889459885142</v>
      </c>
      <c r="P58" s="580">
        <f t="shared" si="37"/>
        <v>13595.923320589203</v>
      </c>
      <c r="Q58" s="580">
        <f t="shared" si="37"/>
        <v>13556.389830798169</v>
      </c>
      <c r="R58" s="580">
        <f t="shared" si="37"/>
        <v>13816.550508041022</v>
      </c>
      <c r="S58" s="580">
        <f t="shared" si="37"/>
        <v>14081.70392884084</v>
      </c>
      <c r="T58" s="580">
        <f t="shared" si="37"/>
        <v>5683.9389738373175</v>
      </c>
      <c r="U58" s="580">
        <f t="shared" si="37"/>
        <v>1147.1325636998474</v>
      </c>
      <c r="V58" s="580">
        <f t="shared" si="37"/>
        <v>18.663860838422636</v>
      </c>
      <c r="W58" s="580">
        <f t="shared" si="37"/>
        <v>19.022038991772806</v>
      </c>
      <c r="X58" s="580">
        <f t="shared" si="37"/>
        <v>19.387090942063921</v>
      </c>
      <c r="Y58" s="580">
        <f t="shared" si="37"/>
        <v>19.759148604333074</v>
      </c>
      <c r="Z58" s="580">
        <f t="shared" si="37"/>
        <v>20.138346425198833</v>
      </c>
      <c r="AA58" s="580">
        <f t="shared" si="37"/>
        <v>20.524821431444828</v>
      </c>
      <c r="AB58" s="580">
        <f t="shared" si="37"/>
        <v>20.918713279535691</v>
      </c>
      <c r="AC58" s="580">
        <f t="shared" si="37"/>
        <v>21.320164306083264</v>
      </c>
      <c r="AD58" s="580">
        <f t="shared" si="37"/>
        <v>21.729319579281309</v>
      </c>
      <c r="AE58" s="580">
        <f t="shared" si="37"/>
        <v>22.1463269513273</v>
      </c>
    </row>
    <row r="59" spans="2:31" s="556" customFormat="1" ht="12.75" customHeight="1">
      <c r="B59" s="567" t="s">
        <v>422</v>
      </c>
      <c r="C59" s="569"/>
      <c r="D59" s="570"/>
      <c r="E59" s="582">
        <f>30000*6/12</f>
        <v>15000</v>
      </c>
      <c r="F59" s="582">
        <f>30000*(1+((0.02)/4))</f>
        <v>30149.999999999996</v>
      </c>
      <c r="G59" s="582">
        <f>30000*1.02</f>
        <v>30600</v>
      </c>
      <c r="H59" s="582">
        <f>G59*1.02</f>
        <v>31212</v>
      </c>
      <c r="I59" s="582">
        <f>+I30*1.1</f>
        <v>36661.917600000008</v>
      </c>
      <c r="J59" s="582">
        <f>+J30*1.1</f>
        <v>37395.155952000008</v>
      </c>
      <c r="K59" s="582">
        <f t="shared" ref="K59:P59" si="38">+K30*1.15</f>
        <v>40658.733198720001</v>
      </c>
      <c r="L59" s="582">
        <f t="shared" si="38"/>
        <v>41471.907862694396</v>
      </c>
      <c r="M59" s="582">
        <f t="shared" si="38"/>
        <v>42301.346019948287</v>
      </c>
      <c r="N59" s="582">
        <f t="shared" si="38"/>
        <v>43147.372940347246</v>
      </c>
      <c r="O59" s="582">
        <f t="shared" si="38"/>
        <v>44010.320399154196</v>
      </c>
      <c r="P59" s="582">
        <f t="shared" si="38"/>
        <v>44890.526807137278</v>
      </c>
      <c r="Q59" s="582">
        <f>P59*0.975</f>
        <v>43768.263636958844</v>
      </c>
      <c r="R59" s="582">
        <f t="shared" ref="R59:AE59" si="39">Q59*0.99</f>
        <v>43330.581000589256</v>
      </c>
      <c r="S59" s="582">
        <f t="shared" si="39"/>
        <v>42897.275190583365</v>
      </c>
      <c r="T59" s="582">
        <f t="shared" si="39"/>
        <v>42468.302438677529</v>
      </c>
      <c r="U59" s="582">
        <f t="shared" si="39"/>
        <v>42043.619414290755</v>
      </c>
      <c r="V59" s="582">
        <f t="shared" si="39"/>
        <v>41623.183220147846</v>
      </c>
      <c r="W59" s="582">
        <f t="shared" si="39"/>
        <v>41206.95138794637</v>
      </c>
      <c r="X59" s="582">
        <f t="shared" si="39"/>
        <v>40794.881874066908</v>
      </c>
      <c r="Y59" s="582">
        <f t="shared" si="39"/>
        <v>40386.933055326241</v>
      </c>
      <c r="Z59" s="582">
        <f t="shared" si="39"/>
        <v>39983.063724772976</v>
      </c>
      <c r="AA59" s="582">
        <f t="shared" si="39"/>
        <v>39583.233087525245</v>
      </c>
      <c r="AB59" s="582">
        <f t="shared" si="39"/>
        <v>39187.400756649993</v>
      </c>
      <c r="AC59" s="582">
        <f t="shared" si="39"/>
        <v>38795.526749083496</v>
      </c>
      <c r="AD59" s="582">
        <f t="shared" si="39"/>
        <v>38407.571481592662</v>
      </c>
      <c r="AE59" s="582">
        <f t="shared" si="39"/>
        <v>38023.495766776738</v>
      </c>
    </row>
    <row r="60" spans="2:31" s="556" customFormat="1" ht="12.75" customHeight="1">
      <c r="B60" s="159" t="s">
        <v>430</v>
      </c>
      <c r="C60" s="162"/>
      <c r="D60" s="174"/>
      <c r="E60" s="175">
        <f>E59*E58/1000000</f>
        <v>0</v>
      </c>
      <c r="F60" s="175">
        <f t="shared" ref="F60:AA60" si="40">F59*F58/1000000</f>
        <v>0</v>
      </c>
      <c r="G60" s="175">
        <f t="shared" si="40"/>
        <v>0</v>
      </c>
      <c r="H60" s="175">
        <f t="shared" si="40"/>
        <v>0</v>
      </c>
      <c r="I60" s="175">
        <f t="shared" si="40"/>
        <v>12.16471616059499</v>
      </c>
      <c r="J60" s="175">
        <f t="shared" si="40"/>
        <v>156.51154224011918</v>
      </c>
      <c r="K60" s="175">
        <f t="shared" si="40"/>
        <v>288.48839886155992</v>
      </c>
      <c r="L60" s="175">
        <f t="shared" si="40"/>
        <v>402.98445764167553</v>
      </c>
      <c r="M60" s="175">
        <f t="shared" si="40"/>
        <v>496.28619350472172</v>
      </c>
      <c r="N60" s="175">
        <f t="shared" si="40"/>
        <v>543.02547393199711</v>
      </c>
      <c r="O60" s="175">
        <f t="shared" si="40"/>
        <v>575.69413623546427</v>
      </c>
      <c r="P60" s="175">
        <f t="shared" si="40"/>
        <v>610.32816029069249</v>
      </c>
      <c r="Q60" s="175">
        <f t="shared" si="40"/>
        <v>593.33964407976214</v>
      </c>
      <c r="R60" s="175">
        <f t="shared" si="40"/>
        <v>598.67916093740416</v>
      </c>
      <c r="S60" s="175">
        <f t="shared" si="40"/>
        <v>604.06672858780439</v>
      </c>
      <c r="T60" s="175">
        <f t="shared" si="40"/>
        <v>241.38723938390962</v>
      </c>
      <c r="U60" s="175">
        <f t="shared" si="40"/>
        <v>48.22960492593603</v>
      </c>
      <c r="V60" s="175">
        <f t="shared" si="40"/>
        <v>0.7768492992730075</v>
      </c>
      <c r="W60" s="175">
        <f t="shared" si="40"/>
        <v>0.78384023603360242</v>
      </c>
      <c r="X60" s="175">
        <f t="shared" si="40"/>
        <v>0.79089408486329016</v>
      </c>
      <c r="Y60" s="175">
        <f t="shared" si="40"/>
        <v>0.79801141191344283</v>
      </c>
      <c r="Z60" s="175">
        <f t="shared" si="40"/>
        <v>0.80519278843027897</v>
      </c>
      <c r="AA60" s="175">
        <f t="shared" si="40"/>
        <v>0.81243879080071413</v>
      </c>
      <c r="AB60" s="175">
        <f>AB59*AB58/1000000</f>
        <v>0.81975000059862124</v>
      </c>
      <c r="AC60" s="175">
        <f>AC59*AC58/1000000</f>
        <v>0.82712700463150834</v>
      </c>
      <c r="AD60" s="175">
        <f>AD59*AD58/1000000</f>
        <v>0.83457039498761787</v>
      </c>
      <c r="AE60" s="175">
        <f>AE59*AE58/1000000</f>
        <v>0.8420807690834472</v>
      </c>
    </row>
    <row r="61" spans="2:31" s="546" customFormat="1" ht="12.75" customHeight="1">
      <c r="B61" s="597"/>
      <c r="C61" s="598"/>
      <c r="D61" s="570"/>
      <c r="E61" s="571"/>
      <c r="F61" s="571"/>
      <c r="G61" s="571"/>
      <c r="H61" s="571"/>
      <c r="I61" s="571"/>
      <c r="J61" s="571"/>
      <c r="K61" s="571"/>
      <c r="L61" s="566"/>
      <c r="M61" s="566"/>
      <c r="N61" s="566"/>
      <c r="O61" s="566"/>
      <c r="P61" s="566"/>
      <c r="Q61" s="566"/>
      <c r="R61" s="566"/>
      <c r="S61" s="566"/>
      <c r="T61" s="566"/>
      <c r="U61" s="566"/>
      <c r="V61" s="566"/>
      <c r="W61" s="566"/>
      <c r="X61" s="566"/>
      <c r="Y61" s="566"/>
      <c r="Z61" s="566"/>
      <c r="AA61" s="566"/>
      <c r="AB61" s="566"/>
      <c r="AC61" s="566"/>
      <c r="AD61" s="566"/>
      <c r="AE61" s="566"/>
    </row>
    <row r="62" spans="2:31" s="556" customFormat="1" ht="12.75" customHeight="1">
      <c r="C62" s="566"/>
      <c r="D62" s="566"/>
      <c r="E62" s="566"/>
      <c r="F62" s="566"/>
      <c r="G62" s="566"/>
      <c r="H62" s="566"/>
      <c r="I62" s="566"/>
      <c r="J62" s="566"/>
      <c r="K62" s="566"/>
      <c r="L62" s="566"/>
      <c r="M62" s="566"/>
      <c r="N62" s="566"/>
      <c r="O62" s="566"/>
      <c r="P62" s="566"/>
      <c r="Q62" s="566"/>
      <c r="R62" s="566"/>
      <c r="S62" s="566"/>
      <c r="T62" s="566"/>
      <c r="U62" s="566"/>
      <c r="V62" s="566"/>
      <c r="W62" s="566"/>
      <c r="X62" s="566"/>
      <c r="Y62" s="566"/>
      <c r="Z62" s="566"/>
      <c r="AA62" s="566"/>
      <c r="AB62" s="566"/>
      <c r="AC62" s="566"/>
      <c r="AD62" s="566"/>
      <c r="AE62" s="566"/>
    </row>
    <row r="63" spans="2:31" s="556" customFormat="1" ht="12.75" customHeight="1">
      <c r="C63" s="566"/>
      <c r="D63" s="566"/>
      <c r="E63" s="566"/>
      <c r="F63" s="566"/>
      <c r="G63" s="566"/>
      <c r="H63" s="566"/>
      <c r="I63" s="566"/>
      <c r="J63" s="566"/>
      <c r="K63" s="566"/>
      <c r="L63" s="566"/>
      <c r="M63" s="566"/>
      <c r="N63" s="566"/>
      <c r="O63" s="566"/>
      <c r="P63" s="566"/>
      <c r="Q63" s="566"/>
      <c r="R63" s="566"/>
      <c r="S63" s="566"/>
      <c r="T63" s="566"/>
      <c r="U63" s="566"/>
      <c r="V63" s="566"/>
      <c r="W63" s="566"/>
      <c r="X63" s="566"/>
      <c r="Y63" s="566"/>
      <c r="Z63" s="566"/>
      <c r="AA63" s="566"/>
      <c r="AB63" s="566"/>
      <c r="AC63" s="566"/>
      <c r="AD63" s="566"/>
      <c r="AE63" s="566"/>
    </row>
    <row r="64" spans="2:31" s="556" customFormat="1" ht="12.75" customHeight="1">
      <c r="C64" s="566"/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6"/>
      <c r="O64" s="566"/>
      <c r="P64" s="566"/>
      <c r="Q64" s="566"/>
      <c r="R64" s="566"/>
      <c r="S64" s="566"/>
      <c r="T64" s="566"/>
      <c r="U64" s="566"/>
      <c r="V64" s="566"/>
      <c r="W64" s="566"/>
      <c r="X64" s="566"/>
      <c r="Y64" s="566"/>
      <c r="Z64" s="566"/>
      <c r="AA64" s="566"/>
      <c r="AB64" s="566"/>
      <c r="AC64" s="566"/>
      <c r="AD64" s="566"/>
      <c r="AE64" s="566"/>
    </row>
    <row r="65" spans="2:31" s="556" customFormat="1" ht="12.75" customHeight="1" thickBot="1">
      <c r="C65" s="566"/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</row>
    <row r="66" spans="2:31" s="539" customFormat="1">
      <c r="B66" s="469" t="s">
        <v>431</v>
      </c>
      <c r="C66" s="542"/>
      <c r="D66" s="542"/>
      <c r="E66" s="542"/>
      <c r="F66" s="542"/>
      <c r="G66" s="542"/>
      <c r="H66" s="542"/>
      <c r="I66" s="542"/>
      <c r="J66" s="542"/>
      <c r="K66" s="542"/>
      <c r="L66" s="542"/>
      <c r="M66" s="542"/>
      <c r="N66" s="542"/>
      <c r="O66" s="542"/>
      <c r="P66" s="542"/>
      <c r="Q66" s="542"/>
      <c r="R66" s="542"/>
      <c r="S66" s="542"/>
      <c r="T66" s="542"/>
      <c r="U66" s="542"/>
      <c r="V66" s="542"/>
      <c r="W66" s="542"/>
      <c r="X66" s="542"/>
      <c r="Y66" s="542"/>
      <c r="Z66" s="542"/>
      <c r="AA66" s="542"/>
      <c r="AB66" s="542"/>
      <c r="AC66" s="542"/>
      <c r="AD66" s="542"/>
      <c r="AE66" s="542"/>
    </row>
    <row r="67" spans="2:31" s="556" customFormat="1" ht="12.75" hidden="1" customHeight="1" outlineLevel="1">
      <c r="C67" s="566"/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6"/>
      <c r="O67" s="566"/>
      <c r="P67" s="566"/>
      <c r="Q67" s="566"/>
      <c r="R67" s="566"/>
      <c r="S67" s="566"/>
      <c r="T67" s="566"/>
      <c r="U67" s="566"/>
      <c r="V67" s="566"/>
      <c r="W67" s="566"/>
      <c r="X67" s="566"/>
      <c r="Y67" s="566"/>
      <c r="Z67" s="566"/>
      <c r="AA67" s="566"/>
      <c r="AB67" s="566"/>
      <c r="AC67" s="566"/>
      <c r="AD67" s="566"/>
      <c r="AE67" s="566"/>
    </row>
    <row r="68" spans="2:31" s="556" customFormat="1" ht="12.75" hidden="1" customHeight="1" outlineLevel="1">
      <c r="C68" s="566"/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6"/>
      <c r="O68" s="566"/>
      <c r="P68" s="566"/>
      <c r="Q68" s="566"/>
      <c r="R68" s="566"/>
      <c r="S68" s="566"/>
      <c r="T68" s="566"/>
      <c r="U68" s="566"/>
      <c r="V68" s="566"/>
      <c r="W68" s="566"/>
      <c r="X68" s="566"/>
      <c r="Y68" s="566"/>
      <c r="Z68" s="566"/>
      <c r="AA68" s="566"/>
      <c r="AB68" s="566"/>
      <c r="AC68" s="566"/>
      <c r="AD68" s="566"/>
      <c r="AE68" s="566"/>
    </row>
    <row r="69" spans="2:31" s="539" customFormat="1" ht="12.75" hidden="1" customHeight="1" outlineLevel="1" thickBot="1">
      <c r="B69" s="539" t="s">
        <v>73</v>
      </c>
      <c r="C69" s="540"/>
      <c r="D69" s="540"/>
      <c r="E69" s="540"/>
      <c r="F69" s="540"/>
      <c r="G69" s="540"/>
      <c r="H69" s="540"/>
      <c r="I69" s="166" t="s">
        <v>126</v>
      </c>
      <c r="J69" s="166" t="s">
        <v>72</v>
      </c>
      <c r="K69" s="540"/>
      <c r="L69" s="540"/>
      <c r="M69" s="540"/>
      <c r="N69" s="540"/>
      <c r="O69" s="540"/>
      <c r="P69" s="540"/>
      <c r="Q69" s="540"/>
      <c r="R69" s="540"/>
      <c r="S69" s="540"/>
      <c r="T69" s="540"/>
      <c r="U69" s="540"/>
      <c r="V69" s="540"/>
      <c r="W69" s="540"/>
      <c r="X69" s="540"/>
      <c r="Y69" s="540"/>
      <c r="Z69" s="540"/>
      <c r="AA69" s="540"/>
      <c r="AB69" s="540"/>
      <c r="AC69" s="540"/>
      <c r="AD69" s="540"/>
      <c r="AE69" s="540"/>
    </row>
    <row r="70" spans="2:31" s="539" customFormat="1" ht="12.75" hidden="1" customHeight="1" outlineLevel="1" thickBot="1">
      <c r="B70" s="539" t="s">
        <v>122</v>
      </c>
      <c r="C70" s="540"/>
      <c r="D70" s="540"/>
      <c r="E70" s="540"/>
      <c r="F70" s="540"/>
      <c r="G70" s="540"/>
      <c r="H70" s="600">
        <f t="shared" ref="H70:H77" si="41">I70/28</f>
        <v>419.48</v>
      </c>
      <c r="I70" s="35">
        <v>11745.44</v>
      </c>
      <c r="J70" s="167">
        <v>41547</v>
      </c>
      <c r="K70" s="601">
        <f t="shared" ref="K70:K76" si="42">I70/I71-1</f>
        <v>2.9999982461278885E-2</v>
      </c>
      <c r="L70" s="540"/>
      <c r="M70" s="540"/>
      <c r="N70" s="540"/>
      <c r="O70" s="540"/>
      <c r="P70" s="540"/>
      <c r="Q70" s="540"/>
      <c r="R70" s="540"/>
      <c r="S70" s="540"/>
      <c r="T70" s="540"/>
      <c r="U70" s="540"/>
      <c r="V70" s="540"/>
      <c r="W70" s="540"/>
      <c r="X70" s="540"/>
      <c r="Y70" s="540"/>
      <c r="Z70" s="540"/>
      <c r="AA70" s="540"/>
      <c r="AB70" s="540"/>
      <c r="AC70" s="540"/>
      <c r="AD70" s="540"/>
      <c r="AE70" s="540"/>
    </row>
    <row r="71" spans="2:31" s="539" customFormat="1" ht="12.75" hidden="1" customHeight="1" outlineLevel="1" thickBot="1">
      <c r="B71" s="539" t="s">
        <v>74</v>
      </c>
      <c r="C71" s="540"/>
      <c r="D71" s="540"/>
      <c r="E71" s="540"/>
      <c r="F71" s="540"/>
      <c r="G71" s="540">
        <f>30*7/28</f>
        <v>7.5</v>
      </c>
      <c r="H71" s="600">
        <f t="shared" si="41"/>
        <v>407.26214285714286</v>
      </c>
      <c r="I71" s="35">
        <v>11403.34</v>
      </c>
      <c r="J71" s="167">
        <v>41362</v>
      </c>
      <c r="K71" s="601">
        <f t="shared" si="42"/>
        <v>3.0000361297781497E-2</v>
      </c>
      <c r="L71" s="540"/>
      <c r="M71" s="540"/>
      <c r="N71" s="540"/>
      <c r="O71" s="540"/>
      <c r="P71" s="540"/>
      <c r="Q71" s="540"/>
      <c r="R71" s="540"/>
      <c r="S71" s="540"/>
      <c r="T71" s="540"/>
      <c r="U71" s="540"/>
      <c r="V71" s="540"/>
      <c r="W71" s="540"/>
      <c r="X71" s="540"/>
      <c r="Y71" s="540"/>
      <c r="Z71" s="540"/>
      <c r="AA71" s="540"/>
      <c r="AB71" s="540"/>
      <c r="AC71" s="540"/>
      <c r="AD71" s="540"/>
      <c r="AE71" s="540"/>
    </row>
    <row r="72" spans="2:31" s="539" customFormat="1" ht="12.75" hidden="1" customHeight="1" outlineLevel="1" thickBot="1">
      <c r="B72" s="539" t="s">
        <v>60</v>
      </c>
      <c r="C72" s="540"/>
      <c r="D72" s="540"/>
      <c r="E72" s="540"/>
      <c r="F72" s="540"/>
      <c r="G72" s="540">
        <v>25</v>
      </c>
      <c r="H72" s="600">
        <f t="shared" si="41"/>
        <v>395.40000000000003</v>
      </c>
      <c r="I72" s="35">
        <v>11071.2</v>
      </c>
      <c r="J72" s="167">
        <v>41213</v>
      </c>
      <c r="K72" s="601">
        <f t="shared" si="42"/>
        <v>5.9999827660986105E-2</v>
      </c>
      <c r="L72" s="540"/>
      <c r="M72" s="540"/>
      <c r="N72" s="540"/>
      <c r="O72" s="540"/>
      <c r="P72" s="540"/>
      <c r="Q72" s="540"/>
      <c r="R72" s="540"/>
      <c r="S72" s="540"/>
      <c r="T72" s="540"/>
      <c r="U72" s="540"/>
      <c r="V72" s="540"/>
      <c r="W72" s="540"/>
      <c r="X72" s="540"/>
      <c r="Y72" s="540"/>
      <c r="Z72" s="540"/>
      <c r="AA72" s="540"/>
      <c r="AB72" s="540"/>
      <c r="AC72" s="540"/>
      <c r="AD72" s="540"/>
      <c r="AE72" s="540"/>
    </row>
    <row r="73" spans="2:31" s="539" customFormat="1" ht="12.75" hidden="1" customHeight="1" outlineLevel="1" thickBot="1">
      <c r="B73" s="539" t="s">
        <v>75</v>
      </c>
      <c r="C73" s="540"/>
      <c r="D73" s="540"/>
      <c r="E73" s="540"/>
      <c r="F73" s="540"/>
      <c r="G73" s="600">
        <f>H70*0.9</f>
        <v>377.53200000000004</v>
      </c>
      <c r="H73" s="600">
        <f t="shared" si="41"/>
        <v>373.0189285714286</v>
      </c>
      <c r="I73" s="35">
        <v>10444.530000000001</v>
      </c>
      <c r="J73" s="167">
        <v>40875</v>
      </c>
      <c r="K73" s="601">
        <f t="shared" si="42"/>
        <v>6.0000020297706458E-2</v>
      </c>
      <c r="L73" s="540"/>
      <c r="M73" s="540"/>
      <c r="N73" s="540"/>
      <c r="O73" s="540"/>
      <c r="P73" s="540"/>
      <c r="Q73" s="540"/>
      <c r="R73" s="540"/>
      <c r="S73" s="540"/>
      <c r="T73" s="540"/>
      <c r="U73" s="540"/>
      <c r="V73" s="540"/>
      <c r="W73" s="540"/>
      <c r="X73" s="540"/>
      <c r="Y73" s="540"/>
      <c r="Z73" s="540"/>
      <c r="AA73" s="540"/>
      <c r="AB73" s="540"/>
      <c r="AC73" s="540"/>
      <c r="AD73" s="540"/>
      <c r="AE73" s="540"/>
    </row>
    <row r="74" spans="2:31" s="539" customFormat="1" ht="12.75" hidden="1" customHeight="1" outlineLevel="1" thickBot="1">
      <c r="C74" s="540"/>
      <c r="D74" s="540"/>
      <c r="E74" s="540"/>
      <c r="F74" s="540"/>
      <c r="G74" s="540"/>
      <c r="H74" s="600">
        <f t="shared" si="41"/>
        <v>351.90464285714285</v>
      </c>
      <c r="I74" s="35">
        <v>9853.33</v>
      </c>
      <c r="J74" s="167">
        <v>40522</v>
      </c>
      <c r="K74" s="601">
        <f t="shared" si="42"/>
        <v>3.998636336769934E-2</v>
      </c>
      <c r="L74" s="540"/>
      <c r="M74" s="540"/>
      <c r="N74" s="540"/>
      <c r="O74" s="540"/>
      <c r="P74" s="540"/>
      <c r="Q74" s="540"/>
      <c r="R74" s="540"/>
      <c r="S74" s="540"/>
      <c r="T74" s="540"/>
      <c r="U74" s="540"/>
      <c r="V74" s="540"/>
      <c r="W74" s="540"/>
      <c r="X74" s="540"/>
      <c r="Y74" s="540"/>
      <c r="Z74" s="540"/>
      <c r="AA74" s="540"/>
      <c r="AB74" s="540"/>
      <c r="AC74" s="540"/>
      <c r="AD74" s="540"/>
      <c r="AE74" s="540"/>
    </row>
    <row r="75" spans="2:31" s="539" customFormat="1" ht="12.75" hidden="1" customHeight="1" outlineLevel="1" thickBot="1">
      <c r="C75" s="540"/>
      <c r="D75" s="540"/>
      <c r="E75" s="540"/>
      <c r="F75" s="540"/>
      <c r="G75" s="540"/>
      <c r="H75" s="600">
        <f t="shared" si="41"/>
        <v>338.37428571428569</v>
      </c>
      <c r="I75" s="35">
        <v>9474.48</v>
      </c>
      <c r="J75" s="167">
        <v>40182</v>
      </c>
      <c r="K75" s="601">
        <f t="shared" si="42"/>
        <v>8.898814518186815E-2</v>
      </c>
      <c r="L75" s="540"/>
      <c r="M75" s="540"/>
      <c r="N75" s="540"/>
      <c r="O75" s="540"/>
      <c r="P75" s="540"/>
      <c r="Q75" s="540"/>
      <c r="R75" s="540"/>
      <c r="S75" s="540"/>
      <c r="T75" s="540"/>
      <c r="U75" s="540"/>
      <c r="V75" s="540"/>
      <c r="W75" s="540"/>
      <c r="X75" s="540"/>
      <c r="Y75" s="540"/>
      <c r="Z75" s="540"/>
      <c r="AA75" s="540"/>
      <c r="AB75" s="540"/>
      <c r="AC75" s="540"/>
      <c r="AD75" s="540"/>
      <c r="AE75" s="540"/>
    </row>
    <row r="76" spans="2:31" s="539" customFormat="1" ht="12.75" hidden="1" customHeight="1" outlineLevel="1" thickBot="1">
      <c r="C76" s="540"/>
      <c r="D76" s="540"/>
      <c r="E76" s="540"/>
      <c r="F76" s="540"/>
      <c r="G76" s="540"/>
      <c r="H76" s="600">
        <f t="shared" si="41"/>
        <v>310.72357142857146</v>
      </c>
      <c r="I76" s="35">
        <v>8700.26</v>
      </c>
      <c r="J76" s="167">
        <v>39938</v>
      </c>
      <c r="K76" s="601">
        <f t="shared" si="42"/>
        <v>9.9400528707396241E-2</v>
      </c>
      <c r="L76" s="540"/>
      <c r="M76" s="540"/>
      <c r="N76" s="540"/>
      <c r="O76" s="540"/>
      <c r="P76" s="540"/>
      <c r="Q76" s="540"/>
      <c r="R76" s="540"/>
      <c r="S76" s="540"/>
      <c r="T76" s="540"/>
      <c r="U76" s="540"/>
      <c r="V76" s="540"/>
      <c r="W76" s="540"/>
      <c r="X76" s="540"/>
      <c r="Y76" s="540"/>
      <c r="Z76" s="540"/>
      <c r="AA76" s="540"/>
      <c r="AB76" s="540"/>
      <c r="AC76" s="540"/>
      <c r="AD76" s="540"/>
      <c r="AE76" s="540"/>
    </row>
    <row r="77" spans="2:31" s="539" customFormat="1" ht="12.75" hidden="1" customHeight="1" outlineLevel="1" thickBot="1">
      <c r="C77" s="540"/>
      <c r="D77" s="540"/>
      <c r="E77" s="540"/>
      <c r="F77" s="540"/>
      <c r="G77" s="540"/>
      <c r="H77" s="600">
        <f t="shared" si="41"/>
        <v>282.63</v>
      </c>
      <c r="I77" s="35">
        <v>7913.64</v>
      </c>
      <c r="J77" s="167">
        <v>39904</v>
      </c>
      <c r="K77" s="540"/>
      <c r="L77" s="540"/>
      <c r="M77" s="540"/>
      <c r="N77" s="540"/>
      <c r="O77" s="540"/>
      <c r="P77" s="540"/>
      <c r="Q77" s="540"/>
      <c r="R77" s="540"/>
      <c r="S77" s="540"/>
      <c r="T77" s="540"/>
      <c r="U77" s="540"/>
      <c r="V77" s="540"/>
      <c r="W77" s="540"/>
      <c r="X77" s="540"/>
      <c r="Y77" s="540"/>
      <c r="Z77" s="540"/>
      <c r="AA77" s="540"/>
      <c r="AB77" s="540"/>
      <c r="AC77" s="540"/>
      <c r="AD77" s="540"/>
      <c r="AE77" s="540"/>
    </row>
    <row r="78" spans="2:31" s="539" customFormat="1" ht="12.75" hidden="1" customHeight="1" outlineLevel="1">
      <c r="C78" s="540"/>
      <c r="D78" s="540"/>
      <c r="E78" s="540"/>
      <c r="F78" s="540"/>
      <c r="G78" s="540"/>
      <c r="H78" s="540"/>
      <c r="I78" s="540"/>
      <c r="J78" s="540"/>
      <c r="K78" s="540"/>
      <c r="L78" s="540"/>
      <c r="M78" s="540"/>
      <c r="N78" s="540"/>
      <c r="O78" s="540"/>
      <c r="P78" s="540"/>
      <c r="Q78" s="540"/>
      <c r="R78" s="540"/>
      <c r="S78" s="540"/>
      <c r="T78" s="540"/>
      <c r="U78" s="540"/>
      <c r="V78" s="540"/>
      <c r="W78" s="540"/>
      <c r="X78" s="540"/>
      <c r="Y78" s="540"/>
      <c r="Z78" s="540"/>
      <c r="AA78" s="540"/>
      <c r="AB78" s="540"/>
      <c r="AC78" s="540"/>
      <c r="AD78" s="540"/>
      <c r="AE78" s="540"/>
    </row>
    <row r="79" spans="2:31" s="539" customFormat="1" ht="12.75" hidden="1" customHeight="1" outlineLevel="1">
      <c r="C79" s="540"/>
      <c r="D79" s="540"/>
      <c r="E79" s="540"/>
      <c r="F79" s="540"/>
      <c r="G79" s="540"/>
      <c r="H79" s="540"/>
      <c r="I79" s="540"/>
      <c r="J79" s="540"/>
      <c r="K79" s="540"/>
      <c r="L79" s="540"/>
      <c r="M79" s="540"/>
      <c r="N79" s="540"/>
      <c r="O79" s="540"/>
      <c r="P79" s="540"/>
      <c r="Q79" s="540"/>
      <c r="R79" s="540"/>
      <c r="S79" s="540"/>
      <c r="T79" s="540"/>
      <c r="U79" s="540"/>
      <c r="V79" s="540"/>
      <c r="W79" s="540"/>
      <c r="X79" s="540"/>
      <c r="Y79" s="540"/>
      <c r="Z79" s="540"/>
      <c r="AA79" s="540"/>
      <c r="AB79" s="540"/>
      <c r="AC79" s="540"/>
      <c r="AD79" s="540"/>
      <c r="AE79" s="540"/>
    </row>
    <row r="80" spans="2:31" s="539" customFormat="1" ht="12.75" hidden="1" customHeight="1" outlineLevel="1">
      <c r="C80" s="540"/>
      <c r="D80" s="540"/>
      <c r="E80" s="540"/>
      <c r="F80" s="540"/>
      <c r="G80" s="540"/>
      <c r="H80" s="540"/>
      <c r="I80" s="540"/>
      <c r="J80" s="540"/>
      <c r="K80" s="540"/>
      <c r="L80" s="540"/>
      <c r="M80" s="540"/>
      <c r="N80" s="540"/>
      <c r="O80" s="540"/>
      <c r="P80" s="540"/>
      <c r="Q80" s="540"/>
      <c r="R80" s="540"/>
      <c r="S80" s="540"/>
      <c r="T80" s="540"/>
      <c r="U80" s="540"/>
      <c r="V80" s="540"/>
      <c r="W80" s="540"/>
      <c r="X80" s="540"/>
      <c r="Y80" s="540"/>
      <c r="Z80" s="540"/>
      <c r="AA80" s="540"/>
      <c r="AB80" s="540"/>
      <c r="AC80" s="540"/>
      <c r="AD80" s="540"/>
      <c r="AE80" s="540"/>
    </row>
    <row r="81" spans="2:31" s="539" customFormat="1" ht="12.75" hidden="1" customHeight="1" outlineLevel="1">
      <c r="C81" s="540"/>
      <c r="D81" s="540"/>
      <c r="E81" s="540"/>
      <c r="F81" s="540"/>
      <c r="G81" s="540"/>
      <c r="H81" s="540"/>
      <c r="I81" s="540"/>
      <c r="J81" s="540"/>
      <c r="K81" s="540"/>
      <c r="L81" s="540"/>
      <c r="M81" s="540"/>
      <c r="N81" s="540"/>
      <c r="O81" s="540"/>
      <c r="P81" s="540"/>
      <c r="Q81" s="540"/>
      <c r="R81" s="540"/>
      <c r="S81" s="540"/>
      <c r="T81" s="540"/>
      <c r="U81" s="540"/>
      <c r="V81" s="540"/>
      <c r="W81" s="540"/>
      <c r="X81" s="540"/>
      <c r="Y81" s="540"/>
      <c r="Z81" s="540"/>
      <c r="AA81" s="540"/>
      <c r="AB81" s="540"/>
      <c r="AC81" s="540"/>
      <c r="AD81" s="540"/>
      <c r="AE81" s="540"/>
    </row>
    <row r="82" spans="2:31" s="539" customFormat="1" ht="12.75" hidden="1" customHeight="1" outlineLevel="1">
      <c r="C82" s="540"/>
      <c r="D82" s="540"/>
      <c r="E82" s="540"/>
      <c r="F82" s="540"/>
      <c r="G82" s="540"/>
      <c r="H82" s="540"/>
      <c r="I82" s="540"/>
      <c r="J82" s="540"/>
      <c r="K82" s="540"/>
      <c r="L82" s="540"/>
      <c r="M82" s="540"/>
      <c r="N82" s="540"/>
      <c r="O82" s="540"/>
      <c r="P82" s="540"/>
      <c r="Q82" s="540"/>
      <c r="R82" s="540"/>
      <c r="S82" s="540"/>
      <c r="T82" s="540"/>
      <c r="U82" s="540"/>
      <c r="V82" s="540"/>
      <c r="W82" s="540"/>
      <c r="X82" s="540"/>
      <c r="Y82" s="540"/>
      <c r="Z82" s="540"/>
      <c r="AA82" s="540"/>
      <c r="AB82" s="540"/>
      <c r="AC82" s="540"/>
      <c r="AD82" s="540"/>
      <c r="AE82" s="540"/>
    </row>
    <row r="83" spans="2:31" s="539" customFormat="1" ht="12.75" hidden="1" customHeight="1" outlineLevel="1">
      <c r="C83" s="540"/>
      <c r="D83" s="540"/>
      <c r="E83" s="540"/>
      <c r="F83" s="540"/>
      <c r="G83" s="540"/>
      <c r="H83" s="540"/>
      <c r="I83" s="540"/>
      <c r="J83" s="540"/>
      <c r="K83" s="540"/>
      <c r="L83" s="540"/>
      <c r="M83" s="540"/>
      <c r="N83" s="540"/>
      <c r="O83" s="540"/>
      <c r="P83" s="540"/>
      <c r="Q83" s="540"/>
      <c r="R83" s="540"/>
      <c r="S83" s="540"/>
      <c r="T83" s="540"/>
      <c r="U83" s="540"/>
      <c r="V83" s="540"/>
      <c r="W83" s="540"/>
      <c r="X83" s="540"/>
      <c r="Y83" s="540"/>
      <c r="Z83" s="540"/>
      <c r="AA83" s="540"/>
      <c r="AB83" s="540"/>
      <c r="AC83" s="540"/>
      <c r="AD83" s="540"/>
      <c r="AE83" s="540"/>
    </row>
    <row r="84" spans="2:31" s="539" customFormat="1" ht="12.75" hidden="1" customHeight="1" outlineLevel="1">
      <c r="B84" s="539" t="s">
        <v>40</v>
      </c>
      <c r="C84" s="540"/>
      <c r="D84" s="540"/>
      <c r="E84" s="540"/>
      <c r="F84" s="540"/>
      <c r="G84" s="540"/>
      <c r="H84" s="540"/>
      <c r="I84" s="540"/>
      <c r="J84" s="540"/>
      <c r="K84" s="540"/>
      <c r="L84" s="540"/>
      <c r="M84" s="540"/>
      <c r="N84" s="540"/>
      <c r="O84" s="540"/>
      <c r="P84" s="540"/>
      <c r="Q84" s="540"/>
      <c r="R84" s="540"/>
      <c r="S84" s="540"/>
      <c r="T84" s="540"/>
      <c r="U84" s="540"/>
      <c r="V84" s="540"/>
      <c r="W84" s="540"/>
      <c r="X84" s="540"/>
      <c r="Y84" s="540"/>
      <c r="Z84" s="540"/>
      <c r="AA84" s="540"/>
      <c r="AB84" s="540"/>
      <c r="AC84" s="540"/>
      <c r="AD84" s="540"/>
      <c r="AE84" s="540"/>
    </row>
    <row r="85" spans="2:31" s="539" customFormat="1" ht="12.75" hidden="1" customHeight="1" outlineLevel="1">
      <c r="B85" s="539" t="s">
        <v>129</v>
      </c>
      <c r="C85" s="540"/>
      <c r="D85" s="540"/>
      <c r="E85" s="540"/>
      <c r="F85" s="540"/>
      <c r="G85" s="540"/>
      <c r="H85" s="540"/>
      <c r="I85" s="540"/>
      <c r="J85" s="540" t="s">
        <v>62</v>
      </c>
      <c r="K85" s="540"/>
      <c r="L85" s="540"/>
      <c r="M85" s="540"/>
      <c r="N85" s="540"/>
      <c r="O85" s="540"/>
      <c r="P85" s="540"/>
      <c r="Q85" s="540"/>
      <c r="R85" s="540"/>
      <c r="S85" s="540"/>
      <c r="T85" s="540"/>
      <c r="U85" s="540"/>
      <c r="V85" s="540"/>
      <c r="W85" s="540"/>
      <c r="X85" s="540"/>
      <c r="Y85" s="540"/>
      <c r="Z85" s="540"/>
      <c r="AA85" s="540"/>
      <c r="AB85" s="540"/>
      <c r="AC85" s="540"/>
      <c r="AD85" s="540"/>
      <c r="AE85" s="540"/>
    </row>
    <row r="86" spans="2:31" s="539" customFormat="1" ht="12.75" hidden="1" customHeight="1" outlineLevel="1">
      <c r="C86" s="540"/>
      <c r="D86" s="540"/>
      <c r="E86" s="540"/>
      <c r="F86" s="540"/>
      <c r="G86" s="540"/>
      <c r="H86" s="540"/>
      <c r="I86" s="602">
        <v>41547</v>
      </c>
      <c r="J86" s="540">
        <v>562.73</v>
      </c>
      <c r="K86" s="601">
        <f t="shared" ref="K86:K92" si="43">J86/J87-1</f>
        <v>2.5009107468123792E-2</v>
      </c>
      <c r="L86" s="540"/>
      <c r="M86" s="540"/>
      <c r="N86" s="540"/>
      <c r="O86" s="540"/>
      <c r="P86" s="540"/>
      <c r="Q86" s="540"/>
      <c r="R86" s="540"/>
      <c r="S86" s="540"/>
      <c r="T86" s="540"/>
      <c r="U86" s="540"/>
      <c r="V86" s="540"/>
      <c r="W86" s="540"/>
      <c r="X86" s="540"/>
      <c r="Y86" s="540"/>
      <c r="Z86" s="540"/>
      <c r="AA86" s="540"/>
      <c r="AB86" s="540"/>
      <c r="AC86" s="540"/>
      <c r="AD86" s="540"/>
      <c r="AE86" s="540"/>
    </row>
    <row r="87" spans="2:31" s="539" customFormat="1" ht="12.75" hidden="1" customHeight="1" outlineLevel="1">
      <c r="B87" s="539" t="s">
        <v>59</v>
      </c>
      <c r="C87" s="540"/>
      <c r="D87" s="540"/>
      <c r="E87" s="540"/>
      <c r="F87" s="540"/>
      <c r="G87" s="540">
        <v>9</v>
      </c>
      <c r="H87" s="540"/>
      <c r="I87" s="602">
        <v>41183</v>
      </c>
      <c r="J87" s="540">
        <v>549</v>
      </c>
      <c r="K87" s="601">
        <f t="shared" si="43"/>
        <v>4.000909297567623E-2</v>
      </c>
      <c r="L87" s="540"/>
      <c r="M87" s="540"/>
      <c r="N87" s="540"/>
      <c r="O87" s="540"/>
      <c r="P87" s="540"/>
      <c r="Q87" s="540"/>
      <c r="R87" s="540"/>
      <c r="S87" s="540"/>
      <c r="T87" s="540"/>
      <c r="U87" s="540"/>
      <c r="V87" s="540"/>
      <c r="W87" s="540"/>
      <c r="X87" s="540"/>
      <c r="Y87" s="540"/>
      <c r="Z87" s="540"/>
      <c r="AA87" s="540"/>
      <c r="AB87" s="540"/>
      <c r="AC87" s="540"/>
      <c r="AD87" s="540"/>
      <c r="AE87" s="540"/>
    </row>
    <row r="88" spans="2:31" s="539" customFormat="1" ht="12.75" hidden="1" customHeight="1" outlineLevel="1">
      <c r="B88" s="539" t="s">
        <v>60</v>
      </c>
      <c r="C88" s="540"/>
      <c r="D88" s="540"/>
      <c r="E88" s="540"/>
      <c r="F88" s="540"/>
      <c r="G88" s="540">
        <v>7</v>
      </c>
      <c r="H88" s="540"/>
      <c r="I88" s="602">
        <v>40998</v>
      </c>
      <c r="J88" s="540">
        <v>527.88</v>
      </c>
      <c r="K88" s="601">
        <f t="shared" si="43"/>
        <v>2.5009708737864011E-2</v>
      </c>
      <c r="L88" s="540"/>
      <c r="M88" s="540"/>
      <c r="N88" s="540"/>
      <c r="O88" s="540"/>
      <c r="P88" s="540"/>
      <c r="Q88" s="540"/>
      <c r="R88" s="540"/>
      <c r="S88" s="540"/>
      <c r="T88" s="540"/>
      <c r="U88" s="540"/>
      <c r="V88" s="540"/>
      <c r="W88" s="540"/>
      <c r="X88" s="540"/>
      <c r="Y88" s="540"/>
      <c r="Z88" s="540"/>
      <c r="AA88" s="540"/>
      <c r="AB88" s="540"/>
      <c r="AC88" s="540"/>
      <c r="AD88" s="540"/>
      <c r="AE88" s="540"/>
    </row>
    <row r="89" spans="2:31" s="539" customFormat="1" ht="12.75" hidden="1" customHeight="1" outlineLevel="1">
      <c r="B89" s="539" t="s">
        <v>61</v>
      </c>
      <c r="C89" s="540"/>
      <c r="D89" s="540"/>
      <c r="E89" s="540"/>
      <c r="F89" s="540"/>
      <c r="G89" s="603">
        <f>J93*0.9</f>
        <v>419.91300000000001</v>
      </c>
      <c r="H89" s="540"/>
      <c r="I89" s="602">
        <v>40816</v>
      </c>
      <c r="J89" s="540">
        <v>515</v>
      </c>
      <c r="K89" s="601">
        <f t="shared" si="43"/>
        <v>2.4998009712602576E-2</v>
      </c>
      <c r="L89" s="540"/>
      <c r="M89" s="540"/>
      <c r="N89" s="540"/>
      <c r="O89" s="540"/>
      <c r="P89" s="540"/>
      <c r="Q89" s="540"/>
      <c r="R89" s="540"/>
      <c r="S89" s="540"/>
      <c r="T89" s="540"/>
      <c r="U89" s="540"/>
      <c r="V89" s="540"/>
      <c r="W89" s="540"/>
      <c r="X89" s="540"/>
      <c r="Y89" s="540"/>
      <c r="Z89" s="540"/>
      <c r="AA89" s="540"/>
      <c r="AB89" s="540"/>
      <c r="AC89" s="540"/>
      <c r="AD89" s="540"/>
      <c r="AE89" s="540"/>
    </row>
    <row r="90" spans="2:31" s="539" customFormat="1" ht="12.75" hidden="1" customHeight="1" outlineLevel="1">
      <c r="B90" s="539" t="s">
        <v>63</v>
      </c>
      <c r="C90" s="540"/>
      <c r="D90" s="540"/>
      <c r="E90" s="540"/>
      <c r="F90" s="540"/>
      <c r="G90" s="540">
        <v>1.3</v>
      </c>
      <c r="H90" s="540"/>
      <c r="I90" s="602">
        <v>40451</v>
      </c>
      <c r="J90" s="540">
        <v>502.44</v>
      </c>
      <c r="K90" s="601">
        <f t="shared" si="43"/>
        <v>2.4990309879842521E-2</v>
      </c>
      <c r="L90" s="540"/>
      <c r="M90" s="540"/>
      <c r="N90" s="540"/>
      <c r="O90" s="540"/>
      <c r="P90" s="540"/>
      <c r="Q90" s="540"/>
      <c r="R90" s="540"/>
      <c r="S90" s="540"/>
      <c r="T90" s="540"/>
      <c r="U90" s="540"/>
      <c r="V90" s="540"/>
      <c r="W90" s="540"/>
      <c r="X90" s="540"/>
      <c r="Y90" s="540"/>
      <c r="Z90" s="540"/>
      <c r="AA90" s="540"/>
      <c r="AB90" s="540"/>
      <c r="AC90" s="540"/>
      <c r="AD90" s="540"/>
      <c r="AE90" s="540"/>
    </row>
    <row r="91" spans="2:31" s="539" customFormat="1" ht="12.75" hidden="1" customHeight="1" outlineLevel="1">
      <c r="B91" s="539" t="s">
        <v>64</v>
      </c>
      <c r="C91" s="540"/>
      <c r="D91" s="540"/>
      <c r="E91" s="540"/>
      <c r="F91" s="540"/>
      <c r="G91" s="604">
        <f>G90*G89*G88*G87</f>
        <v>34390.874700000008</v>
      </c>
      <c r="H91" s="540"/>
      <c r="I91" s="602">
        <v>40268</v>
      </c>
      <c r="J91" s="540">
        <v>490.19</v>
      </c>
      <c r="K91" s="601">
        <f t="shared" si="43"/>
        <v>2.5008886937247787E-2</v>
      </c>
      <c r="L91" s="540"/>
      <c r="M91" s="540"/>
      <c r="N91" s="540"/>
      <c r="O91" s="540"/>
      <c r="P91" s="540"/>
      <c r="Q91" s="540"/>
      <c r="R91" s="540"/>
      <c r="S91" s="540"/>
      <c r="T91" s="540"/>
      <c r="U91" s="540"/>
      <c r="V91" s="540"/>
      <c r="W91" s="540"/>
      <c r="X91" s="540"/>
      <c r="Y91" s="540"/>
      <c r="Z91" s="540"/>
      <c r="AA91" s="540"/>
      <c r="AB91" s="540"/>
      <c r="AC91" s="540"/>
      <c r="AD91" s="540"/>
      <c r="AE91" s="540"/>
    </row>
    <row r="92" spans="2:31" s="539" customFormat="1" ht="12.75" hidden="1" customHeight="1" outlineLevel="1">
      <c r="C92" s="540"/>
      <c r="D92" s="540"/>
      <c r="E92" s="540"/>
      <c r="F92" s="540"/>
      <c r="G92" s="540"/>
      <c r="H92" s="540"/>
      <c r="I92" s="602">
        <v>40086</v>
      </c>
      <c r="J92" s="540">
        <v>478.23</v>
      </c>
      <c r="K92" s="601">
        <f t="shared" si="43"/>
        <v>2.4990890970272517E-2</v>
      </c>
      <c r="L92" s="540"/>
      <c r="M92" s="540"/>
      <c r="N92" s="540"/>
      <c r="O92" s="540"/>
      <c r="P92" s="540"/>
      <c r="Q92" s="540"/>
      <c r="R92" s="540"/>
      <c r="S92" s="540"/>
      <c r="T92" s="540"/>
      <c r="U92" s="540"/>
      <c r="V92" s="540"/>
      <c r="W92" s="540"/>
      <c r="X92" s="540"/>
      <c r="Y92" s="540"/>
      <c r="Z92" s="540"/>
      <c r="AA92" s="540"/>
      <c r="AB92" s="540"/>
      <c r="AC92" s="540"/>
      <c r="AD92" s="540"/>
      <c r="AE92" s="540"/>
    </row>
    <row r="93" spans="2:31" s="539" customFormat="1" ht="12.75" hidden="1" customHeight="1" outlineLevel="1">
      <c r="C93" s="540"/>
      <c r="D93" s="540"/>
      <c r="E93" s="540"/>
      <c r="F93" s="540"/>
      <c r="G93" s="540"/>
      <c r="H93" s="540"/>
      <c r="I93" s="602">
        <v>39934</v>
      </c>
      <c r="J93" s="540">
        <v>466.57</v>
      </c>
      <c r="K93" s="540"/>
      <c r="L93" s="540"/>
      <c r="M93" s="540"/>
      <c r="N93" s="540"/>
      <c r="O93" s="540"/>
      <c r="P93" s="540"/>
      <c r="Q93" s="540"/>
      <c r="R93" s="540"/>
      <c r="S93" s="540"/>
      <c r="T93" s="540"/>
      <c r="U93" s="540"/>
      <c r="V93" s="540"/>
      <c r="W93" s="540"/>
      <c r="X93" s="540"/>
      <c r="Y93" s="540"/>
      <c r="Z93" s="540"/>
      <c r="AA93" s="540"/>
      <c r="AB93" s="540"/>
      <c r="AC93" s="540"/>
      <c r="AD93" s="540"/>
      <c r="AE93" s="540"/>
    </row>
    <row r="94" spans="2:31" s="539" customFormat="1" ht="12.75" hidden="1" customHeight="1" outlineLevel="1">
      <c r="C94" s="540"/>
      <c r="D94" s="540"/>
      <c r="E94" s="540"/>
      <c r="F94" s="540"/>
      <c r="G94" s="540"/>
      <c r="H94" s="540"/>
      <c r="I94" s="540"/>
      <c r="J94" s="540"/>
      <c r="K94" s="540"/>
      <c r="L94" s="540"/>
      <c r="M94" s="540"/>
      <c r="N94" s="540"/>
      <c r="O94" s="540"/>
      <c r="P94" s="540"/>
      <c r="Q94" s="540"/>
      <c r="R94" s="540"/>
      <c r="S94" s="540"/>
      <c r="T94" s="540"/>
      <c r="U94" s="540"/>
      <c r="V94" s="540"/>
      <c r="W94" s="540"/>
      <c r="X94" s="540"/>
      <c r="Y94" s="540"/>
      <c r="Z94" s="540"/>
      <c r="AA94" s="540"/>
      <c r="AB94" s="540"/>
      <c r="AC94" s="540"/>
      <c r="AD94" s="540"/>
      <c r="AE94" s="540"/>
    </row>
    <row r="95" spans="2:31" s="539" customFormat="1" ht="12.75" hidden="1" customHeight="1" outlineLevel="1">
      <c r="C95" s="540"/>
      <c r="D95" s="540"/>
      <c r="E95" s="540"/>
      <c r="F95" s="540"/>
      <c r="G95" s="540"/>
      <c r="H95" s="540"/>
      <c r="I95" s="540"/>
      <c r="J95" s="540"/>
      <c r="K95" s="540"/>
      <c r="L95" s="540"/>
      <c r="M95" s="540"/>
      <c r="N95" s="540"/>
      <c r="O95" s="540"/>
      <c r="P95" s="540"/>
      <c r="Q95" s="540"/>
      <c r="R95" s="540"/>
      <c r="S95" s="540"/>
      <c r="T95" s="540"/>
      <c r="U95" s="540"/>
      <c r="V95" s="540"/>
      <c r="W95" s="540"/>
      <c r="X95" s="540"/>
      <c r="Y95" s="540"/>
      <c r="Z95" s="540"/>
      <c r="AA95" s="540"/>
      <c r="AB95" s="540"/>
      <c r="AC95" s="540"/>
      <c r="AD95" s="540"/>
      <c r="AE95" s="540"/>
    </row>
    <row r="96" spans="2:31" s="539" customFormat="1" ht="12.75" hidden="1" customHeight="1" outlineLevel="1">
      <c r="C96" s="540"/>
      <c r="D96" s="540"/>
      <c r="E96" s="540"/>
      <c r="F96" s="540"/>
      <c r="G96" s="540"/>
      <c r="H96" s="540"/>
      <c r="I96" s="540"/>
      <c r="J96" s="540"/>
      <c r="K96" s="540"/>
      <c r="L96" s="540"/>
      <c r="M96" s="540"/>
      <c r="N96" s="540"/>
      <c r="O96" s="540"/>
      <c r="P96" s="540"/>
      <c r="Q96" s="540"/>
      <c r="R96" s="540"/>
      <c r="S96" s="540"/>
      <c r="T96" s="540"/>
      <c r="U96" s="540"/>
      <c r="V96" s="540"/>
      <c r="W96" s="540"/>
      <c r="X96" s="540"/>
      <c r="Y96" s="540"/>
      <c r="Z96" s="540"/>
      <c r="AA96" s="540"/>
      <c r="AB96" s="540"/>
      <c r="AC96" s="540"/>
      <c r="AD96" s="540"/>
      <c r="AE96" s="540"/>
    </row>
    <row r="97" spans="3:31" s="539" customFormat="1" ht="12.75" hidden="1" customHeight="1" outlineLevel="1">
      <c r="C97" s="540"/>
      <c r="D97" s="540"/>
      <c r="E97" s="540"/>
      <c r="F97" s="540"/>
      <c r="G97" s="540"/>
      <c r="H97" s="540"/>
      <c r="I97" s="540"/>
      <c r="J97" s="540"/>
      <c r="K97" s="540"/>
      <c r="L97" s="540"/>
      <c r="M97" s="540"/>
      <c r="N97" s="540"/>
      <c r="O97" s="540"/>
      <c r="P97" s="540"/>
      <c r="Q97" s="540"/>
      <c r="R97" s="540"/>
      <c r="S97" s="540"/>
      <c r="T97" s="540"/>
      <c r="U97" s="540"/>
      <c r="V97" s="540"/>
      <c r="W97" s="540"/>
      <c r="X97" s="540"/>
      <c r="Y97" s="540"/>
      <c r="Z97" s="540"/>
      <c r="AA97" s="540"/>
      <c r="AB97" s="540"/>
      <c r="AC97" s="540"/>
      <c r="AD97" s="540"/>
      <c r="AE97" s="540"/>
    </row>
    <row r="98" spans="3:31" s="539" customFormat="1" ht="12.75" hidden="1" customHeight="1" outlineLevel="1">
      <c r="C98" s="540"/>
      <c r="D98" s="540"/>
      <c r="E98" s="540"/>
      <c r="F98" s="540"/>
      <c r="G98" s="540"/>
      <c r="H98" s="540"/>
      <c r="I98" s="540"/>
      <c r="J98" s="540"/>
      <c r="K98" s="540"/>
      <c r="L98" s="540"/>
      <c r="M98" s="540"/>
      <c r="N98" s="540"/>
      <c r="O98" s="540"/>
      <c r="P98" s="540"/>
      <c r="Q98" s="540"/>
      <c r="R98" s="540"/>
      <c r="S98" s="540"/>
      <c r="T98" s="540"/>
      <c r="U98" s="540"/>
      <c r="V98" s="540"/>
      <c r="W98" s="540"/>
      <c r="X98" s="540"/>
      <c r="Y98" s="540"/>
      <c r="Z98" s="540"/>
      <c r="AA98" s="540"/>
      <c r="AB98" s="540"/>
      <c r="AC98" s="540"/>
      <c r="AD98" s="540"/>
      <c r="AE98" s="540"/>
    </row>
    <row r="99" spans="3:31" s="539" customFormat="1" ht="12.75" hidden="1" customHeight="1" outlineLevel="1">
      <c r="C99" s="540"/>
      <c r="D99" s="540"/>
      <c r="E99" s="540"/>
      <c r="F99" s="540"/>
      <c r="G99" s="540"/>
      <c r="H99" s="540"/>
      <c r="I99" s="540"/>
      <c r="J99" s="540"/>
      <c r="K99" s="540"/>
      <c r="L99" s="540"/>
      <c r="M99" s="540"/>
      <c r="N99" s="540"/>
      <c r="O99" s="540"/>
      <c r="P99" s="540"/>
      <c r="Q99" s="540"/>
      <c r="R99" s="540"/>
      <c r="S99" s="540"/>
      <c r="T99" s="540"/>
      <c r="U99" s="540"/>
      <c r="V99" s="540"/>
      <c r="W99" s="540"/>
      <c r="X99" s="540"/>
      <c r="Y99" s="540"/>
      <c r="Z99" s="540"/>
      <c r="AA99" s="540"/>
      <c r="AB99" s="540"/>
      <c r="AC99" s="540"/>
      <c r="AD99" s="540"/>
      <c r="AE99" s="540"/>
    </row>
    <row r="100" spans="3:31" s="539" customFormat="1" ht="12.75" hidden="1" customHeight="1" outlineLevel="1">
      <c r="C100" s="540"/>
      <c r="D100" s="540"/>
      <c r="E100" s="540"/>
      <c r="F100" s="540"/>
      <c r="G100" s="540"/>
      <c r="H100" s="540"/>
      <c r="I100" s="540"/>
      <c r="J100" s="540"/>
      <c r="K100" s="540"/>
      <c r="L100" s="540"/>
      <c r="M100" s="540"/>
      <c r="N100" s="540"/>
      <c r="O100" s="540"/>
      <c r="P100" s="540"/>
      <c r="Q100" s="540"/>
      <c r="R100" s="540"/>
      <c r="S100" s="540"/>
      <c r="T100" s="540"/>
      <c r="U100" s="540"/>
      <c r="V100" s="540"/>
      <c r="W100" s="540"/>
      <c r="X100" s="540"/>
      <c r="Y100" s="540"/>
      <c r="Z100" s="540"/>
      <c r="AA100" s="540"/>
      <c r="AB100" s="540"/>
      <c r="AC100" s="540"/>
      <c r="AD100" s="540"/>
      <c r="AE100" s="540"/>
    </row>
    <row r="101" spans="3:31" s="539" customFormat="1" ht="12.75" hidden="1" customHeight="1" outlineLevel="1">
      <c r="C101" s="540"/>
      <c r="D101" s="540"/>
      <c r="E101" s="540"/>
      <c r="F101" s="540"/>
      <c r="G101" s="540"/>
      <c r="H101" s="540"/>
      <c r="I101" s="540"/>
      <c r="J101" s="540"/>
      <c r="K101" s="540"/>
      <c r="L101" s="540"/>
      <c r="M101" s="540"/>
      <c r="N101" s="540"/>
      <c r="O101" s="540"/>
      <c r="P101" s="540"/>
      <c r="Q101" s="540"/>
      <c r="R101" s="540"/>
      <c r="S101" s="540"/>
      <c r="T101" s="540"/>
      <c r="U101" s="540"/>
      <c r="V101" s="540"/>
      <c r="W101" s="540"/>
      <c r="X101" s="540"/>
      <c r="Y101" s="540"/>
      <c r="Z101" s="540"/>
      <c r="AA101" s="540"/>
      <c r="AB101" s="540"/>
      <c r="AC101" s="540"/>
      <c r="AD101" s="540"/>
      <c r="AE101" s="540"/>
    </row>
    <row r="102" spans="3:31" s="539" customFormat="1" ht="12.75" hidden="1" customHeight="1" outlineLevel="1">
      <c r="C102" s="540"/>
      <c r="D102" s="540"/>
      <c r="E102" s="540"/>
      <c r="F102" s="540"/>
      <c r="G102" s="540"/>
      <c r="H102" s="540"/>
      <c r="I102" s="540"/>
      <c r="J102" s="540"/>
      <c r="K102" s="540"/>
      <c r="L102" s="540"/>
      <c r="M102" s="540"/>
      <c r="N102" s="540"/>
      <c r="O102" s="540"/>
      <c r="P102" s="540"/>
      <c r="Q102" s="540"/>
      <c r="R102" s="540"/>
      <c r="S102" s="540"/>
      <c r="T102" s="540"/>
      <c r="U102" s="540"/>
      <c r="V102" s="540"/>
      <c r="W102" s="540"/>
      <c r="X102" s="540"/>
      <c r="Y102" s="540"/>
      <c r="Z102" s="540"/>
      <c r="AA102" s="540"/>
      <c r="AB102" s="540"/>
      <c r="AC102" s="540"/>
      <c r="AD102" s="540"/>
      <c r="AE102" s="540"/>
    </row>
    <row r="103" spans="3:31" s="539" customFormat="1" ht="12.75" hidden="1" customHeight="1" outlineLevel="1">
      <c r="C103" s="540"/>
      <c r="D103" s="540"/>
      <c r="E103" s="540"/>
      <c r="F103" s="540"/>
      <c r="G103" s="540"/>
      <c r="H103" s="540"/>
      <c r="I103" s="540"/>
      <c r="J103" s="540"/>
      <c r="K103" s="540"/>
      <c r="L103" s="540"/>
      <c r="M103" s="540"/>
      <c r="N103" s="540"/>
      <c r="O103" s="540"/>
      <c r="P103" s="540"/>
      <c r="Q103" s="540"/>
      <c r="R103" s="540"/>
      <c r="S103" s="540"/>
      <c r="T103" s="540"/>
      <c r="U103" s="540"/>
      <c r="V103" s="540"/>
      <c r="W103" s="540"/>
      <c r="X103" s="540"/>
      <c r="Y103" s="540"/>
      <c r="Z103" s="540"/>
      <c r="AA103" s="540"/>
      <c r="AB103" s="540"/>
      <c r="AC103" s="540"/>
      <c r="AD103" s="540"/>
      <c r="AE103" s="540"/>
    </row>
    <row r="104" spans="3:31" s="539" customFormat="1" ht="12.75" hidden="1" customHeight="1" outlineLevel="1">
      <c r="C104" s="540"/>
      <c r="D104" s="540"/>
      <c r="E104" s="540"/>
      <c r="F104" s="540"/>
      <c r="G104" s="540"/>
      <c r="H104" s="540"/>
      <c r="I104" s="540"/>
      <c r="J104" s="540"/>
      <c r="K104" s="540"/>
      <c r="L104" s="540"/>
      <c r="M104" s="540"/>
      <c r="N104" s="540"/>
      <c r="O104" s="540"/>
      <c r="P104" s="540"/>
      <c r="Q104" s="540"/>
      <c r="R104" s="540"/>
      <c r="S104" s="540"/>
      <c r="T104" s="540"/>
      <c r="U104" s="540"/>
      <c r="V104" s="540"/>
      <c r="W104" s="540"/>
      <c r="X104" s="540"/>
      <c r="Y104" s="540"/>
      <c r="Z104" s="540"/>
      <c r="AA104" s="540"/>
      <c r="AB104" s="540"/>
      <c r="AC104" s="540"/>
      <c r="AD104" s="540"/>
      <c r="AE104" s="540"/>
    </row>
    <row r="105" spans="3:31" s="539" customFormat="1" ht="12.75" hidden="1" customHeight="1" outlineLevel="1">
      <c r="C105" s="540"/>
      <c r="D105" s="540"/>
      <c r="E105" s="540"/>
      <c r="F105" s="540"/>
      <c r="G105" s="540"/>
      <c r="H105" s="540"/>
      <c r="I105" s="540"/>
      <c r="J105" s="540"/>
      <c r="K105" s="540"/>
      <c r="L105" s="540"/>
      <c r="M105" s="540"/>
      <c r="N105" s="540"/>
      <c r="O105" s="540"/>
      <c r="P105" s="540"/>
      <c r="Q105" s="540"/>
      <c r="R105" s="540"/>
      <c r="S105" s="540"/>
      <c r="T105" s="540"/>
      <c r="U105" s="540"/>
      <c r="V105" s="540"/>
      <c r="W105" s="540"/>
      <c r="X105" s="540"/>
      <c r="Y105" s="540"/>
      <c r="Z105" s="540"/>
      <c r="AA105" s="540"/>
      <c r="AB105" s="540"/>
      <c r="AC105" s="540"/>
      <c r="AD105" s="540"/>
      <c r="AE105" s="540"/>
    </row>
    <row r="106" spans="3:31" s="539" customFormat="1" ht="12.75" hidden="1" customHeight="1" outlineLevel="1">
      <c r="C106" s="540"/>
      <c r="D106" s="540"/>
      <c r="E106" s="540"/>
      <c r="F106" s="540"/>
      <c r="G106" s="540"/>
      <c r="H106" s="540"/>
      <c r="I106" s="540"/>
      <c r="J106" s="540"/>
      <c r="K106" s="540"/>
      <c r="L106" s="540"/>
      <c r="M106" s="540"/>
      <c r="N106" s="540"/>
      <c r="O106" s="540"/>
      <c r="P106" s="540"/>
      <c r="Q106" s="540"/>
      <c r="R106" s="540"/>
      <c r="S106" s="540"/>
      <c r="T106" s="540"/>
      <c r="U106" s="540"/>
      <c r="V106" s="540"/>
      <c r="W106" s="540"/>
      <c r="X106" s="540"/>
      <c r="Y106" s="540"/>
      <c r="Z106" s="540"/>
      <c r="AA106" s="540"/>
      <c r="AB106" s="540"/>
      <c r="AC106" s="540"/>
      <c r="AD106" s="540"/>
      <c r="AE106" s="540"/>
    </row>
    <row r="107" spans="3:31" s="539" customFormat="1" ht="12.75" hidden="1" customHeight="1" outlineLevel="1" thickBot="1">
      <c r="C107" s="540"/>
      <c r="D107" s="540"/>
      <c r="E107" s="540"/>
      <c r="F107" s="540"/>
      <c r="G107" s="540"/>
      <c r="H107" s="168" t="s">
        <v>23</v>
      </c>
      <c r="I107" s="169" t="s">
        <v>65</v>
      </c>
      <c r="J107" s="169" t="s">
        <v>66</v>
      </c>
      <c r="K107" s="169" t="s">
        <v>67</v>
      </c>
      <c r="L107" s="169" t="s">
        <v>68</v>
      </c>
      <c r="M107" s="169" t="s">
        <v>69</v>
      </c>
      <c r="N107" s="169" t="s">
        <v>70</v>
      </c>
      <c r="O107" s="170" t="s">
        <v>71</v>
      </c>
      <c r="P107" s="540"/>
      <c r="Q107" s="540"/>
      <c r="R107" s="540"/>
      <c r="S107" s="540"/>
      <c r="T107" s="540"/>
      <c r="U107" s="540"/>
      <c r="V107" s="540"/>
      <c r="W107" s="540"/>
      <c r="X107" s="540"/>
      <c r="Y107" s="540"/>
      <c r="Z107" s="540"/>
      <c r="AA107" s="540"/>
      <c r="AB107" s="540"/>
      <c r="AC107" s="540"/>
      <c r="AD107" s="540"/>
      <c r="AE107" s="540"/>
    </row>
    <row r="108" spans="3:31" s="539" customFormat="1" ht="12.75" hidden="1" customHeight="1" outlineLevel="1" thickBot="1">
      <c r="C108" s="540"/>
      <c r="D108" s="540"/>
      <c r="E108" s="540"/>
      <c r="F108" s="540"/>
      <c r="G108" s="540"/>
      <c r="H108" s="171">
        <v>41548</v>
      </c>
      <c r="I108" s="167">
        <v>41516</v>
      </c>
      <c r="J108" s="35">
        <v>5.7439999999999998</v>
      </c>
      <c r="K108" s="36" t="s">
        <v>132</v>
      </c>
      <c r="L108" s="36">
        <v>1</v>
      </c>
      <c r="M108" s="36">
        <v>1</v>
      </c>
      <c r="N108" s="36">
        <v>100</v>
      </c>
      <c r="O108" s="37">
        <v>100</v>
      </c>
      <c r="P108" s="540"/>
      <c r="Q108" s="540"/>
      <c r="R108" s="540"/>
      <c r="S108" s="540"/>
      <c r="T108" s="540"/>
      <c r="U108" s="540"/>
      <c r="V108" s="540"/>
      <c r="W108" s="540"/>
      <c r="X108" s="540"/>
      <c r="Y108" s="540"/>
      <c r="Z108" s="540"/>
      <c r="AA108" s="540"/>
      <c r="AB108" s="540"/>
      <c r="AC108" s="540"/>
      <c r="AD108" s="540"/>
      <c r="AE108" s="540"/>
    </row>
    <row r="109" spans="3:31" s="539" customFormat="1" ht="12.75" hidden="1" customHeight="1" outlineLevel="1" thickBot="1">
      <c r="C109" s="540"/>
      <c r="D109" s="540"/>
      <c r="E109" s="540"/>
      <c r="F109" s="540"/>
      <c r="G109" s="540"/>
      <c r="H109" s="171">
        <v>41456</v>
      </c>
      <c r="I109" s="167">
        <v>41430</v>
      </c>
      <c r="J109" s="35">
        <v>5.7679999999999998</v>
      </c>
      <c r="K109" s="36" t="s">
        <v>132</v>
      </c>
      <c r="L109" s="36">
        <v>1</v>
      </c>
      <c r="M109" s="36">
        <v>1</v>
      </c>
      <c r="N109" s="36">
        <v>100</v>
      </c>
      <c r="O109" s="37">
        <v>100</v>
      </c>
      <c r="P109" s="540"/>
      <c r="Q109" s="540"/>
      <c r="R109" s="540"/>
      <c r="S109" s="540"/>
      <c r="T109" s="540"/>
      <c r="U109" s="540"/>
      <c r="V109" s="540"/>
      <c r="W109" s="540"/>
      <c r="X109" s="540"/>
      <c r="Y109" s="540"/>
      <c r="Z109" s="540"/>
      <c r="AA109" s="540"/>
      <c r="AB109" s="540"/>
      <c r="AC109" s="540"/>
      <c r="AD109" s="540"/>
      <c r="AE109" s="540"/>
    </row>
    <row r="110" spans="3:31" s="539" customFormat="1" ht="12.75" hidden="1" customHeight="1" outlineLevel="1" thickBot="1">
      <c r="C110" s="540"/>
      <c r="D110" s="540"/>
      <c r="E110" s="540"/>
      <c r="F110" s="540"/>
      <c r="G110" s="540"/>
      <c r="H110" s="171">
        <v>41365</v>
      </c>
      <c r="I110" s="167">
        <v>41338</v>
      </c>
      <c r="J110" s="35">
        <v>5.7160000000000002</v>
      </c>
      <c r="K110" s="36" t="s">
        <v>132</v>
      </c>
      <c r="L110" s="36">
        <v>1</v>
      </c>
      <c r="M110" s="36">
        <v>1</v>
      </c>
      <c r="N110" s="36">
        <v>100</v>
      </c>
      <c r="O110" s="37">
        <v>100</v>
      </c>
      <c r="P110" s="540"/>
      <c r="Q110" s="540"/>
      <c r="R110" s="540"/>
      <c r="S110" s="540"/>
      <c r="T110" s="540"/>
      <c r="U110" s="540"/>
      <c r="V110" s="540"/>
      <c r="W110" s="540"/>
      <c r="X110" s="540"/>
      <c r="Y110" s="540"/>
      <c r="Z110" s="540"/>
      <c r="AA110" s="540"/>
      <c r="AB110" s="540"/>
      <c r="AC110" s="540"/>
      <c r="AD110" s="540"/>
      <c r="AE110" s="540"/>
    </row>
    <row r="111" spans="3:31" s="539" customFormat="1" ht="12.75" hidden="1" customHeight="1" outlineLevel="1" thickBot="1">
      <c r="C111" s="540"/>
      <c r="D111" s="540"/>
      <c r="E111" s="540"/>
      <c r="F111" s="540"/>
      <c r="G111" s="540"/>
      <c r="H111" s="171">
        <v>41275</v>
      </c>
      <c r="I111" s="167">
        <v>41249</v>
      </c>
      <c r="J111" s="35">
        <v>5.5309999999999997</v>
      </c>
      <c r="K111" s="36" t="s">
        <v>132</v>
      </c>
      <c r="L111" s="36">
        <v>1</v>
      </c>
      <c r="M111" s="36">
        <v>1</v>
      </c>
      <c r="N111" s="36">
        <v>100</v>
      </c>
      <c r="O111" s="37">
        <v>100</v>
      </c>
      <c r="P111" s="540"/>
      <c r="Q111" s="540"/>
      <c r="R111" s="540"/>
      <c r="S111" s="540"/>
      <c r="T111" s="540"/>
      <c r="U111" s="540"/>
      <c r="V111" s="540"/>
      <c r="W111" s="540"/>
      <c r="X111" s="540"/>
      <c r="Y111" s="540"/>
      <c r="Z111" s="540"/>
      <c r="AA111" s="540"/>
      <c r="AB111" s="540"/>
      <c r="AC111" s="540"/>
      <c r="AD111" s="540"/>
      <c r="AE111" s="540"/>
    </row>
    <row r="112" spans="3:31" s="539" customFormat="1" ht="12.75" hidden="1" customHeight="1" outlineLevel="1" thickBot="1">
      <c r="C112" s="540"/>
      <c r="D112" s="540"/>
      <c r="E112" s="540"/>
      <c r="F112" s="540"/>
      <c r="G112" s="540"/>
      <c r="H112" s="171">
        <v>41183</v>
      </c>
      <c r="I112" s="167">
        <v>41158</v>
      </c>
      <c r="J112" s="35">
        <v>5.5229999999999997</v>
      </c>
      <c r="K112" s="36" t="s">
        <v>132</v>
      </c>
      <c r="L112" s="36">
        <v>1</v>
      </c>
      <c r="M112" s="36">
        <v>1</v>
      </c>
      <c r="N112" s="36">
        <v>100</v>
      </c>
      <c r="O112" s="37">
        <v>100</v>
      </c>
      <c r="P112" s="540"/>
      <c r="Q112" s="540"/>
      <c r="R112" s="540"/>
      <c r="S112" s="540"/>
      <c r="T112" s="540"/>
      <c r="U112" s="540"/>
      <c r="V112" s="540"/>
      <c r="W112" s="540"/>
      <c r="X112" s="540"/>
      <c r="Y112" s="540"/>
      <c r="Z112" s="540"/>
      <c r="AA112" s="540"/>
      <c r="AB112" s="540"/>
      <c r="AC112" s="540"/>
      <c r="AD112" s="540"/>
      <c r="AE112" s="540"/>
    </row>
    <row r="113" spans="3:31" s="539" customFormat="1" ht="12.75" hidden="1" customHeight="1" outlineLevel="1" thickBot="1">
      <c r="C113" s="540"/>
      <c r="D113" s="540"/>
      <c r="E113" s="540"/>
      <c r="F113" s="540"/>
      <c r="G113" s="540"/>
      <c r="H113" s="171">
        <v>41091</v>
      </c>
      <c r="I113" s="167">
        <v>41067</v>
      </c>
      <c r="J113" s="35">
        <v>5.3890000000000002</v>
      </c>
      <c r="K113" s="36" t="s">
        <v>132</v>
      </c>
      <c r="L113" s="36">
        <v>1</v>
      </c>
      <c r="M113" s="36">
        <v>1</v>
      </c>
      <c r="N113" s="36">
        <v>100</v>
      </c>
      <c r="O113" s="37">
        <v>100</v>
      </c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540"/>
      <c r="AE113" s="540"/>
    </row>
    <row r="114" spans="3:31" s="539" customFormat="1" ht="12.75" hidden="1" customHeight="1" outlineLevel="1" thickBot="1">
      <c r="C114" s="540"/>
      <c r="D114" s="540"/>
      <c r="E114" s="540"/>
      <c r="F114" s="540"/>
      <c r="G114" s="540"/>
      <c r="H114" s="171">
        <v>41000</v>
      </c>
      <c r="I114" s="167">
        <v>40983</v>
      </c>
      <c r="J114" s="35">
        <v>5.391</v>
      </c>
      <c r="K114" s="36" t="s">
        <v>132</v>
      </c>
      <c r="L114" s="36">
        <v>1</v>
      </c>
      <c r="M114" s="36">
        <v>1</v>
      </c>
      <c r="N114" s="36">
        <v>100</v>
      </c>
      <c r="O114" s="37">
        <v>100</v>
      </c>
      <c r="P114" s="540"/>
      <c r="Q114" s="540"/>
      <c r="R114" s="540"/>
      <c r="S114" s="540"/>
      <c r="T114" s="540"/>
      <c r="U114" s="540"/>
      <c r="V114" s="540"/>
      <c r="W114" s="540"/>
      <c r="X114" s="540"/>
      <c r="Y114" s="540"/>
      <c r="Z114" s="540"/>
      <c r="AA114" s="540"/>
      <c r="AB114" s="540"/>
      <c r="AC114" s="540"/>
      <c r="AD114" s="540"/>
      <c r="AE114" s="540"/>
    </row>
    <row r="115" spans="3:31" s="539" customFormat="1" ht="12.75" hidden="1" customHeight="1" outlineLevel="1" thickBot="1">
      <c r="C115" s="540"/>
      <c r="D115" s="540"/>
      <c r="E115" s="540"/>
      <c r="F115" s="540"/>
      <c r="G115" s="540"/>
      <c r="H115" s="171">
        <v>40909</v>
      </c>
      <c r="I115" s="167">
        <v>40886</v>
      </c>
      <c r="J115" s="35">
        <v>5.2549999999999999</v>
      </c>
      <c r="K115" s="36" t="s">
        <v>132</v>
      </c>
      <c r="L115" s="36">
        <v>1</v>
      </c>
      <c r="M115" s="36">
        <v>1</v>
      </c>
      <c r="N115" s="36">
        <v>100</v>
      </c>
      <c r="O115" s="37">
        <v>100</v>
      </c>
      <c r="P115" s="540"/>
      <c r="Q115" s="540"/>
      <c r="R115" s="540"/>
      <c r="S115" s="540"/>
      <c r="T115" s="540"/>
      <c r="U115" s="540"/>
      <c r="V115" s="540"/>
      <c r="W115" s="540"/>
      <c r="X115" s="540"/>
      <c r="Y115" s="540"/>
      <c r="Z115" s="540"/>
      <c r="AA115" s="540"/>
      <c r="AB115" s="540"/>
      <c r="AC115" s="540"/>
      <c r="AD115" s="540"/>
      <c r="AE115" s="540"/>
    </row>
    <row r="116" spans="3:31" s="539" customFormat="1" ht="12.75" hidden="1" customHeight="1" outlineLevel="1" thickBot="1">
      <c r="C116" s="540"/>
      <c r="D116" s="540"/>
      <c r="E116" s="540"/>
      <c r="F116" s="540"/>
      <c r="G116" s="540"/>
      <c r="H116" s="171">
        <v>40817</v>
      </c>
      <c r="I116" s="167">
        <v>40801</v>
      </c>
      <c r="J116" s="35">
        <v>5.2469999999999999</v>
      </c>
      <c r="K116" s="36" t="s">
        <v>132</v>
      </c>
      <c r="L116" s="36">
        <v>1</v>
      </c>
      <c r="M116" s="36">
        <v>1</v>
      </c>
      <c r="N116" s="36">
        <v>100</v>
      </c>
      <c r="O116" s="37">
        <v>100</v>
      </c>
      <c r="P116" s="540"/>
      <c r="Q116" s="540"/>
      <c r="R116" s="540"/>
      <c r="S116" s="540"/>
      <c r="T116" s="540"/>
      <c r="U116" s="540"/>
      <c r="V116" s="540"/>
      <c r="W116" s="540"/>
      <c r="X116" s="540"/>
      <c r="Y116" s="540"/>
      <c r="Z116" s="540"/>
      <c r="AA116" s="540"/>
      <c r="AB116" s="540"/>
      <c r="AC116" s="540"/>
      <c r="AD116" s="540"/>
      <c r="AE116" s="540"/>
    </row>
    <row r="117" spans="3:31" s="539" customFormat="1" ht="12.75" hidden="1" customHeight="1" outlineLevel="1" thickBot="1">
      <c r="C117" s="540"/>
      <c r="D117" s="540"/>
      <c r="E117" s="540"/>
      <c r="F117" s="540"/>
      <c r="G117" s="540"/>
      <c r="H117" s="171">
        <v>40725</v>
      </c>
      <c r="I117" s="167">
        <v>40710</v>
      </c>
      <c r="J117" s="35">
        <v>5.24</v>
      </c>
      <c r="K117" s="36" t="s">
        <v>132</v>
      </c>
      <c r="L117" s="36">
        <v>1</v>
      </c>
      <c r="M117" s="36">
        <v>1</v>
      </c>
      <c r="N117" s="36">
        <v>100</v>
      </c>
      <c r="O117" s="37">
        <v>100</v>
      </c>
      <c r="P117" s="540"/>
      <c r="Q117" s="540"/>
      <c r="R117" s="540"/>
      <c r="S117" s="540"/>
      <c r="T117" s="540"/>
      <c r="U117" s="540"/>
      <c r="V117" s="540"/>
      <c r="W117" s="540"/>
      <c r="X117" s="540"/>
      <c r="Y117" s="540"/>
      <c r="Z117" s="540"/>
      <c r="AA117" s="540"/>
      <c r="AB117" s="540"/>
      <c r="AC117" s="540"/>
      <c r="AD117" s="540"/>
      <c r="AE117" s="540"/>
    </row>
    <row r="118" spans="3:31" s="539" customFormat="1" ht="12.75" hidden="1" customHeight="1" outlineLevel="1" thickBot="1">
      <c r="C118" s="540"/>
      <c r="D118" s="540"/>
      <c r="E118" s="540"/>
      <c r="F118" s="540"/>
      <c r="G118" s="540"/>
      <c r="H118" s="171">
        <v>40634</v>
      </c>
      <c r="I118" s="167">
        <v>40611</v>
      </c>
      <c r="J118" s="35">
        <v>5.2569999999999997</v>
      </c>
      <c r="K118" s="36" t="s">
        <v>132</v>
      </c>
      <c r="L118" s="36">
        <v>1</v>
      </c>
      <c r="M118" s="36">
        <v>1</v>
      </c>
      <c r="N118" s="36">
        <v>100</v>
      </c>
      <c r="O118" s="37">
        <v>100</v>
      </c>
      <c r="P118" s="540"/>
      <c r="Q118" s="540"/>
      <c r="R118" s="540"/>
      <c r="S118" s="540"/>
      <c r="T118" s="540"/>
      <c r="U118" s="540"/>
      <c r="V118" s="540"/>
      <c r="W118" s="540"/>
      <c r="X118" s="540"/>
      <c r="Y118" s="540"/>
      <c r="Z118" s="540"/>
      <c r="AA118" s="540"/>
      <c r="AB118" s="540"/>
      <c r="AC118" s="540"/>
      <c r="AD118" s="540"/>
      <c r="AE118" s="540"/>
    </row>
    <row r="119" spans="3:31" s="539" customFormat="1" ht="12.75" hidden="1" customHeight="1" outlineLevel="1" thickBot="1">
      <c r="C119" s="540"/>
      <c r="D119" s="540"/>
      <c r="E119" s="540"/>
      <c r="F119" s="540"/>
      <c r="G119" s="540"/>
      <c r="H119" s="171">
        <v>40544</v>
      </c>
      <c r="I119" s="167">
        <v>40528</v>
      </c>
      <c r="J119" s="35">
        <v>5.1269999999999998</v>
      </c>
      <c r="K119" s="36" t="s">
        <v>132</v>
      </c>
      <c r="L119" s="36">
        <v>1</v>
      </c>
      <c r="M119" s="36">
        <v>1</v>
      </c>
      <c r="N119" s="36">
        <v>100</v>
      </c>
      <c r="O119" s="37">
        <v>100</v>
      </c>
      <c r="P119" s="540"/>
      <c r="Q119" s="540"/>
      <c r="R119" s="540"/>
      <c r="S119" s="540"/>
      <c r="T119" s="540"/>
      <c r="U119" s="540"/>
      <c r="V119" s="540"/>
      <c r="W119" s="540"/>
      <c r="X119" s="540"/>
      <c r="Y119" s="540"/>
      <c r="Z119" s="540"/>
      <c r="AA119" s="540"/>
      <c r="AB119" s="540"/>
      <c r="AC119" s="540"/>
      <c r="AD119" s="540"/>
      <c r="AE119" s="540"/>
    </row>
    <row r="120" spans="3:31" s="539" customFormat="1" ht="12.75" hidden="1" customHeight="1" outlineLevel="1" thickBot="1">
      <c r="C120" s="540"/>
      <c r="D120" s="540"/>
      <c r="E120" s="540"/>
      <c r="F120" s="540"/>
      <c r="G120" s="540"/>
      <c r="H120" s="171">
        <v>40452</v>
      </c>
      <c r="I120" s="167">
        <v>40441</v>
      </c>
      <c r="J120" s="35">
        <v>5.1310000000000002</v>
      </c>
      <c r="K120" s="36" t="s">
        <v>132</v>
      </c>
      <c r="L120" s="36">
        <v>1</v>
      </c>
      <c r="M120" s="36">
        <v>1</v>
      </c>
      <c r="N120" s="36">
        <v>100</v>
      </c>
      <c r="O120" s="37">
        <v>100</v>
      </c>
      <c r="P120" s="540"/>
      <c r="Q120" s="540"/>
      <c r="R120" s="540"/>
      <c r="S120" s="540"/>
      <c r="T120" s="540"/>
      <c r="U120" s="540"/>
      <c r="V120" s="540"/>
      <c r="W120" s="540"/>
      <c r="X120" s="540"/>
      <c r="Y120" s="540"/>
      <c r="Z120" s="540"/>
      <c r="AA120" s="540"/>
      <c r="AB120" s="540"/>
      <c r="AC120" s="540"/>
      <c r="AD120" s="540"/>
      <c r="AE120" s="540"/>
    </row>
    <row r="121" spans="3:31" s="539" customFormat="1" ht="12.75" hidden="1" customHeight="1" outlineLevel="1" thickBot="1">
      <c r="C121" s="540"/>
      <c r="D121" s="540"/>
      <c r="E121" s="540"/>
      <c r="F121" s="540"/>
      <c r="G121" s="540"/>
      <c r="H121" s="171">
        <v>40360</v>
      </c>
      <c r="I121" s="167">
        <v>40347</v>
      </c>
      <c r="J121" s="35">
        <v>5.0049999999999999</v>
      </c>
      <c r="K121" s="36" t="s">
        <v>132</v>
      </c>
      <c r="L121" s="36">
        <v>1</v>
      </c>
      <c r="M121" s="36">
        <v>1</v>
      </c>
      <c r="N121" s="36">
        <v>100</v>
      </c>
      <c r="O121" s="37">
        <v>100</v>
      </c>
      <c r="P121" s="540"/>
      <c r="Q121" s="540"/>
      <c r="R121" s="540"/>
      <c r="S121" s="540"/>
      <c r="T121" s="540"/>
      <c r="U121" s="540"/>
      <c r="V121" s="540"/>
      <c r="W121" s="540"/>
      <c r="X121" s="540"/>
      <c r="Y121" s="540"/>
      <c r="Z121" s="540"/>
      <c r="AA121" s="540"/>
      <c r="AB121" s="540"/>
      <c r="AC121" s="540"/>
      <c r="AD121" s="540"/>
      <c r="AE121" s="540"/>
    </row>
    <row r="122" spans="3:31" s="539" customFormat="1" ht="12.75" hidden="1" customHeight="1" outlineLevel="1" thickBot="1">
      <c r="C122" s="540"/>
      <c r="D122" s="540"/>
      <c r="E122" s="540"/>
      <c r="F122" s="540"/>
      <c r="G122" s="540"/>
      <c r="H122" s="171">
        <v>40269</v>
      </c>
      <c r="I122" s="167">
        <v>40255</v>
      </c>
      <c r="J122" s="35">
        <v>4.9980000000000002</v>
      </c>
      <c r="K122" s="36" t="s">
        <v>132</v>
      </c>
      <c r="L122" s="36">
        <v>1</v>
      </c>
      <c r="M122" s="36">
        <v>1</v>
      </c>
      <c r="N122" s="36">
        <v>100</v>
      </c>
      <c r="O122" s="37">
        <v>100</v>
      </c>
      <c r="P122" s="540"/>
      <c r="Q122" s="540"/>
      <c r="R122" s="540"/>
      <c r="S122" s="540"/>
      <c r="T122" s="540"/>
      <c r="U122" s="540"/>
      <c r="V122" s="540"/>
      <c r="W122" s="540"/>
      <c r="X122" s="540"/>
      <c r="Y122" s="540"/>
      <c r="Z122" s="540"/>
      <c r="AA122" s="540"/>
      <c r="AB122" s="540"/>
      <c r="AC122" s="540"/>
      <c r="AD122" s="540"/>
      <c r="AE122" s="540"/>
    </row>
    <row r="123" spans="3:31" s="539" customFormat="1" ht="12.75" hidden="1" customHeight="1" outlineLevel="1" thickBot="1">
      <c r="C123" s="540"/>
      <c r="D123" s="540"/>
      <c r="E123" s="540"/>
      <c r="F123" s="540"/>
      <c r="G123" s="540"/>
      <c r="H123" s="171">
        <v>40179</v>
      </c>
      <c r="I123" s="167">
        <v>40162</v>
      </c>
      <c r="J123" s="35">
        <v>4.8860000000000001</v>
      </c>
      <c r="K123" s="36" t="s">
        <v>132</v>
      </c>
      <c r="L123" s="36">
        <v>1</v>
      </c>
      <c r="M123" s="36">
        <v>1</v>
      </c>
      <c r="N123" s="36">
        <v>100</v>
      </c>
      <c r="O123" s="37">
        <v>100</v>
      </c>
      <c r="P123" s="540"/>
      <c r="Q123" s="540"/>
      <c r="R123" s="540"/>
      <c r="S123" s="540"/>
      <c r="T123" s="540"/>
      <c r="U123" s="540"/>
      <c r="V123" s="540"/>
      <c r="W123" s="540"/>
      <c r="X123" s="540"/>
      <c r="Y123" s="540"/>
      <c r="Z123" s="540"/>
      <c r="AA123" s="540"/>
      <c r="AB123" s="540"/>
      <c r="AC123" s="540"/>
      <c r="AD123" s="540"/>
      <c r="AE123" s="540"/>
    </row>
    <row r="124" spans="3:31" s="539" customFormat="1" ht="12.75" hidden="1" customHeight="1" outlineLevel="1" thickBot="1">
      <c r="C124" s="540"/>
      <c r="D124" s="540"/>
      <c r="E124" s="540"/>
      <c r="F124" s="540"/>
      <c r="G124" s="540"/>
      <c r="H124" s="171">
        <v>40087</v>
      </c>
      <c r="I124" s="167">
        <v>40087</v>
      </c>
      <c r="J124" s="35">
        <v>4.8710000000000004</v>
      </c>
      <c r="K124" s="36" t="s">
        <v>132</v>
      </c>
      <c r="L124" s="36">
        <v>1</v>
      </c>
      <c r="M124" s="36">
        <v>1</v>
      </c>
      <c r="N124" s="36">
        <v>100</v>
      </c>
      <c r="O124" s="37">
        <v>100</v>
      </c>
      <c r="P124" s="540"/>
      <c r="Q124" s="540"/>
      <c r="R124" s="540"/>
      <c r="S124" s="540"/>
      <c r="T124" s="540"/>
      <c r="U124" s="540"/>
      <c r="V124" s="540"/>
      <c r="W124" s="540"/>
      <c r="X124" s="540"/>
      <c r="Y124" s="540"/>
      <c r="Z124" s="540"/>
      <c r="AA124" s="540"/>
      <c r="AB124" s="540"/>
      <c r="AC124" s="540"/>
      <c r="AD124" s="540"/>
      <c r="AE124" s="540"/>
    </row>
    <row r="125" spans="3:31" s="539" customFormat="1" ht="12.75" hidden="1" customHeight="1" outlineLevel="1" thickBot="1">
      <c r="C125" s="540"/>
      <c r="D125" s="540"/>
      <c r="E125" s="540"/>
      <c r="F125" s="540"/>
      <c r="G125" s="540"/>
      <c r="H125" s="171">
        <v>40087</v>
      </c>
      <c r="I125" s="167">
        <v>40070</v>
      </c>
      <c r="J125" s="35">
        <v>4.8710000000000004</v>
      </c>
      <c r="K125" s="36" t="s">
        <v>132</v>
      </c>
      <c r="L125" s="36">
        <v>1</v>
      </c>
      <c r="M125" s="36">
        <v>1</v>
      </c>
      <c r="N125" s="36">
        <v>100</v>
      </c>
      <c r="O125" s="37">
        <v>100</v>
      </c>
      <c r="P125" s="540"/>
      <c r="Q125" s="540"/>
      <c r="R125" s="540"/>
      <c r="S125" s="540"/>
      <c r="T125" s="540"/>
      <c r="U125" s="540"/>
      <c r="V125" s="540"/>
      <c r="W125" s="540"/>
      <c r="X125" s="540"/>
      <c r="Y125" s="540"/>
      <c r="Z125" s="540"/>
      <c r="AA125" s="540"/>
      <c r="AB125" s="540"/>
      <c r="AC125" s="540"/>
      <c r="AD125" s="540"/>
      <c r="AE125" s="540"/>
    </row>
    <row r="126" spans="3:31" s="539" customFormat="1" ht="12.75" hidden="1" customHeight="1" outlineLevel="1" thickBot="1">
      <c r="C126" s="540"/>
      <c r="D126" s="540"/>
      <c r="E126" s="540"/>
      <c r="F126" s="540"/>
      <c r="G126" s="540"/>
      <c r="H126" s="171">
        <v>39995</v>
      </c>
      <c r="I126" s="167">
        <v>39995</v>
      </c>
      <c r="J126" s="35">
        <v>4.7610000000000001</v>
      </c>
      <c r="K126" s="36" t="s">
        <v>132</v>
      </c>
      <c r="L126" s="36">
        <v>1</v>
      </c>
      <c r="M126" s="36">
        <v>1</v>
      </c>
      <c r="N126" s="36">
        <v>100</v>
      </c>
      <c r="O126" s="37">
        <v>100</v>
      </c>
      <c r="P126" s="540"/>
      <c r="Q126" s="540"/>
      <c r="R126" s="540"/>
      <c r="S126" s="540"/>
      <c r="T126" s="540"/>
      <c r="U126" s="540"/>
      <c r="V126" s="540"/>
      <c r="W126" s="540"/>
      <c r="X126" s="540"/>
      <c r="Y126" s="540"/>
      <c r="Z126" s="540"/>
      <c r="AA126" s="540"/>
      <c r="AB126" s="540"/>
      <c r="AC126" s="540"/>
      <c r="AD126" s="540"/>
      <c r="AE126" s="540"/>
    </row>
    <row r="127" spans="3:31" s="539" customFormat="1" ht="12.75" hidden="1" customHeight="1" outlineLevel="1" thickBot="1">
      <c r="C127" s="540"/>
      <c r="D127" s="540"/>
      <c r="E127" s="540"/>
      <c r="F127" s="540"/>
      <c r="G127" s="540"/>
      <c r="H127" s="171">
        <v>39904</v>
      </c>
      <c r="I127" s="167">
        <v>39888</v>
      </c>
      <c r="J127" s="35">
        <v>4.7610000000000001</v>
      </c>
      <c r="K127" s="36" t="s">
        <v>132</v>
      </c>
      <c r="L127" s="36">
        <v>1</v>
      </c>
      <c r="M127" s="36">
        <v>1</v>
      </c>
      <c r="N127" s="36">
        <v>100</v>
      </c>
      <c r="O127" s="37">
        <v>100</v>
      </c>
      <c r="P127" s="540"/>
      <c r="Q127" s="540"/>
      <c r="R127" s="540"/>
      <c r="S127" s="540"/>
      <c r="T127" s="540"/>
      <c r="U127" s="540"/>
      <c r="V127" s="540"/>
      <c r="W127" s="540"/>
      <c r="X127" s="540"/>
      <c r="Y127" s="540"/>
      <c r="Z127" s="540"/>
      <c r="AA127" s="540"/>
      <c r="AB127" s="540"/>
      <c r="AC127" s="540"/>
      <c r="AD127" s="540"/>
      <c r="AE127" s="540"/>
    </row>
    <row r="128" spans="3:31" s="539" customFormat="1" ht="12.75" hidden="1" customHeight="1" outlineLevel="1" thickBot="1">
      <c r="C128" s="540"/>
      <c r="D128" s="540"/>
      <c r="E128" s="540"/>
      <c r="F128" s="540"/>
      <c r="G128" s="540"/>
      <c r="H128" s="171">
        <v>39814</v>
      </c>
      <c r="I128" s="167">
        <v>39797</v>
      </c>
      <c r="J128" s="35">
        <v>4.6390000000000002</v>
      </c>
      <c r="K128" s="36" t="s">
        <v>132</v>
      </c>
      <c r="L128" s="36">
        <v>1</v>
      </c>
      <c r="M128" s="36">
        <v>1</v>
      </c>
      <c r="N128" s="36">
        <v>100</v>
      </c>
      <c r="O128" s="37">
        <v>100</v>
      </c>
      <c r="P128" s="540"/>
      <c r="Q128" s="540"/>
      <c r="R128" s="540"/>
      <c r="S128" s="540"/>
      <c r="T128" s="540"/>
      <c r="U128" s="540"/>
      <c r="V128" s="540"/>
      <c r="W128" s="540"/>
      <c r="X128" s="540"/>
      <c r="Y128" s="540"/>
      <c r="Z128" s="540"/>
      <c r="AA128" s="540"/>
      <c r="AB128" s="540"/>
      <c r="AC128" s="540"/>
      <c r="AD128" s="540"/>
      <c r="AE128" s="540"/>
    </row>
    <row r="129" spans="3:31" s="539" customFormat="1" ht="12.75" hidden="1" customHeight="1" outlineLevel="1" thickBot="1">
      <c r="C129" s="540"/>
      <c r="D129" s="540"/>
      <c r="E129" s="540"/>
      <c r="F129" s="540"/>
      <c r="G129" s="540"/>
      <c r="H129" s="171">
        <v>39722</v>
      </c>
      <c r="I129" s="167">
        <v>39707</v>
      </c>
      <c r="J129" s="35">
        <v>4.5819999999999999</v>
      </c>
      <c r="K129" s="36" t="s">
        <v>132</v>
      </c>
      <c r="L129" s="36">
        <v>1</v>
      </c>
      <c r="M129" s="36">
        <v>1</v>
      </c>
      <c r="N129" s="36">
        <v>100</v>
      </c>
      <c r="O129" s="37">
        <v>100</v>
      </c>
      <c r="P129" s="540"/>
      <c r="Q129" s="540"/>
      <c r="R129" s="540"/>
      <c r="S129" s="540"/>
      <c r="T129" s="540"/>
      <c r="U129" s="540"/>
      <c r="V129" s="540"/>
      <c r="W129" s="540"/>
      <c r="X129" s="540"/>
      <c r="Y129" s="540"/>
      <c r="Z129" s="540"/>
      <c r="AA129" s="540"/>
      <c r="AB129" s="540"/>
      <c r="AC129" s="540"/>
      <c r="AD129" s="540"/>
      <c r="AE129" s="540"/>
    </row>
    <row r="130" spans="3:31" s="539" customFormat="1" ht="12.75" hidden="1" customHeight="1" outlineLevel="1" thickBot="1">
      <c r="C130" s="540"/>
      <c r="D130" s="540"/>
      <c r="E130" s="540"/>
      <c r="F130" s="540"/>
      <c r="G130" s="540"/>
      <c r="H130" s="171">
        <v>39630</v>
      </c>
      <c r="I130" s="167">
        <v>39615</v>
      </c>
      <c r="J130" s="35">
        <v>4.4800000000000004</v>
      </c>
      <c r="K130" s="36" t="s">
        <v>132</v>
      </c>
      <c r="L130" s="36">
        <v>1</v>
      </c>
      <c r="M130" s="36">
        <v>1</v>
      </c>
      <c r="N130" s="36">
        <v>100</v>
      </c>
      <c r="O130" s="37">
        <v>100</v>
      </c>
      <c r="P130" s="540"/>
      <c r="Q130" s="540"/>
      <c r="R130" s="540"/>
      <c r="S130" s="540"/>
      <c r="T130" s="540"/>
      <c r="U130" s="540"/>
      <c r="V130" s="540"/>
      <c r="W130" s="540"/>
      <c r="X130" s="540"/>
      <c r="Y130" s="540"/>
      <c r="Z130" s="540"/>
      <c r="AA130" s="540"/>
      <c r="AB130" s="540"/>
      <c r="AC130" s="540"/>
      <c r="AD130" s="540"/>
      <c r="AE130" s="540"/>
    </row>
    <row r="131" spans="3:31" s="539" customFormat="1" ht="12.75" hidden="1" customHeight="1" outlineLevel="1" thickBot="1">
      <c r="C131" s="540"/>
      <c r="D131" s="540"/>
      <c r="E131" s="540"/>
      <c r="F131" s="540"/>
      <c r="G131" s="540"/>
      <c r="H131" s="171">
        <v>39539</v>
      </c>
      <c r="I131" s="167">
        <v>39524</v>
      </c>
      <c r="J131" s="35">
        <v>4.4770000000000003</v>
      </c>
      <c r="K131" s="36" t="s">
        <v>132</v>
      </c>
      <c r="L131" s="36">
        <v>1</v>
      </c>
      <c r="M131" s="36">
        <v>1</v>
      </c>
      <c r="N131" s="36">
        <v>100</v>
      </c>
      <c r="O131" s="37">
        <v>100</v>
      </c>
      <c r="P131" s="540"/>
      <c r="Q131" s="540"/>
      <c r="R131" s="540"/>
      <c r="S131" s="540"/>
      <c r="T131" s="540"/>
      <c r="U131" s="540"/>
      <c r="V131" s="540"/>
      <c r="W131" s="540"/>
      <c r="X131" s="540"/>
      <c r="Y131" s="540"/>
      <c r="Z131" s="540"/>
      <c r="AA131" s="540"/>
      <c r="AB131" s="540"/>
      <c r="AC131" s="540"/>
      <c r="AD131" s="540"/>
      <c r="AE131" s="540"/>
    </row>
    <row r="132" spans="3:31" s="539" customFormat="1" ht="12.75" hidden="1" customHeight="1" outlineLevel="1" thickBot="1">
      <c r="C132" s="540"/>
      <c r="D132" s="540"/>
      <c r="E132" s="540"/>
      <c r="F132" s="540"/>
      <c r="G132" s="540"/>
      <c r="H132" s="171">
        <v>39448</v>
      </c>
      <c r="I132" s="167">
        <v>39526</v>
      </c>
      <c r="J132" s="35">
        <v>4.3929999999999998</v>
      </c>
      <c r="K132" s="36" t="s">
        <v>132</v>
      </c>
      <c r="L132" s="36">
        <v>1</v>
      </c>
      <c r="M132" s="36">
        <v>1</v>
      </c>
      <c r="N132" s="36">
        <v>100</v>
      </c>
      <c r="O132" s="37">
        <v>100</v>
      </c>
      <c r="P132" s="540"/>
      <c r="Q132" s="540"/>
      <c r="R132" s="540"/>
      <c r="S132" s="540"/>
      <c r="T132" s="540"/>
      <c r="U132" s="540"/>
      <c r="V132" s="540"/>
      <c r="W132" s="540"/>
      <c r="X132" s="540"/>
      <c r="Y132" s="540"/>
      <c r="Z132" s="540"/>
      <c r="AA132" s="540"/>
      <c r="AB132" s="540"/>
      <c r="AC132" s="540"/>
      <c r="AD132" s="540"/>
      <c r="AE132" s="540"/>
    </row>
    <row r="133" spans="3:31" s="539" customFormat="1" ht="12.75" hidden="1" customHeight="1" outlineLevel="1" thickBot="1">
      <c r="C133" s="540"/>
      <c r="D133" s="540"/>
      <c r="E133" s="540"/>
      <c r="F133" s="540"/>
      <c r="G133" s="540"/>
      <c r="H133" s="171">
        <v>39448</v>
      </c>
      <c r="I133" s="167">
        <v>39428</v>
      </c>
      <c r="J133" s="35">
        <v>4.3929999999999998</v>
      </c>
      <c r="K133" s="36" t="s">
        <v>132</v>
      </c>
      <c r="L133" s="36">
        <v>1</v>
      </c>
      <c r="M133" s="36">
        <v>1</v>
      </c>
      <c r="N133" s="36">
        <v>100</v>
      </c>
      <c r="O133" s="37">
        <v>100</v>
      </c>
      <c r="P133" s="540"/>
      <c r="Q133" s="540"/>
      <c r="R133" s="540"/>
      <c r="S133" s="540"/>
      <c r="T133" s="540"/>
      <c r="U133" s="540"/>
      <c r="V133" s="540"/>
      <c r="W133" s="540"/>
      <c r="X133" s="540"/>
      <c r="Y133" s="540"/>
      <c r="Z133" s="540"/>
      <c r="AA133" s="540"/>
      <c r="AB133" s="540"/>
      <c r="AC133" s="540"/>
      <c r="AD133" s="540"/>
      <c r="AE133" s="540"/>
    </row>
    <row r="134" spans="3:31" s="539" customFormat="1" ht="12.75" hidden="1" customHeight="1" outlineLevel="1" thickBot="1">
      <c r="C134" s="540"/>
      <c r="D134" s="540"/>
      <c r="E134" s="540"/>
      <c r="F134" s="540"/>
      <c r="G134" s="540"/>
      <c r="H134" s="171">
        <v>39356</v>
      </c>
      <c r="I134" s="167">
        <v>39339</v>
      </c>
      <c r="J134" s="35">
        <v>4.391</v>
      </c>
      <c r="K134" s="36" t="s">
        <v>132</v>
      </c>
      <c r="L134" s="36">
        <v>1</v>
      </c>
      <c r="M134" s="36">
        <v>1</v>
      </c>
      <c r="N134" s="36">
        <v>100</v>
      </c>
      <c r="O134" s="37">
        <v>100</v>
      </c>
      <c r="P134" s="540"/>
      <c r="Q134" s="540"/>
      <c r="R134" s="540"/>
      <c r="S134" s="540"/>
      <c r="T134" s="540"/>
      <c r="U134" s="540"/>
      <c r="V134" s="540"/>
      <c r="W134" s="540"/>
      <c r="X134" s="540"/>
      <c r="Y134" s="540"/>
      <c r="Z134" s="540"/>
      <c r="AA134" s="540"/>
      <c r="AB134" s="540"/>
      <c r="AC134" s="540"/>
      <c r="AD134" s="540"/>
      <c r="AE134" s="540"/>
    </row>
    <row r="135" spans="3:31" s="539" customFormat="1" ht="12.75" hidden="1" customHeight="1" outlineLevel="1" thickBot="1">
      <c r="C135" s="540"/>
      <c r="D135" s="540"/>
      <c r="E135" s="540"/>
      <c r="F135" s="540"/>
      <c r="G135" s="540"/>
      <c r="H135" s="171">
        <v>39264</v>
      </c>
      <c r="I135" s="167">
        <v>39339</v>
      </c>
      <c r="J135" s="35">
        <v>4.3070000000000004</v>
      </c>
      <c r="K135" s="36" t="s">
        <v>132</v>
      </c>
      <c r="L135" s="36">
        <v>1</v>
      </c>
      <c r="M135" s="36">
        <v>1</v>
      </c>
      <c r="N135" s="36">
        <v>100</v>
      </c>
      <c r="O135" s="37">
        <v>100</v>
      </c>
      <c r="P135" s="540"/>
      <c r="Q135" s="540"/>
      <c r="R135" s="540"/>
      <c r="S135" s="540"/>
      <c r="T135" s="540"/>
      <c r="U135" s="540"/>
      <c r="V135" s="540"/>
      <c r="W135" s="540"/>
      <c r="X135" s="540"/>
      <c r="Y135" s="540"/>
      <c r="Z135" s="540"/>
      <c r="AA135" s="540"/>
      <c r="AB135" s="540"/>
      <c r="AC135" s="540"/>
      <c r="AD135" s="540"/>
      <c r="AE135" s="540"/>
    </row>
    <row r="136" spans="3:31" s="539" customFormat="1" ht="12.75" hidden="1" customHeight="1" outlineLevel="1" thickBot="1">
      <c r="C136" s="540"/>
      <c r="D136" s="540"/>
      <c r="E136" s="540"/>
      <c r="F136" s="540"/>
      <c r="G136" s="540"/>
      <c r="H136" s="171">
        <v>39264</v>
      </c>
      <c r="I136" s="167">
        <v>39248</v>
      </c>
      <c r="J136" s="35">
        <v>4.3070000000000004</v>
      </c>
      <c r="K136" s="36" t="s">
        <v>132</v>
      </c>
      <c r="L136" s="36">
        <v>1</v>
      </c>
      <c r="M136" s="36">
        <v>1</v>
      </c>
      <c r="N136" s="36">
        <v>100</v>
      </c>
      <c r="O136" s="37">
        <v>100</v>
      </c>
      <c r="P136" s="540"/>
      <c r="Q136" s="540"/>
      <c r="R136" s="540"/>
      <c r="S136" s="540"/>
      <c r="T136" s="540"/>
      <c r="U136" s="540"/>
      <c r="V136" s="540"/>
      <c r="W136" s="540"/>
      <c r="X136" s="540"/>
      <c r="Y136" s="540"/>
      <c r="Z136" s="540"/>
      <c r="AA136" s="540"/>
      <c r="AB136" s="540"/>
      <c r="AC136" s="540"/>
      <c r="AD136" s="540"/>
      <c r="AE136" s="540"/>
    </row>
    <row r="137" spans="3:31" s="539" customFormat="1" ht="12.75" hidden="1" customHeight="1" outlineLevel="1" thickBot="1">
      <c r="C137" s="540"/>
      <c r="D137" s="540"/>
      <c r="E137" s="540"/>
      <c r="F137" s="540"/>
      <c r="G137" s="540"/>
      <c r="H137" s="171">
        <v>39173</v>
      </c>
      <c r="I137" s="167">
        <v>39339</v>
      </c>
      <c r="J137" s="35">
        <v>4.3</v>
      </c>
      <c r="K137" s="36" t="s">
        <v>132</v>
      </c>
      <c r="L137" s="36">
        <v>1</v>
      </c>
      <c r="M137" s="36">
        <v>1</v>
      </c>
      <c r="N137" s="36">
        <v>100</v>
      </c>
      <c r="O137" s="37">
        <v>100</v>
      </c>
      <c r="P137" s="540"/>
      <c r="Q137" s="540"/>
      <c r="R137" s="540"/>
      <c r="S137" s="540"/>
      <c r="T137" s="540"/>
      <c r="U137" s="540"/>
      <c r="V137" s="540"/>
      <c r="W137" s="540"/>
      <c r="X137" s="540"/>
      <c r="Y137" s="540"/>
      <c r="Z137" s="540"/>
      <c r="AA137" s="540"/>
      <c r="AB137" s="540"/>
      <c r="AC137" s="540"/>
      <c r="AD137" s="540"/>
      <c r="AE137" s="540"/>
    </row>
    <row r="138" spans="3:31" s="539" customFormat="1" ht="12.75" hidden="1" customHeight="1" outlineLevel="1" thickBot="1">
      <c r="C138" s="540"/>
      <c r="D138" s="540"/>
      <c r="E138" s="540"/>
      <c r="F138" s="540"/>
      <c r="G138" s="540"/>
      <c r="H138" s="171">
        <v>39173</v>
      </c>
      <c r="I138" s="167">
        <v>39155</v>
      </c>
      <c r="J138" s="35">
        <v>4.3</v>
      </c>
      <c r="K138" s="36" t="s">
        <v>132</v>
      </c>
      <c r="L138" s="36">
        <v>1</v>
      </c>
      <c r="M138" s="36">
        <v>1</v>
      </c>
      <c r="N138" s="36">
        <v>100</v>
      </c>
      <c r="O138" s="37">
        <v>100</v>
      </c>
      <c r="P138" s="540"/>
      <c r="Q138" s="540"/>
      <c r="R138" s="540"/>
      <c r="S138" s="540"/>
      <c r="T138" s="540"/>
      <c r="U138" s="540"/>
      <c r="V138" s="540"/>
      <c r="W138" s="540"/>
      <c r="X138" s="540"/>
      <c r="Y138" s="540"/>
      <c r="Z138" s="540"/>
      <c r="AA138" s="540"/>
      <c r="AB138" s="540"/>
      <c r="AC138" s="540"/>
      <c r="AD138" s="540"/>
      <c r="AE138" s="540"/>
    </row>
    <row r="139" spans="3:31" s="539" customFormat="1" ht="12.75" hidden="1" customHeight="1" outlineLevel="1" thickBot="1">
      <c r="C139" s="540"/>
      <c r="D139" s="540"/>
      <c r="E139" s="540"/>
      <c r="F139" s="540"/>
      <c r="G139" s="540"/>
      <c r="H139" s="171">
        <v>39083</v>
      </c>
      <c r="I139" s="167">
        <v>39339</v>
      </c>
      <c r="J139" s="35">
        <v>4.2229999999999999</v>
      </c>
      <c r="K139" s="36" t="s">
        <v>132</v>
      </c>
      <c r="L139" s="36">
        <v>1</v>
      </c>
      <c r="M139" s="36">
        <v>1</v>
      </c>
      <c r="N139" s="36">
        <v>100</v>
      </c>
      <c r="O139" s="37">
        <v>100</v>
      </c>
      <c r="P139" s="540"/>
      <c r="Q139" s="540"/>
      <c r="R139" s="540"/>
      <c r="S139" s="540"/>
      <c r="T139" s="540"/>
      <c r="U139" s="540"/>
      <c r="V139" s="540"/>
      <c r="W139" s="540"/>
      <c r="X139" s="540"/>
      <c r="Y139" s="540"/>
      <c r="Z139" s="540"/>
      <c r="AA139" s="540"/>
      <c r="AB139" s="540"/>
      <c r="AC139" s="540"/>
      <c r="AD139" s="540"/>
      <c r="AE139" s="540"/>
    </row>
    <row r="140" spans="3:31" s="539" customFormat="1" ht="12.75" hidden="1" customHeight="1" outlineLevel="1" thickBot="1">
      <c r="C140" s="540"/>
      <c r="D140" s="540"/>
      <c r="E140" s="540"/>
      <c r="F140" s="540"/>
      <c r="G140" s="540"/>
      <c r="H140" s="171">
        <v>39083</v>
      </c>
      <c r="I140" s="167">
        <v>39252</v>
      </c>
      <c r="J140" s="35">
        <v>4.2229999999999999</v>
      </c>
      <c r="K140" s="36" t="s">
        <v>132</v>
      </c>
      <c r="L140" s="36">
        <v>1</v>
      </c>
      <c r="M140" s="36">
        <v>1</v>
      </c>
      <c r="N140" s="36">
        <v>100</v>
      </c>
      <c r="O140" s="37">
        <v>100</v>
      </c>
      <c r="P140" s="540"/>
      <c r="Q140" s="540"/>
      <c r="R140" s="540"/>
      <c r="S140" s="540"/>
      <c r="T140" s="540"/>
      <c r="U140" s="540"/>
      <c r="V140" s="540"/>
      <c r="W140" s="540"/>
      <c r="X140" s="540"/>
      <c r="Y140" s="540"/>
      <c r="Z140" s="540"/>
      <c r="AA140" s="540"/>
      <c r="AB140" s="540"/>
      <c r="AC140" s="540"/>
      <c r="AD140" s="540"/>
      <c r="AE140" s="540"/>
    </row>
    <row r="141" spans="3:31" s="539" customFormat="1" ht="12.75" hidden="1" customHeight="1" outlineLevel="1" thickBot="1">
      <c r="C141" s="540"/>
      <c r="D141" s="540"/>
      <c r="E141" s="540"/>
      <c r="F141" s="540"/>
      <c r="G141" s="540"/>
      <c r="H141" s="171">
        <v>39083</v>
      </c>
      <c r="I141" s="167">
        <v>39160</v>
      </c>
      <c r="J141" s="35">
        <v>4.22</v>
      </c>
      <c r="K141" s="36" t="s">
        <v>132</v>
      </c>
      <c r="L141" s="36">
        <v>1</v>
      </c>
      <c r="M141" s="36">
        <v>1</v>
      </c>
      <c r="N141" s="36">
        <v>100</v>
      </c>
      <c r="O141" s="37">
        <v>100</v>
      </c>
      <c r="P141" s="540"/>
      <c r="Q141" s="540"/>
      <c r="R141" s="540"/>
      <c r="S141" s="540"/>
      <c r="T141" s="540"/>
      <c r="U141" s="540"/>
      <c r="V141" s="540"/>
      <c r="W141" s="540"/>
      <c r="X141" s="540"/>
      <c r="Y141" s="540"/>
      <c r="Z141" s="540"/>
      <c r="AA141" s="540"/>
      <c r="AB141" s="540"/>
      <c r="AC141" s="540"/>
      <c r="AD141" s="540"/>
      <c r="AE141" s="540"/>
    </row>
    <row r="142" spans="3:31" s="539" customFormat="1" ht="12.75" hidden="1" customHeight="1" outlineLevel="1" thickBot="1">
      <c r="C142" s="540"/>
      <c r="D142" s="540"/>
      <c r="E142" s="540"/>
      <c r="F142" s="540"/>
      <c r="G142" s="540"/>
      <c r="H142" s="171">
        <v>39083</v>
      </c>
      <c r="I142" s="167">
        <v>39070</v>
      </c>
      <c r="J142" s="35">
        <v>4.22</v>
      </c>
      <c r="K142" s="36" t="s">
        <v>132</v>
      </c>
      <c r="L142" s="36">
        <v>1</v>
      </c>
      <c r="M142" s="36">
        <v>1</v>
      </c>
      <c r="N142" s="36">
        <v>100</v>
      </c>
      <c r="O142" s="37">
        <v>100</v>
      </c>
      <c r="P142" s="540"/>
      <c r="Q142" s="540"/>
      <c r="R142" s="540"/>
      <c r="S142" s="540"/>
      <c r="T142" s="540"/>
      <c r="U142" s="540"/>
      <c r="V142" s="540"/>
      <c r="W142" s="540"/>
      <c r="X142" s="540"/>
      <c r="Y142" s="540"/>
      <c r="Z142" s="540"/>
      <c r="AA142" s="540"/>
      <c r="AB142" s="540"/>
      <c r="AC142" s="540"/>
      <c r="AD142" s="540"/>
      <c r="AE142" s="540"/>
    </row>
    <row r="143" spans="3:31" s="539" customFormat="1" ht="12.75" hidden="1" customHeight="1" outlineLevel="1" thickBot="1">
      <c r="C143" s="540"/>
      <c r="D143" s="540"/>
      <c r="E143" s="540"/>
      <c r="F143" s="540"/>
      <c r="G143" s="540"/>
      <c r="H143" s="171">
        <v>38991</v>
      </c>
      <c r="I143" s="167">
        <v>38985</v>
      </c>
      <c r="J143" s="35">
        <v>4.2210000000000001</v>
      </c>
      <c r="K143" s="36" t="s">
        <v>132</v>
      </c>
      <c r="L143" s="36">
        <v>1</v>
      </c>
      <c r="M143" s="36">
        <v>1</v>
      </c>
      <c r="N143" s="36">
        <v>100</v>
      </c>
      <c r="O143" s="37">
        <v>100</v>
      </c>
      <c r="P143" s="540"/>
      <c r="Q143" s="540"/>
      <c r="R143" s="540"/>
      <c r="S143" s="540"/>
      <c r="T143" s="540"/>
      <c r="U143" s="540"/>
      <c r="V143" s="540"/>
      <c r="W143" s="540"/>
      <c r="X143" s="540"/>
      <c r="Y143" s="540"/>
      <c r="Z143" s="540"/>
      <c r="AA143" s="540"/>
      <c r="AB143" s="540"/>
      <c r="AC143" s="540"/>
      <c r="AD143" s="540"/>
      <c r="AE143" s="540"/>
    </row>
    <row r="144" spans="3:31" s="539" customFormat="1" ht="12.75" hidden="1" customHeight="1" outlineLevel="1" thickBot="1">
      <c r="C144" s="540"/>
      <c r="D144" s="540"/>
      <c r="E144" s="540"/>
      <c r="F144" s="540"/>
      <c r="G144" s="540"/>
      <c r="H144" s="171">
        <v>38899</v>
      </c>
      <c r="I144" s="167">
        <v>38889</v>
      </c>
      <c r="J144" s="35">
        <v>4.133</v>
      </c>
      <c r="K144" s="36" t="s">
        <v>132</v>
      </c>
      <c r="L144" s="36">
        <v>1</v>
      </c>
      <c r="M144" s="36">
        <v>1</v>
      </c>
      <c r="N144" s="36">
        <v>100</v>
      </c>
      <c r="O144" s="37">
        <v>100</v>
      </c>
      <c r="P144" s="540"/>
      <c r="Q144" s="540"/>
      <c r="R144" s="540"/>
      <c r="S144" s="540"/>
      <c r="T144" s="540"/>
      <c r="U144" s="540"/>
      <c r="V144" s="540"/>
      <c r="W144" s="540"/>
      <c r="X144" s="540"/>
      <c r="Y144" s="540"/>
      <c r="Z144" s="540"/>
      <c r="AA144" s="540"/>
      <c r="AB144" s="540"/>
      <c r="AC144" s="540"/>
      <c r="AD144" s="540"/>
      <c r="AE144" s="540"/>
    </row>
    <row r="145" spans="3:31" s="539" customFormat="1" ht="12.75" hidden="1" customHeight="1" outlineLevel="1" thickBot="1">
      <c r="C145" s="540"/>
      <c r="D145" s="540"/>
      <c r="E145" s="540"/>
      <c r="F145" s="540"/>
      <c r="G145" s="540"/>
      <c r="H145" s="171">
        <v>38808</v>
      </c>
      <c r="I145" s="167">
        <v>38988</v>
      </c>
      <c r="J145" s="35">
        <v>4.1269999999999998</v>
      </c>
      <c r="K145" s="36" t="s">
        <v>132</v>
      </c>
      <c r="L145" s="36">
        <v>1</v>
      </c>
      <c r="M145" s="36">
        <v>1</v>
      </c>
      <c r="N145" s="36">
        <v>100</v>
      </c>
      <c r="O145" s="37">
        <v>100</v>
      </c>
      <c r="P145" s="540"/>
      <c r="Q145" s="540"/>
      <c r="R145" s="540"/>
      <c r="S145" s="540"/>
      <c r="T145" s="540"/>
      <c r="U145" s="540"/>
      <c r="V145" s="540"/>
      <c r="W145" s="540"/>
      <c r="X145" s="540"/>
      <c r="Y145" s="540"/>
      <c r="Z145" s="540"/>
      <c r="AA145" s="540"/>
      <c r="AB145" s="540"/>
      <c r="AC145" s="540"/>
      <c r="AD145" s="540"/>
      <c r="AE145" s="540"/>
    </row>
    <row r="146" spans="3:31" s="539" customFormat="1" ht="12.75" hidden="1" customHeight="1" outlineLevel="1" thickBot="1">
      <c r="C146" s="540"/>
      <c r="D146" s="540"/>
      <c r="E146" s="540"/>
      <c r="F146" s="540"/>
      <c r="G146" s="540"/>
      <c r="H146" s="171">
        <v>38808</v>
      </c>
      <c r="I146" s="167">
        <v>38797</v>
      </c>
      <c r="J146" s="35">
        <v>4.13</v>
      </c>
      <c r="K146" s="36" t="s">
        <v>132</v>
      </c>
      <c r="L146" s="36">
        <v>1</v>
      </c>
      <c r="M146" s="36">
        <v>1</v>
      </c>
      <c r="N146" s="36">
        <v>100</v>
      </c>
      <c r="O146" s="37">
        <v>100</v>
      </c>
      <c r="P146" s="540"/>
      <c r="Q146" s="540"/>
      <c r="R146" s="540"/>
      <c r="S146" s="540"/>
      <c r="T146" s="540"/>
      <c r="U146" s="540"/>
      <c r="V146" s="540"/>
      <c r="W146" s="540"/>
      <c r="X146" s="540"/>
      <c r="Y146" s="540"/>
      <c r="Z146" s="540"/>
      <c r="AA146" s="540"/>
      <c r="AB146" s="540"/>
      <c r="AC146" s="540"/>
      <c r="AD146" s="540"/>
      <c r="AE146" s="540"/>
    </row>
    <row r="147" spans="3:31" s="539" customFormat="1" ht="12.75" hidden="1" customHeight="1" outlineLevel="1">
      <c r="C147" s="540"/>
      <c r="D147" s="540"/>
      <c r="E147" s="540"/>
      <c r="F147" s="540"/>
      <c r="G147" s="540"/>
      <c r="H147" s="172">
        <v>38718</v>
      </c>
      <c r="I147" s="173">
        <v>38702</v>
      </c>
      <c r="J147" s="38">
        <v>4.0549999999999997</v>
      </c>
      <c r="K147" s="39" t="s">
        <v>132</v>
      </c>
      <c r="L147" s="39">
        <v>1</v>
      </c>
      <c r="M147" s="39">
        <v>1</v>
      </c>
      <c r="N147" s="39">
        <v>100</v>
      </c>
      <c r="O147" s="40">
        <v>100</v>
      </c>
      <c r="P147" s="540"/>
      <c r="Q147" s="540"/>
      <c r="R147" s="540"/>
      <c r="S147" s="540"/>
      <c r="T147" s="540"/>
      <c r="U147" s="540"/>
      <c r="V147" s="540"/>
      <c r="W147" s="540"/>
      <c r="X147" s="540"/>
      <c r="Y147" s="540"/>
      <c r="Z147" s="540"/>
      <c r="AA147" s="540"/>
      <c r="AB147" s="540"/>
      <c r="AC147" s="540"/>
      <c r="AD147" s="540"/>
      <c r="AE147" s="540"/>
    </row>
    <row r="148" spans="3:31" s="539" customFormat="1" ht="12.75" hidden="1" customHeight="1" outlineLevel="1">
      <c r="C148" s="540"/>
      <c r="D148" s="540"/>
      <c r="E148" s="540"/>
      <c r="F148" s="540"/>
      <c r="G148" s="540"/>
      <c r="H148" s="540"/>
      <c r="I148" s="540"/>
      <c r="J148" s="540"/>
      <c r="K148" s="540"/>
      <c r="L148" s="540"/>
      <c r="M148" s="540"/>
      <c r="N148" s="540"/>
      <c r="O148" s="540"/>
      <c r="P148" s="540"/>
      <c r="Q148" s="540"/>
      <c r="R148" s="540"/>
      <c r="S148" s="540"/>
      <c r="T148" s="540"/>
      <c r="U148" s="540"/>
      <c r="V148" s="540"/>
      <c r="W148" s="540"/>
      <c r="X148" s="540"/>
      <c r="Y148" s="540"/>
      <c r="Z148" s="540"/>
      <c r="AA148" s="540"/>
      <c r="AB148" s="540"/>
      <c r="AC148" s="540"/>
      <c r="AD148" s="540"/>
      <c r="AE148" s="540"/>
    </row>
    <row r="149" spans="3:31" s="539" customFormat="1" ht="12.75" hidden="1" customHeight="1" outlineLevel="1">
      <c r="C149" s="540"/>
      <c r="D149" s="540"/>
      <c r="E149" s="540"/>
      <c r="F149" s="540"/>
      <c r="G149" s="540"/>
      <c r="H149" s="540"/>
      <c r="I149" s="540"/>
      <c r="J149" s="540"/>
      <c r="K149" s="540"/>
      <c r="L149" s="540"/>
      <c r="M149" s="540"/>
      <c r="N149" s="540"/>
      <c r="O149" s="540"/>
      <c r="P149" s="540"/>
      <c r="Q149" s="540"/>
      <c r="R149" s="540"/>
      <c r="S149" s="540"/>
      <c r="T149" s="540"/>
      <c r="U149" s="540"/>
      <c r="V149" s="540"/>
      <c r="W149" s="540"/>
      <c r="X149" s="540"/>
      <c r="Y149" s="540"/>
      <c r="Z149" s="540"/>
      <c r="AA149" s="540"/>
      <c r="AB149" s="540"/>
      <c r="AC149" s="540"/>
      <c r="AD149" s="540"/>
      <c r="AE149" s="540"/>
    </row>
    <row r="150" spans="3:31" s="539" customFormat="1" ht="12.75" hidden="1" customHeight="1" outlineLevel="1">
      <c r="C150" s="540"/>
      <c r="D150" s="540"/>
      <c r="E150" s="540"/>
      <c r="F150" s="540"/>
      <c r="G150" s="540"/>
      <c r="H150" s="540"/>
      <c r="I150" s="540"/>
      <c r="J150" s="540"/>
      <c r="K150" s="540"/>
      <c r="L150" s="540"/>
      <c r="M150" s="540"/>
      <c r="N150" s="540"/>
      <c r="O150" s="540"/>
      <c r="P150" s="540"/>
      <c r="Q150" s="540"/>
      <c r="R150" s="540"/>
      <c r="S150" s="540"/>
      <c r="T150" s="540"/>
      <c r="U150" s="540"/>
      <c r="V150" s="540"/>
      <c r="W150" s="540"/>
      <c r="X150" s="540"/>
      <c r="Y150" s="540"/>
      <c r="Z150" s="540"/>
      <c r="AA150" s="540"/>
      <c r="AB150" s="540"/>
      <c r="AC150" s="540"/>
      <c r="AD150" s="540"/>
      <c r="AE150" s="540"/>
    </row>
    <row r="151" spans="3:31" s="539" customFormat="1" ht="12.75" hidden="1" customHeight="1" outlineLevel="1">
      <c r="C151" s="540"/>
      <c r="D151" s="540"/>
      <c r="E151" s="540"/>
      <c r="F151" s="540"/>
      <c r="G151" s="540"/>
      <c r="H151" s="540"/>
      <c r="I151" s="540"/>
      <c r="J151" s="540"/>
      <c r="K151" s="540"/>
      <c r="L151" s="540"/>
      <c r="M151" s="540"/>
      <c r="N151" s="540"/>
      <c r="O151" s="540"/>
      <c r="P151" s="540"/>
      <c r="Q151" s="540"/>
      <c r="R151" s="540"/>
      <c r="S151" s="540"/>
      <c r="T151" s="540"/>
      <c r="U151" s="540"/>
      <c r="V151" s="540"/>
      <c r="W151" s="540"/>
      <c r="X151" s="540"/>
      <c r="Y151" s="540"/>
      <c r="Z151" s="540"/>
      <c r="AA151" s="540"/>
      <c r="AB151" s="540"/>
      <c r="AC151" s="540"/>
      <c r="AD151" s="540"/>
      <c r="AE151" s="540"/>
    </row>
    <row r="152" spans="3:31" s="539" customFormat="1" ht="12.75" hidden="1" customHeight="1" outlineLevel="1">
      <c r="C152" s="540"/>
      <c r="D152" s="540"/>
      <c r="E152" s="540"/>
      <c r="F152" s="540"/>
      <c r="G152" s="540"/>
      <c r="H152" s="540"/>
      <c r="I152" s="540"/>
      <c r="J152" s="540"/>
      <c r="K152" s="540"/>
      <c r="L152" s="540"/>
      <c r="M152" s="540"/>
      <c r="N152" s="540"/>
      <c r="O152" s="540"/>
      <c r="P152" s="540"/>
      <c r="Q152" s="540"/>
      <c r="R152" s="540"/>
      <c r="S152" s="540"/>
      <c r="T152" s="540"/>
      <c r="U152" s="540"/>
      <c r="V152" s="540"/>
      <c r="W152" s="540"/>
      <c r="X152" s="540"/>
      <c r="Y152" s="540"/>
      <c r="Z152" s="540"/>
      <c r="AA152" s="540"/>
      <c r="AB152" s="540"/>
      <c r="AC152" s="540"/>
      <c r="AD152" s="540"/>
      <c r="AE152" s="540"/>
    </row>
    <row r="153" spans="3:31" s="539" customFormat="1" ht="12.75" hidden="1" customHeight="1" outlineLevel="1">
      <c r="C153" s="540"/>
      <c r="D153" s="540"/>
      <c r="E153" s="540"/>
      <c r="F153" s="540"/>
      <c r="G153" s="540"/>
      <c r="H153" s="540"/>
      <c r="I153" s="540"/>
      <c r="J153" s="540"/>
      <c r="K153" s="540"/>
      <c r="L153" s="540"/>
      <c r="M153" s="540"/>
      <c r="N153" s="540"/>
      <c r="O153" s="540"/>
      <c r="P153" s="540"/>
      <c r="Q153" s="540"/>
      <c r="R153" s="540"/>
      <c r="S153" s="540"/>
      <c r="T153" s="540"/>
      <c r="U153" s="540"/>
      <c r="V153" s="540"/>
      <c r="W153" s="540"/>
      <c r="X153" s="540"/>
      <c r="Y153" s="540"/>
      <c r="Z153" s="540"/>
      <c r="AA153" s="540"/>
      <c r="AB153" s="540"/>
      <c r="AC153" s="540"/>
      <c r="AD153" s="540"/>
      <c r="AE153" s="540"/>
    </row>
    <row r="154" spans="3:31" s="539" customFormat="1" ht="12.75" hidden="1" customHeight="1" outlineLevel="1">
      <c r="C154" s="540"/>
      <c r="D154" s="540"/>
      <c r="E154" s="540"/>
      <c r="F154" s="540"/>
      <c r="G154" s="540"/>
      <c r="H154" s="540"/>
      <c r="I154" s="540"/>
      <c r="J154" s="540"/>
      <c r="K154" s="540"/>
      <c r="L154" s="540"/>
      <c r="M154" s="540"/>
      <c r="N154" s="540"/>
      <c r="O154" s="540"/>
      <c r="P154" s="540"/>
      <c r="Q154" s="540"/>
      <c r="R154" s="540"/>
      <c r="S154" s="540"/>
      <c r="T154" s="540"/>
      <c r="U154" s="540"/>
      <c r="V154" s="540"/>
      <c r="W154" s="540"/>
      <c r="X154" s="540"/>
      <c r="Y154" s="540"/>
      <c r="Z154" s="540"/>
      <c r="AA154" s="540"/>
      <c r="AB154" s="540"/>
      <c r="AC154" s="540"/>
      <c r="AD154" s="540"/>
      <c r="AE154" s="540"/>
    </row>
    <row r="155" spans="3:31" s="539" customFormat="1" ht="12.75" hidden="1" customHeight="1" outlineLevel="1">
      <c r="C155" s="540"/>
      <c r="D155" s="540"/>
      <c r="E155" s="540"/>
      <c r="F155" s="540"/>
      <c r="G155" s="540"/>
      <c r="H155" s="540"/>
      <c r="I155" s="540"/>
      <c r="J155" s="540"/>
      <c r="K155" s="540"/>
      <c r="L155" s="540"/>
      <c r="M155" s="540"/>
      <c r="N155" s="540"/>
      <c r="O155" s="540"/>
      <c r="P155" s="540"/>
      <c r="Q155" s="540"/>
      <c r="R155" s="540"/>
      <c r="S155" s="540"/>
      <c r="T155" s="540"/>
      <c r="U155" s="540"/>
      <c r="V155" s="540"/>
      <c r="W155" s="540"/>
      <c r="X155" s="540"/>
      <c r="Y155" s="540"/>
      <c r="Z155" s="540"/>
      <c r="AA155" s="540"/>
      <c r="AB155" s="540"/>
      <c r="AC155" s="540"/>
      <c r="AD155" s="540"/>
      <c r="AE155" s="540"/>
    </row>
    <row r="156" spans="3:31" s="539" customFormat="1" ht="12.75" customHeight="1" collapsed="1">
      <c r="C156" s="540"/>
      <c r="D156" s="540"/>
      <c r="E156" s="540"/>
      <c r="F156" s="540"/>
      <c r="G156" s="540"/>
      <c r="H156" s="540"/>
      <c r="I156" s="540"/>
      <c r="J156" s="540"/>
      <c r="K156" s="540"/>
      <c r="L156" s="540"/>
      <c r="M156" s="540"/>
      <c r="N156" s="540"/>
      <c r="O156" s="540"/>
      <c r="P156" s="540"/>
      <c r="Q156" s="540"/>
      <c r="R156" s="540"/>
      <c r="S156" s="540"/>
      <c r="T156" s="540"/>
      <c r="U156" s="540"/>
      <c r="V156" s="540"/>
      <c r="W156" s="540"/>
      <c r="X156" s="540"/>
      <c r="Y156" s="540"/>
      <c r="Z156" s="540"/>
      <c r="AA156" s="540"/>
      <c r="AB156" s="540"/>
      <c r="AC156" s="540"/>
      <c r="AD156" s="540"/>
      <c r="AE156" s="540"/>
    </row>
    <row r="157" spans="3:31" s="539" customFormat="1" ht="12.75" customHeight="1">
      <c r="C157" s="540"/>
      <c r="D157" s="540"/>
      <c r="E157" s="540"/>
      <c r="F157" s="540"/>
      <c r="G157" s="540"/>
      <c r="H157" s="540"/>
      <c r="I157" s="540"/>
      <c r="J157" s="540"/>
      <c r="K157" s="540"/>
      <c r="L157" s="540"/>
      <c r="M157" s="540"/>
      <c r="N157" s="540"/>
      <c r="O157" s="540"/>
      <c r="P157" s="540"/>
      <c r="Q157" s="540"/>
      <c r="R157" s="540"/>
      <c r="S157" s="540"/>
      <c r="T157" s="540"/>
      <c r="U157" s="540"/>
      <c r="V157" s="540"/>
      <c r="W157" s="540"/>
      <c r="X157" s="540"/>
      <c r="Y157" s="540"/>
      <c r="Z157" s="540"/>
      <c r="AA157" s="540"/>
      <c r="AB157" s="540"/>
      <c r="AC157" s="540"/>
      <c r="AD157" s="540"/>
      <c r="AE157" s="540"/>
    </row>
  </sheetData>
  <phoneticPr fontId="9" type="noConversion"/>
  <printOptions horizontalCentered="1"/>
  <pageMargins left="0.75" right="0.75" top="1" bottom="1" header="0.5" footer="0.5"/>
  <pageSetup scale="40" orientation="landscape" r:id="rId1"/>
  <headerFooter alignWithMargins="0">
    <oddFooter>&amp;R&amp;"Times New Roman,Bold"Sapna Srivastava, Ph.D. 
212.761.4097
Sapna.Srivastava@morganstanley.com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97"/>
  <sheetViews>
    <sheetView zoomScaleNormal="100" workbookViewId="0">
      <pane xSplit="2" topLeftCell="C1" activePane="topRight" state="frozen"/>
      <selection activeCell="N43" sqref="N43"/>
      <selection pane="topRight" activeCell="N95" sqref="N95"/>
    </sheetView>
  </sheetViews>
  <sheetFormatPr defaultRowHeight="12.75" outlineLevelRow="1"/>
  <cols>
    <col min="1" max="1" width="1.85546875" customWidth="1"/>
    <col min="2" max="2" width="37.42578125" customWidth="1"/>
    <col min="3" max="3" width="1.85546875" customWidth="1"/>
  </cols>
  <sheetData>
    <row r="1" spans="2:26">
      <c r="B1" s="25" t="s">
        <v>775</v>
      </c>
      <c r="D1" s="1242">
        <f>DCF!C25</f>
        <v>2</v>
      </c>
      <c r="E1" s="1242"/>
      <c r="G1" s="1243" t="s">
        <v>465</v>
      </c>
      <c r="H1" s="1243"/>
      <c r="I1" s="1243"/>
    </row>
    <row r="3" spans="2:26">
      <c r="B3" s="467"/>
      <c r="C3" s="467"/>
      <c r="D3" s="467">
        <v>2008</v>
      </c>
      <c r="E3" s="467">
        <f>D3+1</f>
        <v>2009</v>
      </c>
      <c r="F3" s="467">
        <f>E3+1</f>
        <v>2010</v>
      </c>
      <c r="G3" s="467">
        <f>F3+1</f>
        <v>2011</v>
      </c>
      <c r="H3" s="467">
        <f>G3+1</f>
        <v>2012</v>
      </c>
      <c r="I3" s="467">
        <f t="shared" ref="I3:P3" si="0">H3+1</f>
        <v>2013</v>
      </c>
      <c r="J3" s="467">
        <f t="shared" si="0"/>
        <v>2014</v>
      </c>
      <c r="K3" s="467">
        <f t="shared" si="0"/>
        <v>2015</v>
      </c>
      <c r="L3" s="467">
        <f t="shared" si="0"/>
        <v>2016</v>
      </c>
      <c r="M3" s="467">
        <f t="shared" si="0"/>
        <v>2017</v>
      </c>
      <c r="N3" s="467">
        <f t="shared" si="0"/>
        <v>2018</v>
      </c>
      <c r="O3" s="467">
        <f t="shared" si="0"/>
        <v>2019</v>
      </c>
      <c r="P3" s="467">
        <f t="shared" si="0"/>
        <v>2020</v>
      </c>
      <c r="Q3" s="467">
        <f t="shared" ref="Q3:Z3" si="1">P3+1</f>
        <v>2021</v>
      </c>
      <c r="R3" s="467">
        <f t="shared" si="1"/>
        <v>2022</v>
      </c>
      <c r="S3" s="467">
        <f t="shared" si="1"/>
        <v>2023</v>
      </c>
      <c r="T3" s="467">
        <f t="shared" si="1"/>
        <v>2024</v>
      </c>
      <c r="U3" s="467">
        <f t="shared" si="1"/>
        <v>2025</v>
      </c>
      <c r="V3" s="467">
        <f t="shared" si="1"/>
        <v>2026</v>
      </c>
      <c r="W3" s="467">
        <f t="shared" si="1"/>
        <v>2027</v>
      </c>
      <c r="X3" s="467">
        <f t="shared" si="1"/>
        <v>2028</v>
      </c>
      <c r="Y3" s="467">
        <f t="shared" si="1"/>
        <v>2029</v>
      </c>
      <c r="Z3" s="467">
        <f t="shared" si="1"/>
        <v>2030</v>
      </c>
    </row>
    <row r="4" spans="2:26" outlineLevel="1">
      <c r="B4" s="469" t="s">
        <v>399</v>
      </c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69"/>
      <c r="R4" s="469"/>
      <c r="S4" s="469"/>
      <c r="T4" s="469"/>
      <c r="U4" s="469"/>
      <c r="V4" s="469"/>
      <c r="W4" s="469"/>
      <c r="X4" s="469"/>
      <c r="Y4" s="469"/>
      <c r="Z4" s="469"/>
    </row>
    <row r="5" spans="2:26" outlineLevel="1">
      <c r="B5" s="10" t="s">
        <v>322</v>
      </c>
      <c r="D5" s="7">
        <f>H5</f>
        <v>0.3</v>
      </c>
      <c r="E5" s="7">
        <f t="shared" ref="E5:G9" si="2">D5</f>
        <v>0.3</v>
      </c>
      <c r="F5" s="7">
        <f t="shared" si="2"/>
        <v>0.3</v>
      </c>
      <c r="G5" s="7">
        <f t="shared" si="2"/>
        <v>0.3</v>
      </c>
      <c r="H5" s="7">
        <v>0.3</v>
      </c>
      <c r="I5" s="7">
        <f>H5</f>
        <v>0.3</v>
      </c>
    </row>
    <row r="6" spans="2:26" outlineLevel="1">
      <c r="B6" s="10" t="s">
        <v>323</v>
      </c>
      <c r="D6" s="7">
        <f>H6</f>
        <v>0.15</v>
      </c>
      <c r="E6" s="7">
        <f t="shared" si="2"/>
        <v>0.15</v>
      </c>
      <c r="F6" s="7">
        <f t="shared" si="2"/>
        <v>0.15</v>
      </c>
      <c r="G6" s="7">
        <f t="shared" si="2"/>
        <v>0.15</v>
      </c>
      <c r="H6" s="7">
        <v>0.15</v>
      </c>
      <c r="I6" s="7">
        <f>H6</f>
        <v>0.15</v>
      </c>
    </row>
    <row r="7" spans="2:26" outlineLevel="1">
      <c r="B7" s="10" t="s">
        <v>324</v>
      </c>
      <c r="D7" s="7">
        <f>H7</f>
        <v>0.12</v>
      </c>
      <c r="E7" s="7">
        <f t="shared" si="2"/>
        <v>0.12</v>
      </c>
      <c r="F7" s="7">
        <f t="shared" si="2"/>
        <v>0.12</v>
      </c>
      <c r="G7" s="7">
        <f t="shared" si="2"/>
        <v>0.12</v>
      </c>
      <c r="H7" s="7">
        <v>0.12</v>
      </c>
      <c r="I7" s="7">
        <f>H7</f>
        <v>0.12</v>
      </c>
    </row>
    <row r="8" spans="2:26" outlineLevel="1">
      <c r="B8" s="10" t="s">
        <v>325</v>
      </c>
      <c r="D8" s="7">
        <f>H8</f>
        <v>0.03</v>
      </c>
      <c r="E8" s="7">
        <f t="shared" si="2"/>
        <v>0.03</v>
      </c>
      <c r="F8" s="7">
        <f t="shared" si="2"/>
        <v>0.03</v>
      </c>
      <c r="G8" s="7">
        <f t="shared" si="2"/>
        <v>0.03</v>
      </c>
      <c r="H8" s="7">
        <v>0.03</v>
      </c>
      <c r="I8" s="7">
        <f>H8</f>
        <v>0.03</v>
      </c>
    </row>
    <row r="9" spans="2:26" outlineLevel="1">
      <c r="B9" s="10" t="s">
        <v>326</v>
      </c>
      <c r="D9" s="7">
        <f>H9</f>
        <v>1</v>
      </c>
      <c r="E9" s="7">
        <f t="shared" si="2"/>
        <v>1</v>
      </c>
      <c r="F9" s="7">
        <f t="shared" si="2"/>
        <v>1</v>
      </c>
      <c r="G9" s="7">
        <f t="shared" si="2"/>
        <v>1</v>
      </c>
      <c r="H9" s="7">
        <v>1</v>
      </c>
      <c r="I9" s="7">
        <f>H9</f>
        <v>1</v>
      </c>
    </row>
    <row r="10" spans="2:26" outlineLevel="1"/>
    <row r="11" spans="2:26" outlineLevel="1">
      <c r="B11" s="473" t="s">
        <v>329</v>
      </c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73"/>
      <c r="R11" s="473"/>
      <c r="S11" s="473"/>
      <c r="T11" s="473"/>
      <c r="U11" s="473"/>
      <c r="V11" s="473"/>
      <c r="W11" s="473"/>
      <c r="X11" s="473"/>
      <c r="Y11" s="473"/>
      <c r="Z11" s="473"/>
    </row>
    <row r="12" spans="2:26" outlineLevel="1">
      <c r="B12" s="10" t="s">
        <v>322</v>
      </c>
      <c r="C12" s="5"/>
      <c r="D12" s="5">
        <v>1022.4</v>
      </c>
      <c r="E12" s="5">
        <v>984.9</v>
      </c>
      <c r="F12" s="5">
        <v>991.19999999999993</v>
      </c>
      <c r="G12" s="5">
        <v>1037.3999999999999</v>
      </c>
      <c r="H12" s="5">
        <v>1190.0999999999999</v>
      </c>
      <c r="I12" s="5">
        <v>1276.8</v>
      </c>
    </row>
    <row r="13" spans="2:26" outlineLevel="1">
      <c r="B13" s="10" t="s">
        <v>323</v>
      </c>
      <c r="C13" s="5"/>
      <c r="D13" s="5">
        <v>330</v>
      </c>
      <c r="E13" s="5">
        <v>378</v>
      </c>
      <c r="F13" s="5">
        <v>430.8</v>
      </c>
      <c r="G13" s="5">
        <v>514.04999999999995</v>
      </c>
      <c r="H13" s="5">
        <v>656.55</v>
      </c>
      <c r="I13" s="5">
        <v>785.4</v>
      </c>
    </row>
    <row r="14" spans="2:26" outlineLevel="1">
      <c r="B14" s="10" t="s">
        <v>324</v>
      </c>
      <c r="C14" s="5"/>
      <c r="D14" s="5">
        <v>337.2</v>
      </c>
      <c r="E14" s="5">
        <v>370.56</v>
      </c>
      <c r="F14" s="5">
        <v>371.88</v>
      </c>
      <c r="G14" s="5">
        <v>393.12</v>
      </c>
      <c r="H14" s="5">
        <v>429.96</v>
      </c>
      <c r="I14" s="5">
        <v>466.91999999999996</v>
      </c>
    </row>
    <row r="15" spans="2:26" outlineLevel="1">
      <c r="B15" s="10" t="s">
        <v>325</v>
      </c>
      <c r="C15" s="5"/>
      <c r="D15" s="5">
        <v>0</v>
      </c>
      <c r="E15" s="5">
        <v>0</v>
      </c>
      <c r="F15" s="5">
        <v>5.46</v>
      </c>
      <c r="G15" s="5">
        <v>7.05</v>
      </c>
      <c r="H15" s="5">
        <v>8.76</v>
      </c>
      <c r="I15" s="5">
        <v>12.12</v>
      </c>
    </row>
    <row r="16" spans="2:26" outlineLevel="1">
      <c r="B16" s="10" t="s">
        <v>326</v>
      </c>
      <c r="C16" s="5"/>
      <c r="D16" s="5">
        <v>0</v>
      </c>
      <c r="E16" s="5">
        <v>0</v>
      </c>
      <c r="F16" s="5">
        <v>244</v>
      </c>
      <c r="G16" s="5">
        <v>443</v>
      </c>
      <c r="H16" s="5">
        <v>627</v>
      </c>
      <c r="I16" s="5">
        <v>957</v>
      </c>
    </row>
    <row r="17" spans="2:28" outlineLevel="1">
      <c r="B17" s="131" t="s">
        <v>249</v>
      </c>
      <c r="C17" s="132"/>
      <c r="D17" s="132">
        <f t="shared" ref="D17:I17" si="3">SUM(D12:D16)</f>
        <v>1689.6000000000001</v>
      </c>
      <c r="E17" s="132">
        <f t="shared" si="3"/>
        <v>1733.46</v>
      </c>
      <c r="F17" s="132">
        <f t="shared" si="3"/>
        <v>2043.3400000000001</v>
      </c>
      <c r="G17" s="132">
        <f t="shared" si="3"/>
        <v>2394.62</v>
      </c>
      <c r="H17" s="132">
        <f t="shared" si="3"/>
        <v>2912.37</v>
      </c>
      <c r="I17" s="132">
        <f t="shared" si="3"/>
        <v>3498.24</v>
      </c>
    </row>
    <row r="18" spans="2:28" outlineLevel="1">
      <c r="B18" s="27" t="s">
        <v>328</v>
      </c>
      <c r="C18" s="135"/>
      <c r="D18" s="133"/>
      <c r="E18" s="133">
        <f>E17/D17-1</f>
        <v>2.5958806818181746E-2</v>
      </c>
      <c r="F18" s="133">
        <f>F17/E17-1</f>
        <v>0.17876385956410878</v>
      </c>
      <c r="G18" s="133">
        <f>G17/F17-1</f>
        <v>0.17191461039278821</v>
      </c>
      <c r="H18" s="133">
        <f>H17/G17-1</f>
        <v>0.21621384603820237</v>
      </c>
      <c r="I18" s="133">
        <f>I17/H17-1</f>
        <v>0.20116606063103237</v>
      </c>
    </row>
    <row r="19" spans="2:28" outlineLevel="1"/>
    <row r="20" spans="2:28" outlineLevel="1">
      <c r="B20" s="473" t="s">
        <v>330</v>
      </c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Z20" s="473"/>
    </row>
    <row r="21" spans="2:28" outlineLevel="1">
      <c r="B21" s="10" t="s">
        <v>322</v>
      </c>
      <c r="C21" s="5"/>
      <c r="D21" s="5">
        <v>75029.377700000841</v>
      </c>
      <c r="E21" s="5">
        <v>66678.982882085402</v>
      </c>
      <c r="F21" s="5">
        <v>62316.859350999322</v>
      </c>
      <c r="G21" s="5">
        <v>60663.192900673173</v>
      </c>
      <c r="H21" s="5">
        <v>61176.312383800461</v>
      </c>
      <c r="I21" s="5">
        <v>58384.631145764353</v>
      </c>
    </row>
    <row r="22" spans="2:28" outlineLevel="1">
      <c r="B22" s="10" t="s">
        <v>323</v>
      </c>
      <c r="C22" s="5"/>
      <c r="D22" s="5">
        <v>23129.648809715676</v>
      </c>
      <c r="E22" s="5">
        <v>24952.041581983198</v>
      </c>
      <c r="F22" s="5">
        <v>26357.523749188884</v>
      </c>
      <c r="G22" s="5">
        <v>28562.663433109785</v>
      </c>
      <c r="H22" s="5">
        <v>32277.965538636938</v>
      </c>
      <c r="I22" s="5">
        <v>33788.94852289831</v>
      </c>
    </row>
    <row r="23" spans="2:28" outlineLevel="1">
      <c r="B23" s="10" t="s">
        <v>324</v>
      </c>
      <c r="C23" s="5"/>
      <c r="D23" s="5">
        <v>24100.038315630307</v>
      </c>
      <c r="E23" s="5">
        <v>25490.173014136602</v>
      </c>
      <c r="F23" s="5">
        <v>24442.653376614733</v>
      </c>
      <c r="G23" s="5">
        <v>24298.29044170821</v>
      </c>
      <c r="H23" s="5">
        <v>24538.297516070939</v>
      </c>
      <c r="I23" s="5">
        <v>24449.547438311387</v>
      </c>
    </row>
    <row r="24" spans="2:28" outlineLevel="1">
      <c r="B24" s="10" t="s">
        <v>325</v>
      </c>
      <c r="C24" s="5"/>
      <c r="D24" s="5"/>
      <c r="E24" s="5"/>
      <c r="F24" s="5">
        <v>310.60075690161921</v>
      </c>
      <c r="G24" s="5">
        <v>362.5145598766648</v>
      </c>
      <c r="H24" s="5">
        <v>398.45794727531432</v>
      </c>
      <c r="I24" s="5">
        <v>481.92408908295209</v>
      </c>
    </row>
    <row r="25" spans="2:28" outlineLevel="1">
      <c r="B25" s="10" t="s">
        <v>326</v>
      </c>
      <c r="C25" s="5"/>
      <c r="D25" s="5"/>
      <c r="E25" s="5"/>
      <c r="F25" s="5">
        <v>10088.980335778786</v>
      </c>
      <c r="G25" s="5">
        <v>16485.108938067682</v>
      </c>
      <c r="H25" s="5">
        <v>21174.583730495295</v>
      </c>
      <c r="I25" s="5">
        <v>28627.957730349259</v>
      </c>
    </row>
    <row r="26" spans="2:28">
      <c r="B26" s="10"/>
      <c r="C26" s="5"/>
      <c r="D26" s="5"/>
      <c r="E26" s="5"/>
      <c r="F26" s="5"/>
      <c r="G26" s="5"/>
      <c r="H26" s="5"/>
    </row>
    <row r="27" spans="2:28">
      <c r="B27" s="131" t="s">
        <v>400</v>
      </c>
      <c r="C27" s="132"/>
      <c r="D27" s="132">
        <f t="shared" ref="D27:I27" si="4">SUM(D21:D25)</f>
        <v>122259.06482534684</v>
      </c>
      <c r="E27" s="132">
        <f t="shared" si="4"/>
        <v>117121.1974782052</v>
      </c>
      <c r="F27" s="132">
        <f t="shared" si="4"/>
        <v>123516.61756948335</v>
      </c>
      <c r="G27" s="132">
        <f t="shared" si="4"/>
        <v>130371.77027343551</v>
      </c>
      <c r="H27" s="132">
        <f t="shared" si="4"/>
        <v>139565.61711627894</v>
      </c>
      <c r="I27" s="132">
        <f t="shared" si="4"/>
        <v>145733.00892640627</v>
      </c>
      <c r="J27" s="132">
        <f t="shared" ref="J27:O27" si="5">I27*(1+J28)</f>
        <v>153019.6593727266</v>
      </c>
      <c r="K27" s="132">
        <f t="shared" si="5"/>
        <v>160670.64234136292</v>
      </c>
      <c r="L27" s="132">
        <f t="shared" si="5"/>
        <v>168704.17445843108</v>
      </c>
      <c r="M27" s="132">
        <f t="shared" si="5"/>
        <v>177139.38318135263</v>
      </c>
      <c r="N27" s="132">
        <f t="shared" si="5"/>
        <v>185996.35234042027</v>
      </c>
      <c r="O27" s="132">
        <f t="shared" si="5"/>
        <v>195296.16995744131</v>
      </c>
      <c r="P27" s="132">
        <f>O27*(1+P28)</f>
        <v>205060.97845531339</v>
      </c>
      <c r="Q27" s="132">
        <f t="shared" ref="Q27:W27" si="6">P27*(1+Q28)</f>
        <v>215314.02737807907</v>
      </c>
      <c r="R27" s="132">
        <f t="shared" si="6"/>
        <v>226079.72874698305</v>
      </c>
      <c r="S27" s="132">
        <f t="shared" si="6"/>
        <v>237383.71518433222</v>
      </c>
      <c r="T27" s="132">
        <f t="shared" si="6"/>
        <v>249252.90094354886</v>
      </c>
      <c r="U27" s="132">
        <f t="shared" si="6"/>
        <v>261715.5459907263</v>
      </c>
      <c r="V27" s="132">
        <f t="shared" si="6"/>
        <v>274801.3232902626</v>
      </c>
      <c r="W27" s="132">
        <f t="shared" si="6"/>
        <v>288541.38945477572</v>
      </c>
      <c r="X27" s="132">
        <f>W27*(1+X28)</f>
        <v>302968.4589275145</v>
      </c>
      <c r="Y27" s="132">
        <f>X27*(1+Y28)</f>
        <v>318116.88187389023</v>
      </c>
      <c r="Z27" s="132">
        <f>Y27*(1+Z28)</f>
        <v>334022.72596758476</v>
      </c>
      <c r="AB27" s="360" t="s">
        <v>401</v>
      </c>
    </row>
    <row r="28" spans="2:28">
      <c r="B28" s="27" t="s">
        <v>328</v>
      </c>
      <c r="C28" s="28"/>
      <c r="D28" s="133"/>
      <c r="E28" s="133">
        <f>E27/D27-1</f>
        <v>-4.2024428654687807E-2</v>
      </c>
      <c r="F28" s="133">
        <f>F27/E27-1</f>
        <v>5.4605146028055884E-2</v>
      </c>
      <c r="G28" s="133">
        <f>G27/F27-1</f>
        <v>5.5499841550436191E-2</v>
      </c>
      <c r="H28" s="133">
        <f>H27/G27-1</f>
        <v>7.0520227067260688E-2</v>
      </c>
      <c r="I28" s="133">
        <f>I27/H27-1</f>
        <v>4.4189908213489115E-2</v>
      </c>
      <c r="J28" s="605">
        <v>0.05</v>
      </c>
      <c r="K28" s="137">
        <f t="shared" ref="K28:P28" si="7">J28</f>
        <v>0.05</v>
      </c>
      <c r="L28" s="137">
        <f t="shared" si="7"/>
        <v>0.05</v>
      </c>
      <c r="M28" s="137">
        <f t="shared" si="7"/>
        <v>0.05</v>
      </c>
      <c r="N28" s="137">
        <f t="shared" si="7"/>
        <v>0.05</v>
      </c>
      <c r="O28" s="137">
        <f>N28</f>
        <v>0.05</v>
      </c>
      <c r="P28" s="137">
        <f t="shared" si="7"/>
        <v>0.05</v>
      </c>
      <c r="Q28" s="137">
        <f t="shared" ref="Q28:Z28" si="8">P28</f>
        <v>0.05</v>
      </c>
      <c r="R28" s="137">
        <f t="shared" si="8"/>
        <v>0.05</v>
      </c>
      <c r="S28" s="137">
        <f t="shared" si="8"/>
        <v>0.05</v>
      </c>
      <c r="T28" s="137">
        <f t="shared" si="8"/>
        <v>0.05</v>
      </c>
      <c r="U28" s="137">
        <f t="shared" si="8"/>
        <v>0.05</v>
      </c>
      <c r="V28" s="137">
        <f t="shared" si="8"/>
        <v>0.05</v>
      </c>
      <c r="W28" s="137">
        <f t="shared" si="8"/>
        <v>0.05</v>
      </c>
      <c r="X28" s="137">
        <f t="shared" si="8"/>
        <v>0.05</v>
      </c>
      <c r="Y28" s="137">
        <f t="shared" si="8"/>
        <v>0.05</v>
      </c>
      <c r="Z28" s="137">
        <f t="shared" si="8"/>
        <v>0.05</v>
      </c>
    </row>
    <row r="29" spans="2:28" hidden="1">
      <c r="D29" s="130"/>
      <c r="E29" s="130"/>
      <c r="F29" s="130"/>
      <c r="G29" s="130"/>
      <c r="H29" s="130"/>
    </row>
    <row r="30" spans="2:28" hidden="1">
      <c r="B30" s="473" t="s">
        <v>331</v>
      </c>
      <c r="C30" s="473"/>
      <c r="D30" s="473"/>
      <c r="E30" s="473"/>
      <c r="F30" s="473"/>
      <c r="G30" s="473"/>
      <c r="H30" s="473"/>
      <c r="I30" s="473"/>
      <c r="J30" s="473"/>
      <c r="K30" s="473"/>
      <c r="L30" s="473"/>
      <c r="M30" s="473"/>
      <c r="N30" s="473"/>
      <c r="O30" s="473"/>
      <c r="P30" s="473"/>
      <c r="Q30" s="757"/>
      <c r="R30" s="757"/>
      <c r="S30" s="757"/>
      <c r="T30" s="757"/>
      <c r="U30" s="757"/>
      <c r="V30" s="757"/>
      <c r="W30" s="757"/>
      <c r="X30" s="757"/>
      <c r="Y30" s="757"/>
      <c r="Z30" s="757"/>
    </row>
    <row r="31" spans="2:28" hidden="1">
      <c r="B31" s="10" t="s">
        <v>322</v>
      </c>
      <c r="C31" s="130"/>
      <c r="D31" s="130">
        <f t="shared" ref="D31:H35" si="9">D21/D$27</f>
        <v>0.61369173571860736</v>
      </c>
      <c r="E31" s="130">
        <f t="shared" si="9"/>
        <v>0.56931609578610676</v>
      </c>
      <c r="F31" s="130">
        <f t="shared" si="9"/>
        <v>0.50452206818198719</v>
      </c>
      <c r="G31" s="130">
        <f t="shared" si="9"/>
        <v>0.46530926728570993</v>
      </c>
      <c r="H31" s="130">
        <f t="shared" si="9"/>
        <v>0.43833369312465753</v>
      </c>
    </row>
    <row r="32" spans="2:28" hidden="1">
      <c r="B32" s="10" t="s">
        <v>323</v>
      </c>
      <c r="C32" s="130"/>
      <c r="D32" s="130">
        <f t="shared" si="9"/>
        <v>0.18918555317560731</v>
      </c>
      <c r="E32" s="130">
        <f t="shared" si="9"/>
        <v>0.21304462487780201</v>
      </c>
      <c r="F32" s="130">
        <f t="shared" si="9"/>
        <v>0.21339253185395604</v>
      </c>
      <c r="G32" s="130">
        <f t="shared" si="9"/>
        <v>0.21908625903601539</v>
      </c>
      <c r="H32" s="130">
        <f t="shared" si="9"/>
        <v>0.23127448010167567</v>
      </c>
    </row>
    <row r="33" spans="2:26" hidden="1">
      <c r="B33" s="10" t="s">
        <v>324</v>
      </c>
      <c r="C33" s="130"/>
      <c r="D33" s="130">
        <f t="shared" si="9"/>
        <v>0.19712271110578516</v>
      </c>
      <c r="E33" s="130">
        <f t="shared" si="9"/>
        <v>0.2176392793360912</v>
      </c>
      <c r="F33" s="130">
        <f t="shared" si="9"/>
        <v>0.19788959459535638</v>
      </c>
      <c r="G33" s="130">
        <f t="shared" si="9"/>
        <v>0.1863769310698638</v>
      </c>
      <c r="H33" s="130">
        <f t="shared" si="9"/>
        <v>0.17581907365928734</v>
      </c>
    </row>
    <row r="34" spans="2:26" hidden="1">
      <c r="B34" s="10" t="s">
        <v>325</v>
      </c>
      <c r="C34" s="130"/>
      <c r="D34" s="130">
        <f t="shared" si="9"/>
        <v>0</v>
      </c>
      <c r="E34" s="130">
        <f t="shared" si="9"/>
        <v>0</v>
      </c>
      <c r="F34" s="130">
        <f t="shared" si="9"/>
        <v>2.5146475268956669E-3</v>
      </c>
      <c r="G34" s="130">
        <f t="shared" si="9"/>
        <v>2.7806215955827255E-3</v>
      </c>
      <c r="H34" s="130">
        <f t="shared" si="9"/>
        <v>2.8549864609084879E-3</v>
      </c>
    </row>
    <row r="35" spans="2:26" hidden="1">
      <c r="B35" s="10" t="s">
        <v>326</v>
      </c>
      <c r="C35" s="130"/>
      <c r="D35" s="130">
        <f t="shared" si="9"/>
        <v>0</v>
      </c>
      <c r="E35" s="130">
        <f t="shared" si="9"/>
        <v>0</v>
      </c>
      <c r="F35" s="130">
        <f t="shared" si="9"/>
        <v>8.1681157841804602E-2</v>
      </c>
      <c r="G35" s="130">
        <f t="shared" si="9"/>
        <v>0.1264469210128282</v>
      </c>
      <c r="H35" s="130">
        <f t="shared" si="9"/>
        <v>0.15171776665347106</v>
      </c>
    </row>
    <row r="36" spans="2:26" hidden="1">
      <c r="D36" s="130"/>
      <c r="E36" s="130"/>
      <c r="F36" s="130"/>
      <c r="G36" s="130"/>
      <c r="H36" s="130"/>
    </row>
    <row r="37" spans="2:26" hidden="1">
      <c r="B37" s="473" t="s">
        <v>332</v>
      </c>
      <c r="C37" s="473"/>
      <c r="D37" s="473"/>
      <c r="E37" s="473"/>
      <c r="F37" s="473"/>
      <c r="G37" s="473"/>
      <c r="H37" s="473"/>
      <c r="I37" s="473"/>
      <c r="J37" s="473"/>
      <c r="K37" s="473"/>
      <c r="L37" s="473"/>
      <c r="M37" s="473"/>
      <c r="N37" s="473"/>
      <c r="O37" s="473"/>
      <c r="P37" s="473"/>
      <c r="Q37" s="757"/>
      <c r="R37" s="757"/>
      <c r="S37" s="757"/>
      <c r="T37" s="757"/>
      <c r="U37" s="757"/>
      <c r="V37" s="757"/>
      <c r="W37" s="757"/>
      <c r="X37" s="757"/>
      <c r="Y37" s="757"/>
      <c r="Z37" s="757"/>
    </row>
    <row r="38" spans="2:26" hidden="1">
      <c r="B38" s="10" t="s">
        <v>322</v>
      </c>
      <c r="D38" s="2"/>
      <c r="E38" s="2">
        <f t="shared" ref="E38:H40" si="10">E21/D21-1</f>
        <v>-0.11129500302273398</v>
      </c>
      <c r="F38" s="2">
        <f t="shared" si="10"/>
        <v>-6.5419767107126159E-2</v>
      </c>
      <c r="G38" s="2">
        <f t="shared" si="10"/>
        <v>-2.6536421564698598E-2</v>
      </c>
      <c r="H38" s="2">
        <f t="shared" si="10"/>
        <v>8.4584977907022907E-3</v>
      </c>
    </row>
    <row r="39" spans="2:26" hidden="1">
      <c r="B39" s="10" t="s">
        <v>323</v>
      </c>
      <c r="D39" s="2"/>
      <c r="E39" s="2">
        <f t="shared" si="10"/>
        <v>7.8790334745680202E-2</v>
      </c>
      <c r="F39" s="2">
        <f t="shared" si="10"/>
        <v>5.6327341495796768E-2</v>
      </c>
      <c r="G39" s="2">
        <f t="shared" si="10"/>
        <v>8.3662627221905206E-2</v>
      </c>
      <c r="H39" s="2">
        <f t="shared" si="10"/>
        <v>0.13007547822799959</v>
      </c>
    </row>
    <row r="40" spans="2:26" hidden="1">
      <c r="B40" s="10" t="s">
        <v>324</v>
      </c>
      <c r="D40" s="2"/>
      <c r="E40" s="2">
        <f t="shared" si="10"/>
        <v>5.7681845991286673E-2</v>
      </c>
      <c r="F40" s="2">
        <f t="shared" si="10"/>
        <v>-4.1095038348344048E-2</v>
      </c>
      <c r="G40" s="2">
        <f t="shared" si="10"/>
        <v>-5.9061891801256428E-3</v>
      </c>
      <c r="H40" s="2">
        <f t="shared" si="10"/>
        <v>9.8775292417592198E-3</v>
      </c>
    </row>
    <row r="41" spans="2:26" hidden="1">
      <c r="B41" s="10" t="s">
        <v>325</v>
      </c>
      <c r="D41" s="2"/>
      <c r="E41" s="2"/>
      <c r="F41" s="2"/>
      <c r="G41" s="2">
        <f>G24/F24-1</f>
        <v>0.1671399757454195</v>
      </c>
      <c r="H41" s="2">
        <f>H24/G24-1</f>
        <v>9.9150189749284134E-2</v>
      </c>
    </row>
    <row r="42" spans="2:26" hidden="1">
      <c r="B42" s="10" t="s">
        <v>326</v>
      </c>
      <c r="E42" s="2"/>
      <c r="F42" s="2"/>
      <c r="G42" s="2">
        <f>G25/F25-1</f>
        <v>0.63397175823667307</v>
      </c>
      <c r="H42" s="2">
        <f>H25/G25-1</f>
        <v>0.28446732199619262</v>
      </c>
    </row>
    <row r="43" spans="2:26" hidden="1">
      <c r="B43" s="131" t="s">
        <v>249</v>
      </c>
      <c r="C43" s="72"/>
      <c r="D43" s="134"/>
      <c r="E43" s="134">
        <f>E27/D27-1</f>
        <v>-4.2024428654687807E-2</v>
      </c>
      <c r="F43" s="134">
        <f>F27/E27-1</f>
        <v>5.4605146028055884E-2</v>
      </c>
      <c r="G43" s="134">
        <f>G27/F27-1</f>
        <v>5.5499841550436191E-2</v>
      </c>
      <c r="H43" s="134">
        <f>H27/G27-1</f>
        <v>7.0520227067260688E-2</v>
      </c>
    </row>
    <row r="44" spans="2:26" hidden="1"/>
    <row r="45" spans="2:26" hidden="1">
      <c r="B45" s="473" t="s">
        <v>333</v>
      </c>
      <c r="C45" s="473"/>
      <c r="D45" s="473"/>
      <c r="E45" s="473"/>
      <c r="F45" s="473"/>
      <c r="G45" s="473"/>
      <c r="H45" s="473"/>
      <c r="I45" s="473"/>
      <c r="J45" s="473"/>
      <c r="K45" s="473"/>
      <c r="L45" s="473"/>
      <c r="M45" s="473"/>
      <c r="N45" s="473"/>
      <c r="O45" s="473"/>
      <c r="P45" s="473"/>
      <c r="Q45" s="757"/>
      <c r="R45" s="757"/>
      <c r="S45" s="757"/>
      <c r="T45" s="757"/>
      <c r="U45" s="757"/>
      <c r="V45" s="757"/>
      <c r="W45" s="757"/>
      <c r="X45" s="757"/>
      <c r="Y45" s="757"/>
      <c r="Z45" s="757"/>
    </row>
    <row r="46" spans="2:26" hidden="1">
      <c r="B46" s="10" t="s">
        <v>322</v>
      </c>
      <c r="D46" s="2"/>
      <c r="E46" s="2">
        <f t="shared" ref="E46:H48" si="11">E12/D12-1-E38</f>
        <v>7.461659926686548E-2</v>
      </c>
      <c r="F46" s="2">
        <f t="shared" si="11"/>
        <v>7.1816355593266934E-2</v>
      </c>
      <c r="G46" s="2">
        <f t="shared" si="11"/>
        <v>7.3146591056223897E-2</v>
      </c>
      <c r="H46" s="2">
        <f t="shared" si="11"/>
        <v>0.1387364125621029</v>
      </c>
    </row>
    <row r="47" spans="2:26" hidden="1">
      <c r="B47" s="10" t="s">
        <v>323</v>
      </c>
      <c r="D47" s="2"/>
      <c r="E47" s="2">
        <f t="shared" si="11"/>
        <v>6.6664210708865301E-2</v>
      </c>
      <c r="F47" s="2">
        <f t="shared" si="11"/>
        <v>8.3355198186742863E-2</v>
      </c>
      <c r="G47" s="2">
        <f t="shared" si="11"/>
        <v>0.10958249812628407</v>
      </c>
      <c r="H47" s="2">
        <f t="shared" si="11"/>
        <v>0.14713490986654376</v>
      </c>
    </row>
    <row r="48" spans="2:26" hidden="1">
      <c r="B48" s="10" t="s">
        <v>324</v>
      </c>
      <c r="D48" s="2"/>
      <c r="E48" s="2">
        <f t="shared" si="11"/>
        <v>4.1250538350350308E-2</v>
      </c>
      <c r="F48" s="2">
        <f t="shared" si="11"/>
        <v>4.465721451414717E-2</v>
      </c>
      <c r="G48" s="2">
        <f t="shared" si="11"/>
        <v>6.302138763123899E-2</v>
      </c>
      <c r="H48" s="2">
        <f t="shared" si="11"/>
        <v>8.3834314470084381E-2</v>
      </c>
    </row>
    <row r="49" spans="2:28" hidden="1">
      <c r="B49" s="10" t="s">
        <v>325</v>
      </c>
      <c r="D49" s="2"/>
      <c r="E49" s="2"/>
      <c r="F49" s="2"/>
      <c r="G49" s="2">
        <f t="shared" ref="G49:H51" si="12">G15/F15-1-G41</f>
        <v>0.12406881546337178</v>
      </c>
      <c r="H49" s="2">
        <f t="shared" si="12"/>
        <v>0.14340300174007758</v>
      </c>
    </row>
    <row r="50" spans="2:28" hidden="1">
      <c r="B50" s="10" t="s">
        <v>326</v>
      </c>
      <c r="D50" s="2"/>
      <c r="E50" s="2"/>
      <c r="F50" s="2"/>
      <c r="G50" s="2">
        <f t="shared" si="12"/>
        <v>0.18160201225513029</v>
      </c>
      <c r="H50" s="2">
        <f t="shared" si="12"/>
        <v>0.13088256513699026</v>
      </c>
    </row>
    <row r="51" spans="2:28" hidden="1">
      <c r="B51" s="131" t="s">
        <v>327</v>
      </c>
      <c r="C51" s="72"/>
      <c r="D51" s="134"/>
      <c r="E51" s="134">
        <f>E17/D17-1-E43</f>
        <v>6.7983235472869552E-2</v>
      </c>
      <c r="F51" s="134">
        <f>F17/E17-1-F43</f>
        <v>0.1241587135360529</v>
      </c>
      <c r="G51" s="134">
        <f t="shared" si="12"/>
        <v>0.11641476884235202</v>
      </c>
      <c r="H51" s="134">
        <f t="shared" si="12"/>
        <v>0.14569361897094169</v>
      </c>
    </row>
    <row r="52" spans="2:28" hidden="1">
      <c r="E52" s="2"/>
      <c r="F52" s="2"/>
      <c r="G52" s="2"/>
      <c r="H52" s="2"/>
    </row>
    <row r="53" spans="2:28" hidden="1"/>
    <row r="54" spans="2:28" hidden="1">
      <c r="B54" t="s">
        <v>334</v>
      </c>
    </row>
    <row r="55" spans="2:28" hidden="1">
      <c r="B55" t="s">
        <v>335</v>
      </c>
      <c r="H55">
        <v>575000</v>
      </c>
    </row>
    <row r="56" spans="2:28" hidden="1">
      <c r="B56" t="s">
        <v>336</v>
      </c>
      <c r="H56">
        <v>975000</v>
      </c>
    </row>
    <row r="57" spans="2:28" hidden="1">
      <c r="B57" t="s">
        <v>337</v>
      </c>
      <c r="H57">
        <v>625000</v>
      </c>
    </row>
    <row r="58" spans="2:28" hidden="1">
      <c r="B58" t="s">
        <v>338</v>
      </c>
      <c r="H58">
        <f>175000+150000</f>
        <v>325000</v>
      </c>
    </row>
    <row r="60" spans="2:28">
      <c r="B60" s="606" t="s">
        <v>402</v>
      </c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</row>
    <row r="61" spans="2:28">
      <c r="B61" s="360" t="s">
        <v>403</v>
      </c>
      <c r="H61" s="130">
        <f>H55/SUM($H$55:$H$58)</f>
        <v>0.23</v>
      </c>
      <c r="I61" s="7">
        <f>1-I62-I63-I64</f>
        <v>0.22099999999999997</v>
      </c>
      <c r="J61" s="7">
        <f t="shared" ref="J61:O61" si="13">1-J62-J63-J64</f>
        <v>0.21188399999999993</v>
      </c>
      <c r="K61" s="7">
        <f t="shared" si="13"/>
        <v>0.20265031999999997</v>
      </c>
      <c r="L61" s="7">
        <f t="shared" si="13"/>
        <v>0.19329725280000001</v>
      </c>
      <c r="M61" s="7">
        <f t="shared" si="13"/>
        <v>0.18382306352</v>
      </c>
      <c r="N61" s="7">
        <f t="shared" si="13"/>
        <v>0.17422598911104004</v>
      </c>
      <c r="O61" s="7">
        <f t="shared" si="13"/>
        <v>0.16450423785710713</v>
      </c>
      <c r="P61" s="7">
        <f>1-P62-P63-P64</f>
        <v>0.15465598886773421</v>
      </c>
      <c r="Q61" s="7">
        <f t="shared" ref="Q61:Z61" si="14">1-Q62-Q63-Q64</f>
        <v>0.14467939156110854</v>
      </c>
      <c r="R61" s="7">
        <f t="shared" si="14"/>
        <v>0.13457256513751059</v>
      </c>
      <c r="S61" s="7">
        <f t="shared" si="14"/>
        <v>0.12433359804289257</v>
      </c>
      <c r="T61" s="7">
        <f t="shared" si="14"/>
        <v>0.11396054742240838</v>
      </c>
      <c r="U61" s="7">
        <f t="shared" si="14"/>
        <v>0.10345143856370112</v>
      </c>
      <c r="V61" s="7">
        <f t="shared" si="14"/>
        <v>9.2804264329748143E-2</v>
      </c>
      <c r="W61" s="7">
        <f t="shared" si="14"/>
        <v>8.2016984581063851E-2</v>
      </c>
      <c r="X61" s="7">
        <f t="shared" si="14"/>
        <v>7.1087525587053113E-2</v>
      </c>
      <c r="Y61" s="7">
        <f t="shared" si="14"/>
        <v>6.0013779426305897E-2</v>
      </c>
      <c r="Z61" s="7">
        <f t="shared" si="14"/>
        <v>4.8793603375618805E-2</v>
      </c>
      <c r="AB61" s="360" t="s">
        <v>405</v>
      </c>
    </row>
    <row r="62" spans="2:28">
      <c r="B62" s="360" t="s">
        <v>404</v>
      </c>
      <c r="H62" s="130">
        <f>H56/SUM($H$55:$H$58)</f>
        <v>0.39</v>
      </c>
      <c r="I62" s="130">
        <f>H62*1.01</f>
        <v>0.39390000000000003</v>
      </c>
      <c r="J62" s="130">
        <f t="shared" ref="J62:P62" si="15">I62*1.01</f>
        <v>0.39783900000000005</v>
      </c>
      <c r="K62" s="130">
        <f t="shared" si="15"/>
        <v>0.40181739000000005</v>
      </c>
      <c r="L62" s="130">
        <f t="shared" si="15"/>
        <v>0.40583556390000003</v>
      </c>
      <c r="M62" s="130">
        <f t="shared" si="15"/>
        <v>0.40989391953900001</v>
      </c>
      <c r="N62" s="130">
        <f t="shared" si="15"/>
        <v>0.41399285873439001</v>
      </c>
      <c r="O62" s="130">
        <f t="shared" si="15"/>
        <v>0.41813278732173392</v>
      </c>
      <c r="P62" s="130">
        <f t="shared" si="15"/>
        <v>0.42231411519495127</v>
      </c>
      <c r="Q62" s="130">
        <f t="shared" ref="Q62:Z62" si="16">P62*1.01</f>
        <v>0.42653725634690076</v>
      </c>
      <c r="R62" s="130">
        <f t="shared" si="16"/>
        <v>0.4308026289103698</v>
      </c>
      <c r="S62" s="130">
        <f t="shared" si="16"/>
        <v>0.43511065519947351</v>
      </c>
      <c r="T62" s="130">
        <f t="shared" si="16"/>
        <v>0.43946176175146823</v>
      </c>
      <c r="U62" s="130">
        <f t="shared" si="16"/>
        <v>0.44385637936898292</v>
      </c>
      <c r="V62" s="130">
        <f t="shared" si="16"/>
        <v>0.44829494316267277</v>
      </c>
      <c r="W62" s="130">
        <f t="shared" si="16"/>
        <v>0.45277789259429951</v>
      </c>
      <c r="X62" s="130">
        <f t="shared" si="16"/>
        <v>0.45730567152024254</v>
      </c>
      <c r="Y62" s="130">
        <f t="shared" si="16"/>
        <v>0.46187872823544496</v>
      </c>
      <c r="Z62" s="130">
        <f t="shared" si="16"/>
        <v>0.46649751551779939</v>
      </c>
    </row>
    <row r="63" spans="2:28">
      <c r="B63" t="s">
        <v>337</v>
      </c>
      <c r="H63" s="130">
        <f>H57/SUM($H$55:$H$58)</f>
        <v>0.25</v>
      </c>
      <c r="I63" s="130">
        <f>H63*1.01</f>
        <v>0.2525</v>
      </c>
      <c r="J63" s="130">
        <f t="shared" ref="J63:P63" si="17">I63*1.01</f>
        <v>0.255025</v>
      </c>
      <c r="K63" s="130">
        <f t="shared" si="17"/>
        <v>0.25757524999999998</v>
      </c>
      <c r="L63" s="130">
        <f t="shared" si="17"/>
        <v>0.26015100250000001</v>
      </c>
      <c r="M63" s="130">
        <f t="shared" si="17"/>
        <v>0.26275251252499998</v>
      </c>
      <c r="N63" s="130">
        <f t="shared" si="17"/>
        <v>0.26538003765024998</v>
      </c>
      <c r="O63" s="130">
        <f t="shared" si="17"/>
        <v>0.26803383802675246</v>
      </c>
      <c r="P63" s="130">
        <f t="shared" si="17"/>
        <v>0.27071417640702</v>
      </c>
      <c r="Q63" s="130">
        <f t="shared" ref="Q63:Z63" si="18">P63*1.01</f>
        <v>0.27342131817109022</v>
      </c>
      <c r="R63" s="130">
        <f t="shared" si="18"/>
        <v>0.27615553135280113</v>
      </c>
      <c r="S63" s="130">
        <f t="shared" si="18"/>
        <v>0.27891708666632914</v>
      </c>
      <c r="T63" s="130">
        <f t="shared" si="18"/>
        <v>0.28170625753299244</v>
      </c>
      <c r="U63" s="130">
        <f t="shared" si="18"/>
        <v>0.28452332010832238</v>
      </c>
      <c r="V63" s="130">
        <f t="shared" si="18"/>
        <v>0.28736855330940558</v>
      </c>
      <c r="W63" s="130">
        <f t="shared" si="18"/>
        <v>0.29024223884249967</v>
      </c>
      <c r="X63" s="130">
        <f t="shared" si="18"/>
        <v>0.29314466123092464</v>
      </c>
      <c r="Y63" s="130">
        <f t="shared" si="18"/>
        <v>0.2960761078432339</v>
      </c>
      <c r="Z63" s="130">
        <f t="shared" si="18"/>
        <v>0.29903686892166625</v>
      </c>
    </row>
    <row r="64" spans="2:28">
      <c r="B64" t="s">
        <v>338</v>
      </c>
      <c r="H64" s="130">
        <f>H58/SUM($H$55:$H$58)</f>
        <v>0.13</v>
      </c>
      <c r="I64" s="7">
        <f>H64*1.02</f>
        <v>0.1326</v>
      </c>
      <c r="J64" s="7">
        <f t="shared" ref="J64:O64" si="19">I64*1.02</f>
        <v>0.13525200000000001</v>
      </c>
      <c r="K64" s="7">
        <f t="shared" si="19"/>
        <v>0.13795704</v>
      </c>
      <c r="L64" s="7">
        <f t="shared" si="19"/>
        <v>0.14071618080000001</v>
      </c>
      <c r="M64" s="7">
        <f t="shared" si="19"/>
        <v>0.14353050441600002</v>
      </c>
      <c r="N64" s="7">
        <f t="shared" si="19"/>
        <v>0.14640111450432003</v>
      </c>
      <c r="O64" s="7">
        <f t="shared" si="19"/>
        <v>0.14932913679440643</v>
      </c>
      <c r="P64" s="7">
        <f>O64*1.02</f>
        <v>0.15231571953029457</v>
      </c>
      <c r="Q64" s="7">
        <f t="shared" ref="Q64:W64" si="20">P64*1.02</f>
        <v>0.15536203392090048</v>
      </c>
      <c r="R64" s="7">
        <f t="shared" si="20"/>
        <v>0.15846927459931848</v>
      </c>
      <c r="S64" s="7">
        <f t="shared" si="20"/>
        <v>0.16163866009130484</v>
      </c>
      <c r="T64" s="7">
        <f t="shared" si="20"/>
        <v>0.16487143329313095</v>
      </c>
      <c r="U64" s="7">
        <f t="shared" si="20"/>
        <v>0.16816886195899358</v>
      </c>
      <c r="V64" s="7">
        <f t="shared" si="20"/>
        <v>0.17153223919817345</v>
      </c>
      <c r="W64" s="7">
        <f t="shared" si="20"/>
        <v>0.17496288398213691</v>
      </c>
      <c r="X64" s="7">
        <f>W64*1.02</f>
        <v>0.17846214166177965</v>
      </c>
      <c r="Y64" s="7">
        <f>X64*1.02</f>
        <v>0.18203138449501524</v>
      </c>
      <c r="Z64" s="7">
        <f>Y64*1.02</f>
        <v>0.18567201218491555</v>
      </c>
    </row>
    <row r="66" spans="1:28">
      <c r="B66" s="510" t="s">
        <v>407</v>
      </c>
      <c r="C66" s="510"/>
      <c r="D66" s="510"/>
      <c r="E66" s="510"/>
      <c r="F66" s="510"/>
      <c r="G66" s="510"/>
      <c r="H66" s="607">
        <f>H27/H64</f>
        <v>1073581.6701252225</v>
      </c>
      <c r="I66" s="607">
        <f t="shared" ref="I66:O66" si="21">I27/I64</f>
        <v>1099042.299595824</v>
      </c>
      <c r="J66" s="607">
        <f t="shared" si="21"/>
        <v>1131367.0731133483</v>
      </c>
      <c r="K66" s="607">
        <f t="shared" si="21"/>
        <v>1164642.575263741</v>
      </c>
      <c r="L66" s="607">
        <f t="shared" si="21"/>
        <v>1198896.768653851</v>
      </c>
      <c r="M66" s="607">
        <f t="shared" si="21"/>
        <v>1234158.4383201406</v>
      </c>
      <c r="N66" s="607">
        <f t="shared" si="21"/>
        <v>1270457.2159177917</v>
      </c>
      <c r="O66" s="607">
        <f t="shared" si="21"/>
        <v>1307823.6046212565</v>
      </c>
      <c r="P66" s="607">
        <f>P27/P64</f>
        <v>1346289.0047571757</v>
      </c>
      <c r="Q66" s="607">
        <f t="shared" ref="Q66:Z66" si="22">Q27/Q64</f>
        <v>1385885.7401912103</v>
      </c>
      <c r="R66" s="607">
        <f t="shared" si="22"/>
        <v>1426647.085490952</v>
      </c>
      <c r="S66" s="607">
        <f t="shared" si="22"/>
        <v>1468607.2938877449</v>
      </c>
      <c r="T66" s="607">
        <f t="shared" si="22"/>
        <v>1511801.6260609138</v>
      </c>
      <c r="U66" s="607">
        <f t="shared" si="22"/>
        <v>1556266.3797685876</v>
      </c>
      <c r="V66" s="607">
        <f t="shared" si="22"/>
        <v>1602038.9203500166</v>
      </c>
      <c r="W66" s="607">
        <f t="shared" si="22"/>
        <v>1649157.7121250171</v>
      </c>
      <c r="X66" s="607">
        <f t="shared" si="22"/>
        <v>1697662.3507169294</v>
      </c>
      <c r="Y66" s="607">
        <f t="shared" si="22"/>
        <v>1747593.5963262508</v>
      </c>
      <c r="Z66" s="607">
        <f t="shared" si="22"/>
        <v>1798993.4079829054</v>
      </c>
      <c r="AB66" s="360" t="s">
        <v>406</v>
      </c>
    </row>
    <row r="67" spans="1:28"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8">
      <c r="B68" s="10" t="s">
        <v>339</v>
      </c>
      <c r="H68" s="7">
        <f>H64</f>
        <v>0.13</v>
      </c>
      <c r="I68" s="7">
        <f t="shared" ref="I68:O68" si="23">I64</f>
        <v>0.1326</v>
      </c>
      <c r="J68" s="7">
        <f t="shared" si="23"/>
        <v>0.13525200000000001</v>
      </c>
      <c r="K68" s="7">
        <f t="shared" si="23"/>
        <v>0.13795704</v>
      </c>
      <c r="L68" s="7">
        <f t="shared" si="23"/>
        <v>0.14071618080000001</v>
      </c>
      <c r="M68" s="7">
        <f t="shared" si="23"/>
        <v>0.14353050441600002</v>
      </c>
      <c r="N68" s="7">
        <f t="shared" si="23"/>
        <v>0.14640111450432003</v>
      </c>
      <c r="O68" s="7">
        <f t="shared" si="23"/>
        <v>0.14932913679440643</v>
      </c>
      <c r="P68" s="7">
        <f>P64</f>
        <v>0.15231571953029457</v>
      </c>
      <c r="Q68" s="7">
        <f t="shared" ref="Q68:Z68" si="24">Q64</f>
        <v>0.15536203392090048</v>
      </c>
      <c r="R68" s="7">
        <f t="shared" si="24"/>
        <v>0.15846927459931848</v>
      </c>
      <c r="S68" s="7">
        <f t="shared" si="24"/>
        <v>0.16163866009130484</v>
      </c>
      <c r="T68" s="7">
        <f t="shared" si="24"/>
        <v>0.16487143329313095</v>
      </c>
      <c r="U68" s="7">
        <f t="shared" si="24"/>
        <v>0.16816886195899358</v>
      </c>
      <c r="V68" s="7">
        <f t="shared" si="24"/>
        <v>0.17153223919817345</v>
      </c>
      <c r="W68" s="7">
        <f>W64</f>
        <v>0.17496288398213691</v>
      </c>
      <c r="X68" s="7">
        <f t="shared" si="24"/>
        <v>0.17846214166177965</v>
      </c>
      <c r="Y68" s="7">
        <f t="shared" si="24"/>
        <v>0.18203138449501524</v>
      </c>
      <c r="Z68" s="7">
        <f t="shared" si="24"/>
        <v>0.18567201218491555</v>
      </c>
    </row>
    <row r="69" spans="1:28">
      <c r="B69" s="10" t="s">
        <v>340</v>
      </c>
      <c r="H69" s="5">
        <f>H68*H66</f>
        <v>139565.61711627894</v>
      </c>
      <c r="I69" s="5">
        <f t="shared" ref="I69:O69" si="25">I68*I66</f>
        <v>145733.00892640624</v>
      </c>
      <c r="J69" s="5">
        <f t="shared" si="25"/>
        <v>153019.6593727266</v>
      </c>
      <c r="K69" s="5">
        <f t="shared" si="25"/>
        <v>160670.64234136292</v>
      </c>
      <c r="L69" s="5">
        <f t="shared" si="25"/>
        <v>168704.17445843108</v>
      </c>
      <c r="M69" s="5">
        <f t="shared" si="25"/>
        <v>177139.38318135263</v>
      </c>
      <c r="N69" s="5">
        <f t="shared" si="25"/>
        <v>185996.35234042027</v>
      </c>
      <c r="O69" s="5">
        <f t="shared" si="25"/>
        <v>195296.16995744131</v>
      </c>
      <c r="P69" s="5">
        <f>P68*P66</f>
        <v>205060.97845531339</v>
      </c>
      <c r="Q69" s="5">
        <f t="shared" ref="Q69:Z69" si="26">Q68*Q66</f>
        <v>215314.02737807907</v>
      </c>
      <c r="R69" s="5">
        <f t="shared" si="26"/>
        <v>226079.72874698305</v>
      </c>
      <c r="S69" s="5">
        <f t="shared" si="26"/>
        <v>237383.71518433222</v>
      </c>
      <c r="T69" s="5">
        <f t="shared" si="26"/>
        <v>249252.90094354886</v>
      </c>
      <c r="U69" s="5">
        <f t="shared" si="26"/>
        <v>261715.5459907263</v>
      </c>
      <c r="V69" s="5">
        <f t="shared" si="26"/>
        <v>274801.3232902626</v>
      </c>
      <c r="W69" s="5">
        <f t="shared" si="26"/>
        <v>288541.38945477572</v>
      </c>
      <c r="X69" s="5">
        <f t="shared" si="26"/>
        <v>302968.4589275145</v>
      </c>
      <c r="Y69" s="5">
        <f t="shared" si="26"/>
        <v>318116.88187389023</v>
      </c>
      <c r="Z69" s="5">
        <f t="shared" si="26"/>
        <v>334022.72596758476</v>
      </c>
    </row>
    <row r="71" spans="1:28">
      <c r="B71" s="10" t="s">
        <v>341</v>
      </c>
      <c r="H71" s="7">
        <f>H63</f>
        <v>0.25</v>
      </c>
      <c r="I71" s="7">
        <f t="shared" ref="I71:O71" si="27">I63</f>
        <v>0.2525</v>
      </c>
      <c r="J71" s="7">
        <f t="shared" si="27"/>
        <v>0.255025</v>
      </c>
      <c r="K71" s="7">
        <f t="shared" si="27"/>
        <v>0.25757524999999998</v>
      </c>
      <c r="L71" s="7">
        <f t="shared" si="27"/>
        <v>0.26015100250000001</v>
      </c>
      <c r="M71" s="7">
        <f t="shared" si="27"/>
        <v>0.26275251252499998</v>
      </c>
      <c r="N71" s="7">
        <f t="shared" si="27"/>
        <v>0.26538003765024998</v>
      </c>
      <c r="O71" s="7">
        <f t="shared" si="27"/>
        <v>0.26803383802675246</v>
      </c>
      <c r="P71" s="7">
        <f>P63</f>
        <v>0.27071417640702</v>
      </c>
      <c r="Q71" s="7">
        <f t="shared" ref="Q71:Z71" si="28">Q63</f>
        <v>0.27342131817109022</v>
      </c>
      <c r="R71" s="7">
        <f t="shared" si="28"/>
        <v>0.27615553135280113</v>
      </c>
      <c r="S71" s="7">
        <f t="shared" si="28"/>
        <v>0.27891708666632914</v>
      </c>
      <c r="T71" s="7">
        <f t="shared" si="28"/>
        <v>0.28170625753299244</v>
      </c>
      <c r="U71" s="7">
        <f t="shared" si="28"/>
        <v>0.28452332010832238</v>
      </c>
      <c r="V71" s="7">
        <f t="shared" si="28"/>
        <v>0.28736855330940558</v>
      </c>
      <c r="W71" s="7">
        <f t="shared" si="28"/>
        <v>0.29024223884249967</v>
      </c>
      <c r="X71" s="7">
        <f t="shared" si="28"/>
        <v>0.29314466123092464</v>
      </c>
      <c r="Y71" s="7">
        <f t="shared" si="28"/>
        <v>0.2960761078432339</v>
      </c>
      <c r="Z71" s="7">
        <f t="shared" si="28"/>
        <v>0.29903686892166625</v>
      </c>
    </row>
    <row r="72" spans="1:28">
      <c r="B72" s="10" t="s">
        <v>342</v>
      </c>
      <c r="H72" s="5">
        <f>H71*H66</f>
        <v>268395.41753130563</v>
      </c>
      <c r="I72" s="5">
        <f t="shared" ref="I72:O72" si="29">I71*I66</f>
        <v>277508.18064794556</v>
      </c>
      <c r="J72" s="5">
        <f t="shared" si="29"/>
        <v>288526.88782073167</v>
      </c>
      <c r="K72" s="5">
        <f t="shared" si="29"/>
        <v>299983.1024842019</v>
      </c>
      <c r="L72" s="5">
        <f t="shared" si="29"/>
        <v>311894.19625930995</v>
      </c>
      <c r="M72" s="5">
        <f t="shared" si="29"/>
        <v>324278.23052254715</v>
      </c>
      <c r="N72" s="5">
        <f t="shared" si="29"/>
        <v>337153.98379329534</v>
      </c>
      <c r="O72" s="5">
        <f t="shared" si="29"/>
        <v>350540.9802086174</v>
      </c>
      <c r="P72" s="5">
        <f>P71*P66</f>
        <v>364459.51912866544</v>
      </c>
      <c r="Q72" s="5">
        <f t="shared" ref="Q72:Z72" si="30">Q71*Q66</f>
        <v>378930.70591759781</v>
      </c>
      <c r="R72" s="5">
        <f t="shared" si="30"/>
        <v>393976.48394667893</v>
      </c>
      <c r="S72" s="5">
        <f t="shared" si="30"/>
        <v>409619.66786809126</v>
      </c>
      <c r="T72" s="5">
        <f t="shared" si="30"/>
        <v>425883.97820991254</v>
      </c>
      <c r="U72" s="5">
        <f t="shared" si="30"/>
        <v>442794.07734471787</v>
      </c>
      <c r="V72" s="5">
        <f t="shared" si="30"/>
        <v>460375.6068863463</v>
      </c>
      <c r="W72" s="5">
        <f t="shared" si="30"/>
        <v>478655.22657153953</v>
      </c>
      <c r="X72" s="5">
        <f t="shared" si="30"/>
        <v>497660.65468540945</v>
      </c>
      <c r="Y72" s="5">
        <f t="shared" si="30"/>
        <v>517420.710092036</v>
      </c>
      <c r="Z72" s="5">
        <f t="shared" si="30"/>
        <v>537965.35593392572</v>
      </c>
    </row>
    <row r="74" spans="1:28">
      <c r="B74" s="606" t="s">
        <v>813</v>
      </c>
      <c r="C74" s="606"/>
      <c r="D74" s="606"/>
      <c r="E74" s="606"/>
      <c r="F74" s="606"/>
      <c r="G74" s="606"/>
      <c r="H74" s="606"/>
      <c r="I74" s="606"/>
      <c r="J74" s="606"/>
      <c r="K74" s="606"/>
      <c r="L74" s="606"/>
      <c r="M74" s="606"/>
      <c r="N74" s="606"/>
      <c r="O74" s="606"/>
      <c r="P74" s="606"/>
      <c r="Q74" s="606"/>
      <c r="R74" s="606"/>
      <c r="S74" s="606"/>
      <c r="T74" s="606"/>
      <c r="U74" s="606"/>
      <c r="V74" s="606"/>
      <c r="W74" s="606"/>
      <c r="X74" s="606"/>
      <c r="Y74" s="606"/>
      <c r="Z74" s="606"/>
    </row>
    <row r="75" spans="1:28" s="357" customFormat="1">
      <c r="B75" s="365"/>
      <c r="C75" s="365"/>
      <c r="D75" s="365"/>
      <c r="E75" s="365"/>
      <c r="F75" s="365"/>
      <c r="G75" s="365"/>
      <c r="H75" s="365"/>
      <c r="I75" s="365"/>
      <c r="J75" s="365"/>
      <c r="K75" s="365"/>
      <c r="L75" s="365"/>
      <c r="M75" s="365"/>
      <c r="N75" s="365"/>
      <c r="O75" s="365"/>
      <c r="P75" s="365"/>
      <c r="Q75" s="365"/>
      <c r="R75" s="365"/>
      <c r="S75" s="365"/>
      <c r="T75" s="365"/>
      <c r="U75" s="365"/>
      <c r="V75" s="365"/>
      <c r="W75" s="365"/>
      <c r="X75" s="365"/>
      <c r="Y75" s="365"/>
      <c r="Z75" s="365"/>
    </row>
    <row r="76" spans="1:28" s="50" customFormat="1" outlineLevel="1">
      <c r="B76" s="487" t="s">
        <v>463</v>
      </c>
      <c r="C76" s="515"/>
      <c r="D76" s="515"/>
      <c r="E76" s="515"/>
      <c r="F76" s="515"/>
      <c r="G76" s="515"/>
      <c r="H76" s="515"/>
      <c r="I76" s="515"/>
      <c r="J76" s="489">
        <f>J77</f>
        <v>9.075684204644956E-3</v>
      </c>
      <c r="K76" s="489">
        <f>K77</f>
        <v>2.1074486835471366E-2</v>
      </c>
      <c r="L76" s="489">
        <f>L77</f>
        <v>3.7929441663367765E-2</v>
      </c>
      <c r="M76" s="489">
        <f>L76*(L76/K76)</f>
        <v>6.8264653660433522E-2</v>
      </c>
      <c r="N76" s="489">
        <f>M76*(M76/L76)</f>
        <v>0.1228613640226512</v>
      </c>
      <c r="O76" s="489">
        <f>N76*1.1</f>
        <v>0.13514750042491633</v>
      </c>
      <c r="P76" s="489">
        <f t="shared" ref="P76" si="31">O76*1.1</f>
        <v>0.14866225046740797</v>
      </c>
      <c r="Q76" s="489">
        <f>P76*1.05</f>
        <v>0.15609536299077836</v>
      </c>
      <c r="R76" s="489">
        <f>Q76*1.05</f>
        <v>0.16390013114031729</v>
      </c>
      <c r="S76" s="489">
        <f>R76*1.05</f>
        <v>0.17209513769733317</v>
      </c>
      <c r="T76" s="489">
        <f>S76*1.05</f>
        <v>0.18069989458219984</v>
      </c>
      <c r="U76" s="489">
        <f>T76*0.2</f>
        <v>3.6139978916439969E-2</v>
      </c>
      <c r="V76" s="489">
        <f t="shared" ref="V76:Z77" si="32">U76*0.1</f>
        <v>3.6139978916439972E-3</v>
      </c>
      <c r="W76" s="489">
        <f t="shared" si="32"/>
        <v>3.6139978916439972E-4</v>
      </c>
      <c r="X76" s="489">
        <f t="shared" si="32"/>
        <v>3.6139978916439975E-5</v>
      </c>
      <c r="Y76" s="489">
        <f t="shared" si="32"/>
        <v>3.6139978916439976E-6</v>
      </c>
      <c r="Z76" s="489">
        <f t="shared" si="32"/>
        <v>3.613997891643998E-7</v>
      </c>
    </row>
    <row r="77" spans="1:28" s="50" customFormat="1" outlineLevel="1">
      <c r="B77" s="487" t="s">
        <v>464</v>
      </c>
      <c r="C77" s="515"/>
      <c r="D77" s="515"/>
      <c r="E77" s="515"/>
      <c r="F77" s="515"/>
      <c r="G77" s="515"/>
      <c r="H77" s="515"/>
      <c r="I77" s="515"/>
      <c r="J77" s="489">
        <f>F35/9</f>
        <v>9.075684204644956E-3</v>
      </c>
      <c r="K77" s="489">
        <f>G35/6</f>
        <v>2.1074486835471366E-2</v>
      </c>
      <c r="L77" s="489">
        <f>H35/4</f>
        <v>3.7929441663367765E-2</v>
      </c>
      <c r="M77" s="982">
        <f>L77*1.15</f>
        <v>4.3618857912872927E-2</v>
      </c>
      <c r="N77" s="489">
        <f>M77*1.125</f>
        <v>4.9071215151982039E-2</v>
      </c>
      <c r="O77" s="489">
        <f>N77*1.1</f>
        <v>5.397833666718025E-2</v>
      </c>
      <c r="P77" s="489">
        <f>O77*1.05</f>
        <v>5.6677253500539267E-2</v>
      </c>
      <c r="Q77" s="489">
        <f>P77</f>
        <v>5.6677253500539267E-2</v>
      </c>
      <c r="R77" s="489">
        <f t="shared" ref="R77:T77" si="33">Q77</f>
        <v>5.6677253500539267E-2</v>
      </c>
      <c r="S77" s="489">
        <f t="shared" si="33"/>
        <v>5.6677253500539267E-2</v>
      </c>
      <c r="T77" s="489">
        <f t="shared" si="33"/>
        <v>5.6677253500539267E-2</v>
      </c>
      <c r="U77" s="489">
        <f>T77*0.2</f>
        <v>1.1335450700107854E-2</v>
      </c>
      <c r="V77" s="489">
        <f t="shared" si="32"/>
        <v>1.1335450700107855E-3</v>
      </c>
      <c r="W77" s="489">
        <f t="shared" si="32"/>
        <v>1.1335450700107856E-4</v>
      </c>
      <c r="X77" s="489">
        <f t="shared" si="32"/>
        <v>1.1335450700107856E-5</v>
      </c>
      <c r="Y77" s="489">
        <f t="shared" si="32"/>
        <v>1.1335450700107855E-6</v>
      </c>
      <c r="Z77" s="489">
        <f t="shared" si="32"/>
        <v>1.1335450700107856E-7</v>
      </c>
    </row>
    <row r="78" spans="1:28" s="50" customFormat="1" outlineLevel="1">
      <c r="B78" s="487" t="s">
        <v>462</v>
      </c>
      <c r="C78" s="515"/>
      <c r="D78" s="515"/>
      <c r="E78" s="515"/>
      <c r="F78" s="515"/>
      <c r="G78" s="515"/>
      <c r="H78" s="515"/>
      <c r="I78" s="515"/>
      <c r="J78" s="608">
        <f>J77/2</f>
        <v>4.537842102322478E-3</v>
      </c>
      <c r="K78" s="608">
        <f t="shared" ref="K78:P78" si="34">J78</f>
        <v>4.537842102322478E-3</v>
      </c>
      <c r="L78" s="608">
        <f t="shared" si="34"/>
        <v>4.537842102322478E-3</v>
      </c>
      <c r="M78" s="608">
        <f t="shared" si="34"/>
        <v>4.537842102322478E-3</v>
      </c>
      <c r="N78" s="608">
        <f t="shared" si="34"/>
        <v>4.537842102322478E-3</v>
      </c>
      <c r="O78" s="608">
        <f t="shared" si="34"/>
        <v>4.537842102322478E-3</v>
      </c>
      <c r="P78" s="608">
        <f t="shared" si="34"/>
        <v>4.537842102322478E-3</v>
      </c>
      <c r="Q78" s="608">
        <f t="shared" ref="Q78:V78" si="35">P78</f>
        <v>4.537842102322478E-3</v>
      </c>
      <c r="R78" s="608">
        <f t="shared" si="35"/>
        <v>4.537842102322478E-3</v>
      </c>
      <c r="S78" s="608">
        <f t="shared" si="35"/>
        <v>4.537842102322478E-3</v>
      </c>
      <c r="T78" s="608">
        <f t="shared" si="35"/>
        <v>4.537842102322478E-3</v>
      </c>
      <c r="U78" s="608">
        <f t="shared" si="35"/>
        <v>4.537842102322478E-3</v>
      </c>
      <c r="V78" s="608">
        <f t="shared" si="35"/>
        <v>4.537842102322478E-3</v>
      </c>
      <c r="W78" s="608">
        <f>V78</f>
        <v>4.537842102322478E-3</v>
      </c>
      <c r="X78" s="608">
        <f>W78</f>
        <v>4.537842102322478E-3</v>
      </c>
      <c r="Y78" s="608">
        <f>X78</f>
        <v>4.537842102322478E-3</v>
      </c>
      <c r="Z78" s="608">
        <f>Y78</f>
        <v>4.537842102322478E-3</v>
      </c>
    </row>
    <row r="79" spans="1:28">
      <c r="A79" s="485" t="s">
        <v>78</v>
      </c>
      <c r="B79" s="480" t="s">
        <v>397</v>
      </c>
      <c r="C79" s="481"/>
      <c r="D79" s="481"/>
      <c r="E79" s="481"/>
      <c r="F79" s="481"/>
      <c r="G79" s="481"/>
      <c r="H79" s="481"/>
      <c r="I79" s="481"/>
      <c r="J79" s="609">
        <f>CHOOSE($D$1,J76,J77,J78)</f>
        <v>9.075684204644956E-3</v>
      </c>
      <c r="K79" s="609">
        <f t="shared" ref="K79:Z79" si="36">CHOOSE($D$1,K76,K77,K78)</f>
        <v>2.1074486835471366E-2</v>
      </c>
      <c r="L79" s="609">
        <f t="shared" si="36"/>
        <v>3.7929441663367765E-2</v>
      </c>
      <c r="M79" s="609">
        <f t="shared" si="36"/>
        <v>4.3618857912872927E-2</v>
      </c>
      <c r="N79" s="609">
        <f t="shared" si="36"/>
        <v>4.9071215151982039E-2</v>
      </c>
      <c r="O79" s="609">
        <f t="shared" si="36"/>
        <v>5.397833666718025E-2</v>
      </c>
      <c r="P79" s="609">
        <f t="shared" si="36"/>
        <v>5.6677253500539267E-2</v>
      </c>
      <c r="Q79" s="609">
        <f t="shared" si="36"/>
        <v>5.6677253500539267E-2</v>
      </c>
      <c r="R79" s="609">
        <f t="shared" si="36"/>
        <v>5.6677253500539267E-2</v>
      </c>
      <c r="S79" s="609">
        <f t="shared" si="36"/>
        <v>5.6677253500539267E-2</v>
      </c>
      <c r="T79" s="609">
        <f t="shared" si="36"/>
        <v>5.6677253500539267E-2</v>
      </c>
      <c r="U79" s="609">
        <f t="shared" si="36"/>
        <v>1.1335450700107854E-2</v>
      </c>
      <c r="V79" s="609">
        <f t="shared" si="36"/>
        <v>1.1335450700107855E-3</v>
      </c>
      <c r="W79" s="609">
        <f t="shared" si="36"/>
        <v>1.1335450700107856E-4</v>
      </c>
      <c r="X79" s="609">
        <f t="shared" si="36"/>
        <v>1.1335450700107856E-5</v>
      </c>
      <c r="Y79" s="609">
        <f t="shared" si="36"/>
        <v>1.1335450700107855E-6</v>
      </c>
      <c r="Z79" s="609">
        <f t="shared" si="36"/>
        <v>1.1335450700107856E-7</v>
      </c>
    </row>
    <row r="80" spans="1:28" s="50" customFormat="1" outlineLevel="1">
      <c r="B80" s="487" t="s">
        <v>463</v>
      </c>
      <c r="C80" s="515"/>
      <c r="D80" s="515"/>
      <c r="E80" s="515"/>
      <c r="F80" s="515"/>
      <c r="G80" s="515"/>
      <c r="H80" s="515"/>
      <c r="I80" s="515"/>
      <c r="J80" s="489">
        <f>J81*2</f>
        <v>1.26E-2</v>
      </c>
      <c r="K80" s="489">
        <f t="shared" ref="K80:Z80" si="37">K81*2</f>
        <v>8.6999999999999994E-2</v>
      </c>
      <c r="L80" s="489">
        <f t="shared" si="37"/>
        <v>0.15225</v>
      </c>
      <c r="M80" s="489">
        <f t="shared" si="37"/>
        <v>0.15986249999999999</v>
      </c>
      <c r="N80" s="489">
        <f t="shared" si="37"/>
        <v>0.16785562500000001</v>
      </c>
      <c r="O80" s="489">
        <f t="shared" si="37"/>
        <v>0.17624840625000002</v>
      </c>
      <c r="P80" s="489">
        <f t="shared" si="37"/>
        <v>0.18506082656250003</v>
      </c>
      <c r="Q80" s="489">
        <f t="shared" si="37"/>
        <v>0.18506082656250003</v>
      </c>
      <c r="R80" s="489">
        <f t="shared" si="37"/>
        <v>0.18506082656250003</v>
      </c>
      <c r="S80" s="489">
        <f t="shared" si="37"/>
        <v>0.18506082656250003</v>
      </c>
      <c r="T80" s="489">
        <f t="shared" si="37"/>
        <v>0.18506082656250003</v>
      </c>
      <c r="U80" s="489">
        <f t="shared" si="37"/>
        <v>3.7012165312500005E-2</v>
      </c>
      <c r="V80" s="489">
        <f t="shared" si="37"/>
        <v>3.7012165312500008E-3</v>
      </c>
      <c r="W80" s="489">
        <f t="shared" si="37"/>
        <v>3.701216531250001E-4</v>
      </c>
      <c r="X80" s="489">
        <f t="shared" si="37"/>
        <v>3.7012165312500014E-5</v>
      </c>
      <c r="Y80" s="489">
        <f t="shared" si="37"/>
        <v>3.7012165312500015E-6</v>
      </c>
      <c r="Z80" s="489">
        <f t="shared" si="37"/>
        <v>3.7012165312500019E-7</v>
      </c>
    </row>
    <row r="81" spans="1:28" s="50" customFormat="1" outlineLevel="1">
      <c r="B81" s="487" t="s">
        <v>464</v>
      </c>
      <c r="C81" s="515"/>
      <c r="D81" s="515"/>
      <c r="E81" s="515"/>
      <c r="F81" s="515"/>
      <c r="G81" s="515"/>
      <c r="H81" s="515"/>
      <c r="I81" s="515"/>
      <c r="J81" s="484">
        <v>6.3E-3</v>
      </c>
      <c r="K81" s="483">
        <f>0.03*1.45</f>
        <v>4.3499999999999997E-2</v>
      </c>
      <c r="L81" s="483">
        <f>K81*1.75</f>
        <v>7.6124999999999998E-2</v>
      </c>
      <c r="M81" s="981">
        <f>L81*1.05</f>
        <v>7.9931249999999995E-2</v>
      </c>
      <c r="N81" s="489">
        <f>M81*1.05</f>
        <v>8.3927812500000004E-2</v>
      </c>
      <c r="O81" s="489">
        <f>N81*1.05</f>
        <v>8.8124203125000009E-2</v>
      </c>
      <c r="P81" s="489">
        <f>O81*1.05</f>
        <v>9.2530413281250015E-2</v>
      </c>
      <c r="Q81" s="489">
        <f>P81</f>
        <v>9.2530413281250015E-2</v>
      </c>
      <c r="R81" s="489">
        <f t="shared" ref="R81:T81" si="38">Q81</f>
        <v>9.2530413281250015E-2</v>
      </c>
      <c r="S81" s="489">
        <f t="shared" si="38"/>
        <v>9.2530413281250015E-2</v>
      </c>
      <c r="T81" s="489">
        <f t="shared" si="38"/>
        <v>9.2530413281250015E-2</v>
      </c>
      <c r="U81" s="489">
        <f>T81*0.2</f>
        <v>1.8506082656250002E-2</v>
      </c>
      <c r="V81" s="489">
        <f>U81*0.1</f>
        <v>1.8506082656250004E-3</v>
      </c>
      <c r="W81" s="489">
        <f>V81*0.1</f>
        <v>1.8506082656250005E-4</v>
      </c>
      <c r="X81" s="489">
        <f>W81*0.1</f>
        <v>1.8506082656250007E-5</v>
      </c>
      <c r="Y81" s="489">
        <f>X81*0.1</f>
        <v>1.8506082656250008E-6</v>
      </c>
      <c r="Z81" s="489">
        <f>Y81*0.1</f>
        <v>1.850608265625001E-7</v>
      </c>
    </row>
    <row r="82" spans="1:28" s="50" customFormat="1" outlineLevel="1">
      <c r="B82" s="487" t="s">
        <v>462</v>
      </c>
      <c r="C82" s="515"/>
      <c r="D82" s="515"/>
      <c r="E82" s="515"/>
      <c r="F82" s="515"/>
      <c r="G82" s="515"/>
      <c r="H82" s="515"/>
      <c r="I82" s="515"/>
      <c r="J82" s="608">
        <f t="shared" ref="J82:O82" si="39">J81/2</f>
        <v>3.15E-3</v>
      </c>
      <c r="K82" s="608">
        <f t="shared" si="39"/>
        <v>2.1749999999999999E-2</v>
      </c>
      <c r="L82" s="608">
        <f t="shared" si="39"/>
        <v>3.8062499999999999E-2</v>
      </c>
      <c r="M82" s="608">
        <f t="shared" si="39"/>
        <v>3.9965624999999998E-2</v>
      </c>
      <c r="N82" s="608">
        <f t="shared" si="39"/>
        <v>4.1963906250000002E-2</v>
      </c>
      <c r="O82" s="608">
        <f t="shared" si="39"/>
        <v>4.4062101562500004E-2</v>
      </c>
      <c r="P82" s="608">
        <f>P81/2</f>
        <v>4.6265206640625008E-2</v>
      </c>
      <c r="Q82" s="608">
        <f t="shared" ref="Q82:W82" si="40">Q81/2</f>
        <v>4.6265206640625008E-2</v>
      </c>
      <c r="R82" s="608">
        <f t="shared" si="40"/>
        <v>4.6265206640625008E-2</v>
      </c>
      <c r="S82" s="608">
        <f t="shared" si="40"/>
        <v>4.6265206640625008E-2</v>
      </c>
      <c r="T82" s="608">
        <f t="shared" si="40"/>
        <v>4.6265206640625008E-2</v>
      </c>
      <c r="U82" s="608">
        <f t="shared" si="40"/>
        <v>9.2530413281250012E-3</v>
      </c>
      <c r="V82" s="608">
        <f t="shared" si="40"/>
        <v>9.253041328125002E-4</v>
      </c>
      <c r="W82" s="608">
        <f t="shared" si="40"/>
        <v>9.2530413281250026E-5</v>
      </c>
      <c r="X82" s="608">
        <f>X81/2</f>
        <v>9.2530413281250036E-6</v>
      </c>
      <c r="Y82" s="608">
        <f>Y81/2</f>
        <v>9.2530413281250038E-7</v>
      </c>
      <c r="Z82" s="608">
        <f>Z81/2</f>
        <v>9.2530413281250049E-8</v>
      </c>
    </row>
    <row r="83" spans="1:28">
      <c r="A83" s="485" t="s">
        <v>78</v>
      </c>
      <c r="B83" s="480" t="s">
        <v>398</v>
      </c>
      <c r="C83" s="481"/>
      <c r="D83" s="481"/>
      <c r="E83" s="481"/>
      <c r="F83" s="481"/>
      <c r="G83" s="481"/>
      <c r="H83" s="481"/>
      <c r="I83" s="481"/>
      <c r="J83" s="609">
        <f t="shared" ref="J83:Z83" si="41">CHOOSE($D$1,J80,J81,J82)</f>
        <v>6.3E-3</v>
      </c>
      <c r="K83" s="609">
        <f t="shared" si="41"/>
        <v>4.3499999999999997E-2</v>
      </c>
      <c r="L83" s="609">
        <f t="shared" si="41"/>
        <v>7.6124999999999998E-2</v>
      </c>
      <c r="M83" s="609">
        <f t="shared" si="41"/>
        <v>7.9931249999999995E-2</v>
      </c>
      <c r="N83" s="609">
        <f t="shared" si="41"/>
        <v>8.3927812500000004E-2</v>
      </c>
      <c r="O83" s="609">
        <f t="shared" si="41"/>
        <v>8.8124203125000009E-2</v>
      </c>
      <c r="P83" s="609">
        <f t="shared" si="41"/>
        <v>9.2530413281250015E-2</v>
      </c>
      <c r="Q83" s="609">
        <f t="shared" si="41"/>
        <v>9.2530413281250015E-2</v>
      </c>
      <c r="R83" s="609">
        <f t="shared" si="41"/>
        <v>9.2530413281250015E-2</v>
      </c>
      <c r="S83" s="609">
        <f t="shared" si="41"/>
        <v>9.2530413281250015E-2</v>
      </c>
      <c r="T83" s="609">
        <f t="shared" si="41"/>
        <v>9.2530413281250015E-2</v>
      </c>
      <c r="U83" s="609">
        <f t="shared" si="41"/>
        <v>1.8506082656250002E-2</v>
      </c>
      <c r="V83" s="609">
        <f t="shared" si="41"/>
        <v>1.8506082656250004E-3</v>
      </c>
      <c r="W83" s="609">
        <f t="shared" si="41"/>
        <v>1.8506082656250005E-4</v>
      </c>
      <c r="X83" s="609">
        <f t="shared" si="41"/>
        <v>1.8506082656250007E-5</v>
      </c>
      <c r="Y83" s="609">
        <f t="shared" si="41"/>
        <v>1.8506082656250008E-6</v>
      </c>
      <c r="Z83" s="609">
        <f t="shared" si="41"/>
        <v>1.850608265625001E-7</v>
      </c>
    </row>
    <row r="85" spans="1:28">
      <c r="B85" s="360" t="s">
        <v>815</v>
      </c>
      <c r="H85" s="5"/>
      <c r="I85" s="5"/>
      <c r="J85" s="5">
        <f t="shared" ref="J85:P85" si="42">J79*J69+J83*J72</f>
        <v>3206.4774988398158</v>
      </c>
      <c r="K85" s="5">
        <f t="shared" si="42"/>
        <v>16435.316294932563</v>
      </c>
      <c r="L85" s="5">
        <f t="shared" si="42"/>
        <v>30141.800833727648</v>
      </c>
      <c r="M85" s="5">
        <f t="shared" si="42"/>
        <v>33646.581899216719</v>
      </c>
      <c r="N85" s="5">
        <f t="shared" si="42"/>
        <v>37423.66335861235</v>
      </c>
      <c r="O85" s="5">
        <f t="shared" si="42"/>
        <v>41432.906955314429</v>
      </c>
      <c r="P85" s="5">
        <f t="shared" si="42"/>
        <v>45345.882988241472</v>
      </c>
      <c r="Q85" s="5">
        <f t="shared" ref="Q85:Z85" si="43">Q79*Q69+Q83*Q72</f>
        <v>47266.02253544057</v>
      </c>
      <c r="R85" s="5">
        <f t="shared" si="43"/>
        <v>49268.384980205876</v>
      </c>
      <c r="S85" s="5">
        <f t="shared" si="43"/>
        <v>51356.534158365059</v>
      </c>
      <c r="T85" s="5">
        <f t="shared" si="43"/>
        <v>53534.190366148403</v>
      </c>
      <c r="U85" s="5">
        <f t="shared" si="43"/>
        <v>11161.047464068994</v>
      </c>
      <c r="V85" s="5">
        <f t="shared" si="43"/>
        <v>1163.4745886441156</v>
      </c>
      <c r="W85" s="5">
        <f t="shared" si="43"/>
        <v>121.28779881884215</v>
      </c>
      <c r="X85" s="5">
        <f t="shared" si="43"/>
        <v>12.644033240232172</v>
      </c>
      <c r="Y85" s="5">
        <f t="shared" si="43"/>
        <v>1.3181428660372307</v>
      </c>
      <c r="Z85" s="5">
        <f t="shared" si="43"/>
        <v>0.13741929486033377</v>
      </c>
    </row>
    <row r="87" spans="1:28">
      <c r="B87" s="606" t="s">
        <v>812</v>
      </c>
      <c r="C87" s="606"/>
      <c r="D87" s="606"/>
      <c r="E87" s="606"/>
      <c r="F87" s="606"/>
      <c r="G87" s="606"/>
      <c r="H87" s="606"/>
      <c r="I87" s="606"/>
      <c r="J87" s="606"/>
      <c r="K87" s="606"/>
      <c r="L87" s="606"/>
      <c r="M87" s="606"/>
      <c r="N87" s="606"/>
      <c r="O87" s="606"/>
      <c r="P87" s="606"/>
      <c r="Q87" s="606"/>
      <c r="R87" s="606"/>
      <c r="S87" s="606"/>
      <c r="T87" s="606"/>
      <c r="U87" s="606"/>
      <c r="V87" s="606"/>
      <c r="W87" s="606"/>
      <c r="X87" s="606"/>
      <c r="Y87" s="606"/>
      <c r="Z87" s="606"/>
    </row>
    <row r="88" spans="1:28">
      <c r="B88" s="359" t="s">
        <v>816</v>
      </c>
      <c r="I88" s="610">
        <v>20000</v>
      </c>
      <c r="J88" s="610">
        <f>I88</f>
        <v>20000</v>
      </c>
      <c r="K88" s="610">
        <f t="shared" ref="K88:P88" si="44">J88*(1+K89)</f>
        <v>23000</v>
      </c>
      <c r="L88" s="610">
        <f t="shared" si="44"/>
        <v>25875</v>
      </c>
      <c r="M88" s="610">
        <f t="shared" si="44"/>
        <v>26392.5</v>
      </c>
      <c r="N88" s="610">
        <f t="shared" si="44"/>
        <v>26920.350000000002</v>
      </c>
      <c r="O88" s="610">
        <f t="shared" si="44"/>
        <v>27458.757000000001</v>
      </c>
      <c r="P88" s="610">
        <f t="shared" si="44"/>
        <v>28007.932140000001</v>
      </c>
      <c r="Q88" s="610">
        <f t="shared" ref="Q88:W88" si="45">P88*(1+Q89)</f>
        <v>28568.090782800002</v>
      </c>
      <c r="R88" s="610">
        <f t="shared" si="45"/>
        <v>29139.452598456002</v>
      </c>
      <c r="S88" s="610">
        <f t="shared" si="45"/>
        <v>29722.241650425123</v>
      </c>
      <c r="T88" s="610">
        <f t="shared" si="45"/>
        <v>30316.686483433627</v>
      </c>
      <c r="U88" s="610">
        <f t="shared" si="45"/>
        <v>30923.0202131023</v>
      </c>
      <c r="V88" s="610">
        <f t="shared" si="45"/>
        <v>31541.480617364345</v>
      </c>
      <c r="W88" s="610">
        <f t="shared" si="45"/>
        <v>32172.310229711631</v>
      </c>
      <c r="X88" s="610">
        <f>W88*(1+X89)</f>
        <v>32815.756434305862</v>
      </c>
      <c r="Y88" s="610">
        <f>X88*(1+Y89)</f>
        <v>33472.07156299198</v>
      </c>
      <c r="Z88" s="610">
        <f>Y88*(1+Z89)</f>
        <v>34141.512994251818</v>
      </c>
    </row>
    <row r="89" spans="1:28" s="28" customFormat="1">
      <c r="B89" s="31" t="s">
        <v>783</v>
      </c>
      <c r="I89" s="723"/>
      <c r="J89" s="723"/>
      <c r="K89" s="501">
        <v>0.15</v>
      </c>
      <c r="L89" s="501">
        <v>0.125</v>
      </c>
      <c r="M89" s="980">
        <v>0.02</v>
      </c>
      <c r="N89" s="724">
        <v>0.02</v>
      </c>
      <c r="O89" s="133">
        <f>N89</f>
        <v>0.02</v>
      </c>
      <c r="P89" s="133">
        <f>O89</f>
        <v>0.02</v>
      </c>
      <c r="Q89" s="133">
        <f t="shared" ref="Q89:W89" si="46">P89</f>
        <v>0.02</v>
      </c>
      <c r="R89" s="133">
        <f t="shared" si="46"/>
        <v>0.02</v>
      </c>
      <c r="S89" s="133">
        <f t="shared" si="46"/>
        <v>0.02</v>
      </c>
      <c r="T89" s="133">
        <f t="shared" si="46"/>
        <v>0.02</v>
      </c>
      <c r="U89" s="133">
        <f t="shared" si="46"/>
        <v>0.02</v>
      </c>
      <c r="V89" s="133">
        <f t="shared" si="46"/>
        <v>0.02</v>
      </c>
      <c r="W89" s="133">
        <f t="shared" si="46"/>
        <v>0.02</v>
      </c>
      <c r="X89" s="133">
        <f>W89</f>
        <v>0.02</v>
      </c>
      <c r="Y89" s="133">
        <f>X89</f>
        <v>0.02</v>
      </c>
      <c r="Z89" s="133">
        <f>Y89</f>
        <v>0.02</v>
      </c>
    </row>
    <row r="90" spans="1:28" s="41" customFormat="1">
      <c r="B90" s="156" t="s">
        <v>409</v>
      </c>
      <c r="C90" s="66"/>
      <c r="D90" s="66"/>
      <c r="E90" s="66"/>
      <c r="F90" s="66"/>
      <c r="G90" s="66"/>
      <c r="H90" s="66"/>
      <c r="I90" s="155">
        <f t="shared" ref="I90:O90" si="47">I88*I85/1000000</f>
        <v>0</v>
      </c>
      <c r="J90" s="155">
        <f t="shared" si="47"/>
        <v>64.129549976796312</v>
      </c>
      <c r="K90" s="155">
        <f t="shared" si="47"/>
        <v>378.01227478344896</v>
      </c>
      <c r="L90" s="155">
        <f t="shared" si="47"/>
        <v>779.91909657270287</v>
      </c>
      <c r="M90" s="155">
        <f t="shared" si="47"/>
        <v>888.01741277507722</v>
      </c>
      <c r="N90" s="155">
        <f t="shared" si="47"/>
        <v>1007.4581158960201</v>
      </c>
      <c r="O90" s="155">
        <f t="shared" si="47"/>
        <v>1137.6961238895888</v>
      </c>
      <c r="P90" s="155">
        <f>P88*P85/1000000</f>
        <v>1270.0444135630476</v>
      </c>
      <c r="Q90" s="155">
        <f t="shared" ref="Q90:Z90" si="48">Q88*Q85/1000000</f>
        <v>1350.3000227343368</v>
      </c>
      <c r="R90" s="155">
        <f t="shared" si="48"/>
        <v>1435.6537687331909</v>
      </c>
      <c r="S90" s="155">
        <f t="shared" si="48"/>
        <v>1526.4313185832386</v>
      </c>
      <c r="T90" s="155">
        <f t="shared" si="48"/>
        <v>1622.979265474974</v>
      </c>
      <c r="U90" s="155">
        <f t="shared" si="48"/>
        <v>345.13329633079962</v>
      </c>
      <c r="V90" s="155">
        <f t="shared" si="48"/>
        <v>36.697711186514326</v>
      </c>
      <c r="W90" s="155">
        <f t="shared" si="48"/>
        <v>3.9021086906786415</v>
      </c>
      <c r="X90" s="155">
        <f t="shared" si="48"/>
        <v>0.41492351515872605</v>
      </c>
      <c r="Y90" s="155">
        <f t="shared" si="48"/>
        <v>4.4120972342245539E-2</v>
      </c>
      <c r="Z90" s="155">
        <f t="shared" si="48"/>
        <v>4.6917026411350078E-3</v>
      </c>
    </row>
    <row r="92" spans="1:28">
      <c r="B92" s="10" t="s">
        <v>343</v>
      </c>
      <c r="I92" s="7">
        <v>0.17</v>
      </c>
      <c r="J92" s="7">
        <f t="shared" ref="J92:P92" si="49">I92</f>
        <v>0.17</v>
      </c>
      <c r="K92" s="7">
        <f t="shared" si="49"/>
        <v>0.17</v>
      </c>
      <c r="L92" s="7">
        <f t="shared" si="49"/>
        <v>0.17</v>
      </c>
      <c r="M92" s="7">
        <f t="shared" si="49"/>
        <v>0.17</v>
      </c>
      <c r="N92" s="7">
        <f t="shared" si="49"/>
        <v>0.17</v>
      </c>
      <c r="O92" s="7">
        <f t="shared" si="49"/>
        <v>0.17</v>
      </c>
      <c r="P92" s="7">
        <f t="shared" si="49"/>
        <v>0.17</v>
      </c>
      <c r="Q92" s="7">
        <f t="shared" ref="Q92:W92" si="50">P92</f>
        <v>0.17</v>
      </c>
      <c r="R92" s="7">
        <f t="shared" si="50"/>
        <v>0.17</v>
      </c>
      <c r="S92" s="7">
        <f t="shared" si="50"/>
        <v>0.17</v>
      </c>
      <c r="T92" s="7">
        <f t="shared" si="50"/>
        <v>0.17</v>
      </c>
      <c r="U92" s="7">
        <f t="shared" si="50"/>
        <v>0.17</v>
      </c>
      <c r="V92" s="7">
        <f t="shared" si="50"/>
        <v>0.17</v>
      </c>
      <c r="W92" s="7">
        <f t="shared" si="50"/>
        <v>0.17</v>
      </c>
      <c r="X92" s="7">
        <f>W92</f>
        <v>0.17</v>
      </c>
      <c r="Y92" s="7">
        <f>X92</f>
        <v>0.17</v>
      </c>
      <c r="Z92" s="7">
        <f>Y92</f>
        <v>0.17</v>
      </c>
      <c r="AB92" t="s">
        <v>344</v>
      </c>
    </row>
    <row r="93" spans="1:28" s="41" customFormat="1">
      <c r="B93" s="156" t="s">
        <v>408</v>
      </c>
      <c r="C93" s="66"/>
      <c r="D93" s="66"/>
      <c r="E93" s="66"/>
      <c r="F93" s="66"/>
      <c r="G93" s="66"/>
      <c r="H93" s="66"/>
      <c r="I93" s="155">
        <f>I92*I90</f>
        <v>0</v>
      </c>
      <c r="J93" s="155">
        <f t="shared" ref="J93:O93" si="51">J92*J90</f>
        <v>10.902023496055374</v>
      </c>
      <c r="K93" s="155">
        <f t="shared" si="51"/>
        <v>64.262086713186321</v>
      </c>
      <c r="L93" s="155">
        <f t="shared" si="51"/>
        <v>132.58624641735949</v>
      </c>
      <c r="M93" s="155">
        <f t="shared" si="51"/>
        <v>150.96296017176314</v>
      </c>
      <c r="N93" s="155">
        <f t="shared" si="51"/>
        <v>171.26787970232343</v>
      </c>
      <c r="O93" s="155">
        <f t="shared" si="51"/>
        <v>193.40834106123009</v>
      </c>
      <c r="P93" s="155">
        <f>P92*P90</f>
        <v>215.9075503057181</v>
      </c>
      <c r="Q93" s="155">
        <f t="shared" ref="Q93:Z93" si="52">Q92*Q90</f>
        <v>229.55100386483727</v>
      </c>
      <c r="R93" s="155">
        <f t="shared" si="52"/>
        <v>244.06114068464245</v>
      </c>
      <c r="S93" s="155">
        <f t="shared" si="52"/>
        <v>259.49332415915057</v>
      </c>
      <c r="T93" s="155">
        <f t="shared" si="52"/>
        <v>275.9064751307456</v>
      </c>
      <c r="U93" s="155">
        <f t="shared" si="52"/>
        <v>58.672660376235939</v>
      </c>
      <c r="V93" s="155">
        <f t="shared" si="52"/>
        <v>6.2386109017074363</v>
      </c>
      <c r="W93" s="155">
        <f t="shared" si="52"/>
        <v>0.66335847741536913</v>
      </c>
      <c r="X93" s="155">
        <f t="shared" si="52"/>
        <v>7.0536997576983437E-2</v>
      </c>
      <c r="Y93" s="155">
        <f t="shared" si="52"/>
        <v>7.5005652981817422E-3</v>
      </c>
      <c r="Z93" s="155">
        <f t="shared" si="52"/>
        <v>7.9758944899295135E-4</v>
      </c>
    </row>
    <row r="95" spans="1:28">
      <c r="B95" s="510" t="s">
        <v>814</v>
      </c>
      <c r="C95" s="510"/>
      <c r="D95" s="510"/>
      <c r="E95" s="510"/>
      <c r="F95" s="510"/>
      <c r="G95" s="510"/>
      <c r="H95" s="510"/>
      <c r="I95" s="512">
        <f>I93+I90</f>
        <v>0</v>
      </c>
      <c r="J95" s="512">
        <f t="shared" ref="J95:O95" si="53">J93+J90</f>
        <v>75.03157347285169</v>
      </c>
      <c r="K95" s="512">
        <f t="shared" si="53"/>
        <v>442.27436149663527</v>
      </c>
      <c r="L95" s="512">
        <f t="shared" si="53"/>
        <v>912.50534299006233</v>
      </c>
      <c r="M95" s="512">
        <f t="shared" si="53"/>
        <v>1038.9803729468404</v>
      </c>
      <c r="N95" s="512">
        <f t="shared" si="53"/>
        <v>1178.7259955983436</v>
      </c>
      <c r="O95" s="512">
        <f t="shared" si="53"/>
        <v>1331.104464950819</v>
      </c>
      <c r="P95" s="512">
        <f>P93+P90</f>
        <v>1485.9519638687657</v>
      </c>
      <c r="Q95" s="512">
        <f>Q93+Q90</f>
        <v>1579.851026599174</v>
      </c>
      <c r="R95" s="512">
        <f>R93+R90</f>
        <v>1679.7149094178333</v>
      </c>
      <c r="S95" s="512">
        <f>S93+S90</f>
        <v>1785.9246427423891</v>
      </c>
      <c r="T95" s="512">
        <f t="shared" ref="T95:Z95" si="54">(T93+T90)*(1-T97)</f>
        <v>1898.8857406057195</v>
      </c>
      <c r="U95" s="512">
        <f t="shared" si="54"/>
        <v>403.80595670703553</v>
      </c>
      <c r="V95" s="512">
        <f t="shared" si="54"/>
        <v>42.936322088221765</v>
      </c>
      <c r="W95" s="512">
        <f t="shared" si="54"/>
        <v>4.5654671680940107</v>
      </c>
      <c r="X95" s="512">
        <f t="shared" si="54"/>
        <v>0.4854605127357095</v>
      </c>
      <c r="Y95" s="512">
        <f t="shared" si="54"/>
        <v>4.6459383876384555E-2</v>
      </c>
      <c r="Z95" s="512">
        <f t="shared" si="54"/>
        <v>5.4892920901279576E-4</v>
      </c>
    </row>
    <row r="97" spans="2:26">
      <c r="B97" s="360" t="s">
        <v>911</v>
      </c>
      <c r="Y97" s="7">
        <v>0.1</v>
      </c>
      <c r="Z97" s="7">
        <v>0.9</v>
      </c>
    </row>
  </sheetData>
  <mergeCells count="2">
    <mergeCell ref="D1:E1"/>
    <mergeCell ref="G1:I1"/>
  </mergeCells>
  <phoneticPr fontId="9" type="noConversion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G246"/>
  <sheetViews>
    <sheetView zoomScaleNormal="100" workbookViewId="0">
      <pane xSplit="6" ySplit="3" topLeftCell="G4" activePane="bottomRight" state="frozen"/>
      <selection activeCell="N43" sqref="N43"/>
      <selection pane="topRight" activeCell="N43" sqref="N43"/>
      <selection pane="bottomLeft" activeCell="N43" sqref="N43"/>
      <selection pane="bottomRight" activeCell="P8" sqref="P8"/>
    </sheetView>
  </sheetViews>
  <sheetFormatPr defaultRowHeight="12.75" outlineLevelRow="1" outlineLevelCol="1"/>
  <cols>
    <col min="1" max="1" width="1.85546875" style="18" customWidth="1"/>
    <col min="2" max="2" width="37.5703125" customWidth="1"/>
    <col min="3" max="6" width="0" hidden="1" customWidth="1" outlineLevel="1"/>
    <col min="7" max="7" width="9.140625" collapsed="1"/>
  </cols>
  <sheetData>
    <row r="1" spans="1:28">
      <c r="A1" s="371"/>
      <c r="B1" s="25" t="s">
        <v>775</v>
      </c>
      <c r="G1" s="1242">
        <f>DCF!C25</f>
        <v>2</v>
      </c>
      <c r="H1" s="1242"/>
      <c r="J1" s="1243" t="s">
        <v>465</v>
      </c>
      <c r="K1" s="1243"/>
      <c r="L1" s="1243"/>
    </row>
    <row r="2" spans="1:28" s="41" customFormat="1">
      <c r="A2" s="187"/>
    </row>
    <row r="3" spans="1:28" s="41" customFormat="1" ht="13.5" thickBot="1">
      <c r="A3" s="187"/>
      <c r="B3" s="467"/>
      <c r="C3" s="460">
        <v>2005</v>
      </c>
      <c r="D3" s="460">
        <v>2006</v>
      </c>
      <c r="E3" s="460">
        <v>2007</v>
      </c>
      <c r="F3" s="460">
        <v>2008</v>
      </c>
      <c r="G3" s="460">
        <v>2009</v>
      </c>
      <c r="H3" s="460">
        <v>2010</v>
      </c>
      <c r="I3" s="460">
        <v>2011</v>
      </c>
      <c r="J3" s="460">
        <v>2012</v>
      </c>
      <c r="K3" s="460">
        <v>2013</v>
      </c>
      <c r="L3" s="611">
        <v>2014</v>
      </c>
      <c r="M3" s="611">
        <f>L3+1</f>
        <v>2015</v>
      </c>
      <c r="N3" s="611">
        <f t="shared" ref="N3:W3" si="0">M3+1</f>
        <v>2016</v>
      </c>
      <c r="O3" s="611">
        <f t="shared" si="0"/>
        <v>2017</v>
      </c>
      <c r="P3" s="611">
        <f t="shared" si="0"/>
        <v>2018</v>
      </c>
      <c r="Q3" s="611">
        <f t="shared" si="0"/>
        <v>2019</v>
      </c>
      <c r="R3" s="611">
        <f t="shared" si="0"/>
        <v>2020</v>
      </c>
      <c r="S3" s="611">
        <f t="shared" si="0"/>
        <v>2021</v>
      </c>
      <c r="T3" s="611">
        <f t="shared" si="0"/>
        <v>2022</v>
      </c>
      <c r="U3" s="611">
        <f t="shared" si="0"/>
        <v>2023</v>
      </c>
      <c r="V3" s="611">
        <f t="shared" si="0"/>
        <v>2024</v>
      </c>
      <c r="W3" s="611">
        <f t="shared" si="0"/>
        <v>2025</v>
      </c>
      <c r="X3" s="611">
        <f>W3+1</f>
        <v>2026</v>
      </c>
      <c r="Y3" s="611">
        <f>X3+1</f>
        <v>2027</v>
      </c>
      <c r="Z3" s="611">
        <f>Y3+1</f>
        <v>2028</v>
      </c>
      <c r="AA3" s="611">
        <f>Z3+1</f>
        <v>2029</v>
      </c>
      <c r="AB3" s="611">
        <f>AA3+1</f>
        <v>2030</v>
      </c>
    </row>
    <row r="4" spans="1:28" s="41" customFormat="1">
      <c r="A4" s="187"/>
      <c r="B4" s="469" t="s">
        <v>472</v>
      </c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69"/>
      <c r="R4" s="469"/>
      <c r="S4" s="469"/>
      <c r="T4" s="469"/>
      <c r="U4" s="469"/>
      <c r="V4" s="469"/>
      <c r="W4" s="469"/>
      <c r="X4" s="759"/>
      <c r="Y4" s="759"/>
      <c r="Z4" s="759"/>
      <c r="AA4" s="759"/>
      <c r="AB4" s="759"/>
    </row>
    <row r="5" spans="1:28" s="50" customFormat="1">
      <c r="A5" s="59"/>
      <c r="B5" s="126"/>
      <c r="C5" s="127"/>
      <c r="D5" s="127"/>
      <c r="E5" s="127"/>
      <c r="F5" s="127"/>
      <c r="G5" s="127"/>
      <c r="H5" s="127"/>
      <c r="I5" s="127"/>
      <c r="J5" s="127"/>
      <c r="K5" s="127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9"/>
      <c r="X5" s="129"/>
      <c r="Y5" s="129"/>
      <c r="Z5" s="129"/>
      <c r="AA5" s="129"/>
      <c r="AB5" s="129"/>
    </row>
    <row r="6" spans="1:28">
      <c r="A6" s="371"/>
      <c r="B6" s="72" t="s">
        <v>321</v>
      </c>
      <c r="C6" s="122">
        <f>D6/1.172</f>
        <v>133.69008755008161</v>
      </c>
      <c r="D6" s="122">
        <f>E6/1.84</f>
        <v>156.68478260869566</v>
      </c>
      <c r="E6" s="72">
        <v>288.3</v>
      </c>
      <c r="F6" s="72">
        <v>299.3</v>
      </c>
      <c r="G6" s="72">
        <v>314.5</v>
      </c>
      <c r="H6" s="122">
        <v>325</v>
      </c>
      <c r="I6" s="122">
        <f>REVS!AV13</f>
        <v>385.90499999999997</v>
      </c>
      <c r="J6" s="122">
        <f>REVS!BA13</f>
        <v>426.67500000000001</v>
      </c>
      <c r="K6" s="122">
        <f>REVS!BF13</f>
        <v>649.1</v>
      </c>
      <c r="L6" s="125">
        <f>L9+L12+L15</f>
        <v>851.80918165591299</v>
      </c>
      <c r="M6" s="125">
        <f t="shared" ref="M6:U6" si="1">M9+M12+M15</f>
        <v>959.74997918700296</v>
      </c>
      <c r="N6" s="125">
        <f t="shared" si="1"/>
        <v>957.79380147862082</v>
      </c>
      <c r="O6" s="125">
        <f t="shared" si="1"/>
        <v>1005.7362649714348</v>
      </c>
      <c r="P6" s="125">
        <f t="shared" si="1"/>
        <v>1029.9171782573344</v>
      </c>
      <c r="Q6" s="125">
        <f t="shared" si="1"/>
        <v>1071.1938709926731</v>
      </c>
      <c r="R6" s="125">
        <f t="shared" si="1"/>
        <v>1125.6337546339225</v>
      </c>
      <c r="S6" s="125">
        <f t="shared" si="1"/>
        <v>1184.29078075149</v>
      </c>
      <c r="T6" s="125">
        <f t="shared" si="1"/>
        <v>1247.564539192193</v>
      </c>
      <c r="U6" s="125">
        <f t="shared" si="1"/>
        <v>1218.9189346961973</v>
      </c>
      <c r="V6" s="125">
        <f t="shared" ref="V6:AB6" si="2">V9+V12+V15</f>
        <v>1131.2458201142977</v>
      </c>
      <c r="W6" s="125">
        <f t="shared" si="2"/>
        <v>1001.3763509978595</v>
      </c>
      <c r="X6" s="125">
        <f t="shared" si="2"/>
        <v>881.78260491629158</v>
      </c>
      <c r="Y6" s="125">
        <f t="shared" si="2"/>
        <v>728.133971091018</v>
      </c>
      <c r="Z6" s="125">
        <f t="shared" si="2"/>
        <v>656.17419652279273</v>
      </c>
      <c r="AA6" s="125">
        <f t="shared" si="2"/>
        <v>592.68790038561815</v>
      </c>
      <c r="AB6" s="125">
        <f t="shared" si="2"/>
        <v>509.52759028359344</v>
      </c>
    </row>
    <row r="7" spans="1:28">
      <c r="A7" s="371"/>
      <c r="B7" s="10" t="s">
        <v>181</v>
      </c>
      <c r="C7" s="12"/>
      <c r="D7" s="12"/>
      <c r="H7" s="12"/>
      <c r="I7" s="12">
        <f>REVS!AV15</f>
        <v>320.90499999999997</v>
      </c>
      <c r="J7" s="12">
        <f>REVS!BA15</f>
        <v>333</v>
      </c>
      <c r="K7" s="12">
        <f>REVS!BF15</f>
        <v>504.8</v>
      </c>
      <c r="L7" s="24">
        <f>L10+L13+L16</f>
        <v>632.06891915591291</v>
      </c>
      <c r="M7" s="24">
        <f t="shared" ref="M7:U7" si="3">M10+M13+M16</f>
        <v>644.41075856200291</v>
      </c>
      <c r="N7" s="24">
        <f t="shared" si="3"/>
        <v>617.00806497862084</v>
      </c>
      <c r="O7" s="24">
        <f t="shared" si="3"/>
        <v>606.49380212143501</v>
      </c>
      <c r="P7" s="24">
        <f t="shared" si="3"/>
        <v>605.47359369233448</v>
      </c>
      <c r="Q7" s="24">
        <f t="shared" si="3"/>
        <v>610.26879342202312</v>
      </c>
      <c r="R7" s="24">
        <f t="shared" si="3"/>
        <v>624.63866341156597</v>
      </c>
      <c r="S7" s="24">
        <f t="shared" si="3"/>
        <v>639.2788994533098</v>
      </c>
      <c r="T7" s="24">
        <f t="shared" si="3"/>
        <v>654.19501600107094</v>
      </c>
      <c r="U7" s="24">
        <f t="shared" si="3"/>
        <v>669.39266495685638</v>
      </c>
      <c r="V7" s="24">
        <f>V10+V13+V16</f>
        <v>684.87763977056511</v>
      </c>
      <c r="W7" s="24">
        <f t="shared" ref="W7:AB7" si="4">W10+W13+W16</f>
        <v>700.65587967470242</v>
      </c>
      <c r="X7" s="24">
        <f t="shared" si="4"/>
        <v>716.73347405874028</v>
      </c>
      <c r="Y7" s="24">
        <f t="shared" si="4"/>
        <v>655.4251644586252</v>
      </c>
      <c r="Z7" s="24">
        <f t="shared" si="4"/>
        <v>628.86845345257984</v>
      </c>
      <c r="AA7" s="24">
        <f t="shared" si="4"/>
        <v>582.42818630094519</v>
      </c>
      <c r="AB7" s="24">
        <f t="shared" si="4"/>
        <v>505.67089224853476</v>
      </c>
    </row>
    <row r="8" spans="1:28">
      <c r="A8" s="371"/>
      <c r="B8" s="10" t="s">
        <v>76</v>
      </c>
      <c r="C8" s="12"/>
      <c r="D8" s="12"/>
      <c r="H8" s="12"/>
      <c r="I8" s="12">
        <f>REVS!AV16</f>
        <v>65</v>
      </c>
      <c r="J8" s="12">
        <f>REVS!BA16</f>
        <v>93.675000000000011</v>
      </c>
      <c r="K8" s="12">
        <f>REVS!BF16</f>
        <v>139.10000000000002</v>
      </c>
      <c r="L8" s="24">
        <f>L6-L7</f>
        <v>219.74026250000009</v>
      </c>
      <c r="M8" s="24">
        <f t="shared" ref="M8:U8" si="5">M6-M7</f>
        <v>315.33922062500005</v>
      </c>
      <c r="N8" s="24">
        <f t="shared" si="5"/>
        <v>340.78573649999998</v>
      </c>
      <c r="O8" s="24">
        <f t="shared" si="5"/>
        <v>399.24246284999981</v>
      </c>
      <c r="P8" s="24">
        <f t="shared" si="5"/>
        <v>424.44358456499992</v>
      </c>
      <c r="Q8" s="24">
        <f t="shared" si="5"/>
        <v>460.92507757064993</v>
      </c>
      <c r="R8" s="24">
        <f t="shared" si="5"/>
        <v>500.99509122235656</v>
      </c>
      <c r="S8" s="24">
        <f t="shared" si="5"/>
        <v>545.01188129818024</v>
      </c>
      <c r="T8" s="24">
        <f t="shared" si="5"/>
        <v>593.36952319112208</v>
      </c>
      <c r="U8" s="24">
        <f t="shared" si="5"/>
        <v>549.52626973934093</v>
      </c>
      <c r="V8" s="24">
        <f>V6-V7</f>
        <v>446.36818034373255</v>
      </c>
      <c r="W8" s="24">
        <f t="shared" ref="W8:AB8" si="6">W6-W7</f>
        <v>300.72047132315708</v>
      </c>
      <c r="X8" s="24">
        <f t="shared" si="6"/>
        <v>165.04913085755129</v>
      </c>
      <c r="Y8" s="24">
        <f t="shared" si="6"/>
        <v>72.708806632392793</v>
      </c>
      <c r="Z8" s="24">
        <f t="shared" si="6"/>
        <v>27.305743070212884</v>
      </c>
      <c r="AA8" s="24">
        <f t="shared" si="6"/>
        <v>10.259714084672964</v>
      </c>
      <c r="AB8" s="24">
        <f t="shared" si="6"/>
        <v>3.8566980350586846</v>
      </c>
    </row>
    <row r="9" spans="1:28">
      <c r="A9" s="371"/>
      <c r="B9" s="72" t="s">
        <v>258</v>
      </c>
      <c r="C9" s="122">
        <f>C6</f>
        <v>133.69008755008161</v>
      </c>
      <c r="D9" s="122">
        <f>D6</f>
        <v>156.68478260869566</v>
      </c>
      <c r="E9" s="118">
        <f>E26</f>
        <v>288.27500624999999</v>
      </c>
      <c r="F9" s="72">
        <f>F6</f>
        <v>299.3</v>
      </c>
      <c r="G9" s="72">
        <f>G6</f>
        <v>314.5</v>
      </c>
      <c r="H9" s="122">
        <f>H6</f>
        <v>325</v>
      </c>
      <c r="I9" s="118">
        <f t="shared" ref="I9:U9" si="7">I10+I11</f>
        <v>345.53671658333991</v>
      </c>
      <c r="J9" s="118">
        <f t="shared" si="7"/>
        <v>375.00077245086601</v>
      </c>
      <c r="K9" s="118">
        <f t="shared" si="7"/>
        <v>389.21573718609341</v>
      </c>
      <c r="L9" s="125">
        <f t="shared" si="7"/>
        <v>396.78748033174855</v>
      </c>
      <c r="M9" s="125">
        <f t="shared" si="7"/>
        <v>392.38404166629067</v>
      </c>
      <c r="N9" s="125">
        <f t="shared" si="7"/>
        <v>340.77058178994304</v>
      </c>
      <c r="O9" s="125">
        <f t="shared" si="7"/>
        <v>311.37838941624375</v>
      </c>
      <c r="P9" s="125">
        <f t="shared" si="7"/>
        <v>296.66876883051407</v>
      </c>
      <c r="Q9" s="125">
        <f t="shared" si="7"/>
        <v>290.2103428772183</v>
      </c>
      <c r="R9" s="125">
        <f t="shared" si="7"/>
        <v>293.08989363807814</v>
      </c>
      <c r="S9" s="125">
        <f t="shared" si="7"/>
        <v>295.99801665768689</v>
      </c>
      <c r="T9" s="125">
        <f t="shared" si="7"/>
        <v>298.93499544869161</v>
      </c>
      <c r="U9" s="125">
        <f t="shared" si="7"/>
        <v>291.45606380992723</v>
      </c>
      <c r="V9" s="125">
        <f>V10+V11</f>
        <v>279.10313352669021</v>
      </c>
      <c r="W9" s="125">
        <f t="shared" ref="W9:AB9" si="8">W10+W11</f>
        <v>264.66491591377451</v>
      </c>
      <c r="X9" s="125">
        <f t="shared" si="8"/>
        <v>253.33776025028152</v>
      </c>
      <c r="Y9" s="125">
        <f t="shared" si="8"/>
        <v>223.18667788439501</v>
      </c>
      <c r="Z9" s="125">
        <f t="shared" si="8"/>
        <v>209.38829635410218</v>
      </c>
      <c r="AA9" s="125">
        <f t="shared" si="8"/>
        <v>191.65873975864756</v>
      </c>
      <c r="AB9" s="125">
        <f t="shared" si="8"/>
        <v>165.10188781558267</v>
      </c>
    </row>
    <row r="10" spans="1:28">
      <c r="A10" s="371"/>
      <c r="B10" s="10" t="s">
        <v>181</v>
      </c>
      <c r="C10" s="12"/>
      <c r="D10" s="12"/>
      <c r="F10" s="26">
        <f t="shared" ref="F10:M10" si="9">F26</f>
        <v>290.85080062499998</v>
      </c>
      <c r="G10" s="26">
        <f t="shared" si="9"/>
        <v>291.67840335768756</v>
      </c>
      <c r="H10" s="26">
        <f t="shared" si="9"/>
        <v>283.34473469032503</v>
      </c>
      <c r="I10" s="26">
        <f t="shared" si="9"/>
        <v>287.03671658333991</v>
      </c>
      <c r="J10" s="26">
        <f t="shared" si="9"/>
        <v>290.693272450866</v>
      </c>
      <c r="K10" s="26">
        <f t="shared" si="9"/>
        <v>296.47748718609341</v>
      </c>
      <c r="L10" s="24">
        <f t="shared" si="9"/>
        <v>299.41231783174851</v>
      </c>
      <c r="M10" s="24">
        <f t="shared" si="9"/>
        <v>290.14012104129063</v>
      </c>
      <c r="N10" s="24">
        <f t="shared" ref="N10:T10" si="10">N26</f>
        <v>258.97544528994302</v>
      </c>
      <c r="O10" s="24">
        <f t="shared" si="10"/>
        <v>237.76276656624376</v>
      </c>
      <c r="P10" s="24">
        <f t="shared" si="10"/>
        <v>230.41470826551404</v>
      </c>
      <c r="Q10" s="24">
        <f t="shared" si="10"/>
        <v>223.29374170656831</v>
      </c>
      <c r="R10" s="24">
        <f t="shared" si="10"/>
        <v>225.5041264557216</v>
      </c>
      <c r="S10" s="24">
        <f t="shared" si="10"/>
        <v>227.73639180350679</v>
      </c>
      <c r="T10" s="24">
        <f t="shared" si="10"/>
        <v>229.99075434596975</v>
      </c>
      <c r="U10" s="24">
        <f>U26*(1-U113)</f>
        <v>232.26743282324048</v>
      </c>
      <c r="V10" s="24">
        <f t="shared" ref="V10:AB10" si="11">V26*(1-V113)</f>
        <v>234.56664814075779</v>
      </c>
      <c r="W10" s="24">
        <f t="shared" si="11"/>
        <v>236.88862339070312</v>
      </c>
      <c r="X10" s="24">
        <f t="shared" si="11"/>
        <v>239.23358387364763</v>
      </c>
      <c r="Y10" s="24">
        <f t="shared" si="11"/>
        <v>217.4415814083716</v>
      </c>
      <c r="Z10" s="24">
        <f t="shared" si="11"/>
        <v>207.3943669770257</v>
      </c>
      <c r="AA10" s="24">
        <f t="shared" si="11"/>
        <v>190.96671406728433</v>
      </c>
      <c r="AB10" s="24">
        <f t="shared" si="11"/>
        <v>164.86170901937629</v>
      </c>
    </row>
    <row r="11" spans="1:28">
      <c r="A11" s="371"/>
      <c r="B11" s="10" t="s">
        <v>76</v>
      </c>
      <c r="C11" s="12"/>
      <c r="D11" s="12"/>
      <c r="F11" s="26">
        <f>F9-F10</f>
        <v>8.4491993750000347</v>
      </c>
      <c r="G11" s="26">
        <f>G9-G10</f>
        <v>22.821596642312443</v>
      </c>
      <c r="H11" s="26">
        <f>H6-H10-H12</f>
        <v>41.655265309674974</v>
      </c>
      <c r="I11" s="26">
        <f>I8*0.9</f>
        <v>58.5</v>
      </c>
      <c r="J11" s="12">
        <f>J8*0.9</f>
        <v>84.307500000000019</v>
      </c>
      <c r="K11" s="12">
        <f>J11*1.1</f>
        <v>92.738250000000022</v>
      </c>
      <c r="L11" s="24">
        <f>K11*1.05</f>
        <v>97.37516250000003</v>
      </c>
      <c r="M11" s="24">
        <f>L11*1.05</f>
        <v>102.24392062500003</v>
      </c>
      <c r="N11" s="24">
        <f>M11*0.8</f>
        <v>81.795136500000027</v>
      </c>
      <c r="O11" s="24">
        <f>N11*0.9</f>
        <v>73.615622850000022</v>
      </c>
      <c r="P11" s="24">
        <f>O11*0.9</f>
        <v>66.254060565000017</v>
      </c>
      <c r="Q11" s="24">
        <f>P11*1.01</f>
        <v>66.916601170650011</v>
      </c>
      <c r="R11" s="24">
        <f>Q11*1.01</f>
        <v>67.585767182356506</v>
      </c>
      <c r="S11" s="24">
        <f>R11*1.01</f>
        <v>68.26162485418007</v>
      </c>
      <c r="T11" s="24">
        <f>S11*1.01</f>
        <v>68.944241102721875</v>
      </c>
      <c r="U11" s="24">
        <f>T11*1.01*(1-U112)</f>
        <v>59.188630986686725</v>
      </c>
      <c r="V11" s="24">
        <f t="shared" ref="V11:AB11" si="12">U11*1.01*(1-V112)</f>
        <v>44.536485385932423</v>
      </c>
      <c r="W11" s="24">
        <f t="shared" si="12"/>
        <v>27.776292523071401</v>
      </c>
      <c r="X11" s="24">
        <f t="shared" si="12"/>
        <v>14.104176376633889</v>
      </c>
      <c r="Y11" s="24">
        <f t="shared" si="12"/>
        <v>5.745096476023412</v>
      </c>
      <c r="Z11" s="24">
        <f t="shared" si="12"/>
        <v>1.9939293770764843</v>
      </c>
      <c r="AA11" s="24">
        <f t="shared" si="12"/>
        <v>0.69202569136324021</v>
      </c>
      <c r="AB11" s="24">
        <f t="shared" si="12"/>
        <v>0.24017879620638174</v>
      </c>
    </row>
    <row r="12" spans="1:28">
      <c r="A12" s="371"/>
      <c r="B12" s="72" t="s">
        <v>259</v>
      </c>
      <c r="C12" s="72"/>
      <c r="D12" s="72"/>
      <c r="E12" s="72"/>
      <c r="F12" s="72"/>
      <c r="G12" s="72"/>
      <c r="H12" s="72"/>
      <c r="I12" s="122">
        <f>I6-I9</f>
        <v>40.368283416660063</v>
      </c>
      <c r="J12" s="122">
        <f>J6-J9</f>
        <v>51.674227549134002</v>
      </c>
      <c r="K12" s="122">
        <f>K69</f>
        <v>90.294037216156809</v>
      </c>
      <c r="L12" s="125">
        <f>L13+L14</f>
        <v>112.18019197041446</v>
      </c>
      <c r="M12" s="125">
        <f t="shared" ref="M12:AB12" si="13">M13+M14</f>
        <v>128.28546061424359</v>
      </c>
      <c r="N12" s="125">
        <f t="shared" si="13"/>
        <v>156.66799671835568</v>
      </c>
      <c r="O12" s="125">
        <f t="shared" si="13"/>
        <v>178.46393384890035</v>
      </c>
      <c r="P12" s="125">
        <f t="shared" si="13"/>
        <v>181.72323851710718</v>
      </c>
      <c r="Q12" s="125">
        <f t="shared" si="13"/>
        <v>195.51667669208587</v>
      </c>
      <c r="R12" s="125">
        <f t="shared" si="13"/>
        <v>210.53576636563764</v>
      </c>
      <c r="S12" s="125">
        <f t="shared" si="13"/>
        <v>226.89767831776408</v>
      </c>
      <c r="T12" s="125">
        <f t="shared" si="13"/>
        <v>244.73111107217636</v>
      </c>
      <c r="U12" s="125">
        <f t="shared" si="13"/>
        <v>236.57647058473106</v>
      </c>
      <c r="V12" s="125">
        <f t="shared" si="13"/>
        <v>211.15916371308538</v>
      </c>
      <c r="W12" s="125">
        <f t="shared" si="13"/>
        <v>172.95990550121266</v>
      </c>
      <c r="X12" s="125">
        <f t="shared" si="13"/>
        <v>137.06007003297168</v>
      </c>
      <c r="Y12" s="125">
        <f t="shared" si="13"/>
        <v>103.36943405155213</v>
      </c>
      <c r="Z12" s="125">
        <f t="shared" si="13"/>
        <v>87.452146254870129</v>
      </c>
      <c r="AA12" s="125">
        <f t="shared" si="13"/>
        <v>77.224696902574379</v>
      </c>
      <c r="AB12" s="125">
        <f t="shared" si="13"/>
        <v>66.135031351764468</v>
      </c>
    </row>
    <row r="13" spans="1:28">
      <c r="A13" s="371"/>
      <c r="B13" s="10" t="s">
        <v>181</v>
      </c>
      <c r="I13" s="12">
        <f>I12-I14</f>
        <v>33.868283416660063</v>
      </c>
      <c r="J13" s="12">
        <f>J12-J14</f>
        <v>42.30672754913401</v>
      </c>
      <c r="K13" s="12">
        <f>K12-K14</f>
        <v>79.989787216156813</v>
      </c>
      <c r="L13" s="24">
        <f t="shared" ref="L13:T13" si="14">L69</f>
        <v>99.815091970414471</v>
      </c>
      <c r="M13" s="24">
        <f t="shared" si="14"/>
        <v>91.190160614243624</v>
      </c>
      <c r="N13" s="24">
        <f t="shared" si="14"/>
        <v>82.477396718355735</v>
      </c>
      <c r="O13" s="24">
        <f t="shared" si="14"/>
        <v>74.597093848900442</v>
      </c>
      <c r="P13" s="24">
        <f t="shared" si="14"/>
        <v>67.469714517107249</v>
      </c>
      <c r="Q13" s="24">
        <f t="shared" si="14"/>
        <v>69.837800292085944</v>
      </c>
      <c r="R13" s="24">
        <f t="shared" si="14"/>
        <v>72.289002325637711</v>
      </c>
      <c r="S13" s="24">
        <f t="shared" si="14"/>
        <v>74.826237873764128</v>
      </c>
      <c r="T13" s="24">
        <f t="shared" si="14"/>
        <v>77.452526583776447</v>
      </c>
      <c r="U13" s="24">
        <f>U69*(1-U113)</f>
        <v>80.170994088077109</v>
      </c>
      <c r="V13" s="24">
        <f t="shared" ref="V13:AB13" si="15">V69*(1-V113)</f>
        <v>82.984875724077497</v>
      </c>
      <c r="W13" s="24">
        <f t="shared" si="15"/>
        <v>85.897520384679041</v>
      </c>
      <c r="X13" s="24">
        <f t="shared" si="15"/>
        <v>88.912394503900671</v>
      </c>
      <c r="Y13" s="24">
        <f t="shared" si="15"/>
        <v>82.009680756590356</v>
      </c>
      <c r="Z13" s="24">
        <f t="shared" si="15"/>
        <v>79.378309027647646</v>
      </c>
      <c r="AA13" s="24">
        <f t="shared" si="15"/>
        <v>74.172842947544865</v>
      </c>
      <c r="AB13" s="24">
        <f t="shared" si="15"/>
        <v>64.981451919741005</v>
      </c>
    </row>
    <row r="14" spans="1:28">
      <c r="A14" s="371"/>
      <c r="B14" s="10" t="s">
        <v>76</v>
      </c>
      <c r="I14" s="26">
        <f>I8-I11</f>
        <v>6.5</v>
      </c>
      <c r="J14" s="26">
        <f>J8-J11</f>
        <v>9.3674999999999926</v>
      </c>
      <c r="K14" s="26">
        <f t="shared" ref="K14:T14" si="16">J14*1.1</f>
        <v>10.304249999999993</v>
      </c>
      <c r="L14" s="24">
        <f>K14*1.2</f>
        <v>12.365099999999991</v>
      </c>
      <c r="M14" s="24">
        <f>L14*3</f>
        <v>37.095299999999973</v>
      </c>
      <c r="N14" s="24">
        <f>M14*2</f>
        <v>74.190599999999947</v>
      </c>
      <c r="O14" s="24">
        <f>N14*1.4</f>
        <v>103.86683999999993</v>
      </c>
      <c r="P14" s="24">
        <f t="shared" si="16"/>
        <v>114.25352399999993</v>
      </c>
      <c r="Q14" s="24">
        <f t="shared" si="16"/>
        <v>125.67887639999994</v>
      </c>
      <c r="R14" s="24">
        <f t="shared" si="16"/>
        <v>138.24676403999993</v>
      </c>
      <c r="S14" s="24">
        <f t="shared" si="16"/>
        <v>152.07144044399993</v>
      </c>
      <c r="T14" s="24">
        <f t="shared" si="16"/>
        <v>167.27858448839993</v>
      </c>
      <c r="U14" s="24">
        <f>T14*1.1*(1-U112)</f>
        <v>156.40547649665393</v>
      </c>
      <c r="V14" s="24">
        <f t="shared" ref="V14:AB14" si="17">U14*1.1*(1-V112)</f>
        <v>128.17428798900789</v>
      </c>
      <c r="W14" s="24">
        <f t="shared" si="17"/>
        <v>87.062385116533619</v>
      </c>
      <c r="X14" s="24">
        <f t="shared" si="17"/>
        <v>48.147675529071009</v>
      </c>
      <c r="Y14" s="24">
        <f t="shared" si="17"/>
        <v>21.359753294961774</v>
      </c>
      <c r="Z14" s="24">
        <f t="shared" si="17"/>
        <v>8.0738372272224872</v>
      </c>
      <c r="AA14" s="24">
        <f t="shared" si="17"/>
        <v>3.0518539550295101</v>
      </c>
      <c r="AB14" s="24">
        <f t="shared" si="17"/>
        <v>1.1535794320234696</v>
      </c>
    </row>
    <row r="15" spans="1:28">
      <c r="A15" s="371"/>
      <c r="B15" s="72" t="s">
        <v>260</v>
      </c>
      <c r="C15" s="72"/>
      <c r="D15" s="72"/>
      <c r="E15" s="72"/>
      <c r="F15" s="72"/>
      <c r="G15" s="72"/>
      <c r="H15" s="72"/>
      <c r="I15" s="72"/>
      <c r="J15" s="72"/>
      <c r="K15" s="122">
        <f>K6-K9-K12</f>
        <v>169.59022559774979</v>
      </c>
      <c r="L15" s="125">
        <f>L16+L17</f>
        <v>342.84150935374998</v>
      </c>
      <c r="M15" s="125">
        <f t="shared" ref="M15:AB15" si="18">M16+M17</f>
        <v>439.08047690646873</v>
      </c>
      <c r="N15" s="125">
        <f t="shared" si="18"/>
        <v>460.35522297032207</v>
      </c>
      <c r="O15" s="125">
        <f t="shared" si="18"/>
        <v>515.89394170629078</v>
      </c>
      <c r="P15" s="125">
        <f t="shared" si="18"/>
        <v>551.52517090971321</v>
      </c>
      <c r="Q15" s="125">
        <f t="shared" si="18"/>
        <v>585.46685142336901</v>
      </c>
      <c r="R15" s="125">
        <f t="shared" si="18"/>
        <v>622.00809463020676</v>
      </c>
      <c r="S15" s="125">
        <f t="shared" si="18"/>
        <v>661.39508577603908</v>
      </c>
      <c r="T15" s="125">
        <f t="shared" si="18"/>
        <v>703.89843267132494</v>
      </c>
      <c r="U15" s="125">
        <f t="shared" si="18"/>
        <v>690.88640030153897</v>
      </c>
      <c r="V15" s="125">
        <f t="shared" si="18"/>
        <v>640.98352287452201</v>
      </c>
      <c r="W15" s="125">
        <f t="shared" si="18"/>
        <v>563.75152958287231</v>
      </c>
      <c r="X15" s="125">
        <f t="shared" si="18"/>
        <v>491.38477463303832</v>
      </c>
      <c r="Y15" s="125">
        <f t="shared" si="18"/>
        <v>401.57785915507088</v>
      </c>
      <c r="Z15" s="125">
        <f t="shared" si="18"/>
        <v>359.33375391382049</v>
      </c>
      <c r="AA15" s="125">
        <f t="shared" si="18"/>
        <v>323.80446372439627</v>
      </c>
      <c r="AB15" s="125">
        <f t="shared" si="18"/>
        <v>278.2906711162463</v>
      </c>
    </row>
    <row r="16" spans="1:28">
      <c r="A16" s="371"/>
      <c r="B16" s="10" t="s">
        <v>181</v>
      </c>
      <c r="K16" s="13">
        <f>K108</f>
        <v>153.9760125</v>
      </c>
      <c r="L16" s="13">
        <f t="shared" ref="L16:T16" si="19">L108</f>
        <v>232.84150935374998</v>
      </c>
      <c r="M16" s="13">
        <f t="shared" si="19"/>
        <v>263.08047690646873</v>
      </c>
      <c r="N16" s="13">
        <f t="shared" si="19"/>
        <v>275.55522297032206</v>
      </c>
      <c r="O16" s="13">
        <f t="shared" si="19"/>
        <v>294.13394170629078</v>
      </c>
      <c r="P16" s="13">
        <f t="shared" si="19"/>
        <v>307.58917090971318</v>
      </c>
      <c r="Q16" s="13">
        <f t="shared" si="19"/>
        <v>317.13725142336887</v>
      </c>
      <c r="R16" s="13">
        <f t="shared" si="19"/>
        <v>326.84553463020666</v>
      </c>
      <c r="S16" s="13">
        <f t="shared" si="19"/>
        <v>336.71626977603893</v>
      </c>
      <c r="T16" s="13">
        <f t="shared" si="19"/>
        <v>346.75173507132473</v>
      </c>
      <c r="U16" s="13">
        <f>U108*(1-U113)</f>
        <v>356.95423804553872</v>
      </c>
      <c r="V16" s="13">
        <f t="shared" ref="V16:AB16" si="20">V108*(1-V113)</f>
        <v>367.32611590572981</v>
      </c>
      <c r="W16" s="13">
        <f t="shared" si="20"/>
        <v>377.86973589932023</v>
      </c>
      <c r="X16" s="13">
        <f t="shared" si="20"/>
        <v>388.58749568119191</v>
      </c>
      <c r="Y16" s="13">
        <f t="shared" si="20"/>
        <v>355.97390229366329</v>
      </c>
      <c r="Z16" s="13">
        <f t="shared" si="20"/>
        <v>342.09577744790641</v>
      </c>
      <c r="AA16" s="13">
        <f t="shared" si="20"/>
        <v>317.28862928611602</v>
      </c>
      <c r="AB16" s="13">
        <f t="shared" si="20"/>
        <v>275.82773130941746</v>
      </c>
    </row>
    <row r="17" spans="1:30">
      <c r="A17" s="371"/>
      <c r="B17" s="10" t="s">
        <v>76</v>
      </c>
      <c r="K17" s="13">
        <f>K15-K16</f>
        <v>15.614213097749797</v>
      </c>
      <c r="L17" s="13">
        <v>110</v>
      </c>
      <c r="M17" s="13">
        <f>L17*1.6</f>
        <v>176</v>
      </c>
      <c r="N17" s="13">
        <f>M17*1.05</f>
        <v>184.8</v>
      </c>
      <c r="O17" s="13">
        <f>N17*1.2</f>
        <v>221.76000000000002</v>
      </c>
      <c r="P17" s="13">
        <f t="shared" ref="P17:T17" si="21">O17*1.1</f>
        <v>243.93600000000004</v>
      </c>
      <c r="Q17" s="13">
        <f t="shared" si="21"/>
        <v>268.32960000000008</v>
      </c>
      <c r="R17" s="13">
        <f t="shared" si="21"/>
        <v>295.1625600000001</v>
      </c>
      <c r="S17" s="13">
        <f t="shared" si="21"/>
        <v>324.67881600000015</v>
      </c>
      <c r="T17" s="13">
        <f t="shared" si="21"/>
        <v>357.14669760000021</v>
      </c>
      <c r="U17" s="13">
        <f>T17*1.1*(1-U112)</f>
        <v>333.9321622560002</v>
      </c>
      <c r="V17" s="13">
        <f t="shared" ref="V17:AB17" si="22">U17*1.1*(1-V112)</f>
        <v>273.6574069687922</v>
      </c>
      <c r="W17" s="13">
        <f t="shared" si="22"/>
        <v>185.8817936835521</v>
      </c>
      <c r="X17" s="13">
        <f t="shared" si="22"/>
        <v>102.79727895184641</v>
      </c>
      <c r="Y17" s="13">
        <f t="shared" si="22"/>
        <v>45.603956861407625</v>
      </c>
      <c r="Z17" s="13">
        <f t="shared" si="22"/>
        <v>17.237976465914052</v>
      </c>
      <c r="AA17" s="13">
        <f t="shared" si="22"/>
        <v>6.5158344382802511</v>
      </c>
      <c r="AB17" s="13">
        <f t="shared" si="22"/>
        <v>2.4629398068288668</v>
      </c>
      <c r="AC17" s="13"/>
    </row>
    <row r="18" spans="1:30">
      <c r="A18" s="371"/>
    </row>
    <row r="19" spans="1:30">
      <c r="A19" s="371"/>
      <c r="B19" s="606" t="s">
        <v>267</v>
      </c>
      <c r="C19" s="606"/>
      <c r="D19" s="606"/>
      <c r="E19" s="606"/>
      <c r="F19" s="606"/>
      <c r="G19" s="606"/>
      <c r="H19" s="606"/>
      <c r="I19" s="606"/>
      <c r="J19" s="606"/>
      <c r="K19" s="606"/>
      <c r="L19" s="606"/>
      <c r="M19" s="606"/>
      <c r="N19" s="606"/>
      <c r="O19" s="606"/>
      <c r="P19" s="606"/>
      <c r="Q19" s="606"/>
      <c r="R19" s="606"/>
      <c r="S19" s="606"/>
      <c r="T19" s="606"/>
      <c r="U19" s="606"/>
      <c r="V19" s="606"/>
      <c r="W19" s="606"/>
      <c r="X19" s="606"/>
      <c r="Y19" s="606"/>
      <c r="Z19" s="606"/>
      <c r="AA19" s="606"/>
      <c r="AB19" s="606"/>
    </row>
    <row r="20" spans="1:30">
      <c r="A20" s="371"/>
      <c r="B20" t="s">
        <v>261</v>
      </c>
      <c r="E20" s="612">
        <v>38500</v>
      </c>
      <c r="F20" s="5">
        <f t="shared" ref="F20:K20" si="23">E20*1.02</f>
        <v>39270</v>
      </c>
      <c r="G20" s="5">
        <f t="shared" si="23"/>
        <v>40055.4</v>
      </c>
      <c r="H20" s="5">
        <f t="shared" si="23"/>
        <v>40856.508000000002</v>
      </c>
      <c r="I20" s="5">
        <f t="shared" si="23"/>
        <v>41673.638160000002</v>
      </c>
      <c r="J20" s="5">
        <f t="shared" si="23"/>
        <v>42507.110923200002</v>
      </c>
      <c r="K20" s="5">
        <f t="shared" si="23"/>
        <v>43357.253141664005</v>
      </c>
      <c r="L20" s="5">
        <f>K20*1.01</f>
        <v>43790.825673080646</v>
      </c>
      <c r="M20" s="5">
        <f t="shared" ref="M20:U20" si="24">L20*1.01</f>
        <v>44228.733929811453</v>
      </c>
      <c r="N20" s="5">
        <f t="shared" si="24"/>
        <v>44671.021269109566</v>
      </c>
      <c r="O20" s="5">
        <f t="shared" si="24"/>
        <v>45117.731481800663</v>
      </c>
      <c r="P20" s="5">
        <f t="shared" si="24"/>
        <v>45568.908796618671</v>
      </c>
      <c r="Q20" s="5">
        <f t="shared" si="24"/>
        <v>46024.597884584859</v>
      </c>
      <c r="R20" s="5">
        <f t="shared" si="24"/>
        <v>46484.843863430709</v>
      </c>
      <c r="S20" s="5">
        <f t="shared" si="24"/>
        <v>46949.692302065014</v>
      </c>
      <c r="T20" s="5">
        <f t="shared" si="24"/>
        <v>47419.189225085662</v>
      </c>
      <c r="U20" s="5">
        <f t="shared" si="24"/>
        <v>47893.381117336517</v>
      </c>
      <c r="V20" s="5">
        <f t="shared" ref="V20:AB20" si="25">U20*1.01</f>
        <v>48372.314928509884</v>
      </c>
      <c r="W20" s="5">
        <f t="shared" si="25"/>
        <v>48856.038077794983</v>
      </c>
      <c r="X20" s="5">
        <f t="shared" si="25"/>
        <v>49344.598458572931</v>
      </c>
      <c r="Y20" s="5">
        <f t="shared" si="25"/>
        <v>49838.044443158658</v>
      </c>
      <c r="Z20" s="5">
        <f t="shared" si="25"/>
        <v>50336.424887590249</v>
      </c>
      <c r="AA20" s="5">
        <f t="shared" si="25"/>
        <v>50839.789136466148</v>
      </c>
      <c r="AB20" s="5">
        <f t="shared" si="25"/>
        <v>51348.187027830812</v>
      </c>
      <c r="AD20" s="116" t="s">
        <v>266</v>
      </c>
    </row>
    <row r="21" spans="1:30" s="28" customFormat="1">
      <c r="A21" s="29"/>
      <c r="B21" s="27" t="s">
        <v>262</v>
      </c>
      <c r="E21" s="119">
        <v>0.3503</v>
      </c>
      <c r="F21" s="119">
        <v>0.33</v>
      </c>
      <c r="G21" s="119">
        <v>0.315</v>
      </c>
      <c r="H21" s="119">
        <v>0.3</v>
      </c>
      <c r="I21" s="119">
        <f>H21-0.5%</f>
        <v>0.29499999999999998</v>
      </c>
      <c r="J21" s="119">
        <f>I21-0.5%</f>
        <v>0.28999999999999998</v>
      </c>
      <c r="K21" s="119">
        <f>J21*0.99</f>
        <v>0.28709999999999997</v>
      </c>
      <c r="L21" s="119">
        <f t="shared" ref="L21:V21" si="26">K21*0.99</f>
        <v>0.28422899999999995</v>
      </c>
      <c r="M21" s="119">
        <v>0.27</v>
      </c>
      <c r="N21" s="119">
        <f>M21*0.875</f>
        <v>0.23625000000000002</v>
      </c>
      <c r="O21" s="119">
        <f>N21*0.9</f>
        <v>0.21262500000000001</v>
      </c>
      <c r="P21" s="119">
        <f>O21*0.95</f>
        <v>0.20199375</v>
      </c>
      <c r="Q21" s="119">
        <f>P21*0.95</f>
        <v>0.19189406249999999</v>
      </c>
      <c r="R21" s="119">
        <f t="shared" si="26"/>
        <v>0.18997512187499999</v>
      </c>
      <c r="S21" s="119">
        <f t="shared" si="26"/>
        <v>0.18807537065624999</v>
      </c>
      <c r="T21" s="119">
        <f t="shared" si="26"/>
        <v>0.1861946169496875</v>
      </c>
      <c r="U21" s="119">
        <f t="shared" si="26"/>
        <v>0.18433267078019064</v>
      </c>
      <c r="V21" s="119">
        <f t="shared" si="26"/>
        <v>0.18248934407238873</v>
      </c>
      <c r="W21" s="119">
        <f t="shared" ref="W21:AB21" si="27">V21*0.99</f>
        <v>0.18066445063166484</v>
      </c>
      <c r="X21" s="119">
        <f t="shared" si="27"/>
        <v>0.17885780612534818</v>
      </c>
      <c r="Y21" s="119">
        <f t="shared" si="27"/>
        <v>0.1770692280640947</v>
      </c>
      <c r="Z21" s="119">
        <f t="shared" si="27"/>
        <v>0.17529853578345375</v>
      </c>
      <c r="AA21" s="119">
        <f t="shared" si="27"/>
        <v>0.1735455504256192</v>
      </c>
      <c r="AB21" s="119">
        <f t="shared" si="27"/>
        <v>0.17181009492136301</v>
      </c>
    </row>
    <row r="22" spans="1:30" s="28" customFormat="1" ht="4.5" customHeight="1">
      <c r="A22" s="29"/>
      <c r="B22" s="27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</row>
    <row r="23" spans="1:30">
      <c r="A23" s="371"/>
      <c r="B23" t="s">
        <v>263</v>
      </c>
      <c r="E23" s="5">
        <f t="shared" ref="E23:M23" si="28">E21*E20</f>
        <v>13486.55</v>
      </c>
      <c r="F23" s="5">
        <f t="shared" si="28"/>
        <v>12959.1</v>
      </c>
      <c r="G23" s="5">
        <f t="shared" si="28"/>
        <v>12617.451000000001</v>
      </c>
      <c r="H23" s="5">
        <f t="shared" si="28"/>
        <v>12256.9524</v>
      </c>
      <c r="I23" s="5">
        <f t="shared" si="28"/>
        <v>12293.723257199999</v>
      </c>
      <c r="J23" s="5">
        <f t="shared" si="28"/>
        <v>12327.062167728</v>
      </c>
      <c r="K23" s="5">
        <f t="shared" si="28"/>
        <v>12447.867376971735</v>
      </c>
      <c r="L23" s="5">
        <f t="shared" si="28"/>
        <v>12446.622590234037</v>
      </c>
      <c r="M23" s="5">
        <f t="shared" si="28"/>
        <v>11941.758161049092</v>
      </c>
      <c r="N23" s="5">
        <f t="shared" ref="N23:U23" si="29">N21*N20</f>
        <v>10553.528774827135</v>
      </c>
      <c r="O23" s="5">
        <f t="shared" si="29"/>
        <v>9593.157656317866</v>
      </c>
      <c r="P23" s="5">
        <f t="shared" si="29"/>
        <v>9204.6347712369934</v>
      </c>
      <c r="Q23" s="5">
        <f t="shared" si="29"/>
        <v>8831.8470630018946</v>
      </c>
      <c r="R23" s="5">
        <f t="shared" si="29"/>
        <v>8830.9638782955935</v>
      </c>
      <c r="S23" s="5">
        <f t="shared" si="29"/>
        <v>8830.0807819077636</v>
      </c>
      <c r="T23" s="5">
        <f t="shared" si="29"/>
        <v>8829.1977738295736</v>
      </c>
      <c r="U23" s="5">
        <f t="shared" si="29"/>
        <v>8828.3148540521906</v>
      </c>
      <c r="V23" s="5">
        <f>V21*V20</f>
        <v>8827.4320225667871</v>
      </c>
      <c r="W23" s="5">
        <f t="shared" ref="W23:AB23" si="30">W21*W20</f>
        <v>8826.5492793645299</v>
      </c>
      <c r="X23" s="5">
        <f t="shared" si="30"/>
        <v>8825.6666244365915</v>
      </c>
      <c r="Y23" s="5">
        <f t="shared" si="30"/>
        <v>8824.7840577741481</v>
      </c>
      <c r="Z23" s="5">
        <f t="shared" si="30"/>
        <v>8823.901579368372</v>
      </c>
      <c r="AA23" s="5">
        <f t="shared" si="30"/>
        <v>8823.019189210434</v>
      </c>
      <c r="AB23" s="5">
        <f t="shared" si="30"/>
        <v>8822.1368872915118</v>
      </c>
    </row>
    <row r="24" spans="1:30">
      <c r="A24" s="371"/>
      <c r="B24" s="10" t="s">
        <v>264</v>
      </c>
      <c r="E24" s="505">
        <v>4.5</v>
      </c>
      <c r="F24">
        <f t="shared" ref="F24:M24" si="31">E24</f>
        <v>4.5</v>
      </c>
      <c r="G24">
        <f t="shared" si="31"/>
        <v>4.5</v>
      </c>
      <c r="H24">
        <f t="shared" si="31"/>
        <v>4.5</v>
      </c>
      <c r="I24">
        <f t="shared" si="31"/>
        <v>4.5</v>
      </c>
      <c r="J24">
        <f t="shared" si="31"/>
        <v>4.5</v>
      </c>
      <c r="K24">
        <f t="shared" si="31"/>
        <v>4.5</v>
      </c>
      <c r="L24">
        <f t="shared" si="31"/>
        <v>4.5</v>
      </c>
      <c r="M24">
        <f t="shared" si="31"/>
        <v>4.5</v>
      </c>
      <c r="N24">
        <f t="shared" ref="N24:U24" si="32">M24</f>
        <v>4.5</v>
      </c>
      <c r="O24">
        <f t="shared" si="32"/>
        <v>4.5</v>
      </c>
      <c r="P24">
        <f t="shared" si="32"/>
        <v>4.5</v>
      </c>
      <c r="Q24">
        <f t="shared" si="32"/>
        <v>4.5</v>
      </c>
      <c r="R24">
        <f t="shared" si="32"/>
        <v>4.5</v>
      </c>
      <c r="S24">
        <f t="shared" si="32"/>
        <v>4.5</v>
      </c>
      <c r="T24">
        <f t="shared" si="32"/>
        <v>4.5</v>
      </c>
      <c r="U24">
        <f t="shared" si="32"/>
        <v>4.5</v>
      </c>
      <c r="V24">
        <f t="shared" ref="V24:AB24" si="33">U24</f>
        <v>4.5</v>
      </c>
      <c r="W24">
        <f t="shared" si="33"/>
        <v>4.5</v>
      </c>
      <c r="X24">
        <f t="shared" si="33"/>
        <v>4.5</v>
      </c>
      <c r="Y24">
        <f t="shared" si="33"/>
        <v>4.5</v>
      </c>
      <c r="Z24">
        <f t="shared" si="33"/>
        <v>4.5</v>
      </c>
      <c r="AA24">
        <f t="shared" si="33"/>
        <v>4.5</v>
      </c>
      <c r="AB24">
        <f t="shared" si="33"/>
        <v>4.5</v>
      </c>
    </row>
    <row r="25" spans="1:30">
      <c r="A25" s="371"/>
      <c r="B25" s="10" t="s">
        <v>265</v>
      </c>
      <c r="E25" s="24">
        <v>4750</v>
      </c>
      <c r="F25" s="24">
        <f>E25*1.05</f>
        <v>4987.5</v>
      </c>
      <c r="G25" s="24">
        <f>F25*1.03</f>
        <v>5137.125</v>
      </c>
      <c r="H25" s="24">
        <f>G25*1</f>
        <v>5137.125</v>
      </c>
      <c r="I25" s="24">
        <f>H25*1.01</f>
        <v>5188.4962500000001</v>
      </c>
      <c r="J25" s="24">
        <f>I25*1.01</f>
        <v>5240.3812125000004</v>
      </c>
      <c r="K25" s="24">
        <f>J25*1.01</f>
        <v>5292.785024625</v>
      </c>
      <c r="L25" s="24">
        <f>K25*1.01</f>
        <v>5345.7128748712503</v>
      </c>
      <c r="M25" s="24">
        <f>L25*1.01</f>
        <v>5399.1700036199627</v>
      </c>
      <c r="N25" s="24">
        <f t="shared" ref="N25:U25" si="34">M25*1.01</f>
        <v>5453.161703656162</v>
      </c>
      <c r="O25" s="24">
        <f t="shared" si="34"/>
        <v>5507.6933206927233</v>
      </c>
      <c r="P25" s="24">
        <f t="shared" si="34"/>
        <v>5562.7702538996509</v>
      </c>
      <c r="Q25" s="24">
        <f t="shared" si="34"/>
        <v>5618.3979564386473</v>
      </c>
      <c r="R25" s="24">
        <f t="shared" si="34"/>
        <v>5674.5819360030337</v>
      </c>
      <c r="S25" s="24">
        <f t="shared" si="34"/>
        <v>5731.3277553630642</v>
      </c>
      <c r="T25" s="24">
        <f t="shared" si="34"/>
        <v>5788.6410329166947</v>
      </c>
      <c r="U25" s="24">
        <f t="shared" si="34"/>
        <v>5846.5274432458618</v>
      </c>
      <c r="V25" s="24">
        <f t="shared" ref="V25:AB25" si="35">U25*1.01</f>
        <v>5904.9927176783203</v>
      </c>
      <c r="W25" s="24">
        <f t="shared" si="35"/>
        <v>5964.0426448551034</v>
      </c>
      <c r="X25" s="24">
        <f t="shared" si="35"/>
        <v>6023.6830713036543</v>
      </c>
      <c r="Y25" s="24">
        <f t="shared" si="35"/>
        <v>6083.9199020166907</v>
      </c>
      <c r="Z25" s="24">
        <f t="shared" si="35"/>
        <v>6144.7591010368578</v>
      </c>
      <c r="AA25" s="24">
        <f t="shared" si="35"/>
        <v>6206.2066920472262</v>
      </c>
      <c r="AB25" s="24">
        <f t="shared" si="35"/>
        <v>6268.2687589676989</v>
      </c>
    </row>
    <row r="26" spans="1:30">
      <c r="A26" s="371"/>
      <c r="B26" s="510" t="s">
        <v>268</v>
      </c>
      <c r="C26" s="510"/>
      <c r="D26" s="510"/>
      <c r="E26" s="613">
        <f>E25*E24*E23/1000000</f>
        <v>288.27500624999999</v>
      </c>
      <c r="F26" s="613">
        <f>F25*F24*F23/1000000</f>
        <v>290.85080062499998</v>
      </c>
      <c r="G26" s="613">
        <f t="shared" ref="G26:M26" si="36">G25*G24*G23/1000000</f>
        <v>291.67840335768756</v>
      </c>
      <c r="H26" s="613">
        <f t="shared" si="36"/>
        <v>283.34473469032503</v>
      </c>
      <c r="I26" s="613">
        <f t="shared" si="36"/>
        <v>287.03671658333991</v>
      </c>
      <c r="J26" s="613">
        <f t="shared" si="36"/>
        <v>290.693272450866</v>
      </c>
      <c r="K26" s="613">
        <f t="shared" si="36"/>
        <v>296.47748718609341</v>
      </c>
      <c r="L26" s="613">
        <f t="shared" si="36"/>
        <v>299.41231783174851</v>
      </c>
      <c r="M26" s="613">
        <f t="shared" si="36"/>
        <v>290.14012104129063</v>
      </c>
      <c r="N26" s="613">
        <f t="shared" ref="N26:U26" si="37">N25*N24*N23/1000000</f>
        <v>258.97544528994302</v>
      </c>
      <c r="O26" s="613">
        <f t="shared" si="37"/>
        <v>237.76276656624376</v>
      </c>
      <c r="P26" s="613">
        <f t="shared" si="37"/>
        <v>230.41470826551404</v>
      </c>
      <c r="Q26" s="613">
        <f t="shared" si="37"/>
        <v>223.29374170656831</v>
      </c>
      <c r="R26" s="613">
        <f t="shared" si="37"/>
        <v>225.5041264557216</v>
      </c>
      <c r="S26" s="613">
        <f t="shared" si="37"/>
        <v>227.73639180350679</v>
      </c>
      <c r="T26" s="613">
        <f t="shared" si="37"/>
        <v>229.99075434596975</v>
      </c>
      <c r="U26" s="613">
        <f t="shared" si="37"/>
        <v>232.26743282324048</v>
      </c>
      <c r="V26" s="613">
        <f t="shared" ref="V26:AB26" si="38">V25*V24*V23/1000000</f>
        <v>234.56664814075779</v>
      </c>
      <c r="W26" s="613">
        <f t="shared" si="38"/>
        <v>236.88862339070312</v>
      </c>
      <c r="X26" s="613">
        <f t="shared" si="38"/>
        <v>239.23358387364763</v>
      </c>
      <c r="Y26" s="613">
        <f t="shared" si="38"/>
        <v>241.60175712041288</v>
      </c>
      <c r="Z26" s="613">
        <f t="shared" si="38"/>
        <v>243.9933729141479</v>
      </c>
      <c r="AA26" s="613">
        <f t="shared" si="38"/>
        <v>246.40866331262498</v>
      </c>
      <c r="AB26" s="613">
        <f t="shared" si="38"/>
        <v>248.84786267075665</v>
      </c>
    </row>
    <row r="27" spans="1:30">
      <c r="A27" s="371"/>
    </row>
    <row r="28" spans="1:30">
      <c r="A28" s="371"/>
      <c r="B28" s="606" t="s">
        <v>269</v>
      </c>
      <c r="C28" s="606"/>
      <c r="D28" s="606"/>
      <c r="E28" s="606"/>
      <c r="F28" s="606"/>
      <c r="G28" s="606"/>
      <c r="H28" s="606"/>
      <c r="I28" s="606"/>
      <c r="J28" s="606"/>
      <c r="K28" s="606"/>
      <c r="L28" s="606"/>
      <c r="M28" s="606"/>
      <c r="N28" s="606"/>
      <c r="O28" s="606"/>
      <c r="P28" s="606"/>
      <c r="Q28" s="606"/>
      <c r="R28" s="606"/>
      <c r="S28" s="606"/>
      <c r="T28" s="606"/>
      <c r="U28" s="606"/>
      <c r="V28" s="606"/>
      <c r="W28" s="606"/>
      <c r="X28" s="606"/>
      <c r="Y28" s="606"/>
      <c r="Z28" s="606"/>
      <c r="AA28" s="606"/>
      <c r="AB28" s="606"/>
    </row>
    <row r="29" spans="1:30">
      <c r="A29" s="371"/>
      <c r="B29" t="s">
        <v>270</v>
      </c>
      <c r="H29" s="5">
        <v>200000</v>
      </c>
      <c r="I29" s="5">
        <f>H29*0.995</f>
        <v>199000</v>
      </c>
      <c r="J29" s="5">
        <f>I29*0.995</f>
        <v>198005</v>
      </c>
      <c r="K29" s="5">
        <f>J29*0.995</f>
        <v>197014.97500000001</v>
      </c>
      <c r="L29" s="5">
        <f>K29*0.995</f>
        <v>196029.90012500001</v>
      </c>
      <c r="M29" s="5">
        <f>L29*0.995</f>
        <v>195049.75062437501</v>
      </c>
      <c r="N29" s="5">
        <f t="shared" ref="N29:V29" si="39">M29*0.995</f>
        <v>194074.50187125313</v>
      </c>
      <c r="O29" s="5">
        <f t="shared" si="39"/>
        <v>193104.12936189686</v>
      </c>
      <c r="P29" s="5">
        <f t="shared" si="39"/>
        <v>192138.60871508738</v>
      </c>
      <c r="Q29" s="5">
        <f t="shared" si="39"/>
        <v>191177.91567151193</v>
      </c>
      <c r="R29" s="5">
        <f t="shared" si="39"/>
        <v>190222.02609315436</v>
      </c>
      <c r="S29" s="5">
        <f t="shared" si="39"/>
        <v>189270.9159626886</v>
      </c>
      <c r="T29" s="5">
        <f t="shared" si="39"/>
        <v>188324.56138287514</v>
      </c>
      <c r="U29" s="5">
        <f t="shared" si="39"/>
        <v>187382.93857596075</v>
      </c>
      <c r="V29" s="5">
        <f t="shared" si="39"/>
        <v>186446.02388308095</v>
      </c>
      <c r="W29" s="5">
        <f t="shared" ref="W29:AB29" si="40">V29*0.995</f>
        <v>185513.79376366554</v>
      </c>
      <c r="X29" s="5">
        <f t="shared" si="40"/>
        <v>184586.22479484722</v>
      </c>
      <c r="Y29" s="5">
        <f t="shared" si="40"/>
        <v>183663.29367087298</v>
      </c>
      <c r="Z29" s="5">
        <f t="shared" si="40"/>
        <v>182744.97720251861</v>
      </c>
      <c r="AA29" s="5">
        <f t="shared" si="40"/>
        <v>181831.25231650603</v>
      </c>
      <c r="AB29" s="5">
        <f t="shared" si="40"/>
        <v>180922.09605492349</v>
      </c>
      <c r="AD29" s="6" t="s">
        <v>273</v>
      </c>
    </row>
    <row r="30" spans="1:30" s="28" customFormat="1">
      <c r="A30" s="29"/>
      <c r="B30" s="27" t="s">
        <v>271</v>
      </c>
      <c r="H30" s="614">
        <v>0.85</v>
      </c>
      <c r="I30" s="120">
        <f>H30</f>
        <v>0.85</v>
      </c>
      <c r="J30" s="120">
        <f>I30</f>
        <v>0.85</v>
      </c>
      <c r="K30" s="120">
        <f>J30</f>
        <v>0.85</v>
      </c>
      <c r="L30" s="120">
        <f>K30</f>
        <v>0.85</v>
      </c>
      <c r="M30" s="120">
        <f>L30</f>
        <v>0.85</v>
      </c>
      <c r="N30" s="120">
        <f t="shared" ref="N30:V30" si="41">M30</f>
        <v>0.85</v>
      </c>
      <c r="O30" s="120">
        <f t="shared" si="41"/>
        <v>0.85</v>
      </c>
      <c r="P30" s="120">
        <f t="shared" si="41"/>
        <v>0.85</v>
      </c>
      <c r="Q30" s="120">
        <f t="shared" si="41"/>
        <v>0.85</v>
      </c>
      <c r="R30" s="120">
        <f t="shared" si="41"/>
        <v>0.85</v>
      </c>
      <c r="S30" s="120">
        <f t="shared" si="41"/>
        <v>0.85</v>
      </c>
      <c r="T30" s="120">
        <f t="shared" si="41"/>
        <v>0.85</v>
      </c>
      <c r="U30" s="120">
        <f t="shared" si="41"/>
        <v>0.85</v>
      </c>
      <c r="V30" s="120">
        <f t="shared" si="41"/>
        <v>0.85</v>
      </c>
      <c r="W30" s="120">
        <f t="shared" ref="W30:AB30" si="42">V30</f>
        <v>0.85</v>
      </c>
      <c r="X30" s="120">
        <f t="shared" si="42"/>
        <v>0.85</v>
      </c>
      <c r="Y30" s="120">
        <f t="shared" si="42"/>
        <v>0.85</v>
      </c>
      <c r="Z30" s="120">
        <f t="shared" si="42"/>
        <v>0.85</v>
      </c>
      <c r="AA30" s="120">
        <f t="shared" si="42"/>
        <v>0.85</v>
      </c>
      <c r="AB30" s="120">
        <f t="shared" si="42"/>
        <v>0.85</v>
      </c>
      <c r="AD30" s="28" t="s">
        <v>274</v>
      </c>
    </row>
    <row r="31" spans="1:30">
      <c r="A31" s="371"/>
      <c r="B31" t="s">
        <v>272</v>
      </c>
      <c r="H31" s="5">
        <f t="shared" ref="H31:AB31" si="43">H30*H29</f>
        <v>170000</v>
      </c>
      <c r="I31" s="5">
        <f t="shared" si="43"/>
        <v>169150</v>
      </c>
      <c r="J31" s="5">
        <f t="shared" si="43"/>
        <v>168304.25</v>
      </c>
      <c r="K31" s="5">
        <f t="shared" si="43"/>
        <v>167462.72875000001</v>
      </c>
      <c r="L31" s="5">
        <f t="shared" si="43"/>
        <v>166625.41510625</v>
      </c>
      <c r="M31" s="5">
        <f t="shared" si="43"/>
        <v>165792.28803071874</v>
      </c>
      <c r="N31" s="5">
        <f t="shared" si="43"/>
        <v>164963.32659056515</v>
      </c>
      <c r="O31" s="5">
        <f t="shared" si="43"/>
        <v>164138.50995761232</v>
      </c>
      <c r="P31" s="5">
        <f t="shared" si="43"/>
        <v>163317.81740782427</v>
      </c>
      <c r="Q31" s="5">
        <f t="shared" si="43"/>
        <v>162501.22832078513</v>
      </c>
      <c r="R31" s="5">
        <f t="shared" si="43"/>
        <v>161688.7221791812</v>
      </c>
      <c r="S31" s="5">
        <f t="shared" si="43"/>
        <v>160880.27856828531</v>
      </c>
      <c r="T31" s="5">
        <f t="shared" si="43"/>
        <v>160075.87717544386</v>
      </c>
      <c r="U31" s="5">
        <f t="shared" si="43"/>
        <v>159275.49778956664</v>
      </c>
      <c r="V31" s="5">
        <f t="shared" si="43"/>
        <v>158479.12030061882</v>
      </c>
      <c r="W31" s="5">
        <f t="shared" si="43"/>
        <v>157686.7246991157</v>
      </c>
      <c r="X31" s="5">
        <f t="shared" si="43"/>
        <v>156898.29107562013</v>
      </c>
      <c r="Y31" s="5">
        <f t="shared" si="43"/>
        <v>156113.79962024203</v>
      </c>
      <c r="Z31" s="5">
        <f t="shared" si="43"/>
        <v>155333.23062214081</v>
      </c>
      <c r="AA31" s="5">
        <f t="shared" si="43"/>
        <v>154556.56446903013</v>
      </c>
      <c r="AB31" s="5">
        <f t="shared" si="43"/>
        <v>153783.78164668495</v>
      </c>
    </row>
    <row r="32" spans="1:30">
      <c r="A32" s="371"/>
    </row>
    <row r="33" spans="1:30">
      <c r="A33" s="371"/>
      <c r="B33" t="s">
        <v>275</v>
      </c>
    </row>
    <row r="34" spans="1:30">
      <c r="A34" s="371"/>
      <c r="B34" s="10" t="s">
        <v>276</v>
      </c>
      <c r="H34" s="479">
        <v>0.4</v>
      </c>
      <c r="I34" s="8">
        <f t="shared" ref="I34:M35" si="44">H34</f>
        <v>0.4</v>
      </c>
      <c r="J34" s="8">
        <f t="shared" si="44"/>
        <v>0.4</v>
      </c>
      <c r="K34" s="8">
        <f t="shared" si="44"/>
        <v>0.4</v>
      </c>
      <c r="L34" s="8">
        <f t="shared" si="44"/>
        <v>0.4</v>
      </c>
      <c r="M34" s="8">
        <f t="shared" si="44"/>
        <v>0.4</v>
      </c>
      <c r="N34" s="8">
        <f t="shared" ref="N34:V34" si="45">M34</f>
        <v>0.4</v>
      </c>
      <c r="O34" s="8">
        <f t="shared" si="45"/>
        <v>0.4</v>
      </c>
      <c r="P34" s="8">
        <f t="shared" si="45"/>
        <v>0.4</v>
      </c>
      <c r="Q34" s="8">
        <f t="shared" si="45"/>
        <v>0.4</v>
      </c>
      <c r="R34" s="8">
        <f t="shared" si="45"/>
        <v>0.4</v>
      </c>
      <c r="S34" s="8">
        <f t="shared" si="45"/>
        <v>0.4</v>
      </c>
      <c r="T34" s="8">
        <f t="shared" si="45"/>
        <v>0.4</v>
      </c>
      <c r="U34" s="8">
        <f t="shared" si="45"/>
        <v>0.4</v>
      </c>
      <c r="V34" s="8">
        <f t="shared" si="45"/>
        <v>0.4</v>
      </c>
      <c r="W34" s="8">
        <f t="shared" ref="W34:AB35" si="46">V34</f>
        <v>0.4</v>
      </c>
      <c r="X34" s="8">
        <f t="shared" si="46"/>
        <v>0.4</v>
      </c>
      <c r="Y34" s="8">
        <f t="shared" si="46"/>
        <v>0.4</v>
      </c>
      <c r="Z34" s="8">
        <f t="shared" si="46"/>
        <v>0.4</v>
      </c>
      <c r="AA34" s="8">
        <f t="shared" si="46"/>
        <v>0.4</v>
      </c>
      <c r="AB34" s="8">
        <f t="shared" si="46"/>
        <v>0.4</v>
      </c>
      <c r="AD34" s="6" t="s">
        <v>280</v>
      </c>
    </row>
    <row r="35" spans="1:30">
      <c r="A35" s="371"/>
      <c r="B35" s="10" t="s">
        <v>277</v>
      </c>
      <c r="H35" s="479">
        <f>1-H34</f>
        <v>0.6</v>
      </c>
      <c r="I35" s="8">
        <f t="shared" si="44"/>
        <v>0.6</v>
      </c>
      <c r="J35" s="8">
        <f t="shared" si="44"/>
        <v>0.6</v>
      </c>
      <c r="K35" s="8">
        <f t="shared" si="44"/>
        <v>0.6</v>
      </c>
      <c r="L35" s="8">
        <f t="shared" si="44"/>
        <v>0.6</v>
      </c>
      <c r="M35" s="8">
        <f t="shared" si="44"/>
        <v>0.6</v>
      </c>
      <c r="N35" s="8">
        <f t="shared" ref="N35:V35" si="47">M35</f>
        <v>0.6</v>
      </c>
      <c r="O35" s="8">
        <f t="shared" si="47"/>
        <v>0.6</v>
      </c>
      <c r="P35" s="8">
        <f t="shared" si="47"/>
        <v>0.6</v>
      </c>
      <c r="Q35" s="8">
        <f t="shared" si="47"/>
        <v>0.6</v>
      </c>
      <c r="R35" s="8">
        <f t="shared" si="47"/>
        <v>0.6</v>
      </c>
      <c r="S35" s="8">
        <f t="shared" si="47"/>
        <v>0.6</v>
      </c>
      <c r="T35" s="8">
        <f t="shared" si="47"/>
        <v>0.6</v>
      </c>
      <c r="U35" s="8">
        <f t="shared" si="47"/>
        <v>0.6</v>
      </c>
      <c r="V35" s="8">
        <f t="shared" si="47"/>
        <v>0.6</v>
      </c>
      <c r="W35" s="8">
        <f t="shared" si="46"/>
        <v>0.6</v>
      </c>
      <c r="X35" s="8">
        <f t="shared" si="46"/>
        <v>0.6</v>
      </c>
      <c r="Y35" s="8">
        <f t="shared" si="46"/>
        <v>0.6</v>
      </c>
      <c r="Z35" s="8">
        <f t="shared" si="46"/>
        <v>0.6</v>
      </c>
      <c r="AA35" s="8">
        <f t="shared" si="46"/>
        <v>0.6</v>
      </c>
      <c r="AB35" s="8">
        <f t="shared" si="46"/>
        <v>0.6</v>
      </c>
      <c r="AD35" s="6" t="s">
        <v>280</v>
      </c>
    </row>
    <row r="36" spans="1:30">
      <c r="A36" s="371"/>
      <c r="B36" s="10" t="s">
        <v>278</v>
      </c>
      <c r="H36" s="5">
        <f t="shared" ref="H36:V36" si="48">H35*H31</f>
        <v>102000</v>
      </c>
      <c r="I36" s="5">
        <f t="shared" si="48"/>
        <v>101490</v>
      </c>
      <c r="J36" s="5">
        <f t="shared" si="48"/>
        <v>100982.55</v>
      </c>
      <c r="K36" s="5">
        <f t="shared" si="48"/>
        <v>100477.63725</v>
      </c>
      <c r="L36" s="5">
        <f t="shared" si="48"/>
        <v>99975.249063750001</v>
      </c>
      <c r="M36" s="5">
        <f t="shared" si="48"/>
        <v>99475.372818431249</v>
      </c>
      <c r="N36" s="5">
        <f t="shared" si="48"/>
        <v>98977.995954339087</v>
      </c>
      <c r="O36" s="5">
        <f t="shared" si="48"/>
        <v>98483.105974567385</v>
      </c>
      <c r="P36" s="5">
        <f t="shared" si="48"/>
        <v>97990.690444694555</v>
      </c>
      <c r="Q36" s="5">
        <f t="shared" si="48"/>
        <v>97500.73699247108</v>
      </c>
      <c r="R36" s="5">
        <f t="shared" si="48"/>
        <v>97013.233307508723</v>
      </c>
      <c r="S36" s="5">
        <f t="shared" si="48"/>
        <v>96528.167140971185</v>
      </c>
      <c r="T36" s="5">
        <f t="shared" si="48"/>
        <v>96045.526305266321</v>
      </c>
      <c r="U36" s="5">
        <f t="shared" si="48"/>
        <v>95565.298673739977</v>
      </c>
      <c r="V36" s="5">
        <f t="shared" si="48"/>
        <v>95087.472180371289</v>
      </c>
      <c r="W36" s="5">
        <f t="shared" ref="W36:AB36" si="49">W35*W31</f>
        <v>94612.034819469423</v>
      </c>
      <c r="X36" s="5">
        <f t="shared" si="49"/>
        <v>94138.974645372073</v>
      </c>
      <c r="Y36" s="5">
        <f t="shared" si="49"/>
        <v>93668.279772145223</v>
      </c>
      <c r="Z36" s="5">
        <f t="shared" si="49"/>
        <v>93199.938373284487</v>
      </c>
      <c r="AA36" s="5">
        <f t="shared" si="49"/>
        <v>92733.938681418076</v>
      </c>
      <c r="AB36" s="5">
        <f t="shared" si="49"/>
        <v>92270.268988010968</v>
      </c>
    </row>
    <row r="37" spans="1:30">
      <c r="A37" s="371"/>
    </row>
    <row r="38" spans="1:30">
      <c r="A38" s="371"/>
      <c r="B38" s="14" t="s">
        <v>281</v>
      </c>
      <c r="H38" s="123">
        <f>H39/H36</f>
        <v>0.70588235294117652</v>
      </c>
      <c r="I38" s="7">
        <f>H38</f>
        <v>0.70588235294117652</v>
      </c>
      <c r="J38" s="7">
        <f>I38</f>
        <v>0.70588235294117652</v>
      </c>
      <c r="K38" s="7">
        <f>J38</f>
        <v>0.70588235294117652</v>
      </c>
      <c r="L38" s="7">
        <f>K38</f>
        <v>0.70588235294117652</v>
      </c>
      <c r="M38" s="7">
        <f>L38</f>
        <v>0.70588235294117652</v>
      </c>
      <c r="N38" s="7">
        <f t="shared" ref="N38:V38" si="50">M38</f>
        <v>0.70588235294117652</v>
      </c>
      <c r="O38" s="7">
        <f t="shared" si="50"/>
        <v>0.70588235294117652</v>
      </c>
      <c r="P38" s="7">
        <f t="shared" si="50"/>
        <v>0.70588235294117652</v>
      </c>
      <c r="Q38" s="7">
        <f t="shared" si="50"/>
        <v>0.70588235294117652</v>
      </c>
      <c r="R38" s="7">
        <f t="shared" si="50"/>
        <v>0.70588235294117652</v>
      </c>
      <c r="S38" s="7">
        <f t="shared" si="50"/>
        <v>0.70588235294117652</v>
      </c>
      <c r="T38" s="7">
        <f t="shared" si="50"/>
        <v>0.70588235294117652</v>
      </c>
      <c r="U38" s="7">
        <f t="shared" si="50"/>
        <v>0.70588235294117652</v>
      </c>
      <c r="V38" s="7">
        <f t="shared" si="50"/>
        <v>0.70588235294117652</v>
      </c>
      <c r="W38" s="7">
        <f t="shared" ref="W38:AB38" si="51">V38</f>
        <v>0.70588235294117652</v>
      </c>
      <c r="X38" s="7">
        <f t="shared" si="51"/>
        <v>0.70588235294117652</v>
      </c>
      <c r="Y38" s="7">
        <f t="shared" si="51"/>
        <v>0.70588235294117652</v>
      </c>
      <c r="Z38" s="7">
        <f t="shared" si="51"/>
        <v>0.70588235294117652</v>
      </c>
      <c r="AA38" s="7">
        <f t="shared" si="51"/>
        <v>0.70588235294117652</v>
      </c>
      <c r="AB38" s="7">
        <f t="shared" si="51"/>
        <v>0.70588235294117652</v>
      </c>
      <c r="AD38" s="6"/>
    </row>
    <row r="39" spans="1:30">
      <c r="A39" s="371"/>
      <c r="B39" s="14" t="s">
        <v>282</v>
      </c>
      <c r="H39" s="612">
        <v>72000</v>
      </c>
      <c r="I39" s="5">
        <f t="shared" ref="I39:V39" si="52">I38*I36</f>
        <v>71640</v>
      </c>
      <c r="J39" s="5">
        <f t="shared" si="52"/>
        <v>71281.8</v>
      </c>
      <c r="K39" s="5">
        <f t="shared" si="52"/>
        <v>70925.391000000003</v>
      </c>
      <c r="L39" s="5">
        <f t="shared" si="52"/>
        <v>70570.764045000004</v>
      </c>
      <c r="M39" s="5">
        <f t="shared" si="52"/>
        <v>70217.910224774998</v>
      </c>
      <c r="N39" s="5">
        <f t="shared" si="52"/>
        <v>69866.82067365112</v>
      </c>
      <c r="O39" s="5">
        <f t="shared" si="52"/>
        <v>69517.486570282868</v>
      </c>
      <c r="P39" s="5">
        <f t="shared" si="52"/>
        <v>69169.89913743145</v>
      </c>
      <c r="Q39" s="5">
        <f t="shared" si="52"/>
        <v>68824.049641744292</v>
      </c>
      <c r="R39" s="5">
        <f t="shared" si="52"/>
        <v>68479.929393535567</v>
      </c>
      <c r="S39" s="5">
        <f t="shared" si="52"/>
        <v>68137.529746567903</v>
      </c>
      <c r="T39" s="5">
        <f t="shared" si="52"/>
        <v>67796.842097835048</v>
      </c>
      <c r="U39" s="5">
        <f t="shared" si="52"/>
        <v>67457.857887345875</v>
      </c>
      <c r="V39" s="5">
        <f t="shared" si="52"/>
        <v>67120.56859790915</v>
      </c>
      <c r="W39" s="5">
        <f t="shared" ref="W39:AB39" si="53">W38*W36</f>
        <v>66784.965754919598</v>
      </c>
      <c r="X39" s="5">
        <f t="shared" si="53"/>
        <v>66451.040926144997</v>
      </c>
      <c r="Y39" s="5">
        <f t="shared" si="53"/>
        <v>66118.785721514272</v>
      </c>
      <c r="Z39" s="5">
        <f t="shared" si="53"/>
        <v>65788.191792906699</v>
      </c>
      <c r="AA39" s="5">
        <f t="shared" si="53"/>
        <v>65459.250833942177</v>
      </c>
      <c r="AB39" s="5">
        <f t="shared" si="53"/>
        <v>65131.95457977245</v>
      </c>
      <c r="AD39" t="s">
        <v>298</v>
      </c>
    </row>
    <row r="40" spans="1:30">
      <c r="A40" s="371"/>
    </row>
    <row r="41" spans="1:30">
      <c r="A41" s="371"/>
      <c r="B41" t="s">
        <v>283</v>
      </c>
      <c r="H41" s="475">
        <v>0.3</v>
      </c>
      <c r="I41" s="7">
        <f>H41</f>
        <v>0.3</v>
      </c>
      <c r="J41" s="7">
        <f>I41</f>
        <v>0.3</v>
      </c>
      <c r="K41" s="7">
        <f>J41</f>
        <v>0.3</v>
      </c>
      <c r="L41" s="7">
        <f>K41</f>
        <v>0.3</v>
      </c>
      <c r="M41" s="7">
        <f>L41</f>
        <v>0.3</v>
      </c>
      <c r="N41" s="7">
        <f t="shared" ref="N41:V41" si="54">M41</f>
        <v>0.3</v>
      </c>
      <c r="O41" s="7">
        <f t="shared" si="54"/>
        <v>0.3</v>
      </c>
      <c r="P41" s="7">
        <f t="shared" si="54"/>
        <v>0.3</v>
      </c>
      <c r="Q41" s="7">
        <f t="shared" si="54"/>
        <v>0.3</v>
      </c>
      <c r="R41" s="7">
        <f t="shared" si="54"/>
        <v>0.3</v>
      </c>
      <c r="S41" s="7">
        <f t="shared" si="54"/>
        <v>0.3</v>
      </c>
      <c r="T41" s="7">
        <f t="shared" si="54"/>
        <v>0.3</v>
      </c>
      <c r="U41" s="7">
        <f t="shared" si="54"/>
        <v>0.3</v>
      </c>
      <c r="V41" s="7">
        <f t="shared" si="54"/>
        <v>0.3</v>
      </c>
      <c r="W41" s="7">
        <f t="shared" ref="W41:AB41" si="55">V41</f>
        <v>0.3</v>
      </c>
      <c r="X41" s="7">
        <f t="shared" si="55"/>
        <v>0.3</v>
      </c>
      <c r="Y41" s="7">
        <f t="shared" si="55"/>
        <v>0.3</v>
      </c>
      <c r="Z41" s="7">
        <f t="shared" si="55"/>
        <v>0.3</v>
      </c>
      <c r="AA41" s="7">
        <f t="shared" si="55"/>
        <v>0.3</v>
      </c>
      <c r="AB41" s="7">
        <f t="shared" si="55"/>
        <v>0.3</v>
      </c>
      <c r="AD41" s="6" t="s">
        <v>279</v>
      </c>
    </row>
    <row r="42" spans="1:30">
      <c r="A42" s="371"/>
      <c r="B42" t="s">
        <v>284</v>
      </c>
      <c r="H42" s="5">
        <f t="shared" ref="H42:AB42" si="56">H41*H39</f>
        <v>21600</v>
      </c>
      <c r="I42" s="5">
        <f t="shared" si="56"/>
        <v>21492</v>
      </c>
      <c r="J42" s="5">
        <f t="shared" si="56"/>
        <v>21384.54</v>
      </c>
      <c r="K42" s="5">
        <f t="shared" si="56"/>
        <v>21277.617300000002</v>
      </c>
      <c r="L42" s="5">
        <f t="shared" si="56"/>
        <v>21171.229213499999</v>
      </c>
      <c r="M42" s="5">
        <f t="shared" si="56"/>
        <v>21065.373067432498</v>
      </c>
      <c r="N42" s="5">
        <f t="shared" si="56"/>
        <v>20960.046202095335</v>
      </c>
      <c r="O42" s="5">
        <f t="shared" si="56"/>
        <v>20855.24597108486</v>
      </c>
      <c r="P42" s="5">
        <f t="shared" si="56"/>
        <v>20750.969741229434</v>
      </c>
      <c r="Q42" s="5">
        <f t="shared" si="56"/>
        <v>20647.214892523287</v>
      </c>
      <c r="R42" s="5">
        <f t="shared" si="56"/>
        <v>20543.97881806067</v>
      </c>
      <c r="S42" s="5">
        <f t="shared" si="56"/>
        <v>20441.25892397037</v>
      </c>
      <c r="T42" s="5">
        <f t="shared" si="56"/>
        <v>20339.052629350514</v>
      </c>
      <c r="U42" s="5">
        <f t="shared" si="56"/>
        <v>20237.357366203763</v>
      </c>
      <c r="V42" s="5">
        <f t="shared" si="56"/>
        <v>20136.170579372745</v>
      </c>
      <c r="W42" s="5">
        <f t="shared" si="56"/>
        <v>20035.48972647588</v>
      </c>
      <c r="X42" s="5">
        <f t="shared" si="56"/>
        <v>19935.312277843499</v>
      </c>
      <c r="Y42" s="5">
        <f t="shared" si="56"/>
        <v>19835.635716454282</v>
      </c>
      <c r="Z42" s="5">
        <f t="shared" si="56"/>
        <v>19736.457537872007</v>
      </c>
      <c r="AA42" s="5">
        <f t="shared" si="56"/>
        <v>19637.775250182651</v>
      </c>
      <c r="AB42" s="5">
        <f t="shared" si="56"/>
        <v>19539.586373931736</v>
      </c>
    </row>
    <row r="43" spans="1:30">
      <c r="A43" s="371"/>
    </row>
    <row r="44" spans="1:30">
      <c r="A44" s="371"/>
      <c r="B44" t="s">
        <v>285</v>
      </c>
      <c r="H44" s="475">
        <f>1-H41</f>
        <v>0.7</v>
      </c>
      <c r="I44" s="7">
        <f>H44</f>
        <v>0.7</v>
      </c>
      <c r="J44" s="7">
        <f>I44</f>
        <v>0.7</v>
      </c>
      <c r="K44" s="7">
        <f>J44</f>
        <v>0.7</v>
      </c>
      <c r="L44" s="7">
        <f>K44</f>
        <v>0.7</v>
      </c>
      <c r="M44" s="7">
        <f>L44</f>
        <v>0.7</v>
      </c>
      <c r="N44" s="7">
        <f t="shared" ref="N44:V44" si="57">M44</f>
        <v>0.7</v>
      </c>
      <c r="O44" s="7">
        <f t="shared" si="57"/>
        <v>0.7</v>
      </c>
      <c r="P44" s="7">
        <f t="shared" si="57"/>
        <v>0.7</v>
      </c>
      <c r="Q44" s="7">
        <f t="shared" si="57"/>
        <v>0.7</v>
      </c>
      <c r="R44" s="7">
        <f t="shared" si="57"/>
        <v>0.7</v>
      </c>
      <c r="S44" s="7">
        <f t="shared" si="57"/>
        <v>0.7</v>
      </c>
      <c r="T44" s="7">
        <f t="shared" si="57"/>
        <v>0.7</v>
      </c>
      <c r="U44" s="7">
        <f t="shared" si="57"/>
        <v>0.7</v>
      </c>
      <c r="V44" s="7">
        <f t="shared" si="57"/>
        <v>0.7</v>
      </c>
      <c r="W44" s="7">
        <f t="shared" ref="W44:AB44" si="58">V44</f>
        <v>0.7</v>
      </c>
      <c r="X44" s="7">
        <f t="shared" si="58"/>
        <v>0.7</v>
      </c>
      <c r="Y44" s="7">
        <f t="shared" si="58"/>
        <v>0.7</v>
      </c>
      <c r="Z44" s="7">
        <f t="shared" si="58"/>
        <v>0.7</v>
      </c>
      <c r="AA44" s="7">
        <f t="shared" si="58"/>
        <v>0.7</v>
      </c>
      <c r="AB44" s="7">
        <f t="shared" si="58"/>
        <v>0.7</v>
      </c>
    </row>
    <row r="45" spans="1:30">
      <c r="A45" s="371"/>
      <c r="B45" t="s">
        <v>286</v>
      </c>
      <c r="H45" s="5">
        <f t="shared" ref="H45:AB45" si="59">H44*H39</f>
        <v>50400</v>
      </c>
      <c r="I45" s="5">
        <f t="shared" si="59"/>
        <v>50148</v>
      </c>
      <c r="J45" s="5">
        <f t="shared" si="59"/>
        <v>49897.26</v>
      </c>
      <c r="K45" s="5">
        <f t="shared" si="59"/>
        <v>49647.773699999998</v>
      </c>
      <c r="L45" s="5">
        <f t="shared" si="59"/>
        <v>49399.534831500001</v>
      </c>
      <c r="M45" s="5">
        <f t="shared" si="59"/>
        <v>49152.537157342493</v>
      </c>
      <c r="N45" s="5">
        <f t="shared" si="59"/>
        <v>48906.774471555778</v>
      </c>
      <c r="O45" s="5">
        <f t="shared" si="59"/>
        <v>48662.240599198005</v>
      </c>
      <c r="P45" s="5">
        <f t="shared" si="59"/>
        <v>48418.929396202009</v>
      </c>
      <c r="Q45" s="5">
        <f t="shared" si="59"/>
        <v>48176.834749221001</v>
      </c>
      <c r="R45" s="5">
        <f t="shared" si="59"/>
        <v>47935.950575474897</v>
      </c>
      <c r="S45" s="5">
        <f t="shared" si="59"/>
        <v>47696.270822597529</v>
      </c>
      <c r="T45" s="5">
        <f t="shared" si="59"/>
        <v>47457.789468484531</v>
      </c>
      <c r="U45" s="5">
        <f t="shared" si="59"/>
        <v>47220.500521142108</v>
      </c>
      <c r="V45" s="5">
        <f t="shared" si="59"/>
        <v>46984.398018536405</v>
      </c>
      <c r="W45" s="5">
        <f t="shared" si="59"/>
        <v>46749.476028443714</v>
      </c>
      <c r="X45" s="5">
        <f t="shared" si="59"/>
        <v>46515.728648301498</v>
      </c>
      <c r="Y45" s="5">
        <f t="shared" si="59"/>
        <v>46283.150005059986</v>
      </c>
      <c r="Z45" s="5">
        <f t="shared" si="59"/>
        <v>46051.734255034688</v>
      </c>
      <c r="AA45" s="5">
        <f t="shared" si="59"/>
        <v>45821.475583759522</v>
      </c>
      <c r="AB45" s="5">
        <f t="shared" si="59"/>
        <v>45592.368205840714</v>
      </c>
    </row>
    <row r="46" spans="1:30">
      <c r="A46" s="371"/>
    </row>
    <row r="47" spans="1:30">
      <c r="A47" s="371"/>
      <c r="B47" t="s">
        <v>287</v>
      </c>
      <c r="H47" s="475">
        <v>0.65</v>
      </c>
      <c r="I47" s="7">
        <f>H47</f>
        <v>0.65</v>
      </c>
      <c r="J47" s="7">
        <f>I47</f>
        <v>0.65</v>
      </c>
      <c r="K47" s="7">
        <f>J47</f>
        <v>0.65</v>
      </c>
      <c r="L47" s="7">
        <f>K47</f>
        <v>0.65</v>
      </c>
      <c r="M47" s="7">
        <f>L47</f>
        <v>0.65</v>
      </c>
      <c r="N47" s="7">
        <f t="shared" ref="N47:V47" si="60">M47</f>
        <v>0.65</v>
      </c>
      <c r="O47" s="7">
        <f t="shared" si="60"/>
        <v>0.65</v>
      </c>
      <c r="P47" s="7">
        <f t="shared" si="60"/>
        <v>0.65</v>
      </c>
      <c r="Q47" s="7">
        <f t="shared" si="60"/>
        <v>0.65</v>
      </c>
      <c r="R47" s="7">
        <f t="shared" si="60"/>
        <v>0.65</v>
      </c>
      <c r="S47" s="7">
        <f t="shared" si="60"/>
        <v>0.65</v>
      </c>
      <c r="T47" s="7">
        <f t="shared" si="60"/>
        <v>0.65</v>
      </c>
      <c r="U47" s="7">
        <f t="shared" si="60"/>
        <v>0.65</v>
      </c>
      <c r="V47" s="7">
        <f t="shared" si="60"/>
        <v>0.65</v>
      </c>
      <c r="W47" s="7">
        <f t="shared" ref="W47:AB47" si="61">V47</f>
        <v>0.65</v>
      </c>
      <c r="X47" s="7">
        <f t="shared" si="61"/>
        <v>0.65</v>
      </c>
      <c r="Y47" s="7">
        <f t="shared" si="61"/>
        <v>0.65</v>
      </c>
      <c r="Z47" s="7">
        <f t="shared" si="61"/>
        <v>0.65</v>
      </c>
      <c r="AA47" s="7">
        <f t="shared" si="61"/>
        <v>0.65</v>
      </c>
      <c r="AB47" s="7">
        <f t="shared" si="61"/>
        <v>0.65</v>
      </c>
    </row>
    <row r="48" spans="1:30">
      <c r="A48" s="371"/>
      <c r="B48" t="s">
        <v>288</v>
      </c>
      <c r="H48" s="5">
        <f t="shared" ref="H48:U48" si="62">H47*H45</f>
        <v>32760</v>
      </c>
      <c r="I48" s="5">
        <f t="shared" si="62"/>
        <v>32596.2</v>
      </c>
      <c r="J48" s="5">
        <f t="shared" si="62"/>
        <v>32433.219000000001</v>
      </c>
      <c r="K48" s="5">
        <f t="shared" si="62"/>
        <v>32271.052905</v>
      </c>
      <c r="L48" s="5">
        <f t="shared" si="62"/>
        <v>32109.697640475002</v>
      </c>
      <c r="M48" s="5">
        <f t="shared" si="62"/>
        <v>31949.149152272621</v>
      </c>
      <c r="N48" s="5">
        <f t="shared" si="62"/>
        <v>31789.403406511257</v>
      </c>
      <c r="O48" s="5">
        <f t="shared" si="62"/>
        <v>31630.456389478702</v>
      </c>
      <c r="P48" s="5">
        <f t="shared" si="62"/>
        <v>31472.304107531309</v>
      </c>
      <c r="Q48" s="5">
        <f t="shared" si="62"/>
        <v>31314.942586993653</v>
      </c>
      <c r="R48" s="5">
        <f t="shared" si="62"/>
        <v>31158.367874058684</v>
      </c>
      <c r="S48" s="5">
        <f t="shared" si="62"/>
        <v>31002.576034688394</v>
      </c>
      <c r="T48" s="5">
        <f t="shared" si="62"/>
        <v>30847.563154514944</v>
      </c>
      <c r="U48" s="5">
        <f t="shared" si="62"/>
        <v>30693.325338742372</v>
      </c>
      <c r="V48" s="5">
        <f>V47*V45</f>
        <v>30539.858712048663</v>
      </c>
      <c r="W48" s="5">
        <f t="shared" ref="W48:AB48" si="63">W47*W45</f>
        <v>30387.159418488416</v>
      </c>
      <c r="X48" s="5">
        <f t="shared" si="63"/>
        <v>30235.223621395973</v>
      </c>
      <c r="Y48" s="5">
        <f t="shared" si="63"/>
        <v>30084.047503288992</v>
      </c>
      <c r="Z48" s="5">
        <f t="shared" si="63"/>
        <v>29933.627265772549</v>
      </c>
      <c r="AA48" s="5">
        <f t="shared" si="63"/>
        <v>29783.95912944369</v>
      </c>
      <c r="AB48" s="5">
        <f t="shared" si="63"/>
        <v>29635.039333796463</v>
      </c>
    </row>
    <row r="49" spans="1:28">
      <c r="A49" s="371"/>
    </row>
    <row r="50" spans="1:28">
      <c r="A50" s="371"/>
      <c r="B50" t="s">
        <v>287</v>
      </c>
      <c r="H50" s="475">
        <v>0.45</v>
      </c>
      <c r="I50" s="7">
        <f>H50</f>
        <v>0.45</v>
      </c>
      <c r="J50" s="7">
        <f>I50</f>
        <v>0.45</v>
      </c>
      <c r="K50" s="7">
        <f>J50</f>
        <v>0.45</v>
      </c>
      <c r="L50" s="7">
        <f>K50</f>
        <v>0.45</v>
      </c>
      <c r="M50" s="7">
        <f>L50</f>
        <v>0.45</v>
      </c>
      <c r="N50" s="7">
        <f t="shared" ref="N50:V50" si="64">M50</f>
        <v>0.45</v>
      </c>
      <c r="O50" s="7">
        <f t="shared" si="64"/>
        <v>0.45</v>
      </c>
      <c r="P50" s="7">
        <f t="shared" si="64"/>
        <v>0.45</v>
      </c>
      <c r="Q50" s="7">
        <f t="shared" si="64"/>
        <v>0.45</v>
      </c>
      <c r="R50" s="7">
        <f t="shared" si="64"/>
        <v>0.45</v>
      </c>
      <c r="S50" s="7">
        <f t="shared" si="64"/>
        <v>0.45</v>
      </c>
      <c r="T50" s="7">
        <f t="shared" si="64"/>
        <v>0.45</v>
      </c>
      <c r="U50" s="7">
        <f t="shared" si="64"/>
        <v>0.45</v>
      </c>
      <c r="V50" s="7">
        <f t="shared" si="64"/>
        <v>0.45</v>
      </c>
      <c r="W50" s="7">
        <f t="shared" ref="W50:AB50" si="65">V50</f>
        <v>0.45</v>
      </c>
      <c r="X50" s="7">
        <f t="shared" si="65"/>
        <v>0.45</v>
      </c>
      <c r="Y50" s="7">
        <f t="shared" si="65"/>
        <v>0.45</v>
      </c>
      <c r="Z50" s="7">
        <f t="shared" si="65"/>
        <v>0.45</v>
      </c>
      <c r="AA50" s="7">
        <f t="shared" si="65"/>
        <v>0.45</v>
      </c>
      <c r="AB50" s="7">
        <f t="shared" si="65"/>
        <v>0.45</v>
      </c>
    </row>
    <row r="51" spans="1:28">
      <c r="A51" s="371"/>
      <c r="B51" t="s">
        <v>289</v>
      </c>
      <c r="H51" s="5">
        <f t="shared" ref="H51:V51" si="66">H50*H48</f>
        <v>14742</v>
      </c>
      <c r="I51" s="5">
        <f t="shared" si="66"/>
        <v>14668.29</v>
      </c>
      <c r="J51" s="5">
        <f t="shared" si="66"/>
        <v>14594.948550000001</v>
      </c>
      <c r="K51" s="5">
        <f t="shared" si="66"/>
        <v>14521.97380725</v>
      </c>
      <c r="L51" s="5">
        <f t="shared" si="66"/>
        <v>14449.363938213752</v>
      </c>
      <c r="M51" s="5">
        <f t="shared" si="66"/>
        <v>14377.117118522679</v>
      </c>
      <c r="N51" s="5">
        <f t="shared" si="66"/>
        <v>14305.231532930065</v>
      </c>
      <c r="O51" s="5">
        <f t="shared" si="66"/>
        <v>14233.705375265416</v>
      </c>
      <c r="P51" s="5">
        <f t="shared" si="66"/>
        <v>14162.536848389089</v>
      </c>
      <c r="Q51" s="5">
        <f t="shared" si="66"/>
        <v>14091.724164147145</v>
      </c>
      <c r="R51" s="5">
        <f t="shared" si="66"/>
        <v>14021.265543326408</v>
      </c>
      <c r="S51" s="5">
        <f t="shared" si="66"/>
        <v>13951.159215609778</v>
      </c>
      <c r="T51" s="5">
        <f t="shared" si="66"/>
        <v>13881.403419531725</v>
      </c>
      <c r="U51" s="5">
        <f t="shared" si="66"/>
        <v>13811.996402434068</v>
      </c>
      <c r="V51" s="5">
        <f t="shared" si="66"/>
        <v>13742.936420421898</v>
      </c>
      <c r="W51" s="5">
        <f t="shared" ref="W51:AB51" si="67">W50*W48</f>
        <v>13674.221738319788</v>
      </c>
      <c r="X51" s="5">
        <f t="shared" si="67"/>
        <v>13605.850629628188</v>
      </c>
      <c r="Y51" s="5">
        <f t="shared" si="67"/>
        <v>13537.821376480046</v>
      </c>
      <c r="Z51" s="5">
        <f t="shared" si="67"/>
        <v>13470.132269597647</v>
      </c>
      <c r="AA51" s="5">
        <f t="shared" si="67"/>
        <v>13402.781608249661</v>
      </c>
      <c r="AB51" s="5">
        <f t="shared" si="67"/>
        <v>13335.767700208409</v>
      </c>
    </row>
    <row r="52" spans="1:28">
      <c r="A52" s="371"/>
    </row>
    <row r="53" spans="1:28">
      <c r="A53" s="371"/>
      <c r="B53" s="615" t="s">
        <v>290</v>
      </c>
      <c r="C53" s="615"/>
      <c r="D53" s="615"/>
      <c r="E53" s="615"/>
      <c r="F53" s="615"/>
      <c r="G53" s="615"/>
      <c r="H53" s="615"/>
      <c r="I53" s="615"/>
      <c r="J53" s="615"/>
      <c r="K53" s="615"/>
      <c r="L53" s="615"/>
      <c r="M53" s="615"/>
      <c r="N53" s="615"/>
      <c r="O53" s="615"/>
      <c r="P53" s="615"/>
      <c r="Q53" s="615"/>
      <c r="R53" s="615"/>
      <c r="S53" s="615"/>
      <c r="T53" s="615"/>
      <c r="U53" s="615"/>
      <c r="V53" s="615"/>
      <c r="W53" s="615"/>
      <c r="X53" s="615"/>
      <c r="Y53" s="615"/>
      <c r="Z53" s="615"/>
      <c r="AA53" s="615"/>
      <c r="AB53" s="615"/>
    </row>
    <row r="54" spans="1:28">
      <c r="A54" s="371"/>
      <c r="B54" t="s">
        <v>291</v>
      </c>
      <c r="H54" s="479">
        <v>0</v>
      </c>
      <c r="I54" s="616">
        <v>0.02</v>
      </c>
      <c r="J54" s="616">
        <v>3.5000000000000003E-2</v>
      </c>
      <c r="K54" s="616">
        <f>J54+1.5%</f>
        <v>0.05</v>
      </c>
      <c r="L54" s="2">
        <f>K54*1.1</f>
        <v>5.5000000000000007E-2</v>
      </c>
      <c r="M54" s="2">
        <v>0.05</v>
      </c>
      <c r="N54" s="2">
        <f>M54*0.9</f>
        <v>4.5000000000000005E-2</v>
      </c>
      <c r="O54" s="2">
        <f>N54*0.9</f>
        <v>4.0500000000000008E-2</v>
      </c>
      <c r="P54" s="2">
        <f t="shared" ref="P54" si="68">O54*0.9</f>
        <v>3.645000000000001E-2</v>
      </c>
      <c r="Q54" s="2">
        <f t="shared" ref="Q54:V54" si="69">P54*1.03</f>
        <v>3.7543500000000014E-2</v>
      </c>
      <c r="R54" s="2">
        <f t="shared" si="69"/>
        <v>3.8669805000000015E-2</v>
      </c>
      <c r="S54" s="2">
        <f t="shared" si="69"/>
        <v>3.9829899150000014E-2</v>
      </c>
      <c r="T54" s="2">
        <f t="shared" si="69"/>
        <v>4.1024796124500017E-2</v>
      </c>
      <c r="U54" s="2">
        <f t="shared" si="69"/>
        <v>4.2255540008235018E-2</v>
      </c>
      <c r="V54" s="2">
        <f t="shared" si="69"/>
        <v>4.3523206208482067E-2</v>
      </c>
      <c r="W54" s="2">
        <f t="shared" ref="W54:AB54" si="70">V54*1.03</f>
        <v>4.4828902394736532E-2</v>
      </c>
      <c r="X54" s="2">
        <f t="shared" si="70"/>
        <v>4.6173769466578626E-2</v>
      </c>
      <c r="Y54" s="2">
        <f t="shared" si="70"/>
        <v>4.7558982550575987E-2</v>
      </c>
      <c r="Z54" s="2">
        <f t="shared" si="70"/>
        <v>4.8985752027093266E-2</v>
      </c>
      <c r="AA54" s="2">
        <f t="shared" si="70"/>
        <v>5.0455324587906067E-2</v>
      </c>
      <c r="AB54" s="2">
        <f t="shared" si="70"/>
        <v>5.1968984325543248E-2</v>
      </c>
    </row>
    <row r="55" spans="1:28">
      <c r="A55" s="371"/>
      <c r="B55" t="s">
        <v>292</v>
      </c>
      <c r="H55" s="479">
        <v>0</v>
      </c>
      <c r="I55" s="616">
        <f>H55+2%</f>
        <v>0.02</v>
      </c>
      <c r="J55" s="616">
        <v>3.5000000000000003E-2</v>
      </c>
      <c r="K55" s="616">
        <f>K54</f>
        <v>0.05</v>
      </c>
      <c r="L55" s="2">
        <f>L54</f>
        <v>5.5000000000000007E-2</v>
      </c>
      <c r="M55" s="2">
        <f>M54</f>
        <v>0.05</v>
      </c>
      <c r="N55" s="2">
        <f t="shared" ref="N55:X55" si="71">N54</f>
        <v>4.5000000000000005E-2</v>
      </c>
      <c r="O55" s="2">
        <f t="shared" ref="O55:P55" si="72">O54</f>
        <v>4.0500000000000008E-2</v>
      </c>
      <c r="P55" s="2">
        <f t="shared" si="72"/>
        <v>3.645000000000001E-2</v>
      </c>
      <c r="Q55" s="2">
        <f t="shared" si="71"/>
        <v>3.7543500000000014E-2</v>
      </c>
      <c r="R55" s="2">
        <f t="shared" si="71"/>
        <v>3.8669805000000015E-2</v>
      </c>
      <c r="S55" s="2">
        <f t="shared" si="71"/>
        <v>3.9829899150000014E-2</v>
      </c>
      <c r="T55" s="2">
        <f t="shared" si="71"/>
        <v>4.1024796124500017E-2</v>
      </c>
      <c r="U55" s="2">
        <f t="shared" si="71"/>
        <v>4.2255540008235018E-2</v>
      </c>
      <c r="V55" s="2">
        <f t="shared" si="71"/>
        <v>4.3523206208482067E-2</v>
      </c>
      <c r="W55" s="2">
        <f t="shared" si="71"/>
        <v>4.4828902394736532E-2</v>
      </c>
      <c r="X55" s="2">
        <f t="shared" si="71"/>
        <v>4.6173769466578626E-2</v>
      </c>
      <c r="Y55" s="2">
        <f>Y54</f>
        <v>4.7558982550575987E-2</v>
      </c>
      <c r="Z55" s="2">
        <f>Z54</f>
        <v>4.8985752027093266E-2</v>
      </c>
      <c r="AA55" s="2">
        <f>AA54</f>
        <v>5.0455324587906067E-2</v>
      </c>
      <c r="AB55" s="2">
        <f>AB54</f>
        <v>5.1968984325543248E-2</v>
      </c>
    </row>
    <row r="56" spans="1:28">
      <c r="A56" s="371"/>
      <c r="B56" t="s">
        <v>293</v>
      </c>
      <c r="H56" s="479">
        <v>0</v>
      </c>
      <c r="I56" s="8">
        <f t="shared" ref="I56:M57" si="73">H56</f>
        <v>0</v>
      </c>
      <c r="J56" s="8">
        <f t="shared" si="73"/>
        <v>0</v>
      </c>
      <c r="K56" s="8">
        <f t="shared" si="73"/>
        <v>0</v>
      </c>
      <c r="L56" s="8">
        <f t="shared" si="73"/>
        <v>0</v>
      </c>
      <c r="M56" s="8">
        <f t="shared" si="73"/>
        <v>0</v>
      </c>
      <c r="N56" s="8">
        <f t="shared" ref="N56:V56" si="74">M56</f>
        <v>0</v>
      </c>
      <c r="O56" s="8">
        <f t="shared" si="74"/>
        <v>0</v>
      </c>
      <c r="P56" s="8">
        <f t="shared" si="74"/>
        <v>0</v>
      </c>
      <c r="Q56" s="8">
        <f t="shared" si="74"/>
        <v>0</v>
      </c>
      <c r="R56" s="8">
        <f t="shared" si="74"/>
        <v>0</v>
      </c>
      <c r="S56" s="8">
        <f t="shared" si="74"/>
        <v>0</v>
      </c>
      <c r="T56" s="8">
        <f t="shared" si="74"/>
        <v>0</v>
      </c>
      <c r="U56" s="8">
        <f t="shared" si="74"/>
        <v>0</v>
      </c>
      <c r="V56" s="8">
        <f t="shared" si="74"/>
        <v>0</v>
      </c>
      <c r="W56" s="8">
        <f t="shared" ref="W56:AB57" si="75">V56</f>
        <v>0</v>
      </c>
      <c r="X56" s="8">
        <f t="shared" si="75"/>
        <v>0</v>
      </c>
      <c r="Y56" s="8">
        <f t="shared" si="75"/>
        <v>0</v>
      </c>
      <c r="Z56" s="8">
        <f t="shared" si="75"/>
        <v>0</v>
      </c>
      <c r="AA56" s="8">
        <f t="shared" si="75"/>
        <v>0</v>
      </c>
      <c r="AB56" s="8">
        <f t="shared" si="75"/>
        <v>0</v>
      </c>
    </row>
    <row r="57" spans="1:28">
      <c r="A57" s="371"/>
      <c r="B57" t="s">
        <v>294</v>
      </c>
      <c r="H57" s="479">
        <v>0</v>
      </c>
      <c r="I57" s="8">
        <f t="shared" si="73"/>
        <v>0</v>
      </c>
      <c r="J57" s="8">
        <f t="shared" si="73"/>
        <v>0</v>
      </c>
      <c r="K57" s="8">
        <f t="shared" si="73"/>
        <v>0</v>
      </c>
      <c r="L57" s="8">
        <f t="shared" si="73"/>
        <v>0</v>
      </c>
      <c r="M57" s="8">
        <f t="shared" si="73"/>
        <v>0</v>
      </c>
      <c r="N57" s="8">
        <f t="shared" ref="N57:V57" si="76">M57</f>
        <v>0</v>
      </c>
      <c r="O57" s="8">
        <f t="shared" si="76"/>
        <v>0</v>
      </c>
      <c r="P57" s="8">
        <f t="shared" si="76"/>
        <v>0</v>
      </c>
      <c r="Q57" s="8">
        <f t="shared" si="76"/>
        <v>0</v>
      </c>
      <c r="R57" s="8">
        <f t="shared" si="76"/>
        <v>0</v>
      </c>
      <c r="S57" s="8">
        <f t="shared" si="76"/>
        <v>0</v>
      </c>
      <c r="T57" s="8">
        <f t="shared" si="76"/>
        <v>0</v>
      </c>
      <c r="U57" s="8">
        <f t="shared" si="76"/>
        <v>0</v>
      </c>
      <c r="V57" s="8">
        <f t="shared" si="76"/>
        <v>0</v>
      </c>
      <c r="W57" s="8">
        <f t="shared" si="75"/>
        <v>0</v>
      </c>
      <c r="X57" s="8">
        <f t="shared" si="75"/>
        <v>0</v>
      </c>
      <c r="Y57" s="8">
        <f t="shared" si="75"/>
        <v>0</v>
      </c>
      <c r="Z57" s="8">
        <f t="shared" si="75"/>
        <v>0</v>
      </c>
      <c r="AA57" s="8">
        <f t="shared" si="75"/>
        <v>0</v>
      </c>
      <c r="AB57" s="8">
        <f t="shared" si="75"/>
        <v>0</v>
      </c>
    </row>
    <row r="58" spans="1:28">
      <c r="A58" s="371"/>
    </row>
    <row r="59" spans="1:28">
      <c r="A59" s="371"/>
      <c r="B59" s="615" t="s">
        <v>264</v>
      </c>
      <c r="C59" s="615"/>
      <c r="D59" s="615"/>
      <c r="E59" s="615"/>
      <c r="F59" s="615"/>
      <c r="G59" s="615"/>
      <c r="H59" s="615"/>
      <c r="I59" s="615"/>
      <c r="J59" s="615"/>
      <c r="K59" s="615"/>
      <c r="L59" s="615"/>
      <c r="M59" s="615"/>
      <c r="N59" s="615"/>
      <c r="O59" s="615"/>
      <c r="P59" s="615"/>
      <c r="Q59" s="615"/>
      <c r="R59" s="615"/>
      <c r="S59" s="615"/>
      <c r="T59" s="615"/>
      <c r="U59" s="615"/>
      <c r="V59" s="615"/>
      <c r="W59" s="615"/>
      <c r="X59" s="615"/>
      <c r="Y59" s="615"/>
      <c r="Z59" s="615"/>
      <c r="AA59" s="615"/>
      <c r="AB59" s="615"/>
    </row>
    <row r="60" spans="1:28">
      <c r="A60" s="371"/>
      <c r="B60" t="s">
        <v>291</v>
      </c>
      <c r="H60" s="505">
        <v>6</v>
      </c>
      <c r="I60">
        <f>H60</f>
        <v>6</v>
      </c>
      <c r="J60">
        <f>I60</f>
        <v>6</v>
      </c>
      <c r="K60">
        <f>J60</f>
        <v>6</v>
      </c>
      <c r="L60">
        <f>K60</f>
        <v>6</v>
      </c>
      <c r="M60">
        <f>L60</f>
        <v>6</v>
      </c>
      <c r="N60">
        <f t="shared" ref="N60:V60" si="77">M60</f>
        <v>6</v>
      </c>
      <c r="O60">
        <f t="shared" si="77"/>
        <v>6</v>
      </c>
      <c r="P60">
        <f t="shared" si="77"/>
        <v>6</v>
      </c>
      <c r="Q60">
        <f t="shared" si="77"/>
        <v>6</v>
      </c>
      <c r="R60">
        <f t="shared" si="77"/>
        <v>6</v>
      </c>
      <c r="S60">
        <f t="shared" si="77"/>
        <v>6</v>
      </c>
      <c r="T60">
        <f t="shared" si="77"/>
        <v>6</v>
      </c>
      <c r="U60">
        <f t="shared" si="77"/>
        <v>6</v>
      </c>
      <c r="V60">
        <f t="shared" si="77"/>
        <v>6</v>
      </c>
      <c r="W60">
        <f t="shared" ref="W60:AB63" si="78">V60</f>
        <v>6</v>
      </c>
      <c r="X60">
        <f t="shared" si="78"/>
        <v>6</v>
      </c>
      <c r="Y60">
        <f t="shared" si="78"/>
        <v>6</v>
      </c>
      <c r="Z60">
        <f t="shared" si="78"/>
        <v>6</v>
      </c>
      <c r="AA60">
        <f t="shared" si="78"/>
        <v>6</v>
      </c>
      <c r="AB60">
        <f t="shared" si="78"/>
        <v>6</v>
      </c>
    </row>
    <row r="61" spans="1:28">
      <c r="A61" s="371"/>
      <c r="B61" t="s">
        <v>292</v>
      </c>
      <c r="H61" s="505">
        <v>3</v>
      </c>
      <c r="I61">
        <f t="shared" ref="I61:M63" si="79">H61</f>
        <v>3</v>
      </c>
      <c r="J61">
        <f t="shared" si="79"/>
        <v>3</v>
      </c>
      <c r="K61">
        <f t="shared" si="79"/>
        <v>3</v>
      </c>
      <c r="L61">
        <f t="shared" si="79"/>
        <v>3</v>
      </c>
      <c r="M61">
        <f t="shared" si="79"/>
        <v>3</v>
      </c>
      <c r="N61">
        <f t="shared" ref="N61:V61" si="80">M61</f>
        <v>3</v>
      </c>
      <c r="O61">
        <f t="shared" si="80"/>
        <v>3</v>
      </c>
      <c r="P61">
        <f t="shared" si="80"/>
        <v>3</v>
      </c>
      <c r="Q61">
        <f t="shared" si="80"/>
        <v>3</v>
      </c>
      <c r="R61">
        <f t="shared" si="80"/>
        <v>3</v>
      </c>
      <c r="S61">
        <f t="shared" si="80"/>
        <v>3</v>
      </c>
      <c r="T61">
        <f t="shared" si="80"/>
        <v>3</v>
      </c>
      <c r="U61">
        <f t="shared" si="80"/>
        <v>3</v>
      </c>
      <c r="V61">
        <f t="shared" si="80"/>
        <v>3</v>
      </c>
      <c r="W61">
        <f t="shared" si="78"/>
        <v>3</v>
      </c>
      <c r="X61">
        <f t="shared" si="78"/>
        <v>3</v>
      </c>
      <c r="Y61">
        <f t="shared" si="78"/>
        <v>3</v>
      </c>
      <c r="Z61">
        <f t="shared" si="78"/>
        <v>3</v>
      </c>
      <c r="AA61">
        <f t="shared" si="78"/>
        <v>3</v>
      </c>
      <c r="AB61">
        <f t="shared" si="78"/>
        <v>3</v>
      </c>
    </row>
    <row r="62" spans="1:28">
      <c r="A62" s="371"/>
      <c r="B62" t="s">
        <v>293</v>
      </c>
      <c r="H62" s="505">
        <v>0</v>
      </c>
      <c r="I62">
        <f t="shared" si="79"/>
        <v>0</v>
      </c>
      <c r="J62">
        <f t="shared" si="79"/>
        <v>0</v>
      </c>
      <c r="K62">
        <f t="shared" si="79"/>
        <v>0</v>
      </c>
      <c r="L62">
        <f t="shared" si="79"/>
        <v>0</v>
      </c>
      <c r="M62">
        <f t="shared" si="79"/>
        <v>0</v>
      </c>
      <c r="N62">
        <f t="shared" ref="N62:V62" si="81">M62</f>
        <v>0</v>
      </c>
      <c r="O62">
        <f t="shared" si="81"/>
        <v>0</v>
      </c>
      <c r="P62">
        <f t="shared" si="81"/>
        <v>0</v>
      </c>
      <c r="Q62">
        <f t="shared" si="81"/>
        <v>0</v>
      </c>
      <c r="R62">
        <f t="shared" si="81"/>
        <v>0</v>
      </c>
      <c r="S62">
        <f t="shared" si="81"/>
        <v>0</v>
      </c>
      <c r="T62">
        <f t="shared" si="81"/>
        <v>0</v>
      </c>
      <c r="U62">
        <f t="shared" si="81"/>
        <v>0</v>
      </c>
      <c r="V62">
        <f t="shared" si="81"/>
        <v>0</v>
      </c>
      <c r="W62">
        <f t="shared" si="78"/>
        <v>0</v>
      </c>
      <c r="X62">
        <f t="shared" si="78"/>
        <v>0</v>
      </c>
      <c r="Y62">
        <f t="shared" si="78"/>
        <v>0</v>
      </c>
      <c r="Z62">
        <f t="shared" si="78"/>
        <v>0</v>
      </c>
      <c r="AA62">
        <f t="shared" si="78"/>
        <v>0</v>
      </c>
      <c r="AB62">
        <f t="shared" si="78"/>
        <v>0</v>
      </c>
    </row>
    <row r="63" spans="1:28">
      <c r="A63" s="371"/>
      <c r="B63" t="s">
        <v>294</v>
      </c>
      <c r="H63" s="505">
        <v>0</v>
      </c>
      <c r="I63">
        <f t="shared" si="79"/>
        <v>0</v>
      </c>
      <c r="J63">
        <f t="shared" si="79"/>
        <v>0</v>
      </c>
      <c r="K63">
        <f t="shared" si="79"/>
        <v>0</v>
      </c>
      <c r="L63">
        <f t="shared" si="79"/>
        <v>0</v>
      </c>
      <c r="M63">
        <f t="shared" si="79"/>
        <v>0</v>
      </c>
      <c r="N63">
        <f t="shared" ref="N63:V63" si="82">M63</f>
        <v>0</v>
      </c>
      <c r="O63">
        <f t="shared" si="82"/>
        <v>0</v>
      </c>
      <c r="P63">
        <f t="shared" si="82"/>
        <v>0</v>
      </c>
      <c r="Q63">
        <f t="shared" si="82"/>
        <v>0</v>
      </c>
      <c r="R63">
        <f t="shared" si="82"/>
        <v>0</v>
      </c>
      <c r="S63">
        <f t="shared" si="82"/>
        <v>0</v>
      </c>
      <c r="T63">
        <f t="shared" si="82"/>
        <v>0</v>
      </c>
      <c r="U63">
        <f t="shared" si="82"/>
        <v>0</v>
      </c>
      <c r="V63">
        <f t="shared" si="82"/>
        <v>0</v>
      </c>
      <c r="W63">
        <f t="shared" si="78"/>
        <v>0</v>
      </c>
      <c r="X63">
        <f t="shared" si="78"/>
        <v>0</v>
      </c>
      <c r="Y63">
        <f t="shared" si="78"/>
        <v>0</v>
      </c>
      <c r="Z63">
        <f t="shared" si="78"/>
        <v>0</v>
      </c>
      <c r="AA63">
        <f t="shared" si="78"/>
        <v>0</v>
      </c>
      <c r="AB63">
        <f t="shared" si="78"/>
        <v>0</v>
      </c>
    </row>
    <row r="64" spans="1:28">
      <c r="A64" s="371"/>
      <c r="H64" s="117"/>
    </row>
    <row r="65" spans="1:30">
      <c r="A65" s="371"/>
      <c r="B65" s="615" t="s">
        <v>314</v>
      </c>
      <c r="C65" s="615"/>
      <c r="D65" s="615"/>
      <c r="E65" s="615"/>
      <c r="F65" s="615"/>
      <c r="G65" s="615"/>
      <c r="H65" s="615"/>
      <c r="I65" s="615"/>
      <c r="J65" s="615"/>
      <c r="K65" s="615"/>
      <c r="L65" s="615"/>
      <c r="M65" s="615"/>
      <c r="N65" s="615"/>
      <c r="O65" s="615"/>
      <c r="P65" s="615"/>
      <c r="Q65" s="615"/>
      <c r="R65" s="615"/>
      <c r="S65" s="615"/>
      <c r="T65" s="615"/>
      <c r="U65" s="615"/>
      <c r="V65" s="615"/>
      <c r="W65" s="615"/>
      <c r="X65" s="615"/>
      <c r="Y65" s="615"/>
      <c r="Z65" s="615"/>
      <c r="AA65" s="615"/>
      <c r="AB65" s="615"/>
    </row>
    <row r="66" spans="1:30">
      <c r="A66" s="371"/>
      <c r="B66" t="s">
        <v>313</v>
      </c>
      <c r="I66" s="5">
        <f>I54*I42+I55*I45+I56*I48+I57*I51</f>
        <v>1432.8000000000002</v>
      </c>
      <c r="J66" s="5">
        <f t="shared" ref="J66:U66" si="83">J54*J42+J55*J45+J56*J48+J57*J51</f>
        <v>2494.8630000000003</v>
      </c>
      <c r="K66" s="5">
        <f t="shared" si="83"/>
        <v>3546.26955</v>
      </c>
      <c r="L66" s="5">
        <f t="shared" si="83"/>
        <v>3881.3920224750004</v>
      </c>
      <c r="M66" s="5">
        <f t="shared" si="83"/>
        <v>3510.8955112387494</v>
      </c>
      <c r="N66" s="5">
        <f t="shared" si="83"/>
        <v>3144.0069303143005</v>
      </c>
      <c r="O66" s="5">
        <f t="shared" si="83"/>
        <v>2815.4582060964567</v>
      </c>
      <c r="P66" s="5">
        <f t="shared" si="83"/>
        <v>2521.2428235593766</v>
      </c>
      <c r="Q66" s="5">
        <f t="shared" si="83"/>
        <v>2583.8957077248278</v>
      </c>
      <c r="R66" s="5">
        <f t="shared" si="83"/>
        <v>2648.1055160617898</v>
      </c>
      <c r="S66" s="5">
        <f t="shared" si="83"/>
        <v>2713.9109381359253</v>
      </c>
      <c r="T66" s="5">
        <f t="shared" si="83"/>
        <v>2781.3516249486029</v>
      </c>
      <c r="U66" s="5">
        <f t="shared" si="83"/>
        <v>2850.4682128285758</v>
      </c>
      <c r="V66" s="5">
        <f t="shared" ref="V66:AB66" si="84">V54*V42+V55*V45+V56*V48+V57*V51</f>
        <v>2921.3023479173662</v>
      </c>
      <c r="W66" s="5">
        <f t="shared" si="84"/>
        <v>2993.8967112631126</v>
      </c>
      <c r="X66" s="5">
        <f t="shared" si="84"/>
        <v>3068.2950445380006</v>
      </c>
      <c r="Y66" s="5">
        <f t="shared" si="84"/>
        <v>3144.5421763947702</v>
      </c>
      <c r="Z66" s="5">
        <f t="shared" si="84"/>
        <v>3222.68404947818</v>
      </c>
      <c r="AA66" s="5">
        <f t="shared" si="84"/>
        <v>3302.767748107713</v>
      </c>
      <c r="AB66" s="5">
        <f t="shared" si="84"/>
        <v>3384.8415266481893</v>
      </c>
    </row>
    <row r="67" spans="1:30">
      <c r="A67" s="371"/>
      <c r="B67" t="s">
        <v>295</v>
      </c>
      <c r="I67" s="5">
        <f>I60*I42*I54+I55*I45*I61</f>
        <v>5587.92</v>
      </c>
      <c r="J67" s="5">
        <f>J60*J42*J54+J55*J45*J61</f>
        <v>9729.9657000000007</v>
      </c>
      <c r="K67" s="5">
        <f>K60*K42*K54+K55*K45*K61</f>
        <v>13830.451245</v>
      </c>
      <c r="L67" s="5">
        <f>L60*L42*L54+L55*L45*L61</f>
        <v>15137.428887652502</v>
      </c>
      <c r="M67" s="5">
        <f>M60*M42*M54+M55*M45*M61</f>
        <v>13692.492493831123</v>
      </c>
      <c r="N67" s="5">
        <f t="shared" ref="N67:U67" si="85">N60*N42*N54+N55*N45*N61</f>
        <v>12261.627028225772</v>
      </c>
      <c r="O67" s="5">
        <f t="shared" si="85"/>
        <v>10980.28700377618</v>
      </c>
      <c r="P67" s="5">
        <f t="shared" si="85"/>
        <v>9832.8470118815694</v>
      </c>
      <c r="Q67" s="5">
        <f t="shared" si="85"/>
        <v>10077.193260126827</v>
      </c>
      <c r="R67" s="5">
        <f t="shared" si="85"/>
        <v>10327.611512640979</v>
      </c>
      <c r="S67" s="5">
        <f t="shared" si="85"/>
        <v>10584.252658730109</v>
      </c>
      <c r="T67" s="5">
        <f t="shared" si="85"/>
        <v>10847.271337299551</v>
      </c>
      <c r="U67" s="5">
        <f t="shared" si="85"/>
        <v>11116.826030031445</v>
      </c>
      <c r="V67" s="5">
        <f t="shared" ref="V67:AB67" si="86">V60*V42*V54+V55*V45*V61</f>
        <v>11393.079156877728</v>
      </c>
      <c r="W67" s="5">
        <f t="shared" si="86"/>
        <v>11676.197173926139</v>
      </c>
      <c r="X67" s="5">
        <f t="shared" si="86"/>
        <v>11966.350673698202</v>
      </c>
      <c r="Y67" s="5">
        <f t="shared" si="86"/>
        <v>12263.714487939604</v>
      </c>
      <c r="Z67" s="5">
        <f t="shared" si="86"/>
        <v>12568.467792964901</v>
      </c>
      <c r="AA67" s="5">
        <f t="shared" si="86"/>
        <v>12880.794217620081</v>
      </c>
      <c r="AB67" s="5">
        <f t="shared" si="86"/>
        <v>13200.881953927939</v>
      </c>
    </row>
    <row r="68" spans="1:30" s="28" customFormat="1">
      <c r="A68" s="29"/>
      <c r="B68" s="27" t="s">
        <v>297</v>
      </c>
      <c r="I68" s="121">
        <v>6400</v>
      </c>
      <c r="J68" s="121">
        <f>I68*1.01</f>
        <v>6464</v>
      </c>
      <c r="K68" s="121">
        <f>J68*1.01</f>
        <v>6528.64</v>
      </c>
      <c r="L68" s="121">
        <f>K68*1.01</f>
        <v>6593.9264000000003</v>
      </c>
      <c r="M68" s="121">
        <f>L68*1.01</f>
        <v>6659.8656639999999</v>
      </c>
      <c r="N68" s="121">
        <f t="shared" ref="N68:V68" si="87">M68*1.01</f>
        <v>6726.4643206399996</v>
      </c>
      <c r="O68" s="121">
        <f t="shared" si="87"/>
        <v>6793.7289638463999</v>
      </c>
      <c r="P68" s="121">
        <f t="shared" si="87"/>
        <v>6861.6662534848638</v>
      </c>
      <c r="Q68" s="121">
        <f t="shared" si="87"/>
        <v>6930.2829160197125</v>
      </c>
      <c r="R68" s="121">
        <f t="shared" si="87"/>
        <v>6999.5857451799093</v>
      </c>
      <c r="S68" s="121">
        <f t="shared" si="87"/>
        <v>7069.5816026317088</v>
      </c>
      <c r="T68" s="121">
        <f t="shared" si="87"/>
        <v>7140.2774186580264</v>
      </c>
      <c r="U68" s="121">
        <f t="shared" si="87"/>
        <v>7211.6801928446066</v>
      </c>
      <c r="V68" s="121">
        <f t="shared" si="87"/>
        <v>7283.7969947730526</v>
      </c>
      <c r="W68" s="121">
        <f>V68*1.01</f>
        <v>7356.6349647207835</v>
      </c>
      <c r="X68" s="121">
        <f>W68*1.01</f>
        <v>7430.2013143679915</v>
      </c>
      <c r="Y68" s="765">
        <f>X68</f>
        <v>7430.2013143679915</v>
      </c>
      <c r="Z68" s="765">
        <f>Y68</f>
        <v>7430.2013143679915</v>
      </c>
      <c r="AA68" s="765">
        <f>Z68</f>
        <v>7430.2013143679915</v>
      </c>
      <c r="AB68" s="765">
        <f>AA68</f>
        <v>7430.2013143679915</v>
      </c>
    </row>
    <row r="69" spans="1:30">
      <c r="A69" s="371"/>
      <c r="B69" s="510" t="s">
        <v>296</v>
      </c>
      <c r="C69" s="510"/>
      <c r="D69" s="510"/>
      <c r="E69" s="510"/>
      <c r="F69" s="510"/>
      <c r="G69" s="510"/>
      <c r="H69" s="510"/>
      <c r="I69" s="617">
        <f t="shared" ref="I69:U69" si="88">I68*I67/1000000</f>
        <v>35.762687999999997</v>
      </c>
      <c r="J69" s="617">
        <f t="shared" si="88"/>
        <v>62.894498284800008</v>
      </c>
      <c r="K69" s="617">
        <f t="shared" si="88"/>
        <v>90.294037216156809</v>
      </c>
      <c r="L69" s="617">
        <f t="shared" si="88"/>
        <v>99.815091970414471</v>
      </c>
      <c r="M69" s="617">
        <f t="shared" si="88"/>
        <v>91.190160614243624</v>
      </c>
      <c r="N69" s="617">
        <f t="shared" si="88"/>
        <v>82.477396718355735</v>
      </c>
      <c r="O69" s="617">
        <f t="shared" si="88"/>
        <v>74.597093848900442</v>
      </c>
      <c r="P69" s="617">
        <f t="shared" si="88"/>
        <v>67.469714517107249</v>
      </c>
      <c r="Q69" s="617">
        <f t="shared" si="88"/>
        <v>69.837800292085944</v>
      </c>
      <c r="R69" s="617">
        <f t="shared" si="88"/>
        <v>72.289002325637711</v>
      </c>
      <c r="S69" s="617">
        <f t="shared" si="88"/>
        <v>74.826237873764128</v>
      </c>
      <c r="T69" s="617">
        <f t="shared" si="88"/>
        <v>77.452526583776447</v>
      </c>
      <c r="U69" s="617">
        <f t="shared" si="88"/>
        <v>80.170994088077109</v>
      </c>
      <c r="V69" s="617">
        <f>V68*V67/1000000</f>
        <v>82.984875724077497</v>
      </c>
      <c r="W69" s="617">
        <f t="shared" ref="W69:AB69" si="89">W68*W67/1000000</f>
        <v>85.897520384679041</v>
      </c>
      <c r="X69" s="617">
        <f t="shared" si="89"/>
        <v>88.912394503900671</v>
      </c>
      <c r="Y69" s="617">
        <f t="shared" si="89"/>
        <v>91.121867507322619</v>
      </c>
      <c r="Z69" s="617">
        <f t="shared" si="89"/>
        <v>93.386245914879581</v>
      </c>
      <c r="AA69" s="617">
        <f t="shared" si="89"/>
        <v>95.706894125864352</v>
      </c>
      <c r="AB69" s="617">
        <f t="shared" si="89"/>
        <v>98.085210444892084</v>
      </c>
    </row>
    <row r="70" spans="1:30">
      <c r="A70" s="371"/>
    </row>
    <row r="71" spans="1:30">
      <c r="A71" s="371"/>
      <c r="B71" s="606" t="s">
        <v>299</v>
      </c>
      <c r="C71" s="606"/>
      <c r="D71" s="606"/>
      <c r="E71" s="606"/>
      <c r="F71" s="606"/>
      <c r="G71" s="606"/>
      <c r="H71" s="606"/>
      <c r="I71" s="606"/>
      <c r="J71" s="606"/>
      <c r="K71" s="606"/>
      <c r="L71" s="606"/>
      <c r="M71" s="606"/>
      <c r="N71" s="606"/>
      <c r="O71" s="606"/>
      <c r="P71" s="606"/>
      <c r="Q71" s="606"/>
      <c r="R71" s="606"/>
      <c r="S71" s="606"/>
      <c r="T71" s="606"/>
      <c r="U71" s="606"/>
      <c r="V71" s="606"/>
      <c r="W71" s="606"/>
      <c r="X71" s="606"/>
      <c r="Y71" s="606"/>
      <c r="Z71" s="606"/>
      <c r="AA71" s="606"/>
      <c r="AB71" s="606"/>
    </row>
    <row r="72" spans="1:30">
      <c r="A72" s="371"/>
      <c r="B72" t="s">
        <v>300</v>
      </c>
      <c r="J72" s="5">
        <v>42000</v>
      </c>
      <c r="K72" s="5">
        <f t="shared" ref="K72:V72" si="90">J72+1000</f>
        <v>43000</v>
      </c>
      <c r="L72" s="5">
        <f t="shared" si="90"/>
        <v>44000</v>
      </c>
      <c r="M72" s="5">
        <f t="shared" si="90"/>
        <v>45000</v>
      </c>
      <c r="N72" s="5">
        <f t="shared" si="90"/>
        <v>46000</v>
      </c>
      <c r="O72" s="5">
        <f t="shared" si="90"/>
        <v>47000</v>
      </c>
      <c r="P72" s="5">
        <f t="shared" si="90"/>
        <v>48000</v>
      </c>
      <c r="Q72" s="5">
        <f t="shared" si="90"/>
        <v>49000</v>
      </c>
      <c r="R72" s="5">
        <f t="shared" si="90"/>
        <v>50000</v>
      </c>
      <c r="S72" s="5">
        <f t="shared" si="90"/>
        <v>51000</v>
      </c>
      <c r="T72" s="5">
        <f t="shared" si="90"/>
        <v>52000</v>
      </c>
      <c r="U72" s="5">
        <f t="shared" si="90"/>
        <v>53000</v>
      </c>
      <c r="V72" s="5">
        <f t="shared" si="90"/>
        <v>54000</v>
      </c>
      <c r="W72" s="5">
        <f t="shared" ref="W72:AB72" si="91">V72+1000</f>
        <v>55000</v>
      </c>
      <c r="X72" s="5">
        <f t="shared" si="91"/>
        <v>56000</v>
      </c>
      <c r="Y72" s="5">
        <f t="shared" si="91"/>
        <v>57000</v>
      </c>
      <c r="Z72" s="5">
        <f t="shared" si="91"/>
        <v>58000</v>
      </c>
      <c r="AA72" s="5">
        <f t="shared" si="91"/>
        <v>59000</v>
      </c>
      <c r="AB72" s="5">
        <f t="shared" si="91"/>
        <v>60000</v>
      </c>
      <c r="AD72" t="s">
        <v>301</v>
      </c>
    </row>
    <row r="73" spans="1:30">
      <c r="A73" s="371"/>
      <c r="B73" s="27"/>
    </row>
    <row r="74" spans="1:30">
      <c r="A74" s="371"/>
      <c r="B74" t="s">
        <v>302</v>
      </c>
      <c r="J74" s="475">
        <v>0.6</v>
      </c>
      <c r="K74" s="7">
        <f>J74</f>
        <v>0.6</v>
      </c>
      <c r="L74" s="7">
        <f t="shared" ref="L74:U74" si="92">K74</f>
        <v>0.6</v>
      </c>
      <c r="M74" s="7">
        <f t="shared" si="92"/>
        <v>0.6</v>
      </c>
      <c r="N74" s="7">
        <f t="shared" si="92"/>
        <v>0.6</v>
      </c>
      <c r="O74" s="7">
        <f t="shared" si="92"/>
        <v>0.6</v>
      </c>
      <c r="P74" s="7">
        <f t="shared" si="92"/>
        <v>0.6</v>
      </c>
      <c r="Q74" s="7">
        <f t="shared" si="92"/>
        <v>0.6</v>
      </c>
      <c r="R74" s="7">
        <f t="shared" si="92"/>
        <v>0.6</v>
      </c>
      <c r="S74" s="7">
        <f t="shared" si="92"/>
        <v>0.6</v>
      </c>
      <c r="T74" s="7">
        <f t="shared" si="92"/>
        <v>0.6</v>
      </c>
      <c r="U74" s="7">
        <f t="shared" si="92"/>
        <v>0.6</v>
      </c>
      <c r="V74" s="7">
        <f t="shared" ref="V74:AB74" si="93">U74</f>
        <v>0.6</v>
      </c>
      <c r="W74" s="7">
        <f t="shared" si="93"/>
        <v>0.6</v>
      </c>
      <c r="X74" s="7">
        <f t="shared" si="93"/>
        <v>0.6</v>
      </c>
      <c r="Y74" s="7">
        <f t="shared" si="93"/>
        <v>0.6</v>
      </c>
      <c r="Z74" s="7">
        <f t="shared" si="93"/>
        <v>0.6</v>
      </c>
      <c r="AA74" s="7">
        <f t="shared" si="93"/>
        <v>0.6</v>
      </c>
      <c r="AB74" s="7">
        <f t="shared" si="93"/>
        <v>0.6</v>
      </c>
      <c r="AD74" t="s">
        <v>301</v>
      </c>
    </row>
    <row r="75" spans="1:30">
      <c r="A75" s="371"/>
      <c r="B75" t="s">
        <v>303</v>
      </c>
      <c r="J75" s="5">
        <f>J74*J72</f>
        <v>25200</v>
      </c>
      <c r="K75" s="5">
        <f>K74*K72</f>
        <v>25800</v>
      </c>
      <c r="L75" s="5">
        <f t="shared" ref="L75:U75" si="94">L74*L72</f>
        <v>26400</v>
      </c>
      <c r="M75" s="5">
        <f t="shared" si="94"/>
        <v>27000</v>
      </c>
      <c r="N75" s="5">
        <f t="shared" si="94"/>
        <v>27600</v>
      </c>
      <c r="O75" s="5">
        <f t="shared" si="94"/>
        <v>28200</v>
      </c>
      <c r="P75" s="5">
        <f t="shared" si="94"/>
        <v>28800</v>
      </c>
      <c r="Q75" s="5">
        <f t="shared" si="94"/>
        <v>29400</v>
      </c>
      <c r="R75" s="5">
        <f t="shared" si="94"/>
        <v>30000</v>
      </c>
      <c r="S75" s="5">
        <f t="shared" si="94"/>
        <v>30600</v>
      </c>
      <c r="T75" s="5">
        <f t="shared" si="94"/>
        <v>31200</v>
      </c>
      <c r="U75" s="5">
        <f t="shared" si="94"/>
        <v>31800</v>
      </c>
      <c r="V75" s="5">
        <f t="shared" ref="V75:AB75" si="95">V74*V72</f>
        <v>32400</v>
      </c>
      <c r="W75" s="5">
        <f t="shared" si="95"/>
        <v>33000</v>
      </c>
      <c r="X75" s="5">
        <f t="shared" si="95"/>
        <v>33600</v>
      </c>
      <c r="Y75" s="5">
        <f t="shared" si="95"/>
        <v>34200</v>
      </c>
      <c r="Z75" s="5">
        <f t="shared" si="95"/>
        <v>34800</v>
      </c>
      <c r="AA75" s="5">
        <f t="shared" si="95"/>
        <v>35400</v>
      </c>
      <c r="AB75" s="5">
        <f t="shared" si="95"/>
        <v>36000</v>
      </c>
    </row>
    <row r="76" spans="1:30">
      <c r="A76" s="371"/>
      <c r="B76" t="s">
        <v>304</v>
      </c>
    </row>
    <row r="77" spans="1:30">
      <c r="A77" s="371"/>
      <c r="B77" s="10" t="s">
        <v>305</v>
      </c>
      <c r="J77" s="479">
        <v>0.55000000000000004</v>
      </c>
      <c r="K77" s="8">
        <f>J77</f>
        <v>0.55000000000000004</v>
      </c>
      <c r="L77" s="8">
        <f t="shared" ref="L77:U77" si="96">K77</f>
        <v>0.55000000000000004</v>
      </c>
      <c r="M77" s="8">
        <f t="shared" si="96"/>
        <v>0.55000000000000004</v>
      </c>
      <c r="N77" s="8">
        <f t="shared" si="96"/>
        <v>0.55000000000000004</v>
      </c>
      <c r="O77" s="8">
        <f t="shared" si="96"/>
        <v>0.55000000000000004</v>
      </c>
      <c r="P77" s="8">
        <f t="shared" si="96"/>
        <v>0.55000000000000004</v>
      </c>
      <c r="Q77" s="8">
        <f t="shared" si="96"/>
        <v>0.55000000000000004</v>
      </c>
      <c r="R77" s="8">
        <f t="shared" si="96"/>
        <v>0.55000000000000004</v>
      </c>
      <c r="S77" s="8">
        <f t="shared" si="96"/>
        <v>0.55000000000000004</v>
      </c>
      <c r="T77" s="8">
        <f t="shared" si="96"/>
        <v>0.55000000000000004</v>
      </c>
      <c r="U77" s="8">
        <f t="shared" si="96"/>
        <v>0.55000000000000004</v>
      </c>
      <c r="V77" s="8">
        <f t="shared" ref="V77:AB78" si="97">U77</f>
        <v>0.55000000000000004</v>
      </c>
      <c r="W77" s="8">
        <f t="shared" si="97"/>
        <v>0.55000000000000004</v>
      </c>
      <c r="X77" s="8">
        <f t="shared" si="97"/>
        <v>0.55000000000000004</v>
      </c>
      <c r="Y77" s="8">
        <f t="shared" si="97"/>
        <v>0.55000000000000004</v>
      </c>
      <c r="Z77" s="8">
        <f t="shared" si="97"/>
        <v>0.55000000000000004</v>
      </c>
      <c r="AA77" s="8">
        <f t="shared" si="97"/>
        <v>0.55000000000000004</v>
      </c>
      <c r="AB77" s="8">
        <f t="shared" si="97"/>
        <v>0.55000000000000004</v>
      </c>
      <c r="AD77" t="s">
        <v>310</v>
      </c>
    </row>
    <row r="78" spans="1:30">
      <c r="A78" s="371"/>
      <c r="B78" s="10" t="s">
        <v>306</v>
      </c>
      <c r="J78" s="479">
        <f>1-J77</f>
        <v>0.44999999999999996</v>
      </c>
      <c r="K78" s="8">
        <f>J78</f>
        <v>0.44999999999999996</v>
      </c>
      <c r="L78" s="8">
        <f t="shared" ref="L78:U78" si="98">K78</f>
        <v>0.44999999999999996</v>
      </c>
      <c r="M78" s="8">
        <f t="shared" si="98"/>
        <v>0.44999999999999996</v>
      </c>
      <c r="N78" s="8">
        <f t="shared" si="98"/>
        <v>0.44999999999999996</v>
      </c>
      <c r="O78" s="8">
        <f t="shared" si="98"/>
        <v>0.44999999999999996</v>
      </c>
      <c r="P78" s="8">
        <f t="shared" si="98"/>
        <v>0.44999999999999996</v>
      </c>
      <c r="Q78" s="8">
        <f t="shared" si="98"/>
        <v>0.44999999999999996</v>
      </c>
      <c r="R78" s="8">
        <f t="shared" si="98"/>
        <v>0.44999999999999996</v>
      </c>
      <c r="S78" s="8">
        <f t="shared" si="98"/>
        <v>0.44999999999999996</v>
      </c>
      <c r="T78" s="8">
        <f t="shared" si="98"/>
        <v>0.44999999999999996</v>
      </c>
      <c r="U78" s="8">
        <f t="shared" si="98"/>
        <v>0.44999999999999996</v>
      </c>
      <c r="V78" s="8">
        <f t="shared" si="97"/>
        <v>0.44999999999999996</v>
      </c>
      <c r="W78" s="8">
        <f t="shared" si="97"/>
        <v>0.44999999999999996</v>
      </c>
      <c r="X78" s="8">
        <f t="shared" si="97"/>
        <v>0.44999999999999996</v>
      </c>
      <c r="Y78" s="8">
        <f t="shared" si="97"/>
        <v>0.44999999999999996</v>
      </c>
      <c r="Z78" s="8">
        <f t="shared" si="97"/>
        <v>0.44999999999999996</v>
      </c>
      <c r="AA78" s="8">
        <f t="shared" si="97"/>
        <v>0.44999999999999996</v>
      </c>
      <c r="AB78" s="8">
        <f t="shared" si="97"/>
        <v>0.44999999999999996</v>
      </c>
    </row>
    <row r="79" spans="1:30">
      <c r="A79" s="371"/>
    </row>
    <row r="80" spans="1:30">
      <c r="A80" s="371"/>
      <c r="B80" t="s">
        <v>307</v>
      </c>
      <c r="J80" s="475">
        <f>1-J74</f>
        <v>0.4</v>
      </c>
      <c r="K80" s="7">
        <f>J80</f>
        <v>0.4</v>
      </c>
      <c r="L80" s="7">
        <f t="shared" ref="L80:V80" si="99">K80</f>
        <v>0.4</v>
      </c>
      <c r="M80" s="7">
        <f t="shared" si="99"/>
        <v>0.4</v>
      </c>
      <c r="N80" s="7">
        <f t="shared" si="99"/>
        <v>0.4</v>
      </c>
      <c r="O80" s="7">
        <f t="shared" si="99"/>
        <v>0.4</v>
      </c>
      <c r="P80" s="7">
        <f t="shared" si="99"/>
        <v>0.4</v>
      </c>
      <c r="Q80" s="7">
        <f t="shared" si="99"/>
        <v>0.4</v>
      </c>
      <c r="R80" s="7">
        <f t="shared" si="99"/>
        <v>0.4</v>
      </c>
      <c r="S80" s="7">
        <f t="shared" si="99"/>
        <v>0.4</v>
      </c>
      <c r="T80" s="7">
        <f t="shared" si="99"/>
        <v>0.4</v>
      </c>
      <c r="U80" s="7">
        <f t="shared" si="99"/>
        <v>0.4</v>
      </c>
      <c r="V80" s="7">
        <f t="shared" si="99"/>
        <v>0.4</v>
      </c>
      <c r="W80" s="7">
        <f t="shared" ref="W80:AB80" si="100">V80</f>
        <v>0.4</v>
      </c>
      <c r="X80" s="7">
        <f t="shared" si="100"/>
        <v>0.4</v>
      </c>
      <c r="Y80" s="7">
        <f t="shared" si="100"/>
        <v>0.4</v>
      </c>
      <c r="Z80" s="7">
        <f t="shared" si="100"/>
        <v>0.4</v>
      </c>
      <c r="AA80" s="7">
        <f t="shared" si="100"/>
        <v>0.4</v>
      </c>
      <c r="AB80" s="7">
        <f t="shared" si="100"/>
        <v>0.4</v>
      </c>
      <c r="AD80" t="s">
        <v>301</v>
      </c>
    </row>
    <row r="81" spans="1:30">
      <c r="A81" s="371"/>
      <c r="B81" t="s">
        <v>303</v>
      </c>
      <c r="J81" s="5">
        <f>J80*J72</f>
        <v>16800</v>
      </c>
      <c r="K81" s="5">
        <f>K80*K72</f>
        <v>17200</v>
      </c>
      <c r="L81" s="5">
        <f t="shared" ref="L81:AB81" si="101">L80*L72</f>
        <v>17600</v>
      </c>
      <c r="M81" s="5">
        <f t="shared" si="101"/>
        <v>18000</v>
      </c>
      <c r="N81" s="5">
        <f t="shared" si="101"/>
        <v>18400</v>
      </c>
      <c r="O81" s="5">
        <f t="shared" si="101"/>
        <v>18800</v>
      </c>
      <c r="P81" s="5">
        <f t="shared" si="101"/>
        <v>19200</v>
      </c>
      <c r="Q81" s="5">
        <f t="shared" si="101"/>
        <v>19600</v>
      </c>
      <c r="R81" s="5">
        <f t="shared" si="101"/>
        <v>20000</v>
      </c>
      <c r="S81" s="5">
        <f t="shared" si="101"/>
        <v>20400</v>
      </c>
      <c r="T81" s="5">
        <f t="shared" si="101"/>
        <v>20800</v>
      </c>
      <c r="U81" s="5">
        <f t="shared" si="101"/>
        <v>21200</v>
      </c>
      <c r="V81" s="5">
        <f t="shared" si="101"/>
        <v>21600</v>
      </c>
      <c r="W81" s="5">
        <f t="shared" si="101"/>
        <v>22000</v>
      </c>
      <c r="X81" s="5">
        <f t="shared" si="101"/>
        <v>22400</v>
      </c>
      <c r="Y81" s="5">
        <f t="shared" si="101"/>
        <v>22800</v>
      </c>
      <c r="Z81" s="5">
        <f t="shared" si="101"/>
        <v>23200</v>
      </c>
      <c r="AA81" s="5">
        <f t="shared" si="101"/>
        <v>23600</v>
      </c>
      <c r="AB81" s="5">
        <f t="shared" si="101"/>
        <v>24000</v>
      </c>
    </row>
    <row r="82" spans="1:30">
      <c r="A82" s="371"/>
      <c r="B82" t="s">
        <v>304</v>
      </c>
    </row>
    <row r="83" spans="1:30">
      <c r="A83" s="371"/>
      <c r="B83" s="10" t="s">
        <v>305</v>
      </c>
      <c r="J83" s="479">
        <v>0.35</v>
      </c>
      <c r="K83" s="8">
        <f>J83</f>
        <v>0.35</v>
      </c>
      <c r="L83" s="8">
        <f t="shared" ref="L83:V83" si="102">K83</f>
        <v>0.35</v>
      </c>
      <c r="M83" s="8">
        <f t="shared" si="102"/>
        <v>0.35</v>
      </c>
      <c r="N83" s="8">
        <f t="shared" si="102"/>
        <v>0.35</v>
      </c>
      <c r="O83" s="8">
        <f t="shared" si="102"/>
        <v>0.35</v>
      </c>
      <c r="P83" s="8">
        <f t="shared" si="102"/>
        <v>0.35</v>
      </c>
      <c r="Q83" s="8">
        <f t="shared" si="102"/>
        <v>0.35</v>
      </c>
      <c r="R83" s="8">
        <f t="shared" si="102"/>
        <v>0.35</v>
      </c>
      <c r="S83" s="8">
        <f t="shared" si="102"/>
        <v>0.35</v>
      </c>
      <c r="T83" s="8">
        <f t="shared" si="102"/>
        <v>0.35</v>
      </c>
      <c r="U83" s="8">
        <f t="shared" si="102"/>
        <v>0.35</v>
      </c>
      <c r="V83" s="8">
        <f t="shared" si="102"/>
        <v>0.35</v>
      </c>
      <c r="W83" s="8">
        <f t="shared" ref="W83:AB84" si="103">V83</f>
        <v>0.35</v>
      </c>
      <c r="X83" s="8">
        <f t="shared" si="103"/>
        <v>0.35</v>
      </c>
      <c r="Y83" s="8">
        <f t="shared" si="103"/>
        <v>0.35</v>
      </c>
      <c r="Z83" s="8">
        <f t="shared" si="103"/>
        <v>0.35</v>
      </c>
      <c r="AA83" s="8">
        <f t="shared" si="103"/>
        <v>0.35</v>
      </c>
      <c r="AB83" s="8">
        <f t="shared" si="103"/>
        <v>0.35</v>
      </c>
    </row>
    <row r="84" spans="1:30">
      <c r="A84" s="371"/>
      <c r="B84" s="10" t="s">
        <v>306</v>
      </c>
      <c r="J84" s="479">
        <f>1-J83</f>
        <v>0.65</v>
      </c>
      <c r="K84" s="8">
        <f>J84</f>
        <v>0.65</v>
      </c>
      <c r="L84" s="8">
        <f t="shared" ref="L84:V84" si="104">K84</f>
        <v>0.65</v>
      </c>
      <c r="M84" s="8">
        <f t="shared" si="104"/>
        <v>0.65</v>
      </c>
      <c r="N84" s="8">
        <f t="shared" si="104"/>
        <v>0.65</v>
      </c>
      <c r="O84" s="8">
        <f t="shared" si="104"/>
        <v>0.65</v>
      </c>
      <c r="P84" s="8">
        <f t="shared" si="104"/>
        <v>0.65</v>
      </c>
      <c r="Q84" s="8">
        <f t="shared" si="104"/>
        <v>0.65</v>
      </c>
      <c r="R84" s="8">
        <f t="shared" si="104"/>
        <v>0.65</v>
      </c>
      <c r="S84" s="8">
        <f t="shared" si="104"/>
        <v>0.65</v>
      </c>
      <c r="T84" s="8">
        <f t="shared" si="104"/>
        <v>0.65</v>
      </c>
      <c r="U84" s="8">
        <f t="shared" si="104"/>
        <v>0.65</v>
      </c>
      <c r="V84" s="8">
        <f t="shared" si="104"/>
        <v>0.65</v>
      </c>
      <c r="W84" s="8">
        <f t="shared" si="103"/>
        <v>0.65</v>
      </c>
      <c r="X84" s="8">
        <f t="shared" si="103"/>
        <v>0.65</v>
      </c>
      <c r="Y84" s="8">
        <f t="shared" si="103"/>
        <v>0.65</v>
      </c>
      <c r="Z84" s="8">
        <f t="shared" si="103"/>
        <v>0.65</v>
      </c>
      <c r="AA84" s="8">
        <f t="shared" si="103"/>
        <v>0.65</v>
      </c>
      <c r="AB84" s="8">
        <f t="shared" si="103"/>
        <v>0.65</v>
      </c>
    </row>
    <row r="85" spans="1:30">
      <c r="A85" s="371"/>
    </row>
    <row r="86" spans="1:30">
      <c r="A86" s="371"/>
      <c r="B86" t="s">
        <v>308</v>
      </c>
      <c r="J86" s="475">
        <v>0.85</v>
      </c>
      <c r="K86" s="7">
        <f>J86</f>
        <v>0.85</v>
      </c>
      <c r="L86" s="7">
        <f t="shared" ref="L86:V86" si="105">K86</f>
        <v>0.85</v>
      </c>
      <c r="M86" s="7">
        <f t="shared" si="105"/>
        <v>0.85</v>
      </c>
      <c r="N86" s="7">
        <f t="shared" si="105"/>
        <v>0.85</v>
      </c>
      <c r="O86" s="7">
        <f t="shared" si="105"/>
        <v>0.85</v>
      </c>
      <c r="P86" s="7">
        <f t="shared" si="105"/>
        <v>0.85</v>
      </c>
      <c r="Q86" s="7">
        <f t="shared" si="105"/>
        <v>0.85</v>
      </c>
      <c r="R86" s="7">
        <f t="shared" si="105"/>
        <v>0.85</v>
      </c>
      <c r="S86" s="7">
        <f t="shared" si="105"/>
        <v>0.85</v>
      </c>
      <c r="T86" s="7">
        <f t="shared" si="105"/>
        <v>0.85</v>
      </c>
      <c r="U86" s="7">
        <f t="shared" si="105"/>
        <v>0.85</v>
      </c>
      <c r="V86" s="7">
        <f t="shared" si="105"/>
        <v>0.85</v>
      </c>
      <c r="W86" s="7">
        <f t="shared" ref="W86:AB86" si="106">V86</f>
        <v>0.85</v>
      </c>
      <c r="X86" s="7">
        <f t="shared" si="106"/>
        <v>0.85</v>
      </c>
      <c r="Y86" s="7">
        <f t="shared" si="106"/>
        <v>0.85</v>
      </c>
      <c r="Z86" s="7">
        <f t="shared" si="106"/>
        <v>0.85</v>
      </c>
      <c r="AA86" s="7">
        <f t="shared" si="106"/>
        <v>0.85</v>
      </c>
      <c r="AB86" s="7">
        <f t="shared" si="106"/>
        <v>0.85</v>
      </c>
      <c r="AD86" t="s">
        <v>309</v>
      </c>
    </row>
    <row r="87" spans="1:30">
      <c r="A87" s="371"/>
      <c r="B87" s="10" t="s">
        <v>311</v>
      </c>
      <c r="J87" s="5">
        <f>J86*J83*J81+J86*J77*J75</f>
        <v>16779</v>
      </c>
      <c r="K87" s="5">
        <f t="shared" ref="K87:AB87" si="107">K86*K83*K81+K86*K77*K75</f>
        <v>17178.5</v>
      </c>
      <c r="L87" s="5">
        <f t="shared" si="107"/>
        <v>17578</v>
      </c>
      <c r="M87" s="5">
        <f t="shared" si="107"/>
        <v>17977.5</v>
      </c>
      <c r="N87" s="5">
        <f t="shared" si="107"/>
        <v>18377</v>
      </c>
      <c r="O87" s="5">
        <f t="shared" si="107"/>
        <v>18776.5</v>
      </c>
      <c r="P87" s="5">
        <f t="shared" si="107"/>
        <v>19176</v>
      </c>
      <c r="Q87" s="5">
        <f t="shared" si="107"/>
        <v>19575.5</v>
      </c>
      <c r="R87" s="5">
        <f t="shared" si="107"/>
        <v>19975</v>
      </c>
      <c r="S87" s="5">
        <f t="shared" si="107"/>
        <v>20374.5</v>
      </c>
      <c r="T87" s="5">
        <f t="shared" si="107"/>
        <v>20774</v>
      </c>
      <c r="U87" s="5">
        <f t="shared" si="107"/>
        <v>21173.5</v>
      </c>
      <c r="V87" s="5">
        <f t="shared" si="107"/>
        <v>21573</v>
      </c>
      <c r="W87" s="5">
        <f t="shared" si="107"/>
        <v>21972.5</v>
      </c>
      <c r="X87" s="5">
        <f t="shared" si="107"/>
        <v>22372</v>
      </c>
      <c r="Y87" s="5">
        <f t="shared" si="107"/>
        <v>22771.5</v>
      </c>
      <c r="Z87" s="5">
        <f t="shared" si="107"/>
        <v>23171</v>
      </c>
      <c r="AA87" s="5">
        <f t="shared" si="107"/>
        <v>23570.5</v>
      </c>
      <c r="AB87" s="5">
        <f t="shared" si="107"/>
        <v>23970</v>
      </c>
    </row>
    <row r="88" spans="1:30">
      <c r="A88" s="371"/>
      <c r="B88" s="10" t="s">
        <v>312</v>
      </c>
      <c r="J88" s="5">
        <f>J86*J84*J81+J86*J78*J75</f>
        <v>18921</v>
      </c>
      <c r="K88" s="5">
        <f t="shared" ref="K88:U88" si="108">K86*K84*K81+K86*K78*K75</f>
        <v>19371.5</v>
      </c>
      <c r="L88" s="5">
        <f t="shared" si="108"/>
        <v>19822</v>
      </c>
      <c r="M88" s="5">
        <f t="shared" si="108"/>
        <v>20272.5</v>
      </c>
      <c r="N88" s="5">
        <f t="shared" si="108"/>
        <v>20723</v>
      </c>
      <c r="O88" s="5">
        <f t="shared" si="108"/>
        <v>21173.5</v>
      </c>
      <c r="P88" s="5">
        <f t="shared" si="108"/>
        <v>21624</v>
      </c>
      <c r="Q88" s="5">
        <f t="shared" si="108"/>
        <v>22074.5</v>
      </c>
      <c r="R88" s="5">
        <f t="shared" si="108"/>
        <v>22525</v>
      </c>
      <c r="S88" s="5">
        <f t="shared" si="108"/>
        <v>22975.5</v>
      </c>
      <c r="T88" s="5">
        <f t="shared" si="108"/>
        <v>23426</v>
      </c>
      <c r="U88" s="5">
        <f t="shared" si="108"/>
        <v>23876.5</v>
      </c>
      <c r="V88" s="5">
        <f>V86*V84*V81+V86*V78*V75</f>
        <v>24327</v>
      </c>
      <c r="W88" s="5">
        <f t="shared" ref="W88:AB88" si="109">W86*W84*W81+W86*W78*W75</f>
        <v>24777.5</v>
      </c>
      <c r="X88" s="5">
        <f t="shared" si="109"/>
        <v>25228</v>
      </c>
      <c r="Y88" s="5">
        <f t="shared" si="109"/>
        <v>25678.5</v>
      </c>
      <c r="Z88" s="5">
        <f t="shared" si="109"/>
        <v>26129</v>
      </c>
      <c r="AA88" s="5">
        <f t="shared" si="109"/>
        <v>26579.5</v>
      </c>
      <c r="AB88" s="5">
        <f t="shared" si="109"/>
        <v>27030</v>
      </c>
    </row>
    <row r="89" spans="1:30">
      <c r="A89" s="371"/>
    </row>
    <row r="90" spans="1:30">
      <c r="A90" s="371"/>
      <c r="B90" s="615" t="s">
        <v>290</v>
      </c>
      <c r="C90" s="615"/>
      <c r="D90" s="615"/>
      <c r="E90" s="615"/>
      <c r="F90" s="615"/>
      <c r="G90" s="615"/>
      <c r="H90" s="615"/>
      <c r="I90" s="615"/>
      <c r="J90" s="615"/>
      <c r="K90" s="615"/>
      <c r="L90" s="615"/>
      <c r="M90" s="615"/>
      <c r="N90" s="615"/>
      <c r="O90" s="615"/>
      <c r="P90" s="615"/>
      <c r="Q90" s="615"/>
      <c r="R90" s="615"/>
      <c r="S90" s="615"/>
      <c r="T90" s="615"/>
      <c r="U90" s="615"/>
      <c r="V90" s="615"/>
      <c r="W90" s="615"/>
      <c r="X90" s="615"/>
      <c r="Y90" s="615"/>
      <c r="Z90" s="615"/>
      <c r="AA90" s="615"/>
      <c r="AB90" s="615"/>
    </row>
    <row r="91" spans="1:30" s="357" customFormat="1" outlineLevel="1">
      <c r="A91" s="618"/>
      <c r="B91" s="519" t="s">
        <v>463</v>
      </c>
      <c r="C91" s="514"/>
      <c r="D91" s="514"/>
      <c r="E91" s="514"/>
      <c r="F91" s="514"/>
      <c r="G91" s="514"/>
      <c r="H91" s="514"/>
      <c r="I91" s="514"/>
      <c r="J91" s="514"/>
      <c r="K91" s="514"/>
      <c r="L91" s="608">
        <f>K94*1.7</f>
        <v>0.34</v>
      </c>
      <c r="M91" s="608">
        <f>L91*1.5</f>
        <v>0.51</v>
      </c>
      <c r="N91" s="608">
        <f>M91*1.3</f>
        <v>0.66300000000000003</v>
      </c>
      <c r="O91" s="608">
        <f>N91*1.1</f>
        <v>0.72930000000000006</v>
      </c>
      <c r="P91" s="608">
        <f>O91*1.05</f>
        <v>0.76576500000000014</v>
      </c>
      <c r="Q91" s="608">
        <f t="shared" ref="Q91:U93" si="110">P91</f>
        <v>0.76576500000000014</v>
      </c>
      <c r="R91" s="608">
        <f t="shared" si="110"/>
        <v>0.76576500000000014</v>
      </c>
      <c r="S91" s="608">
        <f t="shared" si="110"/>
        <v>0.76576500000000014</v>
      </c>
      <c r="T91" s="608">
        <f t="shared" si="110"/>
        <v>0.76576500000000014</v>
      </c>
      <c r="U91" s="608">
        <f t="shared" si="110"/>
        <v>0.76576500000000014</v>
      </c>
      <c r="V91" s="608">
        <f t="shared" ref="V91:AB93" si="111">U91</f>
        <v>0.76576500000000014</v>
      </c>
      <c r="W91" s="608">
        <f t="shared" si="111"/>
        <v>0.76576500000000014</v>
      </c>
      <c r="X91" s="608">
        <f t="shared" si="111"/>
        <v>0.76576500000000014</v>
      </c>
      <c r="Y91" s="608">
        <f t="shared" si="111"/>
        <v>0.76576500000000014</v>
      </c>
      <c r="Z91" s="608">
        <f t="shared" si="111"/>
        <v>0.76576500000000014</v>
      </c>
      <c r="AA91" s="608">
        <f t="shared" si="111"/>
        <v>0.76576500000000014</v>
      </c>
      <c r="AB91" s="608">
        <f t="shared" si="111"/>
        <v>0.76576500000000014</v>
      </c>
    </row>
    <row r="92" spans="1:30" s="357" customFormat="1" outlineLevel="1">
      <c r="A92" s="618"/>
      <c r="B92" s="519" t="s">
        <v>464</v>
      </c>
      <c r="C92" s="514"/>
      <c r="D92" s="514"/>
      <c r="E92" s="514"/>
      <c r="F92" s="514"/>
      <c r="G92" s="514"/>
      <c r="H92" s="514"/>
      <c r="I92" s="514"/>
      <c r="J92" s="514"/>
      <c r="K92" s="484"/>
      <c r="L92" s="484">
        <v>0.33500000000000002</v>
      </c>
      <c r="M92" s="484">
        <v>0.37</v>
      </c>
      <c r="N92" s="484">
        <v>0.37</v>
      </c>
      <c r="O92" s="484">
        <v>0.38</v>
      </c>
      <c r="P92" s="483">
        <f>O92</f>
        <v>0.38</v>
      </c>
      <c r="Q92" s="483">
        <f t="shared" si="110"/>
        <v>0.38</v>
      </c>
      <c r="R92" s="483">
        <f t="shared" si="110"/>
        <v>0.38</v>
      </c>
      <c r="S92" s="483">
        <f t="shared" si="110"/>
        <v>0.38</v>
      </c>
      <c r="T92" s="483">
        <f t="shared" si="110"/>
        <v>0.38</v>
      </c>
      <c r="U92" s="483">
        <f t="shared" si="110"/>
        <v>0.38</v>
      </c>
      <c r="V92" s="483">
        <f t="shared" si="111"/>
        <v>0.38</v>
      </c>
      <c r="W92" s="483">
        <f t="shared" si="111"/>
        <v>0.38</v>
      </c>
      <c r="X92" s="483">
        <f t="shared" si="111"/>
        <v>0.38</v>
      </c>
      <c r="Y92" s="483">
        <f t="shared" si="111"/>
        <v>0.38</v>
      </c>
      <c r="Z92" s="483">
        <f t="shared" si="111"/>
        <v>0.38</v>
      </c>
      <c r="AA92" s="483">
        <f t="shared" si="111"/>
        <v>0.38</v>
      </c>
      <c r="AB92" s="483">
        <f t="shared" si="111"/>
        <v>0.38</v>
      </c>
    </row>
    <row r="93" spans="1:30" s="357" customFormat="1" outlineLevel="1">
      <c r="A93" s="618"/>
      <c r="B93" s="519" t="s">
        <v>462</v>
      </c>
      <c r="C93" s="514"/>
      <c r="D93" s="514"/>
      <c r="E93" s="514"/>
      <c r="F93" s="514"/>
      <c r="G93" s="514"/>
      <c r="H93" s="514"/>
      <c r="I93" s="514"/>
      <c r="J93" s="514"/>
      <c r="K93" s="514"/>
      <c r="L93" s="608">
        <f>K94*1.3</f>
        <v>0.26</v>
      </c>
      <c r="M93" s="608">
        <f>L93*1.2</f>
        <v>0.312</v>
      </c>
      <c r="N93" s="608">
        <f>M93*1.1</f>
        <v>0.34320000000000001</v>
      </c>
      <c r="O93" s="608">
        <f>N93*1.05</f>
        <v>0.36036000000000001</v>
      </c>
      <c r="P93" s="608">
        <f>O93</f>
        <v>0.36036000000000001</v>
      </c>
      <c r="Q93" s="608">
        <f t="shared" si="110"/>
        <v>0.36036000000000001</v>
      </c>
      <c r="R93" s="608">
        <f t="shared" si="110"/>
        <v>0.36036000000000001</v>
      </c>
      <c r="S93" s="608">
        <f t="shared" si="110"/>
        <v>0.36036000000000001</v>
      </c>
      <c r="T93" s="608">
        <f t="shared" si="110"/>
        <v>0.36036000000000001</v>
      </c>
      <c r="U93" s="608">
        <f t="shared" si="110"/>
        <v>0.36036000000000001</v>
      </c>
      <c r="V93" s="608">
        <f t="shared" si="111"/>
        <v>0.36036000000000001</v>
      </c>
      <c r="W93" s="608">
        <f t="shared" si="111"/>
        <v>0.36036000000000001</v>
      </c>
      <c r="X93" s="608">
        <f t="shared" si="111"/>
        <v>0.36036000000000001</v>
      </c>
      <c r="Y93" s="608">
        <f t="shared" si="111"/>
        <v>0.36036000000000001</v>
      </c>
      <c r="Z93" s="608">
        <f t="shared" si="111"/>
        <v>0.36036000000000001</v>
      </c>
      <c r="AA93" s="608">
        <f t="shared" si="111"/>
        <v>0.36036000000000001</v>
      </c>
      <c r="AB93" s="608">
        <f t="shared" si="111"/>
        <v>0.36036000000000001</v>
      </c>
    </row>
    <row r="94" spans="1:30">
      <c r="A94" s="619" t="s">
        <v>78</v>
      </c>
      <c r="B94" s="488" t="s">
        <v>315</v>
      </c>
      <c r="C94" s="481"/>
      <c r="D94" s="481"/>
      <c r="E94" s="481"/>
      <c r="F94" s="481"/>
      <c r="G94" s="481"/>
      <c r="H94" s="481"/>
      <c r="I94" s="481"/>
      <c r="J94" s="481"/>
      <c r="K94" s="484">
        <v>0.2</v>
      </c>
      <c r="L94" s="486">
        <f t="shared" ref="L94:AB94" si="112">CHOOSE($G$1,L91,L92,L93)</f>
        <v>0.33500000000000002</v>
      </c>
      <c r="M94" s="486">
        <f t="shared" si="112"/>
        <v>0.37</v>
      </c>
      <c r="N94" s="486">
        <f t="shared" si="112"/>
        <v>0.37</v>
      </c>
      <c r="O94" s="486">
        <f t="shared" si="112"/>
        <v>0.38</v>
      </c>
      <c r="P94" s="486">
        <f t="shared" si="112"/>
        <v>0.38</v>
      </c>
      <c r="Q94" s="486">
        <f t="shared" si="112"/>
        <v>0.38</v>
      </c>
      <c r="R94" s="486">
        <f t="shared" si="112"/>
        <v>0.38</v>
      </c>
      <c r="S94" s="486">
        <f t="shared" si="112"/>
        <v>0.38</v>
      </c>
      <c r="T94" s="486">
        <f t="shared" si="112"/>
        <v>0.38</v>
      </c>
      <c r="U94" s="486">
        <f t="shared" si="112"/>
        <v>0.38</v>
      </c>
      <c r="V94" s="486">
        <f t="shared" si="112"/>
        <v>0.38</v>
      </c>
      <c r="W94" s="486">
        <f t="shared" si="112"/>
        <v>0.38</v>
      </c>
      <c r="X94" s="486">
        <f t="shared" si="112"/>
        <v>0.38</v>
      </c>
      <c r="Y94" s="486">
        <f t="shared" si="112"/>
        <v>0.38</v>
      </c>
      <c r="Z94" s="486">
        <f t="shared" si="112"/>
        <v>0.38</v>
      </c>
      <c r="AA94" s="486">
        <f t="shared" si="112"/>
        <v>0.38</v>
      </c>
      <c r="AB94" s="486">
        <f t="shared" si="112"/>
        <v>0.38</v>
      </c>
    </row>
    <row r="95" spans="1:30" outlineLevel="1">
      <c r="A95" s="371"/>
      <c r="B95" s="519" t="s">
        <v>463</v>
      </c>
      <c r="C95" s="481"/>
      <c r="D95" s="481"/>
      <c r="E95" s="481"/>
      <c r="F95" s="481"/>
      <c r="G95" s="481"/>
      <c r="H95" s="481"/>
      <c r="I95" s="481"/>
      <c r="J95" s="481"/>
      <c r="K95" s="620"/>
      <c r="L95" s="608">
        <f>K98*1.5</f>
        <v>0.22499999999999998</v>
      </c>
      <c r="M95" s="608">
        <f>L95*1.3</f>
        <v>0.29249999999999998</v>
      </c>
      <c r="N95" s="608">
        <f>M95*1.1</f>
        <v>0.32174999999999998</v>
      </c>
      <c r="O95" s="608">
        <f>N95*1.1</f>
        <v>0.35392499999999999</v>
      </c>
      <c r="P95" s="608">
        <f>O95*1.05</f>
        <v>0.37162125000000001</v>
      </c>
      <c r="Q95" s="608">
        <f t="shared" ref="Q95:V96" si="113">P95</f>
        <v>0.37162125000000001</v>
      </c>
      <c r="R95" s="608">
        <f t="shared" si="113"/>
        <v>0.37162125000000001</v>
      </c>
      <c r="S95" s="608">
        <f t="shared" si="113"/>
        <v>0.37162125000000001</v>
      </c>
      <c r="T95" s="608">
        <f t="shared" si="113"/>
        <v>0.37162125000000001</v>
      </c>
      <c r="U95" s="608">
        <f t="shared" si="113"/>
        <v>0.37162125000000001</v>
      </c>
      <c r="V95" s="608">
        <f t="shared" ref="V95:AB95" si="114">U95</f>
        <v>0.37162125000000001</v>
      </c>
      <c r="W95" s="608">
        <f t="shared" si="114"/>
        <v>0.37162125000000001</v>
      </c>
      <c r="X95" s="608">
        <f t="shared" si="114"/>
        <v>0.37162125000000001</v>
      </c>
      <c r="Y95" s="608">
        <f t="shared" si="114"/>
        <v>0.37162125000000001</v>
      </c>
      <c r="Z95" s="608">
        <f t="shared" si="114"/>
        <v>0.37162125000000001</v>
      </c>
      <c r="AA95" s="608">
        <f t="shared" si="114"/>
        <v>0.37162125000000001</v>
      </c>
      <c r="AB95" s="608">
        <f t="shared" si="114"/>
        <v>0.37162125000000001</v>
      </c>
    </row>
    <row r="96" spans="1:30" outlineLevel="1">
      <c r="A96" s="371"/>
      <c r="B96" s="519" t="s">
        <v>464</v>
      </c>
      <c r="C96" s="481"/>
      <c r="D96" s="481"/>
      <c r="E96" s="481"/>
      <c r="F96" s="481"/>
      <c r="G96" s="481"/>
      <c r="H96" s="481"/>
      <c r="I96" s="481"/>
      <c r="J96" s="481"/>
      <c r="K96" s="483"/>
      <c r="L96" s="484">
        <v>0.16</v>
      </c>
      <c r="M96" s="484">
        <v>0.17</v>
      </c>
      <c r="N96" s="484">
        <v>0.18</v>
      </c>
      <c r="O96" s="484">
        <f>N96+1%</f>
        <v>0.19</v>
      </c>
      <c r="P96" s="484">
        <f>O96+1%</f>
        <v>0.2</v>
      </c>
      <c r="Q96" s="484">
        <f t="shared" si="113"/>
        <v>0.2</v>
      </c>
      <c r="R96" s="484">
        <f t="shared" si="113"/>
        <v>0.2</v>
      </c>
      <c r="S96" s="484">
        <f t="shared" si="113"/>
        <v>0.2</v>
      </c>
      <c r="T96" s="484">
        <f t="shared" si="113"/>
        <v>0.2</v>
      </c>
      <c r="U96" s="484">
        <f t="shared" si="113"/>
        <v>0.2</v>
      </c>
      <c r="V96" s="484">
        <f t="shared" si="113"/>
        <v>0.2</v>
      </c>
      <c r="W96" s="484">
        <f t="shared" ref="W96:AB97" si="115">V96</f>
        <v>0.2</v>
      </c>
      <c r="X96" s="484">
        <f t="shared" si="115"/>
        <v>0.2</v>
      </c>
      <c r="Y96" s="484">
        <f t="shared" si="115"/>
        <v>0.2</v>
      </c>
      <c r="Z96" s="484">
        <f t="shared" si="115"/>
        <v>0.2</v>
      </c>
      <c r="AA96" s="484">
        <f t="shared" si="115"/>
        <v>0.2</v>
      </c>
      <c r="AB96" s="484">
        <f t="shared" si="115"/>
        <v>0.2</v>
      </c>
    </row>
    <row r="97" spans="1:30" outlineLevel="1">
      <c r="A97" s="371"/>
      <c r="B97" s="519" t="s">
        <v>462</v>
      </c>
      <c r="C97" s="481"/>
      <c r="D97" s="481"/>
      <c r="E97" s="481"/>
      <c r="F97" s="481"/>
      <c r="G97" s="481"/>
      <c r="H97" s="481"/>
      <c r="I97" s="481"/>
      <c r="J97" s="481"/>
      <c r="K97" s="620"/>
      <c r="L97" s="621">
        <f>K98</f>
        <v>0.15</v>
      </c>
      <c r="M97" s="621">
        <f>L97</f>
        <v>0.15</v>
      </c>
      <c r="N97" s="621">
        <f t="shared" ref="N97:U97" si="116">M97</f>
        <v>0.15</v>
      </c>
      <c r="O97" s="621">
        <f t="shared" si="116"/>
        <v>0.15</v>
      </c>
      <c r="P97" s="621">
        <f t="shared" si="116"/>
        <v>0.15</v>
      </c>
      <c r="Q97" s="621">
        <f t="shared" si="116"/>
        <v>0.15</v>
      </c>
      <c r="R97" s="621">
        <f t="shared" si="116"/>
        <v>0.15</v>
      </c>
      <c r="S97" s="621">
        <f t="shared" si="116"/>
        <v>0.15</v>
      </c>
      <c r="T97" s="621">
        <f t="shared" si="116"/>
        <v>0.15</v>
      </c>
      <c r="U97" s="621">
        <f t="shared" si="116"/>
        <v>0.15</v>
      </c>
      <c r="V97" s="621">
        <f>U97</f>
        <v>0.15</v>
      </c>
      <c r="W97" s="621">
        <f t="shared" si="115"/>
        <v>0.15</v>
      </c>
      <c r="X97" s="621">
        <f t="shared" si="115"/>
        <v>0.15</v>
      </c>
      <c r="Y97" s="621">
        <f t="shared" si="115"/>
        <v>0.15</v>
      </c>
      <c r="Z97" s="621">
        <f t="shared" si="115"/>
        <v>0.15</v>
      </c>
      <c r="AA97" s="621">
        <f t="shared" si="115"/>
        <v>0.15</v>
      </c>
      <c r="AB97" s="621">
        <f t="shared" si="115"/>
        <v>0.15</v>
      </c>
    </row>
    <row r="98" spans="1:30">
      <c r="A98" s="619" t="s">
        <v>78</v>
      </c>
      <c r="B98" s="488" t="s">
        <v>316</v>
      </c>
      <c r="C98" s="481"/>
      <c r="D98" s="481"/>
      <c r="E98" s="481"/>
      <c r="F98" s="481"/>
      <c r="G98" s="481"/>
      <c r="H98" s="481"/>
      <c r="I98" s="481"/>
      <c r="J98" s="481"/>
      <c r="K98" s="484">
        <v>0.15</v>
      </c>
      <c r="L98" s="486">
        <f>CHOOSE($G$1,L95,L96,L97)</f>
        <v>0.16</v>
      </c>
      <c r="M98" s="486">
        <f t="shared" ref="M98:AB98" si="117">CHOOSE($G$1,M95,M96,M97)</f>
        <v>0.17</v>
      </c>
      <c r="N98" s="486">
        <f t="shared" si="117"/>
        <v>0.18</v>
      </c>
      <c r="O98" s="486">
        <f t="shared" si="117"/>
        <v>0.19</v>
      </c>
      <c r="P98" s="486">
        <f t="shared" si="117"/>
        <v>0.2</v>
      </c>
      <c r="Q98" s="486">
        <f t="shared" si="117"/>
        <v>0.2</v>
      </c>
      <c r="R98" s="486">
        <f t="shared" si="117"/>
        <v>0.2</v>
      </c>
      <c r="S98" s="486">
        <f t="shared" si="117"/>
        <v>0.2</v>
      </c>
      <c r="T98" s="486">
        <f t="shared" si="117"/>
        <v>0.2</v>
      </c>
      <c r="U98" s="486">
        <f t="shared" si="117"/>
        <v>0.2</v>
      </c>
      <c r="V98" s="486">
        <f>CHOOSE($G$1,V95,V96,V97)</f>
        <v>0.2</v>
      </c>
      <c r="W98" s="486">
        <f t="shared" si="117"/>
        <v>0.2</v>
      </c>
      <c r="X98" s="486">
        <f t="shared" si="117"/>
        <v>0.2</v>
      </c>
      <c r="Y98" s="486">
        <f t="shared" si="117"/>
        <v>0.2</v>
      </c>
      <c r="Z98" s="486">
        <f t="shared" si="117"/>
        <v>0.2</v>
      </c>
      <c r="AA98" s="486">
        <f t="shared" si="117"/>
        <v>0.2</v>
      </c>
      <c r="AB98" s="486">
        <f t="shared" si="117"/>
        <v>0.2</v>
      </c>
    </row>
    <row r="99" spans="1:30">
      <c r="A99" s="371"/>
    </row>
    <row r="100" spans="1:30">
      <c r="A100" s="371"/>
      <c r="B100" s="615" t="s">
        <v>264</v>
      </c>
      <c r="C100" s="615"/>
      <c r="D100" s="615"/>
      <c r="E100" s="615"/>
      <c r="F100" s="615"/>
      <c r="G100" s="615"/>
      <c r="H100" s="615"/>
      <c r="I100" s="615"/>
      <c r="J100" s="615"/>
      <c r="K100" s="615"/>
      <c r="L100" s="615"/>
      <c r="M100" s="615"/>
      <c r="N100" s="615"/>
      <c r="O100" s="615"/>
      <c r="P100" s="615"/>
      <c r="Q100" s="615"/>
      <c r="R100" s="615"/>
      <c r="S100" s="615"/>
      <c r="T100" s="615"/>
      <c r="U100" s="615"/>
      <c r="V100" s="615"/>
      <c r="W100" s="615"/>
      <c r="X100" s="615"/>
      <c r="Y100" s="615"/>
      <c r="Z100" s="615"/>
      <c r="AA100" s="615"/>
      <c r="AB100" s="615"/>
    </row>
    <row r="101" spans="1:30">
      <c r="A101" s="371"/>
      <c r="B101" s="10" t="s">
        <v>315</v>
      </c>
      <c r="K101" s="124">
        <v>4.75</v>
      </c>
      <c r="L101" s="115">
        <f>K101</f>
        <v>4.75</v>
      </c>
      <c r="M101" s="115">
        <f t="shared" ref="M101:V101" si="118">L101</f>
        <v>4.75</v>
      </c>
      <c r="N101" s="115">
        <f t="shared" si="118"/>
        <v>4.75</v>
      </c>
      <c r="O101" s="115">
        <f t="shared" si="118"/>
        <v>4.75</v>
      </c>
      <c r="P101" s="115">
        <f t="shared" si="118"/>
        <v>4.75</v>
      </c>
      <c r="Q101" s="115">
        <f t="shared" si="118"/>
        <v>4.75</v>
      </c>
      <c r="R101" s="115">
        <f t="shared" si="118"/>
        <v>4.75</v>
      </c>
      <c r="S101" s="115">
        <f t="shared" si="118"/>
        <v>4.75</v>
      </c>
      <c r="T101" s="115">
        <f t="shared" si="118"/>
        <v>4.75</v>
      </c>
      <c r="U101" s="115">
        <f t="shared" si="118"/>
        <v>4.75</v>
      </c>
      <c r="V101" s="115">
        <f t="shared" si="118"/>
        <v>4.75</v>
      </c>
      <c r="W101" s="115">
        <f t="shared" ref="W101:AB102" si="119">V101</f>
        <v>4.75</v>
      </c>
      <c r="X101" s="115">
        <f t="shared" si="119"/>
        <v>4.75</v>
      </c>
      <c r="Y101" s="115">
        <f t="shared" si="119"/>
        <v>4.75</v>
      </c>
      <c r="Z101" s="115">
        <f t="shared" si="119"/>
        <v>4.75</v>
      </c>
      <c r="AA101" s="115">
        <f t="shared" si="119"/>
        <v>4.75</v>
      </c>
      <c r="AB101" s="115">
        <f t="shared" si="119"/>
        <v>4.75</v>
      </c>
      <c r="AD101" t="s">
        <v>319</v>
      </c>
    </row>
    <row r="102" spans="1:30">
      <c r="A102" s="371"/>
      <c r="B102" s="10" t="s">
        <v>316</v>
      </c>
      <c r="K102" s="124">
        <v>3</v>
      </c>
      <c r="L102" s="115">
        <f>K102</f>
        <v>3</v>
      </c>
      <c r="M102" s="115">
        <f t="shared" ref="M102:V102" si="120">L102</f>
        <v>3</v>
      </c>
      <c r="N102" s="115">
        <f t="shared" si="120"/>
        <v>3</v>
      </c>
      <c r="O102" s="115">
        <f t="shared" si="120"/>
        <v>3</v>
      </c>
      <c r="P102" s="115">
        <f t="shared" si="120"/>
        <v>3</v>
      </c>
      <c r="Q102" s="115">
        <f t="shared" si="120"/>
        <v>3</v>
      </c>
      <c r="R102" s="115">
        <f t="shared" si="120"/>
        <v>3</v>
      </c>
      <c r="S102" s="115">
        <f t="shared" si="120"/>
        <v>3</v>
      </c>
      <c r="T102" s="115">
        <f t="shared" si="120"/>
        <v>3</v>
      </c>
      <c r="U102" s="115">
        <f t="shared" si="120"/>
        <v>3</v>
      </c>
      <c r="V102" s="115">
        <f t="shared" si="120"/>
        <v>3</v>
      </c>
      <c r="W102" s="115">
        <f t="shared" si="119"/>
        <v>3</v>
      </c>
      <c r="X102" s="115">
        <f t="shared" si="119"/>
        <v>3</v>
      </c>
      <c r="Y102" s="115">
        <f t="shared" si="119"/>
        <v>3</v>
      </c>
      <c r="Z102" s="115">
        <f t="shared" si="119"/>
        <v>3</v>
      </c>
      <c r="AA102" s="115">
        <f t="shared" si="119"/>
        <v>3</v>
      </c>
      <c r="AB102" s="115">
        <f t="shared" si="119"/>
        <v>3</v>
      </c>
      <c r="AD102" t="s">
        <v>320</v>
      </c>
    </row>
    <row r="103" spans="1:30">
      <c r="A103" s="371"/>
    </row>
    <row r="104" spans="1:30">
      <c r="A104" s="371"/>
      <c r="B104" s="615" t="s">
        <v>314</v>
      </c>
      <c r="C104" s="615"/>
      <c r="D104" s="615"/>
      <c r="E104" s="615"/>
      <c r="F104" s="615"/>
      <c r="G104" s="615"/>
      <c r="H104" s="615"/>
      <c r="I104" s="615"/>
      <c r="J104" s="615"/>
      <c r="K104" s="615"/>
      <c r="L104" s="615"/>
      <c r="M104" s="615"/>
      <c r="N104" s="615"/>
      <c r="O104" s="615"/>
      <c r="P104" s="615"/>
      <c r="Q104" s="615"/>
      <c r="R104" s="615"/>
      <c r="S104" s="615"/>
      <c r="T104" s="615"/>
      <c r="U104" s="615"/>
      <c r="V104" s="615"/>
      <c r="W104" s="615"/>
      <c r="X104" s="615"/>
      <c r="Y104" s="615"/>
      <c r="Z104" s="615"/>
      <c r="AA104" s="615"/>
      <c r="AB104" s="615"/>
    </row>
    <row r="105" spans="1:30">
      <c r="A105" s="371"/>
      <c r="B105" t="s">
        <v>317</v>
      </c>
      <c r="K105" s="5">
        <f>K94*K87</f>
        <v>3435.7000000000003</v>
      </c>
      <c r="L105" s="5">
        <f t="shared" ref="L105:AB105" si="121">L94*L87</f>
        <v>5888.63</v>
      </c>
      <c r="M105" s="5">
        <f t="shared" si="121"/>
        <v>6651.6750000000002</v>
      </c>
      <c r="N105" s="5">
        <f t="shared" si="121"/>
        <v>6799.49</v>
      </c>
      <c r="O105" s="5">
        <f t="shared" si="121"/>
        <v>7135.07</v>
      </c>
      <c r="P105" s="5">
        <f t="shared" si="121"/>
        <v>7286.88</v>
      </c>
      <c r="Q105" s="5">
        <f t="shared" si="121"/>
        <v>7438.6900000000005</v>
      </c>
      <c r="R105" s="5">
        <f t="shared" si="121"/>
        <v>7590.5</v>
      </c>
      <c r="S105" s="5">
        <f t="shared" si="121"/>
        <v>7742.31</v>
      </c>
      <c r="T105" s="5">
        <f t="shared" si="121"/>
        <v>7894.12</v>
      </c>
      <c r="U105" s="5">
        <f t="shared" si="121"/>
        <v>8045.93</v>
      </c>
      <c r="V105" s="5">
        <f t="shared" si="121"/>
        <v>8197.74</v>
      </c>
      <c r="W105" s="5">
        <f>W94*W87</f>
        <v>8349.5499999999993</v>
      </c>
      <c r="X105" s="5">
        <f t="shared" si="121"/>
        <v>8501.36</v>
      </c>
      <c r="Y105" s="5">
        <f t="shared" si="121"/>
        <v>8653.17</v>
      </c>
      <c r="Z105" s="5">
        <f t="shared" si="121"/>
        <v>8804.98</v>
      </c>
      <c r="AA105" s="5">
        <f t="shared" si="121"/>
        <v>8956.7900000000009</v>
      </c>
      <c r="AB105" s="5">
        <f t="shared" si="121"/>
        <v>9108.6</v>
      </c>
    </row>
    <row r="106" spans="1:30">
      <c r="A106" s="371"/>
      <c r="B106" t="s">
        <v>295</v>
      </c>
      <c r="K106" s="5">
        <f>K98*K88*K102+K87*K94*K101</f>
        <v>25036.75</v>
      </c>
      <c r="L106" s="5">
        <f t="shared" ref="L106:U106" si="122">L98*L88*L102+L87*L94*L101</f>
        <v>37485.552499999998</v>
      </c>
      <c r="M106" s="5">
        <f t="shared" si="122"/>
        <v>41934.431250000001</v>
      </c>
      <c r="N106" s="5">
        <f t="shared" si="122"/>
        <v>43487.997499999998</v>
      </c>
      <c r="O106" s="5">
        <f t="shared" si="122"/>
        <v>45960.477499999994</v>
      </c>
      <c r="P106" s="5">
        <f t="shared" si="122"/>
        <v>47587.08</v>
      </c>
      <c r="Q106" s="5">
        <f t="shared" si="122"/>
        <v>48578.477500000008</v>
      </c>
      <c r="R106" s="5">
        <f t="shared" si="122"/>
        <v>49569.875</v>
      </c>
      <c r="S106" s="5">
        <f t="shared" si="122"/>
        <v>50561.272500000006</v>
      </c>
      <c r="T106" s="5">
        <f t="shared" si="122"/>
        <v>51552.67</v>
      </c>
      <c r="U106" s="5">
        <f t="shared" si="122"/>
        <v>52544.067500000005</v>
      </c>
      <c r="V106" s="5">
        <f t="shared" ref="V106:AB106" si="123">V98*V88*V102+V87*V94*V101</f>
        <v>53535.464999999997</v>
      </c>
      <c r="W106" s="5">
        <f t="shared" si="123"/>
        <v>54526.862499999996</v>
      </c>
      <c r="X106" s="5">
        <f t="shared" si="123"/>
        <v>55518.260000000009</v>
      </c>
      <c r="Y106" s="5">
        <f t="shared" si="123"/>
        <v>56509.657500000001</v>
      </c>
      <c r="Z106" s="5">
        <f t="shared" si="123"/>
        <v>57501.055</v>
      </c>
      <c r="AA106" s="5">
        <f t="shared" si="123"/>
        <v>58492.452499999999</v>
      </c>
      <c r="AB106" s="5">
        <f t="shared" si="123"/>
        <v>59483.85</v>
      </c>
    </row>
    <row r="107" spans="1:30" s="28" customFormat="1">
      <c r="A107" s="29"/>
      <c r="B107" s="27" t="s">
        <v>297</v>
      </c>
      <c r="K107" s="121">
        <v>6150</v>
      </c>
      <c r="L107" s="121">
        <f>K107*1.01</f>
        <v>6211.5</v>
      </c>
      <c r="M107" s="121">
        <f>L107*1.01</f>
        <v>6273.6149999999998</v>
      </c>
      <c r="N107" s="121">
        <f t="shared" ref="N107:V107" si="124">M107*1.01</f>
        <v>6336.3511499999995</v>
      </c>
      <c r="O107" s="121">
        <f t="shared" si="124"/>
        <v>6399.7146614999992</v>
      </c>
      <c r="P107" s="121">
        <f t="shared" si="124"/>
        <v>6463.7118081149993</v>
      </c>
      <c r="Q107" s="121">
        <f t="shared" si="124"/>
        <v>6528.3489261961495</v>
      </c>
      <c r="R107" s="121">
        <f t="shared" si="124"/>
        <v>6593.6324154581107</v>
      </c>
      <c r="S107" s="121">
        <f t="shared" si="124"/>
        <v>6659.5687396126923</v>
      </c>
      <c r="T107" s="121">
        <f t="shared" si="124"/>
        <v>6726.1644270088191</v>
      </c>
      <c r="U107" s="121">
        <f t="shared" si="124"/>
        <v>6793.4260712789073</v>
      </c>
      <c r="V107" s="121">
        <f t="shared" si="124"/>
        <v>6861.3603319916965</v>
      </c>
      <c r="W107" s="121">
        <f>V107*1.01</f>
        <v>6929.9739353116138</v>
      </c>
      <c r="X107" s="121">
        <f>W107*1.01</f>
        <v>6999.2736746647297</v>
      </c>
      <c r="Y107" s="765">
        <f>X107</f>
        <v>6999.2736746647297</v>
      </c>
      <c r="Z107" s="765">
        <f>Y107</f>
        <v>6999.2736746647297</v>
      </c>
      <c r="AA107" s="765">
        <f>Z107</f>
        <v>6999.2736746647297</v>
      </c>
      <c r="AB107" s="765">
        <f>AA107</f>
        <v>6999.2736746647297</v>
      </c>
    </row>
    <row r="108" spans="1:30">
      <c r="A108" s="371"/>
      <c r="B108" s="510" t="s">
        <v>318</v>
      </c>
      <c r="C108" s="510"/>
      <c r="D108" s="510"/>
      <c r="E108" s="510"/>
      <c r="F108" s="510"/>
      <c r="G108" s="510"/>
      <c r="H108" s="510"/>
      <c r="I108" s="510"/>
      <c r="J108" s="510"/>
      <c r="K108" s="512">
        <f>K107*K106/1000000</f>
        <v>153.9760125</v>
      </c>
      <c r="L108" s="512">
        <f t="shared" ref="L108:AB108" si="125">L107*L106/1000000</f>
        <v>232.84150935374998</v>
      </c>
      <c r="M108" s="512">
        <f t="shared" si="125"/>
        <v>263.08047690646873</v>
      </c>
      <c r="N108" s="512">
        <f t="shared" si="125"/>
        <v>275.55522297032206</v>
      </c>
      <c r="O108" s="512">
        <f t="shared" si="125"/>
        <v>294.13394170629078</v>
      </c>
      <c r="P108" s="512">
        <f t="shared" si="125"/>
        <v>307.58917090971318</v>
      </c>
      <c r="Q108" s="512">
        <f t="shared" si="125"/>
        <v>317.13725142336887</v>
      </c>
      <c r="R108" s="512">
        <f t="shared" si="125"/>
        <v>326.84553463020666</v>
      </c>
      <c r="S108" s="512">
        <f t="shared" si="125"/>
        <v>336.71626977603893</v>
      </c>
      <c r="T108" s="512">
        <f t="shared" si="125"/>
        <v>346.75173507132473</v>
      </c>
      <c r="U108" s="512">
        <f t="shared" si="125"/>
        <v>356.95423804553872</v>
      </c>
      <c r="V108" s="512">
        <f t="shared" si="125"/>
        <v>367.32611590572981</v>
      </c>
      <c r="W108" s="512">
        <f t="shared" si="125"/>
        <v>377.86973589932023</v>
      </c>
      <c r="X108" s="512">
        <f t="shared" si="125"/>
        <v>388.58749568119191</v>
      </c>
      <c r="Y108" s="512">
        <f t="shared" si="125"/>
        <v>395.52655810407032</v>
      </c>
      <c r="Z108" s="512">
        <f t="shared" si="125"/>
        <v>402.46562052694873</v>
      </c>
      <c r="AA108" s="512">
        <f t="shared" si="125"/>
        <v>409.40468294982713</v>
      </c>
      <c r="AB108" s="512">
        <f t="shared" si="125"/>
        <v>416.3437453727056</v>
      </c>
    </row>
    <row r="112" spans="1:30">
      <c r="B112" s="360" t="s">
        <v>914</v>
      </c>
      <c r="U112" s="130">
        <v>0.15</v>
      </c>
      <c r="V112" s="130">
        <f>U112*1.7</f>
        <v>0.255</v>
      </c>
      <c r="W112" s="130">
        <f>V112*1.5</f>
        <v>0.38250000000000001</v>
      </c>
      <c r="X112" s="130">
        <f>W112*1.3</f>
        <v>0.49725000000000003</v>
      </c>
      <c r="Y112" s="130">
        <f>X112*1.2</f>
        <v>0.59670000000000001</v>
      </c>
      <c r="Z112" s="130">
        <f>Y112*1.1</f>
        <v>0.65637000000000001</v>
      </c>
      <c r="AA112" s="130">
        <f>Z112</f>
        <v>0.65637000000000001</v>
      </c>
      <c r="AB112" s="130">
        <f>AA112</f>
        <v>0.65637000000000001</v>
      </c>
    </row>
    <row r="113" spans="2:28">
      <c r="B113" s="360" t="s">
        <v>915</v>
      </c>
      <c r="U113" s="130"/>
      <c r="V113" s="130"/>
      <c r="W113" s="130"/>
      <c r="X113" s="130"/>
      <c r="Y113" s="130">
        <v>0.1</v>
      </c>
      <c r="Z113" s="130">
        <f>Y113*1.5</f>
        <v>0.15000000000000002</v>
      </c>
      <c r="AA113" s="130">
        <f>Z113*1.5</f>
        <v>0.22500000000000003</v>
      </c>
      <c r="AB113" s="130">
        <f>AA113*1.5</f>
        <v>0.33750000000000002</v>
      </c>
    </row>
    <row r="225" spans="31:33" ht="13.5" thickBot="1"/>
    <row r="226" spans="31:33" ht="13.5" thickBot="1">
      <c r="AE226" s="35">
        <v>951.75</v>
      </c>
      <c r="AF226" s="34">
        <v>40973</v>
      </c>
      <c r="AG226" s="2">
        <f t="shared" ref="AG226:AG234" si="126">AE226/AE227-1</f>
        <v>9.9964980420870209E-3</v>
      </c>
    </row>
    <row r="227" spans="31:33" ht="13.5" thickBot="1">
      <c r="AE227" s="35">
        <v>942.33</v>
      </c>
      <c r="AF227" s="34">
        <v>40724</v>
      </c>
      <c r="AG227" s="2">
        <f t="shared" si="126"/>
        <v>1.0000000000000009E-2</v>
      </c>
    </row>
    <row r="228" spans="31:33" ht="13.5" thickBot="1">
      <c r="AE228" s="35">
        <v>933</v>
      </c>
      <c r="AF228" s="34">
        <v>40178</v>
      </c>
      <c r="AG228" s="2">
        <f t="shared" si="126"/>
        <v>9.7402597402598268E-3</v>
      </c>
    </row>
    <row r="229" spans="31:33" ht="13.5" thickBot="1">
      <c r="AE229" s="35">
        <v>924</v>
      </c>
      <c r="AF229" s="34">
        <v>40086</v>
      </c>
      <c r="AG229" s="2">
        <f t="shared" si="126"/>
        <v>1.0388190267905939E-2</v>
      </c>
    </row>
    <row r="230" spans="31:33" ht="13.5" thickBot="1">
      <c r="AE230" s="35">
        <v>914.5</v>
      </c>
      <c r="AF230" s="34">
        <v>39994</v>
      </c>
      <c r="AG230" s="2">
        <f t="shared" si="126"/>
        <v>1.2365359281768518E-2</v>
      </c>
    </row>
    <row r="231" spans="31:33" ht="13.5" thickBot="1">
      <c r="AE231" s="35">
        <v>903.33</v>
      </c>
      <c r="AF231" s="34">
        <v>39813</v>
      </c>
      <c r="AG231" s="2">
        <f t="shared" si="126"/>
        <v>1.9997290034100335E-2</v>
      </c>
    </row>
    <row r="232" spans="31:33" ht="13.5" thickBot="1">
      <c r="AE232" s="35">
        <v>885.62</v>
      </c>
      <c r="AF232" s="34">
        <v>39630</v>
      </c>
      <c r="AG232" s="2">
        <f t="shared" si="126"/>
        <v>1.5002349489415812E-2</v>
      </c>
    </row>
    <row r="233" spans="31:33" ht="13.5" thickBot="1">
      <c r="AE233" s="35">
        <v>872.53</v>
      </c>
      <c r="AF233" s="34">
        <v>39448</v>
      </c>
      <c r="AG233" s="2">
        <f t="shared" si="126"/>
        <v>1.4994648922804776E-2</v>
      </c>
    </row>
    <row r="234" spans="31:33" ht="13.5" thickBot="1">
      <c r="AE234" s="35">
        <v>859.64</v>
      </c>
      <c r="AF234" s="34">
        <v>38715</v>
      </c>
      <c r="AG234" s="2">
        <f t="shared" si="126"/>
        <v>8.0004020302527623E-2</v>
      </c>
    </row>
    <row r="235" spans="31:33" ht="13.5" thickBot="1">
      <c r="AE235" s="35">
        <v>795.96</v>
      </c>
      <c r="AF235" s="34">
        <v>38391</v>
      </c>
      <c r="AG235" s="2"/>
    </row>
    <row r="245" spans="10:10">
      <c r="J245">
        <v>933</v>
      </c>
    </row>
    <row r="246" spans="10:10">
      <c r="J246">
        <f>J245/100</f>
        <v>9.33</v>
      </c>
    </row>
  </sheetData>
  <mergeCells count="2">
    <mergeCell ref="G1:H1"/>
    <mergeCell ref="J1:L1"/>
  </mergeCells>
  <phoneticPr fontId="9" type="noConversion"/>
  <hyperlinks>
    <hyperlink ref="AD29" r:id="rId1"/>
    <hyperlink ref="AD34" r:id="rId2"/>
    <hyperlink ref="AD35" r:id="rId3"/>
    <hyperlink ref="AD41" r:id="rId4"/>
  </hyperlinks>
  <pageMargins left="0.75" right="0.75" top="1" bottom="1" header="0.5" footer="0.5"/>
  <pageSetup orientation="portrait" horizontalDpi="90" verticalDpi="90" r:id="rId5"/>
  <headerFooter alignWithMargins="0"/>
  <legacyDrawing r:id="rId6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S41"/>
  <sheetViews>
    <sheetView zoomScaleNormal="100" workbookViewId="0">
      <pane xSplit="2" topLeftCell="F1" activePane="topRight" state="frozen"/>
      <selection pane="topRight" activeCell="S36" sqref="S36"/>
    </sheetView>
  </sheetViews>
  <sheetFormatPr defaultRowHeight="12.75" outlineLevelRow="1"/>
  <cols>
    <col min="1" max="1" width="2.7109375" style="740" customWidth="1"/>
    <col min="2" max="2" width="36" style="740" bestFit="1" customWidth="1"/>
    <col min="3" max="3" width="2.7109375" style="740" customWidth="1"/>
    <col min="4" max="4" width="9.140625" style="740" customWidth="1"/>
    <col min="5" max="6" width="9.140625" style="740"/>
    <col min="7" max="7" width="9.140625" style="740" customWidth="1"/>
    <col min="8" max="16384" width="9.140625" style="740"/>
  </cols>
  <sheetData>
    <row r="1" spans="2:19">
      <c r="B1" s="739" t="s">
        <v>775</v>
      </c>
      <c r="D1" s="1244">
        <f>DCF!C25</f>
        <v>2</v>
      </c>
      <c r="E1" s="1244"/>
      <c r="G1" s="1245" t="s">
        <v>465</v>
      </c>
      <c r="H1" s="1245"/>
      <c r="I1" s="1245"/>
    </row>
    <row r="4" spans="2:19" s="741" customFormat="1" ht="13.5" thickBot="1">
      <c r="B4" s="737"/>
      <c r="C4" s="737"/>
      <c r="D4" s="738">
        <v>2015</v>
      </c>
      <c r="E4" s="738">
        <v>2016</v>
      </c>
      <c r="F4" s="738">
        <v>2017</v>
      </c>
      <c r="G4" s="738">
        <v>2018</v>
      </c>
      <c r="H4" s="738">
        <v>2019</v>
      </c>
      <c r="I4" s="738">
        <v>2020</v>
      </c>
      <c r="J4" s="738">
        <v>2021</v>
      </c>
      <c r="K4" s="738">
        <v>2022</v>
      </c>
      <c r="L4" s="738">
        <v>2023</v>
      </c>
      <c r="M4" s="738">
        <v>2024</v>
      </c>
      <c r="N4" s="738">
        <v>2025</v>
      </c>
      <c r="O4" s="738">
        <v>2026</v>
      </c>
      <c r="P4" s="738">
        <v>2027</v>
      </c>
      <c r="Q4" s="738">
        <v>2028</v>
      </c>
      <c r="R4" s="738">
        <v>2029</v>
      </c>
      <c r="S4" s="738">
        <v>2030</v>
      </c>
    </row>
    <row r="5" spans="2:19">
      <c r="B5" s="736" t="s">
        <v>789</v>
      </c>
      <c r="C5" s="736"/>
      <c r="D5" s="736"/>
      <c r="E5" s="736"/>
      <c r="F5" s="736"/>
      <c r="G5" s="736"/>
      <c r="H5" s="736"/>
      <c r="I5" s="736"/>
      <c r="J5" s="736"/>
      <c r="K5" s="736"/>
      <c r="L5" s="736"/>
      <c r="M5" s="736"/>
      <c r="N5" s="736"/>
      <c r="O5" s="736"/>
      <c r="P5" s="736"/>
      <c r="Q5" s="736"/>
      <c r="R5" s="736"/>
      <c r="S5" s="736"/>
    </row>
    <row r="7" spans="2:19">
      <c r="B7" s="742" t="s">
        <v>792</v>
      </c>
      <c r="D7" s="743">
        <v>318.94</v>
      </c>
      <c r="E7" s="743">
        <f>D7*(1+E8)</f>
        <v>321.17257999999998</v>
      </c>
      <c r="F7" s="743">
        <f t="shared" ref="F7:P7" si="0">E7*(1+F8)</f>
        <v>323.42078805999995</v>
      </c>
      <c r="G7" s="743">
        <f t="shared" si="0"/>
        <v>325.68473357641989</v>
      </c>
      <c r="H7" s="743">
        <f t="shared" si="0"/>
        <v>327.96452671145477</v>
      </c>
      <c r="I7" s="743">
        <f t="shared" si="0"/>
        <v>330.26027839843493</v>
      </c>
      <c r="J7" s="743">
        <f t="shared" si="0"/>
        <v>332.57210034722397</v>
      </c>
      <c r="K7" s="743">
        <f t="shared" si="0"/>
        <v>334.90010504965448</v>
      </c>
      <c r="L7" s="743">
        <f t="shared" si="0"/>
        <v>337.24440578500202</v>
      </c>
      <c r="M7" s="743">
        <f t="shared" si="0"/>
        <v>339.60511662549698</v>
      </c>
      <c r="N7" s="743">
        <f t="shared" si="0"/>
        <v>341.98235244187543</v>
      </c>
      <c r="O7" s="743">
        <f t="shared" si="0"/>
        <v>344.37622890896853</v>
      </c>
      <c r="P7" s="743">
        <f t="shared" si="0"/>
        <v>346.78686251133126</v>
      </c>
      <c r="Q7" s="743">
        <f>P7*(1+Q8)</f>
        <v>349.21437054891055</v>
      </c>
      <c r="R7" s="743">
        <f>Q7*(1+R8)</f>
        <v>351.6588711427529</v>
      </c>
      <c r="S7" s="743">
        <f>R7*(1+S8)</f>
        <v>354.12048324075215</v>
      </c>
    </row>
    <row r="8" spans="2:19" s="744" customFormat="1" ht="12">
      <c r="B8" s="744" t="s">
        <v>791</v>
      </c>
      <c r="D8" s="744">
        <v>7.0000000000000001E-3</v>
      </c>
      <c r="E8" s="744">
        <v>7.0000000000000001E-3</v>
      </c>
      <c r="F8" s="744">
        <v>7.0000000000000001E-3</v>
      </c>
      <c r="G8" s="744">
        <v>7.0000000000000001E-3</v>
      </c>
      <c r="H8" s="744">
        <v>7.0000000000000001E-3</v>
      </c>
      <c r="I8" s="744">
        <v>7.0000000000000001E-3</v>
      </c>
      <c r="J8" s="744">
        <v>7.0000000000000001E-3</v>
      </c>
      <c r="K8" s="744">
        <v>7.0000000000000001E-3</v>
      </c>
      <c r="L8" s="744">
        <v>7.0000000000000001E-3</v>
      </c>
      <c r="M8" s="744">
        <v>7.0000000000000001E-3</v>
      </c>
      <c r="N8" s="744">
        <v>7.0000000000000001E-3</v>
      </c>
      <c r="O8" s="744">
        <v>7.0000000000000001E-3</v>
      </c>
      <c r="P8" s="744">
        <v>7.0000000000000001E-3</v>
      </c>
      <c r="Q8" s="744">
        <v>7.0000000000000001E-3</v>
      </c>
      <c r="R8" s="744">
        <v>7.0000000000000001E-3</v>
      </c>
      <c r="S8" s="744">
        <v>7.0000000000000001E-3</v>
      </c>
    </row>
    <row r="9" spans="2:19" s="743" customFormat="1">
      <c r="B9" s="745" t="s">
        <v>790</v>
      </c>
      <c r="D9" s="743">
        <f>(201/100000)*D7*1000000</f>
        <v>641069.4</v>
      </c>
      <c r="E9" s="743">
        <f t="shared" ref="E9:S9" si="1">(201/100000)*E7*1000000</f>
        <v>645556.88580000005</v>
      </c>
      <c r="F9" s="743">
        <f t="shared" si="1"/>
        <v>650075.78400059999</v>
      </c>
      <c r="G9" s="743">
        <f t="shared" si="1"/>
        <v>654626.31448860397</v>
      </c>
      <c r="H9" s="743">
        <f t="shared" si="1"/>
        <v>659208.69869002409</v>
      </c>
      <c r="I9" s="743">
        <f t="shared" si="1"/>
        <v>663823.15958085423</v>
      </c>
      <c r="J9" s="743">
        <f t="shared" si="1"/>
        <v>668469.92169792019</v>
      </c>
      <c r="K9" s="743">
        <f t="shared" si="1"/>
        <v>673149.21114980557</v>
      </c>
      <c r="L9" s="743">
        <f t="shared" si="1"/>
        <v>677861.25562785403</v>
      </c>
      <c r="M9" s="743">
        <f t="shared" si="1"/>
        <v>682606.28441724891</v>
      </c>
      <c r="N9" s="743">
        <f t="shared" si="1"/>
        <v>687384.52840816963</v>
      </c>
      <c r="O9" s="743">
        <f t="shared" si="1"/>
        <v>692196.22010702675</v>
      </c>
      <c r="P9" s="743">
        <f t="shared" si="1"/>
        <v>697041.59364777582</v>
      </c>
      <c r="Q9" s="743">
        <f t="shared" si="1"/>
        <v>701920.88480331027</v>
      </c>
      <c r="R9" s="743">
        <f t="shared" si="1"/>
        <v>706834.33099693339</v>
      </c>
      <c r="S9" s="743">
        <f t="shared" si="1"/>
        <v>711782.17131391191</v>
      </c>
    </row>
    <row r="10" spans="2:19" s="743" customFormat="1" ht="7.5" customHeight="1">
      <c r="B10" s="745"/>
    </row>
    <row r="11" spans="2:19">
      <c r="B11" s="742" t="s">
        <v>803</v>
      </c>
      <c r="D11" s="746">
        <v>0.24</v>
      </c>
      <c r="E11" s="746">
        <v>0.24</v>
      </c>
      <c r="F11" s="746">
        <v>0.24</v>
      </c>
      <c r="G11" s="746">
        <v>0.24</v>
      </c>
      <c r="H11" s="746">
        <v>0.24</v>
      </c>
      <c r="I11" s="746">
        <v>0.24</v>
      </c>
      <c r="J11" s="746">
        <v>0.24</v>
      </c>
      <c r="K11" s="746">
        <v>0.24</v>
      </c>
      <c r="L11" s="746">
        <v>0.24</v>
      </c>
      <c r="M11" s="746">
        <v>0.24</v>
      </c>
      <c r="N11" s="746">
        <v>0.24</v>
      </c>
      <c r="O11" s="746">
        <v>0.24</v>
      </c>
      <c r="P11" s="746">
        <v>0.24</v>
      </c>
      <c r="Q11" s="746">
        <v>0.24</v>
      </c>
      <c r="R11" s="746">
        <v>0.24</v>
      </c>
      <c r="S11" s="746">
        <v>0.24</v>
      </c>
    </row>
    <row r="12" spans="2:19">
      <c r="B12" s="742" t="s">
        <v>804</v>
      </c>
      <c r="D12" s="746">
        <v>0.41</v>
      </c>
      <c r="E12" s="746">
        <v>0.41</v>
      </c>
      <c r="F12" s="746">
        <v>0.41</v>
      </c>
      <c r="G12" s="746">
        <v>0.41</v>
      </c>
      <c r="H12" s="746">
        <v>0.41</v>
      </c>
      <c r="I12" s="746">
        <v>0.41</v>
      </c>
      <c r="J12" s="746">
        <v>0.41</v>
      </c>
      <c r="K12" s="746">
        <v>0.41</v>
      </c>
      <c r="L12" s="746">
        <v>0.41</v>
      </c>
      <c r="M12" s="746">
        <v>0.41</v>
      </c>
      <c r="N12" s="746">
        <v>0.41</v>
      </c>
      <c r="O12" s="746">
        <v>0.41</v>
      </c>
      <c r="P12" s="746">
        <v>0.41</v>
      </c>
      <c r="Q12" s="746">
        <v>0.41</v>
      </c>
      <c r="R12" s="746">
        <v>0.41</v>
      </c>
      <c r="S12" s="746">
        <v>0.41</v>
      </c>
    </row>
    <row r="13" spans="2:19">
      <c r="B13" s="742" t="s">
        <v>805</v>
      </c>
      <c r="D13" s="746">
        <v>0.27</v>
      </c>
      <c r="E13" s="746">
        <v>0.27</v>
      </c>
      <c r="F13" s="746">
        <v>0.27</v>
      </c>
      <c r="G13" s="746">
        <v>0.27</v>
      </c>
      <c r="H13" s="746">
        <v>0.27</v>
      </c>
      <c r="I13" s="746">
        <v>0.27</v>
      </c>
      <c r="J13" s="746">
        <v>0.27</v>
      </c>
      <c r="K13" s="746">
        <v>0.27</v>
      </c>
      <c r="L13" s="746">
        <v>0.27</v>
      </c>
      <c r="M13" s="746">
        <v>0.27</v>
      </c>
      <c r="N13" s="746">
        <v>0.27</v>
      </c>
      <c r="O13" s="746">
        <v>0.27</v>
      </c>
      <c r="P13" s="746">
        <v>0.27</v>
      </c>
      <c r="Q13" s="746">
        <v>0.27</v>
      </c>
      <c r="R13" s="746">
        <v>0.27</v>
      </c>
      <c r="S13" s="746">
        <v>0.27</v>
      </c>
    </row>
    <row r="14" spans="2:19">
      <c r="B14" s="742" t="s">
        <v>806</v>
      </c>
      <c r="D14" s="746">
        <v>7.0000000000000007E-2</v>
      </c>
      <c r="E14" s="746">
        <v>7.0000000000000007E-2</v>
      </c>
      <c r="F14" s="746">
        <v>7.0000000000000007E-2</v>
      </c>
      <c r="G14" s="746">
        <v>7.0000000000000007E-2</v>
      </c>
      <c r="H14" s="746">
        <v>7.0000000000000007E-2</v>
      </c>
      <c r="I14" s="746">
        <v>7.0000000000000007E-2</v>
      </c>
      <c r="J14" s="746">
        <v>7.0000000000000007E-2</v>
      </c>
      <c r="K14" s="746">
        <v>7.0000000000000007E-2</v>
      </c>
      <c r="L14" s="746">
        <v>7.0000000000000007E-2</v>
      </c>
      <c r="M14" s="746">
        <v>7.0000000000000007E-2</v>
      </c>
      <c r="N14" s="746">
        <v>7.0000000000000007E-2</v>
      </c>
      <c r="O14" s="746">
        <v>7.0000000000000007E-2</v>
      </c>
      <c r="P14" s="746">
        <v>7.0000000000000007E-2</v>
      </c>
      <c r="Q14" s="746">
        <v>7.0000000000000007E-2</v>
      </c>
      <c r="R14" s="746">
        <v>7.0000000000000007E-2</v>
      </c>
      <c r="S14" s="746">
        <v>7.0000000000000007E-2</v>
      </c>
    </row>
    <row r="15" spans="2:19" ht="7.5" customHeight="1">
      <c r="B15" s="742"/>
      <c r="D15" s="746"/>
      <c r="E15" s="746"/>
      <c r="F15" s="746"/>
      <c r="G15" s="746"/>
      <c r="H15" s="746"/>
      <c r="I15" s="746"/>
      <c r="J15" s="746"/>
      <c r="K15" s="746"/>
      <c r="L15" s="746"/>
      <c r="M15" s="746"/>
      <c r="N15" s="746"/>
      <c r="O15" s="746"/>
      <c r="P15" s="746"/>
      <c r="Q15" s="746"/>
      <c r="R15" s="746"/>
      <c r="S15" s="746"/>
    </row>
    <row r="16" spans="2:19" s="743" customFormat="1">
      <c r="B16" s="745" t="s">
        <v>794</v>
      </c>
      <c r="D16" s="743">
        <f t="shared" ref="D16:S16" si="2">D11*D9</f>
        <v>153856.65599999999</v>
      </c>
      <c r="E16" s="743">
        <f t="shared" si="2"/>
        <v>154933.652592</v>
      </c>
      <c r="F16" s="743">
        <f t="shared" si="2"/>
        <v>156018.188160144</v>
      </c>
      <c r="G16" s="743">
        <f t="shared" si="2"/>
        <v>157110.31547726496</v>
      </c>
      <c r="H16" s="743">
        <f t="shared" si="2"/>
        <v>158210.08768560577</v>
      </c>
      <c r="I16" s="743">
        <f t="shared" si="2"/>
        <v>159317.55829940501</v>
      </c>
      <c r="J16" s="743">
        <f t="shared" si="2"/>
        <v>160432.78120750084</v>
      </c>
      <c r="K16" s="743">
        <f t="shared" si="2"/>
        <v>161555.81067595334</v>
      </c>
      <c r="L16" s="743">
        <f t="shared" si="2"/>
        <v>162686.70135068495</v>
      </c>
      <c r="M16" s="743">
        <f t="shared" si="2"/>
        <v>163825.50826013973</v>
      </c>
      <c r="N16" s="743">
        <f t="shared" si="2"/>
        <v>164972.2868179607</v>
      </c>
      <c r="O16" s="743">
        <f t="shared" si="2"/>
        <v>166127.09282568641</v>
      </c>
      <c r="P16" s="743">
        <f t="shared" si="2"/>
        <v>167289.98247546618</v>
      </c>
      <c r="Q16" s="743">
        <f t="shared" si="2"/>
        <v>168461.01235279447</v>
      </c>
      <c r="R16" s="743">
        <f t="shared" si="2"/>
        <v>169640.239439264</v>
      </c>
      <c r="S16" s="743">
        <f t="shared" si="2"/>
        <v>170827.72111533885</v>
      </c>
    </row>
    <row r="17" spans="1:19" s="743" customFormat="1">
      <c r="B17" s="745" t="s">
        <v>795</v>
      </c>
      <c r="D17" s="743">
        <f t="shared" ref="D17:S17" si="3">D12*D9</f>
        <v>262838.45399999997</v>
      </c>
      <c r="E17" s="743">
        <f t="shared" si="3"/>
        <v>264678.32317799999</v>
      </c>
      <c r="F17" s="743">
        <f t="shared" si="3"/>
        <v>266531.07144024596</v>
      </c>
      <c r="G17" s="743">
        <f t="shared" si="3"/>
        <v>268396.78894032759</v>
      </c>
      <c r="H17" s="743">
        <f t="shared" si="3"/>
        <v>270275.56646290986</v>
      </c>
      <c r="I17" s="743">
        <f t="shared" si="3"/>
        <v>272167.49542815023</v>
      </c>
      <c r="J17" s="743">
        <f t="shared" si="3"/>
        <v>274072.66789614724</v>
      </c>
      <c r="K17" s="743">
        <f t="shared" si="3"/>
        <v>275991.17657142028</v>
      </c>
      <c r="L17" s="743">
        <f t="shared" si="3"/>
        <v>277923.11480742012</v>
      </c>
      <c r="M17" s="743">
        <f t="shared" si="3"/>
        <v>279868.57661107206</v>
      </c>
      <c r="N17" s="743">
        <f t="shared" si="3"/>
        <v>281827.65664734953</v>
      </c>
      <c r="O17" s="743">
        <f t="shared" si="3"/>
        <v>283800.45024388097</v>
      </c>
      <c r="P17" s="743">
        <f t="shared" si="3"/>
        <v>285787.05339558807</v>
      </c>
      <c r="Q17" s="743">
        <f t="shared" si="3"/>
        <v>287787.56276935717</v>
      </c>
      <c r="R17" s="743">
        <f t="shared" si="3"/>
        <v>289802.07570874266</v>
      </c>
      <c r="S17" s="743">
        <f t="shared" si="3"/>
        <v>291830.69023870386</v>
      </c>
    </row>
    <row r="18" spans="1:19" s="743" customFormat="1">
      <c r="B18" s="745" t="s">
        <v>796</v>
      </c>
      <c r="D18" s="743">
        <f t="shared" ref="D18:S18" si="4">D13*D9</f>
        <v>173088.73800000001</v>
      </c>
      <c r="E18" s="743">
        <f t="shared" si="4"/>
        <v>174300.35916600004</v>
      </c>
      <c r="F18" s="743">
        <f t="shared" si="4"/>
        <v>175520.461680162</v>
      </c>
      <c r="G18" s="743">
        <f t="shared" si="4"/>
        <v>176749.10491192309</v>
      </c>
      <c r="H18" s="743">
        <f t="shared" si="4"/>
        <v>177986.34864630652</v>
      </c>
      <c r="I18" s="743">
        <f t="shared" si="4"/>
        <v>179232.25308683066</v>
      </c>
      <c r="J18" s="743">
        <f t="shared" si="4"/>
        <v>180486.87885843846</v>
      </c>
      <c r="K18" s="743">
        <f t="shared" si="4"/>
        <v>181750.28701044753</v>
      </c>
      <c r="L18" s="743">
        <f t="shared" si="4"/>
        <v>183022.5390195206</v>
      </c>
      <c r="M18" s="743">
        <f t="shared" si="4"/>
        <v>184303.69679265723</v>
      </c>
      <c r="N18" s="743">
        <f t="shared" si="4"/>
        <v>185593.82267020582</v>
      </c>
      <c r="O18" s="743">
        <f t="shared" si="4"/>
        <v>186892.97942889723</v>
      </c>
      <c r="P18" s="743">
        <f t="shared" si="4"/>
        <v>188201.23028489947</v>
      </c>
      <c r="Q18" s="743">
        <f t="shared" si="4"/>
        <v>189518.6388968938</v>
      </c>
      <c r="R18" s="743">
        <f t="shared" si="4"/>
        <v>190845.26936917202</v>
      </c>
      <c r="S18" s="743">
        <f t="shared" si="4"/>
        <v>192181.18625475623</v>
      </c>
    </row>
    <row r="19" spans="1:19" s="743" customFormat="1">
      <c r="B19" s="745" t="s">
        <v>802</v>
      </c>
      <c r="D19" s="743">
        <f t="shared" ref="D19:S19" si="5">D14*D9</f>
        <v>44874.858000000007</v>
      </c>
      <c r="E19" s="743">
        <f t="shared" si="5"/>
        <v>45188.982006000006</v>
      </c>
      <c r="F19" s="743">
        <f t="shared" si="5"/>
        <v>45505.304880042</v>
      </c>
      <c r="G19" s="743">
        <f t="shared" si="5"/>
        <v>45823.842014202281</v>
      </c>
      <c r="H19" s="743">
        <f t="shared" si="5"/>
        <v>46144.608908301692</v>
      </c>
      <c r="I19" s="743">
        <f t="shared" si="5"/>
        <v>46467.621170659804</v>
      </c>
      <c r="J19" s="743">
        <f t="shared" si="5"/>
        <v>46792.894518854417</v>
      </c>
      <c r="K19" s="743">
        <f t="shared" si="5"/>
        <v>47120.444780486396</v>
      </c>
      <c r="L19" s="743">
        <f t="shared" si="5"/>
        <v>47450.28789394979</v>
      </c>
      <c r="M19" s="743">
        <f t="shared" si="5"/>
        <v>47782.439909207431</v>
      </c>
      <c r="N19" s="743">
        <f t="shared" si="5"/>
        <v>48116.91698857188</v>
      </c>
      <c r="O19" s="743">
        <f t="shared" si="5"/>
        <v>48453.735407491877</v>
      </c>
      <c r="P19" s="743">
        <f t="shared" si="5"/>
        <v>48792.911555344312</v>
      </c>
      <c r="Q19" s="743">
        <f t="shared" si="5"/>
        <v>49134.461936231724</v>
      </c>
      <c r="R19" s="743">
        <f t="shared" si="5"/>
        <v>49478.403169785342</v>
      </c>
      <c r="S19" s="743">
        <f t="shared" si="5"/>
        <v>49824.751991973841</v>
      </c>
    </row>
    <row r="21" spans="1:19">
      <c r="B21" s="735" t="s">
        <v>793</v>
      </c>
      <c r="C21" s="734"/>
      <c r="D21" s="734"/>
      <c r="E21" s="734"/>
      <c r="F21" s="734"/>
      <c r="G21" s="734"/>
      <c r="H21" s="734"/>
      <c r="I21" s="734"/>
      <c r="J21" s="734"/>
      <c r="K21" s="734"/>
      <c r="L21" s="734"/>
      <c r="M21" s="734"/>
      <c r="N21" s="734"/>
      <c r="O21" s="734"/>
      <c r="P21" s="734"/>
      <c r="Q21" s="734"/>
      <c r="R21" s="734"/>
      <c r="S21" s="734"/>
    </row>
    <row r="23" spans="1:19" s="746" customFormat="1" outlineLevel="1">
      <c r="B23" s="733" t="s">
        <v>463</v>
      </c>
      <c r="C23" s="733"/>
      <c r="D23" s="733">
        <v>0</v>
      </c>
      <c r="E23" s="733">
        <v>0</v>
      </c>
      <c r="F23" s="733">
        <v>0</v>
      </c>
      <c r="G23" s="733">
        <v>0</v>
      </c>
      <c r="H23" s="797">
        <v>0</v>
      </c>
      <c r="I23" s="733">
        <f>H23</f>
        <v>0</v>
      </c>
      <c r="J23" s="733">
        <f t="shared" ref="J23:S23" si="6">I23</f>
        <v>0</v>
      </c>
      <c r="K23" s="733">
        <f t="shared" si="6"/>
        <v>0</v>
      </c>
      <c r="L23" s="733">
        <f t="shared" si="6"/>
        <v>0</v>
      </c>
      <c r="M23" s="733">
        <f t="shared" si="6"/>
        <v>0</v>
      </c>
      <c r="N23" s="733">
        <f t="shared" si="6"/>
        <v>0</v>
      </c>
      <c r="O23" s="733">
        <f t="shared" si="6"/>
        <v>0</v>
      </c>
      <c r="P23" s="733">
        <f t="shared" si="6"/>
        <v>0</v>
      </c>
      <c r="Q23" s="733">
        <f t="shared" si="6"/>
        <v>0</v>
      </c>
      <c r="R23" s="733">
        <f t="shared" si="6"/>
        <v>0</v>
      </c>
      <c r="S23" s="733">
        <f t="shared" si="6"/>
        <v>0</v>
      </c>
    </row>
    <row r="24" spans="1:19" s="746" customFormat="1" outlineLevel="1">
      <c r="B24" s="733" t="s">
        <v>464</v>
      </c>
      <c r="C24" s="733"/>
      <c r="D24" s="733">
        <v>0</v>
      </c>
      <c r="E24" s="733">
        <v>0</v>
      </c>
      <c r="F24" s="733">
        <v>0</v>
      </c>
      <c r="G24" s="733">
        <v>0</v>
      </c>
      <c r="H24" s="797">
        <v>0</v>
      </c>
      <c r="I24" s="733">
        <f t="shared" ref="I24:S25" si="7">H24</f>
        <v>0</v>
      </c>
      <c r="J24" s="733">
        <f t="shared" si="7"/>
        <v>0</v>
      </c>
      <c r="K24" s="733">
        <f t="shared" si="7"/>
        <v>0</v>
      </c>
      <c r="L24" s="733">
        <f t="shared" si="7"/>
        <v>0</v>
      </c>
      <c r="M24" s="733">
        <f t="shared" si="7"/>
        <v>0</v>
      </c>
      <c r="N24" s="733">
        <f t="shared" si="7"/>
        <v>0</v>
      </c>
      <c r="O24" s="733">
        <f t="shared" si="7"/>
        <v>0</v>
      </c>
      <c r="P24" s="733">
        <f t="shared" si="7"/>
        <v>0</v>
      </c>
      <c r="Q24" s="733">
        <f t="shared" si="7"/>
        <v>0</v>
      </c>
      <c r="R24" s="733">
        <f t="shared" si="7"/>
        <v>0</v>
      </c>
      <c r="S24" s="733">
        <f t="shared" si="7"/>
        <v>0</v>
      </c>
    </row>
    <row r="25" spans="1:19" s="746" customFormat="1" outlineLevel="1">
      <c r="B25" s="733" t="s">
        <v>462</v>
      </c>
      <c r="C25" s="733"/>
      <c r="D25" s="733">
        <v>0</v>
      </c>
      <c r="E25" s="733">
        <v>0</v>
      </c>
      <c r="F25" s="733">
        <v>0</v>
      </c>
      <c r="G25" s="733">
        <v>0</v>
      </c>
      <c r="H25" s="797">
        <v>0</v>
      </c>
      <c r="I25" s="733">
        <f t="shared" si="7"/>
        <v>0</v>
      </c>
      <c r="J25" s="733">
        <f t="shared" si="7"/>
        <v>0</v>
      </c>
      <c r="K25" s="733">
        <f t="shared" si="7"/>
        <v>0</v>
      </c>
      <c r="L25" s="733">
        <f t="shared" si="7"/>
        <v>0</v>
      </c>
      <c r="M25" s="733">
        <f t="shared" si="7"/>
        <v>0</v>
      </c>
      <c r="N25" s="733">
        <f t="shared" si="7"/>
        <v>0</v>
      </c>
      <c r="O25" s="733">
        <f t="shared" si="7"/>
        <v>0</v>
      </c>
      <c r="P25" s="733">
        <f t="shared" si="7"/>
        <v>0</v>
      </c>
      <c r="Q25" s="733">
        <f t="shared" si="7"/>
        <v>0</v>
      </c>
      <c r="R25" s="733">
        <f t="shared" si="7"/>
        <v>0</v>
      </c>
      <c r="S25" s="733">
        <f t="shared" si="7"/>
        <v>0</v>
      </c>
    </row>
    <row r="26" spans="1:19" s="746" customFormat="1">
      <c r="A26" s="747" t="s">
        <v>78</v>
      </c>
      <c r="B26" s="733" t="s">
        <v>797</v>
      </c>
      <c r="C26" s="733"/>
      <c r="D26" s="733">
        <f>CHOOSE($D$1,D23,D24,D25)</f>
        <v>0</v>
      </c>
      <c r="E26" s="733">
        <f t="shared" ref="E26:P26" si="8">CHOOSE($D$1,E23,E24,E25)</f>
        <v>0</v>
      </c>
      <c r="F26" s="733">
        <f t="shared" si="8"/>
        <v>0</v>
      </c>
      <c r="G26" s="733">
        <f t="shared" si="8"/>
        <v>0</v>
      </c>
      <c r="H26" s="733">
        <f t="shared" si="8"/>
        <v>0</v>
      </c>
      <c r="I26" s="733">
        <f t="shared" si="8"/>
        <v>0</v>
      </c>
      <c r="J26" s="733">
        <f t="shared" si="8"/>
        <v>0</v>
      </c>
      <c r="K26" s="733">
        <f t="shared" si="8"/>
        <v>0</v>
      </c>
      <c r="L26" s="733">
        <f t="shared" si="8"/>
        <v>0</v>
      </c>
      <c r="M26" s="733">
        <f t="shared" si="8"/>
        <v>0</v>
      </c>
      <c r="N26" s="733">
        <f t="shared" si="8"/>
        <v>0</v>
      </c>
      <c r="O26" s="733">
        <f t="shared" si="8"/>
        <v>0</v>
      </c>
      <c r="P26" s="733">
        <f t="shared" si="8"/>
        <v>0</v>
      </c>
      <c r="Q26" s="733">
        <f>CHOOSE($D$1,Q23,Q24,Q25)</f>
        <v>0</v>
      </c>
      <c r="R26" s="733">
        <f>CHOOSE($D$1,R23,R24,R25)</f>
        <v>0</v>
      </c>
      <c r="S26" s="733">
        <f>CHOOSE($D$1,S23,S24,S25)</f>
        <v>0</v>
      </c>
    </row>
    <row r="27" spans="1:19" s="743" customFormat="1">
      <c r="B27" s="745" t="s">
        <v>801</v>
      </c>
      <c r="G27" s="743">
        <f>G26*G19</f>
        <v>0</v>
      </c>
      <c r="H27" s="743">
        <f t="shared" ref="H27:S27" si="9">H26*H19</f>
        <v>0</v>
      </c>
      <c r="I27" s="743">
        <f t="shared" si="9"/>
        <v>0</v>
      </c>
      <c r="J27" s="743">
        <f t="shared" si="9"/>
        <v>0</v>
      </c>
      <c r="K27" s="743">
        <f t="shared" si="9"/>
        <v>0</v>
      </c>
      <c r="L27" s="743">
        <f t="shared" si="9"/>
        <v>0</v>
      </c>
      <c r="M27" s="743">
        <f t="shared" si="9"/>
        <v>0</v>
      </c>
      <c r="N27" s="743">
        <f t="shared" si="9"/>
        <v>0</v>
      </c>
      <c r="O27" s="743">
        <f t="shared" si="9"/>
        <v>0</v>
      </c>
      <c r="P27" s="743">
        <f t="shared" si="9"/>
        <v>0</v>
      </c>
      <c r="Q27" s="743">
        <f t="shared" si="9"/>
        <v>0</v>
      </c>
      <c r="R27" s="743">
        <f t="shared" si="9"/>
        <v>0</v>
      </c>
      <c r="S27" s="743">
        <f t="shared" si="9"/>
        <v>0</v>
      </c>
    </row>
    <row r="29" spans="1:19">
      <c r="B29" s="735" t="s">
        <v>314</v>
      </c>
      <c r="C29" s="735"/>
      <c r="D29" s="735"/>
      <c r="E29" s="735"/>
      <c r="F29" s="735"/>
      <c r="G29" s="735"/>
      <c r="H29" s="735"/>
      <c r="I29" s="735"/>
      <c r="J29" s="735"/>
      <c r="K29" s="735"/>
      <c r="L29" s="735"/>
      <c r="M29" s="735"/>
      <c r="N29" s="735"/>
      <c r="O29" s="735"/>
      <c r="P29" s="735"/>
      <c r="Q29" s="735"/>
      <c r="R29" s="735"/>
      <c r="S29" s="735"/>
    </row>
    <row r="31" spans="1:19" s="748" customFormat="1">
      <c r="B31" s="749" t="s">
        <v>798</v>
      </c>
      <c r="G31" s="750">
        <f>((928.24*(180/2.2)*(5/2))/100)*12*(1.05^3)*1.25</f>
        <v>32969.265238636362</v>
      </c>
      <c r="H31" s="750">
        <f>((928.24*(180/2.2)*(5/2))/100)*12*(1.05^3)*1.25</f>
        <v>32969.265238636362</v>
      </c>
      <c r="I31" s="748">
        <f>H31*(1+I32)</f>
        <v>33793.49686960227</v>
      </c>
      <c r="J31" s="748">
        <f t="shared" ref="J31:P31" si="10">I31*(1+J32)</f>
        <v>34638.334291342326</v>
      </c>
      <c r="K31" s="748">
        <f t="shared" si="10"/>
        <v>35504.29264862588</v>
      </c>
      <c r="L31" s="748">
        <f t="shared" si="10"/>
        <v>36391.899964841527</v>
      </c>
      <c r="M31" s="748">
        <f t="shared" si="10"/>
        <v>37301.697463962562</v>
      </c>
      <c r="N31" s="748">
        <f t="shared" si="10"/>
        <v>38234.239900561624</v>
      </c>
      <c r="O31" s="748">
        <f t="shared" si="10"/>
        <v>39190.095898075662</v>
      </c>
      <c r="P31" s="748">
        <f t="shared" si="10"/>
        <v>40169.848295527547</v>
      </c>
      <c r="Q31" s="748">
        <f>P31*(1+Q32)</f>
        <v>41174.09450291573</v>
      </c>
      <c r="R31" s="748">
        <f>Q31*(1+R32)</f>
        <v>42203.446865488622</v>
      </c>
      <c r="S31" s="748">
        <f>R31*(1+S32)</f>
        <v>43258.533037125831</v>
      </c>
    </row>
    <row r="32" spans="1:19" s="751" customFormat="1">
      <c r="B32" s="751" t="s">
        <v>800</v>
      </c>
      <c r="E32" s="752"/>
      <c r="F32" s="752"/>
      <c r="G32" s="752"/>
      <c r="H32" s="753">
        <v>2.5000000000000001E-2</v>
      </c>
      <c r="I32" s="752">
        <f t="shared" ref="I32:O32" si="11">H32</f>
        <v>2.5000000000000001E-2</v>
      </c>
      <c r="J32" s="752">
        <f t="shared" si="11"/>
        <v>2.5000000000000001E-2</v>
      </c>
      <c r="K32" s="752">
        <f t="shared" si="11"/>
        <v>2.5000000000000001E-2</v>
      </c>
      <c r="L32" s="752">
        <f t="shared" si="11"/>
        <v>2.5000000000000001E-2</v>
      </c>
      <c r="M32" s="752">
        <f t="shared" si="11"/>
        <v>2.5000000000000001E-2</v>
      </c>
      <c r="N32" s="752">
        <f t="shared" si="11"/>
        <v>2.5000000000000001E-2</v>
      </c>
      <c r="O32" s="752">
        <f t="shared" si="11"/>
        <v>2.5000000000000001E-2</v>
      </c>
      <c r="P32" s="752">
        <f>O32</f>
        <v>2.5000000000000001E-2</v>
      </c>
      <c r="Q32" s="752">
        <f>P32</f>
        <v>2.5000000000000001E-2</v>
      </c>
      <c r="R32" s="752">
        <f>Q32</f>
        <v>2.5000000000000001E-2</v>
      </c>
      <c r="S32" s="752">
        <f>R32</f>
        <v>2.5000000000000001E-2</v>
      </c>
    </row>
    <row r="33" spans="2:19" s="751" customFormat="1">
      <c r="E33" s="753"/>
      <c r="F33" s="752"/>
      <c r="G33" s="752"/>
      <c r="H33" s="752"/>
      <c r="I33" s="752"/>
      <c r="J33" s="752"/>
      <c r="K33" s="752"/>
      <c r="L33" s="752"/>
      <c r="M33" s="752"/>
      <c r="N33" s="752"/>
      <c r="O33" s="752"/>
      <c r="P33" s="752"/>
      <c r="Q33" s="752"/>
      <c r="R33" s="752"/>
      <c r="S33" s="752"/>
    </row>
    <row r="34" spans="2:19" s="751" customFormat="1">
      <c r="B34" s="898" t="s">
        <v>988</v>
      </c>
      <c r="C34" s="899"/>
      <c r="D34" s="899"/>
      <c r="E34" s="900"/>
      <c r="F34" s="901"/>
      <c r="G34" s="903">
        <v>0</v>
      </c>
      <c r="H34" s="904">
        <f>G34</f>
        <v>0</v>
      </c>
      <c r="I34" s="904">
        <f t="shared" ref="I34:S34" si="12">H34</f>
        <v>0</v>
      </c>
      <c r="J34" s="904">
        <f t="shared" si="12"/>
        <v>0</v>
      </c>
      <c r="K34" s="904">
        <f t="shared" si="12"/>
        <v>0</v>
      </c>
      <c r="L34" s="904">
        <f t="shared" si="12"/>
        <v>0</v>
      </c>
      <c r="M34" s="904">
        <f t="shared" si="12"/>
        <v>0</v>
      </c>
      <c r="N34" s="904">
        <f t="shared" si="12"/>
        <v>0</v>
      </c>
      <c r="O34" s="904">
        <f t="shared" si="12"/>
        <v>0</v>
      </c>
      <c r="P34" s="904">
        <f t="shared" si="12"/>
        <v>0</v>
      </c>
      <c r="Q34" s="904">
        <f t="shared" si="12"/>
        <v>0</v>
      </c>
      <c r="R34" s="904">
        <f t="shared" si="12"/>
        <v>0</v>
      </c>
      <c r="S34" s="904">
        <f t="shared" si="12"/>
        <v>0</v>
      </c>
    </row>
    <row r="35" spans="2:19" s="754" customFormat="1">
      <c r="B35" s="897" t="s">
        <v>989</v>
      </c>
      <c r="C35" s="897"/>
      <c r="D35" s="897"/>
      <c r="E35" s="897"/>
      <c r="F35" s="897"/>
      <c r="G35" s="902">
        <f>G27*G31/1000000</f>
        <v>0</v>
      </c>
      <c r="H35" s="902">
        <f t="shared" ref="H35:S35" si="13">H27*H31/1000000</f>
        <v>0</v>
      </c>
      <c r="I35" s="902">
        <f t="shared" si="13"/>
        <v>0</v>
      </c>
      <c r="J35" s="902">
        <f t="shared" si="13"/>
        <v>0</v>
      </c>
      <c r="K35" s="902">
        <f t="shared" si="13"/>
        <v>0</v>
      </c>
      <c r="L35" s="902">
        <f t="shared" si="13"/>
        <v>0</v>
      </c>
      <c r="M35" s="902">
        <f t="shared" si="13"/>
        <v>0</v>
      </c>
      <c r="N35" s="902">
        <f t="shared" si="13"/>
        <v>0</v>
      </c>
      <c r="O35" s="902">
        <f t="shared" si="13"/>
        <v>0</v>
      </c>
      <c r="P35" s="902">
        <f t="shared" si="13"/>
        <v>0</v>
      </c>
      <c r="Q35" s="902">
        <f t="shared" si="13"/>
        <v>0</v>
      </c>
      <c r="R35" s="902">
        <f t="shared" si="13"/>
        <v>0</v>
      </c>
      <c r="S35" s="902">
        <f t="shared" si="13"/>
        <v>0</v>
      </c>
    </row>
    <row r="36" spans="2:19" ht="13.5" thickBot="1">
      <c r="B36" s="905" t="s">
        <v>799</v>
      </c>
      <c r="C36" s="905"/>
      <c r="D36" s="905"/>
      <c r="E36" s="905"/>
      <c r="F36" s="905"/>
      <c r="G36" s="906">
        <f>CHOOSE($F$40,G34,G35)</f>
        <v>0</v>
      </c>
      <c r="H36" s="906">
        <f t="shared" ref="H36:S36" si="14">CHOOSE($F$40,H34,H35)</f>
        <v>0</v>
      </c>
      <c r="I36" s="906">
        <f t="shared" si="14"/>
        <v>0</v>
      </c>
      <c r="J36" s="906">
        <f t="shared" si="14"/>
        <v>0</v>
      </c>
      <c r="K36" s="906">
        <f t="shared" si="14"/>
        <v>0</v>
      </c>
      <c r="L36" s="906">
        <f t="shared" si="14"/>
        <v>0</v>
      </c>
      <c r="M36" s="906">
        <f t="shared" si="14"/>
        <v>0</v>
      </c>
      <c r="N36" s="906">
        <f t="shared" si="14"/>
        <v>0</v>
      </c>
      <c r="O36" s="906">
        <f t="shared" si="14"/>
        <v>0</v>
      </c>
      <c r="P36" s="906">
        <f t="shared" si="14"/>
        <v>0</v>
      </c>
      <c r="Q36" s="906">
        <f t="shared" si="14"/>
        <v>0</v>
      </c>
      <c r="R36" s="906">
        <f t="shared" si="14"/>
        <v>0</v>
      </c>
      <c r="S36" s="906">
        <f t="shared" si="14"/>
        <v>0</v>
      </c>
    </row>
    <row r="37" spans="2:19" ht="13.5" thickTop="1">
      <c r="H37" s="742"/>
    </row>
    <row r="38" spans="2:19">
      <c r="H38" s="742"/>
    </row>
    <row r="39" spans="2:19" ht="13.5" thickBot="1">
      <c r="D39" s="739" t="s">
        <v>987</v>
      </c>
      <c r="H39" s="742"/>
    </row>
    <row r="40" spans="2:19">
      <c r="D40" s="885" t="s">
        <v>776</v>
      </c>
      <c r="E40" s="886"/>
      <c r="F40" s="895">
        <f>DCF!$C$40</f>
        <v>2</v>
      </c>
      <c r="G40" s="887">
        <v>1</v>
      </c>
      <c r="H40" s="888" t="s">
        <v>985</v>
      </c>
      <c r="I40" s="886"/>
      <c r="J40" s="889"/>
    </row>
    <row r="41" spans="2:19" ht="13.5" thickBot="1">
      <c r="D41" s="896"/>
      <c r="E41" s="891"/>
      <c r="F41" s="892"/>
      <c r="G41" s="892">
        <v>2</v>
      </c>
      <c r="H41" s="893" t="s">
        <v>986</v>
      </c>
      <c r="I41" s="891"/>
      <c r="J41" s="894"/>
    </row>
  </sheetData>
  <mergeCells count="2">
    <mergeCell ref="D1:E1"/>
    <mergeCell ref="G1:I1"/>
  </mergeCell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"/>
  <sheetViews>
    <sheetView showGridLines="0" workbookViewId="0">
      <selection activeCell="G43" sqref="G43"/>
    </sheetView>
  </sheetViews>
  <sheetFormatPr defaultRowHeight="12.75"/>
  <sheetData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3:P35"/>
  <sheetViews>
    <sheetView zoomScale="90" zoomScaleNormal="90" workbookViewId="0">
      <selection activeCell="P7" sqref="P7"/>
    </sheetView>
  </sheetViews>
  <sheetFormatPr defaultRowHeight="12.75" outlineLevelRow="1"/>
  <cols>
    <col min="1" max="1" width="9.140625" style="987"/>
    <col min="2" max="2" width="30.42578125" style="987" customWidth="1"/>
    <col min="3" max="16" width="10.7109375" style="987" customWidth="1"/>
    <col min="17" max="16384" width="9.140625" style="987"/>
  </cols>
  <sheetData>
    <row r="3" spans="1:16" ht="15" customHeight="1">
      <c r="B3" s="988"/>
      <c r="C3" s="1224">
        <v>2017</v>
      </c>
      <c r="D3" s="989">
        <f>C3+1</f>
        <v>2018</v>
      </c>
      <c r="E3" s="989">
        <f t="shared" ref="E3:P3" si="0">D3+1</f>
        <v>2019</v>
      </c>
      <c r="F3" s="989">
        <f t="shared" si="0"/>
        <v>2020</v>
      </c>
      <c r="G3" s="989">
        <f t="shared" si="0"/>
        <v>2021</v>
      </c>
      <c r="H3" s="989">
        <f t="shared" si="0"/>
        <v>2022</v>
      </c>
      <c r="I3" s="989">
        <f t="shared" si="0"/>
        <v>2023</v>
      </c>
      <c r="J3" s="989">
        <f t="shared" si="0"/>
        <v>2024</v>
      </c>
      <c r="K3" s="989">
        <f t="shared" si="0"/>
        <v>2025</v>
      </c>
      <c r="L3" s="989">
        <f t="shared" si="0"/>
        <v>2026</v>
      </c>
      <c r="M3" s="989">
        <f t="shared" si="0"/>
        <v>2027</v>
      </c>
      <c r="N3" s="989">
        <f t="shared" si="0"/>
        <v>2028</v>
      </c>
      <c r="O3" s="989">
        <f t="shared" si="0"/>
        <v>2029</v>
      </c>
      <c r="P3" s="989">
        <f t="shared" si="0"/>
        <v>2030</v>
      </c>
    </row>
    <row r="4" spans="1:16" ht="15" customHeight="1">
      <c r="B4" s="1225" t="s">
        <v>463</v>
      </c>
      <c r="C4" s="1221">
        <v>0</v>
      </c>
      <c r="D4" s="991">
        <f>C4</f>
        <v>0</v>
      </c>
      <c r="E4" s="991">
        <f>D4</f>
        <v>0</v>
      </c>
      <c r="F4" s="991">
        <v>82.897044558297765</v>
      </c>
      <c r="G4" s="991">
        <v>171.310031370941</v>
      </c>
      <c r="H4" s="991">
        <v>415.67664486692826</v>
      </c>
      <c r="I4" s="991">
        <v>920.83775891562482</v>
      </c>
      <c r="J4" s="991">
        <v>1284.2860736966809</v>
      </c>
      <c r="K4" s="991">
        <v>1788.5767555443169</v>
      </c>
      <c r="L4" s="991">
        <v>2891.6268506865372</v>
      </c>
      <c r="M4" s="991">
        <v>4008.9461819869848</v>
      </c>
      <c r="N4" s="991">
        <v>4633.5102971454617</v>
      </c>
      <c r="O4" s="991">
        <v>5277.426289200157</v>
      </c>
      <c r="P4" s="991">
        <v>6016.9943130061374</v>
      </c>
    </row>
    <row r="5" spans="1:16" ht="15" customHeight="1">
      <c r="B5" s="1225" t="s">
        <v>464</v>
      </c>
      <c r="C5" s="1221">
        <v>0</v>
      </c>
      <c r="D5" s="991">
        <f t="shared" ref="D5:E6" si="1">C5</f>
        <v>0</v>
      </c>
      <c r="E5" s="991">
        <f t="shared" si="1"/>
        <v>0</v>
      </c>
      <c r="F5" s="991">
        <v>47.993025796909237</v>
      </c>
      <c r="G5" s="991">
        <v>187.91903718252809</v>
      </c>
      <c r="H5" s="991">
        <v>378.70128822377296</v>
      </c>
      <c r="I5" s="991">
        <v>779.09075802838913</v>
      </c>
      <c r="J5" s="991">
        <v>1097.944406772074</v>
      </c>
      <c r="K5" s="991">
        <v>1459.8949210967971</v>
      </c>
      <c r="L5" s="991">
        <v>1836.5937695617486</v>
      </c>
      <c r="M5" s="991">
        <v>2138.9814456550394</v>
      </c>
      <c r="N5" s="991">
        <v>2314.2098911436747</v>
      </c>
      <c r="O5" s="991">
        <v>2385.5440216153102</v>
      </c>
      <c r="P5" s="991">
        <v>2452.7542257959949</v>
      </c>
    </row>
    <row r="6" spans="1:16" ht="15" customHeight="1">
      <c r="B6" s="1225" t="s">
        <v>462</v>
      </c>
      <c r="C6" s="1221">
        <v>0</v>
      </c>
      <c r="D6" s="991">
        <f t="shared" si="1"/>
        <v>0</v>
      </c>
      <c r="E6" s="991">
        <f t="shared" si="1"/>
        <v>0</v>
      </c>
      <c r="F6" s="991">
        <v>0</v>
      </c>
      <c r="G6" s="991">
        <v>0</v>
      </c>
      <c r="H6" s="991">
        <v>0</v>
      </c>
      <c r="I6" s="991">
        <v>0</v>
      </c>
      <c r="J6" s="991">
        <v>0</v>
      </c>
      <c r="K6" s="991">
        <v>0</v>
      </c>
      <c r="L6" s="991">
        <v>0</v>
      </c>
      <c r="M6" s="991">
        <v>0</v>
      </c>
      <c r="N6" s="991">
        <v>0</v>
      </c>
      <c r="O6" s="991">
        <v>0</v>
      </c>
      <c r="P6" s="991">
        <v>0</v>
      </c>
    </row>
    <row r="7" spans="1:16" ht="15" customHeight="1">
      <c r="A7" s="1003" t="s">
        <v>78</v>
      </c>
      <c r="B7" s="1004" t="s">
        <v>1026</v>
      </c>
      <c r="C7" s="1001">
        <f>CHOOSE(DCF!$C$25,'BCMA CAR-T'!C4,'BCMA CAR-T'!C5,'BCMA CAR-T'!C6)</f>
        <v>0</v>
      </c>
      <c r="D7" s="1001">
        <f>CHOOSE(DCF!$C$25,'BCMA CAR-T'!D4,'BCMA CAR-T'!D5,'BCMA CAR-T'!D6)</f>
        <v>0</v>
      </c>
      <c r="E7" s="1001">
        <f>CHOOSE(DCF!$C$25,'BCMA CAR-T'!E4,'BCMA CAR-T'!E5,'BCMA CAR-T'!E6)</f>
        <v>0</v>
      </c>
      <c r="F7" s="1001">
        <f>CHOOSE(DCF!$C$25,'BCMA CAR-T'!F4,'BCMA CAR-T'!F5,'BCMA CAR-T'!F6)</f>
        <v>47.993025796909237</v>
      </c>
      <c r="G7" s="1001">
        <f>CHOOSE(DCF!$C$25,'BCMA CAR-T'!G4,'BCMA CAR-T'!G5,'BCMA CAR-T'!G6)</f>
        <v>187.91903718252809</v>
      </c>
      <c r="H7" s="1001">
        <f>CHOOSE(DCF!$C$25,'BCMA CAR-T'!H4,'BCMA CAR-T'!H5,'BCMA CAR-T'!H6)</f>
        <v>378.70128822377296</v>
      </c>
      <c r="I7" s="1001">
        <f>CHOOSE(DCF!$C$25,'BCMA CAR-T'!I4,'BCMA CAR-T'!I5,'BCMA CAR-T'!I6)</f>
        <v>779.09075802838913</v>
      </c>
      <c r="J7" s="1001">
        <f>CHOOSE(DCF!$C$25,'BCMA CAR-T'!J4,'BCMA CAR-T'!J5,'BCMA CAR-T'!J6)</f>
        <v>1097.944406772074</v>
      </c>
      <c r="K7" s="1001">
        <f>CHOOSE(DCF!$C$25,'BCMA CAR-T'!K4,'BCMA CAR-T'!K5,'BCMA CAR-T'!K6)</f>
        <v>1459.8949210967971</v>
      </c>
      <c r="L7" s="1001">
        <f>CHOOSE(DCF!$C$25,'BCMA CAR-T'!L4,'BCMA CAR-T'!L5,'BCMA CAR-T'!L6)</f>
        <v>1836.5937695617486</v>
      </c>
      <c r="M7" s="1001">
        <f>CHOOSE(DCF!$C$25,'BCMA CAR-T'!M4,'BCMA CAR-T'!M5,'BCMA CAR-T'!M6)</f>
        <v>2138.9814456550394</v>
      </c>
      <c r="N7" s="1001">
        <f>CHOOSE(DCF!$C$25,'BCMA CAR-T'!N4,'BCMA CAR-T'!N5,'BCMA CAR-T'!N6)</f>
        <v>2314.2098911436747</v>
      </c>
      <c r="O7" s="1001">
        <f>CHOOSE(DCF!$C$25,'BCMA CAR-T'!O4,'BCMA CAR-T'!O5,'BCMA CAR-T'!O6)</f>
        <v>2385.5440216153102</v>
      </c>
      <c r="P7" s="1001">
        <f>CHOOSE(DCF!$C$25,'BCMA CAR-T'!P4,'BCMA CAR-T'!P5,'BCMA CAR-T'!P6)</f>
        <v>2452.7542257959949</v>
      </c>
    </row>
    <row r="8" spans="1:16" ht="15" customHeight="1"/>
    <row r="9" spans="1:16" ht="15" customHeight="1" outlineLevel="1">
      <c r="B9" s="998" t="s">
        <v>1028</v>
      </c>
      <c r="C9" s="999">
        <v>0</v>
      </c>
      <c r="D9" s="1000">
        <f>C9</f>
        <v>0</v>
      </c>
      <c r="E9" s="1000">
        <f t="shared" ref="E9:P9" si="2">D9</f>
        <v>0</v>
      </c>
      <c r="F9" s="1000">
        <f t="shared" si="2"/>
        <v>0</v>
      </c>
      <c r="G9" s="999">
        <v>0.25</v>
      </c>
      <c r="H9" s="1000">
        <f t="shared" si="2"/>
        <v>0.25</v>
      </c>
      <c r="I9" s="1000">
        <f t="shared" si="2"/>
        <v>0.25</v>
      </c>
      <c r="J9" s="1000">
        <f t="shared" si="2"/>
        <v>0.25</v>
      </c>
      <c r="K9" s="1000">
        <f t="shared" si="2"/>
        <v>0.25</v>
      </c>
      <c r="L9" s="1000">
        <f t="shared" si="2"/>
        <v>0.25</v>
      </c>
      <c r="M9" s="1000">
        <f t="shared" si="2"/>
        <v>0.25</v>
      </c>
      <c r="N9" s="1000">
        <f t="shared" si="2"/>
        <v>0.25</v>
      </c>
      <c r="O9" s="1000">
        <f t="shared" si="2"/>
        <v>0.25</v>
      </c>
      <c r="P9" s="1000">
        <f t="shared" si="2"/>
        <v>0.25</v>
      </c>
    </row>
    <row r="10" spans="1:16" ht="15" customHeight="1">
      <c r="A10" s="1003" t="s">
        <v>78</v>
      </c>
      <c r="B10" s="1004" t="s">
        <v>1027</v>
      </c>
      <c r="C10" s="1001">
        <f>C9*C7</f>
        <v>0</v>
      </c>
      <c r="D10" s="1001">
        <f t="shared" ref="D10:F10" si="3">D9*D7</f>
        <v>0</v>
      </c>
      <c r="E10" s="1001">
        <f t="shared" si="3"/>
        <v>0</v>
      </c>
      <c r="F10" s="1001">
        <f t="shared" si="3"/>
        <v>0</v>
      </c>
      <c r="G10" s="1001">
        <f>G9*F7</f>
        <v>11.998256449227309</v>
      </c>
      <c r="H10" s="1001">
        <f t="shared" ref="H10:P10" si="4">H9*G7</f>
        <v>46.979759295632022</v>
      </c>
      <c r="I10" s="1001">
        <f t="shared" si="4"/>
        <v>94.675322055943241</v>
      </c>
      <c r="J10" s="1001">
        <f t="shared" si="4"/>
        <v>194.77268950709728</v>
      </c>
      <c r="K10" s="1001">
        <f t="shared" si="4"/>
        <v>274.4861016930185</v>
      </c>
      <c r="L10" s="1001">
        <f t="shared" si="4"/>
        <v>364.97373027419928</v>
      </c>
      <c r="M10" s="1001">
        <f t="shared" si="4"/>
        <v>459.14844239043714</v>
      </c>
      <c r="N10" s="1001">
        <f t="shared" si="4"/>
        <v>534.74536141375984</v>
      </c>
      <c r="O10" s="1001">
        <f t="shared" si="4"/>
        <v>578.55247278591867</v>
      </c>
      <c r="P10" s="1001">
        <f t="shared" si="4"/>
        <v>596.38600540382754</v>
      </c>
    </row>
    <row r="11" spans="1:16" ht="15" customHeight="1" thickBot="1"/>
    <row r="12" spans="1:16" ht="15" customHeight="1" thickBot="1">
      <c r="A12" s="1003" t="s">
        <v>78</v>
      </c>
      <c r="B12" s="1002" t="s">
        <v>1029</v>
      </c>
      <c r="C12" s="996">
        <f>C10+C7</f>
        <v>0</v>
      </c>
      <c r="D12" s="996">
        <f t="shared" ref="D12:P12" si="5">D10+D7</f>
        <v>0</v>
      </c>
      <c r="E12" s="996">
        <f t="shared" si="5"/>
        <v>0</v>
      </c>
      <c r="F12" s="996">
        <f t="shared" si="5"/>
        <v>47.993025796909237</v>
      </c>
      <c r="G12" s="996">
        <f t="shared" si="5"/>
        <v>199.9172936317554</v>
      </c>
      <c r="H12" s="996">
        <f t="shared" si="5"/>
        <v>425.68104751940496</v>
      </c>
      <c r="I12" s="996">
        <f t="shared" si="5"/>
        <v>873.76608008433232</v>
      </c>
      <c r="J12" s="996">
        <f t="shared" si="5"/>
        <v>1292.7170962791713</v>
      </c>
      <c r="K12" s="996">
        <f t="shared" si="5"/>
        <v>1734.3810227898157</v>
      </c>
      <c r="L12" s="996">
        <f t="shared" si="5"/>
        <v>2201.5674998359477</v>
      </c>
      <c r="M12" s="996">
        <f t="shared" si="5"/>
        <v>2598.1298880454765</v>
      </c>
      <c r="N12" s="996">
        <f t="shared" si="5"/>
        <v>2848.9552525574345</v>
      </c>
      <c r="O12" s="996">
        <f t="shared" si="5"/>
        <v>2964.0964944012289</v>
      </c>
      <c r="P12" s="997">
        <f t="shared" si="5"/>
        <v>3049.1402311998227</v>
      </c>
    </row>
    <row r="13" spans="1:16" ht="15" customHeight="1"/>
    <row r="14" spans="1:16" ht="15" customHeight="1">
      <c r="B14" s="1005" t="s">
        <v>1039</v>
      </c>
    </row>
    <row r="15" spans="1:16" ht="15" customHeight="1">
      <c r="B15" s="998" t="s">
        <v>1031</v>
      </c>
      <c r="C15" s="1000">
        <v>0</v>
      </c>
      <c r="D15" s="1000">
        <v>0</v>
      </c>
      <c r="E15" s="1000">
        <v>0</v>
      </c>
      <c r="F15" s="1000">
        <v>0.3</v>
      </c>
      <c r="G15" s="1000">
        <v>0.28499999999999998</v>
      </c>
      <c r="H15" s="1000">
        <v>0.27074999999999999</v>
      </c>
      <c r="I15" s="1000">
        <v>0.25721249999999996</v>
      </c>
      <c r="J15" s="1000">
        <v>0.24435187499999994</v>
      </c>
      <c r="K15" s="1000">
        <v>0.23213428124999994</v>
      </c>
      <c r="L15" s="1000">
        <v>0.22052756718749994</v>
      </c>
      <c r="M15" s="1000">
        <v>0.22052756718749994</v>
      </c>
      <c r="N15" s="1000">
        <v>0.22052756718749994</v>
      </c>
      <c r="O15" s="1000">
        <v>0.22052756718749994</v>
      </c>
      <c r="P15" s="1000">
        <v>0.22052756718749994</v>
      </c>
    </row>
    <row r="16" spans="1:16" ht="15" customHeight="1">
      <c r="B16" s="990" t="s">
        <v>1030</v>
      </c>
      <c r="C16" s="991">
        <f>C15*C7</f>
        <v>0</v>
      </c>
      <c r="D16" s="991">
        <f t="shared" ref="D16:P16" si="6">D15*D7</f>
        <v>0</v>
      </c>
      <c r="E16" s="991">
        <f t="shared" si="6"/>
        <v>0</v>
      </c>
      <c r="F16" s="991">
        <f t="shared" si="6"/>
        <v>14.397907739072771</v>
      </c>
      <c r="G16" s="991">
        <f t="shared" si="6"/>
        <v>53.556925597020502</v>
      </c>
      <c r="H16" s="991">
        <f t="shared" si="6"/>
        <v>102.53337378658652</v>
      </c>
      <c r="I16" s="991">
        <f t="shared" si="6"/>
        <v>200.391881599377</v>
      </c>
      <c r="J16" s="991">
        <f t="shared" si="6"/>
        <v>268.2847744405189</v>
      </c>
      <c r="K16" s="991">
        <f t="shared" si="6"/>
        <v>338.89165820933039</v>
      </c>
      <c r="L16" s="991">
        <f t="shared" si="6"/>
        <v>405.01955591317227</v>
      </c>
      <c r="M16" s="991">
        <f t="shared" si="6"/>
        <v>471.70437446950746</v>
      </c>
      <c r="N16" s="991">
        <f t="shared" si="6"/>
        <v>510.34707725516364</v>
      </c>
      <c r="O16" s="991">
        <f t="shared" si="6"/>
        <v>526.07821950550908</v>
      </c>
      <c r="P16" s="991">
        <f t="shared" si="6"/>
        <v>540.89992232365069</v>
      </c>
    </row>
    <row r="17" spans="1:16" ht="15" customHeight="1">
      <c r="B17" s="998" t="s">
        <v>1032</v>
      </c>
      <c r="C17" s="1000">
        <v>0</v>
      </c>
      <c r="D17" s="1000">
        <f>C17</f>
        <v>0</v>
      </c>
      <c r="E17" s="1000">
        <f>D17</f>
        <v>0</v>
      </c>
      <c r="F17" s="999">
        <v>1.5</v>
      </c>
      <c r="G17" s="999">
        <v>0.5</v>
      </c>
      <c r="H17" s="999">
        <v>0.3</v>
      </c>
      <c r="I17" s="999">
        <v>0.25</v>
      </c>
      <c r="J17" s="999">
        <v>0.2</v>
      </c>
      <c r="K17" s="999">
        <v>0.15</v>
      </c>
      <c r="L17" s="999">
        <v>0.1</v>
      </c>
      <c r="M17" s="1000">
        <f>L17</f>
        <v>0.1</v>
      </c>
      <c r="N17" s="1000">
        <f t="shared" ref="N17:P17" si="7">M17</f>
        <v>0.1</v>
      </c>
      <c r="O17" s="1000">
        <f t="shared" si="7"/>
        <v>0.1</v>
      </c>
      <c r="P17" s="1000">
        <f t="shared" si="7"/>
        <v>0.1</v>
      </c>
    </row>
    <row r="18" spans="1:16" ht="15" customHeight="1">
      <c r="B18" s="990" t="s">
        <v>1033</v>
      </c>
      <c r="C18" s="991">
        <v>0</v>
      </c>
      <c r="D18" s="991">
        <f>C18</f>
        <v>0</v>
      </c>
      <c r="E18" s="991">
        <f>D18</f>
        <v>0</v>
      </c>
      <c r="F18" s="991">
        <f>F17*F7</f>
        <v>71.989538695363848</v>
      </c>
      <c r="G18" s="991">
        <f t="shared" ref="G18:P18" si="8">G17*G7</f>
        <v>93.959518591264043</v>
      </c>
      <c r="H18" s="991">
        <f t="shared" si="8"/>
        <v>113.61038646713189</v>
      </c>
      <c r="I18" s="991">
        <f t="shared" si="8"/>
        <v>194.77268950709728</v>
      </c>
      <c r="J18" s="991">
        <f t="shared" si="8"/>
        <v>219.58888135441481</v>
      </c>
      <c r="K18" s="991">
        <f t="shared" si="8"/>
        <v>218.98423816451955</v>
      </c>
      <c r="L18" s="991">
        <f t="shared" si="8"/>
        <v>183.65937695617487</v>
      </c>
      <c r="M18" s="991">
        <f t="shared" si="8"/>
        <v>213.89814456550394</v>
      </c>
      <c r="N18" s="991">
        <f t="shared" si="8"/>
        <v>231.42098911436747</v>
      </c>
      <c r="O18" s="991">
        <f t="shared" si="8"/>
        <v>238.55440216153102</v>
      </c>
      <c r="P18" s="991">
        <f t="shared" si="8"/>
        <v>245.27542257959951</v>
      </c>
    </row>
    <row r="19" spans="1:16" ht="15" customHeight="1">
      <c r="B19" s="992" t="s">
        <v>1034</v>
      </c>
      <c r="C19" s="993">
        <f>C7-C16-C18</f>
        <v>0</v>
      </c>
      <c r="D19" s="993">
        <f t="shared" ref="D19:P19" si="9">D7-D16-D18</f>
        <v>0</v>
      </c>
      <c r="E19" s="993">
        <f t="shared" si="9"/>
        <v>0</v>
      </c>
      <c r="F19" s="993">
        <f t="shared" si="9"/>
        <v>-38.394420637527382</v>
      </c>
      <c r="G19" s="993">
        <f t="shared" si="9"/>
        <v>40.402592994243548</v>
      </c>
      <c r="H19" s="993">
        <f t="shared" si="9"/>
        <v>162.55752797005454</v>
      </c>
      <c r="I19" s="993">
        <f t="shared" si="9"/>
        <v>383.92618692191479</v>
      </c>
      <c r="J19" s="993">
        <f t="shared" si="9"/>
        <v>610.07075097714028</v>
      </c>
      <c r="K19" s="993">
        <f t="shared" si="9"/>
        <v>902.01902472294717</v>
      </c>
      <c r="L19" s="993">
        <f t="shared" si="9"/>
        <v>1247.9148366924014</v>
      </c>
      <c r="M19" s="993">
        <f t="shared" si="9"/>
        <v>1453.3789266200279</v>
      </c>
      <c r="N19" s="993">
        <f t="shared" si="9"/>
        <v>1572.4418247741435</v>
      </c>
      <c r="O19" s="993">
        <f t="shared" si="9"/>
        <v>1620.9113999482702</v>
      </c>
      <c r="P19" s="993">
        <f t="shared" si="9"/>
        <v>1666.5788808927448</v>
      </c>
    </row>
    <row r="20" spans="1:16" ht="15" customHeight="1">
      <c r="B20" s="998" t="s">
        <v>1035</v>
      </c>
      <c r="C20" s="1000">
        <f>IF(C19&gt;0,0.35,0)</f>
        <v>0</v>
      </c>
      <c r="D20" s="1000">
        <f t="shared" ref="D20:P20" si="10">IF(D19&gt;0,0.35,0)</f>
        <v>0</v>
      </c>
      <c r="E20" s="1000">
        <f t="shared" si="10"/>
        <v>0</v>
      </c>
      <c r="F20" s="1000">
        <f t="shared" si="10"/>
        <v>0</v>
      </c>
      <c r="G20" s="1000">
        <f t="shared" si="10"/>
        <v>0.35</v>
      </c>
      <c r="H20" s="1000">
        <f t="shared" si="10"/>
        <v>0.35</v>
      </c>
      <c r="I20" s="1000">
        <f t="shared" si="10"/>
        <v>0.35</v>
      </c>
      <c r="J20" s="1000">
        <f t="shared" si="10"/>
        <v>0.35</v>
      </c>
      <c r="K20" s="1000">
        <f t="shared" si="10"/>
        <v>0.35</v>
      </c>
      <c r="L20" s="1000">
        <f t="shared" si="10"/>
        <v>0.35</v>
      </c>
      <c r="M20" s="1000">
        <f t="shared" si="10"/>
        <v>0.35</v>
      </c>
      <c r="N20" s="1000">
        <f t="shared" si="10"/>
        <v>0.35</v>
      </c>
      <c r="O20" s="1000">
        <f t="shared" si="10"/>
        <v>0.35</v>
      </c>
      <c r="P20" s="1000">
        <f t="shared" si="10"/>
        <v>0.35</v>
      </c>
    </row>
    <row r="21" spans="1:16" ht="15" customHeight="1">
      <c r="B21" s="992" t="s">
        <v>1036</v>
      </c>
      <c r="C21" s="993">
        <f>C19*(1-C20)</f>
        <v>0</v>
      </c>
      <c r="D21" s="993">
        <f t="shared" ref="D21:P21" si="11">D19*(1-D20)</f>
        <v>0</v>
      </c>
      <c r="E21" s="993">
        <f t="shared" si="11"/>
        <v>0</v>
      </c>
      <c r="F21" s="993">
        <f t="shared" si="11"/>
        <v>-38.394420637527382</v>
      </c>
      <c r="G21" s="993">
        <f t="shared" si="11"/>
        <v>26.261685446258308</v>
      </c>
      <c r="H21" s="993">
        <f t="shared" si="11"/>
        <v>105.66239318053545</v>
      </c>
      <c r="I21" s="993">
        <f t="shared" si="11"/>
        <v>249.55202149924463</v>
      </c>
      <c r="J21" s="993">
        <f t="shared" si="11"/>
        <v>396.54598813514122</v>
      </c>
      <c r="K21" s="993">
        <f t="shared" si="11"/>
        <v>586.3123660699157</v>
      </c>
      <c r="L21" s="993">
        <f t="shared" si="11"/>
        <v>811.1446438500609</v>
      </c>
      <c r="M21" s="993">
        <f t="shared" si="11"/>
        <v>944.69630230301811</v>
      </c>
      <c r="N21" s="993">
        <f t="shared" si="11"/>
        <v>1022.0871861031933</v>
      </c>
      <c r="O21" s="993">
        <f t="shared" si="11"/>
        <v>1053.5924099663757</v>
      </c>
      <c r="P21" s="993">
        <f t="shared" si="11"/>
        <v>1083.2762725802841</v>
      </c>
    </row>
    <row r="22" spans="1:16" ht="15" customHeight="1" thickBot="1">
      <c r="B22" s="998" t="s">
        <v>1037</v>
      </c>
      <c r="C22" s="999">
        <v>0.5</v>
      </c>
      <c r="D22" s="1000">
        <f>C22</f>
        <v>0.5</v>
      </c>
      <c r="E22" s="1000">
        <f t="shared" ref="E22:P22" si="12">D22</f>
        <v>0.5</v>
      </c>
      <c r="F22" s="1000">
        <f t="shared" si="12"/>
        <v>0.5</v>
      </c>
      <c r="G22" s="1000">
        <f t="shared" si="12"/>
        <v>0.5</v>
      </c>
      <c r="H22" s="1000">
        <f t="shared" si="12"/>
        <v>0.5</v>
      </c>
      <c r="I22" s="1000">
        <f t="shared" si="12"/>
        <v>0.5</v>
      </c>
      <c r="J22" s="1000">
        <f t="shared" si="12"/>
        <v>0.5</v>
      </c>
      <c r="K22" s="1000">
        <f t="shared" si="12"/>
        <v>0.5</v>
      </c>
      <c r="L22" s="1000">
        <f t="shared" si="12"/>
        <v>0.5</v>
      </c>
      <c r="M22" s="1000">
        <f t="shared" si="12"/>
        <v>0.5</v>
      </c>
      <c r="N22" s="1000">
        <f t="shared" si="12"/>
        <v>0.5</v>
      </c>
      <c r="O22" s="1000">
        <f t="shared" si="12"/>
        <v>0.5</v>
      </c>
      <c r="P22" s="1000">
        <f t="shared" si="12"/>
        <v>0.5</v>
      </c>
    </row>
    <row r="23" spans="1:16" ht="15" customHeight="1" thickBot="1">
      <c r="A23" s="1003" t="s">
        <v>78</v>
      </c>
      <c r="B23" s="995" t="s">
        <v>1038</v>
      </c>
      <c r="C23" s="996">
        <f>C22*C21</f>
        <v>0</v>
      </c>
      <c r="D23" s="996">
        <f t="shared" ref="D23:P23" si="13">D22*D21</f>
        <v>0</v>
      </c>
      <c r="E23" s="996">
        <f t="shared" si="13"/>
        <v>0</v>
      </c>
      <c r="F23" s="996">
        <f t="shared" si="13"/>
        <v>-19.197210318763691</v>
      </c>
      <c r="G23" s="996">
        <f t="shared" si="13"/>
        <v>13.130842723129154</v>
      </c>
      <c r="H23" s="996">
        <f t="shared" si="13"/>
        <v>52.831196590267723</v>
      </c>
      <c r="I23" s="996">
        <f t="shared" si="13"/>
        <v>124.77601074962232</v>
      </c>
      <c r="J23" s="996">
        <f t="shared" si="13"/>
        <v>198.27299406757061</v>
      </c>
      <c r="K23" s="996">
        <f t="shared" si="13"/>
        <v>293.15618303495785</v>
      </c>
      <c r="L23" s="996">
        <f t="shared" si="13"/>
        <v>405.57232192503045</v>
      </c>
      <c r="M23" s="996">
        <f t="shared" si="13"/>
        <v>472.34815115150906</v>
      </c>
      <c r="N23" s="996">
        <f t="shared" si="13"/>
        <v>511.04359305159664</v>
      </c>
      <c r="O23" s="996">
        <f t="shared" si="13"/>
        <v>526.79620498318786</v>
      </c>
      <c r="P23" s="997">
        <f t="shared" si="13"/>
        <v>541.63813629014203</v>
      </c>
    </row>
    <row r="24" spans="1:16" ht="15" customHeight="1"/>
    <row r="25" spans="1:16" ht="15" customHeight="1">
      <c r="B25" s="1005" t="s">
        <v>1040</v>
      </c>
    </row>
    <row r="26" spans="1:16" ht="15" customHeight="1">
      <c r="B26" s="998" t="s">
        <v>1041</v>
      </c>
      <c r="C26" s="994">
        <v>0</v>
      </c>
      <c r="D26" s="994">
        <f>C26</f>
        <v>0</v>
      </c>
      <c r="E26" s="994">
        <f>D26</f>
        <v>0</v>
      </c>
      <c r="F26" s="1006">
        <v>0.05</v>
      </c>
      <c r="G26" s="994">
        <f>F26</f>
        <v>0.05</v>
      </c>
      <c r="H26" s="994">
        <f>G26</f>
        <v>0.05</v>
      </c>
      <c r="I26" s="1008">
        <v>7.4999999999999997E-2</v>
      </c>
      <c r="J26" s="1007">
        <f>I26</f>
        <v>7.4999999999999997E-2</v>
      </c>
      <c r="K26" s="1007">
        <f>J26</f>
        <v>7.4999999999999997E-2</v>
      </c>
      <c r="L26" s="1006">
        <v>0.1</v>
      </c>
      <c r="M26" s="994">
        <f>L26</f>
        <v>0.1</v>
      </c>
      <c r="N26" s="994">
        <f>M26</f>
        <v>0.1</v>
      </c>
      <c r="O26" s="1008">
        <v>0.125</v>
      </c>
      <c r="P26" s="1007">
        <f>O26</f>
        <v>0.125</v>
      </c>
    </row>
    <row r="27" spans="1:16" ht="15" customHeight="1">
      <c r="A27" s="1003" t="s">
        <v>78</v>
      </c>
      <c r="B27" s="990" t="s">
        <v>1042</v>
      </c>
      <c r="C27" s="991">
        <f>C26*C10</f>
        <v>0</v>
      </c>
      <c r="D27" s="991">
        <f t="shared" ref="D27:P27" si="14">D26*D10</f>
        <v>0</v>
      </c>
      <c r="E27" s="991">
        <f t="shared" si="14"/>
        <v>0</v>
      </c>
      <c r="F27" s="991">
        <f t="shared" si="14"/>
        <v>0</v>
      </c>
      <c r="G27" s="991">
        <f t="shared" si="14"/>
        <v>0.59991282246136546</v>
      </c>
      <c r="H27" s="991">
        <f t="shared" si="14"/>
        <v>2.348987964781601</v>
      </c>
      <c r="I27" s="991">
        <f t="shared" si="14"/>
        <v>7.1006491541957431</v>
      </c>
      <c r="J27" s="991">
        <f t="shared" si="14"/>
        <v>14.607951713032296</v>
      </c>
      <c r="K27" s="991">
        <f t="shared" si="14"/>
        <v>20.586457626976387</v>
      </c>
      <c r="L27" s="991">
        <f t="shared" si="14"/>
        <v>36.497373027419933</v>
      </c>
      <c r="M27" s="991">
        <f t="shared" si="14"/>
        <v>45.914844239043717</v>
      </c>
      <c r="N27" s="991">
        <f t="shared" si="14"/>
        <v>53.474536141375985</v>
      </c>
      <c r="O27" s="991">
        <f t="shared" si="14"/>
        <v>72.319059098239833</v>
      </c>
      <c r="P27" s="991">
        <f t="shared" si="14"/>
        <v>74.548250675478442</v>
      </c>
    </row>
    <row r="28" spans="1:16" ht="15" customHeight="1"/>
    <row r="29" spans="1:16" ht="15" customHeight="1"/>
    <row r="30" spans="1:16" ht="15" customHeight="1"/>
    <row r="31" spans="1:16" ht="15" customHeight="1"/>
    <row r="32" spans="1:16" ht="15" customHeight="1"/>
    <row r="33" ht="15" customHeight="1"/>
    <row r="34" ht="15" customHeight="1"/>
    <row r="35" ht="15" customHeight="1"/>
  </sheetData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FF00"/>
  </sheetPr>
  <dimension ref="A1"/>
  <sheetViews>
    <sheetView showGridLines="0" zoomScaleNormal="100" workbookViewId="0"/>
  </sheetViews>
  <sheetFormatPr defaultRowHeight="12.75"/>
  <sheetData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Z18"/>
  <sheetViews>
    <sheetView zoomScaleNormal="100" workbookViewId="0">
      <pane xSplit="2" ySplit="2" topLeftCell="K3" activePane="bottomRight" state="frozen"/>
      <selection pane="topRight" activeCell="C1" sqref="C1"/>
      <selection pane="bottomLeft" activeCell="A3" sqref="A3"/>
      <selection pane="bottomRight" activeCell="X13" sqref="X13"/>
    </sheetView>
  </sheetViews>
  <sheetFormatPr defaultRowHeight="12.75" outlineLevelRow="1"/>
  <cols>
    <col min="1" max="1" width="2.140625" style="801" customWidth="1"/>
    <col min="2" max="2" width="29.28515625" style="801" customWidth="1"/>
    <col min="3" max="24" width="8.7109375" style="801" customWidth="1"/>
    <col min="25" max="25" width="3" style="801" customWidth="1"/>
    <col min="26" max="26" width="8.7109375" style="801" customWidth="1"/>
    <col min="27" max="16384" width="9.140625" style="801"/>
  </cols>
  <sheetData>
    <row r="1" spans="1:26">
      <c r="C1" s="809"/>
      <c r="D1" s="809"/>
      <c r="E1" s="809"/>
      <c r="F1" s="809"/>
      <c r="G1" s="809"/>
      <c r="H1" s="809"/>
      <c r="I1" s="809"/>
      <c r="J1" s="809"/>
      <c r="K1" s="809"/>
      <c r="L1" s="809"/>
      <c r="M1" s="809"/>
      <c r="N1" s="809"/>
      <c r="O1" s="809"/>
      <c r="P1" s="809"/>
      <c r="Q1" s="809"/>
      <c r="R1" s="809"/>
      <c r="S1" s="809"/>
      <c r="T1" s="809"/>
      <c r="U1" s="809"/>
      <c r="V1" s="809"/>
      <c r="W1" s="809"/>
      <c r="X1" s="809"/>
    </row>
    <row r="2" spans="1:26">
      <c r="B2" s="804" t="s">
        <v>938</v>
      </c>
      <c r="C2" s="947">
        <v>2009</v>
      </c>
      <c r="D2" s="947">
        <f>C2+1</f>
        <v>2010</v>
      </c>
      <c r="E2" s="947">
        <f t="shared" ref="E2:H2" si="0">D2+1</f>
        <v>2011</v>
      </c>
      <c r="F2" s="947">
        <f t="shared" si="0"/>
        <v>2012</v>
      </c>
      <c r="G2" s="947">
        <f t="shared" si="0"/>
        <v>2013</v>
      </c>
      <c r="H2" s="947">
        <f t="shared" si="0"/>
        <v>2014</v>
      </c>
      <c r="I2" s="948">
        <f>H2+1</f>
        <v>2015</v>
      </c>
      <c r="J2" s="948">
        <f t="shared" ref="J2:X2" si="1">I2+1</f>
        <v>2016</v>
      </c>
      <c r="K2" s="948">
        <f t="shared" si="1"/>
        <v>2017</v>
      </c>
      <c r="L2" s="948">
        <f t="shared" si="1"/>
        <v>2018</v>
      </c>
      <c r="M2" s="948">
        <f t="shared" si="1"/>
        <v>2019</v>
      </c>
      <c r="N2" s="948">
        <f t="shared" si="1"/>
        <v>2020</v>
      </c>
      <c r="O2" s="948">
        <f t="shared" si="1"/>
        <v>2021</v>
      </c>
      <c r="P2" s="948">
        <f t="shared" si="1"/>
        <v>2022</v>
      </c>
      <c r="Q2" s="948">
        <f t="shared" si="1"/>
        <v>2023</v>
      </c>
      <c r="R2" s="948">
        <f t="shared" si="1"/>
        <v>2024</v>
      </c>
      <c r="S2" s="948">
        <f t="shared" si="1"/>
        <v>2025</v>
      </c>
      <c r="T2" s="948">
        <f t="shared" si="1"/>
        <v>2026</v>
      </c>
      <c r="U2" s="948">
        <f t="shared" si="1"/>
        <v>2027</v>
      </c>
      <c r="V2" s="948">
        <f t="shared" si="1"/>
        <v>2028</v>
      </c>
      <c r="W2" s="948">
        <f t="shared" si="1"/>
        <v>2029</v>
      </c>
      <c r="X2" s="948">
        <f t="shared" si="1"/>
        <v>2030</v>
      </c>
    </row>
    <row r="3" spans="1:26">
      <c r="B3" s="801" t="s">
        <v>936</v>
      </c>
      <c r="C3" s="810">
        <v>8033.2650445972949</v>
      </c>
      <c r="D3" s="810">
        <v>0</v>
      </c>
      <c r="E3" s="809">
        <v>0</v>
      </c>
      <c r="F3" s="809">
        <v>0</v>
      </c>
      <c r="G3" s="809">
        <v>0</v>
      </c>
      <c r="H3" s="810">
        <v>0</v>
      </c>
      <c r="I3" s="809">
        <v>0</v>
      </c>
      <c r="J3" s="809">
        <v>0</v>
      </c>
      <c r="K3" s="809">
        <v>2640.2986351274703</v>
      </c>
      <c r="L3" s="809">
        <v>5382.1463462471011</v>
      </c>
      <c r="M3" s="809">
        <v>8228.449758381088</v>
      </c>
      <c r="N3" s="809">
        <v>11182.188965362662</v>
      </c>
      <c r="O3" s="809">
        <v>14246.419261058045</v>
      </c>
      <c r="P3" s="809">
        <v>14520.227424634664</v>
      </c>
      <c r="Q3" s="809">
        <v>14799.257825152585</v>
      </c>
      <c r="R3" s="809">
        <v>15083.609420817567</v>
      </c>
      <c r="S3" s="809">
        <v>15373.383034653583</v>
      </c>
      <c r="T3" s="809">
        <v>15668.681389475925</v>
      </c>
      <c r="U3" s="809">
        <v>15969.609143517382</v>
      </c>
      <c r="V3" s="809">
        <v>16276.272926719732</v>
      </c>
      <c r="W3" s="809">
        <v>16588.781377702922</v>
      </c>
      <c r="X3" s="809">
        <v>16907.245181424511</v>
      </c>
    </row>
    <row r="4" spans="1:26" outlineLevel="1">
      <c r="B4" s="819" t="s">
        <v>463</v>
      </c>
      <c r="C4" s="816"/>
      <c r="D4" s="816"/>
      <c r="E4" s="817"/>
      <c r="F4" s="817"/>
      <c r="G4" s="817"/>
      <c r="H4" s="816"/>
      <c r="I4" s="817"/>
      <c r="J4" s="817"/>
      <c r="K4" s="817"/>
      <c r="L4" s="821"/>
      <c r="M4" s="818">
        <f t="shared" ref="M4:X4" si="2">M5*1.2</f>
        <v>0.12</v>
      </c>
      <c r="N4" s="818">
        <f t="shared" si="2"/>
        <v>0.21</v>
      </c>
      <c r="O4" s="818">
        <f t="shared" si="2"/>
        <v>0.21</v>
      </c>
      <c r="P4" s="818">
        <f t="shared" si="2"/>
        <v>0.21</v>
      </c>
      <c r="Q4" s="818">
        <f t="shared" si="2"/>
        <v>0.21</v>
      </c>
      <c r="R4" s="818">
        <f t="shared" si="2"/>
        <v>0.21</v>
      </c>
      <c r="S4" s="818">
        <f t="shared" si="2"/>
        <v>0.21</v>
      </c>
      <c r="T4" s="818">
        <f t="shared" si="2"/>
        <v>0.21</v>
      </c>
      <c r="U4" s="818">
        <f t="shared" si="2"/>
        <v>0.21</v>
      </c>
      <c r="V4" s="818">
        <f t="shared" si="2"/>
        <v>0.21</v>
      </c>
      <c r="W4" s="818">
        <f t="shared" si="2"/>
        <v>0.21</v>
      </c>
      <c r="X4" s="818">
        <f t="shared" si="2"/>
        <v>0.21</v>
      </c>
    </row>
    <row r="5" spans="1:26" outlineLevel="1">
      <c r="B5" s="819" t="s">
        <v>464</v>
      </c>
      <c r="C5" s="816"/>
      <c r="D5" s="816"/>
      <c r="E5" s="817"/>
      <c r="F5" s="817"/>
      <c r="G5" s="817"/>
      <c r="H5" s="816"/>
      <c r="I5" s="817"/>
      <c r="J5" s="817"/>
      <c r="K5" s="817"/>
      <c r="L5" s="821"/>
      <c r="M5" s="821">
        <v>0.1</v>
      </c>
      <c r="N5" s="821">
        <v>0.17499999999999999</v>
      </c>
      <c r="O5" s="818">
        <f t="shared" ref="O5:X5" si="3">N5</f>
        <v>0.17499999999999999</v>
      </c>
      <c r="P5" s="818">
        <f t="shared" si="3"/>
        <v>0.17499999999999999</v>
      </c>
      <c r="Q5" s="818">
        <f t="shared" si="3"/>
        <v>0.17499999999999999</v>
      </c>
      <c r="R5" s="818">
        <f t="shared" si="3"/>
        <v>0.17499999999999999</v>
      </c>
      <c r="S5" s="818">
        <f t="shared" si="3"/>
        <v>0.17499999999999999</v>
      </c>
      <c r="T5" s="818">
        <f t="shared" si="3"/>
        <v>0.17499999999999999</v>
      </c>
      <c r="U5" s="818">
        <f t="shared" si="3"/>
        <v>0.17499999999999999</v>
      </c>
      <c r="V5" s="818">
        <f t="shared" si="3"/>
        <v>0.17499999999999999</v>
      </c>
      <c r="W5" s="818">
        <f t="shared" si="3"/>
        <v>0.17499999999999999</v>
      </c>
      <c r="X5" s="818">
        <f t="shared" si="3"/>
        <v>0.17499999999999999</v>
      </c>
    </row>
    <row r="6" spans="1:26" outlineLevel="1">
      <c r="A6" s="820"/>
      <c r="B6" s="819" t="s">
        <v>462</v>
      </c>
      <c r="C6" s="816"/>
      <c r="D6" s="816"/>
      <c r="E6" s="817"/>
      <c r="F6" s="817"/>
      <c r="G6" s="817"/>
      <c r="H6" s="816"/>
      <c r="I6" s="817"/>
      <c r="J6" s="817"/>
      <c r="K6" s="817"/>
      <c r="L6" s="821"/>
      <c r="M6" s="818">
        <f>L6</f>
        <v>0</v>
      </c>
      <c r="N6" s="818">
        <f t="shared" ref="N6:X6" si="4">M6</f>
        <v>0</v>
      </c>
      <c r="O6" s="818">
        <f t="shared" si="4"/>
        <v>0</v>
      </c>
      <c r="P6" s="818">
        <f t="shared" si="4"/>
        <v>0</v>
      </c>
      <c r="Q6" s="818">
        <f t="shared" si="4"/>
        <v>0</v>
      </c>
      <c r="R6" s="818">
        <f t="shared" si="4"/>
        <v>0</v>
      </c>
      <c r="S6" s="818">
        <f t="shared" si="4"/>
        <v>0</v>
      </c>
      <c r="T6" s="818">
        <f t="shared" si="4"/>
        <v>0</v>
      </c>
      <c r="U6" s="818">
        <f t="shared" si="4"/>
        <v>0</v>
      </c>
      <c r="V6" s="818">
        <f t="shared" si="4"/>
        <v>0</v>
      </c>
      <c r="W6" s="818">
        <f t="shared" si="4"/>
        <v>0</v>
      </c>
      <c r="X6" s="818">
        <f t="shared" si="4"/>
        <v>0</v>
      </c>
    </row>
    <row r="7" spans="1:26">
      <c r="A7" s="803" t="s">
        <v>78</v>
      </c>
      <c r="B7" s="815" t="s">
        <v>937</v>
      </c>
      <c r="C7" s="815"/>
      <c r="D7" s="815"/>
      <c r="E7" s="815"/>
      <c r="F7" s="815"/>
      <c r="G7" s="815"/>
      <c r="H7" s="815"/>
      <c r="I7" s="815"/>
      <c r="J7" s="815"/>
      <c r="K7" s="815"/>
      <c r="L7" s="818"/>
      <c r="M7" s="818">
        <f>CHOOSE(DCF!$C$25,'Ozanimod_RRMS US'!M4,'Ozanimod_RRMS US'!M5,'Ozanimod_RRMS US'!M6)</f>
        <v>0.1</v>
      </c>
      <c r="N7" s="818">
        <f>CHOOSE(DCF!$C$25,'Ozanimod_RRMS US'!N4,'Ozanimod_RRMS US'!N5,'Ozanimod_RRMS US'!N6)</f>
        <v>0.17499999999999999</v>
      </c>
      <c r="O7" s="818">
        <f>CHOOSE(DCF!$C$25,'Ozanimod_RRMS US'!O4,'Ozanimod_RRMS US'!O5,'Ozanimod_RRMS US'!O6)</f>
        <v>0.17499999999999999</v>
      </c>
      <c r="P7" s="818">
        <f>CHOOSE(DCF!$C$25,'Ozanimod_RRMS US'!P4,'Ozanimod_RRMS US'!P5,'Ozanimod_RRMS US'!P6)</f>
        <v>0.17499999999999999</v>
      </c>
      <c r="Q7" s="818">
        <f>CHOOSE(DCF!$C$25,'Ozanimod_RRMS US'!Q4,'Ozanimod_RRMS US'!Q5,'Ozanimod_RRMS US'!Q6)</f>
        <v>0.17499999999999999</v>
      </c>
      <c r="R7" s="818">
        <f>CHOOSE(DCF!$C$25,'Ozanimod_RRMS US'!R4,'Ozanimod_RRMS US'!R5,'Ozanimod_RRMS US'!R6)</f>
        <v>0.17499999999999999</v>
      </c>
      <c r="S7" s="818">
        <f>CHOOSE(DCF!$C$25,'Ozanimod_RRMS US'!S4,'Ozanimod_RRMS US'!S5,'Ozanimod_RRMS US'!S6)</f>
        <v>0.17499999999999999</v>
      </c>
      <c r="T7" s="818">
        <f>CHOOSE(DCF!$C$25,'Ozanimod_RRMS US'!T4,'Ozanimod_RRMS US'!T5,'Ozanimod_RRMS US'!T6)</f>
        <v>0.17499999999999999</v>
      </c>
      <c r="U7" s="818">
        <f>CHOOSE(DCF!$C$25,'Ozanimod_RRMS US'!U4,'Ozanimod_RRMS US'!U5,'Ozanimod_RRMS US'!U6)</f>
        <v>0.17499999999999999</v>
      </c>
      <c r="V7" s="818">
        <f>CHOOSE(DCF!$C$25,'Ozanimod_RRMS US'!V4,'Ozanimod_RRMS US'!V5,'Ozanimod_RRMS US'!V6)</f>
        <v>0.17499999999999999</v>
      </c>
      <c r="W7" s="818">
        <f>CHOOSE(DCF!$C$25,'Ozanimod_RRMS US'!W4,'Ozanimod_RRMS US'!W5,'Ozanimod_RRMS US'!W6)</f>
        <v>0.17499999999999999</v>
      </c>
      <c r="X7" s="818">
        <f>CHOOSE(DCF!$C$25,'Ozanimod_RRMS US'!X4,'Ozanimod_RRMS US'!X5,'Ozanimod_RRMS US'!X6)</f>
        <v>0.17499999999999999</v>
      </c>
    </row>
    <row r="8" spans="1:26">
      <c r="B8" s="801" t="s">
        <v>935</v>
      </c>
      <c r="L8" s="809"/>
      <c r="M8" s="809">
        <f t="shared" ref="M8:X8" si="5">M7*M3</f>
        <v>822.84497583810889</v>
      </c>
      <c r="N8" s="809">
        <f t="shared" si="5"/>
        <v>1956.8830689384658</v>
      </c>
      <c r="O8" s="809">
        <f t="shared" si="5"/>
        <v>2493.1233706851576</v>
      </c>
      <c r="P8" s="809">
        <f t="shared" si="5"/>
        <v>2541.039799311066</v>
      </c>
      <c r="Q8" s="809">
        <f t="shared" si="5"/>
        <v>2589.8701194017021</v>
      </c>
      <c r="R8" s="809">
        <f t="shared" si="5"/>
        <v>2639.6316486430742</v>
      </c>
      <c r="S8" s="809">
        <f t="shared" si="5"/>
        <v>2690.3420310643769</v>
      </c>
      <c r="T8" s="809">
        <f t="shared" si="5"/>
        <v>2742.0192431582868</v>
      </c>
      <c r="U8" s="809">
        <f t="shared" si="5"/>
        <v>2794.6816001155416</v>
      </c>
      <c r="V8" s="809">
        <f t="shared" si="5"/>
        <v>2848.347762175953</v>
      </c>
      <c r="W8" s="809">
        <f t="shared" si="5"/>
        <v>2903.0367410980111</v>
      </c>
      <c r="X8" s="809">
        <f t="shared" si="5"/>
        <v>2958.7679067492891</v>
      </c>
    </row>
    <row r="9" spans="1:26">
      <c r="B9" s="801" t="s">
        <v>930</v>
      </c>
      <c r="C9" s="811">
        <v>0</v>
      </c>
      <c r="D9" s="812">
        <f>C9</f>
        <v>0</v>
      </c>
      <c r="E9" s="812">
        <f t="shared" ref="E9:J9" si="6">D9</f>
        <v>0</v>
      </c>
      <c r="F9" s="812">
        <f t="shared" si="6"/>
        <v>0</v>
      </c>
      <c r="G9" s="812">
        <f t="shared" si="6"/>
        <v>0</v>
      </c>
      <c r="H9" s="812">
        <f t="shared" si="6"/>
        <v>0</v>
      </c>
      <c r="I9" s="812">
        <f t="shared" si="6"/>
        <v>0</v>
      </c>
      <c r="J9" s="812">
        <f t="shared" si="6"/>
        <v>0</v>
      </c>
      <c r="K9" s="812">
        <f t="shared" ref="K9" si="7">J9</f>
        <v>0</v>
      </c>
      <c r="L9" s="812">
        <f t="shared" ref="L9" si="8">K9</f>
        <v>0</v>
      </c>
      <c r="M9" s="808">
        <v>40000</v>
      </c>
      <c r="N9" s="805">
        <f t="shared" ref="N9:X9" si="9">M9*(1+N10)</f>
        <v>40800</v>
      </c>
      <c r="O9" s="805">
        <f t="shared" si="9"/>
        <v>41616</v>
      </c>
      <c r="P9" s="805">
        <f t="shared" si="9"/>
        <v>42448.32</v>
      </c>
      <c r="Q9" s="805">
        <f t="shared" si="9"/>
        <v>43297.286399999997</v>
      </c>
      <c r="R9" s="805">
        <f t="shared" si="9"/>
        <v>43730.259264</v>
      </c>
      <c r="S9" s="805">
        <f t="shared" si="9"/>
        <v>44167.561856640001</v>
      </c>
      <c r="T9" s="805">
        <f t="shared" si="9"/>
        <v>44609.237475206399</v>
      </c>
      <c r="U9" s="805">
        <f t="shared" si="9"/>
        <v>45055.329849958463</v>
      </c>
      <c r="V9" s="805">
        <f t="shared" si="9"/>
        <v>45055.329849958463</v>
      </c>
      <c r="W9" s="805">
        <f t="shared" si="9"/>
        <v>45055.329849958463</v>
      </c>
      <c r="X9" s="805">
        <f t="shared" si="9"/>
        <v>9011.0659699916905</v>
      </c>
      <c r="Z9" s="813"/>
    </row>
    <row r="10" spans="1:26">
      <c r="B10" s="802" t="s">
        <v>929</v>
      </c>
      <c r="C10" s="811"/>
      <c r="D10" s="812"/>
      <c r="E10" s="812"/>
      <c r="F10" s="812"/>
      <c r="G10" s="812"/>
      <c r="H10" s="812"/>
      <c r="I10" s="812"/>
      <c r="J10" s="812"/>
      <c r="K10" s="812"/>
      <c r="L10" s="808"/>
      <c r="M10" s="501"/>
      <c r="N10" s="501">
        <v>0.02</v>
      </c>
      <c r="O10" s="814">
        <f t="shared" ref="O10:W11" si="10">N10</f>
        <v>0.02</v>
      </c>
      <c r="P10" s="814">
        <f t="shared" si="10"/>
        <v>0.02</v>
      </c>
      <c r="Q10" s="814">
        <f t="shared" si="10"/>
        <v>0.02</v>
      </c>
      <c r="R10" s="501">
        <v>0.01</v>
      </c>
      <c r="S10" s="814">
        <f t="shared" si="10"/>
        <v>0.01</v>
      </c>
      <c r="T10" s="814">
        <f t="shared" si="10"/>
        <v>0.01</v>
      </c>
      <c r="U10" s="814">
        <f t="shared" si="10"/>
        <v>0.01</v>
      </c>
      <c r="V10" s="501">
        <v>0</v>
      </c>
      <c r="W10" s="814">
        <f t="shared" si="10"/>
        <v>0</v>
      </c>
      <c r="X10" s="814">
        <v>-0.8</v>
      </c>
    </row>
    <row r="11" spans="1:26">
      <c r="B11" s="907" t="s">
        <v>991</v>
      </c>
      <c r="C11" s="908"/>
      <c r="D11" s="909"/>
      <c r="E11" s="909"/>
      <c r="F11" s="909"/>
      <c r="G11" s="909"/>
      <c r="H11" s="909"/>
      <c r="I11" s="909"/>
      <c r="J11" s="909"/>
      <c r="K11" s="909"/>
      <c r="L11" s="913">
        <v>0</v>
      </c>
      <c r="M11" s="914">
        <f>L11</f>
        <v>0</v>
      </c>
      <c r="N11" s="914">
        <f t="shared" ref="N11" si="11">M11</f>
        <v>0</v>
      </c>
      <c r="O11" s="914">
        <f t="shared" si="10"/>
        <v>0</v>
      </c>
      <c r="P11" s="914">
        <f t="shared" si="10"/>
        <v>0</v>
      </c>
      <c r="Q11" s="914">
        <f t="shared" si="10"/>
        <v>0</v>
      </c>
      <c r="R11" s="914">
        <f t="shared" ref="R11" si="12">Q11</f>
        <v>0</v>
      </c>
      <c r="S11" s="914">
        <f t="shared" si="10"/>
        <v>0</v>
      </c>
      <c r="T11" s="914">
        <f t="shared" si="10"/>
        <v>0</v>
      </c>
      <c r="U11" s="914">
        <f t="shared" si="10"/>
        <v>0</v>
      </c>
      <c r="V11" s="914">
        <f t="shared" ref="V11" si="13">U11</f>
        <v>0</v>
      </c>
      <c r="W11" s="914">
        <f t="shared" si="10"/>
        <v>0</v>
      </c>
      <c r="X11" s="914">
        <f t="shared" ref="X11" si="14">W11</f>
        <v>0</v>
      </c>
    </row>
    <row r="12" spans="1:26">
      <c r="B12" s="910" t="s">
        <v>990</v>
      </c>
      <c r="C12" s="911"/>
      <c r="D12" s="911"/>
      <c r="E12" s="911"/>
      <c r="F12" s="911"/>
      <c r="G12" s="911"/>
      <c r="H12" s="911"/>
      <c r="I12" s="911"/>
      <c r="J12" s="911"/>
      <c r="K12" s="911"/>
      <c r="L12" s="912">
        <f>L9*L8/1000000</f>
        <v>0</v>
      </c>
      <c r="M12" s="912">
        <f t="shared" ref="M12:X12" si="15">M9*M8/1000000</f>
        <v>32.913799033524356</v>
      </c>
      <c r="N12" s="912">
        <f t="shared" si="15"/>
        <v>79.8408292126894</v>
      </c>
      <c r="O12" s="912">
        <f t="shared" si="15"/>
        <v>103.75382219443352</v>
      </c>
      <c r="P12" s="912">
        <f t="shared" si="15"/>
        <v>107.86287053389191</v>
      </c>
      <c r="Q12" s="912">
        <f t="shared" si="15"/>
        <v>112.13434829853769</v>
      </c>
      <c r="R12" s="912">
        <f t="shared" si="15"/>
        <v>115.43177635662138</v>
      </c>
      <c r="S12" s="912">
        <f t="shared" si="15"/>
        <v>118.82584807255436</v>
      </c>
      <c r="T12" s="912">
        <f t="shared" si="15"/>
        <v>122.31938757963374</v>
      </c>
      <c r="U12" s="912">
        <f t="shared" si="15"/>
        <v>125.91530131881544</v>
      </c>
      <c r="V12" s="912">
        <f t="shared" si="15"/>
        <v>128.33324795222862</v>
      </c>
      <c r="W12" s="912">
        <f t="shared" si="15"/>
        <v>130.79727793671935</v>
      </c>
      <c r="X12" s="912">
        <f t="shared" si="15"/>
        <v>26.661652797612067</v>
      </c>
    </row>
    <row r="13" spans="1:26" ht="13.5" thickBot="1">
      <c r="B13" s="916" t="s">
        <v>931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7">
        <f>CHOOSE($I$17,L11,L12)</f>
        <v>0</v>
      </c>
      <c r="M13" s="917">
        <f t="shared" ref="M13:X13" si="16">CHOOSE($I$17,M11,M12)</f>
        <v>32.913799033524356</v>
      </c>
      <c r="N13" s="917">
        <f t="shared" si="16"/>
        <v>79.8408292126894</v>
      </c>
      <c r="O13" s="917">
        <f t="shared" si="16"/>
        <v>103.75382219443352</v>
      </c>
      <c r="P13" s="917">
        <f t="shared" si="16"/>
        <v>107.86287053389191</v>
      </c>
      <c r="Q13" s="917">
        <f t="shared" si="16"/>
        <v>112.13434829853769</v>
      </c>
      <c r="R13" s="917">
        <f t="shared" si="16"/>
        <v>115.43177635662138</v>
      </c>
      <c r="S13" s="917">
        <f t="shared" si="16"/>
        <v>118.82584807255436</v>
      </c>
      <c r="T13" s="917">
        <f t="shared" si="16"/>
        <v>122.31938757963374</v>
      </c>
      <c r="U13" s="917">
        <f t="shared" si="16"/>
        <v>125.91530131881544</v>
      </c>
      <c r="V13" s="917">
        <f t="shared" si="16"/>
        <v>128.33324795222862</v>
      </c>
      <c r="W13" s="917">
        <f t="shared" si="16"/>
        <v>130.79727793671935</v>
      </c>
      <c r="X13" s="917">
        <f t="shared" si="16"/>
        <v>26.661652797612067</v>
      </c>
    </row>
    <row r="14" spans="1:26" ht="13.5" thickTop="1">
      <c r="X14" s="861"/>
    </row>
    <row r="15" spans="1:26">
      <c r="G15" s="823"/>
      <c r="H15" s="822"/>
      <c r="I15" s="822"/>
      <c r="J15" s="822"/>
    </row>
    <row r="16" spans="1:26" ht="13.5" thickBot="1">
      <c r="G16" s="739" t="s">
        <v>987</v>
      </c>
      <c r="H16" s="740"/>
      <c r="I16" s="740"/>
      <c r="J16" s="740"/>
      <c r="K16" s="742"/>
      <c r="L16" s="740"/>
      <c r="M16" s="740"/>
    </row>
    <row r="17" spans="7:13">
      <c r="G17" s="885" t="s">
        <v>776</v>
      </c>
      <c r="H17" s="886"/>
      <c r="I17" s="895">
        <f>DCF!$C$40</f>
        <v>2</v>
      </c>
      <c r="J17" s="887">
        <v>1</v>
      </c>
      <c r="K17" s="888" t="s">
        <v>985</v>
      </c>
      <c r="L17" s="886"/>
      <c r="M17" s="889"/>
    </row>
    <row r="18" spans="7:13" ht="13.5" thickBot="1">
      <c r="G18" s="896"/>
      <c r="H18" s="891"/>
      <c r="I18" s="892"/>
      <c r="J18" s="892">
        <v>2</v>
      </c>
      <c r="K18" s="893" t="s">
        <v>986</v>
      </c>
      <c r="L18" s="891"/>
      <c r="M18" s="894"/>
    </row>
  </sheetData>
  <dataConsolidate/>
  <dataValidations disablePrompts="1" count="1">
    <dataValidation type="list" allowBlank="1" showInputMessage="1" showErrorMessage="1" sqref="H16">
      <formula1>#REF!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2:X18"/>
  <sheetViews>
    <sheetView zoomScaleNormal="100" workbookViewId="0">
      <pane xSplit="2" ySplit="2" topLeftCell="J3" activePane="bottomRight" state="frozen"/>
      <selection activeCell="H95" sqref="H95"/>
      <selection pane="topRight" activeCell="H95" sqref="H95"/>
      <selection pane="bottomLeft" activeCell="H95" sqref="H95"/>
      <selection pane="bottomRight" activeCell="N9" sqref="N9"/>
    </sheetView>
  </sheetViews>
  <sheetFormatPr defaultRowHeight="12.75" outlineLevelRow="1"/>
  <cols>
    <col min="1" max="1" width="2.140625" style="806" customWidth="1"/>
    <col min="2" max="2" width="32.28515625" style="801" customWidth="1"/>
    <col min="3" max="24" width="8.7109375" style="801" customWidth="1"/>
    <col min="25" max="25" width="3" style="801" customWidth="1"/>
    <col min="26" max="16384" width="9.140625" style="801"/>
  </cols>
  <sheetData>
    <row r="2" spans="1:24">
      <c r="B2" s="804" t="s">
        <v>939</v>
      </c>
      <c r="C2" s="949">
        <v>2009</v>
      </c>
      <c r="D2" s="949">
        <f>C2+1</f>
        <v>2010</v>
      </c>
      <c r="E2" s="949">
        <f t="shared" ref="E2:X2" si="0">D2+1</f>
        <v>2011</v>
      </c>
      <c r="F2" s="949">
        <f t="shared" si="0"/>
        <v>2012</v>
      </c>
      <c r="G2" s="949">
        <f t="shared" si="0"/>
        <v>2013</v>
      </c>
      <c r="H2" s="949">
        <f t="shared" si="0"/>
        <v>2014</v>
      </c>
      <c r="I2" s="948">
        <f t="shared" si="0"/>
        <v>2015</v>
      </c>
      <c r="J2" s="948">
        <f t="shared" si="0"/>
        <v>2016</v>
      </c>
      <c r="K2" s="948">
        <f t="shared" si="0"/>
        <v>2017</v>
      </c>
      <c r="L2" s="948">
        <f t="shared" si="0"/>
        <v>2018</v>
      </c>
      <c r="M2" s="948">
        <f t="shared" si="0"/>
        <v>2019</v>
      </c>
      <c r="N2" s="948">
        <f t="shared" si="0"/>
        <v>2020</v>
      </c>
      <c r="O2" s="948">
        <f t="shared" si="0"/>
        <v>2021</v>
      </c>
      <c r="P2" s="948">
        <f t="shared" si="0"/>
        <v>2022</v>
      </c>
      <c r="Q2" s="948">
        <f t="shared" si="0"/>
        <v>2023</v>
      </c>
      <c r="R2" s="948">
        <f t="shared" si="0"/>
        <v>2024</v>
      </c>
      <c r="S2" s="948">
        <f t="shared" si="0"/>
        <v>2025</v>
      </c>
      <c r="T2" s="948">
        <f t="shared" si="0"/>
        <v>2026</v>
      </c>
      <c r="U2" s="948">
        <f t="shared" si="0"/>
        <v>2027</v>
      </c>
      <c r="V2" s="948">
        <f t="shared" si="0"/>
        <v>2028</v>
      </c>
      <c r="W2" s="948">
        <f t="shared" si="0"/>
        <v>2029</v>
      </c>
      <c r="X2" s="948">
        <f t="shared" si="0"/>
        <v>2030</v>
      </c>
    </row>
    <row r="3" spans="1:24">
      <c r="B3" s="801" t="s">
        <v>936</v>
      </c>
      <c r="C3" s="810">
        <v>11831.852448994345</v>
      </c>
      <c r="D3" s="810">
        <v>0</v>
      </c>
      <c r="E3" s="809">
        <v>0</v>
      </c>
      <c r="F3" s="809">
        <v>0</v>
      </c>
      <c r="G3" s="809">
        <v>0</v>
      </c>
      <c r="H3" s="810">
        <v>0</v>
      </c>
      <c r="I3" s="809">
        <v>0</v>
      </c>
      <c r="J3" s="809">
        <v>0</v>
      </c>
      <c r="K3" s="809">
        <v>0</v>
      </c>
      <c r="L3" s="809">
        <v>5216.8379189579728</v>
      </c>
      <c r="M3" s="809">
        <v>10806.332400352725</v>
      </c>
      <c r="N3" s="809">
        <v>16813.500034038228</v>
      </c>
      <c r="O3" s="809">
        <v>23528.196558650445</v>
      </c>
      <c r="P3" s="809">
        <v>30602.251309139745</v>
      </c>
      <c r="Q3" s="809">
        <v>31895.122626184617</v>
      </c>
      <c r="R3" s="809">
        <v>33468.043526213231</v>
      </c>
      <c r="S3" s="809">
        <v>35001.911703692698</v>
      </c>
      <c r="T3" s="809">
        <v>36671.076011915997</v>
      </c>
      <c r="U3" s="809">
        <v>38489.280636255644</v>
      </c>
      <c r="V3" s="809">
        <v>40676.108536805128</v>
      </c>
      <c r="W3" s="809">
        <v>42850.448681876893</v>
      </c>
      <c r="X3" s="809">
        <v>45225.307067529859</v>
      </c>
    </row>
    <row r="4" spans="1:24" outlineLevel="1">
      <c r="B4" s="819" t="s">
        <v>463</v>
      </c>
      <c r="C4" s="816"/>
      <c r="D4" s="816"/>
      <c r="E4" s="817"/>
      <c r="F4" s="817"/>
      <c r="G4" s="817"/>
      <c r="H4" s="816"/>
      <c r="I4" s="817"/>
      <c r="J4" s="817"/>
      <c r="K4" s="817"/>
      <c r="L4" s="821">
        <v>0</v>
      </c>
      <c r="M4" s="818">
        <f t="shared" ref="M4:X4" si="1">M5*1.2</f>
        <v>0.06</v>
      </c>
      <c r="N4" s="818">
        <f t="shared" si="1"/>
        <v>0.06</v>
      </c>
      <c r="O4" s="818">
        <f t="shared" si="1"/>
        <v>0.06</v>
      </c>
      <c r="P4" s="818">
        <f t="shared" si="1"/>
        <v>0.06</v>
      </c>
      <c r="Q4" s="818">
        <f t="shared" si="1"/>
        <v>0.06</v>
      </c>
      <c r="R4" s="818">
        <f t="shared" si="1"/>
        <v>0.06</v>
      </c>
      <c r="S4" s="818">
        <f t="shared" si="1"/>
        <v>0.06</v>
      </c>
      <c r="T4" s="818">
        <f t="shared" si="1"/>
        <v>0.06</v>
      </c>
      <c r="U4" s="818">
        <f t="shared" si="1"/>
        <v>0.06</v>
      </c>
      <c r="V4" s="818">
        <f t="shared" si="1"/>
        <v>0.06</v>
      </c>
      <c r="W4" s="818">
        <f t="shared" si="1"/>
        <v>0.06</v>
      </c>
      <c r="X4" s="818">
        <f t="shared" si="1"/>
        <v>0.06</v>
      </c>
    </row>
    <row r="5" spans="1:24" outlineLevel="1">
      <c r="B5" s="819" t="s">
        <v>464</v>
      </c>
      <c r="C5" s="816"/>
      <c r="D5" s="816"/>
      <c r="E5" s="817"/>
      <c r="F5" s="817"/>
      <c r="G5" s="817"/>
      <c r="H5" s="816"/>
      <c r="I5" s="817"/>
      <c r="J5" s="817"/>
      <c r="K5" s="817"/>
      <c r="L5" s="821">
        <v>0</v>
      </c>
      <c r="M5" s="818">
        <v>0.05</v>
      </c>
      <c r="N5" s="818">
        <f t="shared" ref="N5:X5" si="2">M5</f>
        <v>0.05</v>
      </c>
      <c r="O5" s="818">
        <f t="shared" si="2"/>
        <v>0.05</v>
      </c>
      <c r="P5" s="818">
        <f t="shared" si="2"/>
        <v>0.05</v>
      </c>
      <c r="Q5" s="818">
        <f t="shared" si="2"/>
        <v>0.05</v>
      </c>
      <c r="R5" s="818">
        <f t="shared" si="2"/>
        <v>0.05</v>
      </c>
      <c r="S5" s="818">
        <f t="shared" si="2"/>
        <v>0.05</v>
      </c>
      <c r="T5" s="818">
        <f t="shared" si="2"/>
        <v>0.05</v>
      </c>
      <c r="U5" s="818">
        <f t="shared" si="2"/>
        <v>0.05</v>
      </c>
      <c r="V5" s="818">
        <f t="shared" si="2"/>
        <v>0.05</v>
      </c>
      <c r="W5" s="818">
        <f t="shared" si="2"/>
        <v>0.05</v>
      </c>
      <c r="X5" s="818">
        <f t="shared" si="2"/>
        <v>0.05</v>
      </c>
    </row>
    <row r="6" spans="1:24" outlineLevel="1">
      <c r="B6" s="819" t="s">
        <v>462</v>
      </c>
      <c r="C6" s="816"/>
      <c r="D6" s="816"/>
      <c r="E6" s="817"/>
      <c r="F6" s="817"/>
      <c r="G6" s="817"/>
      <c r="H6" s="816"/>
      <c r="I6" s="817"/>
      <c r="J6" s="817"/>
      <c r="K6" s="817"/>
      <c r="L6" s="821">
        <v>0</v>
      </c>
      <c r="M6" s="818">
        <v>0</v>
      </c>
      <c r="N6" s="818">
        <f t="shared" ref="N6:X6" si="3">M6</f>
        <v>0</v>
      </c>
      <c r="O6" s="818">
        <f t="shared" si="3"/>
        <v>0</v>
      </c>
      <c r="P6" s="818">
        <f t="shared" si="3"/>
        <v>0</v>
      </c>
      <c r="Q6" s="818">
        <f t="shared" si="3"/>
        <v>0</v>
      </c>
      <c r="R6" s="818">
        <f t="shared" si="3"/>
        <v>0</v>
      </c>
      <c r="S6" s="818">
        <f t="shared" si="3"/>
        <v>0</v>
      </c>
      <c r="T6" s="818">
        <f t="shared" si="3"/>
        <v>0</v>
      </c>
      <c r="U6" s="818">
        <f t="shared" si="3"/>
        <v>0</v>
      </c>
      <c r="V6" s="818">
        <f t="shared" si="3"/>
        <v>0</v>
      </c>
      <c r="W6" s="818">
        <f t="shared" si="3"/>
        <v>0</v>
      </c>
      <c r="X6" s="818">
        <f t="shared" si="3"/>
        <v>0</v>
      </c>
    </row>
    <row r="7" spans="1:24">
      <c r="A7" s="807" t="s">
        <v>78</v>
      </c>
      <c r="B7" s="815" t="s">
        <v>937</v>
      </c>
      <c r="C7" s="815"/>
      <c r="D7" s="815"/>
      <c r="E7" s="815"/>
      <c r="F7" s="815"/>
      <c r="G7" s="815"/>
      <c r="H7" s="815"/>
      <c r="I7" s="815"/>
      <c r="J7" s="815"/>
      <c r="K7" s="815"/>
      <c r="L7" s="818">
        <f>CHOOSE(DCF!$C$25,'Ozanimod_RRMS ROW'!L4,'Ozanimod_RRMS ROW'!L5,'Ozanimod_RRMS ROW'!L6)</f>
        <v>0</v>
      </c>
      <c r="M7" s="818">
        <f>CHOOSE(DCF!$C$25,'Ozanimod_RRMS ROW'!M4,'Ozanimod_RRMS ROW'!M5,'Ozanimod_RRMS ROW'!M6)</f>
        <v>0.05</v>
      </c>
      <c r="N7" s="818">
        <f>CHOOSE(DCF!$C$25,'Ozanimod_RRMS ROW'!N4,'Ozanimod_RRMS ROW'!N5,'Ozanimod_RRMS ROW'!N6)</f>
        <v>0.05</v>
      </c>
      <c r="O7" s="818">
        <f>CHOOSE(DCF!$C$25,'Ozanimod_RRMS ROW'!O4,'Ozanimod_RRMS ROW'!O5,'Ozanimod_RRMS ROW'!O6)</f>
        <v>0.05</v>
      </c>
      <c r="P7" s="818">
        <f>CHOOSE(DCF!$C$25,'Ozanimod_RRMS ROW'!P4,'Ozanimod_RRMS ROW'!P5,'Ozanimod_RRMS ROW'!P6)</f>
        <v>0.05</v>
      </c>
      <c r="Q7" s="818">
        <f>CHOOSE(DCF!$C$25,'Ozanimod_RRMS ROW'!Q4,'Ozanimod_RRMS ROW'!Q5,'Ozanimod_RRMS ROW'!Q6)</f>
        <v>0.05</v>
      </c>
      <c r="R7" s="818">
        <f>CHOOSE(DCF!$C$25,'Ozanimod_RRMS ROW'!R4,'Ozanimod_RRMS ROW'!R5,'Ozanimod_RRMS ROW'!R6)</f>
        <v>0.05</v>
      </c>
      <c r="S7" s="818">
        <f>CHOOSE(DCF!$C$25,'Ozanimod_RRMS ROW'!S4,'Ozanimod_RRMS ROW'!S5,'Ozanimod_RRMS ROW'!S6)</f>
        <v>0.05</v>
      </c>
      <c r="T7" s="818">
        <f>CHOOSE(DCF!$C$25,'Ozanimod_RRMS ROW'!T4,'Ozanimod_RRMS ROW'!T5,'Ozanimod_RRMS ROW'!T6)</f>
        <v>0.05</v>
      </c>
      <c r="U7" s="818">
        <f>CHOOSE(DCF!$C$25,'Ozanimod_RRMS ROW'!U4,'Ozanimod_RRMS ROW'!U5,'Ozanimod_RRMS ROW'!U6)</f>
        <v>0.05</v>
      </c>
      <c r="V7" s="818">
        <f>CHOOSE(DCF!$C$25,'Ozanimod_RRMS ROW'!V4,'Ozanimod_RRMS ROW'!V5,'Ozanimod_RRMS ROW'!V6)</f>
        <v>0.05</v>
      </c>
      <c r="W7" s="818">
        <f>CHOOSE(DCF!$C$25,'Ozanimod_RRMS ROW'!W4,'Ozanimod_RRMS ROW'!W5,'Ozanimod_RRMS ROW'!W6)</f>
        <v>0.05</v>
      </c>
      <c r="X7" s="818">
        <f>CHOOSE(DCF!$C$25,'Ozanimod_RRMS ROW'!X4,'Ozanimod_RRMS ROW'!X5,'Ozanimod_RRMS ROW'!X6)</f>
        <v>0.05</v>
      </c>
    </row>
    <row r="8" spans="1:24">
      <c r="B8" s="801" t="s">
        <v>935</v>
      </c>
      <c r="L8" s="809">
        <f>L7*L3</f>
        <v>0</v>
      </c>
      <c r="M8" s="809">
        <f t="shared" ref="M8:X8" si="4">M7*M3</f>
        <v>540.3166200176363</v>
      </c>
      <c r="N8" s="809">
        <f t="shared" si="4"/>
        <v>840.67500170191147</v>
      </c>
      <c r="O8" s="809">
        <f t="shared" si="4"/>
        <v>1176.4098279325224</v>
      </c>
      <c r="P8" s="809">
        <f t="shared" si="4"/>
        <v>1530.1125654569873</v>
      </c>
      <c r="Q8" s="809">
        <f t="shared" si="4"/>
        <v>1594.756131309231</v>
      </c>
      <c r="R8" s="809">
        <f t="shared" si="4"/>
        <v>1673.4021763106616</v>
      </c>
      <c r="S8" s="809">
        <f t="shared" si="4"/>
        <v>1750.095585184635</v>
      </c>
      <c r="T8" s="809">
        <f t="shared" si="4"/>
        <v>1833.5538005957999</v>
      </c>
      <c r="U8" s="809">
        <f t="shared" si="4"/>
        <v>1924.4640318127822</v>
      </c>
      <c r="V8" s="809">
        <f t="shared" si="4"/>
        <v>2033.8054268402566</v>
      </c>
      <c r="W8" s="809">
        <f t="shared" si="4"/>
        <v>2142.5224340938448</v>
      </c>
      <c r="X8" s="809">
        <f t="shared" si="4"/>
        <v>2261.2653533764928</v>
      </c>
    </row>
    <row r="9" spans="1:24">
      <c r="B9" s="801" t="s">
        <v>930</v>
      </c>
      <c r="C9" s="811">
        <v>0</v>
      </c>
      <c r="D9" s="812">
        <f>C9</f>
        <v>0</v>
      </c>
      <c r="E9" s="812">
        <f t="shared" ref="E9:L9" si="5">D9</f>
        <v>0</v>
      </c>
      <c r="F9" s="812">
        <f t="shared" si="5"/>
        <v>0</v>
      </c>
      <c r="G9" s="812">
        <f t="shared" si="5"/>
        <v>0</v>
      </c>
      <c r="H9" s="812">
        <f t="shared" si="5"/>
        <v>0</v>
      </c>
      <c r="I9" s="812">
        <f t="shared" si="5"/>
        <v>0</v>
      </c>
      <c r="J9" s="812">
        <f t="shared" si="5"/>
        <v>0</v>
      </c>
      <c r="K9" s="812">
        <f t="shared" si="5"/>
        <v>0</v>
      </c>
      <c r="L9" s="812">
        <f t="shared" si="5"/>
        <v>0</v>
      </c>
      <c r="M9" s="805">
        <f>'Ozanimod_RRMS US'!M9</f>
        <v>40000</v>
      </c>
      <c r="N9" s="805">
        <f t="shared" ref="N9:X9" si="6">M9*(1+N10)</f>
        <v>38000</v>
      </c>
      <c r="O9" s="805">
        <f t="shared" si="6"/>
        <v>36100</v>
      </c>
      <c r="P9" s="805">
        <f t="shared" si="6"/>
        <v>34295</v>
      </c>
      <c r="Q9" s="805">
        <f t="shared" si="6"/>
        <v>32580.25</v>
      </c>
      <c r="R9" s="805">
        <f t="shared" si="6"/>
        <v>30299.6325</v>
      </c>
      <c r="S9" s="805">
        <f t="shared" si="6"/>
        <v>28178.658224999999</v>
      </c>
      <c r="T9" s="805">
        <f t="shared" si="6"/>
        <v>26206.152149249996</v>
      </c>
      <c r="U9" s="805">
        <f t="shared" si="6"/>
        <v>24371.721498802493</v>
      </c>
      <c r="V9" s="805">
        <f t="shared" si="6"/>
        <v>22665.700993886316</v>
      </c>
      <c r="W9" s="805">
        <f t="shared" si="6"/>
        <v>21079.101924314273</v>
      </c>
      <c r="X9" s="805">
        <f t="shared" si="6"/>
        <v>19603.564789612272</v>
      </c>
    </row>
    <row r="10" spans="1:24">
      <c r="B10" s="802" t="s">
        <v>929</v>
      </c>
      <c r="C10" s="811"/>
      <c r="D10" s="812"/>
      <c r="E10" s="812"/>
      <c r="F10" s="812"/>
      <c r="G10" s="812"/>
      <c r="H10" s="812"/>
      <c r="I10" s="812"/>
      <c r="J10" s="812"/>
      <c r="K10" s="812"/>
      <c r="L10" s="808"/>
      <c r="M10" s="501"/>
      <c r="N10" s="501">
        <v>-0.05</v>
      </c>
      <c r="O10" s="814">
        <f t="shared" ref="O10:X11" si="7">N10</f>
        <v>-0.05</v>
      </c>
      <c r="P10" s="814">
        <f t="shared" si="7"/>
        <v>-0.05</v>
      </c>
      <c r="Q10" s="814">
        <f t="shared" si="7"/>
        <v>-0.05</v>
      </c>
      <c r="R10" s="501">
        <v>-7.0000000000000007E-2</v>
      </c>
      <c r="S10" s="814">
        <f t="shared" si="7"/>
        <v>-7.0000000000000007E-2</v>
      </c>
      <c r="T10" s="814">
        <f t="shared" si="7"/>
        <v>-7.0000000000000007E-2</v>
      </c>
      <c r="U10" s="814">
        <f t="shared" si="7"/>
        <v>-7.0000000000000007E-2</v>
      </c>
      <c r="V10" s="501">
        <f>U10</f>
        <v>-7.0000000000000007E-2</v>
      </c>
      <c r="W10" s="814">
        <f t="shared" si="7"/>
        <v>-7.0000000000000007E-2</v>
      </c>
      <c r="X10" s="814">
        <f t="shared" si="7"/>
        <v>-7.0000000000000007E-2</v>
      </c>
    </row>
    <row r="11" spans="1:24">
      <c r="B11" s="907" t="s">
        <v>991</v>
      </c>
      <c r="C11" s="908"/>
      <c r="D11" s="909"/>
      <c r="E11" s="909"/>
      <c r="F11" s="909"/>
      <c r="G11" s="909"/>
      <c r="H11" s="909"/>
      <c r="I11" s="909"/>
      <c r="J11" s="909"/>
      <c r="K11" s="909"/>
      <c r="L11" s="913">
        <v>0</v>
      </c>
      <c r="M11" s="914">
        <f>L11</f>
        <v>0</v>
      </c>
      <c r="N11" s="914">
        <f t="shared" ref="N11" si="8">M11</f>
        <v>0</v>
      </c>
      <c r="O11" s="914">
        <f t="shared" si="7"/>
        <v>0</v>
      </c>
      <c r="P11" s="914">
        <f t="shared" si="7"/>
        <v>0</v>
      </c>
      <c r="Q11" s="914">
        <f t="shared" si="7"/>
        <v>0</v>
      </c>
      <c r="R11" s="914">
        <f t="shared" ref="R11" si="9">Q11</f>
        <v>0</v>
      </c>
      <c r="S11" s="914">
        <f t="shared" si="7"/>
        <v>0</v>
      </c>
      <c r="T11" s="914">
        <f t="shared" si="7"/>
        <v>0</v>
      </c>
      <c r="U11" s="914">
        <f t="shared" si="7"/>
        <v>0</v>
      </c>
      <c r="V11" s="914">
        <f t="shared" ref="V11" si="10">U11</f>
        <v>0</v>
      </c>
      <c r="W11" s="914">
        <f t="shared" si="7"/>
        <v>0</v>
      </c>
      <c r="X11" s="914">
        <f t="shared" si="7"/>
        <v>0</v>
      </c>
    </row>
    <row r="12" spans="1:24">
      <c r="B12" s="910" t="s">
        <v>990</v>
      </c>
      <c r="C12" s="911"/>
      <c r="D12" s="911"/>
      <c r="E12" s="911"/>
      <c r="F12" s="911"/>
      <c r="G12" s="911"/>
      <c r="H12" s="911"/>
      <c r="I12" s="911"/>
      <c r="J12" s="911"/>
      <c r="K12" s="911"/>
      <c r="L12" s="912">
        <f>L9*L8/1000000</f>
        <v>0</v>
      </c>
      <c r="M12" s="912">
        <f t="shared" ref="M12:X12" si="11">M9*M8/1000000</f>
        <v>21.612664800705453</v>
      </c>
      <c r="N12" s="912">
        <f t="shared" si="11"/>
        <v>31.945650064672634</v>
      </c>
      <c r="O12" s="912">
        <f t="shared" si="11"/>
        <v>42.468394788364058</v>
      </c>
      <c r="P12" s="912">
        <f t="shared" si="11"/>
        <v>52.475210432347382</v>
      </c>
      <c r="Q12" s="912">
        <f t="shared" si="11"/>
        <v>51.95755344708757</v>
      </c>
      <c r="R12" s="912">
        <f t="shared" si="11"/>
        <v>50.703470966913251</v>
      </c>
      <c r="S12" s="912">
        <f t="shared" si="11"/>
        <v>49.315345355999199</v>
      </c>
      <c r="T12" s="912">
        <f t="shared" si="11"/>
        <v>48.05038987224912</v>
      </c>
      <c r="U12" s="912">
        <f t="shared" si="11"/>
        <v>46.902501417803713</v>
      </c>
      <c r="V12" s="912">
        <f t="shared" si="11"/>
        <v>46.097625684504585</v>
      </c>
      <c r="W12" s="912">
        <f t="shared" si="11"/>
        <v>45.162448763394067</v>
      </c>
      <c r="X12" s="912">
        <f t="shared" si="11"/>
        <v>44.328861861421565</v>
      </c>
    </row>
    <row r="13" spans="1:24" ht="13.5" thickBot="1">
      <c r="B13" s="916" t="s">
        <v>931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7">
        <f>CHOOSE($G$17,L11,L12)</f>
        <v>0</v>
      </c>
      <c r="M13" s="917">
        <f t="shared" ref="M13:X13" si="12">CHOOSE($G$17,M11,M12)</f>
        <v>21.612664800705453</v>
      </c>
      <c r="N13" s="917">
        <f t="shared" si="12"/>
        <v>31.945650064672634</v>
      </c>
      <c r="O13" s="917">
        <f t="shared" si="12"/>
        <v>42.468394788364058</v>
      </c>
      <c r="P13" s="917">
        <f t="shared" si="12"/>
        <v>52.475210432347382</v>
      </c>
      <c r="Q13" s="917">
        <f t="shared" si="12"/>
        <v>51.95755344708757</v>
      </c>
      <c r="R13" s="917">
        <f t="shared" si="12"/>
        <v>50.703470966913251</v>
      </c>
      <c r="S13" s="917">
        <f t="shared" si="12"/>
        <v>49.315345355999199</v>
      </c>
      <c r="T13" s="917">
        <f t="shared" si="12"/>
        <v>48.05038987224912</v>
      </c>
      <c r="U13" s="917">
        <f t="shared" si="12"/>
        <v>46.902501417803713</v>
      </c>
      <c r="V13" s="917">
        <f t="shared" si="12"/>
        <v>46.097625684504585</v>
      </c>
      <c r="W13" s="917">
        <f t="shared" si="12"/>
        <v>45.162448763394067</v>
      </c>
      <c r="X13" s="917">
        <f t="shared" si="12"/>
        <v>44.328861861421565</v>
      </c>
    </row>
    <row r="14" spans="1:24" ht="13.5" thickTop="1"/>
    <row r="16" spans="1:24" ht="13.5" thickBot="1">
      <c r="E16" s="739" t="s">
        <v>987</v>
      </c>
      <c r="F16" s="740"/>
      <c r="G16" s="740"/>
      <c r="H16" s="740"/>
      <c r="I16" s="742"/>
      <c r="J16" s="740"/>
      <c r="K16" s="740"/>
    </row>
    <row r="17" spans="5:11">
      <c r="E17" s="885" t="s">
        <v>776</v>
      </c>
      <c r="F17" s="886"/>
      <c r="G17" s="895">
        <f>DCF!$C$40</f>
        <v>2</v>
      </c>
      <c r="H17" s="887">
        <v>1</v>
      </c>
      <c r="I17" s="888" t="s">
        <v>985</v>
      </c>
      <c r="J17" s="886"/>
      <c r="K17" s="889"/>
    </row>
    <row r="18" spans="5:11" ht="13.5" thickBot="1">
      <c r="E18" s="896"/>
      <c r="F18" s="891"/>
      <c r="G18" s="892"/>
      <c r="H18" s="892">
        <v>2</v>
      </c>
      <c r="I18" s="893" t="s">
        <v>986</v>
      </c>
      <c r="J18" s="891"/>
      <c r="K18" s="894"/>
    </row>
  </sheetData>
  <dataValidations disablePrompts="1" count="1">
    <dataValidation type="list" allowBlank="1" showInputMessage="1" showErrorMessage="1" sqref="F16">
      <formula1>#REF!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U36"/>
  <sheetViews>
    <sheetView zoomScaleNormal="100" workbookViewId="0">
      <pane xSplit="2" topLeftCell="C1" activePane="topRight" state="frozen"/>
      <selection pane="topRight" activeCell="J18" sqref="J18"/>
    </sheetView>
  </sheetViews>
  <sheetFormatPr defaultRowHeight="12.75" outlineLevelRow="1"/>
  <cols>
    <col min="1" max="1" width="2.7109375" style="740" customWidth="1"/>
    <col min="2" max="2" width="43.7109375" style="740" customWidth="1"/>
    <col min="3" max="3" width="2.7109375" style="740" customWidth="1"/>
    <col min="4" max="4" width="7.5703125" style="740" bestFit="1" customWidth="1"/>
    <col min="5" max="5" width="9.5703125" style="740" customWidth="1"/>
    <col min="6" max="6" width="8.5703125" style="740" customWidth="1"/>
    <col min="7" max="7" width="9.140625" style="740" customWidth="1"/>
    <col min="8" max="8" width="7.5703125" style="740" bestFit="1" customWidth="1"/>
    <col min="9" max="10" width="9.140625" style="740"/>
    <col min="11" max="11" width="10.140625" style="740" customWidth="1"/>
    <col min="12" max="16384" width="9.140625" style="740"/>
  </cols>
  <sheetData>
    <row r="1" spans="2:21">
      <c r="B1" s="739" t="s">
        <v>775</v>
      </c>
      <c r="D1" s="1244">
        <f>DCF!$C$25</f>
        <v>2</v>
      </c>
      <c r="E1" s="1244"/>
      <c r="G1" s="1245" t="s">
        <v>465</v>
      </c>
      <c r="H1" s="1245"/>
      <c r="I1" s="1245"/>
    </row>
    <row r="4" spans="2:21" s="741" customFormat="1" ht="13.5" thickBot="1">
      <c r="B4" s="737"/>
      <c r="C4" s="737"/>
      <c r="D4" s="738">
        <v>2015</v>
      </c>
      <c r="E4" s="738">
        <v>2016</v>
      </c>
      <c r="F4" s="738">
        <v>2017</v>
      </c>
      <c r="G4" s="738">
        <v>2018</v>
      </c>
      <c r="H4" s="738">
        <v>2019</v>
      </c>
      <c r="I4" s="738">
        <v>2020</v>
      </c>
      <c r="J4" s="738">
        <v>2021</v>
      </c>
      <c r="K4" s="738">
        <v>2022</v>
      </c>
      <c r="L4" s="738">
        <v>2023</v>
      </c>
      <c r="M4" s="738">
        <v>2024</v>
      </c>
      <c r="N4" s="738">
        <v>2025</v>
      </c>
      <c r="O4" s="738">
        <v>2026</v>
      </c>
      <c r="P4" s="738">
        <v>2027</v>
      </c>
      <c r="Q4" s="738">
        <v>2028</v>
      </c>
      <c r="R4" s="738">
        <v>2029</v>
      </c>
      <c r="S4" s="738">
        <v>2030</v>
      </c>
    </row>
    <row r="5" spans="2:21">
      <c r="B5" s="736" t="s">
        <v>922</v>
      </c>
      <c r="C5" s="736"/>
      <c r="D5" s="736"/>
      <c r="E5" s="736"/>
      <c r="F5" s="736"/>
      <c r="G5" s="736"/>
      <c r="H5" s="736"/>
      <c r="I5" s="736"/>
      <c r="J5" s="736"/>
      <c r="K5" s="736"/>
      <c r="L5" s="736"/>
      <c r="M5" s="736"/>
      <c r="N5" s="736"/>
      <c r="O5" s="736"/>
      <c r="P5" s="736"/>
      <c r="Q5" s="736"/>
      <c r="R5" s="736"/>
      <c r="S5" s="736"/>
    </row>
    <row r="6" spans="2:21">
      <c r="D6" s="800"/>
    </row>
    <row r="7" spans="2:21">
      <c r="B7" s="742" t="s">
        <v>792</v>
      </c>
      <c r="D7" s="792">
        <v>321.3</v>
      </c>
      <c r="E7" s="743">
        <f>D7*(1+E8)</f>
        <v>323.54909999999995</v>
      </c>
      <c r="F7" s="743">
        <f t="shared" ref="F7:S7" si="0">E7*(1+F8)</f>
        <v>325.81394369999992</v>
      </c>
      <c r="G7" s="743">
        <f t="shared" si="0"/>
        <v>328.09464130589987</v>
      </c>
      <c r="H7" s="743">
        <f t="shared" si="0"/>
        <v>330.39130379504115</v>
      </c>
      <c r="I7" s="743">
        <f t="shared" si="0"/>
        <v>332.7040429216064</v>
      </c>
      <c r="J7" s="743">
        <f t="shared" si="0"/>
        <v>335.0329712220576</v>
      </c>
      <c r="K7" s="743">
        <f t="shared" si="0"/>
        <v>337.37820202061198</v>
      </c>
      <c r="L7" s="743">
        <f t="shared" si="0"/>
        <v>339.73984943475625</v>
      </c>
      <c r="M7" s="743">
        <f t="shared" si="0"/>
        <v>342.1180283807995</v>
      </c>
      <c r="N7" s="743">
        <f t="shared" si="0"/>
        <v>344.51285457946506</v>
      </c>
      <c r="O7" s="743">
        <f t="shared" si="0"/>
        <v>346.92444456152128</v>
      </c>
      <c r="P7" s="743">
        <f t="shared" si="0"/>
        <v>349.35291567345189</v>
      </c>
      <c r="Q7" s="743">
        <f t="shared" si="0"/>
        <v>351.79838608316601</v>
      </c>
      <c r="R7" s="743">
        <f t="shared" si="0"/>
        <v>354.26097478574815</v>
      </c>
      <c r="S7" s="743">
        <f t="shared" si="0"/>
        <v>356.74080160924836</v>
      </c>
    </row>
    <row r="8" spans="2:21" s="744" customFormat="1" ht="12">
      <c r="B8" s="744" t="s">
        <v>791</v>
      </c>
      <c r="D8" s="791">
        <v>7.0000000000000001E-3</v>
      </c>
      <c r="E8" s="744">
        <f>D8</f>
        <v>7.0000000000000001E-3</v>
      </c>
      <c r="F8" s="744">
        <f t="shared" ref="F8:S8" si="1">E8</f>
        <v>7.0000000000000001E-3</v>
      </c>
      <c r="G8" s="744">
        <f t="shared" si="1"/>
        <v>7.0000000000000001E-3</v>
      </c>
      <c r="H8" s="744">
        <f t="shared" si="1"/>
        <v>7.0000000000000001E-3</v>
      </c>
      <c r="I8" s="744">
        <f t="shared" si="1"/>
        <v>7.0000000000000001E-3</v>
      </c>
      <c r="J8" s="744">
        <f t="shared" si="1"/>
        <v>7.0000000000000001E-3</v>
      </c>
      <c r="K8" s="744">
        <f t="shared" si="1"/>
        <v>7.0000000000000001E-3</v>
      </c>
      <c r="L8" s="744">
        <f t="shared" si="1"/>
        <v>7.0000000000000001E-3</v>
      </c>
      <c r="M8" s="744">
        <f t="shared" si="1"/>
        <v>7.0000000000000001E-3</v>
      </c>
      <c r="N8" s="744">
        <f t="shared" si="1"/>
        <v>7.0000000000000001E-3</v>
      </c>
      <c r="O8" s="744">
        <f t="shared" si="1"/>
        <v>7.0000000000000001E-3</v>
      </c>
      <c r="P8" s="744">
        <f t="shared" si="1"/>
        <v>7.0000000000000001E-3</v>
      </c>
      <c r="Q8" s="744">
        <f t="shared" si="1"/>
        <v>7.0000000000000001E-3</v>
      </c>
      <c r="R8" s="744">
        <f t="shared" si="1"/>
        <v>7.0000000000000001E-3</v>
      </c>
      <c r="S8" s="744">
        <f t="shared" si="1"/>
        <v>7.0000000000000001E-3</v>
      </c>
    </row>
    <row r="9" spans="2:21" s="743" customFormat="1">
      <c r="B9" s="745" t="s">
        <v>923</v>
      </c>
      <c r="D9" s="743">
        <f>(200/100000)*D7*1000000</f>
        <v>642600.00000000012</v>
      </c>
      <c r="E9" s="743">
        <f t="shared" ref="E9:S9" si="2">(200/100000)*E7*1000000</f>
        <v>647098.19999999995</v>
      </c>
      <c r="F9" s="743">
        <f t="shared" si="2"/>
        <v>651627.88739999989</v>
      </c>
      <c r="G9" s="743">
        <f t="shared" si="2"/>
        <v>656189.28261179978</v>
      </c>
      <c r="H9" s="743">
        <f t="shared" si="2"/>
        <v>660782.60759008233</v>
      </c>
      <c r="I9" s="743">
        <f t="shared" si="2"/>
        <v>665408.0858432129</v>
      </c>
      <c r="J9" s="743">
        <f t="shared" si="2"/>
        <v>670065.94244411518</v>
      </c>
      <c r="K9" s="743">
        <f t="shared" si="2"/>
        <v>674756.40404122393</v>
      </c>
      <c r="L9" s="743">
        <f t="shared" si="2"/>
        <v>679479.69886951253</v>
      </c>
      <c r="M9" s="743">
        <f t="shared" si="2"/>
        <v>684236.05676159903</v>
      </c>
      <c r="N9" s="743">
        <f t="shared" si="2"/>
        <v>689025.70915893011</v>
      </c>
      <c r="O9" s="743">
        <f t="shared" si="2"/>
        <v>693848.88912304258</v>
      </c>
      <c r="P9" s="743">
        <f t="shared" si="2"/>
        <v>698705.83134690381</v>
      </c>
      <c r="Q9" s="743">
        <f t="shared" si="2"/>
        <v>703596.772166332</v>
      </c>
      <c r="R9" s="743">
        <f t="shared" si="2"/>
        <v>708521.94957149622</v>
      </c>
      <c r="S9" s="743">
        <f t="shared" si="2"/>
        <v>713481.60321849678</v>
      </c>
    </row>
    <row r="10" spans="2:21" s="743" customFormat="1" ht="7.5" customHeight="1">
      <c r="B10" s="745"/>
    </row>
    <row r="11" spans="2:21">
      <c r="B11" s="742" t="s">
        <v>924</v>
      </c>
      <c r="D11" s="793">
        <v>0.45</v>
      </c>
      <c r="E11" s="746">
        <f>D11</f>
        <v>0.45</v>
      </c>
      <c r="F11" s="746">
        <f t="shared" ref="F11:S11" si="3">E11</f>
        <v>0.45</v>
      </c>
      <c r="G11" s="746">
        <f t="shared" si="3"/>
        <v>0.45</v>
      </c>
      <c r="H11" s="746">
        <f t="shared" si="3"/>
        <v>0.45</v>
      </c>
      <c r="I11" s="746">
        <f t="shared" si="3"/>
        <v>0.45</v>
      </c>
      <c r="J11" s="746">
        <f t="shared" si="3"/>
        <v>0.45</v>
      </c>
      <c r="K11" s="746">
        <f t="shared" si="3"/>
        <v>0.45</v>
      </c>
      <c r="L11" s="746">
        <f t="shared" si="3"/>
        <v>0.45</v>
      </c>
      <c r="M11" s="746">
        <f t="shared" si="3"/>
        <v>0.45</v>
      </c>
      <c r="N11" s="746">
        <f t="shared" si="3"/>
        <v>0.45</v>
      </c>
      <c r="O11" s="746">
        <f t="shared" si="3"/>
        <v>0.45</v>
      </c>
      <c r="P11" s="746">
        <f t="shared" si="3"/>
        <v>0.45</v>
      </c>
      <c r="Q11" s="746">
        <f t="shared" si="3"/>
        <v>0.45</v>
      </c>
      <c r="R11" s="746">
        <f t="shared" si="3"/>
        <v>0.45</v>
      </c>
      <c r="S11" s="746">
        <f t="shared" si="3"/>
        <v>0.45</v>
      </c>
    </row>
    <row r="12" spans="2:21">
      <c r="B12" s="742" t="s">
        <v>925</v>
      </c>
      <c r="D12" s="743">
        <f>D11*D9</f>
        <v>289170.00000000006</v>
      </c>
      <c r="E12" s="743">
        <f t="shared" ref="E12:S12" si="4">E11*E9</f>
        <v>291194.19</v>
      </c>
      <c r="F12" s="743">
        <f t="shared" si="4"/>
        <v>293232.54932999995</v>
      </c>
      <c r="G12" s="743">
        <f t="shared" si="4"/>
        <v>295285.17717530992</v>
      </c>
      <c r="H12" s="743">
        <f t="shared" si="4"/>
        <v>297352.17341553705</v>
      </c>
      <c r="I12" s="743">
        <f t="shared" si="4"/>
        <v>299433.63862944581</v>
      </c>
      <c r="J12" s="743">
        <f t="shared" si="4"/>
        <v>301529.67409985187</v>
      </c>
      <c r="K12" s="743">
        <f t="shared" si="4"/>
        <v>303640.38181855076</v>
      </c>
      <c r="L12" s="743">
        <f t="shared" si="4"/>
        <v>305765.86449128063</v>
      </c>
      <c r="M12" s="743">
        <f t="shared" si="4"/>
        <v>307906.22554271959</v>
      </c>
      <c r="N12" s="743">
        <f t="shared" si="4"/>
        <v>310061.56912151858</v>
      </c>
      <c r="O12" s="743">
        <f t="shared" si="4"/>
        <v>312232.0001053692</v>
      </c>
      <c r="P12" s="743">
        <f t="shared" si="4"/>
        <v>314417.6241061067</v>
      </c>
      <c r="Q12" s="743">
        <f t="shared" si="4"/>
        <v>316618.54747484939</v>
      </c>
      <c r="R12" s="743">
        <f t="shared" si="4"/>
        <v>318834.87730717333</v>
      </c>
      <c r="S12" s="743">
        <f t="shared" si="4"/>
        <v>321066.72144832357</v>
      </c>
      <c r="T12" s="743"/>
      <c r="U12" s="743"/>
    </row>
    <row r="13" spans="2:21">
      <c r="B13" s="742" t="s">
        <v>928</v>
      </c>
      <c r="D13" s="793">
        <v>0.15</v>
      </c>
      <c r="E13" s="746">
        <f>D13</f>
        <v>0.15</v>
      </c>
      <c r="F13" s="746">
        <f t="shared" ref="F13:S13" si="5">E13</f>
        <v>0.15</v>
      </c>
      <c r="G13" s="746">
        <f t="shared" si="5"/>
        <v>0.15</v>
      </c>
      <c r="H13" s="746">
        <f t="shared" si="5"/>
        <v>0.15</v>
      </c>
      <c r="I13" s="746">
        <f t="shared" si="5"/>
        <v>0.15</v>
      </c>
      <c r="J13" s="746">
        <f t="shared" si="5"/>
        <v>0.15</v>
      </c>
      <c r="K13" s="746">
        <f t="shared" si="5"/>
        <v>0.15</v>
      </c>
      <c r="L13" s="746">
        <f t="shared" si="5"/>
        <v>0.15</v>
      </c>
      <c r="M13" s="746">
        <f t="shared" si="5"/>
        <v>0.15</v>
      </c>
      <c r="N13" s="746">
        <f t="shared" si="5"/>
        <v>0.15</v>
      </c>
      <c r="O13" s="746">
        <f t="shared" si="5"/>
        <v>0.15</v>
      </c>
      <c r="P13" s="746">
        <f t="shared" si="5"/>
        <v>0.15</v>
      </c>
      <c r="Q13" s="746">
        <f t="shared" si="5"/>
        <v>0.15</v>
      </c>
      <c r="R13" s="746">
        <f t="shared" si="5"/>
        <v>0.15</v>
      </c>
      <c r="S13" s="746">
        <f t="shared" si="5"/>
        <v>0.15</v>
      </c>
    </row>
    <row r="14" spans="2:21" ht="12.75" customHeight="1">
      <c r="B14" s="794" t="s">
        <v>926</v>
      </c>
      <c r="C14" s="795"/>
      <c r="D14" s="796">
        <f>D13*D12</f>
        <v>43375.500000000007</v>
      </c>
      <c r="E14" s="796">
        <f t="shared" ref="E14:S14" si="6">E13*E12</f>
        <v>43679.128499999999</v>
      </c>
      <c r="F14" s="796">
        <f t="shared" si="6"/>
        <v>43984.882399499991</v>
      </c>
      <c r="G14" s="796">
        <f t="shared" si="6"/>
        <v>44292.776576296485</v>
      </c>
      <c r="H14" s="796">
        <f t="shared" si="6"/>
        <v>44602.826012330559</v>
      </c>
      <c r="I14" s="796">
        <f t="shared" si="6"/>
        <v>44915.045794416867</v>
      </c>
      <c r="J14" s="796">
        <f t="shared" si="6"/>
        <v>45229.451114977775</v>
      </c>
      <c r="K14" s="796">
        <f t="shared" si="6"/>
        <v>45546.057272782615</v>
      </c>
      <c r="L14" s="796">
        <f t="shared" si="6"/>
        <v>45864.879673692092</v>
      </c>
      <c r="M14" s="796">
        <f t="shared" si="6"/>
        <v>46185.933831407936</v>
      </c>
      <c r="N14" s="796">
        <f t="shared" si="6"/>
        <v>46509.235368227783</v>
      </c>
      <c r="O14" s="796">
        <f t="shared" si="6"/>
        <v>46834.800015805376</v>
      </c>
      <c r="P14" s="796">
        <f t="shared" si="6"/>
        <v>47162.643615916</v>
      </c>
      <c r="Q14" s="796">
        <f t="shared" si="6"/>
        <v>47492.782121227407</v>
      </c>
      <c r="R14" s="796">
        <f t="shared" si="6"/>
        <v>47825.231596075995</v>
      </c>
      <c r="S14" s="796">
        <f t="shared" si="6"/>
        <v>48160.008217248534</v>
      </c>
    </row>
    <row r="15" spans="2:21" ht="12.75" customHeight="1">
      <c r="B15" s="742" t="s">
        <v>927</v>
      </c>
      <c r="D15" s="743">
        <f>D12-D14</f>
        <v>245794.50000000006</v>
      </c>
      <c r="E15" s="743">
        <f t="shared" ref="E15:S15" si="7">E12-E14</f>
        <v>247515.06150000001</v>
      </c>
      <c r="F15" s="743">
        <f t="shared" si="7"/>
        <v>249247.66693049995</v>
      </c>
      <c r="G15" s="743">
        <f t="shared" si="7"/>
        <v>250992.40059901343</v>
      </c>
      <c r="H15" s="743">
        <f t="shared" si="7"/>
        <v>252749.34740320648</v>
      </c>
      <c r="I15" s="743">
        <f t="shared" si="7"/>
        <v>254518.59283502895</v>
      </c>
      <c r="J15" s="743">
        <f t="shared" si="7"/>
        <v>256300.2229848741</v>
      </c>
      <c r="K15" s="743">
        <f t="shared" si="7"/>
        <v>258094.32454576815</v>
      </c>
      <c r="L15" s="743">
        <f t="shared" si="7"/>
        <v>259900.98481758853</v>
      </c>
      <c r="M15" s="743">
        <f t="shared" si="7"/>
        <v>261720.29171131167</v>
      </c>
      <c r="N15" s="743">
        <f t="shared" si="7"/>
        <v>263552.33375329082</v>
      </c>
      <c r="O15" s="743">
        <f t="shared" si="7"/>
        <v>265397.20008956385</v>
      </c>
      <c r="P15" s="743">
        <f t="shared" si="7"/>
        <v>267254.98049019068</v>
      </c>
      <c r="Q15" s="743">
        <f t="shared" si="7"/>
        <v>269125.76535362197</v>
      </c>
      <c r="R15" s="743">
        <f t="shared" si="7"/>
        <v>271009.64571109734</v>
      </c>
      <c r="S15" s="743">
        <f t="shared" si="7"/>
        <v>272906.71323107503</v>
      </c>
    </row>
    <row r="16" spans="2:21">
      <c r="D16" s="790"/>
    </row>
    <row r="17" spans="1:19">
      <c r="B17" s="735" t="s">
        <v>793</v>
      </c>
      <c r="C17" s="734"/>
      <c r="D17" s="734"/>
      <c r="E17" s="734"/>
      <c r="F17" s="734"/>
      <c r="G17" s="734"/>
      <c r="H17" s="734"/>
      <c r="I17" s="734"/>
      <c r="J17" s="734"/>
      <c r="K17" s="734"/>
      <c r="L17" s="734"/>
      <c r="M17" s="734"/>
      <c r="N17" s="734"/>
      <c r="O17" s="734"/>
      <c r="P17" s="734"/>
      <c r="Q17" s="734"/>
      <c r="R17" s="734"/>
      <c r="S17" s="734"/>
    </row>
    <row r="18" spans="1:19">
      <c r="E18" s="790"/>
    </row>
    <row r="19" spans="1:19" s="746" customFormat="1" outlineLevel="1">
      <c r="B19" s="733" t="s">
        <v>463</v>
      </c>
      <c r="C19" s="733"/>
      <c r="D19" s="797">
        <v>0</v>
      </c>
      <c r="E19" s="733">
        <f t="shared" ref="E19:G21" si="8">D19</f>
        <v>0</v>
      </c>
      <c r="F19" s="733">
        <f t="shared" si="8"/>
        <v>0</v>
      </c>
      <c r="G19" s="733">
        <f t="shared" si="8"/>
        <v>0</v>
      </c>
      <c r="H19" s="733">
        <f>G19</f>
        <v>0</v>
      </c>
      <c r="I19" s="733">
        <f t="shared" ref="I19:O19" si="9">I20*1.5</f>
        <v>7.4999999999999997E-3</v>
      </c>
      <c r="J19" s="733">
        <f t="shared" si="9"/>
        <v>3.7500000000000006E-2</v>
      </c>
      <c r="K19" s="733">
        <f t="shared" si="9"/>
        <v>9.375E-2</v>
      </c>
      <c r="L19" s="733">
        <f t="shared" si="9"/>
        <v>0.1640625</v>
      </c>
      <c r="M19" s="733">
        <f t="shared" si="9"/>
        <v>0.24609375</v>
      </c>
      <c r="N19" s="733">
        <f t="shared" si="9"/>
        <v>0.28300781249999996</v>
      </c>
      <c r="O19" s="733">
        <f t="shared" si="9"/>
        <v>0.29715820312499996</v>
      </c>
      <c r="P19" s="733">
        <f>P20*1.5</f>
        <v>0.29715820312499996</v>
      </c>
      <c r="Q19" s="733">
        <f>Q20*1.5</f>
        <v>0.29715820312499996</v>
      </c>
      <c r="R19" s="733">
        <f>R20*1.5</f>
        <v>0.29715820312499996</v>
      </c>
      <c r="S19" s="733">
        <f>S20*1.5</f>
        <v>0.29715820312499996</v>
      </c>
    </row>
    <row r="20" spans="1:19" s="746" customFormat="1" outlineLevel="1">
      <c r="B20" s="733" t="s">
        <v>464</v>
      </c>
      <c r="C20" s="733"/>
      <c r="D20" s="797">
        <v>0</v>
      </c>
      <c r="E20" s="733">
        <f t="shared" si="8"/>
        <v>0</v>
      </c>
      <c r="F20" s="733">
        <f t="shared" si="8"/>
        <v>0</v>
      </c>
      <c r="G20" s="733">
        <f t="shared" si="8"/>
        <v>0</v>
      </c>
      <c r="H20" s="979">
        <f>G20</f>
        <v>0</v>
      </c>
      <c r="I20" s="797">
        <v>5.0000000000000001E-3</v>
      </c>
      <c r="J20" s="733">
        <f>I20*5</f>
        <v>2.5000000000000001E-2</v>
      </c>
      <c r="K20" s="733">
        <f>J20*2.5</f>
        <v>6.25E-2</v>
      </c>
      <c r="L20" s="733">
        <f>K20*1.75</f>
        <v>0.109375</v>
      </c>
      <c r="M20" s="733">
        <f>L20*1.5</f>
        <v>0.1640625</v>
      </c>
      <c r="N20" s="733">
        <f>M20*1.15</f>
        <v>0.18867187499999999</v>
      </c>
      <c r="O20" s="733">
        <f>N20*1.05</f>
        <v>0.19810546874999999</v>
      </c>
      <c r="P20" s="733">
        <f t="shared" ref="P20:S20" si="10">O20</f>
        <v>0.19810546874999999</v>
      </c>
      <c r="Q20" s="733">
        <f t="shared" si="10"/>
        <v>0.19810546874999999</v>
      </c>
      <c r="R20" s="733">
        <f t="shared" si="10"/>
        <v>0.19810546874999999</v>
      </c>
      <c r="S20" s="733">
        <f t="shared" si="10"/>
        <v>0.19810546874999999</v>
      </c>
    </row>
    <row r="21" spans="1:19" s="746" customFormat="1" outlineLevel="1">
      <c r="B21" s="733" t="s">
        <v>462</v>
      </c>
      <c r="C21" s="733"/>
      <c r="D21" s="797">
        <v>0</v>
      </c>
      <c r="E21" s="733">
        <f t="shared" si="8"/>
        <v>0</v>
      </c>
      <c r="F21" s="733">
        <f t="shared" si="8"/>
        <v>0</v>
      </c>
      <c r="G21" s="733">
        <f t="shared" si="8"/>
        <v>0</v>
      </c>
      <c r="H21" s="979">
        <f>G21</f>
        <v>0</v>
      </c>
      <c r="I21" s="797">
        <v>0</v>
      </c>
      <c r="J21" s="733">
        <f t="shared" ref="J21:P21" si="11">I21</f>
        <v>0</v>
      </c>
      <c r="K21" s="733">
        <f t="shared" si="11"/>
        <v>0</v>
      </c>
      <c r="L21" s="733">
        <f t="shared" si="11"/>
        <v>0</v>
      </c>
      <c r="M21" s="733">
        <f t="shared" si="11"/>
        <v>0</v>
      </c>
      <c r="N21" s="733">
        <f t="shared" si="11"/>
        <v>0</v>
      </c>
      <c r="O21" s="733">
        <f t="shared" si="11"/>
        <v>0</v>
      </c>
      <c r="P21" s="733">
        <f t="shared" si="11"/>
        <v>0</v>
      </c>
      <c r="Q21" s="733">
        <f>P21</f>
        <v>0</v>
      </c>
      <c r="R21" s="733">
        <f>Q21</f>
        <v>0</v>
      </c>
      <c r="S21" s="733">
        <f>R21</f>
        <v>0</v>
      </c>
    </row>
    <row r="22" spans="1:19" s="746" customFormat="1">
      <c r="A22" s="747" t="s">
        <v>78</v>
      </c>
      <c r="B22" s="733" t="s">
        <v>797</v>
      </c>
      <c r="C22" s="733"/>
      <c r="D22" s="733">
        <f>CHOOSE($D$1,D19,D20,D21)</f>
        <v>0</v>
      </c>
      <c r="E22" s="733">
        <f t="shared" ref="E22:S22" si="12">CHOOSE($D$1,E19,E20,E21)</f>
        <v>0</v>
      </c>
      <c r="F22" s="733">
        <f t="shared" si="12"/>
        <v>0</v>
      </c>
      <c r="G22" s="733">
        <f t="shared" si="12"/>
        <v>0</v>
      </c>
      <c r="H22" s="733">
        <f t="shared" si="12"/>
        <v>0</v>
      </c>
      <c r="I22" s="733">
        <f t="shared" si="12"/>
        <v>5.0000000000000001E-3</v>
      </c>
      <c r="J22" s="733">
        <f t="shared" si="12"/>
        <v>2.5000000000000001E-2</v>
      </c>
      <c r="K22" s="733">
        <f t="shared" si="12"/>
        <v>6.25E-2</v>
      </c>
      <c r="L22" s="733">
        <f t="shared" si="12"/>
        <v>0.109375</v>
      </c>
      <c r="M22" s="733">
        <f t="shared" si="12"/>
        <v>0.1640625</v>
      </c>
      <c r="N22" s="733">
        <f t="shared" si="12"/>
        <v>0.18867187499999999</v>
      </c>
      <c r="O22" s="733">
        <f t="shared" si="12"/>
        <v>0.19810546874999999</v>
      </c>
      <c r="P22" s="733">
        <f t="shared" si="12"/>
        <v>0.19810546874999999</v>
      </c>
      <c r="Q22" s="733">
        <f t="shared" si="12"/>
        <v>0.19810546874999999</v>
      </c>
      <c r="R22" s="733">
        <f t="shared" si="12"/>
        <v>0.19810546874999999</v>
      </c>
      <c r="S22" s="733">
        <f t="shared" si="12"/>
        <v>0.19810546874999999</v>
      </c>
    </row>
    <row r="23" spans="1:19" s="743" customFormat="1">
      <c r="B23" s="745" t="s">
        <v>932</v>
      </c>
      <c r="H23" s="743">
        <f t="shared" ref="H23:S23" si="13">H22*H15</f>
        <v>0</v>
      </c>
      <c r="I23" s="743">
        <f t="shared" si="13"/>
        <v>1272.5929641751447</v>
      </c>
      <c r="J23" s="743">
        <f t="shared" si="13"/>
        <v>6407.5055746218532</v>
      </c>
      <c r="K23" s="743">
        <f t="shared" si="13"/>
        <v>16130.895284110509</v>
      </c>
      <c r="L23" s="743">
        <f t="shared" si="13"/>
        <v>28426.670214423746</v>
      </c>
      <c r="M23" s="743">
        <f t="shared" si="13"/>
        <v>42938.485358887068</v>
      </c>
      <c r="N23" s="743">
        <f t="shared" si="13"/>
        <v>49724.912969859164</v>
      </c>
      <c r="O23" s="743">
        <f t="shared" si="13"/>
        <v>52576.636728680583</v>
      </c>
      <c r="P23" s="743">
        <f t="shared" si="13"/>
        <v>52944.673185781321</v>
      </c>
      <c r="Q23" s="743">
        <f t="shared" si="13"/>
        <v>53315.285898081784</v>
      </c>
      <c r="R23" s="743">
        <f t="shared" si="13"/>
        <v>53688.492899368364</v>
      </c>
      <c r="S23" s="743">
        <f t="shared" si="13"/>
        <v>54064.312349663945</v>
      </c>
    </row>
    <row r="25" spans="1:19">
      <c r="B25" s="735" t="s">
        <v>314</v>
      </c>
      <c r="C25" s="735"/>
      <c r="D25" s="735"/>
      <c r="E25" s="735"/>
      <c r="F25" s="735"/>
      <c r="G25" s="735"/>
      <c r="H25" s="735"/>
      <c r="I25" s="735"/>
      <c r="J25" s="735"/>
      <c r="K25" s="735"/>
      <c r="L25" s="735"/>
      <c r="M25" s="735"/>
      <c r="N25" s="735"/>
      <c r="O25" s="735"/>
      <c r="P25" s="735"/>
      <c r="Q25" s="735"/>
      <c r="R25" s="735"/>
      <c r="S25" s="735"/>
    </row>
    <row r="27" spans="1:19" s="748" customFormat="1">
      <c r="B27" s="749" t="s">
        <v>933</v>
      </c>
      <c r="G27" s="750"/>
      <c r="H27" s="750"/>
      <c r="I27" s="750">
        <v>35000</v>
      </c>
      <c r="J27" s="748">
        <f t="shared" ref="J27:S27" si="14">I27*(1+J28)</f>
        <v>36050</v>
      </c>
      <c r="K27" s="748">
        <f t="shared" si="14"/>
        <v>37131.5</v>
      </c>
      <c r="L27" s="748">
        <f t="shared" si="14"/>
        <v>38245.445</v>
      </c>
      <c r="M27" s="748">
        <f t="shared" si="14"/>
        <v>39392.808349999999</v>
      </c>
      <c r="N27" s="748">
        <f t="shared" si="14"/>
        <v>40574.5926005</v>
      </c>
      <c r="O27" s="748">
        <f t="shared" si="14"/>
        <v>41386.084452510004</v>
      </c>
      <c r="P27" s="748">
        <f t="shared" si="14"/>
        <v>42213.806141560206</v>
      </c>
      <c r="Q27" s="748">
        <f t="shared" si="14"/>
        <v>43058.082264391414</v>
      </c>
      <c r="R27" s="748">
        <f t="shared" si="14"/>
        <v>43919.243909679244</v>
      </c>
      <c r="S27" s="748">
        <f t="shared" si="14"/>
        <v>4391.9243909679235</v>
      </c>
    </row>
    <row r="28" spans="1:19" s="751" customFormat="1">
      <c r="B28" s="751" t="s">
        <v>800</v>
      </c>
      <c r="E28" s="752"/>
      <c r="F28" s="752"/>
      <c r="G28" s="752"/>
      <c r="H28" s="753"/>
      <c r="I28" s="753"/>
      <c r="J28" s="753">
        <v>0.03</v>
      </c>
      <c r="K28" s="752">
        <f>J28</f>
        <v>0.03</v>
      </c>
      <c r="L28" s="752">
        <f>K28</f>
        <v>0.03</v>
      </c>
      <c r="M28" s="752">
        <f>L28</f>
        <v>0.03</v>
      </c>
      <c r="N28" s="752">
        <f>M28</f>
        <v>0.03</v>
      </c>
      <c r="O28" s="753">
        <v>0.02</v>
      </c>
      <c r="P28" s="752">
        <f>O28</f>
        <v>0.02</v>
      </c>
      <c r="Q28" s="752">
        <f>P28</f>
        <v>0.02</v>
      </c>
      <c r="R28" s="752">
        <f>Q28</f>
        <v>0.02</v>
      </c>
      <c r="S28" s="752">
        <v>-0.9</v>
      </c>
    </row>
    <row r="29" spans="1:19" s="751" customFormat="1">
      <c r="E29" s="753"/>
      <c r="F29" s="752"/>
      <c r="G29" s="752"/>
      <c r="H29" s="752"/>
      <c r="I29" s="752"/>
      <c r="J29" s="752"/>
      <c r="K29" s="752"/>
      <c r="L29" s="752"/>
      <c r="M29" s="752"/>
      <c r="N29" s="752"/>
      <c r="O29" s="752"/>
      <c r="P29" s="752"/>
      <c r="Q29" s="752"/>
      <c r="R29" s="752"/>
      <c r="S29" s="752"/>
    </row>
    <row r="30" spans="1:19" s="754" customFormat="1">
      <c r="B30" s="613" t="s">
        <v>934</v>
      </c>
      <c r="C30" s="613"/>
      <c r="D30" s="613"/>
      <c r="E30" s="613"/>
      <c r="F30" s="613"/>
      <c r="G30" s="613"/>
      <c r="H30" s="512">
        <f t="shared" ref="H30:S30" si="15">H23*H27/1000000</f>
        <v>0</v>
      </c>
      <c r="I30" s="512">
        <f t="shared" si="15"/>
        <v>44.540753746130065</v>
      </c>
      <c r="J30" s="512">
        <f t="shared" si="15"/>
        <v>230.99057596511781</v>
      </c>
      <c r="K30" s="512">
        <f t="shared" si="15"/>
        <v>598.96433824194935</v>
      </c>
      <c r="L30" s="512">
        <f t="shared" si="15"/>
        <v>1087.1906522188815</v>
      </c>
      <c r="M30" s="512">
        <f t="shared" si="15"/>
        <v>1691.4675245819192</v>
      </c>
      <c r="N30" s="512">
        <f t="shared" si="15"/>
        <v>2017.5680858473543</v>
      </c>
      <c r="O30" s="512">
        <f t="shared" si="15"/>
        <v>2175.941127882114</v>
      </c>
      <c r="P30" s="512">
        <f t="shared" si="15"/>
        <v>2234.9961700928334</v>
      </c>
      <c r="Q30" s="512">
        <f t="shared" si="15"/>
        <v>2295.6539661491529</v>
      </c>
      <c r="R30" s="512">
        <f t="shared" si="15"/>
        <v>2357.9580147904417</v>
      </c>
      <c r="S30" s="512">
        <f t="shared" si="15"/>
        <v>237.44637208939741</v>
      </c>
    </row>
    <row r="31" spans="1:19">
      <c r="H31" s="799"/>
    </row>
    <row r="32" spans="1:19">
      <c r="H32" s="742"/>
    </row>
    <row r="33" spans="4:11">
      <c r="H33" s="742"/>
    </row>
    <row r="34" spans="4:11">
      <c r="D34" s="742"/>
      <c r="H34" s="742"/>
      <c r="K34" s="798"/>
    </row>
    <row r="35" spans="4:11">
      <c r="D35" s="742"/>
      <c r="H35" s="742"/>
      <c r="K35" s="790"/>
    </row>
    <row r="36" spans="4:11">
      <c r="D36" s="742"/>
    </row>
  </sheetData>
  <mergeCells count="2">
    <mergeCell ref="D1:E1"/>
    <mergeCell ref="G1:I1"/>
  </mergeCells>
  <pageMargins left="0.7" right="0.7" top="0.75" bottom="0.75" header="0.3" footer="0.3"/>
  <pageSetup orientation="portrait" r:id="rId1"/>
  <ignoredErrors>
    <ignoredError sqref="E12 G12 F12 H12:S12" formula="1"/>
  </ignoredErrors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FF00"/>
  </sheetPr>
  <dimension ref="A1"/>
  <sheetViews>
    <sheetView showGridLines="0" zoomScaleNormal="100" workbookViewId="0">
      <selection activeCell="N27" sqref="N27"/>
    </sheetView>
  </sheetViews>
  <sheetFormatPr defaultRowHeight="12.75"/>
  <sheetData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pageSetUpPr fitToPage="1"/>
  </sheetPr>
  <dimension ref="A1:R52"/>
  <sheetViews>
    <sheetView zoomScaleNormal="100" workbookViewId="0">
      <pane xSplit="2" ySplit="3" topLeftCell="F4" activePane="bottomRight" state="frozen"/>
      <selection pane="topRight" activeCell="C1" sqref="C1"/>
      <selection pane="bottomLeft" activeCell="A4" sqref="A4"/>
      <selection pane="bottomRight" activeCell="G29" sqref="G29"/>
    </sheetView>
  </sheetViews>
  <sheetFormatPr defaultRowHeight="12.75" outlineLevelRow="1"/>
  <cols>
    <col min="2" max="2" width="20.140625" customWidth="1"/>
    <col min="3" max="3" width="9.28515625" bestFit="1" customWidth="1"/>
    <col min="4" max="6" width="10.140625" bestFit="1" customWidth="1"/>
    <col min="7" max="7" width="29.7109375" customWidth="1"/>
    <col min="8" max="18" width="8.7109375" customWidth="1"/>
  </cols>
  <sheetData>
    <row r="1" spans="1:18">
      <c r="A1" s="25" t="s">
        <v>949</v>
      </c>
    </row>
    <row r="2" spans="1:18">
      <c r="E2" s="829"/>
      <c r="G2" s="140"/>
      <c r="H2" s="829"/>
      <c r="I2" s="829"/>
      <c r="K2" s="829"/>
      <c r="L2" s="829"/>
    </row>
    <row r="3" spans="1:18">
      <c r="B3" s="824"/>
      <c r="C3" s="825">
        <v>2015</v>
      </c>
      <c r="D3" s="825">
        <f t="shared" ref="D3:R3" si="0">C3+1</f>
        <v>2016</v>
      </c>
      <c r="E3" s="825">
        <f t="shared" si="0"/>
        <v>2017</v>
      </c>
      <c r="F3" s="825">
        <f t="shared" si="0"/>
        <v>2018</v>
      </c>
      <c r="G3" s="825">
        <f t="shared" si="0"/>
        <v>2019</v>
      </c>
      <c r="H3" s="825">
        <f t="shared" si="0"/>
        <v>2020</v>
      </c>
      <c r="I3" s="825">
        <f t="shared" si="0"/>
        <v>2021</v>
      </c>
      <c r="J3" s="825">
        <f t="shared" si="0"/>
        <v>2022</v>
      </c>
      <c r="K3" s="825">
        <f t="shared" si="0"/>
        <v>2023</v>
      </c>
      <c r="L3" s="825">
        <f t="shared" si="0"/>
        <v>2024</v>
      </c>
      <c r="M3" s="825">
        <f t="shared" si="0"/>
        <v>2025</v>
      </c>
      <c r="N3" s="825">
        <f t="shared" si="0"/>
        <v>2026</v>
      </c>
      <c r="O3" s="825">
        <f t="shared" si="0"/>
        <v>2027</v>
      </c>
      <c r="P3" s="825">
        <f t="shared" si="0"/>
        <v>2028</v>
      </c>
      <c r="Q3" s="825">
        <f t="shared" si="0"/>
        <v>2029</v>
      </c>
      <c r="R3" s="825">
        <f t="shared" si="0"/>
        <v>2030</v>
      </c>
    </row>
    <row r="4" spans="1:18">
      <c r="B4" s="824"/>
      <c r="C4" s="825"/>
      <c r="D4" s="825"/>
      <c r="E4" s="825"/>
      <c r="F4" s="825"/>
      <c r="G4" s="825"/>
      <c r="H4" s="825"/>
      <c r="I4" s="825"/>
      <c r="J4" s="825"/>
      <c r="K4" s="825"/>
      <c r="L4" s="825"/>
      <c r="M4" s="825"/>
      <c r="N4" s="825"/>
      <c r="O4" s="825"/>
      <c r="P4" s="825"/>
      <c r="Q4" s="825"/>
      <c r="R4" s="825"/>
    </row>
    <row r="5" spans="1:18">
      <c r="B5" s="824"/>
      <c r="C5" s="825"/>
      <c r="D5" s="825"/>
      <c r="E5" s="825"/>
      <c r="F5" s="825"/>
      <c r="G5" s="825"/>
      <c r="H5" s="825"/>
      <c r="I5" s="825"/>
      <c r="J5" s="825"/>
      <c r="K5" s="825"/>
      <c r="L5" s="825"/>
      <c r="M5" s="825"/>
      <c r="N5" s="825"/>
      <c r="O5" s="825"/>
      <c r="P5" s="825"/>
      <c r="Q5" s="825"/>
      <c r="R5" s="825"/>
    </row>
    <row r="6" spans="1:18">
      <c r="B6" s="824"/>
      <c r="C6" s="825"/>
      <c r="D6" s="825"/>
      <c r="E6" s="825"/>
      <c r="F6" s="825"/>
      <c r="G6" s="825"/>
      <c r="H6" s="825"/>
      <c r="I6" s="825"/>
      <c r="J6" s="825"/>
      <c r="K6" s="825"/>
      <c r="L6" s="825"/>
      <c r="M6" s="825"/>
      <c r="N6" s="825"/>
      <c r="O6" s="825"/>
      <c r="P6" s="825"/>
      <c r="Q6" s="825"/>
      <c r="R6" s="825"/>
    </row>
    <row r="7" spans="1:18">
      <c r="B7" s="360" t="s">
        <v>942</v>
      </c>
      <c r="C7" s="830">
        <v>0</v>
      </c>
      <c r="D7" s="829">
        <f t="shared" ref="D7:G8" si="1">C7</f>
        <v>0</v>
      </c>
      <c r="E7" s="829">
        <f t="shared" si="1"/>
        <v>0</v>
      </c>
      <c r="F7" s="829">
        <f t="shared" si="1"/>
        <v>0</v>
      </c>
      <c r="G7" s="829">
        <f t="shared" si="1"/>
        <v>0</v>
      </c>
      <c r="H7" s="830">
        <v>0</v>
      </c>
      <c r="I7" s="830">
        <v>0</v>
      </c>
      <c r="J7" s="829">
        <f t="shared" ref="J7:R7" si="2">I7*(1+J8)</f>
        <v>0</v>
      </c>
      <c r="K7" s="829">
        <f t="shared" si="2"/>
        <v>0</v>
      </c>
      <c r="L7" s="829">
        <f t="shared" si="2"/>
        <v>0</v>
      </c>
      <c r="M7" s="829">
        <f t="shared" si="2"/>
        <v>0</v>
      </c>
      <c r="N7" s="829">
        <f t="shared" si="2"/>
        <v>0</v>
      </c>
      <c r="O7" s="829">
        <f t="shared" si="2"/>
        <v>0</v>
      </c>
      <c r="P7" s="829">
        <f t="shared" si="2"/>
        <v>0</v>
      </c>
      <c r="Q7" s="829">
        <f t="shared" si="2"/>
        <v>0</v>
      </c>
      <c r="R7" s="829">
        <f t="shared" si="2"/>
        <v>0</v>
      </c>
    </row>
    <row r="8" spans="1:18">
      <c r="B8" s="27" t="s">
        <v>929</v>
      </c>
      <c r="C8" s="831">
        <v>0</v>
      </c>
      <c r="D8" s="832">
        <f t="shared" si="1"/>
        <v>0</v>
      </c>
      <c r="E8" s="832">
        <f t="shared" si="1"/>
        <v>0</v>
      </c>
      <c r="F8" s="832">
        <f t="shared" si="1"/>
        <v>0</v>
      </c>
      <c r="G8" s="832">
        <f t="shared" si="1"/>
        <v>0</v>
      </c>
      <c r="H8" s="832">
        <f>G8</f>
        <v>0</v>
      </c>
      <c r="I8" s="984">
        <f>H8</f>
        <v>0</v>
      </c>
      <c r="J8" s="864">
        <v>1</v>
      </c>
      <c r="K8" s="864">
        <v>0.5</v>
      </c>
      <c r="L8" s="724">
        <v>0.4</v>
      </c>
      <c r="M8" s="724">
        <v>0.25</v>
      </c>
      <c r="N8" s="724">
        <v>0.2</v>
      </c>
      <c r="O8" s="724">
        <v>0.15</v>
      </c>
      <c r="P8" s="133">
        <f>O8</f>
        <v>0.15</v>
      </c>
      <c r="Q8" s="724">
        <v>0.1</v>
      </c>
      <c r="R8" s="133">
        <f>Q8</f>
        <v>0.1</v>
      </c>
    </row>
    <row r="9" spans="1:18">
      <c r="B9" s="497" t="s">
        <v>184</v>
      </c>
      <c r="C9" s="831">
        <f>C10*C7</f>
        <v>0</v>
      </c>
      <c r="D9" s="832">
        <f t="shared" ref="D9:K9" si="3">D10*D7</f>
        <v>0</v>
      </c>
      <c r="E9" s="832">
        <f t="shared" si="3"/>
        <v>0</v>
      </c>
      <c r="F9" s="832">
        <f t="shared" si="3"/>
        <v>0</v>
      </c>
      <c r="G9" s="832">
        <f t="shared" si="3"/>
        <v>0</v>
      </c>
      <c r="H9" s="834">
        <f t="shared" si="3"/>
        <v>0</v>
      </c>
      <c r="I9" s="834">
        <f t="shared" si="3"/>
        <v>0</v>
      </c>
      <c r="J9" s="834">
        <f t="shared" si="3"/>
        <v>0</v>
      </c>
      <c r="K9" s="834">
        <f t="shared" si="3"/>
        <v>0</v>
      </c>
      <c r="L9" s="834">
        <f>L10*L7</f>
        <v>0</v>
      </c>
      <c r="M9" s="834">
        <f t="shared" ref="M9:R9" si="4">M10*M7</f>
        <v>0</v>
      </c>
      <c r="N9" s="834">
        <f t="shared" si="4"/>
        <v>0</v>
      </c>
      <c r="O9" s="834">
        <f t="shared" si="4"/>
        <v>0</v>
      </c>
      <c r="P9" s="834">
        <f t="shared" si="4"/>
        <v>0</v>
      </c>
      <c r="Q9" s="834">
        <f t="shared" si="4"/>
        <v>0</v>
      </c>
      <c r="R9" s="834">
        <f t="shared" si="4"/>
        <v>0</v>
      </c>
    </row>
    <row r="10" spans="1:18">
      <c r="B10" s="27" t="s">
        <v>950</v>
      </c>
      <c r="C10" s="831">
        <v>0</v>
      </c>
      <c r="D10" s="832">
        <f>C10</f>
        <v>0</v>
      </c>
      <c r="E10" s="832">
        <f t="shared" ref="E10:G10" si="5">D10</f>
        <v>0</v>
      </c>
      <c r="F10" s="832">
        <f t="shared" si="5"/>
        <v>0</v>
      </c>
      <c r="G10" s="832">
        <f t="shared" si="5"/>
        <v>0</v>
      </c>
      <c r="H10" s="724">
        <v>0.15</v>
      </c>
      <c r="I10" s="133">
        <f t="shared" ref="I10" si="6">H10</f>
        <v>0.15</v>
      </c>
      <c r="J10" s="133">
        <f t="shared" ref="J10" si="7">I10</f>
        <v>0.15</v>
      </c>
      <c r="K10" s="133">
        <f t="shared" ref="K10" si="8">J10</f>
        <v>0.15</v>
      </c>
      <c r="L10" s="133">
        <f t="shared" ref="L10" si="9">K10</f>
        <v>0.15</v>
      </c>
      <c r="M10" s="133">
        <f t="shared" ref="M10:R11" si="10">L10</f>
        <v>0.15</v>
      </c>
      <c r="N10" s="133">
        <f t="shared" si="10"/>
        <v>0.15</v>
      </c>
      <c r="O10" s="133">
        <f t="shared" si="10"/>
        <v>0.15</v>
      </c>
      <c r="P10" s="133">
        <f t="shared" si="10"/>
        <v>0.15</v>
      </c>
      <c r="Q10" s="133">
        <f t="shared" si="10"/>
        <v>0.15</v>
      </c>
      <c r="R10" s="133">
        <f t="shared" si="10"/>
        <v>0.15</v>
      </c>
    </row>
    <row r="11" spans="1:18">
      <c r="B11" s="360" t="s">
        <v>947</v>
      </c>
      <c r="C11" s="830">
        <v>50</v>
      </c>
      <c r="D11" s="830">
        <v>250</v>
      </c>
      <c r="E11" s="829">
        <f>D11</f>
        <v>250</v>
      </c>
      <c r="F11" s="830">
        <v>500</v>
      </c>
      <c r="G11" s="830">
        <f>F11</f>
        <v>500</v>
      </c>
      <c r="H11" s="830">
        <f>G11</f>
        <v>500</v>
      </c>
      <c r="I11" s="830">
        <f>H11</f>
        <v>500</v>
      </c>
      <c r="J11" s="830">
        <f>I11*0.85</f>
        <v>425</v>
      </c>
      <c r="K11" s="830">
        <f t="shared" ref="K11:N11" si="11">J11*0.85</f>
        <v>361.25</v>
      </c>
      <c r="L11" s="830">
        <f t="shared" si="11"/>
        <v>307.0625</v>
      </c>
      <c r="M11" s="830">
        <f t="shared" si="11"/>
        <v>261.00312500000001</v>
      </c>
      <c r="N11" s="830">
        <f t="shared" si="11"/>
        <v>221.85265625</v>
      </c>
      <c r="O11" s="869">
        <f>N11</f>
        <v>221.85265625</v>
      </c>
      <c r="P11" s="869">
        <f t="shared" si="10"/>
        <v>221.85265625</v>
      </c>
      <c r="Q11" s="869">
        <f t="shared" si="10"/>
        <v>221.85265625</v>
      </c>
      <c r="R11" s="869">
        <f t="shared" si="10"/>
        <v>221.85265625</v>
      </c>
    </row>
    <row r="12" spans="1:18">
      <c r="B12" s="27" t="s">
        <v>943</v>
      </c>
      <c r="C12" s="831">
        <v>0</v>
      </c>
      <c r="D12" s="832">
        <f>C12</f>
        <v>0</v>
      </c>
      <c r="E12" s="832">
        <f t="shared" ref="E12:G12" si="12">D12</f>
        <v>0</v>
      </c>
      <c r="F12" s="832">
        <f t="shared" si="12"/>
        <v>0</v>
      </c>
      <c r="G12" s="832">
        <f t="shared" si="12"/>
        <v>0</v>
      </c>
      <c r="H12" s="1223" t="str">
        <f>IFERROR(H11/H7,"NA")</f>
        <v>NA</v>
      </c>
      <c r="I12" s="1223" t="str">
        <f t="shared" ref="I12:R12" si="13">IFERROR(I11/I7,"NA")</f>
        <v>NA</v>
      </c>
      <c r="J12" s="1223" t="str">
        <f t="shared" si="13"/>
        <v>NA</v>
      </c>
      <c r="K12" s="1223" t="str">
        <f t="shared" si="13"/>
        <v>NA</v>
      </c>
      <c r="L12" s="1223" t="str">
        <f t="shared" si="13"/>
        <v>NA</v>
      </c>
      <c r="M12" s="1223" t="str">
        <f t="shared" si="13"/>
        <v>NA</v>
      </c>
      <c r="N12" s="1223" t="str">
        <f t="shared" si="13"/>
        <v>NA</v>
      </c>
      <c r="O12" s="1223" t="str">
        <f t="shared" si="13"/>
        <v>NA</v>
      </c>
      <c r="P12" s="1223" t="str">
        <f t="shared" si="13"/>
        <v>NA</v>
      </c>
      <c r="Q12" s="1223" t="str">
        <f t="shared" si="13"/>
        <v>NA</v>
      </c>
      <c r="R12" s="1223" t="str">
        <f t="shared" si="13"/>
        <v>NA</v>
      </c>
    </row>
    <row r="13" spans="1:18">
      <c r="B13" s="360" t="s">
        <v>941</v>
      </c>
      <c r="C13" s="833">
        <f>C14*C7</f>
        <v>0</v>
      </c>
      <c r="D13" s="833">
        <f t="shared" ref="D13:K13" si="14">D14*D7</f>
        <v>0</v>
      </c>
      <c r="E13" s="833">
        <f t="shared" si="14"/>
        <v>0</v>
      </c>
      <c r="F13" s="833">
        <f t="shared" si="14"/>
        <v>0</v>
      </c>
      <c r="G13" s="833">
        <f t="shared" si="14"/>
        <v>0</v>
      </c>
      <c r="H13" s="833">
        <f t="shared" si="14"/>
        <v>0</v>
      </c>
      <c r="I13" s="833">
        <f t="shared" si="14"/>
        <v>0</v>
      </c>
      <c r="J13" s="833">
        <f t="shared" si="14"/>
        <v>0</v>
      </c>
      <c r="K13" s="833">
        <f t="shared" si="14"/>
        <v>0</v>
      </c>
      <c r="L13" s="835">
        <f>L14*L7</f>
        <v>0</v>
      </c>
      <c r="M13" s="835">
        <f t="shared" ref="M13:R13" si="15">M14*M7</f>
        <v>0</v>
      </c>
      <c r="N13" s="835">
        <f t="shared" si="15"/>
        <v>0</v>
      </c>
      <c r="O13" s="835">
        <f t="shared" si="15"/>
        <v>0</v>
      </c>
      <c r="P13" s="835">
        <f t="shared" si="15"/>
        <v>0</v>
      </c>
      <c r="Q13" s="835">
        <f t="shared" si="15"/>
        <v>0</v>
      </c>
      <c r="R13" s="835">
        <f t="shared" si="15"/>
        <v>0</v>
      </c>
    </row>
    <row r="14" spans="1:18">
      <c r="B14" s="27" t="s">
        <v>944</v>
      </c>
      <c r="C14" s="833">
        <v>0</v>
      </c>
      <c r="D14" s="833">
        <f>C14</f>
        <v>0</v>
      </c>
      <c r="E14" s="833">
        <f t="shared" ref="E14:K14" si="16">D14</f>
        <v>0</v>
      </c>
      <c r="F14" s="833">
        <f t="shared" si="16"/>
        <v>0</v>
      </c>
      <c r="G14" s="833">
        <f t="shared" si="16"/>
        <v>0</v>
      </c>
      <c r="H14" s="833">
        <f t="shared" si="16"/>
        <v>0</v>
      </c>
      <c r="I14" s="833">
        <f t="shared" si="16"/>
        <v>0</v>
      </c>
      <c r="J14" s="833">
        <f t="shared" si="16"/>
        <v>0</v>
      </c>
      <c r="K14" s="833">
        <f t="shared" si="16"/>
        <v>0</v>
      </c>
      <c r="L14" s="724">
        <v>0.1554411400310742</v>
      </c>
      <c r="M14" s="120">
        <v>0.15388672863076347</v>
      </c>
      <c r="N14" s="120">
        <v>0.15234786134445583</v>
      </c>
      <c r="O14" s="120">
        <v>0.15082438273101126</v>
      </c>
      <c r="P14" s="133">
        <v>0.14931613890370116</v>
      </c>
      <c r="Q14" s="133">
        <v>0.14782297751466414</v>
      </c>
      <c r="R14" s="133">
        <v>0.1463447477395175</v>
      </c>
    </row>
    <row r="15" spans="1:18">
      <c r="B15" s="828" t="s">
        <v>945</v>
      </c>
      <c r="C15" s="836">
        <f>$F$22*C7</f>
        <v>0</v>
      </c>
      <c r="D15" s="836">
        <f t="shared" ref="D15:K15" si="17">$F$22*D7</f>
        <v>0</v>
      </c>
      <c r="E15" s="836">
        <f t="shared" si="17"/>
        <v>0</v>
      </c>
      <c r="F15" s="836">
        <f t="shared" si="17"/>
        <v>0</v>
      </c>
      <c r="G15" s="836">
        <f t="shared" si="17"/>
        <v>0</v>
      </c>
      <c r="H15" s="836">
        <f t="shared" si="17"/>
        <v>0</v>
      </c>
      <c r="I15" s="836">
        <f t="shared" si="17"/>
        <v>0</v>
      </c>
      <c r="J15" s="836">
        <f t="shared" si="17"/>
        <v>0</v>
      </c>
      <c r="K15" s="836">
        <f t="shared" si="17"/>
        <v>0</v>
      </c>
      <c r="L15" s="836">
        <f>F23*L7</f>
        <v>0</v>
      </c>
      <c r="M15" s="837">
        <f>F24*M7</f>
        <v>0</v>
      </c>
      <c r="N15" s="837">
        <f>F25*N7</f>
        <v>0</v>
      </c>
      <c r="O15" s="836">
        <f>$F$26*O7</f>
        <v>0</v>
      </c>
      <c r="P15" s="836">
        <f>$F$26*P7</f>
        <v>0</v>
      </c>
      <c r="Q15" s="836">
        <f>$F$26*Q7</f>
        <v>0</v>
      </c>
      <c r="R15" s="836">
        <f>$F$26*R7</f>
        <v>0</v>
      </c>
    </row>
    <row r="16" spans="1:18">
      <c r="B16" s="826" t="s">
        <v>946</v>
      </c>
      <c r="C16" s="855">
        <f>$J$22*C11</f>
        <v>50</v>
      </c>
      <c r="D16" s="855">
        <f>$J$22*D11</f>
        <v>250</v>
      </c>
      <c r="E16" s="855">
        <f>$J$23*E11</f>
        <v>187.5</v>
      </c>
      <c r="F16" s="855">
        <f t="shared" ref="F16:R16" si="18">$J$23*F11</f>
        <v>375</v>
      </c>
      <c r="G16" s="855">
        <f t="shared" si="18"/>
        <v>375</v>
      </c>
      <c r="H16" s="855">
        <f t="shared" si="18"/>
        <v>375</v>
      </c>
      <c r="I16" s="855">
        <f t="shared" si="18"/>
        <v>375</v>
      </c>
      <c r="J16" s="855">
        <f t="shared" si="18"/>
        <v>318.75</v>
      </c>
      <c r="K16" s="855">
        <f t="shared" si="18"/>
        <v>270.9375</v>
      </c>
      <c r="L16" s="855">
        <f t="shared" si="18"/>
        <v>230.296875</v>
      </c>
      <c r="M16" s="855">
        <f t="shared" si="18"/>
        <v>195.75234375000002</v>
      </c>
      <c r="N16" s="855">
        <f t="shared" si="18"/>
        <v>166.3894921875</v>
      </c>
      <c r="O16" s="855">
        <f t="shared" si="18"/>
        <v>166.3894921875</v>
      </c>
      <c r="P16" s="855">
        <f t="shared" si="18"/>
        <v>166.3894921875</v>
      </c>
      <c r="Q16" s="855">
        <f t="shared" si="18"/>
        <v>166.3894921875</v>
      </c>
      <c r="R16" s="855">
        <f t="shared" si="18"/>
        <v>166.3894921875</v>
      </c>
    </row>
    <row r="17" spans="2:18">
      <c r="B17" s="826" t="s">
        <v>1002</v>
      </c>
      <c r="C17" s="855">
        <f>C9</f>
        <v>0</v>
      </c>
      <c r="D17" s="855">
        <f t="shared" ref="D17:R17" si="19">D9</f>
        <v>0</v>
      </c>
      <c r="E17" s="855">
        <f t="shared" si="19"/>
        <v>0</v>
      </c>
      <c r="F17" s="855">
        <f t="shared" si="19"/>
        <v>0</v>
      </c>
      <c r="G17" s="855">
        <f t="shared" si="19"/>
        <v>0</v>
      </c>
      <c r="H17" s="855">
        <f t="shared" si="19"/>
        <v>0</v>
      </c>
      <c r="I17" s="855">
        <f t="shared" si="19"/>
        <v>0</v>
      </c>
      <c r="J17" s="855">
        <f t="shared" si="19"/>
        <v>0</v>
      </c>
      <c r="K17" s="855">
        <f t="shared" si="19"/>
        <v>0</v>
      </c>
      <c r="L17" s="855">
        <f t="shared" si="19"/>
        <v>0</v>
      </c>
      <c r="M17" s="855">
        <f t="shared" si="19"/>
        <v>0</v>
      </c>
      <c r="N17" s="855">
        <f t="shared" si="19"/>
        <v>0</v>
      </c>
      <c r="O17" s="855">
        <f t="shared" si="19"/>
        <v>0</v>
      </c>
      <c r="P17" s="855">
        <f t="shared" si="19"/>
        <v>0</v>
      </c>
      <c r="Q17" s="855">
        <f t="shared" si="19"/>
        <v>0</v>
      </c>
      <c r="R17" s="855">
        <f t="shared" si="19"/>
        <v>0</v>
      </c>
    </row>
    <row r="18" spans="2:18">
      <c r="B18" s="827" t="s">
        <v>948</v>
      </c>
      <c r="C18" s="856">
        <f>C13</f>
        <v>0</v>
      </c>
      <c r="D18" s="856">
        <f t="shared" ref="D18:R18" si="20">D13</f>
        <v>0</v>
      </c>
      <c r="E18" s="856">
        <f t="shared" si="20"/>
        <v>0</v>
      </c>
      <c r="F18" s="856">
        <f t="shared" si="20"/>
        <v>0</v>
      </c>
      <c r="G18" s="856">
        <f t="shared" si="20"/>
        <v>0</v>
      </c>
      <c r="H18" s="856">
        <f t="shared" si="20"/>
        <v>0</v>
      </c>
      <c r="I18" s="856">
        <f t="shared" si="20"/>
        <v>0</v>
      </c>
      <c r="J18" s="856">
        <f t="shared" si="20"/>
        <v>0</v>
      </c>
      <c r="K18" s="856">
        <f t="shared" si="20"/>
        <v>0</v>
      </c>
      <c r="L18" s="856">
        <f t="shared" si="20"/>
        <v>0</v>
      </c>
      <c r="M18" s="856">
        <f t="shared" si="20"/>
        <v>0</v>
      </c>
      <c r="N18" s="856">
        <f t="shared" si="20"/>
        <v>0</v>
      </c>
      <c r="O18" s="856">
        <f t="shared" si="20"/>
        <v>0</v>
      </c>
      <c r="P18" s="856">
        <f t="shared" si="20"/>
        <v>0</v>
      </c>
      <c r="Q18" s="856">
        <f t="shared" si="20"/>
        <v>0</v>
      </c>
      <c r="R18" s="856">
        <f t="shared" si="20"/>
        <v>0</v>
      </c>
    </row>
    <row r="19" spans="2:18">
      <c r="C19" s="829">
        <f>C15-SUM(C16:C18)</f>
        <v>-50</v>
      </c>
      <c r="D19" s="857">
        <f t="shared" ref="D19:R19" si="21">D15-SUM(D16:D18)</f>
        <v>-250</v>
      </c>
      <c r="E19" s="857">
        <f t="shared" si="21"/>
        <v>-187.5</v>
      </c>
      <c r="F19" s="857">
        <f t="shared" si="21"/>
        <v>-375</v>
      </c>
      <c r="G19" s="857">
        <f t="shared" si="21"/>
        <v>-375</v>
      </c>
      <c r="H19" s="857">
        <f t="shared" si="21"/>
        <v>-375</v>
      </c>
      <c r="I19" s="857">
        <f t="shared" si="21"/>
        <v>-375</v>
      </c>
      <c r="J19" s="857">
        <f t="shared" si="21"/>
        <v>-318.75</v>
      </c>
      <c r="K19" s="857">
        <f t="shared" si="21"/>
        <v>-270.9375</v>
      </c>
      <c r="L19" s="857">
        <f t="shared" si="21"/>
        <v>-230.296875</v>
      </c>
      <c r="M19" s="857">
        <f t="shared" si="21"/>
        <v>-195.75234375000002</v>
      </c>
      <c r="N19" s="857">
        <f t="shared" si="21"/>
        <v>-166.3894921875</v>
      </c>
      <c r="O19" s="857">
        <f t="shared" si="21"/>
        <v>-166.3894921875</v>
      </c>
      <c r="P19" s="857">
        <f t="shared" si="21"/>
        <v>-166.3894921875</v>
      </c>
      <c r="Q19" s="857">
        <f t="shared" si="21"/>
        <v>-166.3894921875</v>
      </c>
      <c r="R19" s="857">
        <f t="shared" si="21"/>
        <v>-166.3894921875</v>
      </c>
    </row>
    <row r="20" spans="2:18" ht="13.5" thickBot="1">
      <c r="C20" s="829"/>
      <c r="D20" s="857"/>
      <c r="E20" s="857"/>
      <c r="F20" s="857"/>
      <c r="G20" s="857"/>
      <c r="H20" s="857"/>
      <c r="I20" s="857"/>
      <c r="J20" s="857"/>
      <c r="K20" s="857"/>
      <c r="L20" s="857"/>
      <c r="M20" s="857"/>
      <c r="N20" s="857"/>
      <c r="O20" s="857"/>
      <c r="P20" s="857"/>
      <c r="Q20" s="857"/>
      <c r="R20" s="857"/>
    </row>
    <row r="21" spans="2:18" ht="13.5" thickBot="1">
      <c r="D21" s="842" t="s">
        <v>945</v>
      </c>
      <c r="E21" s="840"/>
      <c r="F21" s="841"/>
      <c r="H21" s="842" t="s">
        <v>940</v>
      </c>
      <c r="I21" s="843"/>
      <c r="J21" s="844"/>
      <c r="N21" s="829"/>
    </row>
    <row r="22" spans="2:18">
      <c r="D22" s="838" t="s">
        <v>952</v>
      </c>
      <c r="E22" s="41"/>
      <c r="F22" s="851">
        <v>0</v>
      </c>
      <c r="H22" s="845" t="s">
        <v>953</v>
      </c>
      <c r="I22" s="846"/>
      <c r="J22" s="854">
        <v>1</v>
      </c>
    </row>
    <row r="23" spans="2:18">
      <c r="D23" s="838" t="s">
        <v>819</v>
      </c>
      <c r="E23" s="41"/>
      <c r="F23" s="852">
        <v>0.7</v>
      </c>
      <c r="H23" s="838" t="s">
        <v>954</v>
      </c>
      <c r="I23" s="41"/>
      <c r="J23" s="852">
        <v>0.75</v>
      </c>
    </row>
    <row r="24" spans="2:18">
      <c r="D24" s="838" t="s">
        <v>821</v>
      </c>
      <c r="E24" s="41"/>
      <c r="F24" s="852">
        <v>0.63</v>
      </c>
      <c r="H24" s="847"/>
      <c r="I24" s="41"/>
      <c r="J24" s="848"/>
    </row>
    <row r="25" spans="2:18">
      <c r="D25" s="838" t="s">
        <v>822</v>
      </c>
      <c r="E25" s="41"/>
      <c r="F25" s="852">
        <v>0.56999999999999995</v>
      </c>
      <c r="H25" s="847"/>
      <c r="I25" s="41"/>
      <c r="J25" s="848"/>
    </row>
    <row r="26" spans="2:18">
      <c r="D26" s="839" t="s">
        <v>951</v>
      </c>
      <c r="E26" s="763"/>
      <c r="F26" s="853">
        <v>0.5</v>
      </c>
      <c r="H26" s="849"/>
      <c r="I26" s="763"/>
      <c r="J26" s="850"/>
    </row>
    <row r="28" spans="2:18">
      <c r="D28" s="360" t="s">
        <v>955</v>
      </c>
    </row>
    <row r="30" spans="2:18">
      <c r="B30" s="28" t="s">
        <v>970</v>
      </c>
    </row>
    <row r="31" spans="2:18" hidden="1" outlineLevel="1">
      <c r="B31" s="360" t="s">
        <v>966</v>
      </c>
      <c r="C31" s="24">
        <v>1955.5190121455353</v>
      </c>
      <c r="D31" s="24">
        <v>2146.9499003727051</v>
      </c>
      <c r="E31" s="24">
        <v>2404.2940584176658</v>
      </c>
      <c r="F31" s="24">
        <v>2838.3448835804461</v>
      </c>
      <c r="G31" s="24">
        <v>3135.1244712733014</v>
      </c>
      <c r="H31" s="24">
        <v>3345.3598685661564</v>
      </c>
      <c r="I31" s="24">
        <v>3528.4140670915849</v>
      </c>
      <c r="J31" s="24">
        <v>3566.3057084024217</v>
      </c>
      <c r="K31" s="24">
        <v>3496.9894797654547</v>
      </c>
    </row>
    <row r="32" spans="2:18" hidden="1" outlineLevel="1">
      <c r="B32" s="360" t="s">
        <v>967</v>
      </c>
      <c r="C32" s="24">
        <f>C31+C16</f>
        <v>2005.5190121455353</v>
      </c>
      <c r="D32" s="24">
        <f t="shared" ref="D32:K32" si="22">D31+D16</f>
        <v>2396.9499003727051</v>
      </c>
      <c r="E32" s="24">
        <f t="shared" si="22"/>
        <v>2591.7940584176658</v>
      </c>
      <c r="F32" s="24">
        <f t="shared" si="22"/>
        <v>3213.3448835804461</v>
      </c>
      <c r="G32" s="24">
        <f t="shared" si="22"/>
        <v>3510.1244712733014</v>
      </c>
      <c r="H32" s="24">
        <f t="shared" si="22"/>
        <v>3720.3598685661564</v>
      </c>
      <c r="I32" s="24">
        <f t="shared" si="22"/>
        <v>3903.4140670915849</v>
      </c>
      <c r="J32" s="24">
        <f t="shared" si="22"/>
        <v>3885.0557084024217</v>
      </c>
      <c r="K32" s="24">
        <f t="shared" si="22"/>
        <v>3767.9269797654547</v>
      </c>
      <c r="L32">
        <v>52</v>
      </c>
    </row>
    <row r="33" spans="2:18" hidden="1" outlineLevel="1">
      <c r="B33" s="360" t="s">
        <v>965</v>
      </c>
      <c r="C33" s="24">
        <f>C32-C31</f>
        <v>50</v>
      </c>
      <c r="D33" s="24">
        <f t="shared" ref="D33:K33" si="23">D32-D31</f>
        <v>250</v>
      </c>
      <c r="E33" s="24">
        <f t="shared" si="23"/>
        <v>187.5</v>
      </c>
      <c r="F33" s="24">
        <f t="shared" si="23"/>
        <v>375</v>
      </c>
      <c r="G33" s="24">
        <f t="shared" si="23"/>
        <v>375</v>
      </c>
      <c r="H33" s="24">
        <f t="shared" si="23"/>
        <v>375</v>
      </c>
      <c r="I33" s="24">
        <f t="shared" si="23"/>
        <v>375</v>
      </c>
      <c r="J33" s="24">
        <f t="shared" si="23"/>
        <v>318.75</v>
      </c>
      <c r="K33" s="24">
        <f t="shared" si="23"/>
        <v>270.9375</v>
      </c>
    </row>
    <row r="34" spans="2:18" hidden="1" outlineLevel="1">
      <c r="B34" s="360" t="s">
        <v>968</v>
      </c>
      <c r="C34" s="2">
        <f>C32/C35</f>
        <v>0.22268493823341715</v>
      </c>
      <c r="D34" s="2">
        <f t="shared" ref="D34:K34" si="24">D32/D35</f>
        <v>0.22567037905524073</v>
      </c>
      <c r="E34" s="2">
        <f t="shared" si="24"/>
        <v>0.20172680033036849</v>
      </c>
      <c r="F34" s="2">
        <f t="shared" si="24"/>
        <v>0.2097384543944982</v>
      </c>
      <c r="G34" s="2">
        <f t="shared" si="24"/>
        <v>0.20223589100550418</v>
      </c>
      <c r="H34" s="2">
        <f t="shared" si="24"/>
        <v>0.19585615648273316</v>
      </c>
      <c r="I34" s="2">
        <f t="shared" si="24"/>
        <v>0.18996116004879718</v>
      </c>
      <c r="J34" s="2">
        <f t="shared" si="24"/>
        <v>0.18238244460606598</v>
      </c>
      <c r="K34" s="2">
        <f t="shared" si="24"/>
        <v>0.17588026789239017</v>
      </c>
    </row>
    <row r="35" spans="2:18" hidden="1" outlineLevel="1">
      <c r="B35" s="360" t="s">
        <v>969</v>
      </c>
      <c r="C35" s="24">
        <v>9006.0828902732574</v>
      </c>
      <c r="D35" s="24">
        <v>10621.464413749965</v>
      </c>
      <c r="E35" s="24">
        <v>12848.040290992958</v>
      </c>
      <c r="F35" s="24">
        <v>15320.723578597792</v>
      </c>
      <c r="G35" s="24">
        <v>17356.585192772571</v>
      </c>
      <c r="H35" s="24">
        <v>18995.368516251601</v>
      </c>
      <c r="I35" s="24">
        <v>20548.485101316906</v>
      </c>
      <c r="J35" s="24">
        <v>21301.697741763935</v>
      </c>
      <c r="K35" s="24">
        <v>21423.250174208326</v>
      </c>
    </row>
    <row r="36" spans="2:18" hidden="1" outlineLevel="1"/>
    <row r="37" spans="2:18" hidden="1" outlineLevel="1">
      <c r="B37" s="360" t="s">
        <v>971</v>
      </c>
      <c r="C37" s="24">
        <v>2005.9783130448618</v>
      </c>
      <c r="D37" s="24">
        <v>2230.5075268874925</v>
      </c>
      <c r="E37" s="24">
        <v>2479.671776161641</v>
      </c>
      <c r="F37" s="24">
        <v>2912.5461559093333</v>
      </c>
      <c r="G37" s="24">
        <v>3217.0842873702286</v>
      </c>
      <c r="H37" s="24">
        <v>3432.8157517752738</v>
      </c>
      <c r="I37" s="24">
        <v>3620.6554344447572</v>
      </c>
      <c r="J37" s="24">
        <v>3659.537655868729</v>
      </c>
      <c r="K37" s="24">
        <v>3588.4093316024896</v>
      </c>
    </row>
    <row r="38" spans="2:18" hidden="1" outlineLevel="1">
      <c r="C38" s="24">
        <f>C37-C31</f>
        <v>50.459300899326536</v>
      </c>
      <c r="D38" s="24">
        <f t="shared" ref="D38:K38" si="25">D37-D31</f>
        <v>83.557626514787444</v>
      </c>
      <c r="E38" s="24">
        <f t="shared" si="25"/>
        <v>75.377717743975154</v>
      </c>
      <c r="F38" s="24">
        <f t="shared" si="25"/>
        <v>74.201272328887171</v>
      </c>
      <c r="G38" s="24">
        <f t="shared" si="25"/>
        <v>81.95981609692717</v>
      </c>
      <c r="H38" s="24">
        <f t="shared" si="25"/>
        <v>87.455883209117474</v>
      </c>
      <c r="I38" s="24">
        <f t="shared" si="25"/>
        <v>92.241367353172336</v>
      </c>
      <c r="J38" s="24">
        <f t="shared" si="25"/>
        <v>93.231947466307247</v>
      </c>
      <c r="K38" s="24">
        <f t="shared" si="25"/>
        <v>91.419851837034912</v>
      </c>
    </row>
    <row r="39" spans="2:18" hidden="1" outlineLevel="1">
      <c r="C39" s="24">
        <f>SUM(C38:K38)</f>
        <v>729.90478344953544</v>
      </c>
      <c r="D39" s="24"/>
      <c r="E39" s="24"/>
      <c r="F39" s="24"/>
      <c r="G39" s="24"/>
      <c r="H39" s="24"/>
      <c r="I39" s="24"/>
      <c r="J39" s="24"/>
      <c r="K39" s="24"/>
    </row>
    <row r="40" spans="2:18" collapsed="1">
      <c r="C40" s="24"/>
    </row>
    <row r="42" spans="2:18">
      <c r="G42" s="930"/>
      <c r="H42" s="931">
        <f>H3</f>
        <v>2020</v>
      </c>
      <c r="I42" s="932">
        <f t="shared" ref="I42:R42" si="26">I3</f>
        <v>2021</v>
      </c>
      <c r="J42" s="932">
        <f t="shared" si="26"/>
        <v>2022</v>
      </c>
      <c r="K42" s="932">
        <f t="shared" si="26"/>
        <v>2023</v>
      </c>
      <c r="L42" s="932">
        <f t="shared" si="26"/>
        <v>2024</v>
      </c>
      <c r="M42" s="932">
        <f t="shared" si="26"/>
        <v>2025</v>
      </c>
      <c r="N42" s="932">
        <f t="shared" si="26"/>
        <v>2026</v>
      </c>
      <c r="O42" s="932">
        <f t="shared" si="26"/>
        <v>2027</v>
      </c>
      <c r="P42" s="932">
        <f t="shared" si="26"/>
        <v>2028</v>
      </c>
      <c r="Q42" s="932">
        <f t="shared" si="26"/>
        <v>2029</v>
      </c>
      <c r="R42" s="932">
        <f t="shared" si="26"/>
        <v>2030</v>
      </c>
    </row>
    <row r="43" spans="2:18">
      <c r="G43" s="360" t="s">
        <v>992</v>
      </c>
      <c r="H43" s="929">
        <f>H7</f>
        <v>0</v>
      </c>
      <c r="I43" s="929">
        <f t="shared" ref="I43:R43" si="27">I7</f>
        <v>0</v>
      </c>
      <c r="J43" s="929">
        <f t="shared" si="27"/>
        <v>0</v>
      </c>
      <c r="K43" s="929">
        <f t="shared" si="27"/>
        <v>0</v>
      </c>
      <c r="L43" s="929">
        <f t="shared" si="27"/>
        <v>0</v>
      </c>
      <c r="M43" s="929">
        <f t="shared" si="27"/>
        <v>0</v>
      </c>
      <c r="N43" s="929">
        <f t="shared" si="27"/>
        <v>0</v>
      </c>
      <c r="O43" s="929">
        <f t="shared" si="27"/>
        <v>0</v>
      </c>
      <c r="P43" s="929">
        <f t="shared" si="27"/>
        <v>0</v>
      </c>
      <c r="Q43" s="929">
        <f t="shared" si="27"/>
        <v>0</v>
      </c>
      <c r="R43" s="929">
        <f t="shared" si="27"/>
        <v>0</v>
      </c>
    </row>
    <row r="44" spans="2:18">
      <c r="G44" s="360" t="s">
        <v>945</v>
      </c>
      <c r="H44" s="929">
        <f>F23*H43</f>
        <v>0</v>
      </c>
      <c r="I44" s="929">
        <f>F24*I43</f>
        <v>0</v>
      </c>
      <c r="J44" s="929">
        <f>F25*J43</f>
        <v>0</v>
      </c>
      <c r="K44" s="929">
        <f>$F$26*K43</f>
        <v>0</v>
      </c>
      <c r="L44" s="929">
        <f t="shared" ref="L44:R44" si="28">$F$26*L43</f>
        <v>0</v>
      </c>
      <c r="M44" s="929">
        <f t="shared" si="28"/>
        <v>0</v>
      </c>
      <c r="N44" s="929">
        <f t="shared" si="28"/>
        <v>0</v>
      </c>
      <c r="O44" s="929">
        <f t="shared" si="28"/>
        <v>0</v>
      </c>
      <c r="P44" s="929">
        <f t="shared" si="28"/>
        <v>0</v>
      </c>
      <c r="Q44" s="929">
        <f t="shared" si="28"/>
        <v>0</v>
      </c>
      <c r="R44" s="929">
        <f t="shared" si="28"/>
        <v>0</v>
      </c>
    </row>
    <row r="45" spans="2:18">
      <c r="G45" s="497" t="s">
        <v>993</v>
      </c>
      <c r="H45" s="929">
        <f>H46*H43</f>
        <v>0</v>
      </c>
      <c r="I45" s="929">
        <f t="shared" ref="I45:R45" si="29">I46*I43</f>
        <v>0</v>
      </c>
      <c r="J45" s="929">
        <f t="shared" si="29"/>
        <v>0</v>
      </c>
      <c r="K45" s="929">
        <f t="shared" si="29"/>
        <v>0</v>
      </c>
      <c r="L45" s="929">
        <f t="shared" si="29"/>
        <v>0</v>
      </c>
      <c r="M45" s="929">
        <f t="shared" si="29"/>
        <v>0</v>
      </c>
      <c r="N45" s="929">
        <f t="shared" si="29"/>
        <v>0</v>
      </c>
      <c r="O45" s="929">
        <f t="shared" si="29"/>
        <v>0</v>
      </c>
      <c r="P45" s="929">
        <f t="shared" si="29"/>
        <v>0</v>
      </c>
      <c r="Q45" s="929">
        <f>Q46*Q43</f>
        <v>0</v>
      </c>
      <c r="R45" s="929">
        <f t="shared" si="29"/>
        <v>0</v>
      </c>
    </row>
    <row r="46" spans="2:18" hidden="1" outlineLevel="1">
      <c r="G46" s="27" t="s">
        <v>943</v>
      </c>
      <c r="H46" s="624">
        <f>IS!CP100</f>
        <v>0.21609</v>
      </c>
      <c r="I46" s="624">
        <f>IS!CU100</f>
        <v>0.21284865</v>
      </c>
      <c r="J46" s="624">
        <f>IS!CZ100</f>
        <v>0.20965592024999999</v>
      </c>
      <c r="K46" s="624">
        <f>IS!DE100</f>
        <v>0.20651108144624999</v>
      </c>
      <c r="L46" s="624">
        <f>IS!DJ100</f>
        <v>0.20341341522455625</v>
      </c>
      <c r="M46" s="624">
        <f>IS!DO100</f>
        <v>0.20036221399618789</v>
      </c>
      <c r="N46" s="624">
        <f>IS!DT100</f>
        <v>0.19735678078624508</v>
      </c>
      <c r="O46" s="624">
        <f>IS!DY100</f>
        <v>0.19538321297838263</v>
      </c>
      <c r="P46" s="624">
        <f>IS!ED100</f>
        <v>0.19342938084859879</v>
      </c>
      <c r="Q46" s="624">
        <f>IS!EI100</f>
        <v>0.19149508704011281</v>
      </c>
      <c r="R46" s="624">
        <f>IS!EN100</f>
        <v>0.18958013616971167</v>
      </c>
    </row>
    <row r="47" spans="2:18" collapsed="1">
      <c r="G47" s="360" t="s">
        <v>994</v>
      </c>
      <c r="H47" s="929">
        <f>$J$23*H45</f>
        <v>0</v>
      </c>
      <c r="I47" s="929">
        <f t="shared" ref="I47:R47" si="30">$J$23*I45</f>
        <v>0</v>
      </c>
      <c r="J47" s="929">
        <f t="shared" si="30"/>
        <v>0</v>
      </c>
      <c r="K47" s="929">
        <f t="shared" si="30"/>
        <v>0</v>
      </c>
      <c r="L47" s="929">
        <f t="shared" si="30"/>
        <v>0</v>
      </c>
      <c r="M47" s="929">
        <f t="shared" si="30"/>
        <v>0</v>
      </c>
      <c r="N47" s="929">
        <f t="shared" si="30"/>
        <v>0</v>
      </c>
      <c r="O47" s="929">
        <f t="shared" si="30"/>
        <v>0</v>
      </c>
      <c r="P47" s="929">
        <f t="shared" si="30"/>
        <v>0</v>
      </c>
      <c r="Q47" s="929">
        <f t="shared" si="30"/>
        <v>0</v>
      </c>
      <c r="R47" s="929">
        <f t="shared" si="30"/>
        <v>0</v>
      </c>
    </row>
    <row r="48" spans="2:18">
      <c r="G48" s="360" t="s">
        <v>995</v>
      </c>
      <c r="H48" s="929">
        <f>H49*H43</f>
        <v>0</v>
      </c>
      <c r="I48" s="929">
        <f t="shared" ref="I48:R48" si="31">I49*I43</f>
        <v>0</v>
      </c>
      <c r="J48" s="929">
        <f t="shared" si="31"/>
        <v>0</v>
      </c>
      <c r="K48" s="929">
        <f t="shared" si="31"/>
        <v>0</v>
      </c>
      <c r="L48" s="929">
        <f t="shared" si="31"/>
        <v>0</v>
      </c>
      <c r="M48" s="929">
        <f t="shared" si="31"/>
        <v>0</v>
      </c>
      <c r="N48" s="929">
        <f t="shared" si="31"/>
        <v>0</v>
      </c>
      <c r="O48" s="929">
        <f t="shared" si="31"/>
        <v>0</v>
      </c>
      <c r="P48" s="929">
        <f t="shared" si="31"/>
        <v>0</v>
      </c>
      <c r="Q48" s="929">
        <f t="shared" si="31"/>
        <v>0</v>
      </c>
      <c r="R48" s="929">
        <f t="shared" si="31"/>
        <v>0</v>
      </c>
    </row>
    <row r="49" spans="7:18" hidden="1" outlineLevel="1">
      <c r="G49" s="933" t="s">
        <v>944</v>
      </c>
      <c r="H49" s="934">
        <f>IS!CP98</f>
        <v>0.16063199999999997</v>
      </c>
      <c r="I49" s="934">
        <f>IS!CU98</f>
        <v>0.15661619999999996</v>
      </c>
      <c r="J49" s="934">
        <f>IS!CZ98</f>
        <v>0.15270079499999994</v>
      </c>
      <c r="K49" s="934">
        <f>IS!DE98</f>
        <v>0.14888327512499994</v>
      </c>
      <c r="L49" s="934">
        <f>IS!DJ98</f>
        <v>0.14739444237374993</v>
      </c>
      <c r="M49" s="934">
        <f>IS!DO98</f>
        <v>0.14592049795001244</v>
      </c>
      <c r="N49" s="934">
        <f>IS!DT98</f>
        <v>0.1444612929705123</v>
      </c>
      <c r="O49" s="934">
        <f>IS!DY98</f>
        <v>0.14301668004080717</v>
      </c>
      <c r="P49" s="934">
        <f>IS!ED98</f>
        <v>0.14158651324039909</v>
      </c>
      <c r="Q49" s="934">
        <f>IS!EI98</f>
        <v>0.14017064810799509</v>
      </c>
      <c r="R49" s="934">
        <f>IS!EN98</f>
        <v>0.13876894162691514</v>
      </c>
    </row>
    <row r="50" spans="7:18" collapsed="1">
      <c r="G50" s="774" t="s">
        <v>996</v>
      </c>
      <c r="H50" s="935">
        <f>H44-H47-H48</f>
        <v>0</v>
      </c>
      <c r="I50" s="935">
        <f t="shared" ref="I50:R50" si="32">I44-I47-I48</f>
        <v>0</v>
      </c>
      <c r="J50" s="935">
        <f t="shared" si="32"/>
        <v>0</v>
      </c>
      <c r="K50" s="935">
        <f t="shared" si="32"/>
        <v>0</v>
      </c>
      <c r="L50" s="935">
        <f t="shared" si="32"/>
        <v>0</v>
      </c>
      <c r="M50" s="935">
        <f t="shared" si="32"/>
        <v>0</v>
      </c>
      <c r="N50" s="935">
        <f t="shared" si="32"/>
        <v>0</v>
      </c>
      <c r="O50" s="935">
        <f t="shared" si="32"/>
        <v>0</v>
      </c>
      <c r="P50" s="935">
        <f t="shared" si="32"/>
        <v>0</v>
      </c>
      <c r="Q50" s="935">
        <f t="shared" si="32"/>
        <v>0</v>
      </c>
      <c r="R50" s="935">
        <f t="shared" si="32"/>
        <v>0</v>
      </c>
    </row>
    <row r="51" spans="7:18" ht="12.75" customHeight="1" thickBot="1">
      <c r="G51" s="937" t="s">
        <v>997</v>
      </c>
      <c r="H51" s="936" t="str">
        <f>IFERROR(H50/H44,"NA")</f>
        <v>NA</v>
      </c>
      <c r="I51" s="936" t="str">
        <f t="shared" ref="I51:R51" si="33">IFERROR(I50/I44,"NA")</f>
        <v>NA</v>
      </c>
      <c r="J51" s="936" t="str">
        <f t="shared" si="33"/>
        <v>NA</v>
      </c>
      <c r="K51" s="936" t="str">
        <f t="shared" si="33"/>
        <v>NA</v>
      </c>
      <c r="L51" s="936" t="str">
        <f t="shared" si="33"/>
        <v>NA</v>
      </c>
      <c r="M51" s="936" t="str">
        <f t="shared" si="33"/>
        <v>NA</v>
      </c>
      <c r="N51" s="936" t="str">
        <f t="shared" si="33"/>
        <v>NA</v>
      </c>
      <c r="O51" s="936" t="str">
        <f t="shared" si="33"/>
        <v>NA</v>
      </c>
      <c r="P51" s="936" t="str">
        <f t="shared" si="33"/>
        <v>NA</v>
      </c>
      <c r="Q51" s="936" t="str">
        <f t="shared" si="33"/>
        <v>NA</v>
      </c>
      <c r="R51" s="936" t="str">
        <f t="shared" si="33"/>
        <v>NA</v>
      </c>
    </row>
    <row r="52" spans="7:18" ht="13.5" thickTop="1"/>
  </sheetData>
  <pageMargins left="0" right="0" top="0" bottom="0" header="0" footer="0"/>
  <pageSetup paperSize="5" scale="94" orientation="landscape" r:id="rId1"/>
  <ignoredErrors>
    <ignoredError sqref="D9:G9 D13:K13 P9:R9 M13:R13" formula="1"/>
  </ignoredErrors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"/>
  <sheetViews>
    <sheetView showGridLines="0" workbookViewId="0">
      <selection activeCell="F30" sqref="F30"/>
    </sheetView>
  </sheetViews>
  <sheetFormatPr defaultRowHeight="12.75"/>
  <sheetData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3:Q29"/>
  <sheetViews>
    <sheetView showGridLines="0" zoomScale="90" zoomScaleNormal="90" workbookViewId="0">
      <selection activeCell="J27" sqref="J27"/>
    </sheetView>
  </sheetViews>
  <sheetFormatPr defaultRowHeight="12.75" outlineLevelRow="1"/>
  <cols>
    <col min="2" max="2" width="36.42578125" bestFit="1" customWidth="1"/>
    <col min="16" max="16" width="2.42578125" customWidth="1"/>
  </cols>
  <sheetData>
    <row r="3" spans="1:17" ht="15" customHeight="1">
      <c r="A3" s="1115" t="s">
        <v>78</v>
      </c>
      <c r="B3" s="1017" t="s">
        <v>1203</v>
      </c>
      <c r="C3" s="1018">
        <v>2018</v>
      </c>
      <c r="D3" s="1018">
        <f>C3+1</f>
        <v>2019</v>
      </c>
      <c r="E3" s="1018">
        <f t="shared" ref="E3:O3" si="0">D3+1</f>
        <v>2020</v>
      </c>
      <c r="F3" s="1018">
        <f t="shared" si="0"/>
        <v>2021</v>
      </c>
      <c r="G3" s="1018">
        <f t="shared" si="0"/>
        <v>2022</v>
      </c>
      <c r="H3" s="1018">
        <f t="shared" si="0"/>
        <v>2023</v>
      </c>
      <c r="I3" s="1018">
        <f t="shared" si="0"/>
        <v>2024</v>
      </c>
      <c r="J3" s="1018">
        <f t="shared" si="0"/>
        <v>2025</v>
      </c>
      <c r="K3" s="1018">
        <f t="shared" si="0"/>
        <v>2026</v>
      </c>
      <c r="L3" s="1018">
        <f t="shared" si="0"/>
        <v>2027</v>
      </c>
      <c r="M3" s="1018">
        <f t="shared" si="0"/>
        <v>2028</v>
      </c>
      <c r="N3" s="1018">
        <f t="shared" si="0"/>
        <v>2029</v>
      </c>
      <c r="O3" s="1018">
        <f t="shared" si="0"/>
        <v>2030</v>
      </c>
    </row>
    <row r="4" spans="1:17" ht="15" customHeight="1">
      <c r="A4" s="25"/>
      <c r="B4" s="360" t="s">
        <v>1194</v>
      </c>
      <c r="C4" s="1103">
        <v>22146.765895670207</v>
      </c>
      <c r="D4" s="1103">
        <v>22657.949777967988</v>
      </c>
      <c r="E4" s="1103">
        <v>23137.58948731067</v>
      </c>
      <c r="F4" s="1103">
        <v>23589.948238352416</v>
      </c>
      <c r="G4" s="1103">
        <v>24018.71096081856</v>
      </c>
      <c r="H4" s="1103">
        <v>24427.51908821215</v>
      </c>
      <c r="I4" s="1103">
        <v>24819.262900777783</v>
      </c>
      <c r="J4" s="1103">
        <v>25196.50330547462</v>
      </c>
      <c r="K4" s="1103">
        <v>25561.539089123264</v>
      </c>
      <c r="L4" s="1103">
        <v>25916.314353136993</v>
      </c>
      <c r="M4" s="1103">
        <v>26262.541678421439</v>
      </c>
      <c r="N4" s="1103">
        <v>26601.72348680468</v>
      </c>
      <c r="O4" s="1103">
        <v>26935.159111930192</v>
      </c>
      <c r="Q4" s="360" t="s">
        <v>1204</v>
      </c>
    </row>
    <row r="5" spans="1:17" ht="15" customHeight="1">
      <c r="A5" s="25"/>
      <c r="B5" s="360" t="s">
        <v>1195</v>
      </c>
      <c r="C5" s="1105">
        <f>CHOOSE(DCF!$C$25,Fedratinib!C6,Fedratinib!C7,Fedratinib!C8)</f>
        <v>0</v>
      </c>
      <c r="D5" s="1105">
        <f>CHOOSE(DCF!$C$25,Fedratinib!D6,Fedratinib!D7,Fedratinib!D8)</f>
        <v>0</v>
      </c>
      <c r="E5" s="1105">
        <f>CHOOSE(DCF!$C$25,Fedratinib!E6,Fedratinib!E7,Fedratinib!E8)</f>
        <v>1.4999999999999999E-2</v>
      </c>
      <c r="F5" s="1105">
        <f>CHOOSE(DCF!$C$25,Fedratinib!F6,Fedratinib!F7,Fedratinib!F8)</f>
        <v>2.6249999999999999E-2</v>
      </c>
      <c r="G5" s="1105">
        <f>CHOOSE(DCF!$C$25,Fedratinib!G6,Fedratinib!G7,Fedratinib!G8)</f>
        <v>3.9375E-2</v>
      </c>
      <c r="H5" s="1105">
        <f>CHOOSE(DCF!$C$25,Fedratinib!H6,Fedratinib!H7,Fedratinib!H8)</f>
        <v>4.9218749999999999E-2</v>
      </c>
      <c r="I5" s="1105">
        <f>CHOOSE(DCF!$C$25,Fedratinib!I6,Fedratinib!I7,Fedratinib!I8)</f>
        <v>5.9062499999999997E-2</v>
      </c>
      <c r="J5" s="1105">
        <f>CHOOSE(DCF!$C$25,Fedratinib!J6,Fedratinib!J7,Fedratinib!J8)</f>
        <v>6.7921874999999993E-2</v>
      </c>
      <c r="K5" s="1105">
        <f>CHOOSE(DCF!$C$25,Fedratinib!K6,Fedratinib!K7,Fedratinib!K8)</f>
        <v>7.4714062499999997E-2</v>
      </c>
      <c r="L5" s="1105">
        <f>CHOOSE(DCF!$C$25,Fedratinib!L6,Fedratinib!L7,Fedratinib!L8)</f>
        <v>8.2185468750000004E-2</v>
      </c>
      <c r="M5" s="1105">
        <f>CHOOSE(DCF!$C$25,Fedratinib!M6,Fedratinib!M7,Fedratinib!M8)</f>
        <v>8.2185468750000004E-2</v>
      </c>
      <c r="N5" s="1105">
        <f>CHOOSE(DCF!$C$25,Fedratinib!N6,Fedratinib!N7,Fedratinib!N8)</f>
        <v>8.2185468750000004E-2</v>
      </c>
      <c r="O5" s="1105">
        <f>CHOOSE(DCF!$C$25,Fedratinib!O6,Fedratinib!O7,Fedratinib!O8)</f>
        <v>8.2185468750000004E-2</v>
      </c>
    </row>
    <row r="6" spans="1:17" ht="15" customHeight="1" outlineLevel="1">
      <c r="A6" s="25"/>
      <c r="B6" s="1104" t="s">
        <v>463</v>
      </c>
      <c r="C6" s="1106">
        <v>0</v>
      </c>
      <c r="D6" s="1107">
        <f>C6</f>
        <v>0</v>
      </c>
      <c r="E6" s="1107">
        <f>E7*1.5</f>
        <v>2.2499999999999999E-2</v>
      </c>
      <c r="F6" s="1107">
        <f t="shared" ref="F6:O6" si="1">F7*1.5</f>
        <v>3.9375E-2</v>
      </c>
      <c r="G6" s="1107">
        <f t="shared" si="1"/>
        <v>5.9062500000000004E-2</v>
      </c>
      <c r="H6" s="1107">
        <f t="shared" si="1"/>
        <v>7.3828124999999994E-2</v>
      </c>
      <c r="I6" s="1107">
        <f t="shared" si="1"/>
        <v>8.8593749999999999E-2</v>
      </c>
      <c r="J6" s="1107">
        <f t="shared" si="1"/>
        <v>0.10188281249999999</v>
      </c>
      <c r="K6" s="1107">
        <f t="shared" si="1"/>
        <v>0.11207109374999999</v>
      </c>
      <c r="L6" s="1107">
        <f t="shared" si="1"/>
        <v>0.12327820312500001</v>
      </c>
      <c r="M6" s="1107">
        <f t="shared" si="1"/>
        <v>0.12327820312500001</v>
      </c>
      <c r="N6" s="1107">
        <f t="shared" si="1"/>
        <v>0.12327820312500001</v>
      </c>
      <c r="O6" s="1107">
        <f t="shared" si="1"/>
        <v>0.12327820312500001</v>
      </c>
    </row>
    <row r="7" spans="1:17" ht="15" customHeight="1" outlineLevel="1">
      <c r="A7" s="25"/>
      <c r="B7" s="1104" t="s">
        <v>464</v>
      </c>
      <c r="C7" s="1106">
        <v>0</v>
      </c>
      <c r="D7" s="1107">
        <f>C7</f>
        <v>0</v>
      </c>
      <c r="E7" s="1106">
        <v>1.4999999999999999E-2</v>
      </c>
      <c r="F7" s="1107">
        <f>E7*1.75</f>
        <v>2.6249999999999999E-2</v>
      </c>
      <c r="G7" s="1107">
        <f>F7*1.5</f>
        <v>3.9375E-2</v>
      </c>
      <c r="H7" s="1107">
        <f>G7*1.25</f>
        <v>4.9218749999999999E-2</v>
      </c>
      <c r="I7" s="1107">
        <f>H7*1.2</f>
        <v>5.9062499999999997E-2</v>
      </c>
      <c r="J7" s="1107">
        <f>I7*1.15</f>
        <v>6.7921874999999993E-2</v>
      </c>
      <c r="K7" s="1107">
        <f>J7*1.1</f>
        <v>7.4714062499999997E-2</v>
      </c>
      <c r="L7" s="1107">
        <f>K7*1.1</f>
        <v>8.2185468750000004E-2</v>
      </c>
      <c r="M7" s="1107">
        <f t="shared" ref="M7:O7" si="2">L7</f>
        <v>8.2185468750000004E-2</v>
      </c>
      <c r="N7" s="1107">
        <f t="shared" si="2"/>
        <v>8.2185468750000004E-2</v>
      </c>
      <c r="O7" s="1107">
        <f t="shared" si="2"/>
        <v>8.2185468750000004E-2</v>
      </c>
    </row>
    <row r="8" spans="1:17" ht="15" customHeight="1" outlineLevel="1">
      <c r="A8" s="25"/>
      <c r="B8" s="1104" t="s">
        <v>462</v>
      </c>
      <c r="C8" s="1106">
        <v>0</v>
      </c>
      <c r="D8" s="1107">
        <f>C8</f>
        <v>0</v>
      </c>
      <c r="E8" s="1106">
        <v>0</v>
      </c>
      <c r="F8" s="1107">
        <f t="shared" ref="F8:O8" si="3">E8</f>
        <v>0</v>
      </c>
      <c r="G8" s="1107">
        <f t="shared" si="3"/>
        <v>0</v>
      </c>
      <c r="H8" s="1107">
        <f t="shared" si="3"/>
        <v>0</v>
      </c>
      <c r="I8" s="1107">
        <f t="shared" si="3"/>
        <v>0</v>
      </c>
      <c r="J8" s="1107">
        <f t="shared" si="3"/>
        <v>0</v>
      </c>
      <c r="K8" s="1107">
        <f t="shared" si="3"/>
        <v>0</v>
      </c>
      <c r="L8" s="1107">
        <f t="shared" si="3"/>
        <v>0</v>
      </c>
      <c r="M8" s="1107">
        <f t="shared" si="3"/>
        <v>0</v>
      </c>
      <c r="N8" s="1107">
        <f t="shared" si="3"/>
        <v>0</v>
      </c>
      <c r="O8" s="1107">
        <f t="shared" si="3"/>
        <v>0</v>
      </c>
    </row>
    <row r="9" spans="1:17" ht="15" customHeight="1">
      <c r="A9" s="25"/>
      <c r="B9" s="360" t="s">
        <v>1196</v>
      </c>
      <c r="C9" s="1103">
        <f>C5*C4</f>
        <v>0</v>
      </c>
      <c r="D9" s="1103">
        <f t="shared" ref="D9:O9" si="4">D5*D4</f>
        <v>0</v>
      </c>
      <c r="E9" s="1103">
        <f t="shared" si="4"/>
        <v>347.06384230966006</v>
      </c>
      <c r="F9" s="1103">
        <f t="shared" si="4"/>
        <v>619.2361412567509</v>
      </c>
      <c r="G9" s="1103">
        <f t="shared" si="4"/>
        <v>945.73674408223076</v>
      </c>
      <c r="H9" s="1103">
        <f t="shared" si="4"/>
        <v>1202.2919551229418</v>
      </c>
      <c r="I9" s="1103">
        <f t="shared" si="4"/>
        <v>1465.8877150771877</v>
      </c>
      <c r="J9" s="1103">
        <f t="shared" si="4"/>
        <v>1711.3937479515337</v>
      </c>
      <c r="K9" s="1103">
        <f t="shared" si="4"/>
        <v>1909.8064291009484</v>
      </c>
      <c r="L9" s="1103">
        <f t="shared" si="4"/>
        <v>2129.9444433849171</v>
      </c>
      <c r="M9" s="1103">
        <f t="shared" si="4"/>
        <v>2158.399298407478</v>
      </c>
      <c r="N9" s="1103">
        <f t="shared" si="4"/>
        <v>2186.2751143209271</v>
      </c>
      <c r="O9" s="1103">
        <f t="shared" si="4"/>
        <v>2213.6786774698166</v>
      </c>
    </row>
    <row r="10" spans="1:17" ht="15" customHeight="1">
      <c r="A10" s="25"/>
      <c r="B10" s="360" t="s">
        <v>1197</v>
      </c>
      <c r="C10" s="1110">
        <v>0</v>
      </c>
      <c r="D10" s="929">
        <f>C10</f>
        <v>0</v>
      </c>
      <c r="E10" s="1111">
        <v>9000</v>
      </c>
      <c r="F10" s="929">
        <f>E10*(1+F11)</f>
        <v>9450</v>
      </c>
      <c r="G10" s="929">
        <f t="shared" ref="G10:O10" si="5">F10*(1+G11)</f>
        <v>9922.5</v>
      </c>
      <c r="H10" s="929">
        <f t="shared" si="5"/>
        <v>10418.625</v>
      </c>
      <c r="I10" s="929">
        <f t="shared" si="5"/>
        <v>10939.55625</v>
      </c>
      <c r="J10" s="929">
        <f t="shared" si="5"/>
        <v>11486.534062500001</v>
      </c>
      <c r="K10" s="929">
        <f t="shared" si="5"/>
        <v>11773.697414062501</v>
      </c>
      <c r="L10" s="929">
        <f t="shared" si="5"/>
        <v>12068.039849414063</v>
      </c>
      <c r="M10" s="929">
        <f t="shared" si="5"/>
        <v>12369.740845649414</v>
      </c>
      <c r="N10" s="929">
        <f t="shared" si="5"/>
        <v>12678.984366790648</v>
      </c>
      <c r="O10" s="929">
        <f t="shared" si="5"/>
        <v>12995.958975960413</v>
      </c>
    </row>
    <row r="11" spans="1:17" ht="15" customHeight="1" outlineLevel="1">
      <c r="A11" s="25"/>
      <c r="B11" s="1104" t="s">
        <v>1198</v>
      </c>
      <c r="C11" s="1109">
        <v>0</v>
      </c>
      <c r="D11" s="1108">
        <f>C11</f>
        <v>0</v>
      </c>
      <c r="E11" s="1108">
        <f>D11</f>
        <v>0</v>
      </c>
      <c r="F11" s="1109">
        <v>0.05</v>
      </c>
      <c r="G11" s="1108">
        <f>F11</f>
        <v>0.05</v>
      </c>
      <c r="H11" s="1108">
        <f t="shared" ref="H11:J11" si="6">G11</f>
        <v>0.05</v>
      </c>
      <c r="I11" s="1108">
        <f t="shared" si="6"/>
        <v>0.05</v>
      </c>
      <c r="J11" s="1108">
        <f t="shared" si="6"/>
        <v>0.05</v>
      </c>
      <c r="K11" s="1109">
        <v>2.5000000000000001E-2</v>
      </c>
      <c r="L11" s="1108">
        <f>K11</f>
        <v>2.5000000000000001E-2</v>
      </c>
      <c r="M11" s="1108">
        <f t="shared" ref="M11:O11" si="7">L11</f>
        <v>2.5000000000000001E-2</v>
      </c>
      <c r="N11" s="1108">
        <f t="shared" si="7"/>
        <v>2.5000000000000001E-2</v>
      </c>
      <c r="O11" s="1108">
        <f t="shared" si="7"/>
        <v>2.5000000000000001E-2</v>
      </c>
    </row>
    <row r="12" spans="1:17" ht="15" customHeight="1">
      <c r="A12" s="25"/>
      <c r="B12" s="360" t="s">
        <v>1199</v>
      </c>
      <c r="C12" s="1112">
        <v>0</v>
      </c>
      <c r="D12" s="1103">
        <f>C12</f>
        <v>0</v>
      </c>
      <c r="E12" s="1112">
        <v>6</v>
      </c>
      <c r="F12" s="1113">
        <f>E12+1.5</f>
        <v>7.5</v>
      </c>
      <c r="G12" s="1113">
        <f>F12+1.5</f>
        <v>9</v>
      </c>
      <c r="H12" s="1103">
        <f>G12+1.5</f>
        <v>10.5</v>
      </c>
      <c r="I12" s="1103">
        <f t="shared" ref="I12:O12" si="8">H12</f>
        <v>10.5</v>
      </c>
      <c r="J12" s="1103">
        <f t="shared" si="8"/>
        <v>10.5</v>
      </c>
      <c r="K12" s="1103">
        <f t="shared" si="8"/>
        <v>10.5</v>
      </c>
      <c r="L12" s="1103">
        <f t="shared" si="8"/>
        <v>10.5</v>
      </c>
      <c r="M12" s="1103">
        <f t="shared" si="8"/>
        <v>10.5</v>
      </c>
      <c r="N12" s="1103">
        <f t="shared" si="8"/>
        <v>10.5</v>
      </c>
      <c r="O12" s="1103">
        <f t="shared" si="8"/>
        <v>10.5</v>
      </c>
    </row>
    <row r="13" spans="1:17" ht="15" customHeight="1">
      <c r="A13" s="1115" t="s">
        <v>78</v>
      </c>
      <c r="B13" s="72" t="s">
        <v>1200</v>
      </c>
      <c r="C13" s="1114">
        <f>C12*C10*C9/1000000</f>
        <v>0</v>
      </c>
      <c r="D13" s="1114">
        <f t="shared" ref="D13:O13" si="9">D12*D10*D9/1000000</f>
        <v>0</v>
      </c>
      <c r="E13" s="1114">
        <f t="shared" si="9"/>
        <v>18.741447484721643</v>
      </c>
      <c r="F13" s="1114">
        <f t="shared" si="9"/>
        <v>43.888361511572221</v>
      </c>
      <c r="G13" s="1114">
        <f t="shared" si="9"/>
        <v>84.456655588403422</v>
      </c>
      <c r="H13" s="1114">
        <f t="shared" si="9"/>
        <v>131.52540471989897</v>
      </c>
      <c r="I13" s="1114">
        <f t="shared" si="9"/>
        <v>168.3796917103441</v>
      </c>
      <c r="J13" s="1114">
        <f t="shared" si="9"/>
        <v>206.40881709204575</v>
      </c>
      <c r="K13" s="1114">
        <f t="shared" si="9"/>
        <v>236.09757166449063</v>
      </c>
      <c r="L13" s="1114">
        <f t="shared" si="9"/>
        <v>269.89467140797598</v>
      </c>
      <c r="M13" s="1114">
        <f t="shared" si="9"/>
        <v>280.33781960868623</v>
      </c>
      <c r="N13" s="1114">
        <f t="shared" si="9"/>
        <v>291.05735395777396</v>
      </c>
      <c r="O13" s="1114">
        <f t="shared" si="9"/>
        <v>302.07321142273838</v>
      </c>
    </row>
    <row r="14" spans="1:17" ht="15" customHeight="1">
      <c r="A14" s="25"/>
    </row>
    <row r="15" spans="1:17" ht="15" customHeight="1">
      <c r="A15" s="1115" t="s">
        <v>78</v>
      </c>
      <c r="B15" s="1017" t="s">
        <v>1202</v>
      </c>
      <c r="C15" s="1018">
        <f>C3</f>
        <v>2018</v>
      </c>
      <c r="D15" s="1018">
        <f t="shared" ref="D15:O15" si="10">D3</f>
        <v>2019</v>
      </c>
      <c r="E15" s="1018">
        <f t="shared" si="10"/>
        <v>2020</v>
      </c>
      <c r="F15" s="1018">
        <f t="shared" si="10"/>
        <v>2021</v>
      </c>
      <c r="G15" s="1018">
        <f t="shared" si="10"/>
        <v>2022</v>
      </c>
      <c r="H15" s="1018">
        <f t="shared" si="10"/>
        <v>2023</v>
      </c>
      <c r="I15" s="1018">
        <f t="shared" si="10"/>
        <v>2024</v>
      </c>
      <c r="J15" s="1018">
        <f t="shared" si="10"/>
        <v>2025</v>
      </c>
      <c r="K15" s="1018">
        <f t="shared" si="10"/>
        <v>2026</v>
      </c>
      <c r="L15" s="1018">
        <f t="shared" si="10"/>
        <v>2027</v>
      </c>
      <c r="M15" s="1018">
        <f t="shared" si="10"/>
        <v>2028</v>
      </c>
      <c r="N15" s="1018">
        <f t="shared" si="10"/>
        <v>2029</v>
      </c>
      <c r="O15" s="1018">
        <f t="shared" si="10"/>
        <v>2030</v>
      </c>
    </row>
    <row r="16" spans="1:17" ht="15" customHeight="1">
      <c r="A16" s="25"/>
      <c r="B16" s="360" t="s">
        <v>1206</v>
      </c>
      <c r="C16" s="1103">
        <v>24594.106027403035</v>
      </c>
      <c r="D16" s="1103">
        <v>25105.933285925337</v>
      </c>
      <c r="E16" s="1103">
        <v>25613.041027697676</v>
      </c>
      <c r="F16" s="1103">
        <v>26115.746055757951</v>
      </c>
      <c r="G16" s="1103">
        <v>26614.354873240845</v>
      </c>
      <c r="H16" s="1103">
        <v>27109.164078692342</v>
      </c>
      <c r="I16" s="1103">
        <v>27600.460746899738</v>
      </c>
      <c r="J16" s="1103">
        <v>28088.52279577465</v>
      </c>
      <c r="K16" s="1103">
        <v>28573.61933980629</v>
      </c>
      <c r="L16" s="1103">
        <v>29056.011030583515</v>
      </c>
      <c r="M16" s="1103">
        <v>29535.950384865486</v>
      </c>
      <c r="N16" s="1103">
        <v>30013.682100663162</v>
      </c>
      <c r="O16" s="1103">
        <v>30489.443361776703</v>
      </c>
      <c r="Q16" s="360" t="s">
        <v>1204</v>
      </c>
    </row>
    <row r="17" spans="1:15" ht="15" customHeight="1">
      <c r="A17" s="25"/>
      <c r="B17" s="360" t="s">
        <v>1195</v>
      </c>
      <c r="C17" s="1105">
        <f>CHOOSE(DCF!$C$25,Fedratinib!C18,Fedratinib!C19,Fedratinib!C20)</f>
        <v>0</v>
      </c>
      <c r="D17" s="1105">
        <f>CHOOSE(DCF!$C$25,Fedratinib!D18,Fedratinib!D19,Fedratinib!D20)</f>
        <v>0</v>
      </c>
      <c r="E17" s="1105">
        <f>CHOOSE(DCF!$C$25,Fedratinib!E18,Fedratinib!E19,Fedratinib!E20)</f>
        <v>0.01</v>
      </c>
      <c r="F17" s="1105">
        <f>CHOOSE(DCF!$C$25,Fedratinib!F18,Fedratinib!F19,Fedratinib!F20)</f>
        <v>1.7500000000000002E-2</v>
      </c>
      <c r="G17" s="1105">
        <f>CHOOSE(DCF!$C$25,Fedratinib!G18,Fedratinib!G19,Fedratinib!G20)</f>
        <v>2.6250000000000002E-2</v>
      </c>
      <c r="H17" s="1105">
        <f>CHOOSE(DCF!$C$25,Fedratinib!H18,Fedratinib!H19,Fedratinib!H20)</f>
        <v>3.2812500000000001E-2</v>
      </c>
      <c r="I17" s="1105">
        <f>CHOOSE(DCF!$C$25,Fedratinib!I18,Fedratinib!I19,Fedratinib!I20)</f>
        <v>3.9375E-2</v>
      </c>
      <c r="J17" s="1105">
        <f>CHOOSE(DCF!$C$25,Fedratinib!J18,Fedratinib!J19,Fedratinib!J20)</f>
        <v>4.5281249999999995E-2</v>
      </c>
      <c r="K17" s="1105">
        <f>CHOOSE(DCF!$C$25,Fedratinib!K18,Fedratinib!K19,Fedratinib!K20)</f>
        <v>4.9809374999999996E-2</v>
      </c>
      <c r="L17" s="1105">
        <f>CHOOSE(DCF!$C$25,Fedratinib!L18,Fedratinib!L19,Fedratinib!L20)</f>
        <v>4.9809374999999996E-2</v>
      </c>
      <c r="M17" s="1105">
        <f>CHOOSE(DCF!$C$25,Fedratinib!M18,Fedratinib!M19,Fedratinib!M20)</f>
        <v>4.9809374999999996E-2</v>
      </c>
      <c r="N17" s="1105">
        <f>CHOOSE(DCF!$C$25,Fedratinib!N18,Fedratinib!N19,Fedratinib!N20)</f>
        <v>4.9809374999999996E-2</v>
      </c>
      <c r="O17" s="1105">
        <f>CHOOSE(DCF!$C$25,Fedratinib!O18,Fedratinib!O19,Fedratinib!O20)</f>
        <v>4.9809374999999996E-2</v>
      </c>
    </row>
    <row r="18" spans="1:15" ht="15" customHeight="1" outlineLevel="1">
      <c r="A18" s="25"/>
      <c r="B18" s="1104" t="s">
        <v>463</v>
      </c>
      <c r="C18" s="1106">
        <v>0</v>
      </c>
      <c r="D18" s="1107">
        <f>C18</f>
        <v>0</v>
      </c>
      <c r="E18" s="1107">
        <f>E19*1.5</f>
        <v>1.4999999999999999E-2</v>
      </c>
      <c r="F18" s="1107">
        <f t="shared" ref="F18:O18" si="11">F19*1.5</f>
        <v>2.6250000000000002E-2</v>
      </c>
      <c r="G18" s="1107">
        <f t="shared" si="11"/>
        <v>3.9375000000000007E-2</v>
      </c>
      <c r="H18" s="1107">
        <f t="shared" si="11"/>
        <v>4.9218750000000006E-2</v>
      </c>
      <c r="I18" s="1107">
        <f t="shared" si="11"/>
        <v>5.9062500000000004E-2</v>
      </c>
      <c r="J18" s="1107">
        <f t="shared" si="11"/>
        <v>6.7921874999999993E-2</v>
      </c>
      <c r="K18" s="1107">
        <f t="shared" si="11"/>
        <v>7.4714062499999997E-2</v>
      </c>
      <c r="L18" s="1107">
        <f t="shared" si="11"/>
        <v>7.4714062499999997E-2</v>
      </c>
      <c r="M18" s="1107">
        <f t="shared" si="11"/>
        <v>7.4714062499999997E-2</v>
      </c>
      <c r="N18" s="1107">
        <f t="shared" si="11"/>
        <v>7.4714062499999997E-2</v>
      </c>
      <c r="O18" s="1107">
        <f t="shared" si="11"/>
        <v>7.4714062499999997E-2</v>
      </c>
    </row>
    <row r="19" spans="1:15" ht="15" customHeight="1" outlineLevel="1">
      <c r="A19" s="25"/>
      <c r="B19" s="1104" t="s">
        <v>464</v>
      </c>
      <c r="C19" s="1106">
        <v>0</v>
      </c>
      <c r="D19" s="1107">
        <f t="shared" ref="D19:D20" si="12">C19</f>
        <v>0</v>
      </c>
      <c r="E19" s="1106">
        <v>0.01</v>
      </c>
      <c r="F19" s="1107">
        <f>E19*1.75</f>
        <v>1.7500000000000002E-2</v>
      </c>
      <c r="G19" s="1107">
        <f>F19*1.5</f>
        <v>2.6250000000000002E-2</v>
      </c>
      <c r="H19" s="1107">
        <f>G19*1.25</f>
        <v>3.2812500000000001E-2</v>
      </c>
      <c r="I19" s="1107">
        <f>H19*1.2</f>
        <v>3.9375E-2</v>
      </c>
      <c r="J19" s="1107">
        <f>I19*1.15</f>
        <v>4.5281249999999995E-2</v>
      </c>
      <c r="K19" s="1107">
        <f>J19*1.1</f>
        <v>4.9809374999999996E-2</v>
      </c>
      <c r="L19" s="1107">
        <f>K19</f>
        <v>4.9809374999999996E-2</v>
      </c>
      <c r="M19" s="1107">
        <f t="shared" ref="M19:O19" si="13">L19</f>
        <v>4.9809374999999996E-2</v>
      </c>
      <c r="N19" s="1107">
        <f t="shared" si="13"/>
        <v>4.9809374999999996E-2</v>
      </c>
      <c r="O19" s="1107">
        <f t="shared" si="13"/>
        <v>4.9809374999999996E-2</v>
      </c>
    </row>
    <row r="20" spans="1:15" ht="15" customHeight="1" outlineLevel="1">
      <c r="A20" s="25"/>
      <c r="B20" s="1104" t="s">
        <v>462</v>
      </c>
      <c r="C20" s="1106">
        <v>0</v>
      </c>
      <c r="D20" s="1107">
        <f t="shared" si="12"/>
        <v>0</v>
      </c>
      <c r="E20" s="1106">
        <v>0</v>
      </c>
      <c r="F20" s="1107">
        <f>E20</f>
        <v>0</v>
      </c>
      <c r="G20" s="1107">
        <f t="shared" ref="G20:O20" si="14">F20</f>
        <v>0</v>
      </c>
      <c r="H20" s="1107">
        <f t="shared" si="14"/>
        <v>0</v>
      </c>
      <c r="I20" s="1107">
        <f t="shared" si="14"/>
        <v>0</v>
      </c>
      <c r="J20" s="1107">
        <f t="shared" si="14"/>
        <v>0</v>
      </c>
      <c r="K20" s="1107">
        <f t="shared" si="14"/>
        <v>0</v>
      </c>
      <c r="L20" s="1107">
        <f t="shared" si="14"/>
        <v>0</v>
      </c>
      <c r="M20" s="1107">
        <f t="shared" si="14"/>
        <v>0</v>
      </c>
      <c r="N20" s="1107">
        <f t="shared" si="14"/>
        <v>0</v>
      </c>
      <c r="O20" s="1107">
        <f t="shared" si="14"/>
        <v>0</v>
      </c>
    </row>
    <row r="21" spans="1:15" ht="15" customHeight="1">
      <c r="A21" s="25"/>
      <c r="B21" s="360" t="s">
        <v>1196</v>
      </c>
      <c r="C21" s="1103">
        <f>C17*C16</f>
        <v>0</v>
      </c>
      <c r="D21" s="1103">
        <f t="shared" ref="D21:O21" si="15">D17*D16</f>
        <v>0</v>
      </c>
      <c r="E21" s="1103">
        <f t="shared" si="15"/>
        <v>256.13041027697676</v>
      </c>
      <c r="F21" s="1103">
        <f t="shared" si="15"/>
        <v>457.02555597576418</v>
      </c>
      <c r="G21" s="1103">
        <f t="shared" si="15"/>
        <v>698.62681542257224</v>
      </c>
      <c r="H21" s="1103">
        <f t="shared" si="15"/>
        <v>889.51944633209246</v>
      </c>
      <c r="I21" s="1103">
        <f t="shared" si="15"/>
        <v>1086.7681419091773</v>
      </c>
      <c r="J21" s="1103">
        <f t="shared" si="15"/>
        <v>1271.8834228461708</v>
      </c>
      <c r="K21" s="1103">
        <f t="shared" si="15"/>
        <v>1423.2341208036637</v>
      </c>
      <c r="L21" s="1103">
        <f t="shared" si="15"/>
        <v>1447.2617494264707</v>
      </c>
      <c r="M21" s="1103">
        <f t="shared" si="15"/>
        <v>1471.1672287011593</v>
      </c>
      <c r="N21" s="1103">
        <f t="shared" si="15"/>
        <v>1494.9627468827191</v>
      </c>
      <c r="O21" s="1103">
        <f t="shared" si="15"/>
        <v>1518.6601179479962</v>
      </c>
    </row>
    <row r="22" spans="1:15" ht="15" customHeight="1">
      <c r="A22" s="25"/>
      <c r="B22" s="360" t="s">
        <v>1197</v>
      </c>
      <c r="C22" s="1110">
        <v>0</v>
      </c>
      <c r="D22" s="929">
        <f>C22</f>
        <v>0</v>
      </c>
      <c r="E22" s="1111">
        <f>E10</f>
        <v>9000</v>
      </c>
      <c r="F22" s="929">
        <f>E22*(1+F23)</f>
        <v>9450</v>
      </c>
      <c r="G22" s="929">
        <f t="shared" ref="G22:O22" si="16">F22*(1+G23)</f>
        <v>9922.5</v>
      </c>
      <c r="H22" s="929">
        <f t="shared" si="16"/>
        <v>10418.625</v>
      </c>
      <c r="I22" s="929">
        <f t="shared" si="16"/>
        <v>10939.55625</v>
      </c>
      <c r="J22" s="929">
        <f t="shared" si="16"/>
        <v>11486.534062500001</v>
      </c>
      <c r="K22" s="929">
        <f t="shared" si="16"/>
        <v>11773.697414062501</v>
      </c>
      <c r="L22" s="929">
        <f t="shared" si="16"/>
        <v>12068.039849414063</v>
      </c>
      <c r="M22" s="929">
        <f t="shared" si="16"/>
        <v>12369.740845649414</v>
      </c>
      <c r="N22" s="929">
        <f t="shared" si="16"/>
        <v>12678.984366790648</v>
      </c>
      <c r="O22" s="929">
        <f t="shared" si="16"/>
        <v>12995.958975960413</v>
      </c>
    </row>
    <row r="23" spans="1:15" ht="15" customHeight="1" outlineLevel="1">
      <c r="A23" s="25"/>
      <c r="B23" s="1104" t="s">
        <v>1198</v>
      </c>
      <c r="C23" s="1109">
        <v>0</v>
      </c>
      <c r="D23" s="1108">
        <f>C23</f>
        <v>0</v>
      </c>
      <c r="E23" s="1108">
        <f>D23</f>
        <v>0</v>
      </c>
      <c r="F23" s="1109">
        <f>F11</f>
        <v>0.05</v>
      </c>
      <c r="G23" s="1108">
        <f t="shared" ref="G23:O23" si="17">G11</f>
        <v>0.05</v>
      </c>
      <c r="H23" s="1108">
        <f t="shared" si="17"/>
        <v>0.05</v>
      </c>
      <c r="I23" s="1108">
        <f t="shared" si="17"/>
        <v>0.05</v>
      </c>
      <c r="J23" s="1108">
        <f t="shared" si="17"/>
        <v>0.05</v>
      </c>
      <c r="K23" s="1109">
        <f t="shared" si="17"/>
        <v>2.5000000000000001E-2</v>
      </c>
      <c r="L23" s="1108">
        <f t="shared" si="17"/>
        <v>2.5000000000000001E-2</v>
      </c>
      <c r="M23" s="1108">
        <f t="shared" si="17"/>
        <v>2.5000000000000001E-2</v>
      </c>
      <c r="N23" s="1108">
        <f t="shared" si="17"/>
        <v>2.5000000000000001E-2</v>
      </c>
      <c r="O23" s="1108">
        <f t="shared" si="17"/>
        <v>2.5000000000000001E-2</v>
      </c>
    </row>
    <row r="24" spans="1:15" ht="15" customHeight="1">
      <c r="A24" s="25"/>
      <c r="B24" s="360" t="s">
        <v>1199</v>
      </c>
      <c r="C24" s="1112">
        <f>C12</f>
        <v>0</v>
      </c>
      <c r="D24" s="1103">
        <f t="shared" ref="D24:O24" si="18">D12</f>
        <v>0</v>
      </c>
      <c r="E24" s="1112">
        <f t="shared" si="18"/>
        <v>6</v>
      </c>
      <c r="F24" s="1113">
        <f t="shared" si="18"/>
        <v>7.5</v>
      </c>
      <c r="G24" s="1113">
        <f t="shared" si="18"/>
        <v>9</v>
      </c>
      <c r="H24" s="1103">
        <f t="shared" si="18"/>
        <v>10.5</v>
      </c>
      <c r="I24" s="1103">
        <f t="shared" si="18"/>
        <v>10.5</v>
      </c>
      <c r="J24" s="1103">
        <f t="shared" si="18"/>
        <v>10.5</v>
      </c>
      <c r="K24" s="1103">
        <f t="shared" si="18"/>
        <v>10.5</v>
      </c>
      <c r="L24" s="1103">
        <f t="shared" si="18"/>
        <v>10.5</v>
      </c>
      <c r="M24" s="1103">
        <f t="shared" si="18"/>
        <v>10.5</v>
      </c>
      <c r="N24" s="1103">
        <f t="shared" si="18"/>
        <v>10.5</v>
      </c>
      <c r="O24" s="1103">
        <f t="shared" si="18"/>
        <v>10.5</v>
      </c>
    </row>
    <row r="25" spans="1:15" ht="15" customHeight="1">
      <c r="A25" s="1115" t="s">
        <v>78</v>
      </c>
      <c r="B25" s="72" t="s">
        <v>1201</v>
      </c>
      <c r="C25" s="1114">
        <f>C24*C22*C21/1000000</f>
        <v>0</v>
      </c>
      <c r="D25" s="1114">
        <f t="shared" ref="D25" si="19">D24*D22*D21/1000000</f>
        <v>0</v>
      </c>
      <c r="E25" s="1114">
        <f t="shared" ref="E25" si="20">E24*E22*E21/1000000</f>
        <v>13.831042154956744</v>
      </c>
      <c r="F25" s="1114">
        <f t="shared" ref="F25" si="21">F24*F22*F21/1000000</f>
        <v>32.391686279782284</v>
      </c>
      <c r="G25" s="1114">
        <f t="shared" ref="G25" si="22">G24*G22*G21/1000000</f>
        <v>62.389121184274259</v>
      </c>
      <c r="H25" s="1114">
        <f t="shared" ref="H25" si="23">H24*H22*H21/1000000</f>
        <v>97.309480186187812</v>
      </c>
      <c r="I25" s="1114">
        <f t="shared" ref="I25" si="24">I24*I22*I21/1000000</f>
        <v>124.83199280079599</v>
      </c>
      <c r="J25" s="1114">
        <f t="shared" ref="J25" si="25">J24*J22*J21/1000000</f>
        <v>153.40008873054217</v>
      </c>
      <c r="K25" s="1114">
        <f t="shared" ref="K25" si="26">K24*K22*K21/1000000</f>
        <v>175.9456428209719</v>
      </c>
      <c r="L25" s="1114">
        <f t="shared" ref="L25" si="27">L24*L22*L21/1000000</f>
        <v>183.38893087841927</v>
      </c>
      <c r="M25" s="1114">
        <f t="shared" ref="M25" si="28">M24*M22*M21/1000000</f>
        <v>191.07855227627863</v>
      </c>
      <c r="N25" s="1114">
        <f t="shared" ref="N25" si="29">N24*N22*N21/1000000</f>
        <v>199.0233976149342</v>
      </c>
      <c r="O25" s="1114">
        <f t="shared" ref="O25" si="30">O24*O22*O21/1000000</f>
        <v>207.23266820843327</v>
      </c>
    </row>
    <row r="26" spans="1:15" ht="15" customHeight="1"/>
    <row r="27" spans="1:15" ht="15" customHeight="1">
      <c r="B27" s="72" t="s">
        <v>1205</v>
      </c>
      <c r="C27" s="1114">
        <f>C25+C13</f>
        <v>0</v>
      </c>
      <c r="D27" s="1114">
        <f t="shared" ref="D27:O27" si="31">D25+D13</f>
        <v>0</v>
      </c>
      <c r="E27" s="1114">
        <f t="shared" si="31"/>
        <v>32.572489639678388</v>
      </c>
      <c r="F27" s="1114">
        <f t="shared" si="31"/>
        <v>76.280047791354505</v>
      </c>
      <c r="G27" s="1114">
        <f t="shared" si="31"/>
        <v>146.84577677267768</v>
      </c>
      <c r="H27" s="1114">
        <f t="shared" si="31"/>
        <v>228.83488490608678</v>
      </c>
      <c r="I27" s="1114">
        <f t="shared" si="31"/>
        <v>293.21168451114011</v>
      </c>
      <c r="J27" s="1114">
        <f t="shared" si="31"/>
        <v>359.80890582258792</v>
      </c>
      <c r="K27" s="1114">
        <f t="shared" si="31"/>
        <v>412.0432144854625</v>
      </c>
      <c r="L27" s="1114">
        <f t="shared" si="31"/>
        <v>453.28360228639525</v>
      </c>
      <c r="M27" s="1114">
        <f t="shared" si="31"/>
        <v>471.41637188496486</v>
      </c>
      <c r="N27" s="1114">
        <f t="shared" si="31"/>
        <v>490.08075157270815</v>
      </c>
      <c r="O27" s="1114">
        <f t="shared" si="31"/>
        <v>509.30587963117165</v>
      </c>
    </row>
    <row r="29" spans="1:15">
      <c r="B29" s="1116" t="s">
        <v>1207</v>
      </c>
    </row>
  </sheetData>
  <pageMargins left="0.7" right="0.7" top="0.75" bottom="0.75" header="0.3" footer="0.3"/>
  <pageSetup orientation="portrait" r:id="rId1"/>
  <ignoredErrors>
    <ignoredError sqref="D9 D21 E23" formula="1"/>
  </ignoredErrors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"/>
  <sheetViews>
    <sheetView showGridLines="0" workbookViewId="0">
      <selection activeCell="M38" sqref="M38"/>
    </sheetView>
  </sheetViews>
  <sheetFormatPr defaultRowHeight="12.75"/>
  <sheetData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2:P31"/>
  <sheetViews>
    <sheetView showGridLines="0" workbookViewId="0">
      <selection activeCell="P14" sqref="P14"/>
    </sheetView>
  </sheetViews>
  <sheetFormatPr defaultRowHeight="12.75"/>
  <cols>
    <col min="1" max="1" width="9.140625" style="987"/>
    <col min="2" max="2" width="30.42578125" style="987" bestFit="1" customWidth="1"/>
    <col min="3" max="16384" width="9.140625" style="987"/>
  </cols>
  <sheetData>
    <row r="2" spans="1:16">
      <c r="B2" s="1053" t="s">
        <v>1133</v>
      </c>
      <c r="C2" s="988"/>
      <c r="D2" s="989">
        <v>2018</v>
      </c>
      <c r="E2" s="989">
        <f>D2+1</f>
        <v>2019</v>
      </c>
      <c r="F2" s="989">
        <f t="shared" ref="F2:P2" si="0">E2+1</f>
        <v>2020</v>
      </c>
      <c r="G2" s="989">
        <f t="shared" si="0"/>
        <v>2021</v>
      </c>
      <c r="H2" s="989">
        <f t="shared" si="0"/>
        <v>2022</v>
      </c>
      <c r="I2" s="989">
        <f t="shared" si="0"/>
        <v>2023</v>
      </c>
      <c r="J2" s="989">
        <f t="shared" si="0"/>
        <v>2024</v>
      </c>
      <c r="K2" s="989">
        <f t="shared" si="0"/>
        <v>2025</v>
      </c>
      <c r="L2" s="989">
        <f t="shared" si="0"/>
        <v>2026</v>
      </c>
      <c r="M2" s="989">
        <f t="shared" si="0"/>
        <v>2027</v>
      </c>
      <c r="N2" s="989">
        <f t="shared" si="0"/>
        <v>2028</v>
      </c>
      <c r="O2" s="989">
        <f t="shared" si="0"/>
        <v>2029</v>
      </c>
      <c r="P2" s="989">
        <f t="shared" si="0"/>
        <v>2030</v>
      </c>
    </row>
    <row r="3" spans="1:16">
      <c r="B3" s="1214" t="s">
        <v>1056</v>
      </c>
      <c r="C3" s="1215"/>
      <c r="D3" s="1216">
        <f>D5+D9</f>
        <v>0</v>
      </c>
      <c r="E3" s="1216">
        <f t="shared" ref="E3:P3" si="1">E5+E9</f>
        <v>0</v>
      </c>
      <c r="F3" s="1216">
        <f t="shared" si="1"/>
        <v>0</v>
      </c>
      <c r="G3" s="1216">
        <f t="shared" si="1"/>
        <v>0</v>
      </c>
      <c r="H3" s="1216">
        <f t="shared" si="1"/>
        <v>0</v>
      </c>
      <c r="I3" s="1216">
        <f t="shared" si="1"/>
        <v>0</v>
      </c>
      <c r="J3" s="1216">
        <f t="shared" si="1"/>
        <v>0</v>
      </c>
      <c r="K3" s="1216">
        <f t="shared" si="1"/>
        <v>0</v>
      </c>
      <c r="L3" s="1216">
        <f t="shared" si="1"/>
        <v>0</v>
      </c>
      <c r="M3" s="1216">
        <f t="shared" si="1"/>
        <v>0</v>
      </c>
      <c r="N3" s="1216">
        <f t="shared" si="1"/>
        <v>0</v>
      </c>
      <c r="O3" s="1216">
        <f t="shared" si="1"/>
        <v>0</v>
      </c>
      <c r="P3" s="1216">
        <f t="shared" si="1"/>
        <v>0</v>
      </c>
    </row>
    <row r="4" spans="1:16">
      <c r="B4" s="1019"/>
      <c r="D4" s="1050"/>
      <c r="E4" s="1050"/>
      <c r="F4" s="1050"/>
      <c r="G4" s="1050"/>
      <c r="H4" s="1050"/>
      <c r="I4" s="1050"/>
      <c r="J4" s="1050"/>
      <c r="K4" s="1050"/>
      <c r="L4" s="1050"/>
      <c r="M4" s="1050"/>
      <c r="N4" s="1050"/>
      <c r="O4" s="1050"/>
      <c r="P4" s="1050"/>
    </row>
    <row r="5" spans="1:16">
      <c r="B5" s="1057" t="s">
        <v>1150</v>
      </c>
      <c r="D5" s="1050">
        <f>D6+D7</f>
        <v>0</v>
      </c>
      <c r="E5" s="1050">
        <f t="shared" ref="E5:P5" si="2">E6+E7</f>
        <v>0</v>
      </c>
      <c r="F5" s="1050">
        <f t="shared" si="2"/>
        <v>0</v>
      </c>
      <c r="G5" s="1050">
        <f t="shared" si="2"/>
        <v>0</v>
      </c>
      <c r="H5" s="1050">
        <f t="shared" si="2"/>
        <v>0</v>
      </c>
      <c r="I5" s="1050">
        <f t="shared" si="2"/>
        <v>0</v>
      </c>
      <c r="J5" s="1050">
        <f t="shared" si="2"/>
        <v>0</v>
      </c>
      <c r="K5" s="1050">
        <f t="shared" si="2"/>
        <v>0</v>
      </c>
      <c r="L5" s="1050">
        <f t="shared" si="2"/>
        <v>0</v>
      </c>
      <c r="M5" s="1050">
        <f t="shared" si="2"/>
        <v>0</v>
      </c>
      <c r="N5" s="1050">
        <f t="shared" si="2"/>
        <v>0</v>
      </c>
      <c r="O5" s="1050">
        <f t="shared" si="2"/>
        <v>0</v>
      </c>
      <c r="P5" s="1050">
        <f t="shared" si="2"/>
        <v>0</v>
      </c>
    </row>
    <row r="6" spans="1:16">
      <c r="B6" s="1058" t="s">
        <v>1145</v>
      </c>
      <c r="D6" s="1056">
        <f>'Other NHL'!N247</f>
        <v>0</v>
      </c>
      <c r="E6" s="1056">
        <f>'Other NHL'!O247</f>
        <v>0</v>
      </c>
      <c r="F6" s="1056">
        <f>'Other NHL'!P247</f>
        <v>0</v>
      </c>
      <c r="G6" s="1056">
        <f>'Other NHL'!Q247</f>
        <v>0</v>
      </c>
      <c r="H6" s="1056">
        <f>'Other NHL'!R247</f>
        <v>0</v>
      </c>
      <c r="I6" s="1056">
        <f>'Other NHL'!S247</f>
        <v>0</v>
      </c>
      <c r="J6" s="1056">
        <f>'Other NHL'!T247</f>
        <v>0</v>
      </c>
      <c r="K6" s="1056">
        <f>'Other NHL'!U247</f>
        <v>0</v>
      </c>
      <c r="L6" s="1056">
        <f>'Other NHL'!V247</f>
        <v>0</v>
      </c>
      <c r="M6" s="1056">
        <f>'Other NHL'!W247</f>
        <v>0</v>
      </c>
      <c r="N6" s="1056">
        <f>'Other NHL'!X247</f>
        <v>0</v>
      </c>
      <c r="O6" s="1056">
        <f>'Other NHL'!Y247</f>
        <v>0</v>
      </c>
      <c r="P6" s="1056">
        <f>'Other NHL'!Z247</f>
        <v>0</v>
      </c>
    </row>
    <row r="7" spans="1:16">
      <c r="B7" s="1058" t="s">
        <v>1146</v>
      </c>
      <c r="D7" s="1056">
        <f>'Other NHL'!N328</f>
        <v>0</v>
      </c>
      <c r="E7" s="1056">
        <f>'Other NHL'!O328</f>
        <v>0</v>
      </c>
      <c r="F7" s="1056">
        <f>'Other NHL'!P328</f>
        <v>0</v>
      </c>
      <c r="G7" s="1056">
        <f>'Other NHL'!Q328</f>
        <v>0</v>
      </c>
      <c r="H7" s="1056">
        <f>'Other NHL'!R328</f>
        <v>0</v>
      </c>
      <c r="I7" s="1056">
        <f>'Other NHL'!S328</f>
        <v>0</v>
      </c>
      <c r="J7" s="1056">
        <f>'Other NHL'!T328</f>
        <v>0</v>
      </c>
      <c r="K7" s="1056">
        <f>'Other NHL'!U328</f>
        <v>0</v>
      </c>
      <c r="L7" s="1056">
        <f>'Other NHL'!V328</f>
        <v>0</v>
      </c>
      <c r="M7" s="1056">
        <f>'Other NHL'!W328</f>
        <v>0</v>
      </c>
      <c r="N7" s="1056">
        <f>'Other NHL'!X328</f>
        <v>0</v>
      </c>
      <c r="O7" s="1056">
        <f>'Other NHL'!Y328</f>
        <v>0</v>
      </c>
      <c r="P7" s="1056">
        <f>'Other NHL'!Z328</f>
        <v>0</v>
      </c>
    </row>
    <row r="8" spans="1:16">
      <c r="B8" s="1055"/>
      <c r="D8" s="1056"/>
      <c r="E8" s="1056"/>
      <c r="F8" s="1056"/>
      <c r="G8" s="1056"/>
      <c r="H8" s="1056"/>
      <c r="I8" s="1056"/>
      <c r="J8" s="1056"/>
      <c r="K8" s="1056"/>
      <c r="L8" s="1056"/>
      <c r="M8" s="1056"/>
      <c r="N8" s="1056"/>
      <c r="O8" s="1056"/>
      <c r="P8" s="1056"/>
    </row>
    <row r="9" spans="1:16">
      <c r="B9" s="1057" t="s">
        <v>1149</v>
      </c>
      <c r="D9" s="1050">
        <f t="shared" ref="D9:P9" si="3">D10+D11</f>
        <v>0</v>
      </c>
      <c r="E9" s="1050">
        <f t="shared" si="3"/>
        <v>0</v>
      </c>
      <c r="F9" s="1050">
        <f t="shared" si="3"/>
        <v>0</v>
      </c>
      <c r="G9" s="1050">
        <f t="shared" si="3"/>
        <v>0</v>
      </c>
      <c r="H9" s="1050">
        <f t="shared" si="3"/>
        <v>0</v>
      </c>
      <c r="I9" s="1050">
        <f t="shared" si="3"/>
        <v>0</v>
      </c>
      <c r="J9" s="1050">
        <f t="shared" si="3"/>
        <v>0</v>
      </c>
      <c r="K9" s="1050">
        <f t="shared" si="3"/>
        <v>0</v>
      </c>
      <c r="L9" s="1050">
        <f t="shared" si="3"/>
        <v>0</v>
      </c>
      <c r="M9" s="1050">
        <f t="shared" si="3"/>
        <v>0</v>
      </c>
      <c r="N9" s="1050">
        <f t="shared" si="3"/>
        <v>0</v>
      </c>
      <c r="O9" s="1050">
        <f t="shared" si="3"/>
        <v>0</v>
      </c>
      <c r="P9" s="1050">
        <f t="shared" si="3"/>
        <v>0</v>
      </c>
    </row>
    <row r="10" spans="1:16">
      <c r="B10" s="1058" t="s">
        <v>1147</v>
      </c>
      <c r="D10" s="1056">
        <f>'Other NHL'!N263</f>
        <v>0</v>
      </c>
      <c r="E10" s="1056">
        <f>'Other NHL'!O263</f>
        <v>0</v>
      </c>
      <c r="F10" s="1056">
        <f>'Other NHL'!P263</f>
        <v>0</v>
      </c>
      <c r="G10" s="1056">
        <f>'Other NHL'!Q263</f>
        <v>0</v>
      </c>
      <c r="H10" s="1056">
        <f>'Other NHL'!R263</f>
        <v>0</v>
      </c>
      <c r="I10" s="1056">
        <f>'Other NHL'!S263</f>
        <v>0</v>
      </c>
      <c r="J10" s="1056">
        <f>'Other NHL'!T263</f>
        <v>0</v>
      </c>
      <c r="K10" s="1056">
        <f>'Other NHL'!U263</f>
        <v>0</v>
      </c>
      <c r="L10" s="1056">
        <f>'Other NHL'!V263</f>
        <v>0</v>
      </c>
      <c r="M10" s="1056">
        <f>'Other NHL'!W263</f>
        <v>0</v>
      </c>
      <c r="N10" s="1056">
        <f>'Other NHL'!X263</f>
        <v>0</v>
      </c>
      <c r="O10" s="1056">
        <f>'Other NHL'!Y263</f>
        <v>0</v>
      </c>
      <c r="P10" s="1056">
        <f>'Other NHL'!Z263</f>
        <v>0</v>
      </c>
    </row>
    <row r="11" spans="1:16">
      <c r="B11" s="1058" t="s">
        <v>1148</v>
      </c>
      <c r="D11" s="1056">
        <f>'Other NHL'!N340</f>
        <v>0</v>
      </c>
      <c r="E11" s="1056">
        <f>'Other NHL'!O340</f>
        <v>0</v>
      </c>
      <c r="F11" s="1056">
        <f>'Other NHL'!P340</f>
        <v>0</v>
      </c>
      <c r="G11" s="1056">
        <f>'Other NHL'!Q340</f>
        <v>0</v>
      </c>
      <c r="H11" s="1056">
        <f>'Other NHL'!R340</f>
        <v>0</v>
      </c>
      <c r="I11" s="1056">
        <f>'Other NHL'!S340</f>
        <v>0</v>
      </c>
      <c r="J11" s="1056">
        <f>'Other NHL'!T340</f>
        <v>0</v>
      </c>
      <c r="K11" s="1056">
        <f>'Other NHL'!U340</f>
        <v>0</v>
      </c>
      <c r="L11" s="1056">
        <f>'Other NHL'!V340</f>
        <v>0</v>
      </c>
      <c r="M11" s="1056">
        <f>'Other NHL'!W340</f>
        <v>0</v>
      </c>
      <c r="N11" s="1056">
        <f>'Other NHL'!X340</f>
        <v>0</v>
      </c>
      <c r="O11" s="1056">
        <f>'Other NHL'!Y340</f>
        <v>0</v>
      </c>
      <c r="P11" s="1056">
        <f>'Other NHL'!Z340</f>
        <v>0</v>
      </c>
    </row>
    <row r="12" spans="1:16">
      <c r="D12" s="991"/>
      <c r="E12" s="991"/>
      <c r="F12" s="991"/>
      <c r="G12" s="991"/>
      <c r="H12" s="991"/>
      <c r="I12" s="991"/>
      <c r="J12" s="991"/>
      <c r="K12" s="991"/>
      <c r="L12" s="991"/>
      <c r="M12" s="991"/>
      <c r="N12" s="991"/>
      <c r="O12" s="991"/>
      <c r="P12" s="991"/>
    </row>
    <row r="13" spans="1:16">
      <c r="A13" s="1207"/>
      <c r="B13" s="1203" t="s">
        <v>1057</v>
      </c>
      <c r="C13" s="1204"/>
      <c r="D13" s="1205">
        <f>D14+D15</f>
        <v>0</v>
      </c>
      <c r="E13" s="1205">
        <f t="shared" ref="E13" si="4">E14+E15</f>
        <v>60.721385383593301</v>
      </c>
      <c r="F13" s="1205">
        <f t="shared" ref="F13" si="5">F14+F15</f>
        <v>161.88331975746624</v>
      </c>
      <c r="G13" s="1205">
        <f t="shared" ref="G13" si="6">G14+G15</f>
        <v>484.37175002317417</v>
      </c>
      <c r="H13" s="1205">
        <f t="shared" ref="H13" si="7">H14+H15</f>
        <v>802.61632968168396</v>
      </c>
      <c r="I13" s="1205">
        <f t="shared" ref="I13" si="8">I14+I15</f>
        <v>1133.5149780255774</v>
      </c>
      <c r="J13" s="1205">
        <f t="shared" ref="J13" si="9">J14+J15</f>
        <v>1487.9374771576609</v>
      </c>
      <c r="K13" s="1205">
        <f t="shared" ref="K13" si="10">K14+K15</f>
        <v>1631.1818115946733</v>
      </c>
      <c r="L13" s="1205">
        <f t="shared" ref="L13" si="11">L14+L15</f>
        <v>1672.8998629411108</v>
      </c>
      <c r="M13" s="1205">
        <f t="shared" ref="M13" si="12">M14+M15</f>
        <v>1696.2166988731014</v>
      </c>
      <c r="N13" s="1205">
        <f t="shared" ref="N13" si="13">N14+N15</f>
        <v>1719.3812388590113</v>
      </c>
      <c r="O13" s="1205">
        <f t="shared" ref="O13" si="14">O14+O15</f>
        <v>1742.4322063946702</v>
      </c>
      <c r="P13" s="1205">
        <f t="shared" ref="P13" si="15">P14+P15</f>
        <v>1765.4063169115498</v>
      </c>
    </row>
    <row r="14" spans="1:16">
      <c r="B14" s="1058" t="s">
        <v>1058</v>
      </c>
      <c r="D14" s="991">
        <f>DLBCL!N49</f>
        <v>0</v>
      </c>
      <c r="E14" s="991">
        <f>DLBCL!O49</f>
        <v>60.721385383593301</v>
      </c>
      <c r="F14" s="991">
        <f>DLBCL!P49</f>
        <v>161.88331975746624</v>
      </c>
      <c r="G14" s="991">
        <f>DLBCL!Q49</f>
        <v>328.79997813655143</v>
      </c>
      <c r="H14" s="991">
        <f>DLBCL!R49</f>
        <v>525.87773798375451</v>
      </c>
      <c r="I14" s="991">
        <f>DLBCL!S49</f>
        <v>711.98801237218504</v>
      </c>
      <c r="J14" s="991">
        <f>DLBCL!T49</f>
        <v>889.21619891342914</v>
      </c>
      <c r="K14" s="991">
        <f>DLBCL!U49</f>
        <v>902.86087021968649</v>
      </c>
      <c r="L14" s="991">
        <f>DLBCL!V49</f>
        <v>916.68781856874671</v>
      </c>
      <c r="M14" s="991">
        <f>DLBCL!W49</f>
        <v>930.70560608071605</v>
      </c>
      <c r="N14" s="991">
        <f>DLBCL!X49</f>
        <v>944.92281941101123</v>
      </c>
      <c r="O14" s="991">
        <f>DLBCL!Y49</f>
        <v>959.34808137303594</v>
      </c>
      <c r="P14" s="991">
        <f>DLBCL!Z49</f>
        <v>973.99006235835031</v>
      </c>
    </row>
    <row r="15" spans="1:16">
      <c r="B15" s="1058" t="s">
        <v>1059</v>
      </c>
      <c r="D15" s="991">
        <f>DLBCL!N96</f>
        <v>0</v>
      </c>
      <c r="E15" s="991">
        <f>DLBCL!O96</f>
        <v>0</v>
      </c>
      <c r="F15" s="991">
        <f>DLBCL!P96</f>
        <v>0</v>
      </c>
      <c r="G15" s="991">
        <f>DLBCL!Q96</f>
        <v>155.57177188662277</v>
      </c>
      <c r="H15" s="991">
        <f>DLBCL!R96</f>
        <v>276.73859169792945</v>
      </c>
      <c r="I15" s="991">
        <f>DLBCL!S96</f>
        <v>421.52696565339238</v>
      </c>
      <c r="J15" s="991">
        <f>DLBCL!T96</f>
        <v>598.72127824423171</v>
      </c>
      <c r="K15" s="991">
        <f>DLBCL!U96</f>
        <v>728.32094137498677</v>
      </c>
      <c r="L15" s="991">
        <f>DLBCL!V96</f>
        <v>756.21204437236406</v>
      </c>
      <c r="M15" s="991">
        <f>DLBCL!W96</f>
        <v>765.5110927923854</v>
      </c>
      <c r="N15" s="991">
        <f>DLBCL!X96</f>
        <v>774.45841944800009</v>
      </c>
      <c r="O15" s="991">
        <f>DLBCL!Y96</f>
        <v>783.08412502163424</v>
      </c>
      <c r="P15" s="991">
        <f>DLBCL!Z96</f>
        <v>791.41625455319945</v>
      </c>
    </row>
    <row r="16" spans="1:16">
      <c r="D16" s="991"/>
      <c r="E16" s="991"/>
      <c r="F16" s="991"/>
      <c r="G16" s="991"/>
      <c r="H16" s="991"/>
      <c r="I16" s="991"/>
      <c r="J16" s="991"/>
      <c r="K16" s="991"/>
      <c r="L16" s="991"/>
      <c r="M16" s="991"/>
      <c r="N16" s="991"/>
      <c r="O16" s="991"/>
      <c r="P16" s="991"/>
    </row>
    <row r="17" spans="1:16">
      <c r="A17" s="1207"/>
      <c r="B17" s="1203" t="s">
        <v>1060</v>
      </c>
      <c r="C17" s="1204"/>
      <c r="D17" s="1205">
        <f>D18+D19</f>
        <v>0</v>
      </c>
      <c r="E17" s="1205">
        <f t="shared" ref="E17" si="16">E18+E19</f>
        <v>0</v>
      </c>
      <c r="F17" s="1205">
        <f t="shared" ref="F17" si="17">F18+F19</f>
        <v>18.039040703095626</v>
      </c>
      <c r="G17" s="1205">
        <f t="shared" ref="G17" si="18">G18+G19</f>
        <v>51.855785032309981</v>
      </c>
      <c r="H17" s="1205">
        <f t="shared" ref="H17" si="19">H18+H19</f>
        <v>138.97389533940972</v>
      </c>
      <c r="I17" s="1205">
        <f t="shared" ref="I17" si="20">I18+I19</f>
        <v>275.39233575342621</v>
      </c>
      <c r="J17" s="1205">
        <f t="shared" ref="J17" si="21">J18+J19</f>
        <v>389.38860591117304</v>
      </c>
      <c r="K17" s="1205">
        <f t="shared" ref="K17" si="22">K18+K19</f>
        <v>431.61273216308621</v>
      </c>
      <c r="L17" s="1205">
        <f t="shared" ref="L17" si="23">L18+L19</f>
        <v>446.21901981401493</v>
      </c>
      <c r="M17" s="1205">
        <f t="shared" ref="M17" si="24">M18+M19</f>
        <v>461.41289734629407</v>
      </c>
      <c r="N17" s="1205">
        <f t="shared" ref="N17" si="25">N18+N19</f>
        <v>477.22052856260188</v>
      </c>
      <c r="O17" s="1205">
        <f t="shared" ref="O17" si="26">O18+O19</f>
        <v>493.66932856248707</v>
      </c>
      <c r="P17" s="1205">
        <f t="shared" ref="P17" si="27">P18+P19</f>
        <v>510.78802653834953</v>
      </c>
    </row>
    <row r="18" spans="1:16">
      <c r="B18" s="1058" t="s">
        <v>1151</v>
      </c>
      <c r="D18" s="991">
        <f>'Other NHL'!N146</f>
        <v>0</v>
      </c>
      <c r="E18" s="991">
        <f>'Other NHL'!O146</f>
        <v>0</v>
      </c>
      <c r="F18" s="991">
        <f>'Other NHL'!P146</f>
        <v>0</v>
      </c>
      <c r="G18" s="991">
        <f>'Other NHL'!Q146</f>
        <v>33.952960762932562</v>
      </c>
      <c r="H18" s="991">
        <f>'Other NHL'!R146</f>
        <v>103.4367051046645</v>
      </c>
      <c r="I18" s="991">
        <f>'Other NHL'!S146</f>
        <v>204.84698047501385</v>
      </c>
      <c r="J18" s="991">
        <f>'Other NHL'!T146</f>
        <v>284.35235977802563</v>
      </c>
      <c r="K18" s="991">
        <f>'Other NHL'!U146</f>
        <v>296.06677002576117</v>
      </c>
      <c r="L18" s="991">
        <f>'Other NHL'!V146</f>
        <v>308.2951646770083</v>
      </c>
      <c r="M18" s="991">
        <f>'Other NHL'!W146</f>
        <v>321.06126970648268</v>
      </c>
      <c r="N18" s="991">
        <f>'Other NHL'!X146</f>
        <v>334.38996602532268</v>
      </c>
      <c r="O18" s="991">
        <f>'Other NHL'!Y146</f>
        <v>348.30734798092425</v>
      </c>
      <c r="P18" s="991">
        <f>'Other NHL'!Z146</f>
        <v>362.84078491622478</v>
      </c>
    </row>
    <row r="19" spans="1:16">
      <c r="B19" s="1058" t="s">
        <v>1152</v>
      </c>
      <c r="D19" s="991">
        <f>'Other NHL'!N191</f>
        <v>0</v>
      </c>
      <c r="E19" s="991">
        <f>'Other NHL'!O191</f>
        <v>0</v>
      </c>
      <c r="F19" s="991">
        <f>'Other NHL'!P191</f>
        <v>18.039040703095626</v>
      </c>
      <c r="G19" s="991">
        <f>'Other NHL'!Q191</f>
        <v>17.902824269377419</v>
      </c>
      <c r="H19" s="991">
        <f>'Other NHL'!R191</f>
        <v>35.537190234745225</v>
      </c>
      <c r="I19" s="991">
        <f>'Other NHL'!S191</f>
        <v>70.545355278412373</v>
      </c>
      <c r="J19" s="991">
        <f>'Other NHL'!T191</f>
        <v>105.03624613314742</v>
      </c>
      <c r="K19" s="991">
        <f>'Other NHL'!U191</f>
        <v>135.54596213732506</v>
      </c>
      <c r="L19" s="991">
        <f>'Other NHL'!V191</f>
        <v>137.92385513700665</v>
      </c>
      <c r="M19" s="991">
        <f>'Other NHL'!W191</f>
        <v>140.3516276398114</v>
      </c>
      <c r="N19" s="991">
        <f>'Other NHL'!X191</f>
        <v>142.83056253727923</v>
      </c>
      <c r="O19" s="991">
        <f>'Other NHL'!Y191</f>
        <v>145.36198058156285</v>
      </c>
      <c r="P19" s="991">
        <f>'Other NHL'!Z191</f>
        <v>147.94724162212478</v>
      </c>
    </row>
    <row r="20" spans="1:16">
      <c r="B20" s="1058"/>
      <c r="D20" s="991"/>
      <c r="E20" s="991"/>
      <c r="F20" s="991"/>
      <c r="G20" s="991"/>
      <c r="H20" s="991"/>
      <c r="I20" s="991"/>
      <c r="J20" s="991"/>
      <c r="K20" s="991"/>
      <c r="L20" s="991"/>
      <c r="M20" s="991"/>
      <c r="N20" s="991"/>
      <c r="O20" s="991"/>
      <c r="P20" s="991"/>
    </row>
    <row r="21" spans="1:16">
      <c r="A21" s="1207"/>
      <c r="B21" s="1203" t="s">
        <v>1061</v>
      </c>
      <c r="C21" s="1204"/>
      <c r="D21" s="1205">
        <f>D22+D23</f>
        <v>0</v>
      </c>
      <c r="E21" s="1205">
        <f t="shared" ref="E21" si="28">E22+E23</f>
        <v>0</v>
      </c>
      <c r="F21" s="1205">
        <f t="shared" ref="F21" si="29">F22+F23</f>
        <v>0</v>
      </c>
      <c r="G21" s="1205">
        <f t="shared" ref="G21" si="30">G22+G23</f>
        <v>70.987974849735267</v>
      </c>
      <c r="H21" s="1205">
        <f t="shared" ref="H21" si="31">H22+H23</f>
        <v>123.59562572777686</v>
      </c>
      <c r="I21" s="1205">
        <f t="shared" ref="I21" si="32">I22+I23</f>
        <v>198.27689232042863</v>
      </c>
      <c r="J21" s="1205">
        <f t="shared" ref="J21" si="33">J22+J23</f>
        <v>288.57036890245462</v>
      </c>
      <c r="K21" s="1205">
        <f t="shared" ref="K21" si="34">K22+K23</f>
        <v>345.47766907904338</v>
      </c>
      <c r="L21" s="1205">
        <f t="shared" ref="L21" si="35">L22+L23</f>
        <v>402.98925930548165</v>
      </c>
      <c r="M21" s="1205">
        <f t="shared" ref="M21" si="36">M22+M23</f>
        <v>461.10631857022747</v>
      </c>
      <c r="N21" s="1205">
        <f t="shared" ref="N21" si="37">N22+N23</f>
        <v>519.83026058905762</v>
      </c>
      <c r="O21" s="1205">
        <f t="shared" ref="O21" si="38">O22+O23</f>
        <v>544.14066755770364</v>
      </c>
      <c r="P21" s="1205">
        <f t="shared" ref="P21" si="39">P22+P23</f>
        <v>568.71121761624454</v>
      </c>
    </row>
    <row r="22" spans="1:16">
      <c r="B22" s="1058" t="s">
        <v>1062</v>
      </c>
      <c r="D22" s="991">
        <f>'Other NHL'!N48</f>
        <v>0</v>
      </c>
      <c r="E22" s="991">
        <f>'Other NHL'!O48</f>
        <v>0</v>
      </c>
      <c r="F22" s="991">
        <f>'Other NHL'!P48</f>
        <v>0</v>
      </c>
      <c r="G22" s="991">
        <f>'Other NHL'!Q48</f>
        <v>50.478259325988667</v>
      </c>
      <c r="H22" s="991">
        <f>'Other NHL'!R48</f>
        <v>94.697214495554746</v>
      </c>
      <c r="I22" s="991">
        <f>'Other NHL'!S48</f>
        <v>135.95814366861785</v>
      </c>
      <c r="J22" s="991">
        <f>'Other NHL'!T48</f>
        <v>204.95690158044138</v>
      </c>
      <c r="K22" s="991">
        <f>'Other NHL'!U48</f>
        <v>240.3119671030675</v>
      </c>
      <c r="L22" s="991">
        <f>'Other NHL'!V48</f>
        <v>276.01545935838038</v>
      </c>
      <c r="M22" s="991">
        <f>'Other NHL'!W48</f>
        <v>312.06997873706877</v>
      </c>
      <c r="N22" s="991">
        <f>'Other NHL'!X48</f>
        <v>348.47814292306015</v>
      </c>
      <c r="O22" s="991">
        <f>'Other NHL'!Y48</f>
        <v>350.22053363767532</v>
      </c>
      <c r="P22" s="991">
        <f>'Other NHL'!Z48</f>
        <v>351.97163630586374</v>
      </c>
    </row>
    <row r="23" spans="1:16">
      <c r="B23" s="1058" t="s">
        <v>1063</v>
      </c>
      <c r="D23" s="991">
        <f>'Other NHL'!N90</f>
        <v>0</v>
      </c>
      <c r="E23" s="991">
        <f>'Other NHL'!O90</f>
        <v>0</v>
      </c>
      <c r="F23" s="991">
        <f>'Other NHL'!P90</f>
        <v>0</v>
      </c>
      <c r="G23" s="991">
        <f>'Other NHL'!Q90</f>
        <v>20.509715523746596</v>
      </c>
      <c r="H23" s="991">
        <f>'Other NHL'!R90</f>
        <v>28.89841123222212</v>
      </c>
      <c r="I23" s="991">
        <f>'Other NHL'!S90</f>
        <v>62.318748651810772</v>
      </c>
      <c r="J23" s="991">
        <f>'Other NHL'!T90</f>
        <v>83.613467322013236</v>
      </c>
      <c r="K23" s="991">
        <f>'Other NHL'!U90</f>
        <v>105.16570197597591</v>
      </c>
      <c r="L23" s="991">
        <f>'Other NHL'!V90</f>
        <v>126.97379994710128</v>
      </c>
      <c r="M23" s="991">
        <f>'Other NHL'!W90</f>
        <v>149.03633983315868</v>
      </c>
      <c r="N23" s="991">
        <f>'Other NHL'!X90</f>
        <v>171.35211766599744</v>
      </c>
      <c r="O23" s="991">
        <f>'Other NHL'!Y90</f>
        <v>193.92013392002826</v>
      </c>
      <c r="P23" s="991">
        <f>'Other NHL'!Z90</f>
        <v>216.7395813103808</v>
      </c>
    </row>
    <row r="24" spans="1:16">
      <c r="D24" s="991"/>
      <c r="E24" s="991"/>
      <c r="F24" s="991"/>
      <c r="G24" s="991"/>
      <c r="H24" s="991"/>
      <c r="I24" s="991"/>
      <c r="J24" s="991"/>
      <c r="K24" s="991"/>
      <c r="L24" s="991"/>
      <c r="M24" s="991"/>
      <c r="N24" s="991"/>
      <c r="O24" s="991"/>
      <c r="P24" s="991"/>
    </row>
    <row r="25" spans="1:16">
      <c r="B25" s="1214" t="s">
        <v>1186</v>
      </c>
      <c r="C25" s="1215"/>
      <c r="D25" s="1216">
        <f>D26+D27</f>
        <v>0</v>
      </c>
      <c r="E25" s="1216">
        <f t="shared" ref="E25:P25" si="40">E26+E27</f>
        <v>0</v>
      </c>
      <c r="F25" s="1216">
        <f t="shared" si="40"/>
        <v>0</v>
      </c>
      <c r="G25" s="1216">
        <f t="shared" si="40"/>
        <v>0</v>
      </c>
      <c r="H25" s="1216">
        <f t="shared" si="40"/>
        <v>0</v>
      </c>
      <c r="I25" s="1216">
        <f t="shared" si="40"/>
        <v>0</v>
      </c>
      <c r="J25" s="1216">
        <f t="shared" si="40"/>
        <v>0</v>
      </c>
      <c r="K25" s="1216">
        <f t="shared" si="40"/>
        <v>0</v>
      </c>
      <c r="L25" s="1216">
        <f t="shared" si="40"/>
        <v>0</v>
      </c>
      <c r="M25" s="1216">
        <f t="shared" si="40"/>
        <v>0</v>
      </c>
      <c r="N25" s="1216">
        <f t="shared" si="40"/>
        <v>0</v>
      </c>
      <c r="O25" s="1216">
        <f t="shared" si="40"/>
        <v>0</v>
      </c>
      <c r="P25" s="1216">
        <f t="shared" si="40"/>
        <v>0</v>
      </c>
    </row>
    <row r="26" spans="1:16">
      <c r="B26" s="1096" t="s">
        <v>1064</v>
      </c>
      <c r="D26" s="991">
        <f>'US BCMA'!G33</f>
        <v>0</v>
      </c>
      <c r="E26" s="991">
        <f>'US BCMA'!H33</f>
        <v>0</v>
      </c>
      <c r="F26" s="991">
        <f>'US BCMA'!I33</f>
        <v>0</v>
      </c>
      <c r="G26" s="991">
        <f>'US BCMA'!J33</f>
        <v>0</v>
      </c>
      <c r="H26" s="991">
        <f>'US BCMA'!K33</f>
        <v>0</v>
      </c>
      <c r="I26" s="991">
        <f>'US BCMA'!L33</f>
        <v>0</v>
      </c>
      <c r="J26" s="991">
        <f>'US BCMA'!M33</f>
        <v>0</v>
      </c>
      <c r="K26" s="991">
        <f>'US BCMA'!N33</f>
        <v>0</v>
      </c>
      <c r="L26" s="991">
        <f>'US BCMA'!O33</f>
        <v>0</v>
      </c>
      <c r="M26" s="991">
        <f>'US BCMA'!P33</f>
        <v>0</v>
      </c>
      <c r="N26" s="991">
        <f>'US BCMA'!Q33</f>
        <v>0</v>
      </c>
      <c r="O26" s="991">
        <f>'US BCMA'!R33</f>
        <v>0</v>
      </c>
      <c r="P26" s="991">
        <f>'US BCMA'!S33</f>
        <v>0</v>
      </c>
    </row>
    <row r="27" spans="1:16">
      <c r="B27" s="1096" t="s">
        <v>1187</v>
      </c>
      <c r="D27" s="991">
        <v>0</v>
      </c>
      <c r="E27" s="991">
        <f>D27</f>
        <v>0</v>
      </c>
      <c r="F27" s="991">
        <f t="shared" ref="F27:G27" si="41">E27</f>
        <v>0</v>
      </c>
      <c r="G27" s="991">
        <f t="shared" si="41"/>
        <v>0</v>
      </c>
      <c r="H27" s="991">
        <f>G26*0.5</f>
        <v>0</v>
      </c>
      <c r="I27" s="991">
        <f t="shared" ref="I27:P27" si="42">H26*0.5</f>
        <v>0</v>
      </c>
      <c r="J27" s="991">
        <f t="shared" si="42"/>
        <v>0</v>
      </c>
      <c r="K27" s="991">
        <f t="shared" si="42"/>
        <v>0</v>
      </c>
      <c r="L27" s="991">
        <f t="shared" si="42"/>
        <v>0</v>
      </c>
      <c r="M27" s="991">
        <f t="shared" si="42"/>
        <v>0</v>
      </c>
      <c r="N27" s="991">
        <f t="shared" si="42"/>
        <v>0</v>
      </c>
      <c r="O27" s="991">
        <f t="shared" si="42"/>
        <v>0</v>
      </c>
      <c r="P27" s="991">
        <f t="shared" si="42"/>
        <v>0</v>
      </c>
    </row>
    <row r="28" spans="1:16">
      <c r="B28" s="990"/>
      <c r="D28" s="991"/>
      <c r="E28" s="991"/>
      <c r="F28" s="991"/>
      <c r="G28" s="991"/>
      <c r="H28" s="991"/>
      <c r="I28" s="991"/>
      <c r="J28" s="991"/>
      <c r="K28" s="991"/>
      <c r="L28" s="991"/>
      <c r="M28" s="991"/>
      <c r="N28" s="991"/>
      <c r="O28" s="991"/>
      <c r="P28" s="991"/>
    </row>
    <row r="29" spans="1:16">
      <c r="B29" s="1214" t="s">
        <v>1188</v>
      </c>
      <c r="C29" s="1214"/>
      <c r="D29" s="1216">
        <v>0</v>
      </c>
      <c r="E29" s="1216">
        <f>(D7+D11+D15+D19+D23+D27)*0.1</f>
        <v>0</v>
      </c>
      <c r="F29" s="1216">
        <f>(E7+E11+E15+E19+E23+E27)*0.1</f>
        <v>0</v>
      </c>
      <c r="G29" s="1216">
        <f>(F7+F11+F15+F19+F23+F27)*0.1</f>
        <v>1.8039040703095628</v>
      </c>
      <c r="H29" s="1216">
        <f t="shared" ref="H29:P29" si="43">(G7+G11+G15+G19+G23+G27)*0.1</f>
        <v>19.398431167974678</v>
      </c>
      <c r="I29" s="1216">
        <f t="shared" si="43"/>
        <v>34.117419316489688</v>
      </c>
      <c r="J29" s="1216">
        <f t="shared" si="43"/>
        <v>55.439106958361549</v>
      </c>
      <c r="K29" s="1216">
        <f t="shared" si="43"/>
        <v>78.737099169939242</v>
      </c>
      <c r="L29" s="1216">
        <f t="shared" si="43"/>
        <v>96.903260548828783</v>
      </c>
      <c r="M29" s="1216">
        <f t="shared" si="43"/>
        <v>102.1109699456472</v>
      </c>
      <c r="N29" s="1216">
        <f t="shared" si="43"/>
        <v>105.48990602653555</v>
      </c>
      <c r="O29" s="1216">
        <f t="shared" si="43"/>
        <v>108.86410996512768</v>
      </c>
      <c r="P29" s="1216">
        <f t="shared" si="43"/>
        <v>112.23662395232255</v>
      </c>
    </row>
    <row r="30" spans="1:16">
      <c r="B30" s="990"/>
      <c r="D30" s="991"/>
      <c r="E30" s="991"/>
      <c r="F30" s="991"/>
      <c r="G30" s="991"/>
      <c r="H30" s="991"/>
      <c r="I30" s="991"/>
      <c r="J30" s="991"/>
      <c r="K30" s="991"/>
      <c r="L30" s="991"/>
      <c r="M30" s="991"/>
      <c r="N30" s="991"/>
      <c r="O30" s="991"/>
      <c r="P30" s="991"/>
    </row>
    <row r="31" spans="1:16">
      <c r="B31" s="1004" t="s">
        <v>1065</v>
      </c>
      <c r="C31" s="1020"/>
      <c r="D31" s="1001">
        <f t="shared" ref="D31:P31" si="44">D3+D13+D17+D21+D25+D29</f>
        <v>0</v>
      </c>
      <c r="E31" s="1001">
        <f t="shared" si="44"/>
        <v>60.721385383593301</v>
      </c>
      <c r="F31" s="1001">
        <f t="shared" si="44"/>
        <v>179.92236046056186</v>
      </c>
      <c r="G31" s="1001">
        <f t="shared" si="44"/>
        <v>609.01941397552901</v>
      </c>
      <c r="H31" s="1001">
        <f t="shared" si="44"/>
        <v>1084.5842819168452</v>
      </c>
      <c r="I31" s="1001">
        <f t="shared" si="44"/>
        <v>1641.3016254159222</v>
      </c>
      <c r="J31" s="1001">
        <f t="shared" si="44"/>
        <v>2221.3355589296502</v>
      </c>
      <c r="K31" s="1001">
        <f t="shared" si="44"/>
        <v>2487.0093120067422</v>
      </c>
      <c r="L31" s="1001">
        <f t="shared" si="44"/>
        <v>2619.0114026094361</v>
      </c>
      <c r="M31" s="1001">
        <f t="shared" si="44"/>
        <v>2720.8468847352701</v>
      </c>
      <c r="N31" s="1001">
        <f t="shared" si="44"/>
        <v>2821.9219340372065</v>
      </c>
      <c r="O31" s="1001">
        <f t="shared" si="44"/>
        <v>2889.1063124799884</v>
      </c>
      <c r="P31" s="1001">
        <f t="shared" si="44"/>
        <v>2957.1421850184665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1:AE110"/>
  <sheetViews>
    <sheetView zoomScale="85" zoomScaleNormal="85" workbookViewId="0">
      <pane xSplit="3" ySplit="2" topLeftCell="M5" activePane="bottomRight" state="frozen"/>
      <selection pane="topRight" activeCell="C1" sqref="C1"/>
      <selection pane="bottomLeft" activeCell="A3" sqref="A3"/>
      <selection pane="bottomRight" activeCell="Z49" sqref="Z49"/>
    </sheetView>
  </sheetViews>
  <sheetFormatPr defaultRowHeight="15" outlineLevelRow="1" outlineLevelCol="1"/>
  <cols>
    <col min="1" max="2" width="4.28515625" style="1119" customWidth="1"/>
    <col min="3" max="3" width="35.140625" style="1119" customWidth="1"/>
    <col min="4" max="12" width="9.140625" style="1119" hidden="1" customWidth="1" outlineLevel="1"/>
    <col min="13" max="13" width="9.140625" style="1119" customWidth="1" collapsed="1"/>
    <col min="14" max="14" width="9.85546875" style="1119" customWidth="1"/>
    <col min="15" max="18" width="9.140625" style="1119" customWidth="1"/>
    <col min="19" max="16384" width="9.140625" style="1119"/>
  </cols>
  <sheetData>
    <row r="1" spans="2:31">
      <c r="B1" s="1118"/>
      <c r="C1" s="1118"/>
      <c r="D1" s="1118"/>
      <c r="E1" s="1118"/>
      <c r="F1" s="1118"/>
      <c r="G1" s="1118"/>
      <c r="H1" s="1118"/>
      <c r="I1" s="1118"/>
      <c r="J1" s="1118"/>
      <c r="K1" s="1118"/>
      <c r="L1" s="1118"/>
      <c r="M1" s="1118"/>
      <c r="N1" s="1118"/>
      <c r="O1" s="1118"/>
      <c r="P1" s="1118"/>
      <c r="Q1" s="1118"/>
      <c r="R1" s="1118"/>
      <c r="S1" s="1118"/>
      <c r="T1" s="1118"/>
      <c r="U1" s="1118"/>
      <c r="V1" s="1118"/>
      <c r="W1" s="1118"/>
      <c r="X1" s="1118"/>
      <c r="Y1" s="1118"/>
      <c r="Z1" s="1118"/>
    </row>
    <row r="2" spans="2:31">
      <c r="B2" s="1118"/>
      <c r="C2" s="1120"/>
      <c r="D2" s="1120">
        <v>2008</v>
      </c>
      <c r="E2" s="1120">
        <f>D2+1</f>
        <v>2009</v>
      </c>
      <c r="F2" s="1120">
        <f t="shared" ref="F2:V2" si="0">E2+1</f>
        <v>2010</v>
      </c>
      <c r="G2" s="1120">
        <f t="shared" si="0"/>
        <v>2011</v>
      </c>
      <c r="H2" s="1120">
        <f t="shared" si="0"/>
        <v>2012</v>
      </c>
      <c r="I2" s="1120">
        <f t="shared" si="0"/>
        <v>2013</v>
      </c>
      <c r="J2" s="1120">
        <f t="shared" si="0"/>
        <v>2014</v>
      </c>
      <c r="K2" s="1120">
        <f t="shared" si="0"/>
        <v>2015</v>
      </c>
      <c r="L2" s="1120">
        <f t="shared" si="0"/>
        <v>2016</v>
      </c>
      <c r="M2" s="1120">
        <f t="shared" si="0"/>
        <v>2017</v>
      </c>
      <c r="N2" s="1120">
        <f t="shared" si="0"/>
        <v>2018</v>
      </c>
      <c r="O2" s="1120">
        <f t="shared" si="0"/>
        <v>2019</v>
      </c>
      <c r="P2" s="1120">
        <f t="shared" si="0"/>
        <v>2020</v>
      </c>
      <c r="Q2" s="1120">
        <f t="shared" si="0"/>
        <v>2021</v>
      </c>
      <c r="R2" s="1120">
        <f t="shared" si="0"/>
        <v>2022</v>
      </c>
      <c r="S2" s="1120">
        <f t="shared" si="0"/>
        <v>2023</v>
      </c>
      <c r="T2" s="1120">
        <f t="shared" si="0"/>
        <v>2024</v>
      </c>
      <c r="U2" s="1120">
        <f t="shared" si="0"/>
        <v>2025</v>
      </c>
      <c r="V2" s="1120">
        <f t="shared" si="0"/>
        <v>2026</v>
      </c>
      <c r="W2" s="1120">
        <f>V2+1</f>
        <v>2027</v>
      </c>
      <c r="X2" s="1120">
        <f>W2+1</f>
        <v>2028</v>
      </c>
      <c r="Y2" s="1120">
        <f>X2+1</f>
        <v>2029</v>
      </c>
      <c r="Z2" s="1120">
        <f>Y2+1</f>
        <v>2030</v>
      </c>
      <c r="AA2" s="1118"/>
      <c r="AB2" s="1118"/>
      <c r="AC2" s="1118"/>
      <c r="AD2" s="1118"/>
      <c r="AE2" s="1118"/>
    </row>
    <row r="3" spans="2:31">
      <c r="B3" s="1166" t="s">
        <v>78</v>
      </c>
      <c r="C3" s="1023" t="s">
        <v>1117</v>
      </c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118"/>
      <c r="AB3" s="1118"/>
      <c r="AC3" s="1118"/>
      <c r="AD3" s="1118"/>
      <c r="AE3" s="1118"/>
    </row>
    <row r="4" spans="2:31">
      <c r="B4" s="1118"/>
      <c r="C4" s="1118" t="s">
        <v>434</v>
      </c>
      <c r="D4" s="1121">
        <f>E4-D5+D6+D7</f>
        <v>127693.25483978717</v>
      </c>
      <c r="E4" s="1121">
        <f>F4-E5+E6+E7</f>
        <v>139586.59650788078</v>
      </c>
      <c r="F4" s="1121">
        <f>G4-F5+F6+F7</f>
        <v>152258.9227731172</v>
      </c>
      <c r="G4" s="1121">
        <f>H4-G5+G6+G7</f>
        <v>165724.95145631069</v>
      </c>
      <c r="H4" s="1122">
        <v>180000</v>
      </c>
      <c r="I4" s="1121">
        <f>H4+H5-H6-H7</f>
        <v>195100</v>
      </c>
      <c r="J4" s="1121">
        <f t="shared" ref="J4:V4" si="1">I4+I5-I6-I7</f>
        <v>210332.79999999999</v>
      </c>
      <c r="K4" s="1121">
        <f>J4+J5-J6-J7</f>
        <v>225719.94312000001</v>
      </c>
      <c r="L4" s="1121">
        <f t="shared" si="1"/>
        <v>241282.75537932801</v>
      </c>
      <c r="M4" s="1121">
        <f t="shared" si="1"/>
        <v>257042.3824902137</v>
      </c>
      <c r="N4" s="1121">
        <f t="shared" si="1"/>
        <v>273019.82559112628</v>
      </c>
      <c r="O4" s="1121">
        <f t="shared" si="1"/>
        <v>289235.97599628387</v>
      </c>
      <c r="P4" s="1121">
        <f t="shared" si="1"/>
        <v>305711.64903462265</v>
      </c>
      <c r="Q4" s="1121">
        <f t="shared" si="1"/>
        <v>322467.61704857397</v>
      </c>
      <c r="R4" s="1121">
        <f t="shared" si="1"/>
        <v>339524.64162022353</v>
      </c>
      <c r="S4" s="1121">
        <f t="shared" si="1"/>
        <v>356903.50508981588</v>
      </c>
      <c r="T4" s="1121">
        <f t="shared" si="1"/>
        <v>374625.04142910935</v>
      </c>
      <c r="U4" s="1121">
        <f t="shared" si="1"/>
        <v>392710.16652977496</v>
      </c>
      <c r="V4" s="1121">
        <f t="shared" si="1"/>
        <v>411179.9079648612</v>
      </c>
      <c r="W4" s="1121">
        <f>V4+V5-V6-V7</f>
        <v>430055.43427930883</v>
      </c>
      <c r="X4" s="1121">
        <f>W4+W5-W6-W7</f>
        <v>449358.08386359108</v>
      </c>
      <c r="Y4" s="1121">
        <f>X4+X5-X6-X7</f>
        <v>469109.39346276416</v>
      </c>
      <c r="Z4" s="1121">
        <f>Y4+Y5-Y6-Y7</f>
        <v>489331.12637154519</v>
      </c>
      <c r="AA4" s="1118"/>
      <c r="AB4" s="1118" t="s">
        <v>1118</v>
      </c>
      <c r="AC4" s="1118"/>
      <c r="AD4" s="1118"/>
      <c r="AE4" s="1118"/>
    </row>
    <row r="5" spans="2:31">
      <c r="B5" s="1118"/>
      <c r="C5" s="1118" t="s">
        <v>100</v>
      </c>
      <c r="D5" s="1121">
        <f>E5/1.03</f>
        <v>28520.434238093614</v>
      </c>
      <c r="E5" s="1121">
        <f>F5/1.03</f>
        <v>29376.047265236422</v>
      </c>
      <c r="F5" s="1121">
        <f>G5/1.03</f>
        <v>30257.328683193515</v>
      </c>
      <c r="G5" s="1121">
        <f>H5/1.03</f>
        <v>31165.048543689321</v>
      </c>
      <c r="H5" s="1122">
        <v>32100</v>
      </c>
      <c r="I5" s="1121">
        <f>H5*1.03</f>
        <v>33063</v>
      </c>
      <c r="J5" s="1121">
        <f t="shared" ref="J5:V5" si="2">I5*1.03</f>
        <v>34054.89</v>
      </c>
      <c r="K5" s="1121">
        <f t="shared" si="2"/>
        <v>35076.536699999997</v>
      </c>
      <c r="L5" s="1121">
        <f t="shared" si="2"/>
        <v>36128.832800999997</v>
      </c>
      <c r="M5" s="1121">
        <f t="shared" si="2"/>
        <v>37212.697785029995</v>
      </c>
      <c r="N5" s="1121">
        <f t="shared" si="2"/>
        <v>38329.078718580895</v>
      </c>
      <c r="O5" s="1121">
        <f t="shared" si="2"/>
        <v>39478.951080138322</v>
      </c>
      <c r="P5" s="1121">
        <f t="shared" si="2"/>
        <v>40663.319612542473</v>
      </c>
      <c r="Q5" s="1121">
        <f t="shared" si="2"/>
        <v>41883.219200918749</v>
      </c>
      <c r="R5" s="1121">
        <f t="shared" si="2"/>
        <v>43139.715776946316</v>
      </c>
      <c r="S5" s="1121">
        <f t="shared" si="2"/>
        <v>44433.907250254706</v>
      </c>
      <c r="T5" s="1121">
        <f t="shared" si="2"/>
        <v>45766.92446776235</v>
      </c>
      <c r="U5" s="1121">
        <f t="shared" si="2"/>
        <v>47139.932201795222</v>
      </c>
      <c r="V5" s="1121">
        <f t="shared" si="2"/>
        <v>48554.130167849078</v>
      </c>
      <c r="W5" s="1121">
        <f>V5*1.03</f>
        <v>50010.754072884549</v>
      </c>
      <c r="X5" s="1121">
        <f>W5*1.03</f>
        <v>51511.076695071089</v>
      </c>
      <c r="Y5" s="1121">
        <f>X5*1.03</f>
        <v>53056.408995923222</v>
      </c>
      <c r="Z5" s="1121">
        <f>Y5*1.03</f>
        <v>54648.10126580092</v>
      </c>
      <c r="AA5" s="1118"/>
      <c r="AB5" s="1118" t="s">
        <v>1119</v>
      </c>
      <c r="AC5" s="1118"/>
      <c r="AD5" s="1118"/>
      <c r="AE5" s="1118"/>
    </row>
    <row r="6" spans="2:31">
      <c r="B6" s="1118"/>
      <c r="C6" s="1118" t="s">
        <v>101</v>
      </c>
      <c r="D6" s="1121">
        <f>E6*1.02</f>
        <v>8659.4572800000005</v>
      </c>
      <c r="E6" s="1121">
        <f>F6*1.02</f>
        <v>8489.6640000000007</v>
      </c>
      <c r="F6" s="1121">
        <f>G6*1.02</f>
        <v>8323.2000000000007</v>
      </c>
      <c r="G6" s="1121">
        <f>H6*1.02</f>
        <v>8160</v>
      </c>
      <c r="H6" s="1122">
        <v>8000</v>
      </c>
      <c r="I6" s="1121">
        <f t="shared" ref="I6:Z6" si="3">I5*I52</f>
        <v>8075.2</v>
      </c>
      <c r="J6" s="1121">
        <f t="shared" si="3"/>
        <v>8151.1068799999994</v>
      </c>
      <c r="K6" s="1121">
        <f t="shared" si="3"/>
        <v>8227.7272846719989</v>
      </c>
      <c r="L6" s="1121">
        <f t="shared" si="3"/>
        <v>8305.0679211479164</v>
      </c>
      <c r="M6" s="1121">
        <f t="shared" si="3"/>
        <v>8383.135559606706</v>
      </c>
      <c r="N6" s="1121">
        <f t="shared" si="3"/>
        <v>8461.9370338670087</v>
      </c>
      <c r="O6" s="1121">
        <f t="shared" si="3"/>
        <v>8541.4792419853584</v>
      </c>
      <c r="P6" s="1121">
        <f t="shared" si="3"/>
        <v>8621.7691468600206</v>
      </c>
      <c r="Q6" s="1121">
        <f t="shared" si="3"/>
        <v>8702.8137768405049</v>
      </c>
      <c r="R6" s="1121">
        <f t="shared" si="3"/>
        <v>8784.6202263428058</v>
      </c>
      <c r="S6" s="1121">
        <f t="shared" si="3"/>
        <v>8867.1956564704269</v>
      </c>
      <c r="T6" s="1121">
        <f t="shared" si="3"/>
        <v>8950.5472956412486</v>
      </c>
      <c r="U6" s="1121">
        <f t="shared" si="3"/>
        <v>9034.6824402202783</v>
      </c>
      <c r="V6" s="1121">
        <f t="shared" si="3"/>
        <v>9119.6084551583481</v>
      </c>
      <c r="W6" s="1121">
        <f t="shared" si="3"/>
        <v>9205.3327746368359</v>
      </c>
      <c r="X6" s="1121">
        <f t="shared" si="3"/>
        <v>9291.8629027184215</v>
      </c>
      <c r="Y6" s="1121">
        <f t="shared" si="3"/>
        <v>9379.2064140039747</v>
      </c>
      <c r="Z6" s="1121">
        <f t="shared" si="3"/>
        <v>9467.3709542956112</v>
      </c>
      <c r="AA6" s="1118"/>
      <c r="AB6" s="1118" t="s">
        <v>1078</v>
      </c>
      <c r="AC6" s="1118"/>
      <c r="AD6" s="1118"/>
      <c r="AE6" s="1118"/>
    </row>
    <row r="7" spans="2:31">
      <c r="B7" s="1118"/>
      <c r="C7" s="1118" t="s">
        <v>1070</v>
      </c>
      <c r="D7" s="1123">
        <f>E7*0.97</f>
        <v>7967.6352900000002</v>
      </c>
      <c r="E7" s="1123">
        <f>F7*0.97</f>
        <v>8214.0570000000007</v>
      </c>
      <c r="F7" s="1123">
        <f>G7*0.97</f>
        <v>8468.1</v>
      </c>
      <c r="G7" s="1123">
        <f>H7*0.97</f>
        <v>8730</v>
      </c>
      <c r="H7" s="1123">
        <f>H4*0.05</f>
        <v>9000</v>
      </c>
      <c r="I7" s="1123">
        <f t="shared" ref="I7:V7" si="4">I4*0.05</f>
        <v>9755</v>
      </c>
      <c r="J7" s="1123">
        <f t="shared" si="4"/>
        <v>10516.64</v>
      </c>
      <c r="K7" s="1123">
        <f t="shared" si="4"/>
        <v>11285.997156000001</v>
      </c>
      <c r="L7" s="1123">
        <f t="shared" si="4"/>
        <v>12064.1377689664</v>
      </c>
      <c r="M7" s="1123">
        <f t="shared" si="4"/>
        <v>12852.119124510686</v>
      </c>
      <c r="N7" s="1123">
        <f t="shared" si="4"/>
        <v>13650.991279556314</v>
      </c>
      <c r="O7" s="1123">
        <f t="shared" si="4"/>
        <v>14461.798799814194</v>
      </c>
      <c r="P7" s="1123">
        <f t="shared" si="4"/>
        <v>15285.582451731134</v>
      </c>
      <c r="Q7" s="1123">
        <f t="shared" si="4"/>
        <v>16123.3808524287</v>
      </c>
      <c r="R7" s="1123">
        <f t="shared" si="4"/>
        <v>16976.232081011178</v>
      </c>
      <c r="S7" s="1123">
        <f t="shared" si="4"/>
        <v>17845.175254490794</v>
      </c>
      <c r="T7" s="1123">
        <f t="shared" si="4"/>
        <v>18731.252071455467</v>
      </c>
      <c r="U7" s="1123">
        <f t="shared" si="4"/>
        <v>19635.508326488747</v>
      </c>
      <c r="V7" s="1123">
        <f t="shared" si="4"/>
        <v>20558.99539824306</v>
      </c>
      <c r="W7" s="1123">
        <f>W4*0.05</f>
        <v>21502.771713965441</v>
      </c>
      <c r="X7" s="1123">
        <f>X4*0.05</f>
        <v>22467.904193179555</v>
      </c>
      <c r="Y7" s="1123">
        <f>Y4*0.05</f>
        <v>23455.46967313821</v>
      </c>
      <c r="Z7" s="1123">
        <f>Z4*0.05</f>
        <v>24466.556318577263</v>
      </c>
      <c r="AA7" s="1118"/>
      <c r="AB7" s="1118"/>
      <c r="AC7" s="1118"/>
      <c r="AD7" s="1118"/>
      <c r="AE7" s="1118"/>
    </row>
    <row r="8" spans="2:31">
      <c r="C8" s="1118"/>
      <c r="D8" s="1118"/>
      <c r="E8" s="1118"/>
      <c r="F8" s="1118"/>
      <c r="G8" s="1118"/>
      <c r="H8" s="1118"/>
      <c r="I8" s="1118"/>
      <c r="J8" s="1118"/>
      <c r="K8" s="1118"/>
      <c r="L8" s="1118"/>
      <c r="M8" s="1118"/>
      <c r="N8" s="1118"/>
      <c r="O8" s="1118"/>
      <c r="P8" s="1118"/>
      <c r="Q8" s="1118"/>
      <c r="R8" s="1118"/>
      <c r="S8" s="1118"/>
      <c r="T8" s="1118"/>
      <c r="U8" s="1118"/>
      <c r="V8" s="1118"/>
      <c r="W8" s="1118"/>
      <c r="X8" s="1118"/>
      <c r="Y8" s="1118"/>
      <c r="Z8" s="1118"/>
      <c r="AA8" s="1118"/>
      <c r="AB8" s="1118"/>
      <c r="AC8" s="1118"/>
      <c r="AD8" s="1118"/>
      <c r="AE8" s="1118"/>
    </row>
    <row r="9" spans="2:31">
      <c r="C9" s="1118" t="s">
        <v>1120</v>
      </c>
      <c r="D9" s="1121">
        <f>D10*D5</f>
        <v>18569.379301437897</v>
      </c>
      <c r="E9" s="1121">
        <f>E10*E5</f>
        <v>19126.460680481036</v>
      </c>
      <c r="F9" s="1121">
        <f>F10*F5</f>
        <v>19700.254500895466</v>
      </c>
      <c r="G9" s="1121">
        <f>G10*G5</f>
        <v>20291.26213592233</v>
      </c>
      <c r="H9" s="1122">
        <v>20900</v>
      </c>
      <c r="I9" s="1121">
        <f t="shared" ref="I9:V9" si="5">I10*I5</f>
        <v>21527</v>
      </c>
      <c r="J9" s="1121">
        <f t="shared" si="5"/>
        <v>22172.809999999998</v>
      </c>
      <c r="K9" s="1121">
        <f t="shared" si="5"/>
        <v>22837.994299999995</v>
      </c>
      <c r="L9" s="1121">
        <f t="shared" si="5"/>
        <v>23523.134128999998</v>
      </c>
      <c r="M9" s="1121">
        <f t="shared" si="5"/>
        <v>24228.828152869995</v>
      </c>
      <c r="N9" s="1121">
        <f t="shared" si="5"/>
        <v>24955.692997456095</v>
      </c>
      <c r="O9" s="1121">
        <f t="shared" si="5"/>
        <v>25704.363787379778</v>
      </c>
      <c r="P9" s="1121">
        <f t="shared" si="5"/>
        <v>26475.494701001171</v>
      </c>
      <c r="Q9" s="1121">
        <f t="shared" si="5"/>
        <v>27269.75954203121</v>
      </c>
      <c r="R9" s="1121">
        <f t="shared" si="5"/>
        <v>28087.852328292149</v>
      </c>
      <c r="S9" s="1121">
        <f t="shared" si="5"/>
        <v>28930.487898140913</v>
      </c>
      <c r="T9" s="1121">
        <f t="shared" si="5"/>
        <v>29798.402535085141</v>
      </c>
      <c r="U9" s="1121">
        <f t="shared" si="5"/>
        <v>30692.354611137696</v>
      </c>
      <c r="V9" s="1121">
        <f t="shared" si="5"/>
        <v>31613.125249471828</v>
      </c>
      <c r="W9" s="1121">
        <f>W10*W5</f>
        <v>32561.519006955983</v>
      </c>
      <c r="X9" s="1121">
        <f>X10*X5</f>
        <v>33538.364577164662</v>
      </c>
      <c r="Y9" s="1121">
        <f>Y10*Y5</f>
        <v>34544.515514479601</v>
      </c>
      <c r="Z9" s="1121">
        <f>Z10*Z5</f>
        <v>35580.850979913994</v>
      </c>
      <c r="AA9" s="1118"/>
      <c r="AB9" s="1118" t="s">
        <v>1121</v>
      </c>
      <c r="AC9" s="1118"/>
      <c r="AD9" s="1118"/>
      <c r="AE9" s="1118"/>
    </row>
    <row r="10" spans="2:31">
      <c r="C10" s="1124" t="s">
        <v>1122</v>
      </c>
      <c r="D10" s="1125">
        <f>E10</f>
        <v>0.65109034267912769</v>
      </c>
      <c r="E10" s="1125">
        <f>F10</f>
        <v>0.65109034267912769</v>
      </c>
      <c r="F10" s="1125">
        <f>G10</f>
        <v>0.65109034267912769</v>
      </c>
      <c r="G10" s="1125">
        <f>H10</f>
        <v>0.65109034267912769</v>
      </c>
      <c r="H10" s="1126">
        <f>H9/H5</f>
        <v>0.65109034267912769</v>
      </c>
      <c r="I10" s="1125">
        <f>H10</f>
        <v>0.65109034267912769</v>
      </c>
      <c r="J10" s="1125">
        <f t="shared" ref="J10:V10" si="6">I10</f>
        <v>0.65109034267912769</v>
      </c>
      <c r="K10" s="1125">
        <f t="shared" si="6"/>
        <v>0.65109034267912769</v>
      </c>
      <c r="L10" s="1125">
        <f t="shared" si="6"/>
        <v>0.65109034267912769</v>
      </c>
      <c r="M10" s="1125">
        <f t="shared" si="6"/>
        <v>0.65109034267912769</v>
      </c>
      <c r="N10" s="1125">
        <f t="shared" si="6"/>
        <v>0.65109034267912769</v>
      </c>
      <c r="O10" s="1125">
        <f t="shared" si="6"/>
        <v>0.65109034267912769</v>
      </c>
      <c r="P10" s="1125">
        <f t="shared" si="6"/>
        <v>0.65109034267912769</v>
      </c>
      <c r="Q10" s="1125">
        <f t="shared" si="6"/>
        <v>0.65109034267912769</v>
      </c>
      <c r="R10" s="1125">
        <f t="shared" si="6"/>
        <v>0.65109034267912769</v>
      </c>
      <c r="S10" s="1125">
        <f t="shared" si="6"/>
        <v>0.65109034267912769</v>
      </c>
      <c r="T10" s="1125">
        <f t="shared" si="6"/>
        <v>0.65109034267912769</v>
      </c>
      <c r="U10" s="1125">
        <f t="shared" si="6"/>
        <v>0.65109034267912769</v>
      </c>
      <c r="V10" s="1125">
        <f t="shared" si="6"/>
        <v>0.65109034267912769</v>
      </c>
      <c r="W10" s="1125">
        <f>V10</f>
        <v>0.65109034267912769</v>
      </c>
      <c r="X10" s="1125">
        <f>W10</f>
        <v>0.65109034267912769</v>
      </c>
      <c r="Y10" s="1125">
        <f>X10</f>
        <v>0.65109034267912769</v>
      </c>
      <c r="Z10" s="1125">
        <f>Y10</f>
        <v>0.65109034267912769</v>
      </c>
      <c r="AA10" s="1118"/>
      <c r="AB10" s="1118"/>
      <c r="AC10" s="1118"/>
      <c r="AD10" s="1118"/>
      <c r="AE10" s="1118"/>
    </row>
    <row r="11" spans="2:31">
      <c r="C11" s="1124"/>
      <c r="D11" s="1125"/>
      <c r="E11" s="1125"/>
      <c r="F11" s="1125"/>
      <c r="G11" s="1125"/>
      <c r="H11" s="1126"/>
      <c r="I11" s="1125"/>
      <c r="J11" s="1125"/>
      <c r="K11" s="1125"/>
      <c r="L11" s="1125"/>
      <c r="M11" s="1125"/>
      <c r="N11" s="1125"/>
      <c r="O11" s="1125"/>
      <c r="P11" s="1125"/>
      <c r="Q11" s="1125"/>
      <c r="R11" s="1125"/>
      <c r="S11" s="1125"/>
      <c r="T11" s="1125"/>
      <c r="U11" s="1125"/>
      <c r="V11" s="1125"/>
      <c r="W11" s="1125"/>
      <c r="X11" s="1125"/>
      <c r="Y11" s="1125"/>
      <c r="Z11" s="1125"/>
      <c r="AA11" s="1118"/>
      <c r="AB11" s="1118"/>
      <c r="AC11" s="1118"/>
      <c r="AD11" s="1118"/>
      <c r="AE11" s="1118"/>
    </row>
    <row r="12" spans="2:31">
      <c r="C12" s="1118" t="s">
        <v>1123</v>
      </c>
      <c r="D12" s="1121"/>
      <c r="E12" s="1127">
        <f>F12*0.95</f>
        <v>4887.0374999999995</v>
      </c>
      <c r="F12" s="1127">
        <f>G12*0.95</f>
        <v>5144.25</v>
      </c>
      <c r="G12" s="1127">
        <f>H12*0.95</f>
        <v>5415</v>
      </c>
      <c r="H12" s="1122">
        <v>5700</v>
      </c>
      <c r="I12" s="1121">
        <f>I13*I19</f>
        <v>6699.2292459968121</v>
      </c>
      <c r="J12" s="1121">
        <f t="shared" ref="J12:V12" si="7">J13*J19</f>
        <v>7701.0952658097967</v>
      </c>
      <c r="K12" s="1121">
        <f t="shared" si="7"/>
        <v>8707.1764386037521</v>
      </c>
      <c r="L12" s="1121">
        <f t="shared" si="7"/>
        <v>9719.0247744661483</v>
      </c>
      <c r="M12" s="1121">
        <f t="shared" si="7"/>
        <v>10738.168821044892</v>
      </c>
      <c r="N12" s="1121">
        <f t="shared" si="7"/>
        <v>11766.116472609539</v>
      </c>
      <c r="O12" s="1121">
        <f t="shared" si="7"/>
        <v>12804.357687848544</v>
      </c>
      <c r="P12" s="1121">
        <f t="shared" si="7"/>
        <v>13854.367122442425</v>
      </c>
      <c r="Q12" s="1121">
        <f t="shared" si="7"/>
        <v>14917.606682195077</v>
      </c>
      <c r="R12" s="1121">
        <f t="shared" si="7"/>
        <v>15995.528002262012</v>
      </c>
      <c r="S12" s="1121">
        <f t="shared" si="7"/>
        <v>17089.574857784344</v>
      </c>
      <c r="T12" s="1121">
        <f t="shared" si="7"/>
        <v>18201.185511020285</v>
      </c>
      <c r="U12" s="1121">
        <f t="shared" si="7"/>
        <v>19331.794999861369</v>
      </c>
      <c r="V12" s="1121">
        <f t="shared" si="7"/>
        <v>20482.837372427355</v>
      </c>
      <c r="W12" s="1121">
        <f>W13*W19</f>
        <v>21655.74787225221</v>
      </c>
      <c r="X12" s="1121">
        <f>X13*X19</f>
        <v>22851.965078402383</v>
      </c>
      <c r="Y12" s="1121">
        <f>Y13*Y19</f>
        <v>24072.933004707571</v>
      </c>
      <c r="Z12" s="1121">
        <f>Z13*Z19</f>
        <v>25320.103162133131</v>
      </c>
      <c r="AA12" s="1118"/>
      <c r="AB12" s="1118" t="s">
        <v>1121</v>
      </c>
      <c r="AC12" s="1118"/>
      <c r="AD12" s="1118"/>
      <c r="AE12" s="1118"/>
    </row>
    <row r="13" spans="2:31">
      <c r="C13" s="1124" t="s">
        <v>1124</v>
      </c>
      <c r="D13" s="1125"/>
      <c r="E13" s="1125"/>
      <c r="F13" s="1125"/>
      <c r="G13" s="1125"/>
      <c r="H13" s="1126">
        <f>H12/H19</f>
        <v>8.5384458350186876E-2</v>
      </c>
      <c r="I13" s="1125">
        <f>H13</f>
        <v>8.5384458350186876E-2</v>
      </c>
      <c r="J13" s="1125">
        <f t="shared" ref="J13:V13" si="8">I13</f>
        <v>8.5384458350186876E-2</v>
      </c>
      <c r="K13" s="1125">
        <f t="shared" si="8"/>
        <v>8.5384458350186876E-2</v>
      </c>
      <c r="L13" s="1125">
        <f t="shared" si="8"/>
        <v>8.5384458350186876E-2</v>
      </c>
      <c r="M13" s="1125">
        <f t="shared" si="8"/>
        <v>8.5384458350186876E-2</v>
      </c>
      <c r="N13" s="1125">
        <f t="shared" si="8"/>
        <v>8.5384458350186876E-2</v>
      </c>
      <c r="O13" s="1125">
        <f t="shared" si="8"/>
        <v>8.5384458350186876E-2</v>
      </c>
      <c r="P13" s="1125">
        <f t="shared" si="8"/>
        <v>8.5384458350186876E-2</v>
      </c>
      <c r="Q13" s="1125">
        <f t="shared" si="8"/>
        <v>8.5384458350186876E-2</v>
      </c>
      <c r="R13" s="1125">
        <f t="shared" si="8"/>
        <v>8.5384458350186876E-2</v>
      </c>
      <c r="S13" s="1125">
        <f t="shared" si="8"/>
        <v>8.5384458350186876E-2</v>
      </c>
      <c r="T13" s="1125">
        <f t="shared" si="8"/>
        <v>8.5384458350186876E-2</v>
      </c>
      <c r="U13" s="1125">
        <f t="shared" si="8"/>
        <v>8.5384458350186876E-2</v>
      </c>
      <c r="V13" s="1125">
        <f t="shared" si="8"/>
        <v>8.5384458350186876E-2</v>
      </c>
      <c r="W13" s="1125">
        <f>V13</f>
        <v>8.5384458350186876E-2</v>
      </c>
      <c r="X13" s="1125">
        <f>W13</f>
        <v>8.5384458350186876E-2</v>
      </c>
      <c r="Y13" s="1125">
        <f>X13</f>
        <v>8.5384458350186876E-2</v>
      </c>
      <c r="Z13" s="1125">
        <f>Y13</f>
        <v>8.5384458350186876E-2</v>
      </c>
    </row>
    <row r="14" spans="2:31">
      <c r="C14" s="1124"/>
      <c r="D14" s="1125"/>
      <c r="E14" s="1125"/>
      <c r="F14" s="1125"/>
      <c r="G14" s="1125"/>
      <c r="H14" s="1126"/>
      <c r="I14" s="1125"/>
      <c r="J14" s="1125"/>
      <c r="K14" s="1125"/>
      <c r="L14" s="1125"/>
      <c r="M14" s="1125"/>
      <c r="N14" s="1125"/>
      <c r="O14" s="1125"/>
      <c r="P14" s="1125"/>
      <c r="Q14" s="1125"/>
      <c r="R14" s="1125"/>
      <c r="S14" s="1125"/>
      <c r="T14" s="1125"/>
      <c r="U14" s="1125"/>
      <c r="V14" s="1125"/>
      <c r="W14" s="1125"/>
      <c r="X14" s="1125"/>
      <c r="Y14" s="1125"/>
      <c r="Z14" s="1125"/>
    </row>
    <row r="15" spans="2:31">
      <c r="C15" s="1118" t="s">
        <v>1125</v>
      </c>
      <c r="D15" s="1118"/>
      <c r="E15" s="1118"/>
      <c r="F15" s="1118"/>
      <c r="G15" s="1118"/>
      <c r="H15" s="1118"/>
      <c r="I15" s="1118"/>
      <c r="J15" s="1118"/>
      <c r="K15" s="1118"/>
      <c r="L15" s="1118"/>
      <c r="M15" s="1118"/>
      <c r="N15" s="1118"/>
      <c r="O15" s="1118"/>
      <c r="P15" s="1118"/>
      <c r="Q15" s="1118"/>
      <c r="R15" s="1118"/>
      <c r="S15" s="1118"/>
      <c r="T15" s="1118"/>
      <c r="U15" s="1118"/>
      <c r="V15" s="1118"/>
      <c r="W15" s="1118"/>
      <c r="X15" s="1118"/>
      <c r="Y15" s="1118"/>
      <c r="Z15" s="1118"/>
    </row>
    <row r="16" spans="2:31">
      <c r="C16" s="1128" t="s">
        <v>181</v>
      </c>
      <c r="D16" s="1118"/>
      <c r="E16" s="1118"/>
      <c r="F16" s="1118"/>
      <c r="G16" s="1118"/>
      <c r="H16" s="1118"/>
      <c r="I16" s="1118"/>
      <c r="J16" s="1118"/>
      <c r="K16" s="1118"/>
      <c r="L16" s="1118"/>
      <c r="M16" s="1118"/>
      <c r="N16" s="1118"/>
      <c r="O16" s="1118"/>
      <c r="P16" s="1118"/>
      <c r="Q16" s="1118"/>
      <c r="R16" s="1118"/>
      <c r="S16" s="1118"/>
      <c r="T16" s="1118"/>
      <c r="U16" s="1118"/>
      <c r="V16" s="1118"/>
      <c r="W16" s="1118"/>
      <c r="X16" s="1118"/>
      <c r="Y16" s="1118"/>
      <c r="Z16" s="1118"/>
    </row>
    <row r="17" spans="3:26">
      <c r="C17" s="1124" t="s">
        <v>1126</v>
      </c>
      <c r="D17" s="1121">
        <f t="shared" ref="D17:Z17" si="9">D5-D9</f>
        <v>9951.054936655717</v>
      </c>
      <c r="E17" s="1121">
        <f t="shared" si="9"/>
        <v>10249.586584755387</v>
      </c>
      <c r="F17" s="1121">
        <f t="shared" si="9"/>
        <v>10557.074182298049</v>
      </c>
      <c r="G17" s="1121">
        <f t="shared" si="9"/>
        <v>10873.786407766991</v>
      </c>
      <c r="H17" s="1121">
        <f t="shared" si="9"/>
        <v>11200</v>
      </c>
      <c r="I17" s="1121">
        <f t="shared" si="9"/>
        <v>11536</v>
      </c>
      <c r="J17" s="1121">
        <f t="shared" si="9"/>
        <v>11882.080000000002</v>
      </c>
      <c r="K17" s="1121">
        <f t="shared" si="9"/>
        <v>12238.542400000002</v>
      </c>
      <c r="L17" s="1121">
        <f t="shared" si="9"/>
        <v>12605.698671999999</v>
      </c>
      <c r="M17" s="1121">
        <f t="shared" si="9"/>
        <v>12983.86963216</v>
      </c>
      <c r="N17" s="1121">
        <f t="shared" si="9"/>
        <v>13373.3857211248</v>
      </c>
      <c r="O17" s="1121">
        <f t="shared" si="9"/>
        <v>13774.587292758544</v>
      </c>
      <c r="P17" s="1121">
        <f t="shared" si="9"/>
        <v>14187.824911541302</v>
      </c>
      <c r="Q17" s="1121">
        <f t="shared" si="9"/>
        <v>14613.459658887539</v>
      </c>
      <c r="R17" s="1121">
        <f t="shared" si="9"/>
        <v>15051.863448654167</v>
      </c>
      <c r="S17" s="1121">
        <f t="shared" si="9"/>
        <v>15503.419352113793</v>
      </c>
      <c r="T17" s="1121">
        <f t="shared" si="9"/>
        <v>15968.521932677209</v>
      </c>
      <c r="U17" s="1121">
        <f t="shared" si="9"/>
        <v>16447.577590657525</v>
      </c>
      <c r="V17" s="1121">
        <f t="shared" si="9"/>
        <v>16941.00491837725</v>
      </c>
      <c r="W17" s="1121">
        <f t="shared" si="9"/>
        <v>17449.235065928566</v>
      </c>
      <c r="X17" s="1121">
        <f t="shared" si="9"/>
        <v>17972.712117906427</v>
      </c>
      <c r="Y17" s="1121">
        <f t="shared" si="9"/>
        <v>18511.893481443622</v>
      </c>
      <c r="Z17" s="1121">
        <f t="shared" si="9"/>
        <v>19067.250285886927</v>
      </c>
    </row>
    <row r="18" spans="3:26">
      <c r="C18" s="1124" t="s">
        <v>1127</v>
      </c>
      <c r="D18" s="1121"/>
      <c r="E18" s="1121"/>
      <c r="F18" s="1121"/>
      <c r="G18" s="1121"/>
      <c r="H18" s="1121">
        <f>H17+G17+F17+E17+D17</f>
        <v>52831.50211147614</v>
      </c>
      <c r="I18" s="1121">
        <f t="shared" ref="I18:V18" si="10">I17+H17+G17+F17+E17</f>
        <v>54416.447174820431</v>
      </c>
      <c r="J18" s="1121">
        <f t="shared" si="10"/>
        <v>56048.940590065045</v>
      </c>
      <c r="K18" s="1121">
        <f t="shared" si="10"/>
        <v>57730.408807767002</v>
      </c>
      <c r="L18" s="1121">
        <f t="shared" si="10"/>
        <v>59462.321072000006</v>
      </c>
      <c r="M18" s="1121">
        <f t="shared" si="10"/>
        <v>61246.190704160006</v>
      </c>
      <c r="N18" s="1121">
        <f t="shared" si="10"/>
        <v>63083.576425284802</v>
      </c>
      <c r="O18" s="1121">
        <f t="shared" si="10"/>
        <v>64976.083718043345</v>
      </c>
      <c r="P18" s="1121">
        <f t="shared" si="10"/>
        <v>66925.366229584644</v>
      </c>
      <c r="Q18" s="1121">
        <f t="shared" si="10"/>
        <v>68933.127216472189</v>
      </c>
      <c r="R18" s="1121">
        <f t="shared" si="10"/>
        <v>71001.121032966345</v>
      </c>
      <c r="S18" s="1121">
        <f t="shared" si="10"/>
        <v>73131.154663955342</v>
      </c>
      <c r="T18" s="1121">
        <f t="shared" si="10"/>
        <v>75325.089303874018</v>
      </c>
      <c r="U18" s="1121">
        <f t="shared" si="10"/>
        <v>77584.841982990241</v>
      </c>
      <c r="V18" s="1121">
        <f t="shared" si="10"/>
        <v>79912.387242479948</v>
      </c>
      <c r="W18" s="1121">
        <f>W17+V17+U17+T17+S17</f>
        <v>82309.758859754336</v>
      </c>
      <c r="X18" s="1121">
        <f>X17+W17+V17+U17+T17</f>
        <v>84779.05162554697</v>
      </c>
      <c r="Y18" s="1121">
        <f>Y17+X17+W17+V17+U17</f>
        <v>87322.423174313401</v>
      </c>
      <c r="Z18" s="1121">
        <f>Z17+Y17+X17+W17+V17</f>
        <v>89942.095869542783</v>
      </c>
    </row>
    <row r="19" spans="3:26">
      <c r="C19" s="1124" t="s">
        <v>1128</v>
      </c>
      <c r="D19" s="1121"/>
      <c r="E19" s="1121"/>
      <c r="F19" s="1121"/>
      <c r="G19" s="1121"/>
      <c r="H19" s="1121">
        <f t="shared" ref="H19:Z19" si="11">H4-H5-H18*H5/H9</f>
        <v>66756.879532134728</v>
      </c>
      <c r="I19" s="1121">
        <f t="shared" si="11"/>
        <v>78459.585918098761</v>
      </c>
      <c r="J19" s="1121">
        <f t="shared" si="11"/>
        <v>90193.173495641691</v>
      </c>
      <c r="K19" s="1121">
        <f t="shared" si="11"/>
        <v>101976.12782051097</v>
      </c>
      <c r="L19" s="1121">
        <f t="shared" si="11"/>
        <v>113826.62562085431</v>
      </c>
      <c r="M19" s="1121">
        <f t="shared" si="11"/>
        <v>125762.56883898578</v>
      </c>
      <c r="N19" s="1121">
        <f t="shared" si="11"/>
        <v>137801.61753036157</v>
      </c>
      <c r="O19" s="1121">
        <f t="shared" si="11"/>
        <v>149961.22169369619</v>
      </c>
      <c r="P19" s="1121">
        <f t="shared" si="11"/>
        <v>162258.65210295736</v>
      </c>
      <c r="Q19" s="1121">
        <f t="shared" si="11"/>
        <v>174711.03020895872</v>
      </c>
      <c r="R19" s="1121">
        <f t="shared" si="11"/>
        <v>187335.35717541978</v>
      </c>
      <c r="S19" s="1121">
        <f t="shared" si="11"/>
        <v>200148.54211166804</v>
      </c>
      <c r="T19" s="1121">
        <f t="shared" si="11"/>
        <v>213167.42956161703</v>
      </c>
      <c r="U19" s="1121">
        <f t="shared" si="11"/>
        <v>226408.82630625786</v>
      </c>
      <c r="V19" s="1121">
        <f t="shared" si="11"/>
        <v>239889.52753463859</v>
      </c>
      <c r="W19" s="1121">
        <f t="shared" si="11"/>
        <v>253626.34243617958</v>
      </c>
      <c r="X19" s="1121">
        <f t="shared" si="11"/>
        <v>267636.11926516797</v>
      </c>
      <c r="Y19" s="1121">
        <f t="shared" si="11"/>
        <v>281935.76992638828</v>
      </c>
      <c r="Z19" s="1121">
        <f t="shared" si="11"/>
        <v>296542.29412907804</v>
      </c>
    </row>
    <row r="20" spans="3:26">
      <c r="C20" s="1118"/>
      <c r="D20" s="1118"/>
      <c r="E20" s="1118"/>
      <c r="F20" s="1118"/>
      <c r="G20" s="1118"/>
      <c r="H20" s="1118"/>
      <c r="I20" s="1118"/>
      <c r="J20" s="1118"/>
      <c r="K20" s="1118"/>
      <c r="L20" s="1118"/>
      <c r="M20" s="1118"/>
      <c r="N20" s="1118"/>
      <c r="O20" s="1118"/>
      <c r="P20" s="1118"/>
      <c r="Q20" s="1118"/>
      <c r="R20" s="1118"/>
      <c r="S20" s="1118"/>
      <c r="T20" s="1118"/>
      <c r="U20" s="1118"/>
      <c r="V20" s="1118"/>
      <c r="W20" s="1118"/>
      <c r="X20" s="1118"/>
      <c r="Y20" s="1118"/>
      <c r="Z20" s="1118"/>
    </row>
    <row r="21" spans="3:26">
      <c r="C21" s="1118" t="s">
        <v>294</v>
      </c>
      <c r="D21" s="1121">
        <f t="shared" ref="D21:Z21" si="12">D6*80%</f>
        <v>6927.5658240000012</v>
      </c>
      <c r="E21" s="1121">
        <f t="shared" si="12"/>
        <v>6791.7312000000011</v>
      </c>
      <c r="F21" s="1121">
        <f t="shared" si="12"/>
        <v>6658.5600000000013</v>
      </c>
      <c r="G21" s="1121">
        <f t="shared" si="12"/>
        <v>6528</v>
      </c>
      <c r="H21" s="1121">
        <f t="shared" si="12"/>
        <v>6400</v>
      </c>
      <c r="I21" s="1121">
        <f t="shared" si="12"/>
        <v>6460.16</v>
      </c>
      <c r="J21" s="1121">
        <f t="shared" si="12"/>
        <v>6520.8855039999999</v>
      </c>
      <c r="K21" s="1121">
        <f t="shared" si="12"/>
        <v>6582.1818277375996</v>
      </c>
      <c r="L21" s="1121">
        <f t="shared" si="12"/>
        <v>6644.0543369183333</v>
      </c>
      <c r="M21" s="1121">
        <f t="shared" si="12"/>
        <v>6706.5084476853654</v>
      </c>
      <c r="N21" s="1121">
        <f t="shared" si="12"/>
        <v>6769.5496270936073</v>
      </c>
      <c r="O21" s="1121">
        <f t="shared" si="12"/>
        <v>6833.1833935882869</v>
      </c>
      <c r="P21" s="1121">
        <f t="shared" si="12"/>
        <v>6897.4153174880166</v>
      </c>
      <c r="Q21" s="1121">
        <f t="shared" si="12"/>
        <v>6962.2510214724043</v>
      </c>
      <c r="R21" s="1121">
        <f t="shared" si="12"/>
        <v>7027.696181074245</v>
      </c>
      <c r="S21" s="1121">
        <f t="shared" si="12"/>
        <v>7093.7565251763417</v>
      </c>
      <c r="T21" s="1121">
        <f t="shared" si="12"/>
        <v>7160.4378365129996</v>
      </c>
      <c r="U21" s="1121">
        <f t="shared" si="12"/>
        <v>7227.745952176223</v>
      </c>
      <c r="V21" s="1121">
        <f t="shared" si="12"/>
        <v>7295.686764126679</v>
      </c>
      <c r="W21" s="1121">
        <f t="shared" si="12"/>
        <v>7364.2662197094687</v>
      </c>
      <c r="X21" s="1121">
        <f t="shared" si="12"/>
        <v>7433.4903221747372</v>
      </c>
      <c r="Y21" s="1121">
        <f t="shared" si="12"/>
        <v>7503.3651312031798</v>
      </c>
      <c r="Z21" s="1121">
        <f t="shared" si="12"/>
        <v>7573.896763436489</v>
      </c>
    </row>
    <row r="22" spans="3:26">
      <c r="C22" s="1124" t="s">
        <v>1074</v>
      </c>
      <c r="D22" s="1125"/>
      <c r="E22" s="1125"/>
      <c r="F22" s="1125"/>
      <c r="G22" s="1125"/>
      <c r="H22" s="1125">
        <f>H21/H12</f>
        <v>1.1228070175438596</v>
      </c>
      <c r="I22" s="1125">
        <f t="shared" ref="I22:Z22" si="13">I21/I12</f>
        <v>0.96431391773319741</v>
      </c>
      <c r="J22" s="1125">
        <f t="shared" si="13"/>
        <v>0.84674780390660531</v>
      </c>
      <c r="K22" s="1125">
        <f t="shared" si="13"/>
        <v>0.75594905813038649</v>
      </c>
      <c r="L22" s="1125">
        <f t="shared" si="13"/>
        <v>0.68361327304912456</v>
      </c>
      <c r="M22" s="1125">
        <f t="shared" si="13"/>
        <v>0.62454861340434575</v>
      </c>
      <c r="N22" s="1125">
        <f t="shared" si="13"/>
        <v>0.57534273461022678</v>
      </c>
      <c r="O22" s="1125">
        <f t="shared" si="13"/>
        <v>0.53366077082281471</v>
      </c>
      <c r="P22" s="1125">
        <f t="shared" si="13"/>
        <v>0.49785134582690715</v>
      </c>
      <c r="Q22" s="1125">
        <f t="shared" si="13"/>
        <v>0.46671367396904256</v>
      </c>
      <c r="R22" s="1125">
        <f t="shared" si="13"/>
        <v>0.43935381064510165</v>
      </c>
      <c r="S22" s="1125">
        <f t="shared" si="13"/>
        <v>0.41509262718405882</v>
      </c>
      <c r="T22" s="1125">
        <f t="shared" si="13"/>
        <v>0.39340502475388561</v>
      </c>
      <c r="U22" s="1125">
        <f t="shared" si="13"/>
        <v>0.37387867770313382</v>
      </c>
      <c r="V22" s="1125">
        <f t="shared" si="13"/>
        <v>0.35618535808655355</v>
      </c>
      <c r="W22" s="1125">
        <f t="shared" si="13"/>
        <v>0.34006058175184972</v>
      </c>
      <c r="X22" s="1125">
        <f t="shared" si="13"/>
        <v>0.32528888857791061</v>
      </c>
      <c r="Y22" s="1125">
        <f t="shared" si="13"/>
        <v>0.31169301762007406</v>
      </c>
      <c r="Z22" s="1125">
        <f t="shared" si="13"/>
        <v>0.29912582563105222</v>
      </c>
    </row>
    <row r="23" spans="3:26">
      <c r="C23" s="1124"/>
      <c r="D23" s="1125"/>
      <c r="E23" s="1125"/>
      <c r="F23" s="1125"/>
      <c r="G23" s="1125"/>
      <c r="H23" s="1125"/>
      <c r="I23" s="1125"/>
      <c r="J23" s="1125"/>
      <c r="K23" s="1125"/>
      <c r="L23" s="1125"/>
      <c r="M23" s="1125"/>
      <c r="N23" s="1125"/>
      <c r="O23" s="1125"/>
      <c r="P23" s="1125"/>
      <c r="Q23" s="1125"/>
      <c r="R23" s="1125"/>
      <c r="S23" s="1125"/>
      <c r="T23" s="1125"/>
      <c r="U23" s="1125"/>
      <c r="V23" s="1125"/>
      <c r="W23" s="1125"/>
      <c r="X23" s="1125"/>
      <c r="Y23" s="1125"/>
      <c r="Z23" s="1125"/>
    </row>
    <row r="24" spans="3:26" outlineLevel="1">
      <c r="C24" s="1124" t="s">
        <v>463</v>
      </c>
      <c r="D24" s="1125"/>
      <c r="E24" s="1125"/>
      <c r="F24" s="1125"/>
      <c r="G24" s="1125"/>
      <c r="H24" s="1129">
        <f>H21+H12*0.35</f>
        <v>8395</v>
      </c>
      <c r="I24" s="1129">
        <f t="shared" ref="I24:Z24" si="14">I21+I12*0.35</f>
        <v>8804.8902360988832</v>
      </c>
      <c r="J24" s="1129">
        <f t="shared" si="14"/>
        <v>9216.2688470334288</v>
      </c>
      <c r="K24" s="1129">
        <f t="shared" si="14"/>
        <v>9629.6935812489137</v>
      </c>
      <c r="L24" s="1129">
        <f t="shared" si="14"/>
        <v>10045.713007981485</v>
      </c>
      <c r="M24" s="1129">
        <f t="shared" si="14"/>
        <v>10464.867535051077</v>
      </c>
      <c r="N24" s="1129">
        <f t="shared" si="14"/>
        <v>10887.690392506945</v>
      </c>
      <c r="O24" s="1129">
        <f t="shared" si="14"/>
        <v>11314.708584335276</v>
      </c>
      <c r="P24" s="1129">
        <f t="shared" si="14"/>
        <v>11746.443810342866</v>
      </c>
      <c r="Q24" s="1129">
        <f t="shared" si="14"/>
        <v>12183.41336024068</v>
      </c>
      <c r="R24" s="1129">
        <f t="shared" si="14"/>
        <v>12626.13098186595</v>
      </c>
      <c r="S24" s="1129">
        <f t="shared" si="14"/>
        <v>13075.107725400861</v>
      </c>
      <c r="T24" s="1129">
        <f t="shared" si="14"/>
        <v>13530.852765370098</v>
      </c>
      <c r="U24" s="1129">
        <f t="shared" si="14"/>
        <v>13993.874202127703</v>
      </c>
      <c r="V24" s="1129">
        <f t="shared" si="14"/>
        <v>14464.679844476253</v>
      </c>
      <c r="W24" s="1129">
        <f t="shared" si="14"/>
        <v>14943.777974997742</v>
      </c>
      <c r="X24" s="1129">
        <f t="shared" si="14"/>
        <v>15431.678099615572</v>
      </c>
      <c r="Y24" s="1129">
        <f t="shared" si="14"/>
        <v>15928.89168285083</v>
      </c>
      <c r="Z24" s="1129">
        <f t="shared" si="14"/>
        <v>16435.932870183082</v>
      </c>
    </row>
    <row r="25" spans="3:26" outlineLevel="1">
      <c r="C25" s="1124" t="s">
        <v>464</v>
      </c>
      <c r="D25" s="1125"/>
      <c r="E25" s="1125"/>
      <c r="F25" s="1125"/>
      <c r="G25" s="1125"/>
      <c r="H25" s="1129">
        <f>H21+H12*0.1</f>
        <v>6970</v>
      </c>
      <c r="I25" s="1129">
        <f t="shared" ref="I25" si="15">I21+I12*0.1</f>
        <v>7130.0829245996811</v>
      </c>
      <c r="J25" s="1129">
        <f>J21+J12*0.05</f>
        <v>6905.9402672904898</v>
      </c>
      <c r="K25" s="1129">
        <f t="shared" ref="K25:Z25" si="16">K21+K12*0.05</f>
        <v>7017.540649667787</v>
      </c>
      <c r="L25" s="1129">
        <f t="shared" si="16"/>
        <v>7130.0055756416405</v>
      </c>
      <c r="M25" s="1129">
        <f t="shared" si="16"/>
        <v>7243.41688873761</v>
      </c>
      <c r="N25" s="1129">
        <f t="shared" si="16"/>
        <v>7357.8554507240842</v>
      </c>
      <c r="O25" s="1129">
        <f t="shared" si="16"/>
        <v>7473.4012779807144</v>
      </c>
      <c r="P25" s="1129">
        <f t="shared" si="16"/>
        <v>7590.1336736101384</v>
      </c>
      <c r="Q25" s="1129">
        <f t="shared" si="16"/>
        <v>7708.131355582158</v>
      </c>
      <c r="R25" s="1129">
        <f t="shared" si="16"/>
        <v>7827.4725811873459</v>
      </c>
      <c r="S25" s="1129">
        <f t="shared" si="16"/>
        <v>7948.2352680655586</v>
      </c>
      <c r="T25" s="1129">
        <f t="shared" si="16"/>
        <v>8070.4971120640139</v>
      </c>
      <c r="U25" s="1129">
        <f t="shared" si="16"/>
        <v>8194.3357021692918</v>
      </c>
      <c r="V25" s="1129">
        <f t="shared" si="16"/>
        <v>8319.8286327480473</v>
      </c>
      <c r="W25" s="1129">
        <f t="shared" si="16"/>
        <v>8447.0536133220794</v>
      </c>
      <c r="X25" s="1129">
        <f t="shared" si="16"/>
        <v>8576.0885760948568</v>
      </c>
      <c r="Y25" s="1129">
        <f t="shared" si="16"/>
        <v>8707.0117814385576</v>
      </c>
      <c r="Z25" s="1129">
        <f t="shared" si="16"/>
        <v>8839.9019215431454</v>
      </c>
    </row>
    <row r="26" spans="3:26" outlineLevel="1">
      <c r="C26" s="1124" t="s">
        <v>462</v>
      </c>
      <c r="D26" s="1125"/>
      <c r="E26" s="1125"/>
      <c r="F26" s="1125"/>
      <c r="G26" s="1125"/>
      <c r="H26" s="1129">
        <f>H21</f>
        <v>6400</v>
      </c>
      <c r="I26" s="1129">
        <f t="shared" ref="I26" si="17">I21</f>
        <v>6460.16</v>
      </c>
      <c r="J26" s="1129">
        <f>J21*0.5</f>
        <v>3260.4427519999999</v>
      </c>
      <c r="K26" s="1129">
        <f t="shared" ref="K26:Z26" si="18">K21*0.5</f>
        <v>3291.0909138687998</v>
      </c>
      <c r="L26" s="1129">
        <f t="shared" si="18"/>
        <v>3322.0271684591667</v>
      </c>
      <c r="M26" s="1129">
        <f t="shared" si="18"/>
        <v>3353.2542238426827</v>
      </c>
      <c r="N26" s="1129">
        <f t="shared" si="18"/>
        <v>3384.7748135468037</v>
      </c>
      <c r="O26" s="1129">
        <f t="shared" si="18"/>
        <v>3416.5916967941434</v>
      </c>
      <c r="P26" s="1129">
        <f t="shared" si="18"/>
        <v>3448.7076587440083</v>
      </c>
      <c r="Q26" s="1129">
        <f t="shared" si="18"/>
        <v>3481.1255107362022</v>
      </c>
      <c r="R26" s="1129">
        <f t="shared" si="18"/>
        <v>3513.8480905371225</v>
      </c>
      <c r="S26" s="1129">
        <f t="shared" si="18"/>
        <v>3546.8782625881709</v>
      </c>
      <c r="T26" s="1129">
        <f t="shared" si="18"/>
        <v>3580.2189182564998</v>
      </c>
      <c r="U26" s="1129">
        <f t="shared" si="18"/>
        <v>3613.8729760881115</v>
      </c>
      <c r="V26" s="1129">
        <f t="shared" si="18"/>
        <v>3647.8433820633395</v>
      </c>
      <c r="W26" s="1129">
        <f t="shared" si="18"/>
        <v>3682.1331098547344</v>
      </c>
      <c r="X26" s="1129">
        <f t="shared" si="18"/>
        <v>3716.7451610873686</v>
      </c>
      <c r="Y26" s="1129">
        <f t="shared" si="18"/>
        <v>3751.6825656015899</v>
      </c>
      <c r="Z26" s="1129">
        <f t="shared" si="18"/>
        <v>3786.9483817182445</v>
      </c>
    </row>
    <row r="27" spans="3:26">
      <c r="C27" s="1130" t="s">
        <v>1129</v>
      </c>
      <c r="D27" s="1125"/>
      <c r="E27" s="1125"/>
      <c r="F27" s="1125"/>
      <c r="G27" s="1125"/>
      <c r="H27" s="1131">
        <f t="shared" ref="H27:Z27" si="19">CHOOSE($S$105,H24,H25,H26)</f>
        <v>6970</v>
      </c>
      <c r="I27" s="1131">
        <f t="shared" si="19"/>
        <v>7130.0829245996811</v>
      </c>
      <c r="J27" s="1131">
        <f t="shared" si="19"/>
        <v>6905.9402672904898</v>
      </c>
      <c r="K27" s="1131">
        <f t="shared" si="19"/>
        <v>7017.540649667787</v>
      </c>
      <c r="L27" s="1131">
        <f t="shared" si="19"/>
        <v>7130.0055756416405</v>
      </c>
      <c r="M27" s="1131">
        <f t="shared" si="19"/>
        <v>7243.41688873761</v>
      </c>
      <c r="N27" s="1131">
        <f t="shared" si="19"/>
        <v>7357.8554507240842</v>
      </c>
      <c r="O27" s="1131">
        <f t="shared" si="19"/>
        <v>7473.4012779807144</v>
      </c>
      <c r="P27" s="1131">
        <f t="shared" si="19"/>
        <v>7590.1336736101384</v>
      </c>
      <c r="Q27" s="1131">
        <f t="shared" si="19"/>
        <v>7708.131355582158</v>
      </c>
      <c r="R27" s="1131">
        <f t="shared" si="19"/>
        <v>7827.4725811873459</v>
      </c>
      <c r="S27" s="1131">
        <f t="shared" si="19"/>
        <v>7948.2352680655586</v>
      </c>
      <c r="T27" s="1131">
        <f t="shared" si="19"/>
        <v>8070.4971120640139</v>
      </c>
      <c r="U27" s="1131">
        <f t="shared" si="19"/>
        <v>8194.3357021692918</v>
      </c>
      <c r="V27" s="1131">
        <f t="shared" si="19"/>
        <v>8319.8286327480473</v>
      </c>
      <c r="W27" s="1131">
        <f t="shared" si="19"/>
        <v>8447.0536133220794</v>
      </c>
      <c r="X27" s="1131">
        <f t="shared" si="19"/>
        <v>8576.0885760948568</v>
      </c>
      <c r="Y27" s="1131">
        <f t="shared" si="19"/>
        <v>8707.0117814385576</v>
      </c>
      <c r="Z27" s="1131">
        <f t="shared" si="19"/>
        <v>8839.9019215431454</v>
      </c>
    </row>
    <row r="28" spans="3:26">
      <c r="C28" s="1118"/>
      <c r="D28" s="1118"/>
      <c r="E28" s="1118"/>
      <c r="F28" s="1118"/>
      <c r="G28" s="1118"/>
      <c r="H28" s="1118"/>
      <c r="I28" s="1118"/>
      <c r="J28" s="1118"/>
      <c r="K28" s="1118"/>
      <c r="L28" s="1118"/>
      <c r="M28" s="1118"/>
      <c r="N28" s="1118"/>
      <c r="O28" s="1118"/>
      <c r="P28" s="1118"/>
      <c r="Q28" s="1118"/>
      <c r="R28" s="1118"/>
      <c r="S28" s="1118"/>
      <c r="T28" s="1118"/>
      <c r="U28" s="1118"/>
      <c r="V28" s="1118"/>
      <c r="W28" s="1118"/>
      <c r="X28" s="1118"/>
      <c r="Y28" s="1118"/>
      <c r="Z28" s="1118"/>
    </row>
    <row r="29" spans="3:26">
      <c r="C29" s="1023" t="s">
        <v>1130</v>
      </c>
      <c r="D29" s="1024"/>
      <c r="E29" s="1024"/>
      <c r="F29" s="1024"/>
      <c r="G29" s="1024"/>
      <c r="H29" s="1024"/>
      <c r="I29" s="1024"/>
      <c r="J29" s="1024"/>
      <c r="K29" s="1024"/>
      <c r="L29" s="1024"/>
      <c r="M29" s="1024"/>
      <c r="N29" s="1024"/>
      <c r="O29" s="1024"/>
      <c r="P29" s="1024"/>
      <c r="Q29" s="1024"/>
      <c r="R29" s="1024"/>
      <c r="S29" s="1024"/>
      <c r="T29" s="1024"/>
      <c r="U29" s="1024"/>
      <c r="V29" s="1024"/>
      <c r="W29" s="1024"/>
      <c r="X29" s="1024"/>
      <c r="Y29" s="1024"/>
      <c r="Z29" s="1024"/>
    </row>
    <row r="30" spans="3:26" outlineLevel="1">
      <c r="C30" s="1132" t="s">
        <v>463</v>
      </c>
      <c r="D30" s="1133"/>
      <c r="E30" s="1133"/>
      <c r="F30" s="1133"/>
      <c r="G30" s="1133"/>
      <c r="H30" s="1134"/>
      <c r="I30" s="1134"/>
      <c r="J30" s="1134"/>
      <c r="K30" s="1134"/>
      <c r="L30" s="1134"/>
      <c r="M30" s="1134"/>
      <c r="N30" s="1135">
        <f>N31</f>
        <v>0</v>
      </c>
      <c r="O30" s="1135">
        <f t="shared" ref="O30:Z30" si="20">O31</f>
        <v>0.1</v>
      </c>
      <c r="P30" s="1135">
        <f t="shared" si="20"/>
        <v>0.15</v>
      </c>
      <c r="Q30" s="1135">
        <f t="shared" si="20"/>
        <v>0.2</v>
      </c>
      <c r="R30" s="1135">
        <f t="shared" si="20"/>
        <v>0.22500000000000001</v>
      </c>
      <c r="S30" s="1135">
        <f t="shared" si="20"/>
        <v>0.25</v>
      </c>
      <c r="T30" s="1135">
        <f t="shared" si="20"/>
        <v>0.3</v>
      </c>
      <c r="U30" s="1135">
        <f t="shared" si="20"/>
        <v>0.3</v>
      </c>
      <c r="V30" s="1135">
        <f t="shared" si="20"/>
        <v>0.3</v>
      </c>
      <c r="W30" s="1135">
        <f t="shared" si="20"/>
        <v>0.3</v>
      </c>
      <c r="X30" s="1135">
        <f t="shared" si="20"/>
        <v>0.3</v>
      </c>
      <c r="Y30" s="1135">
        <f t="shared" si="20"/>
        <v>0.3</v>
      </c>
      <c r="Z30" s="1135">
        <f t="shared" si="20"/>
        <v>0.3</v>
      </c>
    </row>
    <row r="31" spans="3:26" outlineLevel="1">
      <c r="C31" s="1132" t="s">
        <v>464</v>
      </c>
      <c r="D31" s="1133"/>
      <c r="E31" s="1133"/>
      <c r="F31" s="1133"/>
      <c r="G31" s="1133"/>
      <c r="H31" s="1134"/>
      <c r="I31" s="1134"/>
      <c r="J31" s="1134"/>
      <c r="K31" s="1134"/>
      <c r="L31" s="1134"/>
      <c r="M31" s="1134"/>
      <c r="N31" s="1135">
        <v>0</v>
      </c>
      <c r="O31" s="1135">
        <v>0.1</v>
      </c>
      <c r="P31" s="1135">
        <v>0.15</v>
      </c>
      <c r="Q31" s="1135">
        <v>0.2</v>
      </c>
      <c r="R31" s="1135">
        <v>0.22500000000000001</v>
      </c>
      <c r="S31" s="1135">
        <v>0.25</v>
      </c>
      <c r="T31" s="1135">
        <v>0.3</v>
      </c>
      <c r="U31" s="1135">
        <v>0.3</v>
      </c>
      <c r="V31" s="1135">
        <v>0.3</v>
      </c>
      <c r="W31" s="1135">
        <v>0.3</v>
      </c>
      <c r="X31" s="1135">
        <v>0.3</v>
      </c>
      <c r="Y31" s="1135">
        <v>0.3</v>
      </c>
      <c r="Z31" s="1135">
        <v>0.3</v>
      </c>
    </row>
    <row r="32" spans="3:26" outlineLevel="1">
      <c r="C32" s="1132" t="s">
        <v>462</v>
      </c>
      <c r="D32" s="1133"/>
      <c r="E32" s="1133"/>
      <c r="F32" s="1133"/>
      <c r="G32" s="1133"/>
      <c r="H32" s="1134"/>
      <c r="I32" s="1134"/>
      <c r="J32" s="1134"/>
      <c r="K32" s="1134"/>
      <c r="L32" s="1134"/>
      <c r="M32" s="1134"/>
      <c r="N32" s="1135">
        <v>0</v>
      </c>
      <c r="O32" s="1135">
        <v>0</v>
      </c>
      <c r="P32" s="1135">
        <v>0</v>
      </c>
      <c r="Q32" s="1135">
        <v>0</v>
      </c>
      <c r="R32" s="1135">
        <v>0</v>
      </c>
      <c r="S32" s="1135">
        <v>0</v>
      </c>
      <c r="T32" s="1135">
        <v>0</v>
      </c>
      <c r="U32" s="1135">
        <v>0</v>
      </c>
      <c r="V32" s="1135">
        <v>0</v>
      </c>
      <c r="W32" s="1135">
        <v>0</v>
      </c>
      <c r="X32" s="1135">
        <v>0</v>
      </c>
      <c r="Y32" s="1135">
        <v>0</v>
      </c>
      <c r="Z32" s="1135">
        <v>0</v>
      </c>
    </row>
    <row r="33" spans="3:26">
      <c r="C33" s="1128" t="s">
        <v>1085</v>
      </c>
      <c r="D33" s="1118"/>
      <c r="E33" s="1118"/>
      <c r="F33" s="1118"/>
      <c r="G33" s="1118"/>
      <c r="H33" s="1126"/>
      <c r="I33" s="1126"/>
      <c r="J33" s="1126"/>
      <c r="K33" s="1126"/>
      <c r="L33" s="1126"/>
      <c r="M33" s="1126"/>
      <c r="N33" s="1126">
        <f t="shared" ref="N33:Z33" si="21">CHOOSE($S$105,N30,N31,N32)</f>
        <v>0</v>
      </c>
      <c r="O33" s="1126">
        <f t="shared" si="21"/>
        <v>0.1</v>
      </c>
      <c r="P33" s="1126">
        <f t="shared" si="21"/>
        <v>0.15</v>
      </c>
      <c r="Q33" s="1126">
        <f t="shared" si="21"/>
        <v>0.2</v>
      </c>
      <c r="R33" s="1126">
        <f t="shared" si="21"/>
        <v>0.22500000000000001</v>
      </c>
      <c r="S33" s="1126">
        <f t="shared" si="21"/>
        <v>0.25</v>
      </c>
      <c r="T33" s="1126">
        <f t="shared" si="21"/>
        <v>0.3</v>
      </c>
      <c r="U33" s="1126">
        <f t="shared" si="21"/>
        <v>0.3</v>
      </c>
      <c r="V33" s="1126">
        <f t="shared" si="21"/>
        <v>0.3</v>
      </c>
      <c r="W33" s="1126">
        <f t="shared" si="21"/>
        <v>0.3</v>
      </c>
      <c r="X33" s="1126">
        <f t="shared" si="21"/>
        <v>0.3</v>
      </c>
      <c r="Y33" s="1126">
        <f t="shared" si="21"/>
        <v>0.3</v>
      </c>
      <c r="Z33" s="1126">
        <f t="shared" si="21"/>
        <v>0.3</v>
      </c>
    </row>
    <row r="34" spans="3:26" hidden="1">
      <c r="C34" s="1136" t="s">
        <v>1085</v>
      </c>
      <c r="D34" s="1118"/>
      <c r="E34" s="1118"/>
      <c r="F34" s="1118"/>
      <c r="G34" s="1118"/>
      <c r="H34" s="1126"/>
      <c r="I34" s="1126"/>
      <c r="J34" s="1126"/>
      <c r="K34" s="1126"/>
      <c r="L34" s="1126"/>
      <c r="M34" s="1126"/>
      <c r="N34" s="1137"/>
      <c r="O34" s="1137"/>
      <c r="P34" s="1137"/>
      <c r="Q34" s="1137"/>
      <c r="R34" s="1137"/>
      <c r="S34" s="1137"/>
      <c r="T34" s="1137"/>
      <c r="U34" s="1137"/>
      <c r="V34" s="1137"/>
      <c r="W34" s="1137"/>
      <c r="X34" s="1137"/>
      <c r="Y34" s="1137"/>
      <c r="Z34" s="1137"/>
    </row>
    <row r="35" spans="3:26" hidden="1">
      <c r="C35" s="1136" t="s">
        <v>1086</v>
      </c>
      <c r="D35" s="1118"/>
      <c r="E35" s="1118"/>
      <c r="F35" s="1118"/>
      <c r="G35" s="1118"/>
      <c r="H35" s="1126"/>
      <c r="I35" s="1126"/>
      <c r="J35" s="1126"/>
      <c r="K35" s="1126"/>
      <c r="L35" s="1126"/>
      <c r="M35" s="1126"/>
      <c r="N35" s="1137"/>
      <c r="O35" s="1137"/>
      <c r="P35" s="1137"/>
      <c r="Q35" s="1137"/>
      <c r="R35" s="1137"/>
      <c r="S35" s="1137"/>
      <c r="T35" s="1137"/>
      <c r="U35" s="1137"/>
      <c r="V35" s="1137"/>
      <c r="W35" s="1137"/>
      <c r="X35" s="1137"/>
      <c r="Y35" s="1137"/>
      <c r="Z35" s="1137"/>
    </row>
    <row r="36" spans="3:26" hidden="1">
      <c r="C36" s="1136" t="s">
        <v>111</v>
      </c>
      <c r="D36" s="1118"/>
      <c r="E36" s="1118"/>
      <c r="F36" s="1118"/>
      <c r="G36" s="1118"/>
      <c r="H36" s="1126"/>
      <c r="I36" s="1126"/>
      <c r="J36" s="1126"/>
      <c r="K36" s="1126"/>
      <c r="L36" s="1126"/>
      <c r="M36" s="1126"/>
      <c r="N36" s="1126"/>
      <c r="O36" s="1126"/>
      <c r="P36" s="1126"/>
      <c r="Q36" s="1126"/>
      <c r="R36" s="1126"/>
      <c r="S36" s="1126"/>
      <c r="T36" s="1126"/>
      <c r="U36" s="1126"/>
      <c r="V36" s="1126"/>
      <c r="W36" s="1126"/>
      <c r="X36" s="1126"/>
      <c r="Y36" s="1126"/>
      <c r="Z36" s="1126"/>
    </row>
    <row r="37" spans="3:26">
      <c r="C37" s="1162" t="s">
        <v>1086</v>
      </c>
      <c r="D37" s="1118"/>
      <c r="E37" s="1118"/>
      <c r="F37" s="1118"/>
      <c r="G37" s="1118"/>
      <c r="H37" s="1126"/>
      <c r="I37" s="1126"/>
      <c r="J37" s="1126"/>
      <c r="K37" s="1126"/>
      <c r="L37" s="1126"/>
      <c r="M37" s="1126"/>
      <c r="N37" s="1126">
        <v>0.75</v>
      </c>
      <c r="O37" s="1126">
        <v>0.6</v>
      </c>
      <c r="P37" s="1126">
        <v>0.55000000000000004</v>
      </c>
      <c r="Q37" s="1126">
        <v>0.5</v>
      </c>
      <c r="R37" s="1126">
        <v>0.5</v>
      </c>
      <c r="S37" s="1126">
        <v>0.5</v>
      </c>
      <c r="T37" s="1126">
        <v>0.5</v>
      </c>
      <c r="U37" s="1126">
        <v>0.5</v>
      </c>
      <c r="V37" s="1126">
        <v>0.5</v>
      </c>
      <c r="W37" s="1126">
        <v>0.5</v>
      </c>
      <c r="X37" s="1126">
        <v>0.5</v>
      </c>
      <c r="Y37" s="1126">
        <v>0.5</v>
      </c>
      <c r="Z37" s="1126">
        <v>0.5</v>
      </c>
    </row>
    <row r="38" spans="3:26">
      <c r="C38" s="1162" t="s">
        <v>111</v>
      </c>
      <c r="D38" s="1118"/>
      <c r="E38" s="1118"/>
      <c r="F38" s="1118"/>
      <c r="G38" s="1118"/>
      <c r="H38" s="1126"/>
      <c r="I38" s="1126"/>
      <c r="J38" s="1126"/>
      <c r="K38" s="1126"/>
      <c r="L38" s="1126"/>
      <c r="M38" s="1126"/>
      <c r="N38" s="1126">
        <f>1-N33-N37</f>
        <v>0.25</v>
      </c>
      <c r="O38" s="1126">
        <f t="shared" ref="O38:Z38" si="22">1-O33-O37</f>
        <v>0.30000000000000004</v>
      </c>
      <c r="P38" s="1126">
        <f t="shared" si="22"/>
        <v>0.29999999999999993</v>
      </c>
      <c r="Q38" s="1126">
        <f t="shared" si="22"/>
        <v>0.30000000000000004</v>
      </c>
      <c r="R38" s="1126">
        <f t="shared" si="22"/>
        <v>0.27500000000000002</v>
      </c>
      <c r="S38" s="1126">
        <f t="shared" si="22"/>
        <v>0.25</v>
      </c>
      <c r="T38" s="1126">
        <f t="shared" si="22"/>
        <v>0.19999999999999996</v>
      </c>
      <c r="U38" s="1126">
        <f t="shared" si="22"/>
        <v>0.19999999999999996</v>
      </c>
      <c r="V38" s="1126">
        <f t="shared" si="22"/>
        <v>0.19999999999999996</v>
      </c>
      <c r="W38" s="1126">
        <f t="shared" si="22"/>
        <v>0.19999999999999996</v>
      </c>
      <c r="X38" s="1126">
        <f t="shared" si="22"/>
        <v>0.19999999999999996</v>
      </c>
      <c r="Y38" s="1126">
        <f t="shared" si="22"/>
        <v>0.19999999999999996</v>
      </c>
      <c r="Z38" s="1126">
        <f t="shared" si="22"/>
        <v>0.19999999999999996</v>
      </c>
    </row>
    <row r="39" spans="3:26" hidden="1" outlineLevel="1">
      <c r="C39" s="1132" t="s">
        <v>463</v>
      </c>
      <c r="D39" s="1133"/>
      <c r="E39" s="1133"/>
      <c r="F39" s="1133"/>
      <c r="G39" s="1133"/>
      <c r="H39" s="1134"/>
      <c r="I39" s="1134"/>
      <c r="J39" s="1134"/>
      <c r="K39" s="1134"/>
      <c r="L39" s="1134"/>
      <c r="M39" s="1134"/>
      <c r="N39" s="1135">
        <v>0.125</v>
      </c>
      <c r="O39" s="1135">
        <v>0.25</v>
      </c>
      <c r="P39" s="1135">
        <v>0.4375</v>
      </c>
      <c r="Q39" s="1135">
        <v>0.65625</v>
      </c>
      <c r="R39" s="1135">
        <v>0.91874999999999996</v>
      </c>
      <c r="S39" s="1135">
        <v>1.1024999999999998</v>
      </c>
      <c r="T39" s="1135">
        <v>1.1300624999999997</v>
      </c>
      <c r="U39" s="1135">
        <v>1.1300624999999997</v>
      </c>
      <c r="V39" s="1135">
        <v>1.1300624999999997</v>
      </c>
      <c r="W39" s="1135">
        <v>1.1300624999999997</v>
      </c>
      <c r="X39" s="1135">
        <v>1.1300624999999997</v>
      </c>
      <c r="Y39" s="1135">
        <v>1.1300624999999997</v>
      </c>
      <c r="Z39" s="1135">
        <v>1.1300624999999997</v>
      </c>
    </row>
    <row r="40" spans="3:26" hidden="1" outlineLevel="1">
      <c r="C40" s="1132" t="s">
        <v>464</v>
      </c>
      <c r="D40" s="1133"/>
      <c r="E40" s="1133"/>
      <c r="F40" s="1133"/>
      <c r="G40" s="1133"/>
      <c r="H40" s="1134"/>
      <c r="I40" s="1134"/>
      <c r="J40" s="1134"/>
      <c r="K40" s="1134"/>
      <c r="L40" s="1134"/>
      <c r="M40" s="1134"/>
      <c r="N40" s="1135">
        <v>0.125</v>
      </c>
      <c r="O40" s="1135">
        <v>0.25</v>
      </c>
      <c r="P40" s="1135">
        <v>0.4375</v>
      </c>
      <c r="Q40" s="1135">
        <v>0.65625</v>
      </c>
      <c r="R40" s="1135">
        <v>0.91874999999999996</v>
      </c>
      <c r="S40" s="1135">
        <v>1.1024999999999998</v>
      </c>
      <c r="T40" s="1135">
        <v>1.1300624999999997</v>
      </c>
      <c r="U40" s="1135">
        <v>1.1300624999999997</v>
      </c>
      <c r="V40" s="1135">
        <v>1.1300624999999997</v>
      </c>
      <c r="W40" s="1135">
        <v>1.1300624999999997</v>
      </c>
      <c r="X40" s="1135">
        <v>1.1300624999999997</v>
      </c>
      <c r="Y40" s="1135">
        <v>1.1300624999999997</v>
      </c>
      <c r="Z40" s="1135">
        <v>1.1300624999999997</v>
      </c>
    </row>
    <row r="41" spans="3:26" hidden="1" outlineLevel="1">
      <c r="C41" s="1132" t="s">
        <v>462</v>
      </c>
      <c r="D41" s="1133"/>
      <c r="E41" s="1133"/>
      <c r="F41" s="1133"/>
      <c r="G41" s="1133"/>
      <c r="H41" s="1134"/>
      <c r="I41" s="1134"/>
      <c r="J41" s="1134"/>
      <c r="K41" s="1134"/>
      <c r="L41" s="1134"/>
      <c r="M41" s="1134"/>
      <c r="N41" s="1135">
        <v>0</v>
      </c>
      <c r="O41" s="1135">
        <v>0</v>
      </c>
      <c r="P41" s="1135">
        <v>0</v>
      </c>
      <c r="Q41" s="1135">
        <v>0</v>
      </c>
      <c r="R41" s="1135">
        <v>0</v>
      </c>
      <c r="S41" s="1135">
        <v>0</v>
      </c>
      <c r="T41" s="1135">
        <v>0</v>
      </c>
      <c r="U41" s="1135">
        <v>0</v>
      </c>
      <c r="V41" s="1135">
        <v>0</v>
      </c>
      <c r="W41" s="1135">
        <v>0</v>
      </c>
      <c r="X41" s="1135">
        <v>0</v>
      </c>
      <c r="Y41" s="1135">
        <v>0</v>
      </c>
      <c r="Z41" s="1135">
        <v>0</v>
      </c>
    </row>
    <row r="42" spans="3:26" collapsed="1">
      <c r="C42" s="1128" t="s">
        <v>1087</v>
      </c>
      <c r="D42" s="1118"/>
      <c r="E42" s="1118"/>
      <c r="F42" s="1118"/>
      <c r="G42" s="1118"/>
      <c r="H42" s="1125"/>
      <c r="I42" s="1118"/>
      <c r="J42" s="1118"/>
      <c r="K42" s="1118"/>
      <c r="L42" s="1118"/>
      <c r="M42" s="1118"/>
      <c r="N42" s="1125">
        <f t="shared" ref="N42:Z42" si="23">CHOOSE($S$105,N39,N40,N41)</f>
        <v>0.125</v>
      </c>
      <c r="O42" s="1125">
        <f t="shared" si="23"/>
        <v>0.25</v>
      </c>
      <c r="P42" s="1125">
        <f t="shared" si="23"/>
        <v>0.4375</v>
      </c>
      <c r="Q42" s="1125">
        <f t="shared" si="23"/>
        <v>0.65625</v>
      </c>
      <c r="R42" s="1126">
        <f t="shared" si="23"/>
        <v>0.91874999999999996</v>
      </c>
      <c r="S42" s="1126">
        <f t="shared" si="23"/>
        <v>1.1024999999999998</v>
      </c>
      <c r="T42" s="1126">
        <f t="shared" si="23"/>
        <v>1.1300624999999997</v>
      </c>
      <c r="U42" s="1126">
        <f t="shared" si="23"/>
        <v>1.1300624999999997</v>
      </c>
      <c r="V42" s="1126">
        <f t="shared" si="23"/>
        <v>1.1300624999999997</v>
      </c>
      <c r="W42" s="1126">
        <f t="shared" si="23"/>
        <v>1.1300624999999997</v>
      </c>
      <c r="X42" s="1126">
        <f t="shared" si="23"/>
        <v>1.1300624999999997</v>
      </c>
      <c r="Y42" s="1126">
        <f t="shared" si="23"/>
        <v>1.1300624999999997</v>
      </c>
      <c r="Z42" s="1126">
        <f t="shared" si="23"/>
        <v>1.1300624999999997</v>
      </c>
    </row>
    <row r="43" spans="3:26">
      <c r="C43" s="1118"/>
      <c r="D43" s="1118"/>
      <c r="E43" s="1118"/>
      <c r="F43" s="1118"/>
      <c r="G43" s="1118"/>
      <c r="H43" s="1118"/>
      <c r="I43" s="1118"/>
      <c r="J43" s="1118"/>
      <c r="K43" s="1118"/>
      <c r="L43" s="1118"/>
      <c r="M43" s="1118"/>
      <c r="N43" s="1118"/>
      <c r="O43" s="1118"/>
      <c r="P43" s="1118"/>
      <c r="Q43" s="1118"/>
      <c r="R43" s="1118"/>
      <c r="S43" s="1118"/>
      <c r="T43" s="1118"/>
      <c r="U43" s="1118"/>
      <c r="V43" s="1118"/>
      <c r="W43" s="1118"/>
      <c r="X43" s="1118"/>
      <c r="Y43" s="1118"/>
      <c r="Z43" s="1118"/>
    </row>
    <row r="44" spans="3:26">
      <c r="C44" s="1118" t="s">
        <v>1088</v>
      </c>
      <c r="D44" s="1118"/>
      <c r="E44" s="1118"/>
      <c r="F44" s="1118"/>
      <c r="G44" s="1118"/>
      <c r="H44" s="1118"/>
      <c r="I44" s="1118"/>
      <c r="J44" s="1118"/>
      <c r="K44" s="1118"/>
      <c r="L44" s="1118"/>
      <c r="M44" s="1118"/>
      <c r="N44" s="1118">
        <f>S110</f>
        <v>1</v>
      </c>
      <c r="O44" s="1118">
        <f>N44</f>
        <v>1</v>
      </c>
      <c r="P44" s="1118">
        <f>O44</f>
        <v>1</v>
      </c>
      <c r="Q44" s="1118">
        <f t="shared" ref="Q44:Z44" si="24">P44</f>
        <v>1</v>
      </c>
      <c r="R44" s="1118">
        <f t="shared" si="24"/>
        <v>1</v>
      </c>
      <c r="S44" s="1118">
        <f t="shared" si="24"/>
        <v>1</v>
      </c>
      <c r="T44" s="1118">
        <f t="shared" si="24"/>
        <v>1</v>
      </c>
      <c r="U44" s="1118">
        <f t="shared" si="24"/>
        <v>1</v>
      </c>
      <c r="V44" s="1118">
        <f t="shared" si="24"/>
        <v>1</v>
      </c>
      <c r="W44" s="1118">
        <f t="shared" si="24"/>
        <v>1</v>
      </c>
      <c r="X44" s="1118">
        <f t="shared" si="24"/>
        <v>1</v>
      </c>
      <c r="Y44" s="1118">
        <f t="shared" si="24"/>
        <v>1</v>
      </c>
      <c r="Z44" s="1118">
        <f t="shared" si="24"/>
        <v>1</v>
      </c>
    </row>
    <row r="45" spans="3:26">
      <c r="C45" s="1118"/>
      <c r="D45" s="1118"/>
      <c r="E45" s="1118"/>
      <c r="F45" s="1118"/>
      <c r="G45" s="1118"/>
      <c r="H45" s="1118"/>
      <c r="I45" s="1118"/>
      <c r="J45" s="1118"/>
      <c r="K45" s="1118"/>
      <c r="L45" s="1118"/>
      <c r="M45" s="1118"/>
      <c r="N45" s="1118"/>
      <c r="O45" s="1118"/>
      <c r="P45" s="1118"/>
      <c r="Q45" s="1118"/>
      <c r="R45" s="1118"/>
      <c r="S45" s="1118"/>
      <c r="T45" s="1118"/>
      <c r="U45" s="1118"/>
      <c r="V45" s="1118"/>
      <c r="W45" s="1118"/>
      <c r="X45" s="1118"/>
      <c r="Y45" s="1118"/>
      <c r="Z45" s="1118"/>
    </row>
    <row r="46" spans="3:26">
      <c r="C46" s="1138" t="s">
        <v>1089</v>
      </c>
      <c r="D46" s="1118"/>
      <c r="E46" s="1118"/>
      <c r="F46" s="1118"/>
      <c r="G46" s="1118"/>
      <c r="H46" s="1118"/>
      <c r="I46" s="1118"/>
      <c r="J46" s="1139"/>
      <c r="K46" s="1121"/>
      <c r="L46" s="1121"/>
      <c r="M46" s="1121"/>
      <c r="N46" s="1140">
        <v>325</v>
      </c>
      <c r="O46" s="1140">
        <v>325</v>
      </c>
      <c r="P46" s="1140">
        <v>325</v>
      </c>
      <c r="Q46" s="1140">
        <v>325</v>
      </c>
      <c r="R46" s="1140">
        <v>325</v>
      </c>
      <c r="S46" s="1140">
        <v>325</v>
      </c>
      <c r="T46" s="1140">
        <v>325</v>
      </c>
      <c r="U46" s="1140">
        <v>325</v>
      </c>
      <c r="V46" s="1140">
        <v>325</v>
      </c>
      <c r="W46" s="1140">
        <v>325</v>
      </c>
      <c r="X46" s="1140">
        <v>325</v>
      </c>
      <c r="Y46" s="1140">
        <v>325</v>
      </c>
      <c r="Z46" s="1140">
        <v>325</v>
      </c>
    </row>
    <row r="47" spans="3:26">
      <c r="C47" s="1141" t="s">
        <v>368</v>
      </c>
      <c r="D47" s="1142"/>
      <c r="E47" s="1142"/>
      <c r="F47" s="1142"/>
      <c r="G47" s="1142"/>
      <c r="H47" s="1142"/>
      <c r="I47" s="1142"/>
      <c r="J47" s="1142"/>
      <c r="K47" s="1143"/>
      <c r="L47" s="1144"/>
      <c r="M47" s="1144"/>
      <c r="N47" s="1144"/>
      <c r="O47" s="1145">
        <f>O46/N46-1</f>
        <v>0</v>
      </c>
      <c r="P47" s="1145">
        <f t="shared" ref="P47:Z47" si="25">P46/O46-1</f>
        <v>0</v>
      </c>
      <c r="Q47" s="1145">
        <f t="shared" si="25"/>
        <v>0</v>
      </c>
      <c r="R47" s="1145">
        <f t="shared" si="25"/>
        <v>0</v>
      </c>
      <c r="S47" s="1145">
        <f t="shared" si="25"/>
        <v>0</v>
      </c>
      <c r="T47" s="1145">
        <f t="shared" si="25"/>
        <v>0</v>
      </c>
      <c r="U47" s="1145">
        <f t="shared" si="25"/>
        <v>0</v>
      </c>
      <c r="V47" s="1145">
        <f t="shared" si="25"/>
        <v>0</v>
      </c>
      <c r="W47" s="1145">
        <f t="shared" si="25"/>
        <v>0</v>
      </c>
      <c r="X47" s="1145">
        <f t="shared" si="25"/>
        <v>0</v>
      </c>
      <c r="Y47" s="1145">
        <f t="shared" si="25"/>
        <v>0</v>
      </c>
      <c r="Z47" s="1145">
        <f t="shared" si="25"/>
        <v>0</v>
      </c>
    </row>
    <row r="48" spans="3:26">
      <c r="C48" s="1141"/>
      <c r="D48" s="1142"/>
      <c r="E48" s="1142"/>
      <c r="F48" s="1142"/>
      <c r="G48" s="1142"/>
      <c r="H48" s="1142"/>
      <c r="I48" s="1142"/>
      <c r="J48" s="1142"/>
      <c r="K48" s="1143"/>
      <c r="L48" s="1144"/>
      <c r="M48" s="1144"/>
      <c r="N48" s="1144"/>
      <c r="O48" s="1144"/>
      <c r="P48" s="1144"/>
      <c r="Q48" s="1144"/>
      <c r="R48" s="1144"/>
      <c r="S48" s="1144"/>
      <c r="T48" s="1144"/>
      <c r="U48" s="1144"/>
      <c r="V48" s="1144"/>
      <c r="W48" s="1144"/>
      <c r="X48" s="1144"/>
      <c r="Y48" s="1144"/>
      <c r="Z48" s="1144"/>
    </row>
    <row r="49" spans="2:28" ht="15.75" thickBot="1">
      <c r="B49" s="1166" t="s">
        <v>78</v>
      </c>
      <c r="C49" s="1167" t="s">
        <v>1131</v>
      </c>
      <c r="D49" s="1168"/>
      <c r="E49" s="1168"/>
      <c r="F49" s="1168"/>
      <c r="G49" s="1168"/>
      <c r="H49" s="1168"/>
      <c r="I49" s="1168"/>
      <c r="J49" s="1169"/>
      <c r="K49" s="1169"/>
      <c r="L49" s="1169"/>
      <c r="M49" s="1169"/>
      <c r="N49" s="1170">
        <f t="shared" ref="N49:Z49" si="26">N33*N44*N46*N27*N42/1000</f>
        <v>0</v>
      </c>
      <c r="O49" s="1170">
        <f t="shared" si="26"/>
        <v>60.721385383593301</v>
      </c>
      <c r="P49" s="1170">
        <f t="shared" si="26"/>
        <v>161.88331975746624</v>
      </c>
      <c r="Q49" s="1170">
        <f t="shared" si="26"/>
        <v>328.79997813655143</v>
      </c>
      <c r="R49" s="1170">
        <f t="shared" si="26"/>
        <v>525.87773798375451</v>
      </c>
      <c r="S49" s="1170">
        <f t="shared" si="26"/>
        <v>711.98801237218504</v>
      </c>
      <c r="T49" s="1170">
        <f t="shared" si="26"/>
        <v>889.21619891342914</v>
      </c>
      <c r="U49" s="1170">
        <f t="shared" si="26"/>
        <v>902.86087021968649</v>
      </c>
      <c r="V49" s="1170">
        <f t="shared" si="26"/>
        <v>916.68781856874671</v>
      </c>
      <c r="W49" s="1170">
        <f t="shared" si="26"/>
        <v>930.70560608071605</v>
      </c>
      <c r="X49" s="1170">
        <f t="shared" si="26"/>
        <v>944.92281941101123</v>
      </c>
      <c r="Y49" s="1170">
        <f t="shared" si="26"/>
        <v>959.34808137303594</v>
      </c>
      <c r="Z49" s="1170">
        <f t="shared" si="26"/>
        <v>973.99006235835031</v>
      </c>
    </row>
    <row r="50" spans="2:28" ht="15.75" hidden="1" outlineLevel="1" thickTop="1">
      <c r="C50" s="1118"/>
      <c r="D50" s="1118"/>
      <c r="E50" s="1118"/>
      <c r="F50" s="1118"/>
      <c r="G50" s="1118"/>
      <c r="H50" s="1118"/>
      <c r="I50" s="1118"/>
      <c r="J50" s="1118"/>
      <c r="K50" s="1118"/>
      <c r="L50" s="1118"/>
      <c r="M50" s="1118"/>
      <c r="N50" s="1118"/>
      <c r="O50" s="1118"/>
      <c r="P50" s="1118"/>
      <c r="Q50" s="1118"/>
      <c r="R50" s="1118"/>
      <c r="S50" s="1118"/>
      <c r="T50" s="1118"/>
      <c r="U50" s="1118"/>
      <c r="V50" s="1118"/>
      <c r="W50" s="1118"/>
      <c r="X50" s="1118"/>
      <c r="Y50" s="1118"/>
      <c r="Z50" s="1118"/>
    </row>
    <row r="51" spans="2:28" hidden="1" outlineLevel="1">
      <c r="C51" s="1118"/>
      <c r="D51" s="1118"/>
      <c r="E51" s="1118"/>
      <c r="F51" s="1118"/>
      <c r="G51" s="1118"/>
      <c r="H51" s="1118"/>
      <c r="I51" s="1118"/>
      <c r="J51" s="1118"/>
      <c r="K51" s="1118"/>
      <c r="L51" s="1118"/>
      <c r="M51" s="1118"/>
      <c r="N51" s="1118"/>
      <c r="O51" s="1118"/>
      <c r="P51" s="1118"/>
      <c r="Q51" s="1118"/>
      <c r="R51" s="1118"/>
      <c r="S51" s="1118"/>
      <c r="T51" s="1118"/>
      <c r="U51" s="1118"/>
      <c r="V51" s="1118"/>
      <c r="W51" s="1118"/>
      <c r="X51" s="1118"/>
      <c r="Y51" s="1118"/>
      <c r="Z51" s="1118"/>
    </row>
    <row r="52" spans="2:28" hidden="1" outlineLevel="1">
      <c r="C52" s="1118" t="s">
        <v>1132</v>
      </c>
      <c r="D52" s="1118"/>
      <c r="E52" s="1118"/>
      <c r="F52" s="1118"/>
      <c r="G52" s="1118"/>
      <c r="H52" s="1146">
        <f>H6/H5</f>
        <v>0.24922118380062305</v>
      </c>
      <c r="I52" s="1146">
        <f>H52*0.98</f>
        <v>0.2442367601246106</v>
      </c>
      <c r="J52" s="1146">
        <f t="shared" ref="J52:Z52" si="27">I52*0.98</f>
        <v>0.23935202492211838</v>
      </c>
      <c r="K52" s="1146">
        <f t="shared" si="27"/>
        <v>0.23456498442367602</v>
      </c>
      <c r="L52" s="1146">
        <f t="shared" si="27"/>
        <v>0.22987368473520248</v>
      </c>
      <c r="M52" s="1146">
        <f t="shared" si="27"/>
        <v>0.22527621104049841</v>
      </c>
      <c r="N52" s="1146">
        <f t="shared" si="27"/>
        <v>0.22077068681968845</v>
      </c>
      <c r="O52" s="1146">
        <f t="shared" si="27"/>
        <v>0.21635527308329466</v>
      </c>
      <c r="P52" s="1146">
        <f t="shared" si="27"/>
        <v>0.21202816762162877</v>
      </c>
      <c r="Q52" s="1146">
        <f t="shared" si="27"/>
        <v>0.20778760426919618</v>
      </c>
      <c r="R52" s="1146">
        <f t="shared" si="27"/>
        <v>0.20363185218381225</v>
      </c>
      <c r="S52" s="1146">
        <f t="shared" si="27"/>
        <v>0.199559215140136</v>
      </c>
      <c r="T52" s="1146">
        <f t="shared" si="27"/>
        <v>0.19556803083733326</v>
      </c>
      <c r="U52" s="1146">
        <f t="shared" si="27"/>
        <v>0.19165667022058661</v>
      </c>
      <c r="V52" s="1146">
        <f t="shared" si="27"/>
        <v>0.18782353681617486</v>
      </c>
      <c r="W52" s="1146">
        <f t="shared" si="27"/>
        <v>0.18406706607985135</v>
      </c>
      <c r="X52" s="1146">
        <f t="shared" si="27"/>
        <v>0.18038572475825432</v>
      </c>
      <c r="Y52" s="1146">
        <f t="shared" si="27"/>
        <v>0.17677801026308923</v>
      </c>
      <c r="Z52" s="1146">
        <f t="shared" si="27"/>
        <v>0.17324245005782743</v>
      </c>
    </row>
    <row r="53" spans="2:28" ht="15.75" collapsed="1" thickTop="1">
      <c r="C53" s="1118"/>
      <c r="D53" s="1118"/>
      <c r="E53" s="1118"/>
      <c r="F53" s="1118"/>
      <c r="G53" s="1118"/>
      <c r="H53" s="1146"/>
      <c r="I53" s="1146"/>
      <c r="J53" s="1146"/>
      <c r="K53" s="1146"/>
      <c r="L53" s="1146"/>
      <c r="M53" s="1146"/>
      <c r="N53" s="1146"/>
      <c r="O53" s="1146"/>
      <c r="P53" s="1146"/>
      <c r="Q53" s="1146"/>
      <c r="R53" s="1146"/>
      <c r="S53" s="1146"/>
      <c r="T53" s="1146"/>
      <c r="U53" s="1146"/>
      <c r="V53" s="1146"/>
      <c r="W53" s="1146"/>
      <c r="X53" s="1146"/>
      <c r="Y53" s="1146"/>
      <c r="Z53" s="1146"/>
    </row>
    <row r="54" spans="2:28" s="1022" customFormat="1" ht="12.75">
      <c r="C54" s="1021"/>
      <c r="D54" s="1021">
        <v>2008</v>
      </c>
      <c r="E54" s="1021">
        <f>D54+1</f>
        <v>2009</v>
      </c>
      <c r="F54" s="1021">
        <f t="shared" ref="F54:V54" si="28">E54+1</f>
        <v>2010</v>
      </c>
      <c r="G54" s="1021">
        <f t="shared" si="28"/>
        <v>2011</v>
      </c>
      <c r="H54" s="1021">
        <f t="shared" si="28"/>
        <v>2012</v>
      </c>
      <c r="I54" s="1021">
        <f t="shared" si="28"/>
        <v>2013</v>
      </c>
      <c r="J54" s="1021">
        <f t="shared" si="28"/>
        <v>2014</v>
      </c>
      <c r="K54" s="1021">
        <f t="shared" si="28"/>
        <v>2015</v>
      </c>
      <c r="L54" s="1021">
        <f t="shared" si="28"/>
        <v>2016</v>
      </c>
      <c r="M54" s="1021">
        <f t="shared" si="28"/>
        <v>2017</v>
      </c>
      <c r="N54" s="1021">
        <f t="shared" si="28"/>
        <v>2018</v>
      </c>
      <c r="O54" s="1021">
        <f t="shared" si="28"/>
        <v>2019</v>
      </c>
      <c r="P54" s="1021">
        <f t="shared" si="28"/>
        <v>2020</v>
      </c>
      <c r="Q54" s="1021">
        <f t="shared" si="28"/>
        <v>2021</v>
      </c>
      <c r="R54" s="1021">
        <f t="shared" si="28"/>
        <v>2022</v>
      </c>
      <c r="S54" s="1021">
        <f t="shared" si="28"/>
        <v>2023</v>
      </c>
      <c r="T54" s="1021">
        <f t="shared" si="28"/>
        <v>2024</v>
      </c>
      <c r="U54" s="1021">
        <f t="shared" si="28"/>
        <v>2025</v>
      </c>
      <c r="V54" s="1021">
        <f t="shared" si="28"/>
        <v>2026</v>
      </c>
      <c r="W54" s="1021">
        <f>V54+1</f>
        <v>2027</v>
      </c>
      <c r="X54" s="1021">
        <f>W54+1</f>
        <v>2028</v>
      </c>
      <c r="Y54" s="1021">
        <f>X54+1</f>
        <v>2029</v>
      </c>
      <c r="Z54" s="1021">
        <f>Y54+1</f>
        <v>2030</v>
      </c>
    </row>
    <row r="55" spans="2:28" s="1022" customFormat="1" ht="12.75">
      <c r="B55" s="1166" t="s">
        <v>78</v>
      </c>
      <c r="C55" s="1023" t="s">
        <v>1134</v>
      </c>
      <c r="D55" s="1024"/>
      <c r="E55" s="1024"/>
      <c r="F55" s="1024"/>
      <c r="G55" s="1024"/>
      <c r="H55" s="1024"/>
      <c r="I55" s="1024"/>
      <c r="J55" s="1024"/>
      <c r="K55" s="1024"/>
      <c r="L55" s="1024"/>
      <c r="M55" s="1024"/>
      <c r="N55" s="1024"/>
      <c r="O55" s="1024"/>
      <c r="P55" s="1024"/>
      <c r="Q55" s="1024"/>
      <c r="R55" s="1024"/>
      <c r="S55" s="1024"/>
      <c r="T55" s="1024"/>
      <c r="U55" s="1024"/>
      <c r="V55" s="1024"/>
      <c r="W55" s="1024"/>
      <c r="X55" s="1024"/>
      <c r="Y55" s="1024"/>
      <c r="Z55" s="1024"/>
    </row>
    <row r="56" spans="2:28" s="1022" customFormat="1" ht="12.75">
      <c r="C56" s="1022" t="s">
        <v>434</v>
      </c>
      <c r="D56" s="1025">
        <f>E56-D57+D58+D59</f>
        <v>104311.97347222635</v>
      </c>
      <c r="E56" s="1025">
        <f>F56-E57+E58+E59</f>
        <v>118465.562736465</v>
      </c>
      <c r="F56" s="1025">
        <f>G56-F57+F58+F59</f>
        <v>133452.33451668394</v>
      </c>
      <c r="G56" s="1025">
        <f>H56-G57+G58+G59</f>
        <v>149290.75242718446</v>
      </c>
      <c r="H56" s="1026">
        <v>166000</v>
      </c>
      <c r="I56" s="1025">
        <f>H56+H57-H58-H59</f>
        <v>183600</v>
      </c>
      <c r="J56" s="1025">
        <f t="shared" ref="J56:V56" si="29">I56+I57-I58-I59</f>
        <v>201241.2</v>
      </c>
      <c r="K56" s="1025">
        <f t="shared" si="29"/>
        <v>218950.53148000001</v>
      </c>
      <c r="L56" s="1025">
        <f t="shared" si="29"/>
        <v>236754.46183191202</v>
      </c>
      <c r="M56" s="1025">
        <f t="shared" si="29"/>
        <v>254679.044158312</v>
      </c>
      <c r="N56" s="1025">
        <f t="shared" si="29"/>
        <v>272749.96538021055</v>
      </c>
      <c r="O56" s="1025">
        <f t="shared" si="29"/>
        <v>290992.59276237054</v>
      </c>
      <c r="P56" s="1025">
        <f t="shared" si="29"/>
        <v>309432.01895999303</v>
      </c>
      <c r="Q56" s="1025">
        <f t="shared" si="29"/>
        <v>328093.10568614345</v>
      </c>
      <c r="R56" s="1025">
        <f t="shared" si="29"/>
        <v>347000.52609508293</v>
      </c>
      <c r="S56" s="1025">
        <f t="shared" si="29"/>
        <v>366178.80597270041</v>
      </c>
      <c r="T56" s="1025">
        <f t="shared" si="29"/>
        <v>385652.36382148799</v>
      </c>
      <c r="U56" s="1025">
        <f t="shared" si="29"/>
        <v>405445.54992396681</v>
      </c>
      <c r="V56" s="1025">
        <f t="shared" si="29"/>
        <v>425582.68446513219</v>
      </c>
      <c r="W56" s="1025">
        <f>V56+V57-V58-V59</f>
        <v>446088.09479134518</v>
      </c>
      <c r="X56" s="1025">
        <f>W56+W57-W58-W59</f>
        <v>466986.15188013582</v>
      </c>
      <c r="Y56" s="1025">
        <f>X56+X57-X58-X59</f>
        <v>488301.30609260057</v>
      </c>
      <c r="Z56" s="1025">
        <f>Y56+Y57-Y58-Y59</f>
        <v>510058.12227745767</v>
      </c>
      <c r="AB56" s="1022" t="s">
        <v>1135</v>
      </c>
    </row>
    <row r="57" spans="2:28" s="1022" customFormat="1" ht="12.75">
      <c r="C57" s="1022" t="s">
        <v>100</v>
      </c>
      <c r="D57" s="1025">
        <f>E57/1.03</f>
        <v>29231.223876426164</v>
      </c>
      <c r="E57" s="1025">
        <f>F57/1.03</f>
        <v>30108.160592718948</v>
      </c>
      <c r="F57" s="1025">
        <f>G57/1.03</f>
        <v>31011.405410500516</v>
      </c>
      <c r="G57" s="1025">
        <f>H57/1.03</f>
        <v>31941.747572815533</v>
      </c>
      <c r="H57" s="1026">
        <v>32900</v>
      </c>
      <c r="I57" s="1025">
        <f>H57*1.03</f>
        <v>33887</v>
      </c>
      <c r="J57" s="1025">
        <f t="shared" ref="J57:V57" si="30">I57*1.03</f>
        <v>34903.61</v>
      </c>
      <c r="K57" s="1025">
        <f t="shared" si="30"/>
        <v>35950.7183</v>
      </c>
      <c r="L57" s="1025">
        <f t="shared" si="30"/>
        <v>37029.239849000005</v>
      </c>
      <c r="M57" s="1025">
        <f t="shared" si="30"/>
        <v>38140.117044470004</v>
      </c>
      <c r="N57" s="1025">
        <f t="shared" si="30"/>
        <v>39284.320555804108</v>
      </c>
      <c r="O57" s="1025">
        <f t="shared" si="30"/>
        <v>40462.850172478233</v>
      </c>
      <c r="P57" s="1025">
        <f t="shared" si="30"/>
        <v>41676.735677652578</v>
      </c>
      <c r="Q57" s="1025">
        <f t="shared" si="30"/>
        <v>42927.037747982155</v>
      </c>
      <c r="R57" s="1025">
        <f t="shared" si="30"/>
        <v>44214.848880421618</v>
      </c>
      <c r="S57" s="1025">
        <f t="shared" si="30"/>
        <v>45541.294346834271</v>
      </c>
      <c r="T57" s="1025">
        <f t="shared" si="30"/>
        <v>46907.533177239304</v>
      </c>
      <c r="U57" s="1025">
        <f t="shared" si="30"/>
        <v>48314.759172556485</v>
      </c>
      <c r="V57" s="1025">
        <f t="shared" si="30"/>
        <v>49764.201947733178</v>
      </c>
      <c r="W57" s="1025">
        <f>V57*1.03</f>
        <v>51257.128006165178</v>
      </c>
      <c r="X57" s="1025">
        <f>W57*1.03</f>
        <v>52794.841846350137</v>
      </c>
      <c r="Y57" s="1025">
        <f>X57*1.03</f>
        <v>54378.687101740645</v>
      </c>
      <c r="Z57" s="1025">
        <f>Y57*1.03</f>
        <v>56010.047714792869</v>
      </c>
      <c r="AB57" s="1022" t="s">
        <v>1121</v>
      </c>
    </row>
    <row r="58" spans="2:28" s="1022" customFormat="1" ht="12.75">
      <c r="C58" s="1022" t="s">
        <v>101</v>
      </c>
      <c r="D58" s="1025">
        <f>E58*1.02</f>
        <v>7577.0251200000002</v>
      </c>
      <c r="E58" s="1025">
        <f>F58*1.02</f>
        <v>7428.4560000000001</v>
      </c>
      <c r="F58" s="1025">
        <f>G58*1.02</f>
        <v>7282.8</v>
      </c>
      <c r="G58" s="1025">
        <f>H58*1.02</f>
        <v>7140</v>
      </c>
      <c r="H58" s="1026">
        <v>7000</v>
      </c>
      <c r="I58" s="1025">
        <f t="shared" ref="I58:Z58" si="31">I57*I100</f>
        <v>7065.8</v>
      </c>
      <c r="J58" s="1025">
        <f t="shared" si="31"/>
        <v>7132.2185200000004</v>
      </c>
      <c r="K58" s="1025">
        <f t="shared" si="31"/>
        <v>7199.2613740879997</v>
      </c>
      <c r="L58" s="1025">
        <f t="shared" si="31"/>
        <v>7266.9344310044271</v>
      </c>
      <c r="M58" s="1025">
        <f t="shared" si="31"/>
        <v>7335.2436146558684</v>
      </c>
      <c r="N58" s="1025">
        <f t="shared" si="31"/>
        <v>7404.1949046336349</v>
      </c>
      <c r="O58" s="1025">
        <f t="shared" si="31"/>
        <v>7473.7943367371909</v>
      </c>
      <c r="P58" s="1025">
        <f t="shared" si="31"/>
        <v>7544.0480035025203</v>
      </c>
      <c r="Q58" s="1025">
        <f t="shared" si="31"/>
        <v>7614.9620547354434</v>
      </c>
      <c r="R58" s="1025">
        <f t="shared" si="31"/>
        <v>7686.5426980499569</v>
      </c>
      <c r="S58" s="1025">
        <f t="shared" si="31"/>
        <v>7758.7961994116276</v>
      </c>
      <c r="T58" s="1025">
        <f t="shared" si="31"/>
        <v>7831.7288836860971</v>
      </c>
      <c r="U58" s="1025">
        <f t="shared" si="31"/>
        <v>7905.3471351927465</v>
      </c>
      <c r="V58" s="1025">
        <f t="shared" si="31"/>
        <v>7979.6573982635573</v>
      </c>
      <c r="W58" s="1025">
        <f t="shared" si="31"/>
        <v>8054.6661778072357</v>
      </c>
      <c r="X58" s="1025">
        <f t="shared" si="31"/>
        <v>8130.3800398786243</v>
      </c>
      <c r="Y58" s="1025">
        <f t="shared" si="31"/>
        <v>8206.8056122534836</v>
      </c>
      <c r="Z58" s="1025">
        <f t="shared" si="31"/>
        <v>8283.949585008666</v>
      </c>
      <c r="AB58" s="1022" t="s">
        <v>1135</v>
      </c>
    </row>
    <row r="59" spans="2:28" s="1022" customFormat="1" ht="12.75">
      <c r="C59" s="1022" t="s">
        <v>455</v>
      </c>
      <c r="D59" s="1035">
        <f>E59*0.975</f>
        <v>7500.6094921875001</v>
      </c>
      <c r="E59" s="1035">
        <f>F59*0.975</f>
        <v>7692.9328125000002</v>
      </c>
      <c r="F59" s="1035">
        <f>G59*0.975</f>
        <v>7890.1875</v>
      </c>
      <c r="G59" s="1035">
        <f>H59*0.975</f>
        <v>8092.5</v>
      </c>
      <c r="H59" s="1035">
        <f>H56*0.05</f>
        <v>8300</v>
      </c>
      <c r="I59" s="1035">
        <f t="shared" ref="I59:V59" si="32">I56*0.05</f>
        <v>9180</v>
      </c>
      <c r="J59" s="1035">
        <f t="shared" si="32"/>
        <v>10062.060000000001</v>
      </c>
      <c r="K59" s="1035">
        <f t="shared" si="32"/>
        <v>10947.526574000001</v>
      </c>
      <c r="L59" s="1035">
        <f t="shared" si="32"/>
        <v>11837.723091595602</v>
      </c>
      <c r="M59" s="1035">
        <f t="shared" si="32"/>
        <v>12733.952207915601</v>
      </c>
      <c r="N59" s="1035">
        <f t="shared" si="32"/>
        <v>13637.498269010528</v>
      </c>
      <c r="O59" s="1035">
        <f t="shared" si="32"/>
        <v>14549.629638118528</v>
      </c>
      <c r="P59" s="1035">
        <f t="shared" si="32"/>
        <v>15471.600947999652</v>
      </c>
      <c r="Q59" s="1035">
        <f t="shared" si="32"/>
        <v>16404.655284307173</v>
      </c>
      <c r="R59" s="1035">
        <f t="shared" si="32"/>
        <v>17350.026304754148</v>
      </c>
      <c r="S59" s="1035">
        <f t="shared" si="32"/>
        <v>18308.940298635021</v>
      </c>
      <c r="T59" s="1035">
        <f t="shared" si="32"/>
        <v>19282.618191074402</v>
      </c>
      <c r="U59" s="1035">
        <f t="shared" si="32"/>
        <v>20272.277496198341</v>
      </c>
      <c r="V59" s="1035">
        <f t="shared" si="32"/>
        <v>21279.134223256609</v>
      </c>
      <c r="W59" s="1035">
        <f>W56*0.05</f>
        <v>22304.404739567261</v>
      </c>
      <c r="X59" s="1035">
        <f>X56*0.05</f>
        <v>23349.307594006794</v>
      </c>
      <c r="Y59" s="1035">
        <f>Y56*0.05</f>
        <v>24415.065304630029</v>
      </c>
      <c r="Z59" s="1035">
        <f>Z56*0.05</f>
        <v>25502.906113872887</v>
      </c>
    </row>
    <row r="60" spans="2:28" s="1022" customFormat="1" ht="12.75"/>
    <row r="61" spans="2:28" s="1022" customFormat="1" ht="12.75">
      <c r="C61" s="1022" t="s">
        <v>1120</v>
      </c>
      <c r="D61" s="1025">
        <f>D62*D57</f>
        <v>17325.497434355933</v>
      </c>
      <c r="E61" s="1025">
        <f>E62*E57</f>
        <v>17845.262357386611</v>
      </c>
      <c r="F61" s="1025">
        <f>F62*F57</f>
        <v>18380.620228108208</v>
      </c>
      <c r="G61" s="1025">
        <f>G62*G57</f>
        <v>18932.038834951454</v>
      </c>
      <c r="H61" s="1026">
        <v>19500</v>
      </c>
      <c r="I61" s="1025">
        <f t="shared" ref="I61:V61" si="33">I62*I57</f>
        <v>20085</v>
      </c>
      <c r="J61" s="1025">
        <f t="shared" si="33"/>
        <v>20687.55</v>
      </c>
      <c r="K61" s="1025">
        <f t="shared" si="33"/>
        <v>21308.176500000001</v>
      </c>
      <c r="L61" s="1025">
        <f t="shared" si="33"/>
        <v>21947.421795000002</v>
      </c>
      <c r="M61" s="1025">
        <f t="shared" si="33"/>
        <v>22605.844448850003</v>
      </c>
      <c r="N61" s="1025">
        <f t="shared" si="33"/>
        <v>23284.019782315503</v>
      </c>
      <c r="O61" s="1025">
        <f t="shared" si="33"/>
        <v>23982.540375784971</v>
      </c>
      <c r="P61" s="1025">
        <f t="shared" si="33"/>
        <v>24702.016587058519</v>
      </c>
      <c r="Q61" s="1025">
        <f t="shared" si="33"/>
        <v>25443.077084670273</v>
      </c>
      <c r="R61" s="1025">
        <f t="shared" si="33"/>
        <v>26206.369397210383</v>
      </c>
      <c r="S61" s="1025">
        <f t="shared" si="33"/>
        <v>26992.560479126696</v>
      </c>
      <c r="T61" s="1025">
        <f t="shared" si="33"/>
        <v>27802.337293500499</v>
      </c>
      <c r="U61" s="1025">
        <f t="shared" si="33"/>
        <v>28636.407412305514</v>
      </c>
      <c r="V61" s="1025">
        <f t="shared" si="33"/>
        <v>29495.499634674681</v>
      </c>
      <c r="W61" s="1025">
        <f>W62*W57</f>
        <v>30380.364623714922</v>
      </c>
      <c r="X61" s="1025">
        <f>X62*X57</f>
        <v>31291.775562426374</v>
      </c>
      <c r="Y61" s="1025">
        <f>Y62*Y57</f>
        <v>32230.528829299164</v>
      </c>
      <c r="Z61" s="1025">
        <f>Z62*Z57</f>
        <v>33197.444694178143</v>
      </c>
      <c r="AB61" s="1022" t="s">
        <v>1121</v>
      </c>
    </row>
    <row r="62" spans="2:28" s="1022" customFormat="1" ht="12.75">
      <c r="C62" s="1038" t="s">
        <v>1122</v>
      </c>
      <c r="D62" s="1029">
        <f>E62</f>
        <v>0.59270516717325228</v>
      </c>
      <c r="E62" s="1029">
        <f>F62</f>
        <v>0.59270516717325228</v>
      </c>
      <c r="F62" s="1029">
        <f>G62</f>
        <v>0.59270516717325228</v>
      </c>
      <c r="G62" s="1029">
        <f>H62</f>
        <v>0.59270516717325228</v>
      </c>
      <c r="H62" s="1030">
        <f>H61/H57</f>
        <v>0.59270516717325228</v>
      </c>
      <c r="I62" s="1029">
        <f>H62</f>
        <v>0.59270516717325228</v>
      </c>
      <c r="J62" s="1029">
        <f t="shared" ref="J62:V62" si="34">I62</f>
        <v>0.59270516717325228</v>
      </c>
      <c r="K62" s="1029">
        <f t="shared" si="34"/>
        <v>0.59270516717325228</v>
      </c>
      <c r="L62" s="1029">
        <f t="shared" si="34"/>
        <v>0.59270516717325228</v>
      </c>
      <c r="M62" s="1029">
        <f t="shared" si="34"/>
        <v>0.59270516717325228</v>
      </c>
      <c r="N62" s="1029">
        <f t="shared" si="34"/>
        <v>0.59270516717325228</v>
      </c>
      <c r="O62" s="1029">
        <f t="shared" si="34"/>
        <v>0.59270516717325228</v>
      </c>
      <c r="P62" s="1029">
        <f t="shared" si="34"/>
        <v>0.59270516717325228</v>
      </c>
      <c r="Q62" s="1029">
        <f t="shared" si="34"/>
        <v>0.59270516717325228</v>
      </c>
      <c r="R62" s="1029">
        <f t="shared" si="34"/>
        <v>0.59270516717325228</v>
      </c>
      <c r="S62" s="1029">
        <f t="shared" si="34"/>
        <v>0.59270516717325228</v>
      </c>
      <c r="T62" s="1029">
        <f t="shared" si="34"/>
        <v>0.59270516717325228</v>
      </c>
      <c r="U62" s="1029">
        <f t="shared" si="34"/>
        <v>0.59270516717325228</v>
      </c>
      <c r="V62" s="1029">
        <f t="shared" si="34"/>
        <v>0.59270516717325228</v>
      </c>
      <c r="W62" s="1029">
        <f>V62</f>
        <v>0.59270516717325228</v>
      </c>
      <c r="X62" s="1029">
        <f>W62</f>
        <v>0.59270516717325228</v>
      </c>
      <c r="Y62" s="1029">
        <f>X62</f>
        <v>0.59270516717325228</v>
      </c>
      <c r="Z62" s="1029">
        <f>Y62</f>
        <v>0.59270516717325228</v>
      </c>
    </row>
    <row r="63" spans="2:28" s="1022" customFormat="1" ht="12.75"/>
    <row r="64" spans="2:28" s="1022" customFormat="1" ht="12.75">
      <c r="C64" s="1022" t="s">
        <v>1123</v>
      </c>
      <c r="D64" s="1025"/>
      <c r="E64" s="1025"/>
      <c r="F64" s="1025"/>
      <c r="G64" s="1025"/>
      <c r="H64" s="1026">
        <v>5600</v>
      </c>
      <c r="I64" s="1025">
        <f>I65*I70</f>
        <v>8439.4172271634197</v>
      </c>
      <c r="J64" s="1025">
        <f t="shared" ref="J64:V64" si="35">J65*J70</f>
        <v>11260.970544344356</v>
      </c>
      <c r="K64" s="1025">
        <f t="shared" si="35"/>
        <v>14069.563285268057</v>
      </c>
      <c r="L64" s="1025">
        <f t="shared" si="35"/>
        <v>16869.976618259352</v>
      </c>
      <c r="M64" s="1025">
        <f t="shared" si="35"/>
        <v>19666.879369904331</v>
      </c>
      <c r="N64" s="1025">
        <f t="shared" si="35"/>
        <v>22464.837469229034</v>
      </c>
      <c r="O64" s="1025">
        <f t="shared" si="35"/>
        <v>25268.323034722529</v>
      </c>
      <c r="P64" s="1025">
        <f t="shared" si="35"/>
        <v>28081.723125515935</v>
      </c>
      <c r="Q64" s="1025">
        <f t="shared" si="35"/>
        <v>30909.348177067346</v>
      </c>
      <c r="R64" s="1025">
        <f t="shared" si="35"/>
        <v>33755.440140791157</v>
      </c>
      <c r="S64" s="1025">
        <f t="shared" si="35"/>
        <v>36624.180346209323</v>
      </c>
      <c r="T64" s="1025">
        <f t="shared" si="35"/>
        <v>39519.697103385333</v>
      </c>
      <c r="U64" s="1025">
        <f t="shared" si="35"/>
        <v>42446.073062631338</v>
      </c>
      <c r="V64" s="1025">
        <f t="shared" si="35"/>
        <v>45407.352347748623</v>
      </c>
      <c r="W64" s="1025">
        <f>W65*W70</f>
        <v>48407.547478372988</v>
      </c>
      <c r="X64" s="1025">
        <f>X65*X70</f>
        <v>51450.646096345161</v>
      </c>
      <c r="Y64" s="1025">
        <f>Y65*Y70</f>
        <v>54540.617510411641</v>
      </c>
      <c r="Z64" s="1025">
        <f>Z65*Z70</f>
        <v>57681.419072981516</v>
      </c>
      <c r="AB64" s="1022" t="s">
        <v>1121</v>
      </c>
    </row>
    <row r="65" spans="2:30" s="1022" customFormat="1" ht="12.75">
      <c r="C65" s="1038" t="s">
        <v>1124</v>
      </c>
      <c r="D65" s="1029"/>
      <c r="E65" s="1029"/>
      <c r="F65" s="1029"/>
      <c r="G65" s="1029"/>
      <c r="H65" s="1030">
        <f>H64/H70</f>
        <v>0.21168123828553281</v>
      </c>
      <c r="I65" s="1029">
        <f>H65</f>
        <v>0.21168123828553281</v>
      </c>
      <c r="J65" s="1029">
        <f t="shared" ref="J65:V65" si="36">I65</f>
        <v>0.21168123828553281</v>
      </c>
      <c r="K65" s="1029">
        <f t="shared" si="36"/>
        <v>0.21168123828553281</v>
      </c>
      <c r="L65" s="1029">
        <f t="shared" si="36"/>
        <v>0.21168123828553281</v>
      </c>
      <c r="M65" s="1029">
        <f t="shared" si="36"/>
        <v>0.21168123828553281</v>
      </c>
      <c r="N65" s="1029">
        <f t="shared" si="36"/>
        <v>0.21168123828553281</v>
      </c>
      <c r="O65" s="1029">
        <f t="shared" si="36"/>
        <v>0.21168123828553281</v>
      </c>
      <c r="P65" s="1029">
        <f t="shared" si="36"/>
        <v>0.21168123828553281</v>
      </c>
      <c r="Q65" s="1029">
        <f t="shared" si="36"/>
        <v>0.21168123828553281</v>
      </c>
      <c r="R65" s="1029">
        <f t="shared" si="36"/>
        <v>0.21168123828553281</v>
      </c>
      <c r="S65" s="1029">
        <f t="shared" si="36"/>
        <v>0.21168123828553281</v>
      </c>
      <c r="T65" s="1029">
        <f t="shared" si="36"/>
        <v>0.21168123828553281</v>
      </c>
      <c r="U65" s="1029">
        <f t="shared" si="36"/>
        <v>0.21168123828553281</v>
      </c>
      <c r="V65" s="1029">
        <f t="shared" si="36"/>
        <v>0.21168123828553281</v>
      </c>
      <c r="W65" s="1029">
        <f>V65</f>
        <v>0.21168123828553281</v>
      </c>
      <c r="X65" s="1029">
        <f>W65</f>
        <v>0.21168123828553281</v>
      </c>
      <c r="Y65" s="1029">
        <f>X65</f>
        <v>0.21168123828553281</v>
      </c>
      <c r="Z65" s="1029">
        <f>Y65</f>
        <v>0.21168123828553281</v>
      </c>
    </row>
    <row r="66" spans="2:30" s="1022" customFormat="1" ht="12.75"/>
    <row r="67" spans="2:30" s="1022" customFormat="1" ht="12.75">
      <c r="C67" s="1022" t="s">
        <v>1125</v>
      </c>
      <c r="H67" s="1025"/>
      <c r="I67" s="1025"/>
    </row>
    <row r="68" spans="2:30" s="1022" customFormat="1" ht="12.75">
      <c r="C68" s="1038" t="s">
        <v>1126</v>
      </c>
      <c r="D68" s="1025">
        <f t="shared" ref="D68:Z68" si="37">D57-D61</f>
        <v>11905.72644207023</v>
      </c>
      <c r="E68" s="1025">
        <f t="shared" si="37"/>
        <v>12262.898235332337</v>
      </c>
      <c r="F68" s="1025">
        <f t="shared" si="37"/>
        <v>12630.785182392308</v>
      </c>
      <c r="G68" s="1025">
        <f t="shared" si="37"/>
        <v>13009.708737864079</v>
      </c>
      <c r="H68" s="1025">
        <f t="shared" si="37"/>
        <v>13400</v>
      </c>
      <c r="I68" s="1025">
        <f t="shared" si="37"/>
        <v>13802</v>
      </c>
      <c r="J68" s="1025">
        <f t="shared" si="37"/>
        <v>14216.060000000001</v>
      </c>
      <c r="K68" s="1025">
        <f t="shared" si="37"/>
        <v>14642.541799999999</v>
      </c>
      <c r="L68" s="1025">
        <f t="shared" si="37"/>
        <v>15081.818054000003</v>
      </c>
      <c r="M68" s="1025">
        <f t="shared" si="37"/>
        <v>15534.272595620001</v>
      </c>
      <c r="N68" s="1025">
        <f t="shared" si="37"/>
        <v>16000.300773488605</v>
      </c>
      <c r="O68" s="1025">
        <f t="shared" si="37"/>
        <v>16480.309796693262</v>
      </c>
      <c r="P68" s="1025">
        <f t="shared" si="37"/>
        <v>16974.719090594059</v>
      </c>
      <c r="Q68" s="1025">
        <f t="shared" si="37"/>
        <v>17483.960663311882</v>
      </c>
      <c r="R68" s="1025">
        <f t="shared" si="37"/>
        <v>18008.479483211235</v>
      </c>
      <c r="S68" s="1025">
        <f t="shared" si="37"/>
        <v>18548.733867707575</v>
      </c>
      <c r="T68" s="1025">
        <f t="shared" si="37"/>
        <v>19105.195883738805</v>
      </c>
      <c r="U68" s="1025">
        <f t="shared" si="37"/>
        <v>19678.351760250971</v>
      </c>
      <c r="V68" s="1025">
        <f t="shared" si="37"/>
        <v>20268.702313058497</v>
      </c>
      <c r="W68" s="1025">
        <f t="shared" si="37"/>
        <v>20876.763382450255</v>
      </c>
      <c r="X68" s="1025">
        <f t="shared" si="37"/>
        <v>21503.066283923763</v>
      </c>
      <c r="Y68" s="1025">
        <f t="shared" si="37"/>
        <v>22148.15827244148</v>
      </c>
      <c r="Z68" s="1025">
        <f t="shared" si="37"/>
        <v>22812.603020614726</v>
      </c>
    </row>
    <row r="69" spans="2:30" s="1022" customFormat="1" ht="12.75">
      <c r="C69" s="1038" t="s">
        <v>1127</v>
      </c>
      <c r="D69" s="1025"/>
      <c r="E69" s="1025"/>
      <c r="F69" s="1025"/>
      <c r="G69" s="1025"/>
      <c r="H69" s="1025">
        <f>H68+G68+F68+E68+D68</f>
        <v>63209.118597658948</v>
      </c>
      <c r="I69" s="1025">
        <f t="shared" ref="I69:V69" si="38">I68+H68+G68+F68+E68</f>
        <v>65105.392155588721</v>
      </c>
      <c r="J69" s="1025">
        <f t="shared" si="38"/>
        <v>67058.553920256381</v>
      </c>
      <c r="K69" s="1025">
        <f t="shared" si="38"/>
        <v>69070.310537864076</v>
      </c>
      <c r="L69" s="1025">
        <f t="shared" si="38"/>
        <v>71142.419854000007</v>
      </c>
      <c r="M69" s="1025">
        <f t="shared" si="38"/>
        <v>73276.692449620008</v>
      </c>
      <c r="N69" s="1025">
        <f t="shared" si="38"/>
        <v>75474.993223108613</v>
      </c>
      <c r="O69" s="1025">
        <f t="shared" si="38"/>
        <v>77739.24301980187</v>
      </c>
      <c r="P69" s="1025">
        <f t="shared" si="38"/>
        <v>80071.42031039593</v>
      </c>
      <c r="Q69" s="1025">
        <f t="shared" si="38"/>
        <v>82473.562919707809</v>
      </c>
      <c r="R69" s="1025">
        <f t="shared" si="38"/>
        <v>84947.769807299046</v>
      </c>
      <c r="S69" s="1025">
        <f t="shared" si="38"/>
        <v>87496.202901518031</v>
      </c>
      <c r="T69" s="1025">
        <f t="shared" si="38"/>
        <v>90121.08898856357</v>
      </c>
      <c r="U69" s="1025">
        <f t="shared" si="38"/>
        <v>92824.721658220471</v>
      </c>
      <c r="V69" s="1025">
        <f t="shared" si="38"/>
        <v>95609.463307967089</v>
      </c>
      <c r="W69" s="1025">
        <f>W68+V68+U68+T68+S68</f>
        <v>98477.747207206106</v>
      </c>
      <c r="X69" s="1025">
        <f>X68+W68+V68+U68+T68</f>
        <v>101432.07962342229</v>
      </c>
      <c r="Y69" s="1025">
        <f>Y68+X68+W68+V68+U68</f>
        <v>104475.04201212496</v>
      </c>
      <c r="Z69" s="1025">
        <f>Z68+Y68+X68+W68+V68</f>
        <v>107609.29327248872</v>
      </c>
    </row>
    <row r="70" spans="2:30" s="1022" customFormat="1" ht="12.75">
      <c r="C70" s="1038" t="s">
        <v>1136</v>
      </c>
      <c r="D70" s="1025"/>
      <c r="E70" s="1025"/>
      <c r="F70" s="1025"/>
      <c r="G70" s="1025"/>
      <c r="H70" s="1025">
        <f t="shared" ref="H70:Z70" si="39">H56-H57-H69*H57/H61</f>
        <v>26454.871699334384</v>
      </c>
      <c r="I70" s="1025">
        <f t="shared" si="39"/>
        <v>39868.517850314398</v>
      </c>
      <c r="J70" s="1025">
        <f t="shared" si="39"/>
        <v>53197.773385823864</v>
      </c>
      <c r="K70" s="1025">
        <f t="shared" si="39"/>
        <v>66465.802067398574</v>
      </c>
      <c r="L70" s="1025">
        <f t="shared" si="39"/>
        <v>79695.19053693251</v>
      </c>
      <c r="M70" s="1025">
        <f t="shared" si="39"/>
        <v>92907.994724483098</v>
      </c>
      <c r="N70" s="1025">
        <f t="shared" si="39"/>
        <v>106125.78446336676</v>
      </c>
      <c r="O70" s="1025">
        <f t="shared" si="39"/>
        <v>119369.68641802145</v>
      </c>
      <c r="P70" s="1025">
        <f t="shared" si="39"/>
        <v>132660.42542531347</v>
      </c>
      <c r="Q70" s="1025">
        <f t="shared" si="39"/>
        <v>146018.36434542353</v>
      </c>
      <c r="R70" s="1025">
        <f t="shared" si="39"/>
        <v>159463.54251414139</v>
      </c>
      <c r="S70" s="1025">
        <f t="shared" si="39"/>
        <v>173015.71288433063</v>
      </c>
      <c r="T70" s="1025">
        <f t="shared" si="39"/>
        <v>186694.37794046709</v>
      </c>
      <c r="U70" s="1025">
        <f t="shared" si="39"/>
        <v>200518.82446651525</v>
      </c>
      <c r="V70" s="1025">
        <f t="shared" si="39"/>
        <v>214508.1572439571</v>
      </c>
      <c r="W70" s="1025">
        <f t="shared" si="39"/>
        <v>228681.33175353485</v>
      </c>
      <c r="X70" s="1025">
        <f t="shared" si="39"/>
        <v>243057.18595119118</v>
      </c>
      <c r="Y70" s="1025">
        <f t="shared" si="39"/>
        <v>257654.47118578755</v>
      </c>
      <c r="Z70" s="1025">
        <f t="shared" si="39"/>
        <v>272491.88232344022</v>
      </c>
    </row>
    <row r="71" spans="2:30" s="1022" customFormat="1" ht="12.75"/>
    <row r="72" spans="2:30" s="1022" customFormat="1" ht="12.75">
      <c r="C72" s="1022" t="s">
        <v>294</v>
      </c>
      <c r="D72" s="1025">
        <f t="shared" ref="D72:Z72" si="40">D58*80%</f>
        <v>6061.6200960000006</v>
      </c>
      <c r="E72" s="1025">
        <f t="shared" si="40"/>
        <v>5942.7648000000008</v>
      </c>
      <c r="F72" s="1025">
        <f t="shared" si="40"/>
        <v>5826.2400000000007</v>
      </c>
      <c r="G72" s="1025">
        <f t="shared" si="40"/>
        <v>5712</v>
      </c>
      <c r="H72" s="1025">
        <f t="shared" si="40"/>
        <v>5600</v>
      </c>
      <c r="I72" s="1025">
        <f t="shared" si="40"/>
        <v>5652.64</v>
      </c>
      <c r="J72" s="1025">
        <f t="shared" si="40"/>
        <v>5705.774816000001</v>
      </c>
      <c r="K72" s="1025">
        <f t="shared" si="40"/>
        <v>5759.4090992704005</v>
      </c>
      <c r="L72" s="1025">
        <f t="shared" si="40"/>
        <v>5813.5475448035422</v>
      </c>
      <c r="M72" s="1025">
        <f t="shared" si="40"/>
        <v>5868.1948917246955</v>
      </c>
      <c r="N72" s="1025">
        <f t="shared" si="40"/>
        <v>5923.3559237069085</v>
      </c>
      <c r="O72" s="1025">
        <f t="shared" si="40"/>
        <v>5979.0354693897534</v>
      </c>
      <c r="P72" s="1025">
        <f t="shared" si="40"/>
        <v>6035.2384028020169</v>
      </c>
      <c r="Q72" s="1025">
        <f t="shared" si="40"/>
        <v>6091.9696437883549</v>
      </c>
      <c r="R72" s="1025">
        <f t="shared" si="40"/>
        <v>6149.2341584399655</v>
      </c>
      <c r="S72" s="1025">
        <f t="shared" si="40"/>
        <v>6207.0369595293023</v>
      </c>
      <c r="T72" s="1025">
        <f t="shared" si="40"/>
        <v>6265.3831069488779</v>
      </c>
      <c r="U72" s="1025">
        <f t="shared" si="40"/>
        <v>6324.2777081541972</v>
      </c>
      <c r="V72" s="1025">
        <f t="shared" si="40"/>
        <v>6383.7259186108458</v>
      </c>
      <c r="W72" s="1025">
        <f t="shared" si="40"/>
        <v>6443.7329422457888</v>
      </c>
      <c r="X72" s="1025">
        <f t="shared" si="40"/>
        <v>6504.3040319028996</v>
      </c>
      <c r="Y72" s="1025">
        <f t="shared" si="40"/>
        <v>6565.4444898027868</v>
      </c>
      <c r="Z72" s="1025">
        <f t="shared" si="40"/>
        <v>6627.1596680069333</v>
      </c>
      <c r="AA72" s="1025"/>
      <c r="AB72" s="1025"/>
      <c r="AC72" s="1025"/>
      <c r="AD72" s="1025"/>
    </row>
    <row r="73" spans="2:30" s="1022" customFormat="1" ht="12.75">
      <c r="C73" s="1028" t="s">
        <v>1074</v>
      </c>
      <c r="D73" s="1029"/>
      <c r="E73" s="1029"/>
      <c r="F73" s="1029"/>
      <c r="G73" s="1029"/>
      <c r="H73" s="1029">
        <f t="shared" ref="H73:Z73" si="41">H72/H64</f>
        <v>1</v>
      </c>
      <c r="I73" s="1029">
        <f t="shared" si="41"/>
        <v>0.66979032412406447</v>
      </c>
      <c r="J73" s="1029">
        <f t="shared" si="41"/>
        <v>0.50668588409243609</v>
      </c>
      <c r="K73" s="1029">
        <f t="shared" si="41"/>
        <v>0.40935237167602467</v>
      </c>
      <c r="L73" s="1029">
        <f t="shared" si="41"/>
        <v>0.34460910506012221</v>
      </c>
      <c r="M73" s="1029">
        <f t="shared" si="41"/>
        <v>0.2983795640046803</v>
      </c>
      <c r="N73" s="1029">
        <f t="shared" si="41"/>
        <v>0.26367232488640796</v>
      </c>
      <c r="O73" s="1029">
        <f t="shared" si="41"/>
        <v>0.23662177585642097</v>
      </c>
      <c r="P73" s="1029">
        <f t="shared" si="41"/>
        <v>0.21491695419923182</v>
      </c>
      <c r="Q73" s="1029">
        <f t="shared" si="41"/>
        <v>0.19709149506776677</v>
      </c>
      <c r="R73" s="1029">
        <f t="shared" si="41"/>
        <v>0.18217016672844485</v>
      </c>
      <c r="S73" s="1029">
        <f t="shared" si="41"/>
        <v>0.16947920474544473</v>
      </c>
      <c r="T73" s="1029">
        <f t="shared" si="41"/>
        <v>0.15853823703553066</v>
      </c>
      <c r="U73" s="1029">
        <f t="shared" si="41"/>
        <v>0.14899559021213585</v>
      </c>
      <c r="V73" s="1029">
        <f t="shared" si="41"/>
        <v>0.14058793540133291</v>
      </c>
      <c r="W73" s="1029">
        <f t="shared" si="41"/>
        <v>0.13311422036253029</v>
      </c>
      <c r="X73" s="1029">
        <f t="shared" si="41"/>
        <v>0.12641831590847483</v>
      </c>
      <c r="Y73" s="1029">
        <f t="shared" si="41"/>
        <v>0.12037715723606289</v>
      </c>
      <c r="Z73" s="1029">
        <f t="shared" si="41"/>
        <v>0.11489245192844351</v>
      </c>
      <c r="AA73" s="1029"/>
      <c r="AB73" s="1029"/>
      <c r="AC73" s="1029"/>
      <c r="AD73" s="1029"/>
    </row>
    <row r="74" spans="2:30" s="1022" customFormat="1" ht="12.75">
      <c r="C74" s="1028"/>
      <c r="D74" s="1029"/>
      <c r="E74" s="1029"/>
      <c r="F74" s="1029"/>
      <c r="G74" s="1029"/>
      <c r="H74" s="1029"/>
      <c r="I74" s="1029"/>
      <c r="J74" s="1029"/>
      <c r="K74" s="1029"/>
      <c r="L74" s="1029"/>
      <c r="M74" s="1029"/>
      <c r="N74" s="1029"/>
      <c r="O74" s="1029"/>
      <c r="P74" s="1029"/>
      <c r="Q74" s="1029"/>
      <c r="R74" s="1029"/>
      <c r="S74" s="1029"/>
      <c r="T74" s="1029"/>
      <c r="U74" s="1029"/>
      <c r="V74" s="1029"/>
      <c r="W74" s="1029"/>
      <c r="X74" s="1029"/>
      <c r="Y74" s="1029"/>
      <c r="Z74" s="1029"/>
      <c r="AA74" s="1029"/>
      <c r="AB74" s="1029"/>
      <c r="AC74" s="1029"/>
      <c r="AD74" s="1029"/>
    </row>
    <row r="75" spans="2:30" s="1022" customFormat="1" ht="12.75" hidden="1" outlineLevel="1">
      <c r="C75" s="1031" t="s">
        <v>463</v>
      </c>
      <c r="D75" s="1032"/>
      <c r="E75" s="1032"/>
      <c r="F75" s="1032"/>
      <c r="G75" s="1032"/>
      <c r="H75" s="1033">
        <f>H72+H64*0.35</f>
        <v>7560</v>
      </c>
      <c r="I75" s="1033">
        <f t="shared" ref="I75:Z75" si="42">I72+I64*0.35</f>
        <v>8606.4360295071965</v>
      </c>
      <c r="J75" s="1033">
        <f t="shared" si="42"/>
        <v>9647.1145065205255</v>
      </c>
      <c r="K75" s="1033">
        <f t="shared" si="42"/>
        <v>10683.75624911422</v>
      </c>
      <c r="L75" s="1033">
        <f t="shared" si="42"/>
        <v>11718.039361194315</v>
      </c>
      <c r="M75" s="1033">
        <f t="shared" si="42"/>
        <v>12751.602671191211</v>
      </c>
      <c r="N75" s="1033">
        <f t="shared" si="42"/>
        <v>13786.049037937071</v>
      </c>
      <c r="O75" s="1033">
        <f t="shared" si="42"/>
        <v>14822.948531542637</v>
      </c>
      <c r="P75" s="1033">
        <f t="shared" si="42"/>
        <v>15863.841496732593</v>
      </c>
      <c r="Q75" s="1033">
        <f t="shared" si="42"/>
        <v>16910.241505761926</v>
      </c>
      <c r="R75" s="1033">
        <f t="shared" si="42"/>
        <v>17963.638207716867</v>
      </c>
      <c r="S75" s="1033">
        <f t="shared" si="42"/>
        <v>19025.500080702564</v>
      </c>
      <c r="T75" s="1033">
        <f t="shared" si="42"/>
        <v>20097.277093133744</v>
      </c>
      <c r="U75" s="1033">
        <f t="shared" si="42"/>
        <v>21180.403280075167</v>
      </c>
      <c r="V75" s="1033">
        <f t="shared" si="42"/>
        <v>22276.299240322864</v>
      </c>
      <c r="W75" s="1033">
        <f t="shared" si="42"/>
        <v>23386.374559676333</v>
      </c>
      <c r="X75" s="1033">
        <f t="shared" si="42"/>
        <v>24512.030165623702</v>
      </c>
      <c r="Y75" s="1033">
        <f t="shared" si="42"/>
        <v>25654.660618446858</v>
      </c>
      <c r="Z75" s="1033">
        <f t="shared" si="42"/>
        <v>26815.656343550465</v>
      </c>
      <c r="AA75" s="1029"/>
      <c r="AB75" s="1029"/>
      <c r="AC75" s="1029"/>
      <c r="AD75" s="1029"/>
    </row>
    <row r="76" spans="2:30" s="1022" customFormat="1" ht="12.75" hidden="1" outlineLevel="1">
      <c r="C76" s="1031" t="s">
        <v>464</v>
      </c>
      <c r="D76" s="1032"/>
      <c r="E76" s="1032"/>
      <c r="F76" s="1032"/>
      <c r="G76" s="1032"/>
      <c r="H76" s="1033">
        <f>H72+H64*0.1</f>
        <v>6160</v>
      </c>
      <c r="I76" s="1033">
        <f t="shared" ref="I76:Z76" si="43">I72+I64*0.1</f>
        <v>6496.5817227163425</v>
      </c>
      <c r="J76" s="1033">
        <f t="shared" si="43"/>
        <v>6831.8718704344365</v>
      </c>
      <c r="K76" s="1033">
        <f t="shared" si="43"/>
        <v>7166.3654277972064</v>
      </c>
      <c r="L76" s="1033">
        <f t="shared" si="43"/>
        <v>7500.5452066294774</v>
      </c>
      <c r="M76" s="1033">
        <f t="shared" si="43"/>
        <v>7834.8828287151282</v>
      </c>
      <c r="N76" s="1033">
        <f t="shared" si="43"/>
        <v>8169.8396706298117</v>
      </c>
      <c r="O76" s="1033">
        <f t="shared" si="43"/>
        <v>8505.8677728620059</v>
      </c>
      <c r="P76" s="1033">
        <f t="shared" si="43"/>
        <v>8843.4107153536097</v>
      </c>
      <c r="Q76" s="1033">
        <f t="shared" si="43"/>
        <v>9182.9044614950908</v>
      </c>
      <c r="R76" s="1033">
        <f t="shared" si="43"/>
        <v>9524.7781725190816</v>
      </c>
      <c r="S76" s="1033">
        <f t="shared" si="43"/>
        <v>9869.4549941502337</v>
      </c>
      <c r="T76" s="1033">
        <f t="shared" si="43"/>
        <v>10217.35281728741</v>
      </c>
      <c r="U76" s="1033">
        <f t="shared" si="43"/>
        <v>10568.88501441733</v>
      </c>
      <c r="V76" s="1033">
        <f t="shared" si="43"/>
        <v>10924.46115338571</v>
      </c>
      <c r="W76" s="1033">
        <f t="shared" si="43"/>
        <v>11284.487690083088</v>
      </c>
      <c r="X76" s="1033">
        <f t="shared" si="43"/>
        <v>11649.368641537416</v>
      </c>
      <c r="Y76" s="1033">
        <f t="shared" si="43"/>
        <v>12019.506240843952</v>
      </c>
      <c r="Z76" s="1033">
        <f t="shared" si="43"/>
        <v>12395.301575305086</v>
      </c>
      <c r="AA76" s="1029"/>
      <c r="AB76" s="1029"/>
      <c r="AC76" s="1029"/>
      <c r="AD76" s="1029"/>
    </row>
    <row r="77" spans="2:30" s="1022" customFormat="1" ht="12.75" hidden="1" outlineLevel="1">
      <c r="C77" s="1031" t="s">
        <v>462</v>
      </c>
      <c r="D77" s="1032"/>
      <c r="E77" s="1032"/>
      <c r="F77" s="1032"/>
      <c r="G77" s="1032"/>
      <c r="H77" s="1033">
        <f t="shared" ref="H77:Z77" si="44">H72</f>
        <v>5600</v>
      </c>
      <c r="I77" s="1033">
        <f t="shared" si="44"/>
        <v>5652.64</v>
      </c>
      <c r="J77" s="1033">
        <f t="shared" si="44"/>
        <v>5705.774816000001</v>
      </c>
      <c r="K77" s="1033">
        <f t="shared" si="44"/>
        <v>5759.4090992704005</v>
      </c>
      <c r="L77" s="1033">
        <f t="shared" si="44"/>
        <v>5813.5475448035422</v>
      </c>
      <c r="M77" s="1033">
        <f t="shared" si="44"/>
        <v>5868.1948917246955</v>
      </c>
      <c r="N77" s="1033">
        <f t="shared" si="44"/>
        <v>5923.3559237069085</v>
      </c>
      <c r="O77" s="1033">
        <f t="shared" si="44"/>
        <v>5979.0354693897534</v>
      </c>
      <c r="P77" s="1033">
        <f t="shared" si="44"/>
        <v>6035.2384028020169</v>
      </c>
      <c r="Q77" s="1033">
        <f t="shared" si="44"/>
        <v>6091.9696437883549</v>
      </c>
      <c r="R77" s="1033">
        <f t="shared" si="44"/>
        <v>6149.2341584399655</v>
      </c>
      <c r="S77" s="1033">
        <f t="shared" si="44"/>
        <v>6207.0369595293023</v>
      </c>
      <c r="T77" s="1033">
        <f t="shared" si="44"/>
        <v>6265.3831069488779</v>
      </c>
      <c r="U77" s="1033">
        <f t="shared" si="44"/>
        <v>6324.2777081541972</v>
      </c>
      <c r="V77" s="1033">
        <f t="shared" si="44"/>
        <v>6383.7259186108458</v>
      </c>
      <c r="W77" s="1033">
        <f t="shared" si="44"/>
        <v>6443.7329422457888</v>
      </c>
      <c r="X77" s="1033">
        <f t="shared" si="44"/>
        <v>6504.3040319028996</v>
      </c>
      <c r="Y77" s="1033">
        <f t="shared" si="44"/>
        <v>6565.4444898027868</v>
      </c>
      <c r="Z77" s="1033">
        <f t="shared" si="44"/>
        <v>6627.1596680069333</v>
      </c>
      <c r="AA77" s="1029"/>
      <c r="AB77" s="1029"/>
      <c r="AC77" s="1029"/>
      <c r="AD77" s="1029"/>
    </row>
    <row r="78" spans="2:30" s="1151" customFormat="1" ht="12.75" collapsed="1">
      <c r="B78" s="1147"/>
      <c r="C78" s="1148" t="s">
        <v>1129</v>
      </c>
      <c r="D78" s="1149"/>
      <c r="E78" s="1149"/>
      <c r="F78" s="1149"/>
      <c r="G78" s="1149"/>
      <c r="H78" s="1150">
        <f t="shared" ref="H78:Z78" si="45">CHOOSE($S$105,H75,H76,H77)</f>
        <v>6160</v>
      </c>
      <c r="I78" s="1150">
        <f t="shared" si="45"/>
        <v>6496.5817227163425</v>
      </c>
      <c r="J78" s="1150">
        <f t="shared" si="45"/>
        <v>6831.8718704344365</v>
      </c>
      <c r="K78" s="1150">
        <f t="shared" si="45"/>
        <v>7166.3654277972064</v>
      </c>
      <c r="L78" s="1150">
        <f t="shared" si="45"/>
        <v>7500.5452066294774</v>
      </c>
      <c r="M78" s="1150">
        <f t="shared" si="45"/>
        <v>7834.8828287151282</v>
      </c>
      <c r="N78" s="1150">
        <f t="shared" si="45"/>
        <v>8169.8396706298117</v>
      </c>
      <c r="O78" s="1150">
        <f t="shared" si="45"/>
        <v>8505.8677728620059</v>
      </c>
      <c r="P78" s="1150">
        <f t="shared" si="45"/>
        <v>8843.4107153536097</v>
      </c>
      <c r="Q78" s="1150">
        <f t="shared" si="45"/>
        <v>9182.9044614950908</v>
      </c>
      <c r="R78" s="1150">
        <f t="shared" si="45"/>
        <v>9524.7781725190816</v>
      </c>
      <c r="S78" s="1150">
        <f t="shared" si="45"/>
        <v>9869.4549941502337</v>
      </c>
      <c r="T78" s="1150">
        <f t="shared" si="45"/>
        <v>10217.35281728741</v>
      </c>
      <c r="U78" s="1150">
        <f t="shared" si="45"/>
        <v>10568.88501441733</v>
      </c>
      <c r="V78" s="1150">
        <f t="shared" si="45"/>
        <v>10924.46115338571</v>
      </c>
      <c r="W78" s="1150">
        <f t="shared" si="45"/>
        <v>11284.487690083088</v>
      </c>
      <c r="X78" s="1150">
        <f t="shared" si="45"/>
        <v>11649.368641537416</v>
      </c>
      <c r="Y78" s="1150">
        <f t="shared" si="45"/>
        <v>12019.506240843952</v>
      </c>
      <c r="Z78" s="1150">
        <f t="shared" si="45"/>
        <v>12395.301575305086</v>
      </c>
      <c r="AA78" s="1149"/>
      <c r="AB78" s="1149"/>
      <c r="AC78" s="1149"/>
      <c r="AD78" s="1149"/>
    </row>
    <row r="79" spans="2:30" s="1022" customFormat="1" ht="12.75"/>
    <row r="80" spans="2:30" s="1022" customFormat="1" ht="12.75">
      <c r="C80" s="1023" t="s">
        <v>1137</v>
      </c>
      <c r="D80" s="1024"/>
      <c r="E80" s="1024"/>
      <c r="F80" s="1024"/>
      <c r="G80" s="1024"/>
      <c r="H80" s="1024"/>
      <c r="I80" s="1024"/>
      <c r="J80" s="1024"/>
      <c r="K80" s="1024"/>
      <c r="L80" s="1024"/>
      <c r="M80" s="1024"/>
      <c r="N80" s="1024"/>
      <c r="O80" s="1024"/>
      <c r="P80" s="1024"/>
      <c r="Q80" s="1024"/>
      <c r="R80" s="1024"/>
      <c r="S80" s="1024"/>
      <c r="T80" s="1024"/>
      <c r="U80" s="1024"/>
      <c r="V80" s="1024"/>
      <c r="W80" s="1024"/>
      <c r="X80" s="1024"/>
      <c r="Y80" s="1024"/>
      <c r="Z80" s="1024"/>
    </row>
    <row r="81" spans="2:28" s="1022" customFormat="1" ht="12.75">
      <c r="C81" s="1128" t="s">
        <v>1085</v>
      </c>
      <c r="D81" s="1118"/>
      <c r="E81" s="1118"/>
      <c r="F81" s="1118"/>
      <c r="G81" s="1118"/>
      <c r="H81" s="1125"/>
      <c r="I81" s="1118"/>
      <c r="J81" s="1118"/>
      <c r="K81" s="1118"/>
      <c r="L81" s="1118"/>
      <c r="M81" s="1118"/>
      <c r="N81" s="1125"/>
      <c r="O81" s="1125"/>
      <c r="P81" s="1163">
        <v>0</v>
      </c>
      <c r="Q81" s="1125">
        <f t="shared" ref="Q81:Z81" si="46">Q89*0.4</f>
        <v>7.5000000000000011E-2</v>
      </c>
      <c r="R81" s="1125">
        <f t="shared" si="46"/>
        <v>0.13125000000000001</v>
      </c>
      <c r="S81" s="1126">
        <f t="shared" si="46"/>
        <v>0.19687500000000002</v>
      </c>
      <c r="T81" s="1126">
        <f t="shared" si="46"/>
        <v>0.27562499999999995</v>
      </c>
      <c r="U81" s="1126">
        <f t="shared" si="46"/>
        <v>0.33074999999999993</v>
      </c>
      <c r="V81" s="1126">
        <f t="shared" si="46"/>
        <v>0.33901874999999992</v>
      </c>
      <c r="W81" s="1126">
        <f t="shared" si="46"/>
        <v>0.33901874999999992</v>
      </c>
      <c r="X81" s="1126">
        <f t="shared" si="46"/>
        <v>0.33901874999999992</v>
      </c>
      <c r="Y81" s="1126">
        <f t="shared" si="46"/>
        <v>0.33901874999999992</v>
      </c>
      <c r="Z81" s="1126">
        <f t="shared" si="46"/>
        <v>0.33901874999999992</v>
      </c>
    </row>
    <row r="82" spans="2:28" s="1022" customFormat="1" ht="12.75">
      <c r="C82" s="1128" t="s">
        <v>111</v>
      </c>
      <c r="D82" s="1118"/>
      <c r="E82" s="1118"/>
      <c r="F82" s="1118"/>
      <c r="G82" s="1118"/>
      <c r="H82" s="1125"/>
      <c r="I82" s="1118"/>
      <c r="J82" s="1118"/>
      <c r="K82" s="1118"/>
      <c r="L82" s="1118"/>
      <c r="M82" s="1118"/>
      <c r="N82" s="1125"/>
      <c r="O82" s="1125"/>
      <c r="P82" s="1125">
        <f>P89-P81</f>
        <v>9.375E-2</v>
      </c>
      <c r="Q82" s="1125">
        <f t="shared" ref="Q82:Z82" si="47">Q89-Q81</f>
        <v>0.11249999999999999</v>
      </c>
      <c r="R82" s="1125">
        <f t="shared" si="47"/>
        <v>0.19687499999999999</v>
      </c>
      <c r="S82" s="1126">
        <f t="shared" si="47"/>
        <v>0.29531249999999998</v>
      </c>
      <c r="T82" s="1126">
        <f t="shared" si="47"/>
        <v>0.41343749999999996</v>
      </c>
      <c r="U82" s="1126">
        <f t="shared" si="47"/>
        <v>0.49612499999999987</v>
      </c>
      <c r="V82" s="1126">
        <f t="shared" si="47"/>
        <v>0.50852812499999989</v>
      </c>
      <c r="W82" s="1126">
        <f t="shared" si="47"/>
        <v>0.50852812499999989</v>
      </c>
      <c r="X82" s="1126">
        <f t="shared" si="47"/>
        <v>0.50852812499999989</v>
      </c>
      <c r="Y82" s="1126">
        <f t="shared" si="47"/>
        <v>0.50852812499999989</v>
      </c>
      <c r="Z82" s="1126">
        <f t="shared" si="47"/>
        <v>0.50852812499999989</v>
      </c>
    </row>
    <row r="83" spans="2:28" s="1022" customFormat="1" ht="12.75" hidden="1">
      <c r="C83" s="1038" t="s">
        <v>1085</v>
      </c>
      <c r="H83" s="1030"/>
      <c r="I83" s="1030"/>
      <c r="J83" s="1030"/>
      <c r="K83" s="1030"/>
      <c r="L83" s="1030"/>
      <c r="M83" s="1030"/>
      <c r="N83" s="1030"/>
      <c r="O83" s="1039"/>
      <c r="P83" s="1040"/>
      <c r="Q83" s="1039"/>
      <c r="R83" s="1039"/>
      <c r="S83" s="1039"/>
      <c r="T83" s="1039"/>
      <c r="U83" s="1039"/>
      <c r="V83" s="1039"/>
      <c r="W83" s="1039"/>
      <c r="X83" s="1039"/>
      <c r="Y83" s="1039"/>
      <c r="Z83" s="1039"/>
    </row>
    <row r="84" spans="2:28" hidden="1">
      <c r="C84" s="1128" t="s">
        <v>1086</v>
      </c>
      <c r="D84" s="1118"/>
      <c r="E84" s="1118"/>
      <c r="F84" s="1118"/>
      <c r="G84" s="1118"/>
      <c r="H84" s="1126"/>
      <c r="I84" s="1126"/>
      <c r="J84" s="1126"/>
      <c r="K84" s="1126"/>
      <c r="L84" s="1126"/>
      <c r="M84" s="1126"/>
      <c r="N84" s="1137"/>
      <c r="O84" s="1137"/>
      <c r="P84" s="1137"/>
      <c r="Q84" s="1137"/>
      <c r="R84" s="1137"/>
      <c r="S84" s="1137">
        <v>0</v>
      </c>
      <c r="T84" s="1137">
        <v>0</v>
      </c>
      <c r="U84" s="1137">
        <v>0</v>
      </c>
      <c r="V84" s="1137">
        <v>0</v>
      </c>
      <c r="W84" s="1137">
        <v>0</v>
      </c>
      <c r="X84" s="1137">
        <v>0</v>
      </c>
      <c r="Y84" s="1137">
        <v>0</v>
      </c>
      <c r="Z84" s="1137">
        <v>0</v>
      </c>
    </row>
    <row r="85" spans="2:28" s="1022" customFormat="1" ht="12.75" hidden="1">
      <c r="C85" s="1038" t="s">
        <v>111</v>
      </c>
      <c r="H85" s="1030"/>
      <c r="I85" s="1030"/>
      <c r="J85" s="1030"/>
      <c r="K85" s="1030"/>
      <c r="L85" s="1030"/>
      <c r="M85" s="1030"/>
      <c r="N85" s="1030"/>
      <c r="O85" s="1030"/>
      <c r="P85" s="1030"/>
      <c r="Q85" s="1030"/>
      <c r="R85" s="1030"/>
      <c r="S85" s="1030"/>
      <c r="T85" s="1030"/>
      <c r="U85" s="1030"/>
      <c r="V85" s="1030"/>
      <c r="W85" s="1030"/>
      <c r="X85" s="1030"/>
      <c r="Y85" s="1030"/>
      <c r="Z85" s="1030"/>
    </row>
    <row r="86" spans="2:28" hidden="1" outlineLevel="1">
      <c r="C86" s="1132" t="s">
        <v>463</v>
      </c>
      <c r="D86" s="1133"/>
      <c r="E86" s="1133"/>
      <c r="F86" s="1133"/>
      <c r="G86" s="1133"/>
      <c r="H86" s="1134"/>
      <c r="I86" s="1134"/>
      <c r="J86" s="1134"/>
      <c r="K86" s="1134"/>
      <c r="L86" s="1134"/>
      <c r="M86" s="1134"/>
      <c r="N86" s="1135"/>
      <c r="O86" s="1135"/>
      <c r="P86" s="1135">
        <f>P87</f>
        <v>9.375E-2</v>
      </c>
      <c r="Q86" s="1135">
        <f t="shared" ref="Q86:Z86" si="48">Q87</f>
        <v>0.1875</v>
      </c>
      <c r="R86" s="1135">
        <f t="shared" si="48"/>
        <v>0.328125</v>
      </c>
      <c r="S86" s="1135">
        <f t="shared" si="48"/>
        <v>0.4921875</v>
      </c>
      <c r="T86" s="1135">
        <f t="shared" si="48"/>
        <v>0.68906249999999991</v>
      </c>
      <c r="U86" s="1135">
        <f t="shared" si="48"/>
        <v>0.8268749999999998</v>
      </c>
      <c r="V86" s="1135">
        <f t="shared" si="48"/>
        <v>0.84754687499999981</v>
      </c>
      <c r="W86" s="1135">
        <f t="shared" si="48"/>
        <v>0.84754687499999981</v>
      </c>
      <c r="X86" s="1135">
        <f t="shared" si="48"/>
        <v>0.84754687499999981</v>
      </c>
      <c r="Y86" s="1135">
        <f t="shared" si="48"/>
        <v>0.84754687499999981</v>
      </c>
      <c r="Z86" s="1135">
        <f t="shared" si="48"/>
        <v>0.84754687499999981</v>
      </c>
    </row>
    <row r="87" spans="2:28" hidden="1" outlineLevel="1">
      <c r="C87" s="1132" t="s">
        <v>464</v>
      </c>
      <c r="D87" s="1133"/>
      <c r="E87" s="1133"/>
      <c r="F87" s="1133"/>
      <c r="G87" s="1133"/>
      <c r="H87" s="1134"/>
      <c r="I87" s="1134"/>
      <c r="J87" s="1134"/>
      <c r="K87" s="1134"/>
      <c r="L87" s="1134"/>
      <c r="M87" s="1134"/>
      <c r="N87" s="1135"/>
      <c r="O87" s="1135"/>
      <c r="P87" s="1135">
        <f>N40*0.75</f>
        <v>9.375E-2</v>
      </c>
      <c r="Q87" s="1135">
        <f t="shared" ref="Q87:Z87" si="49">O40*0.75</f>
        <v>0.1875</v>
      </c>
      <c r="R87" s="1135">
        <f t="shared" si="49"/>
        <v>0.328125</v>
      </c>
      <c r="S87" s="1135">
        <f t="shared" si="49"/>
        <v>0.4921875</v>
      </c>
      <c r="T87" s="1135">
        <f t="shared" si="49"/>
        <v>0.68906249999999991</v>
      </c>
      <c r="U87" s="1135">
        <f t="shared" si="49"/>
        <v>0.8268749999999998</v>
      </c>
      <c r="V87" s="1135">
        <f t="shared" si="49"/>
        <v>0.84754687499999981</v>
      </c>
      <c r="W87" s="1135">
        <f t="shared" si="49"/>
        <v>0.84754687499999981</v>
      </c>
      <c r="X87" s="1135">
        <f t="shared" si="49"/>
        <v>0.84754687499999981</v>
      </c>
      <c r="Y87" s="1135">
        <f t="shared" si="49"/>
        <v>0.84754687499999981</v>
      </c>
      <c r="Z87" s="1135">
        <f t="shared" si="49"/>
        <v>0.84754687499999981</v>
      </c>
    </row>
    <row r="88" spans="2:28" hidden="1" outlineLevel="1">
      <c r="C88" s="1132" t="s">
        <v>462</v>
      </c>
      <c r="D88" s="1133"/>
      <c r="E88" s="1133"/>
      <c r="F88" s="1133"/>
      <c r="G88" s="1133"/>
      <c r="H88" s="1134"/>
      <c r="I88" s="1134"/>
      <c r="J88" s="1134"/>
      <c r="K88" s="1134"/>
      <c r="L88" s="1134"/>
      <c r="M88" s="1134"/>
      <c r="N88" s="1135"/>
      <c r="O88" s="1135"/>
      <c r="P88" s="1135">
        <v>0</v>
      </c>
      <c r="Q88" s="1135">
        <f>P88</f>
        <v>0</v>
      </c>
      <c r="R88" s="1135">
        <f t="shared" ref="R88:Z88" si="50">Q88</f>
        <v>0</v>
      </c>
      <c r="S88" s="1135">
        <f t="shared" si="50"/>
        <v>0</v>
      </c>
      <c r="T88" s="1135">
        <f t="shared" si="50"/>
        <v>0</v>
      </c>
      <c r="U88" s="1135">
        <f t="shared" si="50"/>
        <v>0</v>
      </c>
      <c r="V88" s="1135">
        <f t="shared" si="50"/>
        <v>0</v>
      </c>
      <c r="W88" s="1135">
        <f t="shared" si="50"/>
        <v>0</v>
      </c>
      <c r="X88" s="1135">
        <f t="shared" si="50"/>
        <v>0</v>
      </c>
      <c r="Y88" s="1135">
        <f t="shared" si="50"/>
        <v>0</v>
      </c>
      <c r="Z88" s="1135">
        <f t="shared" si="50"/>
        <v>0</v>
      </c>
    </row>
    <row r="89" spans="2:28" collapsed="1">
      <c r="C89" s="1128" t="s">
        <v>1087</v>
      </c>
      <c r="D89" s="1118"/>
      <c r="E89" s="1118"/>
      <c r="F89" s="1118"/>
      <c r="G89" s="1118"/>
      <c r="H89" s="1125"/>
      <c r="I89" s="1118"/>
      <c r="J89" s="1118"/>
      <c r="K89" s="1118"/>
      <c r="L89" s="1118"/>
      <c r="M89" s="1118"/>
      <c r="N89" s="1125"/>
      <c r="O89" s="1125"/>
      <c r="P89" s="1125">
        <f t="shared" ref="P89:Z89" si="51">CHOOSE($S$105,P86,P87,P88)</f>
        <v>9.375E-2</v>
      </c>
      <c r="Q89" s="1125">
        <f t="shared" si="51"/>
        <v>0.1875</v>
      </c>
      <c r="R89" s="1125">
        <f t="shared" si="51"/>
        <v>0.328125</v>
      </c>
      <c r="S89" s="1126">
        <f t="shared" si="51"/>
        <v>0.4921875</v>
      </c>
      <c r="T89" s="1126">
        <f t="shared" si="51"/>
        <v>0.68906249999999991</v>
      </c>
      <c r="U89" s="1126">
        <f t="shared" si="51"/>
        <v>0.8268749999999998</v>
      </c>
      <c r="V89" s="1126">
        <f t="shared" si="51"/>
        <v>0.84754687499999981</v>
      </c>
      <c r="W89" s="1126">
        <f t="shared" si="51"/>
        <v>0.84754687499999981</v>
      </c>
      <c r="X89" s="1126">
        <f t="shared" si="51"/>
        <v>0.84754687499999981</v>
      </c>
      <c r="Y89" s="1126">
        <f t="shared" si="51"/>
        <v>0.84754687499999981</v>
      </c>
      <c r="Z89" s="1126">
        <f t="shared" si="51"/>
        <v>0.84754687499999981</v>
      </c>
    </row>
    <row r="90" spans="2:28" s="1022" customFormat="1" ht="12.75">
      <c r="C90" s="1128"/>
    </row>
    <row r="91" spans="2:28" s="1022" customFormat="1" ht="12.75">
      <c r="C91" s="1022" t="s">
        <v>1088</v>
      </c>
      <c r="O91" s="1164">
        <f>S110</f>
        <v>1</v>
      </c>
      <c r="P91" s="1165">
        <f>O91</f>
        <v>1</v>
      </c>
      <c r="Q91" s="1165">
        <f t="shared" ref="Q91:Z91" si="52">P91</f>
        <v>1</v>
      </c>
      <c r="R91" s="1165">
        <f t="shared" si="52"/>
        <v>1</v>
      </c>
      <c r="S91" s="1165">
        <f t="shared" si="52"/>
        <v>1</v>
      </c>
      <c r="T91" s="1165">
        <f t="shared" si="52"/>
        <v>1</v>
      </c>
      <c r="U91" s="1165">
        <f t="shared" si="52"/>
        <v>1</v>
      </c>
      <c r="V91" s="1165">
        <f t="shared" si="52"/>
        <v>1</v>
      </c>
      <c r="W91" s="1165">
        <f t="shared" si="52"/>
        <v>1</v>
      </c>
      <c r="X91" s="1165">
        <f t="shared" si="52"/>
        <v>1</v>
      </c>
      <c r="Y91" s="1165">
        <f t="shared" si="52"/>
        <v>1</v>
      </c>
      <c r="Z91" s="1165">
        <f t="shared" si="52"/>
        <v>1</v>
      </c>
    </row>
    <row r="92" spans="2:28" s="1022" customFormat="1" ht="12.75"/>
    <row r="93" spans="2:28" s="1022" customFormat="1" ht="12.75">
      <c r="C93" s="1042" t="s">
        <v>1089</v>
      </c>
      <c r="J93" s="1043"/>
      <c r="K93" s="1025"/>
      <c r="L93" s="1025"/>
      <c r="M93" s="1025"/>
      <c r="N93" s="1025"/>
      <c r="O93" s="1044">
        <v>235.2</v>
      </c>
      <c r="P93" s="1044">
        <f>O93*(1+P94)</f>
        <v>230.49599999999998</v>
      </c>
      <c r="Q93" s="1044">
        <f t="shared" ref="Q93:Y93" si="53">P93*(1+Q94)</f>
        <v>225.88607999999996</v>
      </c>
      <c r="R93" s="1044">
        <f t="shared" si="53"/>
        <v>221.36835839999995</v>
      </c>
      <c r="S93" s="1044">
        <f t="shared" si="53"/>
        <v>216.94099123199996</v>
      </c>
      <c r="T93" s="1044">
        <f t="shared" si="53"/>
        <v>212.60217140735995</v>
      </c>
      <c r="U93" s="1044">
        <f t="shared" si="53"/>
        <v>208.35012797921274</v>
      </c>
      <c r="V93" s="1044">
        <f t="shared" si="53"/>
        <v>204.18312541962848</v>
      </c>
      <c r="W93" s="1044">
        <f t="shared" si="53"/>
        <v>200.09946291123592</v>
      </c>
      <c r="X93" s="1044">
        <f t="shared" si="53"/>
        <v>196.09747365301121</v>
      </c>
      <c r="Y93" s="1044">
        <f t="shared" si="53"/>
        <v>192.17552417995097</v>
      </c>
      <c r="Z93" s="1044">
        <f>Y93*(1+Z94)</f>
        <v>188.33201369635194</v>
      </c>
    </row>
    <row r="94" spans="2:28" s="1022" customFormat="1" ht="12.75">
      <c r="C94" s="1045" t="s">
        <v>368</v>
      </c>
      <c r="D94" s="1046"/>
      <c r="E94" s="1046"/>
      <c r="F94" s="1046"/>
      <c r="G94" s="1046"/>
      <c r="H94" s="1046"/>
      <c r="I94" s="1046"/>
      <c r="J94" s="1046"/>
      <c r="K94" s="1047"/>
      <c r="L94" s="1048"/>
      <c r="M94" s="1048"/>
      <c r="N94" s="1048"/>
      <c r="O94" s="1047"/>
      <c r="P94" s="1048">
        <f t="shared" ref="P94:Z94" si="54">$S$109</f>
        <v>-0.02</v>
      </c>
      <c r="Q94" s="1048">
        <f t="shared" si="54"/>
        <v>-0.02</v>
      </c>
      <c r="R94" s="1048">
        <f t="shared" si="54"/>
        <v>-0.02</v>
      </c>
      <c r="S94" s="1048">
        <f t="shared" si="54"/>
        <v>-0.02</v>
      </c>
      <c r="T94" s="1048">
        <f t="shared" si="54"/>
        <v>-0.02</v>
      </c>
      <c r="U94" s="1048">
        <f t="shared" si="54"/>
        <v>-0.02</v>
      </c>
      <c r="V94" s="1048">
        <f t="shared" si="54"/>
        <v>-0.02</v>
      </c>
      <c r="W94" s="1048">
        <f t="shared" si="54"/>
        <v>-0.02</v>
      </c>
      <c r="X94" s="1048">
        <f t="shared" si="54"/>
        <v>-0.02</v>
      </c>
      <c r="Y94" s="1048">
        <f t="shared" si="54"/>
        <v>-0.02</v>
      </c>
      <c r="Z94" s="1048">
        <f t="shared" si="54"/>
        <v>-0.02</v>
      </c>
      <c r="AA94" s="1046"/>
      <c r="AB94" s="1046"/>
    </row>
    <row r="95" spans="2:28" s="1022" customFormat="1" ht="12.75">
      <c r="C95" s="1045"/>
      <c r="D95" s="1046"/>
      <c r="E95" s="1046"/>
      <c r="F95" s="1046"/>
      <c r="G95" s="1046"/>
      <c r="H95" s="1046"/>
      <c r="I95" s="1046"/>
      <c r="J95" s="1046"/>
      <c r="K95" s="1047"/>
      <c r="L95" s="1048"/>
      <c r="M95" s="1048"/>
      <c r="N95" s="1048"/>
      <c r="O95" s="1048"/>
      <c r="P95" s="1048"/>
      <c r="Q95" s="1048"/>
      <c r="R95" s="1048"/>
      <c r="S95" s="1048"/>
      <c r="T95" s="1048"/>
      <c r="U95" s="1048"/>
      <c r="V95" s="1048"/>
      <c r="W95" s="1048"/>
      <c r="X95" s="1048"/>
      <c r="Y95" s="1048"/>
      <c r="Z95" s="1048"/>
      <c r="AA95" s="1046"/>
      <c r="AB95" s="1046"/>
    </row>
    <row r="96" spans="2:28" s="1022" customFormat="1" ht="13.5" thickBot="1">
      <c r="B96" s="1166" t="s">
        <v>78</v>
      </c>
      <c r="C96" s="1171" t="s">
        <v>1138</v>
      </c>
      <c r="D96" s="1172"/>
      <c r="E96" s="1172"/>
      <c r="F96" s="1172"/>
      <c r="G96" s="1172"/>
      <c r="H96" s="1172"/>
      <c r="I96" s="1172"/>
      <c r="J96" s="1173"/>
      <c r="K96" s="1173"/>
      <c r="L96" s="1173"/>
      <c r="M96" s="1173"/>
      <c r="N96" s="1173"/>
      <c r="O96" s="1174">
        <f>O78*O81*O91*O93/1000</f>
        <v>0</v>
      </c>
      <c r="P96" s="1174">
        <f t="shared" ref="P96:Z96" si="55">P78*P81*P91*P93/1000</f>
        <v>0</v>
      </c>
      <c r="Q96" s="1174">
        <f t="shared" si="55"/>
        <v>155.57177188662277</v>
      </c>
      <c r="R96" s="1174">
        <f t="shared" si="55"/>
        <v>276.73859169792945</v>
      </c>
      <c r="S96" s="1174">
        <f t="shared" si="55"/>
        <v>421.52696565339238</v>
      </c>
      <c r="T96" s="1174">
        <f t="shared" si="55"/>
        <v>598.72127824423171</v>
      </c>
      <c r="U96" s="1174">
        <f t="shared" si="55"/>
        <v>728.32094137498677</v>
      </c>
      <c r="V96" s="1174">
        <f t="shared" si="55"/>
        <v>756.21204437236406</v>
      </c>
      <c r="W96" s="1174">
        <f t="shared" si="55"/>
        <v>765.5110927923854</v>
      </c>
      <c r="X96" s="1174">
        <f t="shared" si="55"/>
        <v>774.45841944800009</v>
      </c>
      <c r="Y96" s="1174">
        <f t="shared" si="55"/>
        <v>783.08412502163424</v>
      </c>
      <c r="Z96" s="1174">
        <f t="shared" si="55"/>
        <v>791.41625455319945</v>
      </c>
    </row>
    <row r="97" spans="2:26" s="1022" customFormat="1" ht="13.5" hidden="1" outlineLevel="1" thickTop="1"/>
    <row r="98" spans="2:26" s="1022" customFormat="1" ht="12.75" hidden="1" outlineLevel="1"/>
    <row r="99" spans="2:26" s="1022" customFormat="1" ht="12.75" hidden="1" outlineLevel="1"/>
    <row r="100" spans="2:26" s="1022" customFormat="1" ht="12.75" hidden="1" outlineLevel="1">
      <c r="C100" s="1022" t="s">
        <v>1132</v>
      </c>
      <c r="H100" s="1152">
        <f>H58/H57</f>
        <v>0.21276595744680851</v>
      </c>
      <c r="I100" s="1152">
        <f>H100*0.98</f>
        <v>0.20851063829787234</v>
      </c>
      <c r="J100" s="1152">
        <f t="shared" ref="J100:Z100" si="56">I100*0.98</f>
        <v>0.20434042553191489</v>
      </c>
      <c r="K100" s="1152">
        <f t="shared" si="56"/>
        <v>0.20025361702127659</v>
      </c>
      <c r="L100" s="1152">
        <f t="shared" si="56"/>
        <v>0.19624854468085104</v>
      </c>
      <c r="M100" s="1152">
        <f t="shared" si="56"/>
        <v>0.19232357378723403</v>
      </c>
      <c r="N100" s="1152">
        <f t="shared" si="56"/>
        <v>0.18847710231148934</v>
      </c>
      <c r="O100" s="1152">
        <f t="shared" si="56"/>
        <v>0.18470756026525956</v>
      </c>
      <c r="P100" s="1152">
        <f t="shared" si="56"/>
        <v>0.18101340905995436</v>
      </c>
      <c r="Q100" s="1152">
        <f t="shared" si="56"/>
        <v>0.17739314087875527</v>
      </c>
      <c r="R100" s="1152">
        <f t="shared" si="56"/>
        <v>0.17384527806118016</v>
      </c>
      <c r="S100" s="1152">
        <f t="shared" si="56"/>
        <v>0.17036837249995657</v>
      </c>
      <c r="T100" s="1152">
        <f t="shared" si="56"/>
        <v>0.16696100504995742</v>
      </c>
      <c r="U100" s="1152">
        <f t="shared" si="56"/>
        <v>0.16362178494895827</v>
      </c>
      <c r="V100" s="1152">
        <f t="shared" si="56"/>
        <v>0.1603493492499791</v>
      </c>
      <c r="W100" s="1152">
        <f t="shared" si="56"/>
        <v>0.15714236226497952</v>
      </c>
      <c r="X100" s="1152">
        <f t="shared" si="56"/>
        <v>0.15399951501967993</v>
      </c>
      <c r="Y100" s="1152">
        <f t="shared" si="56"/>
        <v>0.15091952471928632</v>
      </c>
      <c r="Z100" s="1152">
        <f t="shared" si="56"/>
        <v>0.14790113422490059</v>
      </c>
    </row>
    <row r="101" spans="2:26" ht="16.5" collapsed="1" thickTop="1" thickBot="1"/>
    <row r="102" spans="2:26" s="1153" customFormat="1" ht="15.75" thickBot="1">
      <c r="B102" s="1166" t="s">
        <v>78</v>
      </c>
      <c r="C102" s="1154" t="s">
        <v>1209</v>
      </c>
      <c r="D102" s="1175"/>
      <c r="E102" s="1175"/>
      <c r="F102" s="1175"/>
      <c r="G102" s="1175"/>
      <c r="H102" s="1175"/>
      <c r="I102" s="1175"/>
      <c r="J102" s="1175"/>
      <c r="K102" s="1175"/>
      <c r="L102" s="1175"/>
      <c r="M102" s="1175"/>
      <c r="N102" s="1175"/>
      <c r="O102" s="1176">
        <f t="shared" ref="O102:Z102" si="57">O96+O49</f>
        <v>60.721385383593301</v>
      </c>
      <c r="P102" s="1176">
        <f t="shared" si="57"/>
        <v>161.88331975746624</v>
      </c>
      <c r="Q102" s="1176">
        <f t="shared" si="57"/>
        <v>484.37175002317417</v>
      </c>
      <c r="R102" s="1176">
        <f t="shared" si="57"/>
        <v>802.61632968168396</v>
      </c>
      <c r="S102" s="1176">
        <f t="shared" si="57"/>
        <v>1133.5149780255774</v>
      </c>
      <c r="T102" s="1176">
        <f t="shared" si="57"/>
        <v>1487.9374771576609</v>
      </c>
      <c r="U102" s="1176">
        <f t="shared" si="57"/>
        <v>1631.1818115946733</v>
      </c>
      <c r="V102" s="1176">
        <f t="shared" si="57"/>
        <v>1672.8998629411108</v>
      </c>
      <c r="W102" s="1176">
        <f t="shared" si="57"/>
        <v>1696.2166988731014</v>
      </c>
      <c r="X102" s="1176">
        <f t="shared" si="57"/>
        <v>1719.3812388590113</v>
      </c>
      <c r="Y102" s="1176">
        <f t="shared" si="57"/>
        <v>1742.4322063946702</v>
      </c>
      <c r="Z102" s="1177">
        <f t="shared" si="57"/>
        <v>1765.4063169115498</v>
      </c>
    </row>
    <row r="103" spans="2:26">
      <c r="P103" s="1184"/>
    </row>
    <row r="104" spans="2:26" ht="15.75" thickBot="1"/>
    <row r="105" spans="2:26" ht="15.75" thickBot="1">
      <c r="C105" s="1182"/>
      <c r="O105" s="1154" t="s">
        <v>1170</v>
      </c>
      <c r="P105" s="1180"/>
      <c r="Q105" s="1180"/>
      <c r="R105" s="1181"/>
      <c r="S105" s="1155">
        <f>DCF!$C$25</f>
        <v>2</v>
      </c>
    </row>
    <row r="106" spans="2:26">
      <c r="C106" s="1183"/>
      <c r="O106" s="1157" t="s">
        <v>1210</v>
      </c>
      <c r="P106" s="1178"/>
      <c r="Q106" s="1178"/>
      <c r="R106" s="1178"/>
      <c r="S106" s="1156">
        <f>325</f>
        <v>325</v>
      </c>
    </row>
    <row r="107" spans="2:26">
      <c r="C107" s="1183"/>
      <c r="O107" s="1157" t="s">
        <v>1094</v>
      </c>
      <c r="P107" s="1178"/>
      <c r="Q107" s="1178"/>
      <c r="R107" s="1178"/>
      <c r="S107" s="1158">
        <v>0</v>
      </c>
    </row>
    <row r="108" spans="2:26">
      <c r="C108" s="1183"/>
      <c r="O108" s="1157" t="s">
        <v>1095</v>
      </c>
      <c r="P108" s="1178"/>
      <c r="Q108" s="1178"/>
      <c r="R108" s="1178"/>
      <c r="S108" s="1159">
        <f>O93/O46</f>
        <v>0.72369230769230763</v>
      </c>
    </row>
    <row r="109" spans="2:26">
      <c r="C109" s="1183"/>
      <c r="O109" s="1157" t="s">
        <v>1096</v>
      </c>
      <c r="P109" s="1178"/>
      <c r="Q109" s="1178"/>
      <c r="R109" s="1178"/>
      <c r="S109" s="1159">
        <v>-0.02</v>
      </c>
    </row>
    <row r="110" spans="2:26" ht="15.75" thickBot="1">
      <c r="C110" s="1183"/>
      <c r="O110" s="1160" t="s">
        <v>1088</v>
      </c>
      <c r="P110" s="1179"/>
      <c r="Q110" s="1179"/>
      <c r="R110" s="1179"/>
      <c r="S110" s="1161">
        <v>1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2:AD506"/>
  <sheetViews>
    <sheetView zoomScale="85" zoomScaleNormal="85" workbookViewId="0">
      <pane xSplit="3" ySplit="4" topLeftCell="L287" activePane="bottomRight" state="frozen"/>
      <selection activeCell="D60" sqref="D60:D61"/>
      <selection pane="topRight" activeCell="D60" sqref="D60:D61"/>
      <selection pane="bottomLeft" activeCell="D60" sqref="D60:D61"/>
      <selection pane="bottomRight" activeCell="O319" sqref="O319"/>
    </sheetView>
  </sheetViews>
  <sheetFormatPr defaultRowHeight="12.75" outlineLevelRow="1" outlineLevelCol="1"/>
  <cols>
    <col min="1" max="2" width="4.28515625" style="1022" customWidth="1"/>
    <col min="3" max="3" width="52.140625" style="1022" bestFit="1" customWidth="1"/>
    <col min="4" max="12" width="9.140625" style="1022" customWidth="1" outlineLevel="1"/>
    <col min="13" max="18" width="9.140625" style="1022" customWidth="1"/>
    <col min="19" max="16384" width="9.140625" style="1022"/>
  </cols>
  <sheetData>
    <row r="2" spans="2:28">
      <c r="B2" s="1206"/>
      <c r="C2" s="1208"/>
    </row>
    <row r="4" spans="2:28">
      <c r="C4" s="1059"/>
      <c r="D4" s="1059">
        <v>2008</v>
      </c>
      <c r="E4" s="1059">
        <f>D4+1</f>
        <v>2009</v>
      </c>
      <c r="F4" s="1059">
        <f t="shared" ref="F4:V4" si="0">E4+1</f>
        <v>2010</v>
      </c>
      <c r="G4" s="1059">
        <f t="shared" si="0"/>
        <v>2011</v>
      </c>
      <c r="H4" s="1059">
        <f t="shared" si="0"/>
        <v>2012</v>
      </c>
      <c r="I4" s="1059">
        <f t="shared" si="0"/>
        <v>2013</v>
      </c>
      <c r="J4" s="1059">
        <f t="shared" si="0"/>
        <v>2014</v>
      </c>
      <c r="K4" s="1059">
        <f t="shared" si="0"/>
        <v>2015</v>
      </c>
      <c r="L4" s="1059">
        <f t="shared" si="0"/>
        <v>2016</v>
      </c>
      <c r="M4" s="1059">
        <f t="shared" si="0"/>
        <v>2017</v>
      </c>
      <c r="N4" s="1059">
        <f t="shared" si="0"/>
        <v>2018</v>
      </c>
      <c r="O4" s="1059">
        <f t="shared" si="0"/>
        <v>2019</v>
      </c>
      <c r="P4" s="1059">
        <f t="shared" si="0"/>
        <v>2020</v>
      </c>
      <c r="Q4" s="1059">
        <f t="shared" si="0"/>
        <v>2021</v>
      </c>
      <c r="R4" s="1059">
        <f t="shared" si="0"/>
        <v>2022</v>
      </c>
      <c r="S4" s="1059">
        <f t="shared" si="0"/>
        <v>2023</v>
      </c>
      <c r="T4" s="1059">
        <f t="shared" si="0"/>
        <v>2024</v>
      </c>
      <c r="U4" s="1059">
        <f t="shared" si="0"/>
        <v>2025</v>
      </c>
      <c r="V4" s="1059">
        <f t="shared" si="0"/>
        <v>2026</v>
      </c>
      <c r="W4" s="1059">
        <f>V4+1</f>
        <v>2027</v>
      </c>
      <c r="X4" s="1059">
        <f>W4+1</f>
        <v>2028</v>
      </c>
      <c r="Y4" s="1059">
        <f>X4+1</f>
        <v>2029</v>
      </c>
      <c r="Z4" s="1059">
        <f>Y4+1</f>
        <v>2030</v>
      </c>
    </row>
    <row r="5" spans="2:28">
      <c r="B5" s="1206" t="s">
        <v>78</v>
      </c>
      <c r="C5" s="1023" t="s">
        <v>1155</v>
      </c>
      <c r="D5" s="1024"/>
      <c r="E5" s="1024"/>
      <c r="F5" s="1024"/>
      <c r="G5" s="1024"/>
      <c r="H5" s="1024"/>
      <c r="I5" s="1024"/>
      <c r="J5" s="1024"/>
      <c r="K5" s="1024"/>
      <c r="L5" s="1024"/>
      <c r="M5" s="1024"/>
      <c r="N5" s="1024"/>
      <c r="O5" s="1024"/>
      <c r="P5" s="1024"/>
      <c r="Q5" s="1024"/>
      <c r="R5" s="1024"/>
      <c r="S5" s="1024"/>
      <c r="T5" s="1024"/>
      <c r="U5" s="1024"/>
      <c r="V5" s="1024"/>
      <c r="W5" s="1037"/>
      <c r="X5" s="1037"/>
      <c r="Y5" s="1037"/>
      <c r="Z5" s="1037"/>
    </row>
    <row r="6" spans="2:28">
      <c r="C6" s="1022" t="s">
        <v>434</v>
      </c>
      <c r="D6" s="1025">
        <f>E6+D8-D7+D9</f>
        <v>84535.847191000008</v>
      </c>
      <c r="E6" s="1026">
        <v>90000</v>
      </c>
      <c r="F6" s="1025">
        <f>E6+E7-E8-E9</f>
        <v>95185.078200000004</v>
      </c>
      <c r="G6" s="1025">
        <f>F6+F7-F8-F9</f>
        <v>100032.18429</v>
      </c>
      <c r="H6" s="1025">
        <f>G6+G7-G8-G9</f>
        <v>104558.5750755</v>
      </c>
      <c r="I6" s="1025">
        <f t="shared" ref="I6:V6" si="1">H6+H7-H8-H9</f>
        <v>108780.646321725</v>
      </c>
      <c r="J6" s="1025">
        <f t="shared" si="1"/>
        <v>112838.86400563875</v>
      </c>
      <c r="K6" s="1025">
        <f t="shared" si="1"/>
        <v>116741.65705535682</v>
      </c>
      <c r="L6" s="1025">
        <f t="shared" si="1"/>
        <v>120497.03413383898</v>
      </c>
      <c r="M6" s="1025">
        <f>L6+L7-L8-L9</f>
        <v>124112.6046580533</v>
      </c>
      <c r="N6" s="1025">
        <f t="shared" si="1"/>
        <v>127595.59876721141</v>
      </c>
      <c r="O6" s="1025">
        <f t="shared" si="1"/>
        <v>130952.88629262192</v>
      </c>
      <c r="P6" s="1025">
        <f t="shared" si="1"/>
        <v>134190.99477908076</v>
      </c>
      <c r="Q6" s="1025">
        <f t="shared" si="1"/>
        <v>137316.12660522212</v>
      </c>
      <c r="R6" s="1025">
        <f t="shared" si="1"/>
        <v>140334.17524788188</v>
      </c>
      <c r="S6" s="1025">
        <f t="shared" si="1"/>
        <v>143250.74073327327</v>
      </c>
      <c r="T6" s="1025">
        <f t="shared" si="1"/>
        <v>146071.14431563398</v>
      </c>
      <c r="U6" s="1025">
        <f t="shared" si="1"/>
        <v>148800.44242197176</v>
      </c>
      <c r="V6" s="1025">
        <f t="shared" si="1"/>
        <v>151443.43989960328</v>
      </c>
      <c r="W6" s="1025">
        <f>V6+V7-V8-V9</f>
        <v>154004.70260134689</v>
      </c>
      <c r="X6" s="1025">
        <f>W6+W7-W8-W9</f>
        <v>156488.5693414869</v>
      </c>
      <c r="Y6" s="1025">
        <f>X6+X7-X8-X9</f>
        <v>158899.16325397094</v>
      </c>
      <c r="Z6" s="1025">
        <f>Y6+Y7-Y8-Y9</f>
        <v>161240.4025827286</v>
      </c>
      <c r="AB6" s="1022" t="s">
        <v>1156</v>
      </c>
    </row>
    <row r="7" spans="2:28">
      <c r="C7" s="1052" t="s">
        <v>100</v>
      </c>
      <c r="D7" s="1025">
        <v>14114.152808999999</v>
      </c>
      <c r="E7" s="1025">
        <v>14185.0782</v>
      </c>
      <c r="F7" s="1025">
        <v>14256.36</v>
      </c>
      <c r="G7" s="1025">
        <v>14328</v>
      </c>
      <c r="H7" s="1025">
        <v>14400</v>
      </c>
      <c r="I7" s="1025">
        <v>14471.999999999998</v>
      </c>
      <c r="J7" s="1025">
        <v>14544.359999999997</v>
      </c>
      <c r="K7" s="1025">
        <v>14617.081799999994</v>
      </c>
      <c r="L7" s="1025">
        <v>14690.167208999992</v>
      </c>
      <c r="M7" s="1025">
        <v>14763.61804504499</v>
      </c>
      <c r="N7" s="1025">
        <v>14837.436135270213</v>
      </c>
      <c r="O7" s="1025">
        <v>14911.623315946563</v>
      </c>
      <c r="P7" s="1025">
        <v>14986.181432526295</v>
      </c>
      <c r="Q7" s="1025">
        <v>15061.112339688925</v>
      </c>
      <c r="R7" s="1025">
        <v>15136.417901387369</v>
      </c>
      <c r="S7" s="1025">
        <v>15212.099990894305</v>
      </c>
      <c r="T7" s="1025">
        <v>15288.160490848775</v>
      </c>
      <c r="U7" s="1025">
        <v>15364.601293303018</v>
      </c>
      <c r="V7" s="1025">
        <v>15441.424299769531</v>
      </c>
      <c r="W7" s="1025">
        <v>15518.631421268377</v>
      </c>
      <c r="X7" s="1025">
        <v>15596.224578374718</v>
      </c>
      <c r="Y7" s="1025">
        <v>15674.20570126659</v>
      </c>
      <c r="Z7" s="1025">
        <v>15752.576729772922</v>
      </c>
      <c r="AB7" s="1022" t="s">
        <v>1157</v>
      </c>
    </row>
    <row r="8" spans="2:28">
      <c r="C8" s="1052" t="s">
        <v>101</v>
      </c>
      <c r="D8" s="1025">
        <v>4400</v>
      </c>
      <c r="E8" s="1025">
        <v>4500</v>
      </c>
      <c r="F8" s="1025">
        <v>4650</v>
      </c>
      <c r="G8" s="1025">
        <v>4800</v>
      </c>
      <c r="H8" s="1025">
        <v>4950</v>
      </c>
      <c r="I8" s="1025">
        <v>4974.7499999999991</v>
      </c>
      <c r="J8" s="1025">
        <v>4999.6237499999988</v>
      </c>
      <c r="K8" s="1025">
        <v>5024.6218687499977</v>
      </c>
      <c r="L8" s="1025">
        <v>5049.7449780937477</v>
      </c>
      <c r="M8" s="1025">
        <v>5074.9937029842149</v>
      </c>
      <c r="N8" s="1025">
        <v>5100.3686714991354</v>
      </c>
      <c r="O8" s="1025">
        <v>5125.8705148566314</v>
      </c>
      <c r="P8" s="1025">
        <v>5151.4998674309136</v>
      </c>
      <c r="Q8" s="1025">
        <v>5177.2573667680681</v>
      </c>
      <c r="R8" s="1025">
        <v>5203.1436536019082</v>
      </c>
      <c r="S8" s="1025">
        <v>5229.1593718699169</v>
      </c>
      <c r="T8" s="1025">
        <v>5255.3051687292664</v>
      </c>
      <c r="U8" s="1025">
        <v>5281.5816945729121</v>
      </c>
      <c r="V8" s="1025">
        <v>5307.9896030457767</v>
      </c>
      <c r="W8" s="1025">
        <v>5334.5295510610049</v>
      </c>
      <c r="X8" s="1025">
        <v>5361.2021988163096</v>
      </c>
      <c r="Y8" s="1025">
        <v>5388.0082098103903</v>
      </c>
      <c r="Z8" s="1025">
        <v>5414.9482508594419</v>
      </c>
      <c r="AB8" s="1022" t="s">
        <v>1156</v>
      </c>
    </row>
    <row r="9" spans="2:28">
      <c r="C9" s="1052" t="s">
        <v>455</v>
      </c>
      <c r="D9" s="1026">
        <v>4250</v>
      </c>
      <c r="E9" s="1035">
        <v>4500</v>
      </c>
      <c r="F9" s="1035">
        <v>4759.2539100000004</v>
      </c>
      <c r="G9" s="1035">
        <v>5001.6092145000002</v>
      </c>
      <c r="H9" s="1035">
        <v>5227.9287537750006</v>
      </c>
      <c r="I9" s="1035">
        <v>5439.0323160862499</v>
      </c>
      <c r="J9" s="1035">
        <v>5641.9432002819376</v>
      </c>
      <c r="K9" s="1035">
        <v>5837.0828527678414</v>
      </c>
      <c r="L9" s="1035">
        <v>6024.8517066919494</v>
      </c>
      <c r="M9" s="1035">
        <v>6205.6302329026657</v>
      </c>
      <c r="N9" s="1035">
        <v>6379.7799383605707</v>
      </c>
      <c r="O9" s="1035">
        <v>6547.6443146310958</v>
      </c>
      <c r="P9" s="1035">
        <v>6709.5497389540387</v>
      </c>
      <c r="Q9" s="1035">
        <v>6865.8063302611063</v>
      </c>
      <c r="R9" s="1035">
        <v>7016.7087623940943</v>
      </c>
      <c r="S9" s="1035">
        <v>7162.5370366636635</v>
      </c>
      <c r="T9" s="1035">
        <v>7303.5572157816996</v>
      </c>
      <c r="U9" s="1035">
        <v>7440.0221210985883</v>
      </c>
      <c r="V9" s="1035">
        <v>7572.1719949801645</v>
      </c>
      <c r="W9" s="1035">
        <v>7700.2351300673445</v>
      </c>
      <c r="X9" s="1035">
        <v>7824.4284670743455</v>
      </c>
      <c r="Y9" s="1035">
        <v>7944.9581626985473</v>
      </c>
      <c r="Z9" s="1035">
        <v>8062.0201291364301</v>
      </c>
    </row>
    <row r="11" spans="2:28">
      <c r="C11" s="1022" t="s">
        <v>1158</v>
      </c>
      <c r="D11" s="1025">
        <f>D12*D7</f>
        <v>8723.3305555624993</v>
      </c>
      <c r="E11" s="1025">
        <f t="shared" ref="E11:Z11" si="2">E12*E7</f>
        <v>8767.1663874999995</v>
      </c>
      <c r="F11" s="1025">
        <f t="shared" si="2"/>
        <v>8811.2224999999999</v>
      </c>
      <c r="G11" s="1025">
        <f t="shared" si="2"/>
        <v>8855.5</v>
      </c>
      <c r="H11" s="1025">
        <f t="shared" si="2"/>
        <v>8900</v>
      </c>
      <c r="I11" s="1025">
        <f t="shared" si="2"/>
        <v>8944.5</v>
      </c>
      <c r="J11" s="1025">
        <f t="shared" si="2"/>
        <v>8989.222499999998</v>
      </c>
      <c r="K11" s="1025">
        <f t="shared" si="2"/>
        <v>9034.1686124999978</v>
      </c>
      <c r="L11" s="1025">
        <f t="shared" si="2"/>
        <v>9079.3394555624945</v>
      </c>
      <c r="M11" s="1025">
        <f t="shared" si="2"/>
        <v>9124.7361528403071</v>
      </c>
      <c r="N11" s="1025">
        <f t="shared" si="2"/>
        <v>9170.359833604507</v>
      </c>
      <c r="O11" s="1025">
        <f t="shared" si="2"/>
        <v>9216.2116327725289</v>
      </c>
      <c r="P11" s="1025">
        <f t="shared" si="2"/>
        <v>9262.2926909363905</v>
      </c>
      <c r="Q11" s="1025">
        <f t="shared" si="2"/>
        <v>9308.6041543910724</v>
      </c>
      <c r="R11" s="1025">
        <f t="shared" si="2"/>
        <v>9355.147175163027</v>
      </c>
      <c r="S11" s="1025">
        <f t="shared" si="2"/>
        <v>9401.9229110388424</v>
      </c>
      <c r="T11" s="1025">
        <f t="shared" si="2"/>
        <v>9448.9325255940348</v>
      </c>
      <c r="U11" s="1025">
        <f t="shared" si="2"/>
        <v>9496.1771882220037</v>
      </c>
      <c r="V11" s="1025">
        <f t="shared" si="2"/>
        <v>9543.6580741631133</v>
      </c>
      <c r="W11" s="1025">
        <f t="shared" si="2"/>
        <v>9591.3763645339277</v>
      </c>
      <c r="X11" s="1025">
        <f t="shared" si="2"/>
        <v>9639.3332463565966</v>
      </c>
      <c r="Y11" s="1025">
        <f t="shared" si="2"/>
        <v>9687.5299125883794</v>
      </c>
      <c r="Z11" s="1025">
        <f t="shared" si="2"/>
        <v>9735.9675621513197</v>
      </c>
      <c r="AB11" s="1022" t="s">
        <v>1157</v>
      </c>
    </row>
    <row r="12" spans="2:28" s="1051" customFormat="1">
      <c r="B12" s="1060"/>
      <c r="C12" s="1061" t="s">
        <v>1122</v>
      </c>
      <c r="D12" s="1039">
        <v>0.61805555555555558</v>
      </c>
      <c r="E12" s="1039">
        <v>0.61805555555555558</v>
      </c>
      <c r="F12" s="1039">
        <v>0.61805555555555558</v>
      </c>
      <c r="G12" s="1039">
        <v>0.61805555555555558</v>
      </c>
      <c r="H12" s="1039">
        <v>0.61805555555555558</v>
      </c>
      <c r="I12" s="1039">
        <v>0.61805555555555558</v>
      </c>
      <c r="J12" s="1039">
        <v>0.61805555555555558</v>
      </c>
      <c r="K12" s="1039">
        <v>0.61805555555555558</v>
      </c>
      <c r="L12" s="1039">
        <v>0.61805555555555558</v>
      </c>
      <c r="M12" s="1039">
        <v>0.61805555555555558</v>
      </c>
      <c r="N12" s="1039">
        <v>0.61805555555555558</v>
      </c>
      <c r="O12" s="1039">
        <v>0.61805555555555558</v>
      </c>
      <c r="P12" s="1039">
        <v>0.61805555555555558</v>
      </c>
      <c r="Q12" s="1039">
        <v>0.61805555555555558</v>
      </c>
      <c r="R12" s="1039">
        <v>0.61805555555555558</v>
      </c>
      <c r="S12" s="1039">
        <v>0.61805555555555558</v>
      </c>
      <c r="T12" s="1039">
        <v>0.61805555555555558</v>
      </c>
      <c r="U12" s="1039">
        <v>0.61805555555555558</v>
      </c>
      <c r="V12" s="1039">
        <v>0.61805555555555558</v>
      </c>
      <c r="W12" s="1039">
        <v>0.61805555555555558</v>
      </c>
      <c r="X12" s="1039">
        <v>0.61805555555555558</v>
      </c>
      <c r="Y12" s="1039">
        <v>0.61805555555555558</v>
      </c>
      <c r="Z12" s="1039">
        <v>0.61805555555555558</v>
      </c>
    </row>
    <row r="13" spans="2:28">
      <c r="C13" s="1028"/>
      <c r="D13" s="1029"/>
      <c r="E13" s="1029"/>
      <c r="F13" s="1029"/>
      <c r="G13" s="1029"/>
      <c r="H13" s="1062"/>
      <c r="I13" s="1029"/>
      <c r="J13" s="1029"/>
      <c r="K13" s="1029"/>
      <c r="L13" s="1029"/>
      <c r="M13" s="1029"/>
      <c r="N13" s="1029"/>
      <c r="O13" s="1029"/>
      <c r="P13" s="1029"/>
      <c r="Q13" s="1029"/>
      <c r="R13" s="1029"/>
      <c r="S13" s="1029"/>
      <c r="T13" s="1029"/>
      <c r="U13" s="1029"/>
      <c r="V13" s="1029"/>
      <c r="W13" s="1029"/>
      <c r="X13" s="1029"/>
      <c r="Y13" s="1029"/>
      <c r="Z13" s="1029"/>
    </row>
    <row r="14" spans="2:28">
      <c r="C14" s="1022" t="s">
        <v>1159</v>
      </c>
      <c r="D14" s="1025">
        <f>D15*(D6-D11)</f>
        <v>5547.7265475594759</v>
      </c>
      <c r="E14" s="1025">
        <f t="shared" ref="E14:Z14" si="3">E15*(E6-E11)</f>
        <v>5944.3686552794679</v>
      </c>
      <c r="F14" s="1025">
        <f t="shared" si="3"/>
        <v>6320.57282290476</v>
      </c>
      <c r="G14" s="1025">
        <f t="shared" si="3"/>
        <v>6672.0290316499249</v>
      </c>
      <c r="H14" s="1025">
        <f t="shared" si="3"/>
        <v>6999.9999999999991</v>
      </c>
      <c r="I14" s="1025">
        <f t="shared" si="3"/>
        <v>7305.7018014380246</v>
      </c>
      <c r="J14" s="1025">
        <f t="shared" si="3"/>
        <v>7599.39702181134</v>
      </c>
      <c r="K14" s="1025">
        <f t="shared" si="3"/>
        <v>7881.7023827182156</v>
      </c>
      <c r="L14" s="1025">
        <f t="shared" si="3"/>
        <v>8153.2038516397342</v>
      </c>
      <c r="M14" s="1025">
        <f t="shared" si="3"/>
        <v>8414.4581800554643</v>
      </c>
      <c r="N14" s="1025">
        <f t="shared" si="3"/>
        <v>8665.9943646553966</v>
      </c>
      <c r="O14" s="1025">
        <f t="shared" si="3"/>
        <v>8908.3150354933459</v>
      </c>
      <c r="P14" s="1025">
        <f t="shared" si="3"/>
        <v>9141.8977747347508</v>
      </c>
      <c r="Q14" s="1025">
        <f t="shared" si="3"/>
        <v>9367.1963694691658</v>
      </c>
      <c r="R14" s="1025">
        <f t="shared" si="3"/>
        <v>9584.6420018842146</v>
      </c>
      <c r="S14" s="1025">
        <f t="shared" si="3"/>
        <v>9794.6443799329554</v>
      </c>
      <c r="T14" s="1025">
        <f t="shared" si="3"/>
        <v>9997.5928114699745</v>
      </c>
      <c r="U14" s="1025">
        <f t="shared" si="3"/>
        <v>10193.857224682804</v>
      </c>
      <c r="V14" s="1025">
        <f t="shared" si="3"/>
        <v>10383.789137503931</v>
      </c>
      <c r="W14" s="1025">
        <f t="shared" si="3"/>
        <v>10567.722578554274</v>
      </c>
      <c r="X14" s="1025">
        <f t="shared" si="3"/>
        <v>10745.974962041728</v>
      </c>
      <c r="Y14" s="1025">
        <f t="shared" si="3"/>
        <v>10918.847918916885</v>
      </c>
      <c r="Z14" s="1025">
        <f t="shared" si="3"/>
        <v>11086.628086473173</v>
      </c>
      <c r="AB14" s="1022" t="s">
        <v>1157</v>
      </c>
    </row>
    <row r="15" spans="2:28">
      <c r="C15" s="1028" t="s">
        <v>1124</v>
      </c>
      <c r="D15" s="1029">
        <v>7.3176921091236635E-2</v>
      </c>
      <c r="E15" s="1029">
        <v>7.3176921091236635E-2</v>
      </c>
      <c r="F15" s="1029">
        <v>7.3176921091236635E-2</v>
      </c>
      <c r="G15" s="1029">
        <v>7.3176921091236635E-2</v>
      </c>
      <c r="H15" s="1029">
        <v>7.3176921091236635E-2</v>
      </c>
      <c r="I15" s="1029">
        <v>7.3176921091236635E-2</v>
      </c>
      <c r="J15" s="1029">
        <v>7.3176921091236635E-2</v>
      </c>
      <c r="K15" s="1029">
        <v>7.3176921091236635E-2</v>
      </c>
      <c r="L15" s="1029">
        <v>7.3176921091236635E-2</v>
      </c>
      <c r="M15" s="1029">
        <v>7.3176921091236635E-2</v>
      </c>
      <c r="N15" s="1029">
        <v>7.3176921091236635E-2</v>
      </c>
      <c r="O15" s="1029">
        <v>7.3176921091236635E-2</v>
      </c>
      <c r="P15" s="1029">
        <v>7.3176921091236635E-2</v>
      </c>
      <c r="Q15" s="1029">
        <v>7.3176921091236635E-2</v>
      </c>
      <c r="R15" s="1029">
        <v>7.3176921091236635E-2</v>
      </c>
      <c r="S15" s="1029">
        <v>7.3176921091236635E-2</v>
      </c>
      <c r="T15" s="1029">
        <v>7.3176921091236635E-2</v>
      </c>
      <c r="U15" s="1029">
        <v>7.3176921091236635E-2</v>
      </c>
      <c r="V15" s="1029">
        <v>7.3176921091236635E-2</v>
      </c>
      <c r="W15" s="1029">
        <v>7.3176921091236635E-2</v>
      </c>
      <c r="X15" s="1029">
        <v>7.3176921091236635E-2</v>
      </c>
      <c r="Y15" s="1029">
        <v>7.3176921091236635E-2</v>
      </c>
      <c r="Z15" s="1029">
        <v>7.3176921091236635E-2</v>
      </c>
    </row>
    <row r="17" spans="2:30">
      <c r="C17" s="1022" t="s">
        <v>1160</v>
      </c>
    </row>
    <row r="18" spans="2:30">
      <c r="C18" s="1028" t="s">
        <v>1126</v>
      </c>
      <c r="D18" s="1025">
        <f t="shared" ref="D18:Z18" si="4">D7-D11</f>
        <v>5390.8222534375</v>
      </c>
      <c r="E18" s="1025">
        <f t="shared" si="4"/>
        <v>5417.9118125000005</v>
      </c>
      <c r="F18" s="1025">
        <f t="shared" si="4"/>
        <v>5445.1375000000007</v>
      </c>
      <c r="G18" s="1025">
        <f t="shared" si="4"/>
        <v>5472.5</v>
      </c>
      <c r="H18" s="1025">
        <f t="shared" si="4"/>
        <v>5500</v>
      </c>
      <c r="I18" s="1025">
        <f t="shared" si="4"/>
        <v>5527.4999999999982</v>
      </c>
      <c r="J18" s="1025">
        <f t="shared" si="4"/>
        <v>5555.1374999999989</v>
      </c>
      <c r="K18" s="1025">
        <f t="shared" si="4"/>
        <v>5582.9131874999966</v>
      </c>
      <c r="L18" s="1025">
        <f t="shared" si="4"/>
        <v>5610.8277534374974</v>
      </c>
      <c r="M18" s="1025">
        <f t="shared" si="4"/>
        <v>5638.881892204683</v>
      </c>
      <c r="N18" s="1025">
        <f t="shared" si="4"/>
        <v>5667.0763016657056</v>
      </c>
      <c r="O18" s="1025">
        <f t="shared" si="4"/>
        <v>5695.4116831740339</v>
      </c>
      <c r="P18" s="1025">
        <f t="shared" si="4"/>
        <v>5723.8887415899044</v>
      </c>
      <c r="Q18" s="1025">
        <f t="shared" si="4"/>
        <v>5752.5081852978528</v>
      </c>
      <c r="R18" s="1025">
        <f t="shared" si="4"/>
        <v>5781.2707262243421</v>
      </c>
      <c r="S18" s="1025">
        <f t="shared" si="4"/>
        <v>5810.1770798554626</v>
      </c>
      <c r="T18" s="1025">
        <f t="shared" si="4"/>
        <v>5839.2279652547404</v>
      </c>
      <c r="U18" s="1025">
        <f t="shared" si="4"/>
        <v>5868.4241050810142</v>
      </c>
      <c r="V18" s="1025">
        <f t="shared" si="4"/>
        <v>5897.7662256064177</v>
      </c>
      <c r="W18" s="1025">
        <f t="shared" si="4"/>
        <v>5927.2550567344497</v>
      </c>
      <c r="X18" s="1025">
        <f t="shared" si="4"/>
        <v>5956.8913320181218</v>
      </c>
      <c r="Y18" s="1025">
        <f t="shared" si="4"/>
        <v>5986.6757886782107</v>
      </c>
      <c r="Z18" s="1025">
        <f t="shared" si="4"/>
        <v>6016.609167621602</v>
      </c>
    </row>
    <row r="19" spans="2:30">
      <c r="C19" s="1028" t="s">
        <v>1127</v>
      </c>
      <c r="D19" s="1025"/>
      <c r="E19" s="1025"/>
      <c r="F19" s="1025"/>
      <c r="G19" s="1025"/>
      <c r="H19" s="1025">
        <f>H18+G18+F18+E18+D18</f>
        <v>27226.371565937501</v>
      </c>
      <c r="I19" s="1025">
        <f t="shared" ref="I19:V19" si="5">I18+H18+G18+F18+E18</f>
        <v>27363.049312499999</v>
      </c>
      <c r="J19" s="1025">
        <f t="shared" si="5"/>
        <v>27500.274999999998</v>
      </c>
      <c r="K19" s="1025">
        <f t="shared" si="5"/>
        <v>27638.050687499992</v>
      </c>
      <c r="L19" s="1025">
        <f t="shared" si="5"/>
        <v>27776.378440937493</v>
      </c>
      <c r="M19" s="1025">
        <f>M18+L18+K18+J18+I18</f>
        <v>27915.260333142178</v>
      </c>
      <c r="N19" s="1025">
        <f t="shared" si="5"/>
        <v>28054.836634807878</v>
      </c>
      <c r="O19" s="1025">
        <f t="shared" si="5"/>
        <v>28195.11081798192</v>
      </c>
      <c r="P19" s="1025">
        <f t="shared" si="5"/>
        <v>28336.086372071823</v>
      </c>
      <c r="Q19" s="1025">
        <f t="shared" si="5"/>
        <v>28477.76680393218</v>
      </c>
      <c r="R19" s="1025">
        <f t="shared" si="5"/>
        <v>28620.155637951837</v>
      </c>
      <c r="S19" s="1025">
        <f t="shared" si="5"/>
        <v>28763.256416141594</v>
      </c>
      <c r="T19" s="1025">
        <f t="shared" si="5"/>
        <v>28907.072698222302</v>
      </c>
      <c r="U19" s="1025">
        <f t="shared" si="5"/>
        <v>29051.608061713414</v>
      </c>
      <c r="V19" s="1025">
        <f t="shared" si="5"/>
        <v>29196.866102021981</v>
      </c>
      <c r="W19" s="1025">
        <f>W18+V18+U18+T18+S18</f>
        <v>29342.850432532083</v>
      </c>
      <c r="X19" s="1025">
        <f>X18+W18+V18+U18+T18</f>
        <v>29489.564684694746</v>
      </c>
      <c r="Y19" s="1025">
        <f>Y18+X18+W18+V18+U18</f>
        <v>29637.012508118212</v>
      </c>
      <c r="Z19" s="1025">
        <f>Z18+Y18+X18+W18+V18</f>
        <v>29785.197570658802</v>
      </c>
    </row>
    <row r="20" spans="2:30">
      <c r="C20" s="1028" t="s">
        <v>1161</v>
      </c>
      <c r="D20" s="1025"/>
      <c r="E20" s="1025"/>
      <c r="F20" s="1025"/>
      <c r="G20" s="1025"/>
      <c r="H20" s="1025">
        <f t="shared" ref="H20:Z20" si="6">H6-H11-H14-H19</f>
        <v>61432.203509562503</v>
      </c>
      <c r="I20" s="1025">
        <f t="shared" si="6"/>
        <v>65167.395207786969</v>
      </c>
      <c r="J20" s="1025">
        <f t="shared" si="6"/>
        <v>68749.969483827415</v>
      </c>
      <c r="K20" s="1025">
        <f t="shared" si="6"/>
        <v>72187.735372638621</v>
      </c>
      <c r="L20" s="1025">
        <f t="shared" si="6"/>
        <v>75488.112385699264</v>
      </c>
      <c r="M20" s="1025">
        <f t="shared" si="6"/>
        <v>78658.149992015358</v>
      </c>
      <c r="N20" s="1025">
        <f t="shared" si="6"/>
        <v>81704.407934143615</v>
      </c>
      <c r="O20" s="1025">
        <f t="shared" si="6"/>
        <v>84633.248806374118</v>
      </c>
      <c r="P20" s="1025">
        <f t="shared" si="6"/>
        <v>87450.717941337803</v>
      </c>
      <c r="Q20" s="1025">
        <f t="shared" si="6"/>
        <v>90162.559277429711</v>
      </c>
      <c r="R20" s="1025">
        <f t="shared" si="6"/>
        <v>92774.230432882789</v>
      </c>
      <c r="S20" s="1025">
        <f t="shared" si="6"/>
        <v>95290.917026159863</v>
      </c>
      <c r="T20" s="1025">
        <f t="shared" si="6"/>
        <v>97717.546280347684</v>
      </c>
      <c r="U20" s="1025">
        <f t="shared" si="6"/>
        <v>100058.79994735353</v>
      </c>
      <c r="V20" s="1025">
        <f t="shared" si="6"/>
        <v>102319.12658591429</v>
      </c>
      <c r="W20" s="1025">
        <f t="shared" si="6"/>
        <v>104502.7532257266</v>
      </c>
      <c r="X20" s="1025">
        <f t="shared" si="6"/>
        <v>106613.69644839381</v>
      </c>
      <c r="Y20" s="1025">
        <f t="shared" si="6"/>
        <v>108655.77291434747</v>
      </c>
      <c r="Z20" s="1025">
        <f t="shared" si="6"/>
        <v>110632.6093634453</v>
      </c>
    </row>
    <row r="22" spans="2:30" ht="12.75" customHeight="1">
      <c r="C22" s="1022" t="s">
        <v>294</v>
      </c>
      <c r="D22" s="1025">
        <v>3520</v>
      </c>
      <c r="E22" s="1025">
        <v>3600</v>
      </c>
      <c r="F22" s="1025">
        <v>3720</v>
      </c>
      <c r="G22" s="1025">
        <v>3840</v>
      </c>
      <c r="H22" s="1025">
        <v>3960</v>
      </c>
      <c r="I22" s="1025">
        <v>3979.7999999999993</v>
      </c>
      <c r="J22" s="1025">
        <v>3999.6989999999992</v>
      </c>
      <c r="K22" s="1025">
        <v>4019.6974949999985</v>
      </c>
      <c r="L22" s="1025">
        <v>4039.7959824749983</v>
      </c>
      <c r="M22" s="1025">
        <v>4059.9949623873722</v>
      </c>
      <c r="N22" s="1025">
        <v>4080.2949371993086</v>
      </c>
      <c r="O22" s="1025">
        <v>4100.6964118853057</v>
      </c>
      <c r="P22" s="1025">
        <v>4121.1998939447312</v>
      </c>
      <c r="Q22" s="1025">
        <v>4141.8058934144547</v>
      </c>
      <c r="R22" s="1025">
        <v>4162.5149228815271</v>
      </c>
      <c r="S22" s="1025">
        <v>4183.327497495934</v>
      </c>
      <c r="T22" s="1025">
        <v>4204.2441349834135</v>
      </c>
      <c r="U22" s="1025">
        <v>4225.26535565833</v>
      </c>
      <c r="V22" s="1025">
        <v>4246.3916824366215</v>
      </c>
      <c r="W22" s="1025">
        <v>4267.6236408488039</v>
      </c>
      <c r="X22" s="1025">
        <v>4288.9617590530479</v>
      </c>
      <c r="Y22" s="1025">
        <v>4310.4065678483121</v>
      </c>
      <c r="Z22" s="1025">
        <v>4331.9586006875534</v>
      </c>
      <c r="AB22" s="1022" t="s">
        <v>1162</v>
      </c>
    </row>
    <row r="23" spans="2:30" ht="12.75" customHeight="1">
      <c r="C23" s="1028" t="s">
        <v>1074</v>
      </c>
      <c r="D23" s="1029">
        <f t="shared" ref="D23:V23" si="7">D22/D14</f>
        <v>0.63449414274906868</v>
      </c>
      <c r="E23" s="1029">
        <f t="shared" si="7"/>
        <v>0.60561519797441798</v>
      </c>
      <c r="F23" s="1029">
        <f t="shared" si="7"/>
        <v>0.58855425041845988</v>
      </c>
      <c r="G23" s="1029">
        <f t="shared" si="7"/>
        <v>0.57553706403019156</v>
      </c>
      <c r="H23" s="1029">
        <f t="shared" si="7"/>
        <v>0.56571428571428584</v>
      </c>
      <c r="I23" s="1029">
        <f t="shared" si="7"/>
        <v>0.54475259299751755</v>
      </c>
      <c r="J23" s="1029">
        <f t="shared" si="7"/>
        <v>0.52631794187358549</v>
      </c>
      <c r="K23" s="1029">
        <f t="shared" si="7"/>
        <v>0.51000371490983631</v>
      </c>
      <c r="L23" s="1029">
        <f t="shared" si="7"/>
        <v>0.49548570794811336</v>
      </c>
      <c r="M23" s="1029">
        <f t="shared" si="7"/>
        <v>0.48250224500617944</v>
      </c>
      <c r="N23" s="1029">
        <f t="shared" si="7"/>
        <v>0.47083978658478642</v>
      </c>
      <c r="O23" s="1029">
        <f t="shared" si="7"/>
        <v>0.46032233879773288</v>
      </c>
      <c r="P23" s="1029">
        <f t="shared" si="7"/>
        <v>0.45080354161631464</v>
      </c>
      <c r="Q23" s="1029">
        <f t="shared" si="7"/>
        <v>0.44216067754424249</v>
      </c>
      <c r="R23" s="1029">
        <f t="shared" si="7"/>
        <v>0.43429007802933395</v>
      </c>
      <c r="S23" s="1029">
        <f t="shared" si="7"/>
        <v>0.42710356141838496</v>
      </c>
      <c r="T23" s="1029">
        <f t="shared" si="7"/>
        <v>0.42052564194852937</v>
      </c>
      <c r="U23" s="1029">
        <f t="shared" si="7"/>
        <v>0.41449132183522464</v>
      </c>
      <c r="V23" s="1029">
        <f t="shared" si="7"/>
        <v>0.40894432910810963</v>
      </c>
      <c r="W23" s="1029">
        <f>W22/W14</f>
        <v>0.40383569961510474</v>
      </c>
      <c r="X23" s="1029">
        <f>X22/X14</f>
        <v>0.39912262723513253</v>
      </c>
      <c r="Y23" s="1029">
        <f>Y22/Y14</f>
        <v>0.39476752491263667</v>
      </c>
      <c r="Z23" s="1029">
        <f>Z22/Z14</f>
        <v>0.39073725274260701</v>
      </c>
    </row>
    <row r="24" spans="2:30">
      <c r="C24" s="1028"/>
      <c r="D24" s="1029"/>
      <c r="E24" s="1029"/>
      <c r="F24" s="1029"/>
      <c r="G24" s="1029"/>
      <c r="H24" s="1029"/>
      <c r="I24" s="1029"/>
      <c r="J24" s="1029"/>
      <c r="K24" s="1029"/>
      <c r="L24" s="1029"/>
      <c r="M24" s="1029"/>
      <c r="N24" s="1029"/>
      <c r="O24" s="1029"/>
      <c r="P24" s="1029"/>
      <c r="Q24" s="1029"/>
      <c r="R24" s="1029"/>
      <c r="S24" s="1029"/>
      <c r="T24" s="1029"/>
      <c r="U24" s="1029"/>
      <c r="V24" s="1029"/>
      <c r="W24" s="1029"/>
      <c r="X24" s="1029"/>
      <c r="Y24" s="1029"/>
      <c r="Z24" s="1029"/>
      <c r="AA24" s="1029"/>
      <c r="AB24" s="1029"/>
      <c r="AC24" s="1029"/>
      <c r="AD24" s="1029"/>
    </row>
    <row r="25" spans="2:30" hidden="1" outlineLevel="1">
      <c r="C25" s="1031" t="s">
        <v>463</v>
      </c>
      <c r="D25" s="1032"/>
      <c r="E25" s="1032"/>
      <c r="F25" s="1032"/>
      <c r="G25" s="1032"/>
      <c r="H25" s="1033">
        <v>5710</v>
      </c>
      <c r="I25" s="1033">
        <v>5806.225450359505</v>
      </c>
      <c r="J25" s="1033">
        <v>5899.5482554528344</v>
      </c>
      <c r="K25" s="1033">
        <v>5990.1230906795527</v>
      </c>
      <c r="L25" s="1033">
        <v>6078.096945384932</v>
      </c>
      <c r="M25" s="1033">
        <v>6163.6095074012383</v>
      </c>
      <c r="N25" s="1033">
        <v>6246.7935283631577</v>
      </c>
      <c r="O25" s="1033">
        <v>6327.7751707586422</v>
      </c>
      <c r="P25" s="1033">
        <v>6406.6743376284194</v>
      </c>
      <c r="Q25" s="1033">
        <v>6483.6049857817461</v>
      </c>
      <c r="R25" s="1033">
        <v>6558.6754233525808</v>
      </c>
      <c r="S25" s="1033">
        <v>6631.9885924791724</v>
      </c>
      <c r="T25" s="1033">
        <v>6703.6423378509071</v>
      </c>
      <c r="U25" s="1033">
        <v>6773.7296618290311</v>
      </c>
      <c r="V25" s="1033">
        <v>6842.3389668126038</v>
      </c>
      <c r="W25" s="1033">
        <v>6909.5542854873729</v>
      </c>
      <c r="X25" s="1033">
        <v>6975.4554995634799</v>
      </c>
      <c r="Y25" s="1033">
        <v>7040.1185475775328</v>
      </c>
      <c r="Z25" s="1033">
        <v>7103.615622305846</v>
      </c>
      <c r="AA25" s="1029"/>
      <c r="AB25" s="1029"/>
      <c r="AC25" s="1029"/>
      <c r="AD25" s="1029"/>
    </row>
    <row r="26" spans="2:30" hidden="1" outlineLevel="1">
      <c r="C26" s="1031" t="s">
        <v>464</v>
      </c>
      <c r="D26" s="1032"/>
      <c r="E26" s="1032"/>
      <c r="F26" s="1032"/>
      <c r="G26" s="1032"/>
      <c r="H26" s="1033">
        <v>3960</v>
      </c>
      <c r="I26" s="1033">
        <v>3979.7999999999993</v>
      </c>
      <c r="J26" s="1033">
        <v>3999.6989999999992</v>
      </c>
      <c r="K26" s="1033">
        <v>4019.6974949999985</v>
      </c>
      <c r="L26" s="1033">
        <v>4039.7959824749983</v>
      </c>
      <c r="M26" s="1033">
        <v>4059.9949623873722</v>
      </c>
      <c r="N26" s="1033">
        <v>4080.2949371993086</v>
      </c>
      <c r="O26" s="1033">
        <v>4100.6964118853057</v>
      </c>
      <c r="P26" s="1033">
        <v>4121.1998939447312</v>
      </c>
      <c r="Q26" s="1033">
        <v>4141.8058934144547</v>
      </c>
      <c r="R26" s="1033">
        <v>4162.5149228815271</v>
      </c>
      <c r="S26" s="1033">
        <v>4183.327497495934</v>
      </c>
      <c r="T26" s="1033">
        <v>4204.2441349834135</v>
      </c>
      <c r="U26" s="1033">
        <v>4225.26535565833</v>
      </c>
      <c r="V26" s="1033">
        <v>4246.3916824366215</v>
      </c>
      <c r="W26" s="1033">
        <v>4267.6236408488039</v>
      </c>
      <c r="X26" s="1033">
        <v>4288.9617590530479</v>
      </c>
      <c r="Y26" s="1033">
        <v>4310.4065678483121</v>
      </c>
      <c r="Z26" s="1033">
        <v>4331.9586006875534</v>
      </c>
      <c r="AA26" s="1029"/>
      <c r="AB26" s="1029"/>
      <c r="AC26" s="1029"/>
      <c r="AD26" s="1029"/>
    </row>
    <row r="27" spans="2:30" hidden="1" outlineLevel="1">
      <c r="C27" s="1031" t="s">
        <v>462</v>
      </c>
      <c r="D27" s="1032"/>
      <c r="E27" s="1032"/>
      <c r="F27" s="1032"/>
      <c r="G27" s="1032"/>
      <c r="H27" s="1033">
        <v>3960</v>
      </c>
      <c r="I27" s="1033">
        <v>3979.7999999999993</v>
      </c>
      <c r="J27" s="1033">
        <v>3999.6989999999992</v>
      </c>
      <c r="K27" s="1033">
        <v>4019.6974949999985</v>
      </c>
      <c r="L27" s="1033">
        <v>4039.7959824749983</v>
      </c>
      <c r="M27" s="1033">
        <v>4059.9949623873722</v>
      </c>
      <c r="N27" s="1033">
        <v>4080.2949371993086</v>
      </c>
      <c r="O27" s="1033">
        <v>4100.6964118853057</v>
      </c>
      <c r="P27" s="1033">
        <v>4121.1998939447312</v>
      </c>
      <c r="Q27" s="1033">
        <v>4141.8058934144547</v>
      </c>
      <c r="R27" s="1033">
        <v>4162.5149228815271</v>
      </c>
      <c r="S27" s="1033">
        <v>4183.327497495934</v>
      </c>
      <c r="T27" s="1033">
        <v>4204.2441349834135</v>
      </c>
      <c r="U27" s="1033">
        <v>4225.26535565833</v>
      </c>
      <c r="V27" s="1033">
        <v>4246.3916824366215</v>
      </c>
      <c r="W27" s="1033">
        <v>4267.6236408488039</v>
      </c>
      <c r="X27" s="1033">
        <v>4288.9617590530479</v>
      </c>
      <c r="Y27" s="1033">
        <v>4310.4065678483121</v>
      </c>
      <c r="Z27" s="1033">
        <v>4331.9586006875534</v>
      </c>
      <c r="AA27" s="1029"/>
      <c r="AB27" s="1029"/>
      <c r="AC27" s="1029"/>
      <c r="AD27" s="1029"/>
    </row>
    <row r="28" spans="2:30" s="1151" customFormat="1" collapsed="1">
      <c r="B28" s="1147"/>
      <c r="C28" s="1148" t="s">
        <v>1129</v>
      </c>
      <c r="D28" s="1149"/>
      <c r="E28" s="1149"/>
      <c r="F28" s="1149"/>
      <c r="G28" s="1149"/>
      <c r="H28" s="1150">
        <f t="shared" ref="H28:Z28" si="8">CHOOSE($S$356,H25,H26,H27)</f>
        <v>3960</v>
      </c>
      <c r="I28" s="1150">
        <f t="shared" si="8"/>
        <v>3979.7999999999993</v>
      </c>
      <c r="J28" s="1150">
        <f t="shared" si="8"/>
        <v>3999.6989999999992</v>
      </c>
      <c r="K28" s="1150">
        <f t="shared" si="8"/>
        <v>4019.6974949999985</v>
      </c>
      <c r="L28" s="1150">
        <f t="shared" si="8"/>
        <v>4039.7959824749983</v>
      </c>
      <c r="M28" s="1150">
        <f t="shared" si="8"/>
        <v>4059.9949623873722</v>
      </c>
      <c r="N28" s="1150">
        <f t="shared" si="8"/>
        <v>4080.2949371993086</v>
      </c>
      <c r="O28" s="1150">
        <f t="shared" si="8"/>
        <v>4100.6964118853057</v>
      </c>
      <c r="P28" s="1150">
        <f t="shared" si="8"/>
        <v>4121.1998939447312</v>
      </c>
      <c r="Q28" s="1150">
        <f t="shared" si="8"/>
        <v>4141.8058934144547</v>
      </c>
      <c r="R28" s="1150">
        <f t="shared" si="8"/>
        <v>4162.5149228815271</v>
      </c>
      <c r="S28" s="1150">
        <f t="shared" si="8"/>
        <v>4183.327497495934</v>
      </c>
      <c r="T28" s="1150">
        <f t="shared" si="8"/>
        <v>4204.2441349834135</v>
      </c>
      <c r="U28" s="1150">
        <f t="shared" si="8"/>
        <v>4225.26535565833</v>
      </c>
      <c r="V28" s="1150">
        <f t="shared" si="8"/>
        <v>4246.3916824366215</v>
      </c>
      <c r="W28" s="1150">
        <f t="shared" si="8"/>
        <v>4267.6236408488039</v>
      </c>
      <c r="X28" s="1150">
        <f t="shared" si="8"/>
        <v>4288.9617590530479</v>
      </c>
      <c r="Y28" s="1150">
        <f t="shared" si="8"/>
        <v>4310.4065678483121</v>
      </c>
      <c r="Z28" s="1150">
        <f t="shared" si="8"/>
        <v>4331.9586006875534</v>
      </c>
      <c r="AA28" s="1149"/>
      <c r="AB28" s="1149"/>
      <c r="AC28" s="1149"/>
      <c r="AD28" s="1149"/>
    </row>
    <row r="29" spans="2:30" ht="12.75" customHeight="1"/>
    <row r="30" spans="2:30" ht="12.75" customHeight="1">
      <c r="C30" s="1023" t="s">
        <v>1130</v>
      </c>
      <c r="D30" s="1024"/>
      <c r="E30" s="1024"/>
      <c r="F30" s="1024"/>
      <c r="G30" s="1024"/>
      <c r="H30" s="1024"/>
      <c r="I30" s="1024"/>
      <c r="J30" s="1024"/>
      <c r="K30" s="1024"/>
      <c r="L30" s="1024"/>
      <c r="M30" s="1024"/>
      <c r="N30" s="1024"/>
      <c r="O30" s="1024"/>
      <c r="P30" s="1024"/>
      <c r="Q30" s="1024"/>
      <c r="R30" s="1024"/>
      <c r="S30" s="1024"/>
      <c r="T30" s="1024"/>
      <c r="U30" s="1024"/>
      <c r="V30" s="1024"/>
      <c r="W30" s="1024"/>
      <c r="X30" s="1024"/>
      <c r="Y30" s="1024"/>
      <c r="Z30" s="1024"/>
    </row>
    <row r="31" spans="2:30" ht="12.75" customHeight="1">
      <c r="V31" s="1029"/>
      <c r="W31" s="1029"/>
      <c r="X31" s="1029"/>
      <c r="Y31" s="1029"/>
      <c r="Z31" s="1029"/>
    </row>
    <row r="32" spans="2:30" ht="12.75" hidden="1" customHeight="1" outlineLevel="1">
      <c r="C32" s="1200" t="s">
        <v>463</v>
      </c>
      <c r="D32" s="1034"/>
      <c r="E32" s="1034"/>
      <c r="F32" s="1034"/>
      <c r="G32" s="1034"/>
      <c r="H32" s="1034"/>
      <c r="I32" s="1034"/>
      <c r="J32" s="1034"/>
      <c r="K32" s="1034"/>
      <c r="L32" s="1034"/>
      <c r="M32" s="1034"/>
      <c r="N32" s="1032">
        <f>N33</f>
        <v>0</v>
      </c>
      <c r="O32" s="1032">
        <f t="shared" ref="O32:Z32" si="9">O33</f>
        <v>0</v>
      </c>
      <c r="P32" s="1032">
        <f t="shared" si="9"/>
        <v>0</v>
      </c>
      <c r="Q32" s="1032">
        <f t="shared" si="9"/>
        <v>0.25</v>
      </c>
      <c r="R32" s="1032">
        <f t="shared" si="9"/>
        <v>0.35</v>
      </c>
      <c r="S32" s="1032">
        <f t="shared" si="9"/>
        <v>0.4</v>
      </c>
      <c r="T32" s="1032">
        <f t="shared" si="9"/>
        <v>0.5</v>
      </c>
      <c r="U32" s="1032">
        <f t="shared" si="9"/>
        <v>0.5</v>
      </c>
      <c r="V32" s="1032">
        <f t="shared" si="9"/>
        <v>0.5</v>
      </c>
      <c r="W32" s="1032">
        <f t="shared" si="9"/>
        <v>0.5</v>
      </c>
      <c r="X32" s="1032">
        <f t="shared" si="9"/>
        <v>0.5</v>
      </c>
      <c r="Y32" s="1032">
        <f t="shared" si="9"/>
        <v>0.5</v>
      </c>
      <c r="Z32" s="1032">
        <f t="shared" si="9"/>
        <v>0.5</v>
      </c>
    </row>
    <row r="33" spans="2:26" ht="12.75" hidden="1" customHeight="1" outlineLevel="1">
      <c r="C33" s="1200" t="s">
        <v>464</v>
      </c>
      <c r="D33" s="1034"/>
      <c r="E33" s="1034"/>
      <c r="F33" s="1034"/>
      <c r="G33" s="1034"/>
      <c r="H33" s="1034"/>
      <c r="I33" s="1034"/>
      <c r="J33" s="1034"/>
      <c r="K33" s="1034"/>
      <c r="L33" s="1034"/>
      <c r="M33" s="1034"/>
      <c r="N33" s="1032">
        <v>0</v>
      </c>
      <c r="O33" s="1032">
        <v>0</v>
      </c>
      <c r="P33" s="1032">
        <v>0</v>
      </c>
      <c r="Q33" s="1032">
        <v>0.25</v>
      </c>
      <c r="R33" s="1032">
        <v>0.35</v>
      </c>
      <c r="S33" s="1032">
        <v>0.4</v>
      </c>
      <c r="T33" s="1032">
        <v>0.5</v>
      </c>
      <c r="U33" s="1032">
        <v>0.5</v>
      </c>
      <c r="V33" s="1032">
        <v>0.5</v>
      </c>
      <c r="W33" s="1032">
        <v>0.5</v>
      </c>
      <c r="X33" s="1032">
        <v>0.5</v>
      </c>
      <c r="Y33" s="1032">
        <v>0.5</v>
      </c>
      <c r="Z33" s="1032">
        <v>0.5</v>
      </c>
    </row>
    <row r="34" spans="2:26" ht="12.75" hidden="1" customHeight="1" outlineLevel="1">
      <c r="C34" s="1200" t="s">
        <v>462</v>
      </c>
      <c r="D34" s="1034"/>
      <c r="E34" s="1034"/>
      <c r="F34" s="1034"/>
      <c r="G34" s="1034"/>
      <c r="H34" s="1034"/>
      <c r="I34" s="1034"/>
      <c r="J34" s="1034"/>
      <c r="K34" s="1034"/>
      <c r="L34" s="1034"/>
      <c r="M34" s="1034"/>
      <c r="N34" s="1032">
        <v>0</v>
      </c>
      <c r="O34" s="1032">
        <v>0</v>
      </c>
      <c r="P34" s="1032">
        <v>0</v>
      </c>
      <c r="Q34" s="1032">
        <v>0</v>
      </c>
      <c r="R34" s="1032">
        <v>0</v>
      </c>
      <c r="S34" s="1032">
        <v>0</v>
      </c>
      <c r="T34" s="1032">
        <v>0</v>
      </c>
      <c r="U34" s="1032">
        <v>0</v>
      </c>
      <c r="V34" s="1032">
        <v>0</v>
      </c>
      <c r="W34" s="1032">
        <v>0</v>
      </c>
      <c r="X34" s="1032">
        <v>0</v>
      </c>
      <c r="Y34" s="1032">
        <v>0</v>
      </c>
      <c r="Z34" s="1032">
        <v>0</v>
      </c>
    </row>
    <row r="35" spans="2:26" collapsed="1">
      <c r="C35" s="1128" t="s">
        <v>1085</v>
      </c>
      <c r="M35" s="1040"/>
      <c r="N35" s="1039">
        <f t="shared" ref="N35:Z35" si="10">CHOOSE($S$356,N32,N33,N34)</f>
        <v>0</v>
      </c>
      <c r="O35" s="1039">
        <f t="shared" si="10"/>
        <v>0</v>
      </c>
      <c r="P35" s="1039">
        <f t="shared" si="10"/>
        <v>0</v>
      </c>
      <c r="Q35" s="1039">
        <f t="shared" si="10"/>
        <v>0.25</v>
      </c>
      <c r="R35" s="1039">
        <f t="shared" si="10"/>
        <v>0.35</v>
      </c>
      <c r="S35" s="1039">
        <f t="shared" si="10"/>
        <v>0.4</v>
      </c>
      <c r="T35" s="1039">
        <f t="shared" si="10"/>
        <v>0.5</v>
      </c>
      <c r="U35" s="1039">
        <f t="shared" si="10"/>
        <v>0.5</v>
      </c>
      <c r="V35" s="1039">
        <f t="shared" si="10"/>
        <v>0.5</v>
      </c>
      <c r="W35" s="1039">
        <f t="shared" si="10"/>
        <v>0.5</v>
      </c>
      <c r="X35" s="1039">
        <f t="shared" si="10"/>
        <v>0.5</v>
      </c>
      <c r="Y35" s="1039">
        <f t="shared" si="10"/>
        <v>0.5</v>
      </c>
      <c r="Z35" s="1039">
        <f t="shared" si="10"/>
        <v>0.5</v>
      </c>
    </row>
    <row r="36" spans="2:26" ht="12.75" customHeight="1">
      <c r="C36" s="1128" t="s">
        <v>1163</v>
      </c>
      <c r="N36" s="1039">
        <v>0</v>
      </c>
      <c r="O36" s="1039">
        <v>0</v>
      </c>
      <c r="P36" s="1039">
        <v>0.5</v>
      </c>
      <c r="Q36" s="1039">
        <v>0.4</v>
      </c>
      <c r="R36" s="1039">
        <v>0.3</v>
      </c>
      <c r="S36" s="1039">
        <v>0.2</v>
      </c>
      <c r="T36" s="1039">
        <v>0.25</v>
      </c>
      <c r="U36" s="1039">
        <v>0.25</v>
      </c>
      <c r="V36" s="1039">
        <v>0.25</v>
      </c>
      <c r="W36" s="1039">
        <v>0.25</v>
      </c>
      <c r="X36" s="1039">
        <v>0.25</v>
      </c>
      <c r="Y36" s="1039">
        <v>0.25</v>
      </c>
      <c r="Z36" s="1039">
        <v>0.25</v>
      </c>
    </row>
    <row r="37" spans="2:26" ht="12.75" customHeight="1">
      <c r="C37" s="1128" t="s">
        <v>111</v>
      </c>
      <c r="N37" s="1039">
        <f t="shared" ref="N37:Z37" si="11">1-N36-N35</f>
        <v>1</v>
      </c>
      <c r="O37" s="1039">
        <f t="shared" si="11"/>
        <v>1</v>
      </c>
      <c r="P37" s="1039">
        <f t="shared" si="11"/>
        <v>0.5</v>
      </c>
      <c r="Q37" s="1039">
        <f t="shared" si="11"/>
        <v>0.35</v>
      </c>
      <c r="R37" s="1039">
        <f t="shared" si="11"/>
        <v>0.35</v>
      </c>
      <c r="S37" s="1039">
        <f t="shared" si="11"/>
        <v>0.4</v>
      </c>
      <c r="T37" s="1039">
        <f t="shared" si="11"/>
        <v>0.25</v>
      </c>
      <c r="U37" s="1039">
        <f t="shared" si="11"/>
        <v>0.25</v>
      </c>
      <c r="V37" s="1039">
        <f t="shared" si="11"/>
        <v>0.25</v>
      </c>
      <c r="W37" s="1039">
        <f t="shared" si="11"/>
        <v>0.25</v>
      </c>
      <c r="X37" s="1039">
        <f t="shared" si="11"/>
        <v>0.25</v>
      </c>
      <c r="Y37" s="1039">
        <f t="shared" si="11"/>
        <v>0.25</v>
      </c>
      <c r="Z37" s="1039">
        <f t="shared" si="11"/>
        <v>0.25</v>
      </c>
    </row>
    <row r="38" spans="2:26" ht="12.75" hidden="1" customHeight="1" outlineLevel="1">
      <c r="C38" s="1200" t="s">
        <v>463</v>
      </c>
      <c r="D38" s="1034"/>
      <c r="E38" s="1034"/>
      <c r="F38" s="1034"/>
      <c r="G38" s="1034"/>
      <c r="H38" s="1034"/>
      <c r="I38" s="1034"/>
      <c r="J38" s="1034"/>
      <c r="K38" s="1034"/>
      <c r="L38" s="1034"/>
      <c r="M38" s="1034"/>
      <c r="N38" s="1032">
        <v>0.02</v>
      </c>
      <c r="O38" s="1032">
        <v>0.05</v>
      </c>
      <c r="P38" s="1032">
        <v>7.0000000000000007E-2</v>
      </c>
      <c r="Q38" s="1032">
        <v>0.15</v>
      </c>
      <c r="R38" s="1032">
        <v>0.2</v>
      </c>
      <c r="S38" s="1032">
        <v>0.25</v>
      </c>
      <c r="T38" s="1032">
        <v>0.3</v>
      </c>
      <c r="U38" s="1032">
        <v>0.35</v>
      </c>
      <c r="V38" s="1032">
        <v>0.4</v>
      </c>
      <c r="W38" s="1032">
        <v>0.45</v>
      </c>
      <c r="X38" s="1032">
        <v>0.5</v>
      </c>
      <c r="Y38" s="1032">
        <v>0.5</v>
      </c>
      <c r="Z38" s="1032">
        <v>0.5</v>
      </c>
    </row>
    <row r="39" spans="2:26" ht="12.75" hidden="1" customHeight="1" outlineLevel="1">
      <c r="C39" s="1200" t="s">
        <v>464</v>
      </c>
      <c r="D39" s="1034"/>
      <c r="E39" s="1034"/>
      <c r="F39" s="1034"/>
      <c r="G39" s="1034"/>
      <c r="H39" s="1034"/>
      <c r="I39" s="1034"/>
      <c r="J39" s="1034"/>
      <c r="K39" s="1034"/>
      <c r="L39" s="1034"/>
      <c r="M39" s="1034"/>
      <c r="N39" s="1032">
        <v>0.02</v>
      </c>
      <c r="O39" s="1032">
        <v>0.05</v>
      </c>
      <c r="P39" s="1032">
        <v>7.0000000000000007E-2</v>
      </c>
      <c r="Q39" s="1032">
        <v>0.15</v>
      </c>
      <c r="R39" s="1032">
        <v>0.2</v>
      </c>
      <c r="S39" s="1032">
        <v>0.25</v>
      </c>
      <c r="T39" s="1032">
        <v>0.3</v>
      </c>
      <c r="U39" s="1032">
        <v>0.35</v>
      </c>
      <c r="V39" s="1032">
        <v>0.4</v>
      </c>
      <c r="W39" s="1032">
        <v>0.45</v>
      </c>
      <c r="X39" s="1032">
        <v>0.5</v>
      </c>
      <c r="Y39" s="1032">
        <v>0.5</v>
      </c>
      <c r="Z39" s="1032">
        <v>0.5</v>
      </c>
    </row>
    <row r="40" spans="2:26" ht="12.75" hidden="1" customHeight="1" outlineLevel="1">
      <c r="C40" s="1200" t="s">
        <v>462</v>
      </c>
      <c r="D40" s="1034"/>
      <c r="E40" s="1034"/>
      <c r="F40" s="1034"/>
      <c r="G40" s="1034"/>
      <c r="H40" s="1034"/>
      <c r="I40" s="1034"/>
      <c r="J40" s="1034"/>
      <c r="K40" s="1034"/>
      <c r="L40" s="1034"/>
      <c r="M40" s="1034"/>
      <c r="N40" s="1032">
        <v>0</v>
      </c>
      <c r="O40" s="1032">
        <v>0</v>
      </c>
      <c r="P40" s="1032">
        <v>0</v>
      </c>
      <c r="Q40" s="1032">
        <v>0</v>
      </c>
      <c r="R40" s="1032">
        <v>0</v>
      </c>
      <c r="S40" s="1032">
        <v>0</v>
      </c>
      <c r="T40" s="1032">
        <v>0</v>
      </c>
      <c r="U40" s="1032">
        <v>0</v>
      </c>
      <c r="V40" s="1032">
        <v>0</v>
      </c>
      <c r="W40" s="1032">
        <v>0</v>
      </c>
      <c r="X40" s="1032">
        <v>0</v>
      </c>
      <c r="Y40" s="1032">
        <v>0</v>
      </c>
      <c r="Z40" s="1032">
        <v>0</v>
      </c>
    </row>
    <row r="41" spans="2:26" ht="12.75" customHeight="1" collapsed="1">
      <c r="C41" s="1128" t="s">
        <v>1087</v>
      </c>
      <c r="M41" s="1040"/>
      <c r="N41" s="1039">
        <f t="shared" ref="N41:Z41" si="12">CHOOSE($S$356,N38,N39,N40)</f>
        <v>0.02</v>
      </c>
      <c r="O41" s="1039">
        <f t="shared" si="12"/>
        <v>0.05</v>
      </c>
      <c r="P41" s="1039">
        <f t="shared" si="12"/>
        <v>7.0000000000000007E-2</v>
      </c>
      <c r="Q41" s="1039">
        <f t="shared" si="12"/>
        <v>0.15</v>
      </c>
      <c r="R41" s="1039">
        <f t="shared" si="12"/>
        <v>0.2</v>
      </c>
      <c r="S41" s="1039">
        <f t="shared" si="12"/>
        <v>0.25</v>
      </c>
      <c r="T41" s="1039">
        <f t="shared" si="12"/>
        <v>0.3</v>
      </c>
      <c r="U41" s="1039">
        <f t="shared" si="12"/>
        <v>0.35</v>
      </c>
      <c r="V41" s="1039">
        <f t="shared" si="12"/>
        <v>0.4</v>
      </c>
      <c r="W41" s="1039">
        <f t="shared" si="12"/>
        <v>0.45</v>
      </c>
      <c r="X41" s="1039">
        <f t="shared" si="12"/>
        <v>0.5</v>
      </c>
      <c r="Y41" s="1039">
        <f t="shared" si="12"/>
        <v>0.5</v>
      </c>
      <c r="Z41" s="1039">
        <f t="shared" si="12"/>
        <v>0.5</v>
      </c>
    </row>
    <row r="42" spans="2:26" ht="12.75" customHeight="1"/>
    <row r="43" spans="2:26" ht="12.75" customHeight="1">
      <c r="C43" s="1022" t="s">
        <v>1088</v>
      </c>
      <c r="N43" s="1041">
        <v>1</v>
      </c>
      <c r="O43" s="1051">
        <f>N43</f>
        <v>1</v>
      </c>
      <c r="P43" s="1051">
        <f t="shared" ref="P43:Z43" si="13">O43</f>
        <v>1</v>
      </c>
      <c r="Q43" s="1051">
        <f t="shared" si="13"/>
        <v>1</v>
      </c>
      <c r="R43" s="1051">
        <f t="shared" si="13"/>
        <v>1</v>
      </c>
      <c r="S43" s="1051">
        <f t="shared" si="13"/>
        <v>1</v>
      </c>
      <c r="T43" s="1051">
        <f t="shared" si="13"/>
        <v>1</v>
      </c>
      <c r="U43" s="1051">
        <f t="shared" si="13"/>
        <v>1</v>
      </c>
      <c r="V43" s="1051">
        <f t="shared" si="13"/>
        <v>1</v>
      </c>
      <c r="W43" s="1051">
        <f t="shared" si="13"/>
        <v>1</v>
      </c>
      <c r="X43" s="1051">
        <f t="shared" si="13"/>
        <v>1</v>
      </c>
      <c r="Y43" s="1051">
        <f t="shared" si="13"/>
        <v>1</v>
      </c>
      <c r="Z43" s="1051">
        <f t="shared" si="13"/>
        <v>1</v>
      </c>
    </row>
    <row r="44" spans="2:26" ht="12.75" customHeight="1">
      <c r="N44" s="1051"/>
      <c r="O44" s="1051"/>
      <c r="P44" s="1051"/>
      <c r="Q44" s="1051"/>
      <c r="R44" s="1051"/>
      <c r="S44" s="1051"/>
      <c r="T44" s="1051"/>
      <c r="U44" s="1051"/>
      <c r="V44" s="1051"/>
      <c r="W44" s="1051"/>
      <c r="X44" s="1051"/>
      <c r="Y44" s="1051"/>
      <c r="Z44" s="1051"/>
    </row>
    <row r="45" spans="2:26" ht="12.75" customHeight="1">
      <c r="C45" s="1022" t="s">
        <v>1164</v>
      </c>
      <c r="N45" s="1049">
        <f>DLBCL!N46</f>
        <v>325</v>
      </c>
      <c r="O45" s="1049">
        <f>DLBCL!O46</f>
        <v>325</v>
      </c>
      <c r="P45" s="1049">
        <f>DLBCL!P46</f>
        <v>325</v>
      </c>
      <c r="Q45" s="1049">
        <f>DLBCL!Q46</f>
        <v>325</v>
      </c>
      <c r="R45" s="1049">
        <f>DLBCL!R46</f>
        <v>325</v>
      </c>
      <c r="S45" s="1049">
        <f>DLBCL!S46</f>
        <v>325</v>
      </c>
      <c r="T45" s="1049">
        <f>DLBCL!T46</f>
        <v>325</v>
      </c>
      <c r="U45" s="1049">
        <f>DLBCL!U46</f>
        <v>325</v>
      </c>
      <c r="V45" s="1049">
        <f>DLBCL!V46</f>
        <v>325</v>
      </c>
      <c r="W45" s="1049">
        <f>DLBCL!W46</f>
        <v>325</v>
      </c>
      <c r="X45" s="1049">
        <f>DLBCL!X46</f>
        <v>325</v>
      </c>
      <c r="Y45" s="1049">
        <f>DLBCL!Y46</f>
        <v>325</v>
      </c>
      <c r="Z45" s="1049">
        <f>DLBCL!Z46</f>
        <v>325</v>
      </c>
    </row>
    <row r="46" spans="2:26" s="1046" customFormat="1" ht="12.75" customHeight="1">
      <c r="C46" s="1063" t="s">
        <v>368</v>
      </c>
      <c r="O46" s="1054">
        <f>O45/N45-1</f>
        <v>0</v>
      </c>
      <c r="P46" s="1054">
        <f t="shared" ref="P46:Z46" si="14">P45/O45-1</f>
        <v>0</v>
      </c>
      <c r="Q46" s="1054">
        <f t="shared" si="14"/>
        <v>0</v>
      </c>
      <c r="R46" s="1054">
        <f t="shared" si="14"/>
        <v>0</v>
      </c>
      <c r="S46" s="1054">
        <f t="shared" si="14"/>
        <v>0</v>
      </c>
      <c r="T46" s="1054">
        <f t="shared" si="14"/>
        <v>0</v>
      </c>
      <c r="U46" s="1054">
        <f t="shared" si="14"/>
        <v>0</v>
      </c>
      <c r="V46" s="1054">
        <f t="shared" si="14"/>
        <v>0</v>
      </c>
      <c r="W46" s="1054">
        <f t="shared" si="14"/>
        <v>0</v>
      </c>
      <c r="X46" s="1054">
        <f t="shared" si="14"/>
        <v>0</v>
      </c>
      <c r="Y46" s="1054">
        <f t="shared" si="14"/>
        <v>0</v>
      </c>
      <c r="Z46" s="1054">
        <f t="shared" si="14"/>
        <v>0</v>
      </c>
    </row>
    <row r="47" spans="2:26" ht="12.75" customHeight="1"/>
    <row r="48" spans="2:26" ht="12.75" customHeight="1" thickBot="1">
      <c r="B48" s="1206" t="s">
        <v>78</v>
      </c>
      <c r="C48" s="1172" t="s">
        <v>1165</v>
      </c>
      <c r="D48" s="1172"/>
      <c r="E48" s="1172"/>
      <c r="F48" s="1172"/>
      <c r="G48" s="1172"/>
      <c r="H48" s="1172"/>
      <c r="I48" s="1172"/>
      <c r="J48" s="1172"/>
      <c r="K48" s="1172"/>
      <c r="L48" s="1172"/>
      <c r="M48" s="1172"/>
      <c r="N48" s="1174">
        <f t="shared" ref="N48:Z48" si="15">N45*N43*N35*N28*N41/1000</f>
        <v>0</v>
      </c>
      <c r="O48" s="1174">
        <f t="shared" si="15"/>
        <v>0</v>
      </c>
      <c r="P48" s="1174">
        <f t="shared" si="15"/>
        <v>0</v>
      </c>
      <c r="Q48" s="1174">
        <f t="shared" si="15"/>
        <v>50.478259325988667</v>
      </c>
      <c r="R48" s="1174">
        <f t="shared" si="15"/>
        <v>94.697214495554746</v>
      </c>
      <c r="S48" s="1174">
        <f t="shared" si="15"/>
        <v>135.95814366861785</v>
      </c>
      <c r="T48" s="1174">
        <f t="shared" si="15"/>
        <v>204.95690158044138</v>
      </c>
      <c r="U48" s="1174">
        <f t="shared" si="15"/>
        <v>240.3119671030675</v>
      </c>
      <c r="V48" s="1174">
        <f t="shared" si="15"/>
        <v>276.01545935838038</v>
      </c>
      <c r="W48" s="1174">
        <f t="shared" si="15"/>
        <v>312.06997873706877</v>
      </c>
      <c r="X48" s="1174">
        <f t="shared" si="15"/>
        <v>348.47814292306015</v>
      </c>
      <c r="Y48" s="1174">
        <f t="shared" si="15"/>
        <v>350.22053363767532</v>
      </c>
      <c r="Z48" s="1174">
        <f t="shared" si="15"/>
        <v>351.97163630586374</v>
      </c>
    </row>
    <row r="49" spans="2:28" ht="12.75" hidden="1" customHeight="1" outlineLevel="1" thickTop="1"/>
    <row r="50" spans="2:28" ht="12.75" hidden="1" customHeight="1" outlineLevel="1"/>
    <row r="51" spans="2:28" ht="12.75" hidden="1" customHeight="1" outlineLevel="1"/>
    <row r="52" spans="2:28" ht="12.75" hidden="1" customHeight="1" outlineLevel="1">
      <c r="H52" s="1152">
        <f>H8/H7</f>
        <v>0.34375</v>
      </c>
      <c r="I52" s="1152">
        <f>H52</f>
        <v>0.34375</v>
      </c>
      <c r="J52" s="1152">
        <f t="shared" ref="J52:Z52" si="16">I52</f>
        <v>0.34375</v>
      </c>
      <c r="K52" s="1152">
        <f t="shared" si="16"/>
        <v>0.34375</v>
      </c>
      <c r="L52" s="1152">
        <f t="shared" si="16"/>
        <v>0.34375</v>
      </c>
      <c r="M52" s="1152">
        <f t="shared" si="16"/>
        <v>0.34375</v>
      </c>
      <c r="N52" s="1152">
        <f t="shared" si="16"/>
        <v>0.34375</v>
      </c>
      <c r="O52" s="1152">
        <f t="shared" si="16"/>
        <v>0.34375</v>
      </c>
      <c r="P52" s="1152">
        <f t="shared" si="16"/>
        <v>0.34375</v>
      </c>
      <c r="Q52" s="1152">
        <f t="shared" si="16"/>
        <v>0.34375</v>
      </c>
      <c r="R52" s="1152">
        <f t="shared" si="16"/>
        <v>0.34375</v>
      </c>
      <c r="S52" s="1152">
        <f t="shared" si="16"/>
        <v>0.34375</v>
      </c>
      <c r="T52" s="1152">
        <f t="shared" si="16"/>
        <v>0.34375</v>
      </c>
      <c r="U52" s="1152">
        <f t="shared" si="16"/>
        <v>0.34375</v>
      </c>
      <c r="V52" s="1152">
        <f t="shared" si="16"/>
        <v>0.34375</v>
      </c>
      <c r="W52" s="1152">
        <f t="shared" si="16"/>
        <v>0.34375</v>
      </c>
      <c r="X52" s="1152">
        <f t="shared" si="16"/>
        <v>0.34375</v>
      </c>
      <c r="Y52" s="1152">
        <f t="shared" si="16"/>
        <v>0.34375</v>
      </c>
      <c r="Z52" s="1152">
        <f t="shared" si="16"/>
        <v>0.34375</v>
      </c>
    </row>
    <row r="53" spans="2:28" ht="12.75" customHeight="1" collapsed="1" thickTop="1"/>
    <row r="54" spans="2:28">
      <c r="C54" s="1021"/>
      <c r="D54" s="1021">
        <v>2008</v>
      </c>
      <c r="E54" s="1021">
        <f>D54+1</f>
        <v>2009</v>
      </c>
      <c r="F54" s="1021">
        <f t="shared" ref="F54:V54" si="17">E54+1</f>
        <v>2010</v>
      </c>
      <c r="G54" s="1021">
        <f t="shared" si="17"/>
        <v>2011</v>
      </c>
      <c r="H54" s="1021">
        <f t="shared" si="17"/>
        <v>2012</v>
      </c>
      <c r="I54" s="1021">
        <f t="shared" si="17"/>
        <v>2013</v>
      </c>
      <c r="J54" s="1021">
        <f t="shared" si="17"/>
        <v>2014</v>
      </c>
      <c r="K54" s="1021">
        <f t="shared" si="17"/>
        <v>2015</v>
      </c>
      <c r="L54" s="1021">
        <f t="shared" si="17"/>
        <v>2016</v>
      </c>
      <c r="M54" s="1021">
        <f t="shared" si="17"/>
        <v>2017</v>
      </c>
      <c r="N54" s="1021">
        <f t="shared" si="17"/>
        <v>2018</v>
      </c>
      <c r="O54" s="1021">
        <f t="shared" si="17"/>
        <v>2019</v>
      </c>
      <c r="P54" s="1021">
        <f t="shared" si="17"/>
        <v>2020</v>
      </c>
      <c r="Q54" s="1021">
        <f t="shared" si="17"/>
        <v>2021</v>
      </c>
      <c r="R54" s="1021">
        <f t="shared" si="17"/>
        <v>2022</v>
      </c>
      <c r="S54" s="1021">
        <f t="shared" si="17"/>
        <v>2023</v>
      </c>
      <c r="T54" s="1021">
        <f t="shared" si="17"/>
        <v>2024</v>
      </c>
      <c r="U54" s="1021">
        <f t="shared" si="17"/>
        <v>2025</v>
      </c>
      <c r="V54" s="1021">
        <f t="shared" si="17"/>
        <v>2026</v>
      </c>
      <c r="W54" s="1021">
        <f>V54+1</f>
        <v>2027</v>
      </c>
      <c r="X54" s="1021">
        <f>W54+1</f>
        <v>2028</v>
      </c>
      <c r="Y54" s="1021">
        <f>X54+1</f>
        <v>2029</v>
      </c>
      <c r="Z54" s="1021">
        <f>Y54+1</f>
        <v>2030</v>
      </c>
    </row>
    <row r="55" spans="2:28">
      <c r="B55" s="1206" t="s">
        <v>78</v>
      </c>
      <c r="C55" s="1023" t="s">
        <v>1166</v>
      </c>
      <c r="D55" s="1024"/>
      <c r="E55" s="1024"/>
      <c r="F55" s="1024"/>
      <c r="G55" s="1024"/>
      <c r="H55" s="1024"/>
      <c r="I55" s="1024"/>
      <c r="J55" s="1024"/>
      <c r="K55" s="1024"/>
      <c r="L55" s="1024"/>
      <c r="M55" s="1024"/>
      <c r="N55" s="1024"/>
      <c r="O55" s="1024"/>
      <c r="P55" s="1024"/>
      <c r="Q55" s="1024"/>
      <c r="R55" s="1024"/>
      <c r="S55" s="1024"/>
      <c r="T55" s="1024"/>
      <c r="U55" s="1024"/>
      <c r="V55" s="1024"/>
      <c r="W55" s="1024"/>
      <c r="X55" s="1024"/>
      <c r="Y55" s="1024"/>
      <c r="Z55" s="1024"/>
    </row>
    <row r="56" spans="2:28">
      <c r="C56" s="1022" t="s">
        <v>434</v>
      </c>
      <c r="D56" s="1025">
        <f>E56+D58-D57+D59</f>
        <v>87672.30222567165</v>
      </c>
      <c r="E56" s="1025">
        <f>14678/14185*90000</f>
        <v>93127.952062037366</v>
      </c>
      <c r="F56" s="1025">
        <f t="shared" ref="F56:V56" si="18">E56+E57-E58-E59</f>
        <v>98324.170096435497</v>
      </c>
      <c r="G56" s="1025">
        <f t="shared" si="18"/>
        <v>103234.33409161372</v>
      </c>
      <c r="H56" s="1025">
        <f>G56+G57-G58-G59</f>
        <v>107873.11738703304</v>
      </c>
      <c r="I56" s="1025">
        <f t="shared" si="18"/>
        <v>112254.46151768138</v>
      </c>
      <c r="J56" s="1025">
        <f t="shared" si="18"/>
        <v>116465.61344179731</v>
      </c>
      <c r="K56" s="1025">
        <f t="shared" si="18"/>
        <v>120515.32714470742</v>
      </c>
      <c r="L56" s="1025">
        <f t="shared" si="18"/>
        <v>124411.92013434703</v>
      </c>
      <c r="M56" s="1025">
        <f t="shared" si="18"/>
        <v>128163.29527123907</v>
      </c>
      <c r="N56" s="1025">
        <f t="shared" si="18"/>
        <v>131776.96150700454</v>
      </c>
      <c r="O56" s="1025">
        <f t="shared" si="18"/>
        <v>135260.05358597837</v>
      </c>
      <c r="P56" s="1025">
        <f t="shared" si="18"/>
        <v>138619.35076177513</v>
      </c>
      <c r="Q56" s="1025">
        <f t="shared" si="18"/>
        <v>141861.29457805751</v>
      </c>
      <c r="R56" s="1025">
        <f t="shared" si="18"/>
        <v>144992.00576029764</v>
      </c>
      <c r="S56" s="1025">
        <f t="shared" si="18"/>
        <v>148017.30026298147</v>
      </c>
      <c r="T56" s="1025">
        <f t="shared" si="18"/>
        <v>150942.70451448459</v>
      </c>
      <c r="U56" s="1025">
        <f t="shared" si="18"/>
        <v>153773.46989973585</v>
      </c>
      <c r="V56" s="1025">
        <f t="shared" si="18"/>
        <v>156514.5865187794</v>
      </c>
      <c r="W56" s="1025">
        <f>V56+V57-V58-V59</f>
        <v>159170.79625744093</v>
      </c>
      <c r="X56" s="1025">
        <f>W56+W57-W58-W59</f>
        <v>161746.6052044924</v>
      </c>
      <c r="Y56" s="1025">
        <f>X56+X57-X58-X59</f>
        <v>164246.29544799091</v>
      </c>
      <c r="Z56" s="1025">
        <f>Y56+Y57-Y58-Y59</f>
        <v>166673.9362818331</v>
      </c>
      <c r="AB56" s="1022" t="s">
        <v>1167</v>
      </c>
    </row>
    <row r="57" spans="2:28">
      <c r="C57" s="1022" t="s">
        <v>100</v>
      </c>
      <c r="D57" s="1025">
        <f>E57*0.995</f>
        <v>14604.2275593125</v>
      </c>
      <c r="E57" s="1025">
        <f>F57*0.995</f>
        <v>14677.615637499999</v>
      </c>
      <c r="F57" s="1025">
        <f>G57*0.995</f>
        <v>14751.372499999999</v>
      </c>
      <c r="G57" s="1025">
        <f>H57*0.995</f>
        <v>14825.5</v>
      </c>
      <c r="H57" s="1026">
        <v>14900</v>
      </c>
      <c r="I57" s="1025">
        <f>H57*1.005</f>
        <v>14974.499999999998</v>
      </c>
      <c r="J57" s="1025">
        <f t="shared" ref="J57:V57" si="19">I57*1.005</f>
        <v>15049.372499999996</v>
      </c>
      <c r="K57" s="1025">
        <f t="shared" si="19"/>
        <v>15124.619362499994</v>
      </c>
      <c r="L57" s="1025">
        <f t="shared" si="19"/>
        <v>15200.242459312492</v>
      </c>
      <c r="M57" s="1025">
        <f t="shared" si="19"/>
        <v>15276.243671609052</v>
      </c>
      <c r="N57" s="1025">
        <f t="shared" si="19"/>
        <v>15352.624889967095</v>
      </c>
      <c r="O57" s="1025">
        <f t="shared" si="19"/>
        <v>15429.388014416929</v>
      </c>
      <c r="P57" s="1025">
        <f t="shared" si="19"/>
        <v>15506.534954489012</v>
      </c>
      <c r="Q57" s="1025">
        <f t="shared" si="19"/>
        <v>15584.067629261455</v>
      </c>
      <c r="R57" s="1025">
        <f t="shared" si="19"/>
        <v>15661.98796740776</v>
      </c>
      <c r="S57" s="1025">
        <f t="shared" si="19"/>
        <v>15740.297907244798</v>
      </c>
      <c r="T57" s="1025">
        <f t="shared" si="19"/>
        <v>15818.999396781021</v>
      </c>
      <c r="U57" s="1025">
        <f t="shared" si="19"/>
        <v>15898.094393764924</v>
      </c>
      <c r="V57" s="1025">
        <f t="shared" si="19"/>
        <v>15977.584865733746</v>
      </c>
      <c r="W57" s="1025">
        <f>V57*1.005</f>
        <v>16057.472790062413</v>
      </c>
      <c r="X57" s="1025">
        <f>W57*1.005</f>
        <v>16137.760154012723</v>
      </c>
      <c r="Y57" s="1025">
        <f>X57*1.005</f>
        <v>16218.448954782785</v>
      </c>
      <c r="Z57" s="1025">
        <f>Y57*1.005</f>
        <v>16299.541199556697</v>
      </c>
      <c r="AB57" s="1022" t="s">
        <v>1157</v>
      </c>
    </row>
    <row r="58" spans="2:28">
      <c r="C58" s="1022" t="s">
        <v>101</v>
      </c>
      <c r="D58" s="1025">
        <f>E58-100</f>
        <v>4725</v>
      </c>
      <c r="E58" s="1025">
        <f>F58-100</f>
        <v>4825</v>
      </c>
      <c r="F58" s="1025">
        <f>G58-100</f>
        <v>4925</v>
      </c>
      <c r="G58" s="1025">
        <f>H58-100</f>
        <v>5025</v>
      </c>
      <c r="H58" s="1025">
        <v>5125</v>
      </c>
      <c r="I58" s="1025">
        <f t="shared" ref="I58:Z58" si="20">I57*I95</f>
        <v>5150.6249999999991</v>
      </c>
      <c r="J58" s="1025">
        <f t="shared" si="20"/>
        <v>5176.3781249999984</v>
      </c>
      <c r="K58" s="1025">
        <f t="shared" si="20"/>
        <v>5202.2600156249973</v>
      </c>
      <c r="L58" s="1025">
        <f t="shared" si="20"/>
        <v>5228.2713157031221</v>
      </c>
      <c r="M58" s="1025">
        <f t="shared" si="20"/>
        <v>5254.4126722816363</v>
      </c>
      <c r="N58" s="1025">
        <f t="shared" si="20"/>
        <v>5280.6847356430444</v>
      </c>
      <c r="O58" s="1025">
        <f t="shared" si="20"/>
        <v>5307.0881593212589</v>
      </c>
      <c r="P58" s="1025">
        <f t="shared" si="20"/>
        <v>5333.623600117865</v>
      </c>
      <c r="Q58" s="1025">
        <f t="shared" si="20"/>
        <v>5360.291718118453</v>
      </c>
      <c r="R58" s="1025">
        <f t="shared" si="20"/>
        <v>5387.0931767090442</v>
      </c>
      <c r="S58" s="1025">
        <f t="shared" si="20"/>
        <v>5414.0286425925897</v>
      </c>
      <c r="T58" s="1025">
        <f t="shared" si="20"/>
        <v>5441.0987858055523</v>
      </c>
      <c r="U58" s="1025">
        <f t="shared" si="20"/>
        <v>5468.3042797345797</v>
      </c>
      <c r="V58" s="1025">
        <f t="shared" si="20"/>
        <v>5495.6458011332516</v>
      </c>
      <c r="W58" s="1025">
        <f t="shared" si="20"/>
        <v>5523.1240301389171</v>
      </c>
      <c r="X58" s="1025">
        <f t="shared" si="20"/>
        <v>5550.7396502896108</v>
      </c>
      <c r="Y58" s="1025">
        <f t="shared" si="20"/>
        <v>5578.4933485410584</v>
      </c>
      <c r="Z58" s="1025">
        <f t="shared" si="20"/>
        <v>5606.3858152837629</v>
      </c>
      <c r="AB58" s="1022" t="s">
        <v>1167</v>
      </c>
    </row>
    <row r="59" spans="2:28">
      <c r="C59" s="1022" t="s">
        <v>1168</v>
      </c>
      <c r="D59" s="1025">
        <f>E59*0.95</f>
        <v>4423.5777229467749</v>
      </c>
      <c r="E59" s="1025">
        <f>E56*0.05</f>
        <v>4656.3976031018683</v>
      </c>
      <c r="F59" s="1025">
        <f>F56*0.05</f>
        <v>4916.208504821775</v>
      </c>
      <c r="G59" s="1025">
        <f>G56*0.05</f>
        <v>5161.7167045806864</v>
      </c>
      <c r="H59" s="1025">
        <f>H56*0.05</f>
        <v>5393.6558693516527</v>
      </c>
      <c r="I59" s="1025">
        <f t="shared" ref="I59:V59" si="21">I56*0.05</f>
        <v>5612.7230758840697</v>
      </c>
      <c r="J59" s="1025">
        <f t="shared" si="21"/>
        <v>5823.2806720898661</v>
      </c>
      <c r="K59" s="1025">
        <f t="shared" si="21"/>
        <v>6025.7663572353713</v>
      </c>
      <c r="L59" s="1025">
        <f t="shared" si="21"/>
        <v>6220.5960067173519</v>
      </c>
      <c r="M59" s="1025">
        <f t="shared" si="21"/>
        <v>6408.1647635619538</v>
      </c>
      <c r="N59" s="1025">
        <f t="shared" si="21"/>
        <v>6588.8480753502272</v>
      </c>
      <c r="O59" s="1025">
        <f t="shared" si="21"/>
        <v>6763.0026792989192</v>
      </c>
      <c r="P59" s="1025">
        <f t="shared" si="21"/>
        <v>6930.9675380887566</v>
      </c>
      <c r="Q59" s="1025">
        <f t="shared" si="21"/>
        <v>7093.0647289028757</v>
      </c>
      <c r="R59" s="1025">
        <f t="shared" si="21"/>
        <v>7249.6002880148826</v>
      </c>
      <c r="S59" s="1025">
        <f t="shared" si="21"/>
        <v>7400.865013149074</v>
      </c>
      <c r="T59" s="1025">
        <f t="shared" si="21"/>
        <v>7547.1352257242297</v>
      </c>
      <c r="U59" s="1025">
        <f t="shared" si="21"/>
        <v>7688.6734949867932</v>
      </c>
      <c r="V59" s="1025">
        <f t="shared" si="21"/>
        <v>7825.7293259389699</v>
      </c>
      <c r="W59" s="1025">
        <f>W56*0.05</f>
        <v>7958.5398128720472</v>
      </c>
      <c r="X59" s="1025">
        <f>X56*0.05</f>
        <v>8087.3302602246204</v>
      </c>
      <c r="Y59" s="1025">
        <f>Y56*0.05</f>
        <v>8212.3147723995462</v>
      </c>
      <c r="Z59" s="1025">
        <f>Z56*0.05</f>
        <v>8333.6968140916561</v>
      </c>
    </row>
    <row r="61" spans="2:28">
      <c r="C61" s="1022" t="s">
        <v>1158</v>
      </c>
      <c r="D61" s="1025">
        <f>D62*D57</f>
        <v>9801.4950062499993</v>
      </c>
      <c r="E61" s="1025">
        <f>E62*E57</f>
        <v>9850.7487500000007</v>
      </c>
      <c r="F61" s="1025">
        <f>F62*F57</f>
        <v>9900.25</v>
      </c>
      <c r="G61" s="1025">
        <f>G62*G57</f>
        <v>9950</v>
      </c>
      <c r="H61" s="1026">
        <v>10000</v>
      </c>
      <c r="I61" s="1025">
        <f t="shared" ref="I61:Z61" si="22">I62*I57</f>
        <v>10050</v>
      </c>
      <c r="J61" s="1025">
        <f t="shared" si="22"/>
        <v>10100.249999999998</v>
      </c>
      <c r="K61" s="1025">
        <f t="shared" si="22"/>
        <v>10150.751249999996</v>
      </c>
      <c r="L61" s="1025">
        <f t="shared" si="22"/>
        <v>10201.505006249996</v>
      </c>
      <c r="M61" s="1025">
        <f t="shared" si="22"/>
        <v>10252.512531281243</v>
      </c>
      <c r="N61" s="1025">
        <f t="shared" si="22"/>
        <v>10303.775093937649</v>
      </c>
      <c r="O61" s="1025">
        <f t="shared" si="22"/>
        <v>10355.293969407336</v>
      </c>
      <c r="P61" s="1025">
        <f t="shared" si="22"/>
        <v>10407.07043925437</v>
      </c>
      <c r="Q61" s="1025">
        <f t="shared" si="22"/>
        <v>10459.105791450642</v>
      </c>
      <c r="R61" s="1025">
        <f t="shared" si="22"/>
        <v>10511.401320407893</v>
      </c>
      <c r="S61" s="1025">
        <f t="shared" si="22"/>
        <v>10563.958327009932</v>
      </c>
      <c r="T61" s="1025">
        <f t="shared" si="22"/>
        <v>10616.778118644981</v>
      </c>
      <c r="U61" s="1025">
        <f t="shared" si="22"/>
        <v>10669.862009238204</v>
      </c>
      <c r="V61" s="1025">
        <f t="shared" si="22"/>
        <v>10723.211319284394</v>
      </c>
      <c r="W61" s="1025">
        <f t="shared" si="22"/>
        <v>10776.827375880815</v>
      </c>
      <c r="X61" s="1025">
        <f t="shared" si="22"/>
        <v>10830.711512760217</v>
      </c>
      <c r="Y61" s="1025">
        <f t="shared" si="22"/>
        <v>10884.865070324018</v>
      </c>
      <c r="Z61" s="1025">
        <f t="shared" si="22"/>
        <v>10939.289395675636</v>
      </c>
      <c r="AB61" s="1022" t="s">
        <v>1157</v>
      </c>
    </row>
    <row r="62" spans="2:28" s="1051" customFormat="1">
      <c r="C62" s="1061" t="s">
        <v>1122</v>
      </c>
      <c r="D62" s="1039">
        <f>E62</f>
        <v>0.67114093959731547</v>
      </c>
      <c r="E62" s="1039">
        <f>F62</f>
        <v>0.67114093959731547</v>
      </c>
      <c r="F62" s="1039">
        <f>G62</f>
        <v>0.67114093959731547</v>
      </c>
      <c r="G62" s="1039">
        <f>H62</f>
        <v>0.67114093959731547</v>
      </c>
      <c r="H62" s="1062">
        <f>H61/H57</f>
        <v>0.67114093959731547</v>
      </c>
      <c r="I62" s="1039">
        <f>H62</f>
        <v>0.67114093959731547</v>
      </c>
      <c r="J62" s="1039">
        <f t="shared" ref="J62:Z62" si="23">I62</f>
        <v>0.67114093959731547</v>
      </c>
      <c r="K62" s="1039">
        <f t="shared" si="23"/>
        <v>0.67114093959731547</v>
      </c>
      <c r="L62" s="1039">
        <f t="shared" si="23"/>
        <v>0.67114093959731547</v>
      </c>
      <c r="M62" s="1039">
        <f t="shared" si="23"/>
        <v>0.67114093959731547</v>
      </c>
      <c r="N62" s="1039">
        <f t="shared" si="23"/>
        <v>0.67114093959731547</v>
      </c>
      <c r="O62" s="1039">
        <f t="shared" si="23"/>
        <v>0.67114093959731547</v>
      </c>
      <c r="P62" s="1039">
        <f t="shared" si="23"/>
        <v>0.67114093959731547</v>
      </c>
      <c r="Q62" s="1039">
        <f t="shared" si="23"/>
        <v>0.67114093959731547</v>
      </c>
      <c r="R62" s="1039">
        <f t="shared" si="23"/>
        <v>0.67114093959731547</v>
      </c>
      <c r="S62" s="1039">
        <f t="shared" si="23"/>
        <v>0.67114093959731547</v>
      </c>
      <c r="T62" s="1039">
        <f t="shared" si="23"/>
        <v>0.67114093959731547</v>
      </c>
      <c r="U62" s="1039">
        <f t="shared" si="23"/>
        <v>0.67114093959731547</v>
      </c>
      <c r="V62" s="1039">
        <f t="shared" si="23"/>
        <v>0.67114093959731547</v>
      </c>
      <c r="W62" s="1039">
        <f t="shared" si="23"/>
        <v>0.67114093959731547</v>
      </c>
      <c r="X62" s="1039">
        <f t="shared" si="23"/>
        <v>0.67114093959731547</v>
      </c>
      <c r="Y62" s="1039">
        <f t="shared" si="23"/>
        <v>0.67114093959731547</v>
      </c>
      <c r="Z62" s="1039">
        <f t="shared" si="23"/>
        <v>0.67114093959731547</v>
      </c>
    </row>
    <row r="64" spans="2:28">
      <c r="C64" s="1022" t="s">
        <v>1159</v>
      </c>
      <c r="D64" s="1025">
        <f>D65*(D56-D61)</f>
        <v>4296.4030390697271</v>
      </c>
      <c r="E64" s="1025">
        <f>E65*(E56-E61)</f>
        <v>4594.6926989839703</v>
      </c>
      <c r="F64" s="1025">
        <f>F65*(F56-F61)</f>
        <v>4878.6549490658508</v>
      </c>
      <c r="G64" s="1025">
        <f>G65*(G56-G61)</f>
        <v>5146.8208793506019</v>
      </c>
      <c r="H64" s="1026">
        <v>5400</v>
      </c>
      <c r="I64" s="1025">
        <f t="shared" ref="I64:Z64" si="24">I65*(I56-I61)</f>
        <v>5638.9753073155898</v>
      </c>
      <c r="J64" s="1025">
        <f t="shared" si="24"/>
        <v>5868.5467258019789</v>
      </c>
      <c r="K64" s="1025">
        <f t="shared" si="24"/>
        <v>6089.1971742833075</v>
      </c>
      <c r="L64" s="1025">
        <f t="shared" si="24"/>
        <v>6301.3854892644285</v>
      </c>
      <c r="M64" s="1025">
        <f t="shared" si="24"/>
        <v>6505.5476293649708</v>
      </c>
      <c r="N64" s="1025">
        <f t="shared" si="24"/>
        <v>6702.0978195333046</v>
      </c>
      <c r="O64" s="1025">
        <f t="shared" si="24"/>
        <v>6891.4296380514033</v>
      </c>
      <c r="P64" s="1025">
        <f t="shared" si="24"/>
        <v>7073.9170491910718</v>
      </c>
      <c r="Q64" s="1025">
        <f t="shared" si="24"/>
        <v>7249.915384238966</v>
      </c>
      <c r="R64" s="1025">
        <f t="shared" si="24"/>
        <v>7419.7622734720044</v>
      </c>
      <c r="S64" s="1025">
        <f t="shared" si="24"/>
        <v>7583.7785315356159</v>
      </c>
      <c r="T64" s="1025">
        <f t="shared" si="24"/>
        <v>7742.2689985547304</v>
      </c>
      <c r="U64" s="1025">
        <f t="shared" si="24"/>
        <v>7895.5233391908732</v>
      </c>
      <c r="V64" s="1025">
        <f t="shared" si="24"/>
        <v>8043.8168017480239</v>
      </c>
      <c r="W64" s="1025">
        <f t="shared" si="24"/>
        <v>8187.4109393249028</v>
      </c>
      <c r="X64" s="1025">
        <f t="shared" si="24"/>
        <v>8326.5542949112587</v>
      </c>
      <c r="Y64" s="1025">
        <f t="shared" si="24"/>
        <v>8461.4830522310604</v>
      </c>
      <c r="Z64" s="1025">
        <f t="shared" si="24"/>
        <v>8592.421654045198</v>
      </c>
      <c r="AB64" s="1022" t="s">
        <v>1157</v>
      </c>
    </row>
    <row r="65" spans="2:30">
      <c r="C65" s="1028" t="s">
        <v>1124</v>
      </c>
      <c r="D65" s="1029">
        <f>E65</f>
        <v>5.5173475047760483E-2</v>
      </c>
      <c r="E65" s="1029">
        <f>F65</f>
        <v>5.5173475047760483E-2</v>
      </c>
      <c r="F65" s="1029">
        <f>G65</f>
        <v>5.5173475047760483E-2</v>
      </c>
      <c r="G65" s="1029">
        <f>H65</f>
        <v>5.5173475047760483E-2</v>
      </c>
      <c r="H65" s="1062">
        <f>H64/(H56-H61)</f>
        <v>5.5173475047760483E-2</v>
      </c>
      <c r="I65" s="1029">
        <f>H65</f>
        <v>5.5173475047760483E-2</v>
      </c>
      <c r="J65" s="1029">
        <f t="shared" ref="J65:V65" si="25">I65</f>
        <v>5.5173475047760483E-2</v>
      </c>
      <c r="K65" s="1029">
        <f t="shared" si="25"/>
        <v>5.5173475047760483E-2</v>
      </c>
      <c r="L65" s="1029">
        <f t="shared" si="25"/>
        <v>5.5173475047760483E-2</v>
      </c>
      <c r="M65" s="1029">
        <f t="shared" si="25"/>
        <v>5.5173475047760483E-2</v>
      </c>
      <c r="N65" s="1029">
        <f t="shared" si="25"/>
        <v>5.5173475047760483E-2</v>
      </c>
      <c r="O65" s="1029">
        <f t="shared" si="25"/>
        <v>5.5173475047760483E-2</v>
      </c>
      <c r="P65" s="1029">
        <f t="shared" si="25"/>
        <v>5.5173475047760483E-2</v>
      </c>
      <c r="Q65" s="1029">
        <f t="shared" si="25"/>
        <v>5.5173475047760483E-2</v>
      </c>
      <c r="R65" s="1029">
        <f t="shared" si="25"/>
        <v>5.5173475047760483E-2</v>
      </c>
      <c r="S65" s="1029">
        <f t="shared" si="25"/>
        <v>5.5173475047760483E-2</v>
      </c>
      <c r="T65" s="1029">
        <f t="shared" si="25"/>
        <v>5.5173475047760483E-2</v>
      </c>
      <c r="U65" s="1029">
        <f t="shared" si="25"/>
        <v>5.5173475047760483E-2</v>
      </c>
      <c r="V65" s="1029">
        <f t="shared" si="25"/>
        <v>5.5173475047760483E-2</v>
      </c>
      <c r="W65" s="1029">
        <f>V65</f>
        <v>5.5173475047760483E-2</v>
      </c>
      <c r="X65" s="1029">
        <f>W65</f>
        <v>5.5173475047760483E-2</v>
      </c>
      <c r="Y65" s="1029">
        <f>X65</f>
        <v>5.5173475047760483E-2</v>
      </c>
      <c r="Z65" s="1029">
        <f>Y65</f>
        <v>5.5173475047760483E-2</v>
      </c>
    </row>
    <row r="67" spans="2:30">
      <c r="C67" s="1022" t="s">
        <v>1160</v>
      </c>
    </row>
    <row r="68" spans="2:30">
      <c r="C68" s="1028" t="s">
        <v>1126</v>
      </c>
      <c r="D68" s="1025">
        <f t="shared" ref="D68:Z68" si="26">D57-D61</f>
        <v>4802.7325530625003</v>
      </c>
      <c r="E68" s="1025">
        <f t="shared" si="26"/>
        <v>4826.8668874999985</v>
      </c>
      <c r="F68" s="1025">
        <f t="shared" si="26"/>
        <v>4851.1224999999995</v>
      </c>
      <c r="G68" s="1025">
        <f t="shared" si="26"/>
        <v>4875.5</v>
      </c>
      <c r="H68" s="1025">
        <f t="shared" si="26"/>
        <v>4900</v>
      </c>
      <c r="I68" s="1025">
        <f t="shared" si="26"/>
        <v>4924.4999999999982</v>
      </c>
      <c r="J68" s="1025">
        <f t="shared" si="26"/>
        <v>4949.1224999999977</v>
      </c>
      <c r="K68" s="1025">
        <f t="shared" si="26"/>
        <v>4973.8681124999985</v>
      </c>
      <c r="L68" s="1025">
        <f t="shared" si="26"/>
        <v>4998.7374530624966</v>
      </c>
      <c r="M68" s="1025">
        <f t="shared" si="26"/>
        <v>5023.731140327809</v>
      </c>
      <c r="N68" s="1025">
        <f t="shared" si="26"/>
        <v>5048.8497960294462</v>
      </c>
      <c r="O68" s="1025">
        <f t="shared" si="26"/>
        <v>5074.0940450095932</v>
      </c>
      <c r="P68" s="1025">
        <f t="shared" si="26"/>
        <v>5099.464515234642</v>
      </c>
      <c r="Q68" s="1025">
        <f t="shared" si="26"/>
        <v>5124.9618378108134</v>
      </c>
      <c r="R68" s="1025">
        <f t="shared" si="26"/>
        <v>5150.5866469998673</v>
      </c>
      <c r="S68" s="1025">
        <f t="shared" si="26"/>
        <v>5176.3395802348659</v>
      </c>
      <c r="T68" s="1025">
        <f t="shared" si="26"/>
        <v>5202.2212781360395</v>
      </c>
      <c r="U68" s="1025">
        <f t="shared" si="26"/>
        <v>5228.2323845267201</v>
      </c>
      <c r="V68" s="1025">
        <f t="shared" si="26"/>
        <v>5254.3735464493529</v>
      </c>
      <c r="W68" s="1025">
        <f t="shared" si="26"/>
        <v>5280.6454141815975</v>
      </c>
      <c r="X68" s="1025">
        <f t="shared" si="26"/>
        <v>5307.0486412525061</v>
      </c>
      <c r="Y68" s="1025">
        <f t="shared" si="26"/>
        <v>5333.583884458767</v>
      </c>
      <c r="Z68" s="1025">
        <f t="shared" si="26"/>
        <v>5360.2518038810613</v>
      </c>
    </row>
    <row r="69" spans="2:30">
      <c r="C69" s="1028" t="s">
        <v>1127</v>
      </c>
      <c r="D69" s="1025"/>
      <c r="E69" s="1025"/>
      <c r="F69" s="1025"/>
      <c r="G69" s="1025"/>
      <c r="H69" s="1025">
        <f>H68+G68+F68+E68+D68</f>
        <v>24256.2219405625</v>
      </c>
      <c r="I69" s="1025">
        <f t="shared" ref="I69:V69" si="27">I68+H68+G68+F68+E68</f>
        <v>24377.989387499998</v>
      </c>
      <c r="J69" s="1025">
        <f t="shared" si="27"/>
        <v>24500.244999999995</v>
      </c>
      <c r="K69" s="1025">
        <f t="shared" si="27"/>
        <v>24622.990612499994</v>
      </c>
      <c r="L69" s="1025">
        <f t="shared" si="27"/>
        <v>24746.228065562493</v>
      </c>
      <c r="M69" s="1025">
        <f t="shared" si="27"/>
        <v>24869.9592058903</v>
      </c>
      <c r="N69" s="1025">
        <f t="shared" si="27"/>
        <v>24994.309001919748</v>
      </c>
      <c r="O69" s="1025">
        <f t="shared" si="27"/>
        <v>25119.280546929345</v>
      </c>
      <c r="P69" s="1025">
        <f t="shared" si="27"/>
        <v>25244.876949663987</v>
      </c>
      <c r="Q69" s="1025">
        <f t="shared" si="27"/>
        <v>25371.101334412306</v>
      </c>
      <c r="R69" s="1025">
        <f t="shared" si="27"/>
        <v>25497.956841084364</v>
      </c>
      <c r="S69" s="1025">
        <f t="shared" si="27"/>
        <v>25625.446625289784</v>
      </c>
      <c r="T69" s="1025">
        <f t="shared" si="27"/>
        <v>25753.573858416228</v>
      </c>
      <c r="U69" s="1025">
        <f t="shared" si="27"/>
        <v>25882.341727708306</v>
      </c>
      <c r="V69" s="1025">
        <f t="shared" si="27"/>
        <v>26011.753436346844</v>
      </c>
      <c r="W69" s="1025">
        <f>W68+V68+U68+T68+S68</f>
        <v>26141.812203528578</v>
      </c>
      <c r="X69" s="1025">
        <f>X68+W68+V68+U68+T68</f>
        <v>26272.521264546216</v>
      </c>
      <c r="Y69" s="1025">
        <f>Y68+X68+W68+V68+U68</f>
        <v>26403.883870868944</v>
      </c>
      <c r="Z69" s="1025">
        <f>Z68+Y68+X68+W68+V68</f>
        <v>26535.903290223287</v>
      </c>
    </row>
    <row r="70" spans="2:30">
      <c r="C70" s="1028" t="s">
        <v>1161</v>
      </c>
      <c r="D70" s="1025"/>
      <c r="E70" s="1025"/>
      <c r="F70" s="1025"/>
      <c r="G70" s="1025"/>
      <c r="H70" s="1025">
        <f t="shared" ref="H70:Z70" si="28">H56-H61-H64-H69</f>
        <v>68216.895446470531</v>
      </c>
      <c r="I70" s="1025">
        <f t="shared" si="28"/>
        <v>72187.496822865796</v>
      </c>
      <c r="J70" s="1025">
        <f t="shared" si="28"/>
        <v>75996.571715995335</v>
      </c>
      <c r="K70" s="1025">
        <f t="shared" si="28"/>
        <v>79652.388107924111</v>
      </c>
      <c r="L70" s="1025">
        <f t="shared" si="28"/>
        <v>83162.801573270117</v>
      </c>
      <c r="M70" s="1025">
        <f t="shared" si="28"/>
        <v>86535.275904702547</v>
      </c>
      <c r="N70" s="1025">
        <f t="shared" si="28"/>
        <v>89776.779591613857</v>
      </c>
      <c r="O70" s="1025">
        <f t="shared" si="28"/>
        <v>92894.049431590305</v>
      </c>
      <c r="P70" s="1025">
        <f t="shared" si="28"/>
        <v>95893.486323665697</v>
      </c>
      <c r="Q70" s="1025">
        <f t="shared" si="28"/>
        <v>98781.172067955587</v>
      </c>
      <c r="R70" s="1025">
        <f t="shared" si="28"/>
        <v>101562.88532533338</v>
      </c>
      <c r="S70" s="1025">
        <f t="shared" si="28"/>
        <v>104244.11677914615</v>
      </c>
      <c r="T70" s="1025">
        <f t="shared" si="28"/>
        <v>106830.08353886864</v>
      </c>
      <c r="U70" s="1025">
        <f t="shared" si="28"/>
        <v>109325.74282359848</v>
      </c>
      <c r="V70" s="1025">
        <f t="shared" si="28"/>
        <v>111735.80496140012</v>
      </c>
      <c r="W70" s="1025">
        <f t="shared" si="28"/>
        <v>114064.74573870662</v>
      </c>
      <c r="X70" s="1025">
        <f t="shared" si="28"/>
        <v>116316.81813227468</v>
      </c>
      <c r="Y70" s="1025">
        <f t="shared" si="28"/>
        <v>118496.0634545669</v>
      </c>
      <c r="Z70" s="1025">
        <f t="shared" si="28"/>
        <v>120606.32194188896</v>
      </c>
    </row>
    <row r="72" spans="2:30">
      <c r="C72" s="1022" t="s">
        <v>294</v>
      </c>
      <c r="D72" s="1025">
        <f t="shared" ref="D72:Z72" si="29">D58*80%</f>
        <v>3780</v>
      </c>
      <c r="E72" s="1025">
        <f t="shared" si="29"/>
        <v>3860</v>
      </c>
      <c r="F72" s="1025">
        <f t="shared" si="29"/>
        <v>3940</v>
      </c>
      <c r="G72" s="1025">
        <f t="shared" si="29"/>
        <v>4020</v>
      </c>
      <c r="H72" s="1025">
        <f>H58*80%</f>
        <v>4100</v>
      </c>
      <c r="I72" s="1025">
        <f t="shared" si="29"/>
        <v>4120.4999999999991</v>
      </c>
      <c r="J72" s="1025">
        <f t="shared" si="29"/>
        <v>4141.1024999999991</v>
      </c>
      <c r="K72" s="1025">
        <f t="shared" si="29"/>
        <v>4161.8080124999979</v>
      </c>
      <c r="L72" s="1025">
        <f t="shared" si="29"/>
        <v>4182.6170525624975</v>
      </c>
      <c r="M72" s="1025">
        <f t="shared" si="29"/>
        <v>4203.5301378253089</v>
      </c>
      <c r="N72" s="1025">
        <f t="shared" si="29"/>
        <v>4224.5477885144355</v>
      </c>
      <c r="O72" s="1025">
        <f t="shared" si="29"/>
        <v>4245.6705274570077</v>
      </c>
      <c r="P72" s="1025">
        <f t="shared" si="29"/>
        <v>4266.8988800942925</v>
      </c>
      <c r="Q72" s="1025">
        <f t="shared" si="29"/>
        <v>4288.2333744947628</v>
      </c>
      <c r="R72" s="1025">
        <f t="shared" si="29"/>
        <v>4309.6745413672352</v>
      </c>
      <c r="S72" s="1025">
        <f t="shared" si="29"/>
        <v>4331.2229140740719</v>
      </c>
      <c r="T72" s="1025">
        <f t="shared" si="29"/>
        <v>4352.8790286444419</v>
      </c>
      <c r="U72" s="1025">
        <f t="shared" si="29"/>
        <v>4374.6434237876638</v>
      </c>
      <c r="V72" s="1025">
        <f t="shared" si="29"/>
        <v>4396.5166409066014</v>
      </c>
      <c r="W72" s="1025">
        <f t="shared" si="29"/>
        <v>4418.499224111134</v>
      </c>
      <c r="X72" s="1025">
        <f t="shared" si="29"/>
        <v>4440.5917202316887</v>
      </c>
      <c r="Y72" s="1025">
        <f t="shared" si="29"/>
        <v>4462.7946788328472</v>
      </c>
      <c r="Z72" s="1025">
        <f t="shared" si="29"/>
        <v>4485.1086522270107</v>
      </c>
      <c r="AA72" s="1025"/>
      <c r="AB72" s="1025"/>
      <c r="AC72" s="1025"/>
      <c r="AD72" s="1025"/>
    </row>
    <row r="73" spans="2:30">
      <c r="C73" s="1028" t="s">
        <v>1074</v>
      </c>
      <c r="D73" s="1029">
        <f t="shared" ref="D73:V73" si="30">D72/D64</f>
        <v>0.8798057271690366</v>
      </c>
      <c r="E73" s="1029">
        <f t="shared" si="30"/>
        <v>0.84009970913910437</v>
      </c>
      <c r="F73" s="1029">
        <f t="shared" si="30"/>
        <v>0.80759964398679573</v>
      </c>
      <c r="G73" s="1029">
        <f t="shared" si="30"/>
        <v>0.781064679388497</v>
      </c>
      <c r="H73" s="1029">
        <f t="shared" si="30"/>
        <v>0.7592592592592593</v>
      </c>
      <c r="I73" s="1029">
        <f t="shared" si="30"/>
        <v>0.73071786547005568</v>
      </c>
      <c r="J73" s="1029">
        <f t="shared" si="30"/>
        <v>0.70564361050292013</v>
      </c>
      <c r="K73" s="1029">
        <f t="shared" si="30"/>
        <v>0.68347401034683009</v>
      </c>
      <c r="L73" s="1029">
        <f t="shared" si="30"/>
        <v>0.663761494942399</v>
      </c>
      <c r="M73" s="1029">
        <f t="shared" si="30"/>
        <v>0.64614547111318743</v>
      </c>
      <c r="N73" s="1029">
        <f t="shared" si="30"/>
        <v>0.63033215901474393</v>
      </c>
      <c r="O73" s="1029">
        <f t="shared" si="30"/>
        <v>0.61607979047109573</v>
      </c>
      <c r="P73" s="1029">
        <f t="shared" si="30"/>
        <v>0.60318757633470244</v>
      </c>
      <c r="Q73" s="1029">
        <f t="shared" si="30"/>
        <v>0.59148736877911923</v>
      </c>
      <c r="R73" s="1029">
        <f t="shared" si="30"/>
        <v>0.58083728056567041</v>
      </c>
      <c r="S73" s="1029">
        <f t="shared" si="30"/>
        <v>0.57111674557261316</v>
      </c>
      <c r="T73" s="1029">
        <f t="shared" si="30"/>
        <v>0.56222265455475717</v>
      </c>
      <c r="U73" s="1029">
        <f t="shared" si="30"/>
        <v>0.55406630261901979</v>
      </c>
      <c r="V73" s="1029">
        <f t="shared" si="30"/>
        <v>0.54657095620964191</v>
      </c>
      <c r="W73" s="1029">
        <f>W72/W64</f>
        <v>0.53966989770705998</v>
      </c>
      <c r="X73" s="1029">
        <f>X72/X64</f>
        <v>0.5333048417093178</v>
      </c>
      <c r="Y73" s="1029">
        <f>Y72/Y64</f>
        <v>0.52742464308973958</v>
      </c>
      <c r="Z73" s="1029">
        <f>Z72/Z64</f>
        <v>0.5219842359709479</v>
      </c>
      <c r="AA73" s="1029"/>
      <c r="AB73" s="1029"/>
      <c r="AC73" s="1029"/>
      <c r="AD73" s="1029"/>
    </row>
    <row r="74" spans="2:30">
      <c r="C74" s="1028"/>
      <c r="D74" s="1029"/>
      <c r="E74" s="1029"/>
      <c r="F74" s="1029"/>
      <c r="G74" s="1029"/>
      <c r="H74" s="1029"/>
      <c r="I74" s="1029"/>
      <c r="J74" s="1029"/>
      <c r="K74" s="1029"/>
      <c r="L74" s="1029"/>
      <c r="M74" s="1029"/>
      <c r="N74" s="1029"/>
      <c r="O74" s="1029"/>
      <c r="P74" s="1029"/>
      <c r="Q74" s="1029"/>
      <c r="R74" s="1029"/>
      <c r="S74" s="1029"/>
      <c r="T74" s="1029"/>
      <c r="U74" s="1029"/>
      <c r="V74" s="1029"/>
      <c r="W74" s="1029"/>
      <c r="X74" s="1029"/>
      <c r="Y74" s="1029"/>
      <c r="Z74" s="1029"/>
      <c r="AA74" s="1029"/>
      <c r="AB74" s="1029"/>
      <c r="AC74" s="1029"/>
      <c r="AD74" s="1029"/>
    </row>
    <row r="75" spans="2:30" hidden="1" outlineLevel="1">
      <c r="C75" s="1031" t="s">
        <v>463</v>
      </c>
      <c r="D75" s="1032"/>
      <c r="E75" s="1032"/>
      <c r="F75" s="1032"/>
      <c r="G75" s="1032"/>
      <c r="H75" s="1033">
        <f t="shared" ref="H75:L75" si="31">H72+H64*0.25</f>
        <v>5450</v>
      </c>
      <c r="I75" s="1033">
        <f t="shared" si="31"/>
        <v>5530.243826828897</v>
      </c>
      <c r="J75" s="1033">
        <f t="shared" si="31"/>
        <v>5608.2391814504936</v>
      </c>
      <c r="K75" s="1033">
        <f t="shared" si="31"/>
        <v>5684.107306070825</v>
      </c>
      <c r="L75" s="1033">
        <f t="shared" si="31"/>
        <v>5757.9634248786042</v>
      </c>
      <c r="M75" s="1033">
        <f>M72+M64*0.25</f>
        <v>5829.9170451665514</v>
      </c>
      <c r="N75" s="1033">
        <f t="shared" ref="N75:Z75" si="32">N72+N64*0.25</f>
        <v>5900.0722433977617</v>
      </c>
      <c r="O75" s="1033">
        <f t="shared" si="32"/>
        <v>5968.5279369698583</v>
      </c>
      <c r="P75" s="1033">
        <f t="shared" si="32"/>
        <v>6035.3781423920609</v>
      </c>
      <c r="Q75" s="1033">
        <f t="shared" si="32"/>
        <v>6100.7122205545038</v>
      </c>
      <c r="R75" s="1033">
        <f t="shared" si="32"/>
        <v>6164.6151097352358</v>
      </c>
      <c r="S75" s="1033">
        <f t="shared" si="32"/>
        <v>6227.1675469579759</v>
      </c>
      <c r="T75" s="1033">
        <f t="shared" si="32"/>
        <v>6288.4462782831242</v>
      </c>
      <c r="U75" s="1033">
        <f t="shared" si="32"/>
        <v>6348.5242585853821</v>
      </c>
      <c r="V75" s="1033">
        <f t="shared" si="32"/>
        <v>6407.4708413436074</v>
      </c>
      <c r="W75" s="1033">
        <f t="shared" si="32"/>
        <v>6465.3519589423595</v>
      </c>
      <c r="X75" s="1033">
        <f t="shared" si="32"/>
        <v>6522.2302939595029</v>
      </c>
      <c r="Y75" s="1033">
        <f t="shared" si="32"/>
        <v>6578.1654418906128</v>
      </c>
      <c r="Z75" s="1033">
        <f t="shared" si="32"/>
        <v>6633.2140657383097</v>
      </c>
      <c r="AA75" s="1029"/>
      <c r="AB75" s="1029"/>
      <c r="AC75" s="1029"/>
      <c r="AD75" s="1029"/>
    </row>
    <row r="76" spans="2:30" hidden="1" outlineLevel="1">
      <c r="C76" s="1031" t="s">
        <v>464</v>
      </c>
      <c r="D76" s="1032"/>
      <c r="E76" s="1032"/>
      <c r="F76" s="1032"/>
      <c r="G76" s="1032"/>
      <c r="H76" s="1033">
        <f>H72+H64*0.05</f>
        <v>4370</v>
      </c>
      <c r="I76" s="1033">
        <f t="shared" ref="I76:Z76" si="33">I72+I64*0.05</f>
        <v>4402.4487653657789</v>
      </c>
      <c r="J76" s="1033">
        <f t="shared" si="33"/>
        <v>4434.5298362900976</v>
      </c>
      <c r="K76" s="1033">
        <f t="shared" si="33"/>
        <v>4466.2678712141633</v>
      </c>
      <c r="L76" s="1033">
        <f t="shared" si="33"/>
        <v>4497.686327025719</v>
      </c>
      <c r="M76" s="1033">
        <f t="shared" si="33"/>
        <v>4528.8075192935576</v>
      </c>
      <c r="N76" s="1033">
        <f t="shared" si="33"/>
        <v>4559.6526794911006</v>
      </c>
      <c r="O76" s="1033">
        <f t="shared" si="33"/>
        <v>4590.2420093595774</v>
      </c>
      <c r="P76" s="1033">
        <f t="shared" si="33"/>
        <v>4620.5947325538464</v>
      </c>
      <c r="Q76" s="1033">
        <f t="shared" si="33"/>
        <v>4650.7291437067106</v>
      </c>
      <c r="R76" s="1033">
        <f t="shared" si="33"/>
        <v>4680.6626550408355</v>
      </c>
      <c r="S76" s="1033">
        <f t="shared" si="33"/>
        <v>4710.4118406508524</v>
      </c>
      <c r="T76" s="1033">
        <f t="shared" si="33"/>
        <v>4739.9924785721787</v>
      </c>
      <c r="U76" s="1033">
        <f t="shared" si="33"/>
        <v>4769.4195907472076</v>
      </c>
      <c r="V76" s="1033">
        <f t="shared" si="33"/>
        <v>4798.7074809940023</v>
      </c>
      <c r="W76" s="1033">
        <f t="shared" si="33"/>
        <v>4827.8697710773795</v>
      </c>
      <c r="X76" s="1033">
        <f t="shared" si="33"/>
        <v>4856.9194349772515</v>
      </c>
      <c r="Y76" s="1033">
        <f t="shared" si="33"/>
        <v>4885.8688314444007</v>
      </c>
      <c r="Z76" s="1033">
        <f t="shared" si="33"/>
        <v>4914.7297349292703</v>
      </c>
      <c r="AA76" s="1029"/>
      <c r="AB76" s="1029"/>
      <c r="AC76" s="1029"/>
      <c r="AD76" s="1029"/>
    </row>
    <row r="77" spans="2:30" hidden="1" outlineLevel="1">
      <c r="C77" s="1031" t="s">
        <v>462</v>
      </c>
      <c r="D77" s="1032"/>
      <c r="E77" s="1032"/>
      <c r="F77" s="1032"/>
      <c r="G77" s="1032"/>
      <c r="H77" s="1033">
        <f>H72</f>
        <v>4100</v>
      </c>
      <c r="I77" s="1033">
        <f t="shared" ref="I77:Z77" si="34">I72</f>
        <v>4120.4999999999991</v>
      </c>
      <c r="J77" s="1033">
        <f t="shared" si="34"/>
        <v>4141.1024999999991</v>
      </c>
      <c r="K77" s="1033">
        <f t="shared" si="34"/>
        <v>4161.8080124999979</v>
      </c>
      <c r="L77" s="1033">
        <f t="shared" si="34"/>
        <v>4182.6170525624975</v>
      </c>
      <c r="M77" s="1033">
        <f t="shared" si="34"/>
        <v>4203.5301378253089</v>
      </c>
      <c r="N77" s="1033">
        <f t="shared" si="34"/>
        <v>4224.5477885144355</v>
      </c>
      <c r="O77" s="1033">
        <f t="shared" si="34"/>
        <v>4245.6705274570077</v>
      </c>
      <c r="P77" s="1033">
        <f t="shared" si="34"/>
        <v>4266.8988800942925</v>
      </c>
      <c r="Q77" s="1033">
        <f t="shared" si="34"/>
        <v>4288.2333744947628</v>
      </c>
      <c r="R77" s="1033">
        <f t="shared" si="34"/>
        <v>4309.6745413672352</v>
      </c>
      <c r="S77" s="1033">
        <f t="shared" si="34"/>
        <v>4331.2229140740719</v>
      </c>
      <c r="T77" s="1033">
        <f t="shared" si="34"/>
        <v>4352.8790286444419</v>
      </c>
      <c r="U77" s="1033">
        <f t="shared" si="34"/>
        <v>4374.6434237876638</v>
      </c>
      <c r="V77" s="1033">
        <f t="shared" si="34"/>
        <v>4396.5166409066014</v>
      </c>
      <c r="W77" s="1033">
        <f t="shared" si="34"/>
        <v>4418.499224111134</v>
      </c>
      <c r="X77" s="1033">
        <f t="shared" si="34"/>
        <v>4440.5917202316887</v>
      </c>
      <c r="Y77" s="1033">
        <f t="shared" si="34"/>
        <v>4462.7946788328472</v>
      </c>
      <c r="Z77" s="1033">
        <f t="shared" si="34"/>
        <v>4485.1086522270107</v>
      </c>
      <c r="AA77" s="1029"/>
      <c r="AB77" s="1029"/>
      <c r="AC77" s="1029"/>
      <c r="AD77" s="1029"/>
    </row>
    <row r="78" spans="2:30" s="1151" customFormat="1" collapsed="1">
      <c r="B78" s="1147"/>
      <c r="C78" s="1148" t="s">
        <v>1129</v>
      </c>
      <c r="D78" s="1149"/>
      <c r="E78" s="1149"/>
      <c r="F78" s="1149"/>
      <c r="G78" s="1149"/>
      <c r="H78" s="1150">
        <f t="shared" ref="H78:Z78" si="35">CHOOSE($S$356,H75,H76,H77)</f>
        <v>4370</v>
      </c>
      <c r="I78" s="1150">
        <f t="shared" si="35"/>
        <v>4402.4487653657789</v>
      </c>
      <c r="J78" s="1150">
        <f t="shared" si="35"/>
        <v>4434.5298362900976</v>
      </c>
      <c r="K78" s="1150">
        <f t="shared" si="35"/>
        <v>4466.2678712141633</v>
      </c>
      <c r="L78" s="1150">
        <f t="shared" si="35"/>
        <v>4497.686327025719</v>
      </c>
      <c r="M78" s="1150">
        <f t="shared" si="35"/>
        <v>4528.8075192935576</v>
      </c>
      <c r="N78" s="1150">
        <f t="shared" si="35"/>
        <v>4559.6526794911006</v>
      </c>
      <c r="O78" s="1150">
        <f t="shared" si="35"/>
        <v>4590.2420093595774</v>
      </c>
      <c r="P78" s="1150">
        <f t="shared" si="35"/>
        <v>4620.5947325538464</v>
      </c>
      <c r="Q78" s="1150">
        <f t="shared" si="35"/>
        <v>4650.7291437067106</v>
      </c>
      <c r="R78" s="1150">
        <f t="shared" si="35"/>
        <v>4680.6626550408355</v>
      </c>
      <c r="S78" s="1150">
        <f t="shared" si="35"/>
        <v>4710.4118406508524</v>
      </c>
      <c r="T78" s="1150">
        <f t="shared" si="35"/>
        <v>4739.9924785721787</v>
      </c>
      <c r="U78" s="1150">
        <f t="shared" si="35"/>
        <v>4769.4195907472076</v>
      </c>
      <c r="V78" s="1150">
        <f t="shared" si="35"/>
        <v>4798.7074809940023</v>
      </c>
      <c r="W78" s="1150">
        <f t="shared" si="35"/>
        <v>4827.8697710773795</v>
      </c>
      <c r="X78" s="1150">
        <f t="shared" si="35"/>
        <v>4856.9194349772515</v>
      </c>
      <c r="Y78" s="1150">
        <f t="shared" si="35"/>
        <v>4885.8688314444007</v>
      </c>
      <c r="Z78" s="1150">
        <f t="shared" si="35"/>
        <v>4914.7297349292703</v>
      </c>
      <c r="AA78" s="1149"/>
      <c r="AB78" s="1149"/>
      <c r="AC78" s="1149"/>
      <c r="AD78" s="1149"/>
    </row>
    <row r="80" spans="2:30">
      <c r="C80" s="1023" t="s">
        <v>1137</v>
      </c>
      <c r="D80" s="1024"/>
      <c r="E80" s="1024"/>
      <c r="F80" s="1024"/>
      <c r="G80" s="1024"/>
      <c r="H80" s="1024"/>
      <c r="I80" s="1024"/>
      <c r="J80" s="1024"/>
      <c r="K80" s="1024"/>
      <c r="L80" s="1024"/>
      <c r="M80" s="1024"/>
      <c r="N80" s="1024"/>
      <c r="O80" s="1024"/>
      <c r="P80" s="1024"/>
      <c r="Q80" s="1024"/>
      <c r="R80" s="1024"/>
      <c r="S80" s="1024"/>
      <c r="T80" s="1024"/>
      <c r="U80" s="1024"/>
      <c r="V80" s="1024"/>
      <c r="W80" s="1024"/>
      <c r="X80" s="1024"/>
      <c r="Y80" s="1024"/>
      <c r="Z80" s="1024"/>
    </row>
    <row r="81" spans="2:26">
      <c r="C81" s="1128" t="s">
        <v>1085</v>
      </c>
      <c r="M81" s="1040"/>
      <c r="N81" s="1039"/>
      <c r="O81" s="1039"/>
      <c r="P81" s="1040">
        <v>0</v>
      </c>
      <c r="Q81" s="1039">
        <f>Q83*0.5</f>
        <v>1.8750000000000003E-2</v>
      </c>
      <c r="R81" s="1039">
        <f t="shared" ref="R81:Z81" si="36">R83*0.5</f>
        <v>2.6250000000000002E-2</v>
      </c>
      <c r="S81" s="1039">
        <f t="shared" si="36"/>
        <v>5.6249999999999994E-2</v>
      </c>
      <c r="T81" s="1039">
        <f t="shared" si="36"/>
        <v>7.5000000000000011E-2</v>
      </c>
      <c r="U81" s="1039">
        <f t="shared" si="36"/>
        <v>9.375E-2</v>
      </c>
      <c r="V81" s="1039">
        <f t="shared" si="36"/>
        <v>0.11249999999999999</v>
      </c>
      <c r="W81" s="1039">
        <f t="shared" si="36"/>
        <v>0.13124999999999998</v>
      </c>
      <c r="X81" s="1039">
        <f t="shared" si="36"/>
        <v>0.15000000000000002</v>
      </c>
      <c r="Y81" s="1039">
        <f t="shared" si="36"/>
        <v>0.16875000000000001</v>
      </c>
      <c r="Z81" s="1039">
        <f t="shared" si="36"/>
        <v>0.1875</v>
      </c>
    </row>
    <row r="82" spans="2:26">
      <c r="C82" s="1038" t="s">
        <v>111</v>
      </c>
      <c r="H82" s="1030"/>
      <c r="I82" s="1030"/>
      <c r="J82" s="1030"/>
      <c r="K82" s="1030"/>
      <c r="L82" s="1030"/>
      <c r="M82" s="1030"/>
      <c r="N82" s="1030"/>
      <c r="O82" s="1039"/>
      <c r="P82" s="1039">
        <f t="shared" ref="P82:Z82" si="37">P83-P81</f>
        <v>1.4999999999999999E-2</v>
      </c>
      <c r="Q82" s="1039">
        <f t="shared" si="37"/>
        <v>1.8750000000000003E-2</v>
      </c>
      <c r="R82" s="1039">
        <f t="shared" si="37"/>
        <v>2.6250000000000002E-2</v>
      </c>
      <c r="S82" s="1039">
        <f t="shared" si="37"/>
        <v>5.6249999999999994E-2</v>
      </c>
      <c r="T82" s="1039">
        <f t="shared" si="37"/>
        <v>7.5000000000000011E-2</v>
      </c>
      <c r="U82" s="1039">
        <f t="shared" si="37"/>
        <v>9.375E-2</v>
      </c>
      <c r="V82" s="1039">
        <f t="shared" si="37"/>
        <v>0.11249999999999999</v>
      </c>
      <c r="W82" s="1039">
        <f t="shared" si="37"/>
        <v>0.13124999999999998</v>
      </c>
      <c r="X82" s="1039">
        <f t="shared" si="37"/>
        <v>0.15000000000000002</v>
      </c>
      <c r="Y82" s="1039">
        <f t="shared" si="37"/>
        <v>0.16875000000000001</v>
      </c>
      <c r="Z82" s="1039">
        <f t="shared" si="37"/>
        <v>0.1875</v>
      </c>
    </row>
    <row r="83" spans="2:26" ht="12.75" customHeight="1">
      <c r="C83" s="1128" t="s">
        <v>1087</v>
      </c>
      <c r="M83" s="1040"/>
      <c r="N83" s="1039"/>
      <c r="O83" s="1039"/>
      <c r="P83" s="1039">
        <f t="shared" ref="P83:Z83" si="38">N41*0.75</f>
        <v>1.4999999999999999E-2</v>
      </c>
      <c r="Q83" s="1039">
        <f t="shared" si="38"/>
        <v>3.7500000000000006E-2</v>
      </c>
      <c r="R83" s="1039">
        <f t="shared" si="38"/>
        <v>5.2500000000000005E-2</v>
      </c>
      <c r="S83" s="1039">
        <f t="shared" si="38"/>
        <v>0.11249999999999999</v>
      </c>
      <c r="T83" s="1039">
        <f t="shared" si="38"/>
        <v>0.15000000000000002</v>
      </c>
      <c r="U83" s="1039">
        <f t="shared" si="38"/>
        <v>0.1875</v>
      </c>
      <c r="V83" s="1039">
        <f t="shared" si="38"/>
        <v>0.22499999999999998</v>
      </c>
      <c r="W83" s="1039">
        <f t="shared" si="38"/>
        <v>0.26249999999999996</v>
      </c>
      <c r="X83" s="1039">
        <f t="shared" si="38"/>
        <v>0.30000000000000004</v>
      </c>
      <c r="Y83" s="1039">
        <f t="shared" si="38"/>
        <v>0.33750000000000002</v>
      </c>
      <c r="Z83" s="1039">
        <f t="shared" si="38"/>
        <v>0.375</v>
      </c>
    </row>
    <row r="85" spans="2:26">
      <c r="C85" s="1022" t="s">
        <v>1088</v>
      </c>
      <c r="O85" s="1041">
        <f>O43</f>
        <v>1</v>
      </c>
      <c r="P85" s="1022">
        <f>O85</f>
        <v>1</v>
      </c>
      <c r="Q85" s="1022">
        <f t="shared" ref="Q85:Z85" si="39">P85</f>
        <v>1</v>
      </c>
      <c r="R85" s="1022">
        <f t="shared" si="39"/>
        <v>1</v>
      </c>
      <c r="S85" s="1022">
        <f t="shared" si="39"/>
        <v>1</v>
      </c>
      <c r="T85" s="1022">
        <f t="shared" si="39"/>
        <v>1</v>
      </c>
      <c r="U85" s="1022">
        <f t="shared" si="39"/>
        <v>1</v>
      </c>
      <c r="V85" s="1022">
        <f t="shared" si="39"/>
        <v>1</v>
      </c>
      <c r="W85" s="1022">
        <f t="shared" si="39"/>
        <v>1</v>
      </c>
      <c r="X85" s="1022">
        <f t="shared" si="39"/>
        <v>1</v>
      </c>
      <c r="Y85" s="1022">
        <f t="shared" si="39"/>
        <v>1</v>
      </c>
      <c r="Z85" s="1022">
        <f t="shared" si="39"/>
        <v>1</v>
      </c>
    </row>
    <row r="87" spans="2:26">
      <c r="C87" s="1042" t="s">
        <v>1089</v>
      </c>
      <c r="J87" s="1043"/>
      <c r="K87" s="1025"/>
      <c r="L87" s="1025"/>
      <c r="M87" s="1025"/>
      <c r="N87" s="1025"/>
      <c r="O87" s="1044"/>
      <c r="P87" s="1044">
        <v>235.2</v>
      </c>
      <c r="Q87" s="1044">
        <f>P87*(1+Q88)</f>
        <v>235.2</v>
      </c>
      <c r="R87" s="1044">
        <f t="shared" ref="R87:Z87" si="40">Q87*(1+R88)</f>
        <v>235.2</v>
      </c>
      <c r="S87" s="1044">
        <f t="shared" si="40"/>
        <v>235.2</v>
      </c>
      <c r="T87" s="1044">
        <f t="shared" si="40"/>
        <v>235.2</v>
      </c>
      <c r="U87" s="1044">
        <f t="shared" si="40"/>
        <v>235.2</v>
      </c>
      <c r="V87" s="1044">
        <f t="shared" si="40"/>
        <v>235.2</v>
      </c>
      <c r="W87" s="1044">
        <f t="shared" si="40"/>
        <v>235.2</v>
      </c>
      <c r="X87" s="1044">
        <f t="shared" si="40"/>
        <v>235.2</v>
      </c>
      <c r="Y87" s="1044">
        <f t="shared" si="40"/>
        <v>235.2</v>
      </c>
      <c r="Z87" s="1044">
        <f t="shared" si="40"/>
        <v>235.2</v>
      </c>
    </row>
    <row r="88" spans="2:26" s="1046" customFormat="1">
      <c r="C88" s="1045" t="s">
        <v>368</v>
      </c>
      <c r="K88" s="1047"/>
      <c r="L88" s="1048"/>
      <c r="M88" s="1048"/>
      <c r="N88" s="1048"/>
      <c r="O88" s="1047"/>
      <c r="P88" s="1048"/>
      <c r="Q88" s="1047">
        <v>0</v>
      </c>
      <c r="R88" s="1048">
        <f>Q88</f>
        <v>0</v>
      </c>
      <c r="S88" s="1048">
        <f t="shared" ref="S88:Z88" si="41">R88</f>
        <v>0</v>
      </c>
      <c r="T88" s="1048">
        <f t="shared" si="41"/>
        <v>0</v>
      </c>
      <c r="U88" s="1048">
        <f t="shared" si="41"/>
        <v>0</v>
      </c>
      <c r="V88" s="1048">
        <f t="shared" si="41"/>
        <v>0</v>
      </c>
      <c r="W88" s="1048">
        <f t="shared" si="41"/>
        <v>0</v>
      </c>
      <c r="X88" s="1048">
        <f t="shared" si="41"/>
        <v>0</v>
      </c>
      <c r="Y88" s="1048">
        <f t="shared" si="41"/>
        <v>0</v>
      </c>
      <c r="Z88" s="1048">
        <f t="shared" si="41"/>
        <v>0</v>
      </c>
    </row>
    <row r="89" spans="2:26" s="1046" customFormat="1">
      <c r="C89" s="1045"/>
      <c r="K89" s="1047"/>
      <c r="L89" s="1048"/>
      <c r="M89" s="1048"/>
      <c r="N89" s="1048"/>
      <c r="O89" s="1048"/>
      <c r="P89" s="1048"/>
      <c r="Q89" s="1048"/>
      <c r="R89" s="1048"/>
      <c r="S89" s="1048"/>
      <c r="T89" s="1048"/>
      <c r="U89" s="1048"/>
      <c r="V89" s="1048"/>
      <c r="W89" s="1048"/>
      <c r="X89" s="1048"/>
      <c r="Y89" s="1048"/>
      <c r="Z89" s="1048"/>
    </row>
    <row r="90" spans="2:26" ht="13.5" thickBot="1">
      <c r="B90" s="1206" t="s">
        <v>78</v>
      </c>
      <c r="C90" s="1171" t="s">
        <v>1169</v>
      </c>
      <c r="D90" s="1172"/>
      <c r="E90" s="1172"/>
      <c r="F90" s="1172"/>
      <c r="G90" s="1172"/>
      <c r="H90" s="1172"/>
      <c r="I90" s="1172"/>
      <c r="J90" s="1173"/>
      <c r="K90" s="1173"/>
      <c r="L90" s="1173"/>
      <c r="M90" s="1173"/>
      <c r="N90" s="1173"/>
      <c r="O90" s="1173"/>
      <c r="P90" s="1174">
        <f t="shared" ref="P90:Z90" si="42">P87*P85*P81*P78/1000</f>
        <v>0</v>
      </c>
      <c r="Q90" s="1174">
        <f t="shared" si="42"/>
        <v>20.509715523746596</v>
      </c>
      <c r="R90" s="1174">
        <f t="shared" si="42"/>
        <v>28.89841123222212</v>
      </c>
      <c r="S90" s="1174">
        <f t="shared" si="42"/>
        <v>62.318748651810772</v>
      </c>
      <c r="T90" s="1174">
        <f t="shared" si="42"/>
        <v>83.613467322013236</v>
      </c>
      <c r="U90" s="1174">
        <f t="shared" si="42"/>
        <v>105.16570197597591</v>
      </c>
      <c r="V90" s="1174">
        <f t="shared" si="42"/>
        <v>126.97379994710128</v>
      </c>
      <c r="W90" s="1174">
        <f t="shared" si="42"/>
        <v>149.03633983315868</v>
      </c>
      <c r="X90" s="1174">
        <f t="shared" si="42"/>
        <v>171.35211766599744</v>
      </c>
      <c r="Y90" s="1174">
        <f t="shared" si="42"/>
        <v>193.92013392002826</v>
      </c>
      <c r="Z90" s="1174">
        <f t="shared" si="42"/>
        <v>216.7395813103808</v>
      </c>
    </row>
    <row r="91" spans="2:26" ht="13.5" hidden="1" outlineLevel="1" thickTop="1">
      <c r="K91" s="1064"/>
      <c r="L91" s="1029"/>
      <c r="M91" s="1029"/>
      <c r="N91" s="1029"/>
      <c r="O91" s="1029"/>
      <c r="P91" s="1029"/>
      <c r="Q91" s="1029"/>
      <c r="R91" s="1029"/>
      <c r="S91" s="1029"/>
      <c r="T91" s="1029"/>
      <c r="U91" s="1029"/>
      <c r="V91" s="1029"/>
      <c r="W91" s="1029"/>
      <c r="X91" s="1029"/>
      <c r="Y91" s="1029"/>
      <c r="Z91" s="1029"/>
    </row>
    <row r="92" spans="2:26" hidden="1" outlineLevel="1"/>
    <row r="93" spans="2:26" hidden="1" outlineLevel="1"/>
    <row r="94" spans="2:26" hidden="1" outlineLevel="1"/>
    <row r="95" spans="2:26" hidden="1" outlineLevel="1">
      <c r="H95" s="1152">
        <f>H58/H57</f>
        <v>0.34395973154362414</v>
      </c>
      <c r="I95" s="1029">
        <f>H95</f>
        <v>0.34395973154362414</v>
      </c>
      <c r="J95" s="1029">
        <f t="shared" ref="J95:Z95" si="43">I95</f>
        <v>0.34395973154362414</v>
      </c>
      <c r="K95" s="1029">
        <f t="shared" si="43"/>
        <v>0.34395973154362414</v>
      </c>
      <c r="L95" s="1029">
        <f t="shared" si="43"/>
        <v>0.34395973154362414</v>
      </c>
      <c r="M95" s="1029">
        <f t="shared" si="43"/>
        <v>0.34395973154362414</v>
      </c>
      <c r="N95" s="1029">
        <f t="shared" si="43"/>
        <v>0.34395973154362414</v>
      </c>
      <c r="O95" s="1029">
        <f t="shared" si="43"/>
        <v>0.34395973154362414</v>
      </c>
      <c r="P95" s="1029">
        <f t="shared" si="43"/>
        <v>0.34395973154362414</v>
      </c>
      <c r="Q95" s="1029">
        <f t="shared" si="43"/>
        <v>0.34395973154362414</v>
      </c>
      <c r="R95" s="1029">
        <f t="shared" si="43"/>
        <v>0.34395973154362414</v>
      </c>
      <c r="S95" s="1029">
        <f t="shared" si="43"/>
        <v>0.34395973154362414</v>
      </c>
      <c r="T95" s="1029">
        <f t="shared" si="43"/>
        <v>0.34395973154362414</v>
      </c>
      <c r="U95" s="1029">
        <f t="shared" si="43"/>
        <v>0.34395973154362414</v>
      </c>
      <c r="V95" s="1029">
        <f t="shared" si="43"/>
        <v>0.34395973154362414</v>
      </c>
      <c r="W95" s="1029">
        <f t="shared" si="43"/>
        <v>0.34395973154362414</v>
      </c>
      <c r="X95" s="1029">
        <f t="shared" si="43"/>
        <v>0.34395973154362414</v>
      </c>
      <c r="Y95" s="1029">
        <f t="shared" si="43"/>
        <v>0.34395973154362414</v>
      </c>
      <c r="Z95" s="1029">
        <f t="shared" si="43"/>
        <v>0.34395973154362414</v>
      </c>
    </row>
    <row r="96" spans="2:26" ht="14.25" collapsed="1" thickTop="1" thickBot="1"/>
    <row r="97" spans="2:26" s="1185" customFormat="1" ht="15.75" thickBot="1">
      <c r="B97" s="1206" t="s">
        <v>78</v>
      </c>
      <c r="C97" s="1209" t="s">
        <v>1211</v>
      </c>
      <c r="D97" s="1210"/>
      <c r="E97" s="1210"/>
      <c r="F97" s="1210"/>
      <c r="G97" s="1210"/>
      <c r="H97" s="1210"/>
      <c r="I97" s="1210"/>
      <c r="J97" s="1210"/>
      <c r="K97" s="1210"/>
      <c r="L97" s="1210"/>
      <c r="M97" s="1210"/>
      <c r="N97" s="1211">
        <f t="shared" ref="N97:Z97" si="44">N90+N48</f>
        <v>0</v>
      </c>
      <c r="O97" s="1212">
        <f t="shared" si="44"/>
        <v>0</v>
      </c>
      <c r="P97" s="1212">
        <f t="shared" si="44"/>
        <v>0</v>
      </c>
      <c r="Q97" s="1212">
        <f t="shared" si="44"/>
        <v>70.987974849735267</v>
      </c>
      <c r="R97" s="1212">
        <f t="shared" si="44"/>
        <v>123.59562572777686</v>
      </c>
      <c r="S97" s="1212">
        <f t="shared" si="44"/>
        <v>198.27689232042863</v>
      </c>
      <c r="T97" s="1212">
        <f t="shared" si="44"/>
        <v>288.57036890245462</v>
      </c>
      <c r="U97" s="1212">
        <f t="shared" si="44"/>
        <v>345.47766907904338</v>
      </c>
      <c r="V97" s="1212">
        <f t="shared" si="44"/>
        <v>402.98925930548165</v>
      </c>
      <c r="W97" s="1212">
        <f t="shared" si="44"/>
        <v>461.10631857022747</v>
      </c>
      <c r="X97" s="1212">
        <f t="shared" si="44"/>
        <v>519.83026058905762</v>
      </c>
      <c r="Y97" s="1212">
        <f t="shared" si="44"/>
        <v>544.14066755770364</v>
      </c>
      <c r="Z97" s="1213">
        <f t="shared" si="44"/>
        <v>568.71121761624454</v>
      </c>
    </row>
    <row r="99" spans="2:26">
      <c r="C99" s="1021"/>
      <c r="D99" s="1021">
        <v>2008</v>
      </c>
      <c r="E99" s="1021">
        <f>D99+1</f>
        <v>2009</v>
      </c>
      <c r="F99" s="1021">
        <f t="shared" ref="F99:V99" si="45">E99+1</f>
        <v>2010</v>
      </c>
      <c r="G99" s="1021">
        <f t="shared" si="45"/>
        <v>2011</v>
      </c>
      <c r="H99" s="1021">
        <f t="shared" si="45"/>
        <v>2012</v>
      </c>
      <c r="I99" s="1021">
        <f t="shared" si="45"/>
        <v>2013</v>
      </c>
      <c r="J99" s="1021">
        <f t="shared" si="45"/>
        <v>2014</v>
      </c>
      <c r="K99" s="1021">
        <f t="shared" si="45"/>
        <v>2015</v>
      </c>
      <c r="L99" s="1021">
        <f t="shared" si="45"/>
        <v>2016</v>
      </c>
      <c r="M99" s="1021">
        <f t="shared" si="45"/>
        <v>2017</v>
      </c>
      <c r="N99" s="1021">
        <f t="shared" si="45"/>
        <v>2018</v>
      </c>
      <c r="O99" s="1021">
        <f t="shared" si="45"/>
        <v>2019</v>
      </c>
      <c r="P99" s="1021">
        <f t="shared" si="45"/>
        <v>2020</v>
      </c>
      <c r="Q99" s="1021">
        <f t="shared" si="45"/>
        <v>2021</v>
      </c>
      <c r="R99" s="1021">
        <f t="shared" si="45"/>
        <v>2022</v>
      </c>
      <c r="S99" s="1021">
        <f t="shared" si="45"/>
        <v>2023</v>
      </c>
      <c r="T99" s="1021">
        <f t="shared" si="45"/>
        <v>2024</v>
      </c>
      <c r="U99" s="1021">
        <f t="shared" si="45"/>
        <v>2025</v>
      </c>
      <c r="V99" s="1021">
        <f t="shared" si="45"/>
        <v>2026</v>
      </c>
      <c r="W99" s="1021">
        <f>V99+1</f>
        <v>2027</v>
      </c>
      <c r="X99" s="1021">
        <f>W99+1</f>
        <v>2028</v>
      </c>
      <c r="Y99" s="1021">
        <f>X99+1</f>
        <v>2029</v>
      </c>
      <c r="Z99" s="1021">
        <f>Y99+1</f>
        <v>2030</v>
      </c>
    </row>
    <row r="100" spans="2:26">
      <c r="B100" s="1206" t="s">
        <v>78</v>
      </c>
      <c r="C100" s="1023" t="s">
        <v>1139</v>
      </c>
      <c r="D100" s="1024"/>
      <c r="E100" s="1024"/>
      <c r="F100" s="1024"/>
      <c r="G100" s="1024"/>
      <c r="H100" s="1024"/>
      <c r="I100" s="1024"/>
      <c r="J100" s="1024"/>
      <c r="K100" s="1024"/>
      <c r="L100" s="1024"/>
      <c r="M100" s="1024"/>
      <c r="N100" s="1024"/>
      <c r="O100" s="1024"/>
      <c r="P100" s="1024"/>
      <c r="Q100" s="1024"/>
      <c r="R100" s="1024"/>
      <c r="S100" s="1024"/>
      <c r="T100" s="1024"/>
      <c r="U100" s="1024"/>
      <c r="V100" s="1024"/>
      <c r="W100" s="1024"/>
      <c r="X100" s="1024"/>
      <c r="Y100" s="1024"/>
      <c r="Z100" s="1024"/>
    </row>
    <row r="101" spans="2:26">
      <c r="C101" s="1022" t="s">
        <v>434</v>
      </c>
      <c r="D101" s="1025">
        <f>E101-D102+D103+D104</f>
        <v>155199.78302058385</v>
      </c>
      <c r="E101" s="1025">
        <f>F101-E102+E103+E104</f>
        <v>160518.32053410137</v>
      </c>
      <c r="F101" s="1025">
        <f>G101-F102+F103+F104</f>
        <v>166418.59852012442</v>
      </c>
      <c r="G101" s="1025">
        <f>H101-G102+G103+G104</f>
        <v>172909.41747572814</v>
      </c>
      <c r="H101" s="1026">
        <v>180000</v>
      </c>
      <c r="I101" s="1025">
        <f>H101+H102-H103-H104</f>
        <v>187700</v>
      </c>
      <c r="J101" s="1025">
        <f t="shared" ref="J101:V101" si="46">I101+I102-I103-I104</f>
        <v>195680.8</v>
      </c>
      <c r="K101" s="1025">
        <f t="shared" si="46"/>
        <v>203949.88311999998</v>
      </c>
      <c r="L101" s="1025">
        <f t="shared" si="46"/>
        <v>212515.01857932797</v>
      </c>
      <c r="M101" s="1025">
        <f t="shared" si="46"/>
        <v>221384.26733621367</v>
      </c>
      <c r="N101" s="1025">
        <f t="shared" si="46"/>
        <v>230565.98804500629</v>
      </c>
      <c r="O101" s="1025">
        <f t="shared" si="46"/>
        <v>240068.84333315527</v>
      </c>
      <c r="P101" s="1025">
        <f t="shared" si="46"/>
        <v>249901.80640050641</v>
      </c>
      <c r="Q101" s="1025">
        <f t="shared" si="46"/>
        <v>260074.16794389524</v>
      </c>
      <c r="R101" s="1025">
        <f t="shared" si="46"/>
        <v>270595.5434104423</v>
      </c>
      <c r="S101" s="1025">
        <f t="shared" si="46"/>
        <v>281475.88058337715</v>
      </c>
      <c r="T101" s="1025">
        <f t="shared" si="46"/>
        <v>292725.46750463167</v>
      </c>
      <c r="U101" s="1025">
        <f t="shared" si="46"/>
        <v>304354.94073885941</v>
      </c>
      <c r="V101" s="1025">
        <f t="shared" si="46"/>
        <v>316375.29398394981</v>
      </c>
      <c r="W101" s="1025">
        <f>V101+V102-V103-V104</f>
        <v>328797.8870335152</v>
      </c>
      <c r="X101" s="1025">
        <f>W101+W102-W103-W104</f>
        <v>341634.4550972415</v>
      </c>
      <c r="Y101" s="1025">
        <f>X101+X102-X103-X104</f>
        <v>354897.11848540104</v>
      </c>
      <c r="Z101" s="1025">
        <f>Y101+Y102-Y103-Y104</f>
        <v>368598.39266423928</v>
      </c>
    </row>
    <row r="102" spans="2:26">
      <c r="C102" s="1022" t="s">
        <v>100</v>
      </c>
      <c r="D102" s="1025">
        <f>E102/1.03</f>
        <v>21945.630083517513</v>
      </c>
      <c r="E102" s="1025">
        <f>F102/1.03</f>
        <v>22603.998986023038</v>
      </c>
      <c r="F102" s="1025">
        <f>G102/1.03</f>
        <v>23282.118955603732</v>
      </c>
      <c r="G102" s="1025">
        <f>H102/1.03</f>
        <v>23980.582524271846</v>
      </c>
      <c r="H102" s="1026">
        <v>24700</v>
      </c>
      <c r="I102" s="1025">
        <f>H102*1.03</f>
        <v>25441</v>
      </c>
      <c r="J102" s="1025">
        <f t="shared" ref="J102:V102" si="47">I102*1.03</f>
        <v>26204.23</v>
      </c>
      <c r="K102" s="1025">
        <f t="shared" si="47"/>
        <v>26990.356899999999</v>
      </c>
      <c r="L102" s="1025">
        <f t="shared" si="47"/>
        <v>27800.067607000001</v>
      </c>
      <c r="M102" s="1025">
        <f t="shared" si="47"/>
        <v>28634.069635210002</v>
      </c>
      <c r="N102" s="1025">
        <f t="shared" si="47"/>
        <v>29493.091724266302</v>
      </c>
      <c r="O102" s="1025">
        <f t="shared" si="47"/>
        <v>30377.884475994291</v>
      </c>
      <c r="P102" s="1025">
        <f>O102*1.03</f>
        <v>31289.221010274119</v>
      </c>
      <c r="Q102" s="1025">
        <f t="shared" si="47"/>
        <v>32227.897640582345</v>
      </c>
      <c r="R102" s="1025">
        <f t="shared" si="47"/>
        <v>33194.734569799817</v>
      </c>
      <c r="S102" s="1025">
        <f t="shared" si="47"/>
        <v>34190.57660689381</v>
      </c>
      <c r="T102" s="1025">
        <f t="shared" si="47"/>
        <v>35216.293905100625</v>
      </c>
      <c r="U102" s="1025">
        <f t="shared" si="47"/>
        <v>36272.782722253643</v>
      </c>
      <c r="V102" s="1025">
        <f t="shared" si="47"/>
        <v>37360.966203921256</v>
      </c>
      <c r="W102" s="1025">
        <f>V102*1.03</f>
        <v>38481.795190038894</v>
      </c>
      <c r="X102" s="1025">
        <f>W102*1.03</f>
        <v>39636.249045740064</v>
      </c>
      <c r="Y102" s="1025">
        <f>X102*1.03</f>
        <v>40825.336517112264</v>
      </c>
      <c r="Z102" s="1025">
        <f>Y102*1.03</f>
        <v>42050.096612625632</v>
      </c>
    </row>
    <row r="103" spans="2:26">
      <c r="C103" s="1022" t="s">
        <v>101</v>
      </c>
      <c r="D103" s="1025">
        <f>E103*1.02</f>
        <v>8659.4572800000005</v>
      </c>
      <c r="E103" s="1025">
        <f>F103*1.02</f>
        <v>8489.6640000000007</v>
      </c>
      <c r="F103" s="1025">
        <f>G103*1.02</f>
        <v>8323.2000000000007</v>
      </c>
      <c r="G103" s="1025">
        <f>H103*1.02</f>
        <v>8160</v>
      </c>
      <c r="H103" s="1026">
        <v>8000</v>
      </c>
      <c r="I103" s="1025">
        <f t="shared" ref="I103:Z103" si="48">I102*I149</f>
        <v>8075.2</v>
      </c>
      <c r="J103" s="1025">
        <f t="shared" si="48"/>
        <v>8151.1068800000003</v>
      </c>
      <c r="K103" s="1025">
        <f t="shared" si="48"/>
        <v>8227.7272846720007</v>
      </c>
      <c r="L103" s="1025">
        <f t="shared" si="48"/>
        <v>8305.0679211479182</v>
      </c>
      <c r="M103" s="1025">
        <f t="shared" si="48"/>
        <v>8383.1355596067096</v>
      </c>
      <c r="N103" s="1025">
        <f t="shared" si="48"/>
        <v>8461.9370338670105</v>
      </c>
      <c r="O103" s="1025">
        <f t="shared" si="48"/>
        <v>8541.479241985362</v>
      </c>
      <c r="P103" s="1025">
        <f t="shared" si="48"/>
        <v>8621.7691468600224</v>
      </c>
      <c r="Q103" s="1025">
        <f t="shared" si="48"/>
        <v>8702.8137768405068</v>
      </c>
      <c r="R103" s="1025">
        <f t="shared" si="48"/>
        <v>8784.6202263428095</v>
      </c>
      <c r="S103" s="1025">
        <f t="shared" si="48"/>
        <v>8867.1956564704324</v>
      </c>
      <c r="T103" s="1025">
        <f t="shared" si="48"/>
        <v>8950.5472956412541</v>
      </c>
      <c r="U103" s="1025">
        <f t="shared" si="48"/>
        <v>9034.6824402202819</v>
      </c>
      <c r="V103" s="1025">
        <f t="shared" si="48"/>
        <v>9119.6084551583535</v>
      </c>
      <c r="W103" s="1025">
        <f t="shared" si="48"/>
        <v>9205.3327746368414</v>
      </c>
      <c r="X103" s="1025">
        <f t="shared" si="48"/>
        <v>9291.862902718427</v>
      </c>
      <c r="Y103" s="1025">
        <f t="shared" si="48"/>
        <v>9379.2064140039802</v>
      </c>
      <c r="Z103" s="1025">
        <f t="shared" si="48"/>
        <v>9467.3709542956167</v>
      </c>
    </row>
    <row r="104" spans="2:26">
      <c r="C104" s="1022" t="s">
        <v>1070</v>
      </c>
      <c r="D104" s="1035">
        <f>E104*0.97</f>
        <v>7967.6352900000002</v>
      </c>
      <c r="E104" s="1035">
        <f>F104*0.97</f>
        <v>8214.0570000000007</v>
      </c>
      <c r="F104" s="1035">
        <f>G104*0.97</f>
        <v>8468.1</v>
      </c>
      <c r="G104" s="1035">
        <f>H104*0.97</f>
        <v>8730</v>
      </c>
      <c r="H104" s="1035">
        <f>H101*0.05</f>
        <v>9000</v>
      </c>
      <c r="I104" s="1035">
        <f t="shared" ref="I104:V104" si="49">I101*0.05</f>
        <v>9385</v>
      </c>
      <c r="J104" s="1035">
        <f t="shared" si="49"/>
        <v>9784.0399999999991</v>
      </c>
      <c r="K104" s="1035">
        <f t="shared" si="49"/>
        <v>10197.494156000001</v>
      </c>
      <c r="L104" s="1035">
        <f t="shared" si="49"/>
        <v>10625.750928966399</v>
      </c>
      <c r="M104" s="1035">
        <f t="shared" si="49"/>
        <v>11069.213366810684</v>
      </c>
      <c r="N104" s="1035">
        <f t="shared" si="49"/>
        <v>11528.299402250315</v>
      </c>
      <c r="O104" s="1035">
        <f t="shared" si="49"/>
        <v>12003.442166657764</v>
      </c>
      <c r="P104" s="1035">
        <f>P101*0.05</f>
        <v>12495.090320025321</v>
      </c>
      <c r="Q104" s="1035">
        <f t="shared" si="49"/>
        <v>13003.708397194763</v>
      </c>
      <c r="R104" s="1035">
        <f t="shared" si="49"/>
        <v>13529.777170522117</v>
      </c>
      <c r="S104" s="1035">
        <f t="shared" si="49"/>
        <v>14073.794029168857</v>
      </c>
      <c r="T104" s="1035">
        <f t="shared" si="49"/>
        <v>14636.273375231583</v>
      </c>
      <c r="U104" s="1035">
        <f t="shared" si="49"/>
        <v>15217.747036942972</v>
      </c>
      <c r="V104" s="1035">
        <f t="shared" si="49"/>
        <v>15818.764699197491</v>
      </c>
      <c r="W104" s="1035">
        <f>W101*0.05</f>
        <v>16439.894351675761</v>
      </c>
      <c r="X104" s="1035">
        <f>X101*0.05</f>
        <v>17081.722754862076</v>
      </c>
      <c r="Y104" s="1035">
        <f>Y101*0.05</f>
        <v>17744.855924270054</v>
      </c>
      <c r="Z104" s="1035">
        <f>Z101*0.05</f>
        <v>18429.919633211965</v>
      </c>
    </row>
    <row r="106" spans="2:26">
      <c r="C106" s="1022" t="s">
        <v>1140</v>
      </c>
      <c r="D106" s="1025">
        <f>D107*D102</f>
        <v>15992.766862482398</v>
      </c>
      <c r="E106" s="1025">
        <f>E107*E102</f>
        <v>16472.549868356869</v>
      </c>
      <c r="F106" s="1025">
        <f>F107*F102</f>
        <v>16966.726364407579</v>
      </c>
      <c r="G106" s="1025">
        <f>G107*G102</f>
        <v>17475.728155339806</v>
      </c>
      <c r="H106" s="1026">
        <v>18000</v>
      </c>
      <c r="I106" s="1025">
        <f t="shared" ref="I106:V106" si="50">I107*I102</f>
        <v>18540</v>
      </c>
      <c r="J106" s="1025">
        <f t="shared" si="50"/>
        <v>19096.2</v>
      </c>
      <c r="K106" s="1025">
        <f t="shared" si="50"/>
        <v>19669.085999999999</v>
      </c>
      <c r="L106" s="1025">
        <f t="shared" si="50"/>
        <v>20259.158579999999</v>
      </c>
      <c r="M106" s="1025">
        <f t="shared" si="50"/>
        <v>20866.933337400002</v>
      </c>
      <c r="N106" s="1025">
        <f t="shared" si="50"/>
        <v>21492.941337522003</v>
      </c>
      <c r="O106" s="1025">
        <f t="shared" si="50"/>
        <v>22137.72957764766</v>
      </c>
      <c r="P106" s="1025">
        <f>P107*P102</f>
        <v>22801.86146497709</v>
      </c>
      <c r="Q106" s="1025">
        <f t="shared" si="50"/>
        <v>23485.917308926404</v>
      </c>
      <c r="R106" s="1025">
        <f t="shared" si="50"/>
        <v>24190.494828194198</v>
      </c>
      <c r="S106" s="1025">
        <f t="shared" si="50"/>
        <v>24916.209673040023</v>
      </c>
      <c r="T106" s="1025">
        <f t="shared" si="50"/>
        <v>25663.695963231225</v>
      </c>
      <c r="U106" s="1025">
        <f t="shared" si="50"/>
        <v>26433.60684212816</v>
      </c>
      <c r="V106" s="1025">
        <f t="shared" si="50"/>
        <v>27226.61504739201</v>
      </c>
      <c r="W106" s="1025">
        <f>W107*W102</f>
        <v>28043.41349881377</v>
      </c>
      <c r="X106" s="1025">
        <f>X107*X102</f>
        <v>28884.715903778182</v>
      </c>
      <c r="Y106" s="1025">
        <f>Y107*Y102</f>
        <v>29751.257380891529</v>
      </c>
      <c r="Z106" s="1025">
        <f>Z107*Z102</f>
        <v>30643.795102318272</v>
      </c>
    </row>
    <row r="107" spans="2:26">
      <c r="C107" s="1028" t="s">
        <v>1122</v>
      </c>
      <c r="D107" s="1029">
        <f>E107</f>
        <v>0.72874493927125505</v>
      </c>
      <c r="E107" s="1029">
        <f>F107</f>
        <v>0.72874493927125505</v>
      </c>
      <c r="F107" s="1029">
        <f>G107</f>
        <v>0.72874493927125505</v>
      </c>
      <c r="G107" s="1029">
        <f>H107</f>
        <v>0.72874493927125505</v>
      </c>
      <c r="H107" s="1029">
        <f>H106/H102</f>
        <v>0.72874493927125505</v>
      </c>
      <c r="I107" s="1029">
        <f>H107</f>
        <v>0.72874493927125505</v>
      </c>
      <c r="J107" s="1029">
        <f t="shared" ref="J107:Z107" si="51">I107</f>
        <v>0.72874493927125505</v>
      </c>
      <c r="K107" s="1029">
        <f t="shared" si="51"/>
        <v>0.72874493927125505</v>
      </c>
      <c r="L107" s="1029">
        <f t="shared" si="51"/>
        <v>0.72874493927125505</v>
      </c>
      <c r="M107" s="1029">
        <f t="shared" si="51"/>
        <v>0.72874493927125505</v>
      </c>
      <c r="N107" s="1029">
        <f t="shared" si="51"/>
        <v>0.72874493927125505</v>
      </c>
      <c r="O107" s="1029">
        <f t="shared" si="51"/>
        <v>0.72874493927125505</v>
      </c>
      <c r="P107" s="1029">
        <f t="shared" si="51"/>
        <v>0.72874493927125505</v>
      </c>
      <c r="Q107" s="1029">
        <f t="shared" si="51"/>
        <v>0.72874493927125505</v>
      </c>
      <c r="R107" s="1029">
        <f t="shared" si="51"/>
        <v>0.72874493927125505</v>
      </c>
      <c r="S107" s="1029">
        <f t="shared" si="51"/>
        <v>0.72874493927125505</v>
      </c>
      <c r="T107" s="1029">
        <f t="shared" si="51"/>
        <v>0.72874493927125505</v>
      </c>
      <c r="U107" s="1029">
        <f t="shared" si="51"/>
        <v>0.72874493927125505</v>
      </c>
      <c r="V107" s="1029">
        <f t="shared" si="51"/>
        <v>0.72874493927125505</v>
      </c>
      <c r="W107" s="1029">
        <f t="shared" si="51"/>
        <v>0.72874493927125505</v>
      </c>
      <c r="X107" s="1029">
        <f t="shared" si="51"/>
        <v>0.72874493927125505</v>
      </c>
      <c r="Y107" s="1029">
        <f t="shared" si="51"/>
        <v>0.72874493927125505</v>
      </c>
      <c r="Z107" s="1029">
        <f t="shared" si="51"/>
        <v>0.72874493927125505</v>
      </c>
    </row>
    <row r="108" spans="2:26">
      <c r="C108" s="1028"/>
      <c r="D108" s="1029"/>
      <c r="E108" s="1029"/>
      <c r="F108" s="1029"/>
      <c r="G108" s="1029"/>
      <c r="H108" s="1030"/>
      <c r="I108" s="1029"/>
      <c r="J108" s="1029"/>
      <c r="K108" s="1029"/>
      <c r="L108" s="1029"/>
      <c r="M108" s="1029"/>
      <c r="N108" s="1029"/>
      <c r="O108" s="1029"/>
      <c r="P108" s="1029"/>
      <c r="Q108" s="1029"/>
      <c r="R108" s="1029"/>
      <c r="S108" s="1029"/>
      <c r="T108" s="1029"/>
      <c r="U108" s="1029"/>
      <c r="V108" s="1029"/>
      <c r="W108" s="1029"/>
      <c r="X108" s="1029"/>
      <c r="Y108" s="1029"/>
      <c r="Z108" s="1029"/>
    </row>
    <row r="109" spans="2:26">
      <c r="C109" s="1022" t="s">
        <v>1141</v>
      </c>
      <c r="D109" s="1025">
        <f>D110*D102</f>
        <v>7019.0476785339424</v>
      </c>
      <c r="E109" s="1025">
        <f>E110*E102</f>
        <v>7229.6191088899604</v>
      </c>
      <c r="F109" s="1025">
        <f>F110*F102</f>
        <v>7446.5076821566599</v>
      </c>
      <c r="G109" s="1025">
        <f>G110*G102</f>
        <v>7669.90291262136</v>
      </c>
      <c r="H109" s="1026">
        <v>7900</v>
      </c>
      <c r="I109" s="1025">
        <f t="shared" ref="I109:V109" si="52">I110*I102</f>
        <v>8137.0000000000009</v>
      </c>
      <c r="J109" s="1025">
        <f t="shared" si="52"/>
        <v>8381.11</v>
      </c>
      <c r="K109" s="1025">
        <f t="shared" si="52"/>
        <v>8632.5432999999994</v>
      </c>
      <c r="L109" s="1025">
        <f t="shared" si="52"/>
        <v>8891.5195990000011</v>
      </c>
      <c r="M109" s="1025">
        <f t="shared" si="52"/>
        <v>9158.2651869700021</v>
      </c>
      <c r="N109" s="1025">
        <f t="shared" si="52"/>
        <v>9433.0131425791005</v>
      </c>
      <c r="O109" s="1025">
        <f t="shared" si="52"/>
        <v>9716.003536856475</v>
      </c>
      <c r="P109" s="1025">
        <f t="shared" si="52"/>
        <v>10007.483642962168</v>
      </c>
      <c r="Q109" s="1025">
        <f t="shared" si="52"/>
        <v>10307.708152251034</v>
      </c>
      <c r="R109" s="1025">
        <f t="shared" si="52"/>
        <v>10616.939396818565</v>
      </c>
      <c r="S109" s="1025">
        <f t="shared" si="52"/>
        <v>10935.447578723122</v>
      </c>
      <c r="T109" s="1025">
        <f t="shared" si="52"/>
        <v>11263.511006084816</v>
      </c>
      <c r="U109" s="1025">
        <f t="shared" si="52"/>
        <v>11601.416336267361</v>
      </c>
      <c r="V109" s="1025">
        <f t="shared" si="52"/>
        <v>11949.458826355381</v>
      </c>
      <c r="W109" s="1025">
        <f>W110*W102</f>
        <v>12307.942591146044</v>
      </c>
      <c r="X109" s="1025">
        <f>X110*X102</f>
        <v>12677.180868880427</v>
      </c>
      <c r="Y109" s="1025">
        <f>Y110*Y102</f>
        <v>13057.496294946839</v>
      </c>
      <c r="Z109" s="1025">
        <f>Z110*Z102</f>
        <v>13449.221183795244</v>
      </c>
    </row>
    <row r="110" spans="2:26">
      <c r="C110" s="1028" t="s">
        <v>1122</v>
      </c>
      <c r="D110" s="1029">
        <f>E110</f>
        <v>0.31983805668016196</v>
      </c>
      <c r="E110" s="1029">
        <f>F110</f>
        <v>0.31983805668016196</v>
      </c>
      <c r="F110" s="1029">
        <f>G110</f>
        <v>0.31983805668016196</v>
      </c>
      <c r="G110" s="1029">
        <f>H110</f>
        <v>0.31983805668016196</v>
      </c>
      <c r="H110" s="1029">
        <f>H109/H102</f>
        <v>0.31983805668016196</v>
      </c>
      <c r="I110" s="1029">
        <f>H110</f>
        <v>0.31983805668016196</v>
      </c>
      <c r="J110" s="1029">
        <f t="shared" ref="J110:Z110" si="53">I110</f>
        <v>0.31983805668016196</v>
      </c>
      <c r="K110" s="1029">
        <f t="shared" si="53"/>
        <v>0.31983805668016196</v>
      </c>
      <c r="L110" s="1029">
        <f t="shared" si="53"/>
        <v>0.31983805668016196</v>
      </c>
      <c r="M110" s="1029">
        <f t="shared" si="53"/>
        <v>0.31983805668016196</v>
      </c>
      <c r="N110" s="1029">
        <f t="shared" si="53"/>
        <v>0.31983805668016196</v>
      </c>
      <c r="O110" s="1029">
        <f t="shared" si="53"/>
        <v>0.31983805668016196</v>
      </c>
      <c r="P110" s="1029">
        <f t="shared" si="53"/>
        <v>0.31983805668016196</v>
      </c>
      <c r="Q110" s="1029">
        <f t="shared" si="53"/>
        <v>0.31983805668016196</v>
      </c>
      <c r="R110" s="1029">
        <f t="shared" si="53"/>
        <v>0.31983805668016196</v>
      </c>
      <c r="S110" s="1029">
        <f t="shared" si="53"/>
        <v>0.31983805668016196</v>
      </c>
      <c r="T110" s="1029">
        <f t="shared" si="53"/>
        <v>0.31983805668016196</v>
      </c>
      <c r="U110" s="1029">
        <f t="shared" si="53"/>
        <v>0.31983805668016196</v>
      </c>
      <c r="V110" s="1029">
        <f t="shared" si="53"/>
        <v>0.31983805668016196</v>
      </c>
      <c r="W110" s="1029">
        <f t="shared" si="53"/>
        <v>0.31983805668016196</v>
      </c>
      <c r="X110" s="1029">
        <f t="shared" si="53"/>
        <v>0.31983805668016196</v>
      </c>
      <c r="Y110" s="1029">
        <f t="shared" si="53"/>
        <v>0.31983805668016196</v>
      </c>
      <c r="Z110" s="1029">
        <f t="shared" si="53"/>
        <v>0.31983805668016196</v>
      </c>
    </row>
    <row r="111" spans="2:26">
      <c r="C111" s="1028"/>
      <c r="D111" s="1029"/>
      <c r="E111" s="1029"/>
      <c r="F111" s="1029"/>
      <c r="G111" s="1029"/>
      <c r="H111" s="1030"/>
      <c r="I111" s="1029"/>
      <c r="J111" s="1029"/>
      <c r="K111" s="1029"/>
      <c r="L111" s="1029"/>
      <c r="M111" s="1029"/>
      <c r="N111" s="1029"/>
      <c r="O111" s="1029"/>
      <c r="P111" s="1029"/>
      <c r="Q111" s="1029"/>
      <c r="R111" s="1029"/>
      <c r="S111" s="1029"/>
      <c r="T111" s="1029"/>
      <c r="U111" s="1029"/>
      <c r="V111" s="1029"/>
      <c r="W111" s="1029"/>
      <c r="X111" s="1029"/>
      <c r="Y111" s="1029"/>
      <c r="Z111" s="1029"/>
    </row>
    <row r="112" spans="2:26">
      <c r="C112" s="1022" t="s">
        <v>1142</v>
      </c>
      <c r="D112" s="1025"/>
      <c r="E112" s="1036">
        <f>F112*0.95</f>
        <v>4887.0374999999995</v>
      </c>
      <c r="F112" s="1036">
        <f>G112*0.95</f>
        <v>5144.25</v>
      </c>
      <c r="G112" s="1036">
        <f>H112*0.95</f>
        <v>5415</v>
      </c>
      <c r="H112" s="1026">
        <v>5700</v>
      </c>
      <c r="I112" s="1025">
        <f>I113*I119</f>
        <v>5988.1251836413094</v>
      </c>
      <c r="J112" s="1025">
        <f t="shared" ref="J112:V112" si="54">J113*J119</f>
        <v>6287.4301376376579</v>
      </c>
      <c r="K112" s="1025">
        <f t="shared" si="54"/>
        <v>6598.2023417332684</v>
      </c>
      <c r="L112" s="1025">
        <f t="shared" si="54"/>
        <v>6920.7410372743416</v>
      </c>
      <c r="M112" s="1025">
        <f t="shared" si="54"/>
        <v>7255.3574301671342</v>
      </c>
      <c r="N112" s="1025">
        <f t="shared" si="54"/>
        <v>7602.3749074847701</v>
      </c>
      <c r="O112" s="1025">
        <f t="shared" si="54"/>
        <v>7962.12926775492</v>
      </c>
      <c r="P112" s="1025">
        <f t="shared" si="54"/>
        <v>8334.9689649802385</v>
      </c>
      <c r="Q112" s="1025">
        <f t="shared" si="54"/>
        <v>8721.2553664629413</v>
      </c>
      <c r="R112" s="1025">
        <f t="shared" si="54"/>
        <v>9121.3630245241384</v>
      </c>
      <c r="S112" s="1025">
        <f t="shared" si="54"/>
        <v>9535.6799622273957</v>
      </c>
      <c r="T112" s="1025">
        <f t="shared" si="54"/>
        <v>9964.6079732346498</v>
      </c>
      <c r="U112" s="1025">
        <f t="shared" si="54"/>
        <v>10408.562935941069</v>
      </c>
      <c r="V112" s="1025">
        <f t="shared" si="54"/>
        <v>10867.975142053763</v>
      </c>
      <c r="W112" s="1025">
        <f>W113*W119</f>
        <v>11343.289639797244</v>
      </c>
      <c r="X112" s="1025">
        <f>X113*X119</f>
        <v>11834.966591946753</v>
      </c>
      <c r="Y112" s="1025">
        <f>Y113*Y119</f>
        <v>12343.481648908273</v>
      </c>
      <c r="Z112" s="1025">
        <f>Z113*Z119</f>
        <v>12869.326337082102</v>
      </c>
    </row>
    <row r="113" spans="3:26">
      <c r="C113" s="1028" t="s">
        <v>1124</v>
      </c>
      <c r="D113" s="1029"/>
      <c r="E113" s="1029"/>
      <c r="F113" s="1029"/>
      <c r="G113" s="1029"/>
      <c r="H113" s="1030">
        <f>H112/H119</f>
        <v>5.0923992887526186E-2</v>
      </c>
      <c r="I113" s="1030">
        <f>H113</f>
        <v>5.0923992887526186E-2</v>
      </c>
      <c r="J113" s="1030">
        <f t="shared" ref="J113:Z113" si="55">I113</f>
        <v>5.0923992887526186E-2</v>
      </c>
      <c r="K113" s="1030">
        <f t="shared" si="55"/>
        <v>5.0923992887526186E-2</v>
      </c>
      <c r="L113" s="1030">
        <f t="shared" si="55"/>
        <v>5.0923992887526186E-2</v>
      </c>
      <c r="M113" s="1030">
        <f t="shared" si="55"/>
        <v>5.0923992887526186E-2</v>
      </c>
      <c r="N113" s="1030">
        <f t="shared" si="55"/>
        <v>5.0923992887526186E-2</v>
      </c>
      <c r="O113" s="1030">
        <f t="shared" si="55"/>
        <v>5.0923992887526186E-2</v>
      </c>
      <c r="P113" s="1030">
        <f t="shared" si="55"/>
        <v>5.0923992887526186E-2</v>
      </c>
      <c r="Q113" s="1030">
        <f t="shared" si="55"/>
        <v>5.0923992887526186E-2</v>
      </c>
      <c r="R113" s="1030">
        <f t="shared" si="55"/>
        <v>5.0923992887526186E-2</v>
      </c>
      <c r="S113" s="1030">
        <f t="shared" si="55"/>
        <v>5.0923992887526186E-2</v>
      </c>
      <c r="T113" s="1030">
        <f t="shared" si="55"/>
        <v>5.0923992887526186E-2</v>
      </c>
      <c r="U113" s="1030">
        <f t="shared" si="55"/>
        <v>5.0923992887526186E-2</v>
      </c>
      <c r="V113" s="1030">
        <f t="shared" si="55"/>
        <v>5.0923992887526186E-2</v>
      </c>
      <c r="W113" s="1030">
        <f t="shared" si="55"/>
        <v>5.0923992887526186E-2</v>
      </c>
      <c r="X113" s="1030">
        <f t="shared" si="55"/>
        <v>5.0923992887526186E-2</v>
      </c>
      <c r="Y113" s="1030">
        <f t="shared" si="55"/>
        <v>5.0923992887526186E-2</v>
      </c>
      <c r="Z113" s="1030">
        <f t="shared" si="55"/>
        <v>5.0923992887526186E-2</v>
      </c>
    </row>
    <row r="114" spans="3:26">
      <c r="C114" s="1028"/>
      <c r="D114" s="1029"/>
      <c r="E114" s="1029"/>
      <c r="F114" s="1029"/>
      <c r="G114" s="1029"/>
      <c r="H114" s="1030"/>
      <c r="I114" s="1029"/>
      <c r="J114" s="1029"/>
      <c r="K114" s="1029"/>
      <c r="L114" s="1029"/>
      <c r="M114" s="1029"/>
      <c r="N114" s="1029"/>
      <c r="O114" s="1029"/>
      <c r="P114" s="1029"/>
      <c r="Q114" s="1029"/>
      <c r="R114" s="1029"/>
      <c r="S114" s="1029"/>
      <c r="T114" s="1029"/>
      <c r="U114" s="1029"/>
      <c r="V114" s="1029"/>
      <c r="W114" s="1029"/>
      <c r="X114" s="1029"/>
      <c r="Y114" s="1029"/>
      <c r="Z114" s="1029"/>
    </row>
    <row r="115" spans="3:26">
      <c r="C115" s="1022" t="s">
        <v>1143</v>
      </c>
    </row>
    <row r="116" spans="3:26">
      <c r="C116" s="1038" t="s">
        <v>181</v>
      </c>
    </row>
    <row r="117" spans="3:26">
      <c r="C117" s="1028" t="s">
        <v>1126</v>
      </c>
      <c r="D117" s="1025">
        <f t="shared" ref="D117:V117" si="56">D102-D106</f>
        <v>5952.8632210351152</v>
      </c>
      <c r="E117" s="1025">
        <f t="shared" si="56"/>
        <v>6131.4491176661686</v>
      </c>
      <c r="F117" s="1025">
        <f t="shared" si="56"/>
        <v>6315.3925911961524</v>
      </c>
      <c r="G117" s="1025">
        <f t="shared" si="56"/>
        <v>6504.8543689320395</v>
      </c>
      <c r="H117" s="1025">
        <f t="shared" si="56"/>
        <v>6700</v>
      </c>
      <c r="I117" s="1025">
        <f t="shared" si="56"/>
        <v>6901</v>
      </c>
      <c r="J117" s="1025">
        <f t="shared" si="56"/>
        <v>7108.0299999999988</v>
      </c>
      <c r="K117" s="1025">
        <f t="shared" si="56"/>
        <v>7321.2708999999995</v>
      </c>
      <c r="L117" s="1025">
        <f t="shared" si="56"/>
        <v>7540.9090270000015</v>
      </c>
      <c r="M117" s="1025">
        <f t="shared" si="56"/>
        <v>7767.1362978100005</v>
      </c>
      <c r="N117" s="1025">
        <f t="shared" si="56"/>
        <v>8000.1503867442989</v>
      </c>
      <c r="O117" s="1025">
        <f t="shared" si="56"/>
        <v>8240.1548983466309</v>
      </c>
      <c r="P117" s="1025">
        <f t="shared" si="56"/>
        <v>8487.3595452970294</v>
      </c>
      <c r="Q117" s="1025">
        <f t="shared" si="56"/>
        <v>8741.980331655941</v>
      </c>
      <c r="R117" s="1025">
        <f t="shared" si="56"/>
        <v>9004.2397416056192</v>
      </c>
      <c r="S117" s="1025">
        <f t="shared" si="56"/>
        <v>9274.3669338537875</v>
      </c>
      <c r="T117" s="1025">
        <f t="shared" si="56"/>
        <v>9552.5979418694005</v>
      </c>
      <c r="U117" s="1025">
        <f t="shared" si="56"/>
        <v>9839.1758801254837</v>
      </c>
      <c r="V117" s="1025">
        <f t="shared" si="56"/>
        <v>10134.351156529247</v>
      </c>
      <c r="W117" s="1025">
        <f>W102-W106</f>
        <v>10438.381691225124</v>
      </c>
      <c r="X117" s="1025">
        <f>X102-X106</f>
        <v>10751.533141961881</v>
      </c>
      <c r="Y117" s="1025">
        <f>Y102-Y106</f>
        <v>11074.079136220735</v>
      </c>
      <c r="Z117" s="1025">
        <f>Z102-Z106</f>
        <v>11406.301510307359</v>
      </c>
    </row>
    <row r="118" spans="3:26">
      <c r="C118" s="1028" t="s">
        <v>1127</v>
      </c>
      <c r="D118" s="1025"/>
      <c r="E118" s="1025"/>
      <c r="F118" s="1025"/>
      <c r="G118" s="1025"/>
      <c r="H118" s="1025">
        <f>H117+G117+F117+E117+D117</f>
        <v>31604.559298829474</v>
      </c>
      <c r="I118" s="1025">
        <f t="shared" ref="I118:V118" si="57">I117+H117+G117+F117+E117</f>
        <v>32552.69607779436</v>
      </c>
      <c r="J118" s="1025">
        <f t="shared" si="57"/>
        <v>33529.276960128191</v>
      </c>
      <c r="K118" s="1025">
        <f t="shared" si="57"/>
        <v>34535.155268932038</v>
      </c>
      <c r="L118" s="1025">
        <f t="shared" si="57"/>
        <v>35571.209927000004</v>
      </c>
      <c r="M118" s="1025">
        <f t="shared" si="57"/>
        <v>36638.346224809997</v>
      </c>
      <c r="N118" s="1025">
        <f t="shared" si="57"/>
        <v>37737.496611554299</v>
      </c>
      <c r="O118" s="1025">
        <f t="shared" si="57"/>
        <v>38869.621509900928</v>
      </c>
      <c r="P118" s="1025">
        <f t="shared" si="57"/>
        <v>40035.710155197958</v>
      </c>
      <c r="Q118" s="1025">
        <f t="shared" si="57"/>
        <v>41236.781459853904</v>
      </c>
      <c r="R118" s="1025">
        <f t="shared" si="57"/>
        <v>42473.884903649523</v>
      </c>
      <c r="S118" s="1025">
        <f t="shared" si="57"/>
        <v>43748.101450759015</v>
      </c>
      <c r="T118" s="1025">
        <f t="shared" si="57"/>
        <v>45060.544494281785</v>
      </c>
      <c r="U118" s="1025">
        <f t="shared" si="57"/>
        <v>46412.360829110228</v>
      </c>
      <c r="V118" s="1025">
        <f t="shared" si="57"/>
        <v>47804.731653983537</v>
      </c>
      <c r="W118" s="1025">
        <f>W117+V117+U117+T117+S117</f>
        <v>49238.873603603046</v>
      </c>
      <c r="X118" s="1025">
        <f>X117+W117+V117+U117+T117</f>
        <v>50716.039811711133</v>
      </c>
      <c r="Y118" s="1025">
        <f>Y117+X117+W117+V117+U117</f>
        <v>52237.521006062474</v>
      </c>
      <c r="Z118" s="1025">
        <f>Z117+Y117+X117+W117+V117</f>
        <v>53804.646636244346</v>
      </c>
    </row>
    <row r="119" spans="3:26">
      <c r="C119" s="1028" t="s">
        <v>1128</v>
      </c>
      <c r="D119" s="1025"/>
      <c r="E119" s="1025"/>
      <c r="F119" s="1025"/>
      <c r="G119" s="1025"/>
      <c r="H119" s="1025">
        <f t="shared" ref="H119:V119" si="58">H101-H102-H118*H102/H106</f>
        <v>111931.52140660622</v>
      </c>
      <c r="I119" s="1025">
        <f t="shared" si="58"/>
        <v>117589.46704880439</v>
      </c>
      <c r="J119" s="1025">
        <f t="shared" si="58"/>
        <v>123466.95106026852</v>
      </c>
      <c r="K119" s="1025">
        <f t="shared" si="58"/>
        <v>129569.6187120766</v>
      </c>
      <c r="L119" s="1025">
        <f t="shared" si="58"/>
        <v>135903.34623916686</v>
      </c>
      <c r="M119" s="1025">
        <f t="shared" si="58"/>
        <v>142474.24482584774</v>
      </c>
      <c r="N119" s="1025">
        <f t="shared" si="58"/>
        <v>149288.66485932938</v>
      </c>
      <c r="O119" s="1025">
        <f t="shared" si="58"/>
        <v>156353.20045190802</v>
      </c>
      <c r="P119" s="1025">
        <f t="shared" si="58"/>
        <v>163674.69423282176</v>
      </c>
      <c r="Q119" s="1025">
        <f t="shared" si="58"/>
        <v>171260.24241118002</v>
      </c>
      <c r="R119" s="1025">
        <f t="shared" si="58"/>
        <v>179117.20011174562</v>
      </c>
      <c r="S119" s="1025">
        <f t="shared" si="58"/>
        <v>187253.1869857196</v>
      </c>
      <c r="T119" s="1025">
        <f t="shared" si="58"/>
        <v>195676.0930990444</v>
      </c>
      <c r="U119" s="1025">
        <f t="shared" si="58"/>
        <v>204394.08510110452</v>
      </c>
      <c r="V119" s="1025">
        <f t="shared" si="58"/>
        <v>213415.61267706228</v>
      </c>
      <c r="W119" s="1025">
        <f>W101-W102-W118*W102/W106</f>
        <v>222749.415287421</v>
      </c>
      <c r="X119" s="1025">
        <f>X101-X102-X118*X102/X106</f>
        <v>232404.52919876447</v>
      </c>
      <c r="Y119" s="1025">
        <f>Y101-Y102-Y118*Y102/Y106</f>
        <v>242390.29480996972</v>
      </c>
      <c r="Z119" s="1025">
        <f>Z101-Z102-Z118*Z102/Z106</f>
        <v>252716.36427854499</v>
      </c>
    </row>
    <row r="121" spans="3:26">
      <c r="C121" s="1022" t="s">
        <v>294</v>
      </c>
      <c r="D121" s="1025">
        <f>D103*80%</f>
        <v>6927.5658240000012</v>
      </c>
      <c r="E121" s="1025">
        <f>E103*80%</f>
        <v>6791.7312000000011</v>
      </c>
      <c r="F121" s="1025">
        <f>F103*80%</f>
        <v>6658.5600000000013</v>
      </c>
      <c r="G121" s="1025">
        <f>G103*80%</f>
        <v>6528</v>
      </c>
      <c r="H121" s="1025">
        <f>H103*50%</f>
        <v>4000</v>
      </c>
      <c r="I121" s="1025">
        <f t="shared" ref="I121:Z121" si="59">I103*50%</f>
        <v>4037.6</v>
      </c>
      <c r="J121" s="1025">
        <f t="shared" si="59"/>
        <v>4075.5534400000001</v>
      </c>
      <c r="K121" s="1025">
        <f t="shared" si="59"/>
        <v>4113.8636423360003</v>
      </c>
      <c r="L121" s="1025">
        <f t="shared" si="59"/>
        <v>4152.5339605739591</v>
      </c>
      <c r="M121" s="1025">
        <f t="shared" si="59"/>
        <v>4191.5677798033548</v>
      </c>
      <c r="N121" s="1025">
        <f t="shared" si="59"/>
        <v>4230.9685169335053</v>
      </c>
      <c r="O121" s="1025">
        <f t="shared" si="59"/>
        <v>4270.739620992681</v>
      </c>
      <c r="P121" s="1025">
        <f t="shared" si="59"/>
        <v>4310.8845734300112</v>
      </c>
      <c r="Q121" s="1025">
        <f t="shared" si="59"/>
        <v>4351.4068884202534</v>
      </c>
      <c r="R121" s="1025">
        <f t="shared" si="59"/>
        <v>4392.3101131714047</v>
      </c>
      <c r="S121" s="1025">
        <f t="shared" si="59"/>
        <v>4433.5978282352162</v>
      </c>
      <c r="T121" s="1025">
        <f t="shared" si="59"/>
        <v>4475.273647820627</v>
      </c>
      <c r="U121" s="1025">
        <f t="shared" si="59"/>
        <v>4517.341220110141</v>
      </c>
      <c r="V121" s="1025">
        <f t="shared" si="59"/>
        <v>4559.8042275791768</v>
      </c>
      <c r="W121" s="1025">
        <f t="shared" si="59"/>
        <v>4602.6663873184207</v>
      </c>
      <c r="X121" s="1025">
        <f t="shared" si="59"/>
        <v>4645.9314513592135</v>
      </c>
      <c r="Y121" s="1025">
        <f t="shared" si="59"/>
        <v>4689.6032070019901</v>
      </c>
      <c r="Z121" s="1025">
        <f t="shared" si="59"/>
        <v>4733.6854771478083</v>
      </c>
    </row>
    <row r="122" spans="3:26">
      <c r="C122" s="1028" t="s">
        <v>1074</v>
      </c>
      <c r="D122" s="1029"/>
      <c r="E122" s="1029"/>
      <c r="F122" s="1029"/>
      <c r="G122" s="1029"/>
      <c r="H122" s="1029">
        <f>H121/H112</f>
        <v>0.70175438596491224</v>
      </c>
      <c r="I122" s="1029">
        <f t="shared" ref="I122:Z122" si="60">I121/I112</f>
        <v>0.67426780105234574</v>
      </c>
      <c r="J122" s="1029">
        <f t="shared" si="60"/>
        <v>0.64820655669842331</v>
      </c>
      <c r="K122" s="1029">
        <f t="shared" si="60"/>
        <v>0.62348249254437649</v>
      </c>
      <c r="L122" s="1029">
        <f t="shared" si="60"/>
        <v>0.60001290876350855</v>
      </c>
      <c r="M122" s="1029">
        <f t="shared" si="60"/>
        <v>0.57772037010543231</v>
      </c>
      <c r="N122" s="1029">
        <f t="shared" si="60"/>
        <v>0.55653247418355911</v>
      </c>
      <c r="O122" s="1029">
        <f t="shared" si="60"/>
        <v>0.53638159810948416</v>
      </c>
      <c r="P122" s="1029">
        <f t="shared" si="60"/>
        <v>0.51720463405951411</v>
      </c>
      <c r="Q122" s="1029">
        <f t="shared" si="60"/>
        <v>0.49894272161245556</v>
      </c>
      <c r="R122" s="1029">
        <f t="shared" si="60"/>
        <v>0.48154098256609534</v>
      </c>
      <c r="S122" s="1029">
        <f t="shared" si="60"/>
        <v>0.46494826229461589</v>
      </c>
      <c r="T122" s="1029">
        <f t="shared" si="60"/>
        <v>0.44911688044741926</v>
      </c>
      <c r="U122" s="1029">
        <f t="shared" si="60"/>
        <v>0.43400239282904568</v>
      </c>
      <c r="V122" s="1029">
        <f t="shared" si="60"/>
        <v>0.41956336557441676</v>
      </c>
      <c r="W122" s="1029">
        <f t="shared" si="60"/>
        <v>0.40576116219145503</v>
      </c>
      <c r="X122" s="1029">
        <f t="shared" si="60"/>
        <v>0.3925597436430952</v>
      </c>
      <c r="Y122" s="1029">
        <f t="shared" si="60"/>
        <v>0.37992548135045551</v>
      </c>
      <c r="Z122" s="1029">
        <f t="shared" si="60"/>
        <v>0.36782698279303172</v>
      </c>
    </row>
    <row r="123" spans="3:26">
      <c r="C123" s="1028"/>
      <c r="D123" s="1029"/>
      <c r="E123" s="1029"/>
      <c r="F123" s="1029"/>
      <c r="G123" s="1029"/>
      <c r="H123" s="1029"/>
      <c r="I123" s="1029"/>
      <c r="J123" s="1029"/>
      <c r="K123" s="1029"/>
      <c r="L123" s="1029"/>
      <c r="M123" s="1029"/>
      <c r="N123" s="1029"/>
      <c r="O123" s="1029"/>
      <c r="P123" s="1029"/>
      <c r="Q123" s="1029"/>
      <c r="R123" s="1029"/>
      <c r="S123" s="1029"/>
      <c r="T123" s="1029"/>
      <c r="U123" s="1029"/>
      <c r="V123" s="1029"/>
      <c r="W123" s="1029"/>
      <c r="X123" s="1029"/>
      <c r="Y123" s="1029"/>
      <c r="Z123" s="1029"/>
    </row>
    <row r="124" spans="3:26" hidden="1" outlineLevel="1">
      <c r="C124" s="1031" t="s">
        <v>463</v>
      </c>
      <c r="D124" s="1032"/>
      <c r="E124" s="1032"/>
      <c r="F124" s="1032"/>
      <c r="G124" s="1032"/>
      <c r="H124" s="1186">
        <f>H121+H112*0.35</f>
        <v>5995</v>
      </c>
      <c r="I124" s="1186">
        <f t="shared" ref="I124:Z124" si="61">I121+I112*0.35</f>
        <v>6133.4438142744584</v>
      </c>
      <c r="J124" s="1186">
        <f t="shared" si="61"/>
        <v>6276.1539881731806</v>
      </c>
      <c r="K124" s="1186">
        <f t="shared" si="61"/>
        <v>6423.234461942644</v>
      </c>
      <c r="L124" s="1186">
        <f t="shared" si="61"/>
        <v>6574.7933236199788</v>
      </c>
      <c r="M124" s="1186">
        <f t="shared" si="61"/>
        <v>6730.9428803618521</v>
      </c>
      <c r="N124" s="1186">
        <f t="shared" si="61"/>
        <v>6891.7997345531749</v>
      </c>
      <c r="O124" s="1186">
        <f t="shared" si="61"/>
        <v>7057.484864706903</v>
      </c>
      <c r="P124" s="1186">
        <f t="shared" si="61"/>
        <v>7228.1237111730943</v>
      </c>
      <c r="Q124" s="1186">
        <f t="shared" si="61"/>
        <v>7403.8462666822825</v>
      </c>
      <c r="R124" s="1186">
        <f t="shared" si="61"/>
        <v>7584.7871717548533</v>
      </c>
      <c r="S124" s="1186">
        <f t="shared" si="61"/>
        <v>7771.0858150148051</v>
      </c>
      <c r="T124" s="1186">
        <f t="shared" si="61"/>
        <v>7962.8864384527542</v>
      </c>
      <c r="U124" s="1186">
        <f t="shared" si="61"/>
        <v>8160.3382476895149</v>
      </c>
      <c r="V124" s="1186">
        <f t="shared" si="61"/>
        <v>8363.5955272979936</v>
      </c>
      <c r="W124" s="1186">
        <f t="shared" si="61"/>
        <v>8572.8177612474556</v>
      </c>
      <c r="X124" s="1186">
        <f t="shared" si="61"/>
        <v>8788.1697585405782</v>
      </c>
      <c r="Y124" s="1186">
        <f t="shared" si="61"/>
        <v>9009.8217841198857</v>
      </c>
      <c r="Z124" s="1186">
        <f t="shared" si="61"/>
        <v>9237.9496951265428</v>
      </c>
    </row>
    <row r="125" spans="3:26" hidden="1" outlineLevel="1">
      <c r="C125" s="1031" t="s">
        <v>464</v>
      </c>
      <c r="D125" s="1032"/>
      <c r="E125" s="1032"/>
      <c r="F125" s="1032"/>
      <c r="G125" s="1032"/>
      <c r="H125" s="1186">
        <f>H121+H112*0.1</f>
        <v>4570</v>
      </c>
      <c r="I125" s="1186">
        <f t="shared" ref="I125:Z125" si="62">I121+I112*0.1</f>
        <v>4636.4125183641308</v>
      </c>
      <c r="J125" s="1186">
        <f t="shared" si="62"/>
        <v>4704.2964537637663</v>
      </c>
      <c r="K125" s="1186">
        <f t="shared" si="62"/>
        <v>4773.6838765093271</v>
      </c>
      <c r="L125" s="1186">
        <f t="shared" si="62"/>
        <v>4844.6080643013938</v>
      </c>
      <c r="M125" s="1186">
        <f t="shared" si="62"/>
        <v>4917.1035228200681</v>
      </c>
      <c r="N125" s="1186">
        <f t="shared" si="62"/>
        <v>4991.2060076819826</v>
      </c>
      <c r="O125" s="1186">
        <f t="shared" si="62"/>
        <v>5066.9525477681727</v>
      </c>
      <c r="P125" s="1186">
        <f t="shared" si="62"/>
        <v>5144.3814699280356</v>
      </c>
      <c r="Q125" s="1186">
        <f t="shared" si="62"/>
        <v>5223.5324250665471</v>
      </c>
      <c r="R125" s="1186">
        <f t="shared" si="62"/>
        <v>5304.4464156238191</v>
      </c>
      <c r="S125" s="1186">
        <f t="shared" si="62"/>
        <v>5387.1658244579558</v>
      </c>
      <c r="T125" s="1186">
        <f t="shared" si="62"/>
        <v>5471.7344451440922</v>
      </c>
      <c r="U125" s="1186">
        <f t="shared" si="62"/>
        <v>5558.1975137042482</v>
      </c>
      <c r="V125" s="1186">
        <f t="shared" si="62"/>
        <v>5646.6017417845533</v>
      </c>
      <c r="W125" s="1186">
        <f t="shared" si="62"/>
        <v>5736.9953512981447</v>
      </c>
      <c r="X125" s="1186">
        <f t="shared" si="62"/>
        <v>5829.4281105538885</v>
      </c>
      <c r="Y125" s="1186">
        <f t="shared" si="62"/>
        <v>5923.9513718928174</v>
      </c>
      <c r="Z125" s="1186">
        <f t="shared" si="62"/>
        <v>6020.6181108560186</v>
      </c>
    </row>
    <row r="126" spans="3:26" hidden="1" outlineLevel="1">
      <c r="C126" s="1031" t="s">
        <v>462</v>
      </c>
      <c r="D126" s="1032"/>
      <c r="E126" s="1032"/>
      <c r="F126" s="1032"/>
      <c r="G126" s="1032"/>
      <c r="H126" s="1186">
        <f>H121</f>
        <v>4000</v>
      </c>
      <c r="I126" s="1186">
        <f t="shared" ref="I126:Z126" si="63">I121</f>
        <v>4037.6</v>
      </c>
      <c r="J126" s="1186">
        <f t="shared" si="63"/>
        <v>4075.5534400000001</v>
      </c>
      <c r="K126" s="1186">
        <f t="shared" si="63"/>
        <v>4113.8636423360003</v>
      </c>
      <c r="L126" s="1186">
        <f t="shared" si="63"/>
        <v>4152.5339605739591</v>
      </c>
      <c r="M126" s="1186">
        <f t="shared" si="63"/>
        <v>4191.5677798033548</v>
      </c>
      <c r="N126" s="1186">
        <f t="shared" si="63"/>
        <v>4230.9685169335053</v>
      </c>
      <c r="O126" s="1186">
        <f t="shared" si="63"/>
        <v>4270.739620992681</v>
      </c>
      <c r="P126" s="1186">
        <f t="shared" si="63"/>
        <v>4310.8845734300112</v>
      </c>
      <c r="Q126" s="1186">
        <f t="shared" si="63"/>
        <v>4351.4068884202534</v>
      </c>
      <c r="R126" s="1186">
        <f t="shared" si="63"/>
        <v>4392.3101131714047</v>
      </c>
      <c r="S126" s="1186">
        <f t="shared" si="63"/>
        <v>4433.5978282352162</v>
      </c>
      <c r="T126" s="1186">
        <f t="shared" si="63"/>
        <v>4475.273647820627</v>
      </c>
      <c r="U126" s="1186">
        <f t="shared" si="63"/>
        <v>4517.341220110141</v>
      </c>
      <c r="V126" s="1186">
        <f t="shared" si="63"/>
        <v>4559.8042275791768</v>
      </c>
      <c r="W126" s="1186">
        <f t="shared" si="63"/>
        <v>4602.6663873184207</v>
      </c>
      <c r="X126" s="1186">
        <f t="shared" si="63"/>
        <v>4645.9314513592135</v>
      </c>
      <c r="Y126" s="1186">
        <f t="shared" si="63"/>
        <v>4689.6032070019901</v>
      </c>
      <c r="Z126" s="1186">
        <f t="shared" si="63"/>
        <v>4733.6854771478083</v>
      </c>
    </row>
    <row r="127" spans="3:26" collapsed="1">
      <c r="C127" s="1148" t="s">
        <v>1129</v>
      </c>
      <c r="D127" s="1149"/>
      <c r="E127" s="1149"/>
      <c r="F127" s="1149"/>
      <c r="G127" s="1149"/>
      <c r="H127" s="1150">
        <f t="shared" ref="H127:Z127" si="64">CHOOSE($S$356,H124,H125,H126)</f>
        <v>4570</v>
      </c>
      <c r="I127" s="1150">
        <f t="shared" si="64"/>
        <v>4636.4125183641308</v>
      </c>
      <c r="J127" s="1150">
        <f t="shared" si="64"/>
        <v>4704.2964537637663</v>
      </c>
      <c r="K127" s="1150">
        <f t="shared" si="64"/>
        <v>4773.6838765093271</v>
      </c>
      <c r="L127" s="1150">
        <f t="shared" si="64"/>
        <v>4844.6080643013938</v>
      </c>
      <c r="M127" s="1150">
        <f t="shared" si="64"/>
        <v>4917.1035228200681</v>
      </c>
      <c r="N127" s="1150">
        <f t="shared" si="64"/>
        <v>4991.2060076819826</v>
      </c>
      <c r="O127" s="1150">
        <f t="shared" si="64"/>
        <v>5066.9525477681727</v>
      </c>
      <c r="P127" s="1150">
        <f t="shared" si="64"/>
        <v>5144.3814699280356</v>
      </c>
      <c r="Q127" s="1150">
        <f t="shared" si="64"/>
        <v>5223.5324250665471</v>
      </c>
      <c r="R127" s="1150">
        <f t="shared" si="64"/>
        <v>5304.4464156238191</v>
      </c>
      <c r="S127" s="1150">
        <f t="shared" si="64"/>
        <v>5387.1658244579558</v>
      </c>
      <c r="T127" s="1150">
        <f t="shared" si="64"/>
        <v>5471.7344451440922</v>
      </c>
      <c r="U127" s="1150">
        <f t="shared" si="64"/>
        <v>5558.1975137042482</v>
      </c>
      <c r="V127" s="1150">
        <f t="shared" si="64"/>
        <v>5646.6017417845533</v>
      </c>
      <c r="W127" s="1150">
        <f t="shared" si="64"/>
        <v>5736.9953512981447</v>
      </c>
      <c r="X127" s="1150">
        <f t="shared" si="64"/>
        <v>5829.4281105538885</v>
      </c>
      <c r="Y127" s="1150">
        <f t="shared" si="64"/>
        <v>5923.9513718928174</v>
      </c>
      <c r="Z127" s="1150">
        <f t="shared" si="64"/>
        <v>6020.6181108560186</v>
      </c>
    </row>
    <row r="129" spans="3:26">
      <c r="C129" s="1023" t="s">
        <v>1130</v>
      </c>
      <c r="D129" s="1024"/>
      <c r="E129" s="1024"/>
      <c r="F129" s="1024"/>
      <c r="G129" s="1024"/>
      <c r="H129" s="1024"/>
      <c r="I129" s="1024"/>
      <c r="J129" s="1024"/>
      <c r="K129" s="1024"/>
      <c r="L129" s="1024"/>
      <c r="M129" s="1024"/>
      <c r="N129" s="1024"/>
      <c r="O129" s="1024"/>
      <c r="P129" s="1024"/>
      <c r="Q129" s="1024"/>
      <c r="R129" s="1024"/>
      <c r="S129" s="1024"/>
      <c r="T129" s="1024"/>
      <c r="U129" s="1024"/>
      <c r="V129" s="1024"/>
      <c r="W129" s="1024"/>
      <c r="X129" s="1024"/>
      <c r="Y129" s="1024"/>
      <c r="Z129" s="1024"/>
    </row>
    <row r="130" spans="3:26" ht="12.75" hidden="1" customHeight="1" outlineLevel="1">
      <c r="C130" s="1031" t="s">
        <v>463</v>
      </c>
      <c r="D130" s="1034"/>
      <c r="E130" s="1034"/>
      <c r="F130" s="1034"/>
      <c r="G130" s="1034"/>
      <c r="H130" s="1034"/>
      <c r="I130" s="1034"/>
      <c r="J130" s="1034"/>
      <c r="K130" s="1034"/>
      <c r="L130" s="1034"/>
      <c r="M130" s="1034"/>
      <c r="N130" s="1032">
        <f>N131</f>
        <v>0</v>
      </c>
      <c r="O130" s="1032">
        <f t="shared" ref="O130:Z130" si="65">O131</f>
        <v>0</v>
      </c>
      <c r="P130" s="1032">
        <f t="shared" si="65"/>
        <v>0</v>
      </c>
      <c r="Q130" s="1032">
        <f t="shared" si="65"/>
        <v>0.1</v>
      </c>
      <c r="R130" s="1032">
        <f t="shared" si="65"/>
        <v>0.2</v>
      </c>
      <c r="S130" s="1135">
        <f t="shared" si="65"/>
        <v>0.3</v>
      </c>
      <c r="T130" s="1135">
        <f t="shared" si="65"/>
        <v>0.4</v>
      </c>
      <c r="U130" s="1135">
        <f t="shared" si="65"/>
        <v>0.4</v>
      </c>
      <c r="V130" s="1135">
        <f t="shared" si="65"/>
        <v>0.4</v>
      </c>
      <c r="W130" s="1135">
        <f t="shared" si="65"/>
        <v>0.4</v>
      </c>
      <c r="X130" s="1135">
        <f t="shared" si="65"/>
        <v>0.4</v>
      </c>
      <c r="Y130" s="1135">
        <f t="shared" si="65"/>
        <v>0.4</v>
      </c>
      <c r="Z130" s="1135">
        <f t="shared" si="65"/>
        <v>0.4</v>
      </c>
    </row>
    <row r="131" spans="3:26" ht="12.75" hidden="1" customHeight="1" outlineLevel="1">
      <c r="C131" s="1031" t="s">
        <v>464</v>
      </c>
      <c r="D131" s="1034"/>
      <c r="E131" s="1034"/>
      <c r="F131" s="1034"/>
      <c r="G131" s="1034"/>
      <c r="H131" s="1034"/>
      <c r="I131" s="1034"/>
      <c r="J131" s="1034"/>
      <c r="K131" s="1034"/>
      <c r="L131" s="1034"/>
      <c r="M131" s="1034"/>
      <c r="N131" s="1032">
        <v>0</v>
      </c>
      <c r="O131" s="1032">
        <v>0</v>
      </c>
      <c r="P131" s="1032">
        <v>0</v>
      </c>
      <c r="Q131" s="1032">
        <v>0.1</v>
      </c>
      <c r="R131" s="1032">
        <v>0.2</v>
      </c>
      <c r="S131" s="1135">
        <v>0.3</v>
      </c>
      <c r="T131" s="1135">
        <v>0.4</v>
      </c>
      <c r="U131" s="1135">
        <v>0.4</v>
      </c>
      <c r="V131" s="1135">
        <v>0.4</v>
      </c>
      <c r="W131" s="1135">
        <v>0.4</v>
      </c>
      <c r="X131" s="1135">
        <v>0.4</v>
      </c>
      <c r="Y131" s="1135">
        <v>0.4</v>
      </c>
      <c r="Z131" s="1135">
        <v>0.4</v>
      </c>
    </row>
    <row r="132" spans="3:26" ht="12.75" hidden="1" customHeight="1" outlineLevel="1">
      <c r="C132" s="1031" t="s">
        <v>462</v>
      </c>
      <c r="D132" s="1034"/>
      <c r="E132" s="1034"/>
      <c r="F132" s="1034"/>
      <c r="G132" s="1034"/>
      <c r="H132" s="1034"/>
      <c r="I132" s="1034"/>
      <c r="J132" s="1034"/>
      <c r="K132" s="1034"/>
      <c r="L132" s="1034"/>
      <c r="M132" s="1034"/>
      <c r="N132" s="1032">
        <v>0</v>
      </c>
      <c r="O132" s="1032">
        <v>0</v>
      </c>
      <c r="P132" s="1032">
        <v>0</v>
      </c>
      <c r="Q132" s="1032">
        <v>0</v>
      </c>
      <c r="R132" s="1032">
        <v>0</v>
      </c>
      <c r="S132" s="1135">
        <v>0</v>
      </c>
      <c r="T132" s="1135">
        <v>0</v>
      </c>
      <c r="U132" s="1135">
        <v>0</v>
      </c>
      <c r="V132" s="1135">
        <v>0</v>
      </c>
      <c r="W132" s="1135">
        <v>0</v>
      </c>
      <c r="X132" s="1135">
        <v>0</v>
      </c>
      <c r="Y132" s="1135">
        <v>0</v>
      </c>
      <c r="Z132" s="1135">
        <v>0</v>
      </c>
    </row>
    <row r="133" spans="3:26" collapsed="1">
      <c r="C133" s="1128" t="s">
        <v>1085</v>
      </c>
      <c r="M133" s="1040"/>
      <c r="N133" s="1039">
        <f t="shared" ref="N133:Z133" si="66">CHOOSE($S$356,N130,N131,N132)</f>
        <v>0</v>
      </c>
      <c r="O133" s="1039">
        <f t="shared" si="66"/>
        <v>0</v>
      </c>
      <c r="P133" s="1039">
        <f t="shared" si="66"/>
        <v>0</v>
      </c>
      <c r="Q133" s="1039">
        <f t="shared" si="66"/>
        <v>0.1</v>
      </c>
      <c r="R133" s="1039">
        <f t="shared" si="66"/>
        <v>0.2</v>
      </c>
      <c r="S133" s="1039">
        <f t="shared" si="66"/>
        <v>0.3</v>
      </c>
      <c r="T133" s="1039">
        <f t="shared" si="66"/>
        <v>0.4</v>
      </c>
      <c r="U133" s="1039">
        <f t="shared" si="66"/>
        <v>0.4</v>
      </c>
      <c r="V133" s="1039">
        <f t="shared" si="66"/>
        <v>0.4</v>
      </c>
      <c r="W133" s="1039">
        <f t="shared" si="66"/>
        <v>0.4</v>
      </c>
      <c r="X133" s="1039">
        <f t="shared" si="66"/>
        <v>0.4</v>
      </c>
      <c r="Y133" s="1039">
        <f t="shared" si="66"/>
        <v>0.4</v>
      </c>
      <c r="Z133" s="1039">
        <f t="shared" si="66"/>
        <v>0.4</v>
      </c>
    </row>
    <row r="134" spans="3:26">
      <c r="C134" s="1038" t="s">
        <v>1086</v>
      </c>
      <c r="H134" s="1030"/>
      <c r="I134" s="1030"/>
      <c r="J134" s="1030"/>
      <c r="K134" s="1030"/>
      <c r="L134" s="1030"/>
      <c r="M134" s="1030"/>
      <c r="N134" s="1030">
        <v>0</v>
      </c>
      <c r="O134" s="1030">
        <v>0</v>
      </c>
      <c r="P134" s="1030">
        <v>0.8</v>
      </c>
      <c r="Q134" s="1030">
        <v>0.7</v>
      </c>
      <c r="R134" s="1030">
        <v>0.6</v>
      </c>
      <c r="S134" s="1030">
        <v>0.5</v>
      </c>
      <c r="T134" s="1030">
        <v>0.4</v>
      </c>
      <c r="U134" s="1030">
        <v>0.4</v>
      </c>
      <c r="V134" s="1030">
        <v>0.4</v>
      </c>
      <c r="W134" s="1030">
        <v>0.4</v>
      </c>
      <c r="X134" s="1030">
        <v>0.4</v>
      </c>
      <c r="Y134" s="1030">
        <v>0.4</v>
      </c>
      <c r="Z134" s="1030">
        <v>0.4</v>
      </c>
    </row>
    <row r="135" spans="3:26">
      <c r="C135" s="1038" t="s">
        <v>111</v>
      </c>
      <c r="H135" s="1030"/>
      <c r="I135" s="1030"/>
      <c r="J135" s="1030"/>
      <c r="K135" s="1030"/>
      <c r="L135" s="1030"/>
      <c r="M135" s="1030"/>
      <c r="N135" s="1030">
        <f t="shared" ref="N135:Z135" si="67">1-N134-N133</f>
        <v>1</v>
      </c>
      <c r="O135" s="1030">
        <f t="shared" si="67"/>
        <v>1</v>
      </c>
      <c r="P135" s="1030">
        <f t="shared" si="67"/>
        <v>0.19999999999999996</v>
      </c>
      <c r="Q135" s="1030">
        <f t="shared" si="67"/>
        <v>0.20000000000000004</v>
      </c>
      <c r="R135" s="1030">
        <f t="shared" si="67"/>
        <v>0.2</v>
      </c>
      <c r="S135" s="1030">
        <f t="shared" si="67"/>
        <v>0.2</v>
      </c>
      <c r="T135" s="1030">
        <f t="shared" si="67"/>
        <v>0.19999999999999996</v>
      </c>
      <c r="U135" s="1030">
        <f t="shared" si="67"/>
        <v>0.19999999999999996</v>
      </c>
      <c r="V135" s="1030">
        <f t="shared" si="67"/>
        <v>0.19999999999999996</v>
      </c>
      <c r="W135" s="1030">
        <f t="shared" si="67"/>
        <v>0.19999999999999996</v>
      </c>
      <c r="X135" s="1030">
        <f t="shared" si="67"/>
        <v>0.19999999999999996</v>
      </c>
      <c r="Y135" s="1030">
        <f t="shared" si="67"/>
        <v>0.19999999999999996</v>
      </c>
      <c r="Z135" s="1030">
        <f t="shared" si="67"/>
        <v>0.19999999999999996</v>
      </c>
    </row>
    <row r="136" spans="3:26" hidden="1" outlineLevel="1">
      <c r="C136" s="1031" t="s">
        <v>463</v>
      </c>
      <c r="D136" s="1034"/>
      <c r="E136" s="1034"/>
      <c r="F136" s="1034"/>
      <c r="G136" s="1034"/>
      <c r="H136" s="1034"/>
      <c r="I136" s="1034"/>
      <c r="J136" s="1034"/>
      <c r="K136" s="1034"/>
      <c r="L136" s="1034"/>
      <c r="M136" s="1034"/>
      <c r="N136" s="1032">
        <v>0.05</v>
      </c>
      <c r="O136" s="1032">
        <v>0.05</v>
      </c>
      <c r="P136" s="1032">
        <v>0.1</v>
      </c>
      <c r="Q136" s="1032">
        <v>0.2</v>
      </c>
      <c r="R136" s="1032">
        <v>0.30000000000000004</v>
      </c>
      <c r="S136" s="1135">
        <v>0.39000000000000007</v>
      </c>
      <c r="T136" s="1135">
        <v>0.39975000000000005</v>
      </c>
      <c r="U136" s="1135">
        <v>0.40974375000000002</v>
      </c>
      <c r="V136" s="1135">
        <v>0.41998734374999996</v>
      </c>
      <c r="W136" s="1135">
        <v>0.43048702734374994</v>
      </c>
      <c r="X136" s="1135">
        <v>0.44124920302734366</v>
      </c>
      <c r="Y136" s="1135">
        <v>0.45228043310302724</v>
      </c>
      <c r="Z136" s="1135">
        <v>0.46358744393060286</v>
      </c>
    </row>
    <row r="137" spans="3:26" hidden="1" outlineLevel="1">
      <c r="C137" s="1031" t="s">
        <v>464</v>
      </c>
      <c r="D137" s="1034"/>
      <c r="E137" s="1034"/>
      <c r="F137" s="1034"/>
      <c r="G137" s="1034"/>
      <c r="H137" s="1034"/>
      <c r="I137" s="1034"/>
      <c r="J137" s="1034"/>
      <c r="K137" s="1034"/>
      <c r="L137" s="1034"/>
      <c r="M137" s="1034"/>
      <c r="N137" s="1032">
        <v>0.05</v>
      </c>
      <c r="O137" s="1032">
        <v>0.05</v>
      </c>
      <c r="P137" s="1032">
        <v>0.1</v>
      </c>
      <c r="Q137" s="1032">
        <v>0.2</v>
      </c>
      <c r="R137" s="1032">
        <v>0.30000000000000004</v>
      </c>
      <c r="S137" s="1135">
        <v>0.39000000000000007</v>
      </c>
      <c r="T137" s="1135">
        <v>0.39975000000000005</v>
      </c>
      <c r="U137" s="1135">
        <v>0.40974375000000002</v>
      </c>
      <c r="V137" s="1135">
        <v>0.41998734374999996</v>
      </c>
      <c r="W137" s="1135">
        <v>0.43048702734374994</v>
      </c>
      <c r="X137" s="1135">
        <v>0.44124920302734366</v>
      </c>
      <c r="Y137" s="1135">
        <v>0.45228043310302724</v>
      </c>
      <c r="Z137" s="1135">
        <v>0.46358744393060286</v>
      </c>
    </row>
    <row r="138" spans="3:26" hidden="1" outlineLevel="1">
      <c r="C138" s="1031" t="s">
        <v>462</v>
      </c>
      <c r="D138" s="1034"/>
      <c r="E138" s="1034"/>
      <c r="F138" s="1034"/>
      <c r="G138" s="1034"/>
      <c r="H138" s="1034"/>
      <c r="I138" s="1034"/>
      <c r="J138" s="1034"/>
      <c r="K138" s="1034"/>
      <c r="L138" s="1034"/>
      <c r="M138" s="1034"/>
      <c r="N138" s="1032">
        <v>0</v>
      </c>
      <c r="O138" s="1032">
        <v>0</v>
      </c>
      <c r="P138" s="1032">
        <v>0</v>
      </c>
      <c r="Q138" s="1032">
        <v>0</v>
      </c>
      <c r="R138" s="1032">
        <v>0</v>
      </c>
      <c r="S138" s="1135">
        <v>0</v>
      </c>
      <c r="T138" s="1135">
        <v>0</v>
      </c>
      <c r="U138" s="1135">
        <v>0</v>
      </c>
      <c r="V138" s="1135">
        <v>0</v>
      </c>
      <c r="W138" s="1135">
        <v>0</v>
      </c>
      <c r="X138" s="1135">
        <v>0</v>
      </c>
      <c r="Y138" s="1135">
        <v>0</v>
      </c>
      <c r="Z138" s="1135">
        <v>0</v>
      </c>
    </row>
    <row r="139" spans="3:26" ht="12.75" customHeight="1" collapsed="1">
      <c r="C139" s="1128" t="s">
        <v>1087</v>
      </c>
      <c r="M139" s="1040"/>
      <c r="N139" s="1039">
        <f t="shared" ref="N139:Z139" si="68">CHOOSE($S$356,N136,N137,N138)</f>
        <v>0.05</v>
      </c>
      <c r="O139" s="1039">
        <f t="shared" si="68"/>
        <v>0.05</v>
      </c>
      <c r="P139" s="1039">
        <f t="shared" si="68"/>
        <v>0.1</v>
      </c>
      <c r="Q139" s="1039">
        <f t="shared" si="68"/>
        <v>0.2</v>
      </c>
      <c r="R139" s="1039">
        <f t="shared" si="68"/>
        <v>0.30000000000000004</v>
      </c>
      <c r="S139" s="1039">
        <f t="shared" si="68"/>
        <v>0.39000000000000007</v>
      </c>
      <c r="T139" s="1039">
        <f t="shared" si="68"/>
        <v>0.39975000000000005</v>
      </c>
      <c r="U139" s="1039">
        <f t="shared" si="68"/>
        <v>0.40974375000000002</v>
      </c>
      <c r="V139" s="1039">
        <f t="shared" si="68"/>
        <v>0.41998734374999996</v>
      </c>
      <c r="W139" s="1039">
        <f t="shared" si="68"/>
        <v>0.43048702734374994</v>
      </c>
      <c r="X139" s="1039">
        <f t="shared" si="68"/>
        <v>0.44124920302734366</v>
      </c>
      <c r="Y139" s="1039">
        <f t="shared" si="68"/>
        <v>0.45228043310302724</v>
      </c>
      <c r="Z139" s="1039">
        <f t="shared" si="68"/>
        <v>0.46358744393060286</v>
      </c>
    </row>
    <row r="141" spans="3:26">
      <c r="C141" s="1022" t="s">
        <v>1088</v>
      </c>
      <c r="N141" s="1051">
        <f t="shared" ref="N141:Z141" si="69">N43</f>
        <v>1</v>
      </c>
      <c r="O141" s="1051">
        <f t="shared" si="69"/>
        <v>1</v>
      </c>
      <c r="P141" s="1051">
        <f t="shared" si="69"/>
        <v>1</v>
      </c>
      <c r="Q141" s="1051">
        <f t="shared" si="69"/>
        <v>1</v>
      </c>
      <c r="R141" s="1051">
        <f t="shared" si="69"/>
        <v>1</v>
      </c>
      <c r="S141" s="1051">
        <f t="shared" si="69"/>
        <v>1</v>
      </c>
      <c r="T141" s="1051">
        <f t="shared" si="69"/>
        <v>1</v>
      </c>
      <c r="U141" s="1051">
        <f t="shared" si="69"/>
        <v>1</v>
      </c>
      <c r="V141" s="1051">
        <f t="shared" si="69"/>
        <v>1</v>
      </c>
      <c r="W141" s="1051">
        <f t="shared" si="69"/>
        <v>1</v>
      </c>
      <c r="X141" s="1051">
        <f t="shared" si="69"/>
        <v>1</v>
      </c>
      <c r="Y141" s="1051">
        <f t="shared" si="69"/>
        <v>1</v>
      </c>
      <c r="Z141" s="1051">
        <f t="shared" si="69"/>
        <v>1</v>
      </c>
    </row>
    <row r="143" spans="3:26">
      <c r="C143" s="1042" t="s">
        <v>1089</v>
      </c>
      <c r="J143" s="1043"/>
      <c r="K143" s="1025"/>
      <c r="L143" s="1025"/>
      <c r="M143" s="1025"/>
      <c r="N143" s="1049">
        <f t="shared" ref="N143:Z143" si="70">N45</f>
        <v>325</v>
      </c>
      <c r="O143" s="1049">
        <f t="shared" si="70"/>
        <v>325</v>
      </c>
      <c r="P143" s="1049">
        <f t="shared" si="70"/>
        <v>325</v>
      </c>
      <c r="Q143" s="1049">
        <f t="shared" si="70"/>
        <v>325</v>
      </c>
      <c r="R143" s="1049">
        <f t="shared" si="70"/>
        <v>325</v>
      </c>
      <c r="S143" s="1049">
        <f t="shared" si="70"/>
        <v>325</v>
      </c>
      <c r="T143" s="1049">
        <f t="shared" si="70"/>
        <v>325</v>
      </c>
      <c r="U143" s="1049">
        <f t="shared" si="70"/>
        <v>325</v>
      </c>
      <c r="V143" s="1049">
        <f t="shared" si="70"/>
        <v>325</v>
      </c>
      <c r="W143" s="1049">
        <f t="shared" si="70"/>
        <v>325</v>
      </c>
      <c r="X143" s="1049">
        <f t="shared" si="70"/>
        <v>325</v>
      </c>
      <c r="Y143" s="1049">
        <f t="shared" si="70"/>
        <v>325</v>
      </c>
      <c r="Z143" s="1049">
        <f t="shared" si="70"/>
        <v>325</v>
      </c>
    </row>
    <row r="144" spans="3:26">
      <c r="C144" s="1045" t="s">
        <v>368</v>
      </c>
      <c r="D144" s="1046"/>
      <c r="E144" s="1046"/>
      <c r="F144" s="1046"/>
      <c r="G144" s="1046"/>
      <c r="H144" s="1046"/>
      <c r="I144" s="1046"/>
      <c r="J144" s="1046"/>
      <c r="K144" s="1047"/>
      <c r="L144" s="1048"/>
      <c r="M144" s="1048"/>
      <c r="N144" s="1048"/>
      <c r="O144" s="1054">
        <f>O143/N143-1</f>
        <v>0</v>
      </c>
      <c r="P144" s="1054">
        <f t="shared" ref="P144:Z144" si="71">P143/O143-1</f>
        <v>0</v>
      </c>
      <c r="Q144" s="1054">
        <f t="shared" si="71"/>
        <v>0</v>
      </c>
      <c r="R144" s="1054">
        <f t="shared" si="71"/>
        <v>0</v>
      </c>
      <c r="S144" s="1054">
        <f t="shared" si="71"/>
        <v>0</v>
      </c>
      <c r="T144" s="1054">
        <f t="shared" si="71"/>
        <v>0</v>
      </c>
      <c r="U144" s="1054">
        <f t="shared" si="71"/>
        <v>0</v>
      </c>
      <c r="V144" s="1054">
        <f t="shared" si="71"/>
        <v>0</v>
      </c>
      <c r="W144" s="1054">
        <f t="shared" si="71"/>
        <v>0</v>
      </c>
      <c r="X144" s="1054">
        <f t="shared" si="71"/>
        <v>0</v>
      </c>
      <c r="Y144" s="1054">
        <f t="shared" si="71"/>
        <v>0</v>
      </c>
      <c r="Z144" s="1054">
        <f t="shared" si="71"/>
        <v>0</v>
      </c>
    </row>
    <row r="145" spans="2:26">
      <c r="C145" s="1045"/>
      <c r="D145" s="1046"/>
      <c r="E145" s="1046"/>
      <c r="F145" s="1046"/>
      <c r="G145" s="1046"/>
      <c r="H145" s="1046"/>
      <c r="I145" s="1046"/>
      <c r="J145" s="1046"/>
      <c r="K145" s="1047"/>
      <c r="L145" s="1048"/>
      <c r="M145" s="1048"/>
      <c r="N145" s="1048"/>
      <c r="O145" s="1048"/>
      <c r="P145" s="1048"/>
      <c r="Q145" s="1048"/>
      <c r="R145" s="1048"/>
      <c r="S145" s="1048"/>
      <c r="T145" s="1048"/>
      <c r="U145" s="1048"/>
      <c r="V145" s="1048"/>
      <c r="W145" s="1048"/>
      <c r="X145" s="1048"/>
      <c r="Y145" s="1048"/>
      <c r="Z145" s="1048"/>
    </row>
    <row r="146" spans="2:26" ht="13.5" thickBot="1">
      <c r="B146" s="1206" t="s">
        <v>78</v>
      </c>
      <c r="C146" s="1171" t="s">
        <v>1144</v>
      </c>
      <c r="D146" s="1172"/>
      <c r="E146" s="1172"/>
      <c r="F146" s="1172"/>
      <c r="G146" s="1172"/>
      <c r="H146" s="1172"/>
      <c r="I146" s="1172"/>
      <c r="J146" s="1173"/>
      <c r="K146" s="1173"/>
      <c r="L146" s="1173"/>
      <c r="M146" s="1173"/>
      <c r="N146" s="1174">
        <f t="shared" ref="N146:Z146" si="72">N127*N133*N141*N143*N139/1000</f>
        <v>0</v>
      </c>
      <c r="O146" s="1174">
        <f t="shared" si="72"/>
        <v>0</v>
      </c>
      <c r="P146" s="1174">
        <f t="shared" si="72"/>
        <v>0</v>
      </c>
      <c r="Q146" s="1174">
        <f t="shared" si="72"/>
        <v>33.952960762932562</v>
      </c>
      <c r="R146" s="1174">
        <f t="shared" si="72"/>
        <v>103.4367051046645</v>
      </c>
      <c r="S146" s="1174">
        <f t="shared" si="72"/>
        <v>204.84698047501385</v>
      </c>
      <c r="T146" s="1174">
        <f t="shared" si="72"/>
        <v>284.35235977802563</v>
      </c>
      <c r="U146" s="1174">
        <f t="shared" si="72"/>
        <v>296.06677002576117</v>
      </c>
      <c r="V146" s="1174">
        <f t="shared" si="72"/>
        <v>308.2951646770083</v>
      </c>
      <c r="W146" s="1174">
        <f t="shared" si="72"/>
        <v>321.06126970648268</v>
      </c>
      <c r="X146" s="1174">
        <f t="shared" si="72"/>
        <v>334.38996602532268</v>
      </c>
      <c r="Y146" s="1174">
        <f t="shared" si="72"/>
        <v>348.30734798092425</v>
      </c>
      <c r="Z146" s="1174">
        <f t="shared" si="72"/>
        <v>362.84078491622478</v>
      </c>
    </row>
    <row r="147" spans="2:26" ht="13.5" hidden="1" outlineLevel="1" thickTop="1"/>
    <row r="148" spans="2:26" hidden="1" outlineLevel="1"/>
    <row r="149" spans="2:26" hidden="1" outlineLevel="1">
      <c r="C149" s="1022" t="s">
        <v>1132</v>
      </c>
      <c r="H149" s="1152">
        <f>H103/H102</f>
        <v>0.32388663967611336</v>
      </c>
      <c r="I149" s="1152">
        <f>H149*0.98</f>
        <v>0.3174089068825911</v>
      </c>
      <c r="J149" s="1152">
        <f t="shared" ref="J149:Z149" si="73">I149*0.98</f>
        <v>0.31106072874493929</v>
      </c>
      <c r="K149" s="1152">
        <f t="shared" si="73"/>
        <v>0.30483951417004052</v>
      </c>
      <c r="L149" s="1152">
        <f t="shared" si="73"/>
        <v>0.29874272388663969</v>
      </c>
      <c r="M149" s="1152">
        <f t="shared" si="73"/>
        <v>0.29276786940890692</v>
      </c>
      <c r="N149" s="1152">
        <f t="shared" si="73"/>
        <v>0.28691251202072876</v>
      </c>
      <c r="O149" s="1152">
        <f t="shared" si="73"/>
        <v>0.28117426178031418</v>
      </c>
      <c r="P149" s="1152">
        <f t="shared" si="73"/>
        <v>0.27555077654470789</v>
      </c>
      <c r="Q149" s="1152">
        <f t="shared" si="73"/>
        <v>0.27003976101381372</v>
      </c>
      <c r="R149" s="1152">
        <f t="shared" si="73"/>
        <v>0.26463896579353746</v>
      </c>
      <c r="S149" s="1152">
        <f t="shared" si="73"/>
        <v>0.25934618647766672</v>
      </c>
      <c r="T149" s="1152">
        <f t="shared" si="73"/>
        <v>0.2541592627481134</v>
      </c>
      <c r="U149" s="1152">
        <f t="shared" si="73"/>
        <v>0.24907607749315114</v>
      </c>
      <c r="V149" s="1152">
        <f t="shared" si="73"/>
        <v>0.24409455594328811</v>
      </c>
      <c r="W149" s="1152">
        <f t="shared" si="73"/>
        <v>0.23921266482442233</v>
      </c>
      <c r="X149" s="1152">
        <f t="shared" si="73"/>
        <v>0.23442841152793387</v>
      </c>
      <c r="Y149" s="1152">
        <f t="shared" si="73"/>
        <v>0.22973984329737518</v>
      </c>
      <c r="Z149" s="1152">
        <f t="shared" si="73"/>
        <v>0.22514504643142766</v>
      </c>
    </row>
    <row r="150" spans="2:26" ht="13.5" collapsed="1" thickTop="1"/>
    <row r="151" spans="2:26">
      <c r="C151" s="1021"/>
      <c r="D151" s="1021">
        <v>2008</v>
      </c>
      <c r="E151" s="1021">
        <f>D151+1</f>
        <v>2009</v>
      </c>
      <c r="F151" s="1021">
        <f t="shared" ref="F151:V151" si="74">E151+1</f>
        <v>2010</v>
      </c>
      <c r="G151" s="1021">
        <f t="shared" si="74"/>
        <v>2011</v>
      </c>
      <c r="H151" s="1021">
        <f t="shared" si="74"/>
        <v>2012</v>
      </c>
      <c r="I151" s="1021">
        <f t="shared" si="74"/>
        <v>2013</v>
      </c>
      <c r="J151" s="1021">
        <f t="shared" si="74"/>
        <v>2014</v>
      </c>
      <c r="K151" s="1021">
        <f t="shared" si="74"/>
        <v>2015</v>
      </c>
      <c r="L151" s="1021">
        <f t="shared" si="74"/>
        <v>2016</v>
      </c>
      <c r="M151" s="1021">
        <f t="shared" si="74"/>
        <v>2017</v>
      </c>
      <c r="N151" s="1021">
        <f t="shared" si="74"/>
        <v>2018</v>
      </c>
      <c r="O151" s="1021">
        <f t="shared" si="74"/>
        <v>2019</v>
      </c>
      <c r="P151" s="1021">
        <f t="shared" si="74"/>
        <v>2020</v>
      </c>
      <c r="Q151" s="1021">
        <f t="shared" si="74"/>
        <v>2021</v>
      </c>
      <c r="R151" s="1021">
        <f t="shared" si="74"/>
        <v>2022</v>
      </c>
      <c r="S151" s="1021">
        <f t="shared" si="74"/>
        <v>2023</v>
      </c>
      <c r="T151" s="1021">
        <f t="shared" si="74"/>
        <v>2024</v>
      </c>
      <c r="U151" s="1021">
        <f t="shared" si="74"/>
        <v>2025</v>
      </c>
      <c r="V151" s="1021">
        <f t="shared" si="74"/>
        <v>2026</v>
      </c>
      <c r="W151" s="1021">
        <f>V151+1</f>
        <v>2027</v>
      </c>
      <c r="X151" s="1021">
        <f>W151+1</f>
        <v>2028</v>
      </c>
      <c r="Y151" s="1021">
        <f>X151+1</f>
        <v>2029</v>
      </c>
      <c r="Z151" s="1021">
        <f>Y151+1</f>
        <v>2030</v>
      </c>
    </row>
    <row r="152" spans="2:26">
      <c r="B152" s="1206" t="s">
        <v>78</v>
      </c>
      <c r="C152" s="1023" t="s">
        <v>1153</v>
      </c>
      <c r="D152" s="1024"/>
      <c r="E152" s="1024"/>
      <c r="F152" s="1024"/>
      <c r="G152" s="1024"/>
      <c r="H152" s="1024"/>
      <c r="I152" s="1024"/>
      <c r="J152" s="1024"/>
      <c r="K152" s="1024"/>
      <c r="L152" s="1024"/>
      <c r="M152" s="1024"/>
      <c r="N152" s="1024"/>
      <c r="O152" s="1024"/>
      <c r="P152" s="1024"/>
      <c r="Q152" s="1024"/>
      <c r="R152" s="1024"/>
      <c r="S152" s="1024"/>
      <c r="T152" s="1024"/>
      <c r="U152" s="1024"/>
      <c r="V152" s="1024"/>
      <c r="W152" s="1024"/>
      <c r="X152" s="1024"/>
      <c r="Y152" s="1024"/>
      <c r="Z152" s="1024"/>
    </row>
    <row r="153" spans="2:26">
      <c r="C153" s="1022" t="s">
        <v>434</v>
      </c>
      <c r="D153" s="1025">
        <f>E153-D154+D155+D156</f>
        <v>141854.66734061108</v>
      </c>
      <c r="E153" s="1025">
        <f>F153-E154+E155+E156</f>
        <v>147034.53742090127</v>
      </c>
      <c r="F153" s="1025">
        <f>G153-F154+F155+F156</f>
        <v>152778.3784416533</v>
      </c>
      <c r="G153" s="1025">
        <f>H153-G154+G155+G156</f>
        <v>159096.57766990291</v>
      </c>
      <c r="H153" s="1026">
        <v>166000</v>
      </c>
      <c r="I153" s="1025">
        <f>H153+H154-H155-H156</f>
        <v>173500</v>
      </c>
      <c r="J153" s="1025">
        <f t="shared" ref="J153:V153" si="75">I153+I154-I155-I156</f>
        <v>181243.2</v>
      </c>
      <c r="K153" s="1025">
        <f t="shared" si="75"/>
        <v>189237.34148</v>
      </c>
      <c r="L153" s="1025">
        <f t="shared" si="75"/>
        <v>197490.38863191201</v>
      </c>
      <c r="M153" s="1025">
        <f t="shared" si="75"/>
        <v>206010.53563731199</v>
      </c>
      <c r="N153" s="1025">
        <f t="shared" si="75"/>
        <v>214806.21413483052</v>
      </c>
      <c r="O153" s="1025">
        <f t="shared" si="75"/>
        <v>223886.10088431658</v>
      </c>
      <c r="P153" s="1025">
        <f t="shared" si="75"/>
        <v>233259.12563505059</v>
      </c>
      <c r="Q153" s="1025">
        <f t="shared" si="75"/>
        <v>242934.47920543319</v>
      </c>
      <c r="R153" s="1025">
        <f t="shared" si="75"/>
        <v>252921.62178173286</v>
      </c>
      <c r="S153" s="1025">
        <f t="shared" si="75"/>
        <v>263230.29144364223</v>
      </c>
      <c r="T153" s="1025">
        <f t="shared" si="75"/>
        <v>273870.51292456588</v>
      </c>
      <c r="U153" s="1025">
        <f t="shared" si="75"/>
        <v>284852.60661474441</v>
      </c>
      <c r="V153" s="1025">
        <f t="shared" si="75"/>
        <v>296187.19781551015</v>
      </c>
      <c r="W153" s="1025">
        <f>V153+V154-V155-V156</f>
        <v>307885.22625316761</v>
      </c>
      <c r="X153" s="1025">
        <f>W153+W154-W155-W156</f>
        <v>319957.95586119941</v>
      </c>
      <c r="Y153" s="1025">
        <f>X153+X154-X155-X156</f>
        <v>332416.9848397132</v>
      </c>
      <c r="Z153" s="1025">
        <f>Y153+Y154-Y155-Y156</f>
        <v>345274.25600127003</v>
      </c>
    </row>
    <row r="154" spans="2:26">
      <c r="C154" s="1022" t="s">
        <v>100</v>
      </c>
      <c r="D154" s="1025">
        <f>E154/1.03</f>
        <v>20257.504692477705</v>
      </c>
      <c r="E154" s="1025">
        <f>F154/1.03</f>
        <v>20865.229833252037</v>
      </c>
      <c r="F154" s="1025">
        <f>G154/1.03</f>
        <v>21491.186728249599</v>
      </c>
      <c r="G154" s="1025">
        <f>H154/1.03</f>
        <v>22135.922330097088</v>
      </c>
      <c r="H154" s="1026">
        <v>22800</v>
      </c>
      <c r="I154" s="1025">
        <f>H154*1.03</f>
        <v>23484</v>
      </c>
      <c r="J154" s="1025">
        <f t="shared" ref="J154:V154" si="76">I154*1.03</f>
        <v>24188.52</v>
      </c>
      <c r="K154" s="1025">
        <f t="shared" si="76"/>
        <v>24914.175600000002</v>
      </c>
      <c r="L154" s="1025">
        <f t="shared" si="76"/>
        <v>25661.600868000001</v>
      </c>
      <c r="M154" s="1025">
        <f t="shared" si="76"/>
        <v>26431.448894040001</v>
      </c>
      <c r="N154" s="1025">
        <f t="shared" si="76"/>
        <v>27224.392360861202</v>
      </c>
      <c r="O154" s="1025">
        <f t="shared" si="76"/>
        <v>28041.12413168704</v>
      </c>
      <c r="P154" s="1025">
        <f t="shared" si="76"/>
        <v>28882.357855637652</v>
      </c>
      <c r="Q154" s="1025">
        <f t="shared" si="76"/>
        <v>29748.828591306781</v>
      </c>
      <c r="R154" s="1025">
        <f t="shared" si="76"/>
        <v>30641.293449045985</v>
      </c>
      <c r="S154" s="1025">
        <f t="shared" si="76"/>
        <v>31560.532252517365</v>
      </c>
      <c r="T154" s="1025">
        <f t="shared" si="76"/>
        <v>32507.348220092888</v>
      </c>
      <c r="U154" s="1025">
        <f t="shared" si="76"/>
        <v>33482.568666695675</v>
      </c>
      <c r="V154" s="1025">
        <f t="shared" si="76"/>
        <v>34487.045726696546</v>
      </c>
      <c r="W154" s="1025">
        <f>V154*1.03</f>
        <v>35521.657098497446</v>
      </c>
      <c r="X154" s="1025">
        <f>W154*1.03</f>
        <v>36587.30681145237</v>
      </c>
      <c r="Y154" s="1025">
        <f>X154*1.03</f>
        <v>37684.926015795943</v>
      </c>
      <c r="Z154" s="1025">
        <f>Y154*1.03</f>
        <v>38815.47379626982</v>
      </c>
    </row>
    <row r="155" spans="2:26">
      <c r="C155" s="1022" t="s">
        <v>101</v>
      </c>
      <c r="D155" s="1025">
        <f>E155*1.02</f>
        <v>7577.0251200000002</v>
      </c>
      <c r="E155" s="1025">
        <f>F155*1.02</f>
        <v>7428.4560000000001</v>
      </c>
      <c r="F155" s="1025">
        <f>G155*1.02</f>
        <v>7282.8</v>
      </c>
      <c r="G155" s="1025">
        <f>H155*1.02</f>
        <v>7140</v>
      </c>
      <c r="H155" s="1026">
        <v>7000</v>
      </c>
      <c r="I155" s="1025">
        <f t="shared" ref="I155:Z155" si="77">I195*I154</f>
        <v>7065.8</v>
      </c>
      <c r="J155" s="1025">
        <f t="shared" si="77"/>
        <v>7132.2185199999994</v>
      </c>
      <c r="K155" s="1025">
        <f t="shared" si="77"/>
        <v>7199.2613740879997</v>
      </c>
      <c r="L155" s="1025">
        <f t="shared" si="77"/>
        <v>7266.9344310044262</v>
      </c>
      <c r="M155" s="1025">
        <f t="shared" si="77"/>
        <v>7335.2436146558675</v>
      </c>
      <c r="N155" s="1025">
        <f t="shared" si="77"/>
        <v>7404.1949046336331</v>
      </c>
      <c r="O155" s="1025">
        <f t="shared" si="77"/>
        <v>7473.794336737189</v>
      </c>
      <c r="P155" s="1025">
        <f t="shared" si="77"/>
        <v>7544.0480035025184</v>
      </c>
      <c r="Q155" s="1025">
        <f t="shared" si="77"/>
        <v>7614.9620547354416</v>
      </c>
      <c r="R155" s="1025">
        <f t="shared" si="77"/>
        <v>7686.5426980499551</v>
      </c>
      <c r="S155" s="1025">
        <f t="shared" si="77"/>
        <v>7758.796199411624</v>
      </c>
      <c r="T155" s="1025">
        <f t="shared" si="77"/>
        <v>7831.7288836860935</v>
      </c>
      <c r="U155" s="1025">
        <f t="shared" si="77"/>
        <v>7905.3471351927428</v>
      </c>
      <c r="V155" s="1025">
        <f t="shared" si="77"/>
        <v>7979.6573982635546</v>
      </c>
      <c r="W155" s="1025">
        <f t="shared" si="77"/>
        <v>8054.666177807233</v>
      </c>
      <c r="X155" s="1025">
        <f t="shared" si="77"/>
        <v>8130.3800398786207</v>
      </c>
      <c r="Y155" s="1025">
        <f t="shared" si="77"/>
        <v>8206.8056122534799</v>
      </c>
      <c r="Z155" s="1025">
        <f t="shared" si="77"/>
        <v>8283.9495850086623</v>
      </c>
    </row>
    <row r="156" spans="2:26">
      <c r="C156" s="1022" t="s">
        <v>455</v>
      </c>
      <c r="D156" s="1035">
        <f>E156*0.975</f>
        <v>7500.6094921875001</v>
      </c>
      <c r="E156" s="1035">
        <f>F156*0.975</f>
        <v>7692.9328125000002</v>
      </c>
      <c r="F156" s="1035">
        <f>G156*0.975</f>
        <v>7890.1875</v>
      </c>
      <c r="G156" s="1035">
        <f>H156*0.975</f>
        <v>8092.5</v>
      </c>
      <c r="H156" s="1035">
        <f>H153*0.05</f>
        <v>8300</v>
      </c>
      <c r="I156" s="1035">
        <f t="shared" ref="I156:V156" si="78">I153*0.05</f>
        <v>8675</v>
      </c>
      <c r="J156" s="1035">
        <f t="shared" si="78"/>
        <v>9062.1600000000017</v>
      </c>
      <c r="K156" s="1035">
        <f t="shared" si="78"/>
        <v>9461.8670739999998</v>
      </c>
      <c r="L156" s="1035">
        <f t="shared" si="78"/>
        <v>9874.5194315956014</v>
      </c>
      <c r="M156" s="1035">
        <f t="shared" si="78"/>
        <v>10300.526781865599</v>
      </c>
      <c r="N156" s="1035">
        <f t="shared" si="78"/>
        <v>10740.310706741526</v>
      </c>
      <c r="O156" s="1035">
        <f t="shared" si="78"/>
        <v>11194.305044215829</v>
      </c>
      <c r="P156" s="1035">
        <f t="shared" si="78"/>
        <v>11662.956281752529</v>
      </c>
      <c r="Q156" s="1035">
        <f t="shared" si="78"/>
        <v>12146.72396027166</v>
      </c>
      <c r="R156" s="1035">
        <f t="shared" si="78"/>
        <v>12646.081089086643</v>
      </c>
      <c r="S156" s="1035">
        <f t="shared" si="78"/>
        <v>13161.514572182112</v>
      </c>
      <c r="T156" s="1035">
        <f t="shared" si="78"/>
        <v>13693.525646228294</v>
      </c>
      <c r="U156" s="1035">
        <f t="shared" si="78"/>
        <v>14242.630330737222</v>
      </c>
      <c r="V156" s="1035">
        <f t="shared" si="78"/>
        <v>14809.359890775508</v>
      </c>
      <c r="W156" s="1035">
        <f>W153*0.05</f>
        <v>15394.261312658382</v>
      </c>
      <c r="X156" s="1035">
        <f>X153*0.05</f>
        <v>15997.897793059972</v>
      </c>
      <c r="Y156" s="1035">
        <f>Y153*0.05</f>
        <v>16620.849241985659</v>
      </c>
      <c r="Z156" s="1035">
        <f>Z153*0.05</f>
        <v>17263.712800063502</v>
      </c>
    </row>
    <row r="158" spans="2:26">
      <c r="C158" s="1022" t="s">
        <v>1140</v>
      </c>
      <c r="D158" s="1025">
        <f>D159*D154</f>
        <v>19013.622825395742</v>
      </c>
      <c r="E158" s="1025">
        <f>E159*E154</f>
        <v>19584.031510157613</v>
      </c>
      <c r="F158" s="1025">
        <f>F159*F154</f>
        <v>20171.552455462344</v>
      </c>
      <c r="G158" s="1025">
        <f>G159*G154</f>
        <v>20776.699029126215</v>
      </c>
      <c r="H158" s="1026">
        <v>21400</v>
      </c>
      <c r="I158" s="1025">
        <f t="shared" ref="I158:V158" si="79">I159*I154</f>
        <v>22042</v>
      </c>
      <c r="J158" s="1025">
        <f t="shared" si="79"/>
        <v>22703.260000000002</v>
      </c>
      <c r="K158" s="1025">
        <f t="shared" si="79"/>
        <v>23384.357800000002</v>
      </c>
      <c r="L158" s="1025">
        <f t="shared" si="79"/>
        <v>24085.888534000002</v>
      </c>
      <c r="M158" s="1025">
        <f t="shared" si="79"/>
        <v>24808.465190020001</v>
      </c>
      <c r="N158" s="1025">
        <f t="shared" si="79"/>
        <v>25552.719145720603</v>
      </c>
      <c r="O158" s="1025">
        <f t="shared" si="79"/>
        <v>26319.300720092222</v>
      </c>
      <c r="P158" s="1025">
        <f t="shared" si="79"/>
        <v>27108.879741694989</v>
      </c>
      <c r="Q158" s="1025">
        <f t="shared" si="79"/>
        <v>27922.14613394584</v>
      </c>
      <c r="R158" s="1025">
        <f t="shared" si="79"/>
        <v>28759.810517964215</v>
      </c>
      <c r="S158" s="1025">
        <f t="shared" si="79"/>
        <v>29622.604833503141</v>
      </c>
      <c r="T158" s="1025">
        <f t="shared" si="79"/>
        <v>30511.282978508239</v>
      </c>
      <c r="U158" s="1025">
        <f t="shared" si="79"/>
        <v>31426.621467863486</v>
      </c>
      <c r="V158" s="1025">
        <f t="shared" si="79"/>
        <v>32369.420111899391</v>
      </c>
      <c r="W158" s="1025">
        <f>W159*W154</f>
        <v>33340.502715256378</v>
      </c>
      <c r="X158" s="1025">
        <f>X159*X154</f>
        <v>34340.717796714067</v>
      </c>
      <c r="Y158" s="1025">
        <f>Y159*Y154</f>
        <v>35370.939330615489</v>
      </c>
      <c r="Z158" s="1025">
        <f>Z159*Z154</f>
        <v>36432.067510533954</v>
      </c>
    </row>
    <row r="159" spans="2:26">
      <c r="C159" s="1038" t="s">
        <v>1122</v>
      </c>
      <c r="D159" s="1029">
        <f>E159</f>
        <v>0.93859649122807021</v>
      </c>
      <c r="E159" s="1029">
        <f>F159</f>
        <v>0.93859649122807021</v>
      </c>
      <c r="F159" s="1029">
        <f>G159</f>
        <v>0.93859649122807021</v>
      </c>
      <c r="G159" s="1029">
        <f>H159</f>
        <v>0.93859649122807021</v>
      </c>
      <c r="H159" s="1030">
        <f>H158/H154</f>
        <v>0.93859649122807021</v>
      </c>
      <c r="I159" s="1029">
        <f>H159</f>
        <v>0.93859649122807021</v>
      </c>
      <c r="J159" s="1029">
        <f t="shared" ref="J159:V159" si="80">I159</f>
        <v>0.93859649122807021</v>
      </c>
      <c r="K159" s="1029">
        <f t="shared" si="80"/>
        <v>0.93859649122807021</v>
      </c>
      <c r="L159" s="1029">
        <f t="shared" si="80"/>
        <v>0.93859649122807021</v>
      </c>
      <c r="M159" s="1029">
        <f t="shared" si="80"/>
        <v>0.93859649122807021</v>
      </c>
      <c r="N159" s="1029">
        <f t="shared" si="80"/>
        <v>0.93859649122807021</v>
      </c>
      <c r="O159" s="1029">
        <f t="shared" si="80"/>
        <v>0.93859649122807021</v>
      </c>
      <c r="P159" s="1029">
        <f t="shared" si="80"/>
        <v>0.93859649122807021</v>
      </c>
      <c r="Q159" s="1029">
        <f t="shared" si="80"/>
        <v>0.93859649122807021</v>
      </c>
      <c r="R159" s="1029">
        <f t="shared" si="80"/>
        <v>0.93859649122807021</v>
      </c>
      <c r="S159" s="1029">
        <f t="shared" si="80"/>
        <v>0.93859649122807021</v>
      </c>
      <c r="T159" s="1029">
        <f t="shared" si="80"/>
        <v>0.93859649122807021</v>
      </c>
      <c r="U159" s="1029">
        <f t="shared" si="80"/>
        <v>0.93859649122807021</v>
      </c>
      <c r="V159" s="1029">
        <f t="shared" si="80"/>
        <v>0.93859649122807021</v>
      </c>
      <c r="W159" s="1029">
        <f>V159</f>
        <v>0.93859649122807021</v>
      </c>
      <c r="X159" s="1029">
        <f>W159</f>
        <v>0.93859649122807021</v>
      </c>
      <c r="Y159" s="1029">
        <f>X159</f>
        <v>0.93859649122807021</v>
      </c>
      <c r="Z159" s="1029">
        <f>Y159</f>
        <v>0.93859649122807021</v>
      </c>
    </row>
    <row r="161" spans="3:26">
      <c r="C161" s="1022" t="s">
        <v>1141</v>
      </c>
      <c r="D161" s="1025">
        <f>D162*D154</f>
        <v>10484.147165405129</v>
      </c>
      <c r="E161" s="1025">
        <f>E162*E154</f>
        <v>10798.671580367283</v>
      </c>
      <c r="F161" s="1025">
        <f>F162*F154</f>
        <v>11122.631727778302</v>
      </c>
      <c r="G161" s="1025">
        <f>G162*G154</f>
        <v>11456.310679611652</v>
      </c>
      <c r="H161" s="1026">
        <v>11800</v>
      </c>
      <c r="I161" s="1025">
        <f t="shared" ref="I161:V161" si="81">I162*I154</f>
        <v>12154.000000000002</v>
      </c>
      <c r="J161" s="1025">
        <f t="shared" si="81"/>
        <v>12518.62</v>
      </c>
      <c r="K161" s="1025">
        <f t="shared" si="81"/>
        <v>12894.178600000003</v>
      </c>
      <c r="L161" s="1025">
        <f t="shared" si="81"/>
        <v>13281.003958000003</v>
      </c>
      <c r="M161" s="1025">
        <f t="shared" si="81"/>
        <v>13679.434076740003</v>
      </c>
      <c r="N161" s="1025">
        <f t="shared" si="81"/>
        <v>14089.817099042202</v>
      </c>
      <c r="O161" s="1025">
        <f t="shared" si="81"/>
        <v>14512.51161201347</v>
      </c>
      <c r="P161" s="1025">
        <f t="shared" si="81"/>
        <v>14947.886960373875</v>
      </c>
      <c r="Q161" s="1025">
        <f t="shared" si="81"/>
        <v>15396.32356918509</v>
      </c>
      <c r="R161" s="1025">
        <f t="shared" si="81"/>
        <v>15858.213276260643</v>
      </c>
      <c r="S161" s="1025">
        <f t="shared" si="81"/>
        <v>16333.959674548463</v>
      </c>
      <c r="T161" s="1025">
        <f t="shared" si="81"/>
        <v>16823.978464784919</v>
      </c>
      <c r="U161" s="1025">
        <f t="shared" si="81"/>
        <v>17328.697818728466</v>
      </c>
      <c r="V161" s="1025">
        <f t="shared" si="81"/>
        <v>17848.558753290319</v>
      </c>
      <c r="W161" s="1025">
        <f>W162*W154</f>
        <v>18384.01551588903</v>
      </c>
      <c r="X161" s="1025">
        <f>X162*X154</f>
        <v>18935.535981365701</v>
      </c>
      <c r="Y161" s="1025">
        <f>Y162*Y154</f>
        <v>19503.602060806676</v>
      </c>
      <c r="Z161" s="1025">
        <f>Z162*Z154</f>
        <v>20088.710122630873</v>
      </c>
    </row>
    <row r="162" spans="3:26">
      <c r="C162" s="1038" t="s">
        <v>1122</v>
      </c>
      <c r="D162" s="1029">
        <f>E162</f>
        <v>0.51754385964912286</v>
      </c>
      <c r="E162" s="1029">
        <f>F162</f>
        <v>0.51754385964912286</v>
      </c>
      <c r="F162" s="1029">
        <f>G162</f>
        <v>0.51754385964912286</v>
      </c>
      <c r="G162" s="1029">
        <f>H162</f>
        <v>0.51754385964912286</v>
      </c>
      <c r="H162" s="1030">
        <f>H161/H154</f>
        <v>0.51754385964912286</v>
      </c>
      <c r="I162" s="1029">
        <f>H162</f>
        <v>0.51754385964912286</v>
      </c>
      <c r="J162" s="1029">
        <f t="shared" ref="J162:V162" si="82">I162</f>
        <v>0.51754385964912286</v>
      </c>
      <c r="K162" s="1029">
        <f t="shared" si="82"/>
        <v>0.51754385964912286</v>
      </c>
      <c r="L162" s="1029">
        <f t="shared" si="82"/>
        <v>0.51754385964912286</v>
      </c>
      <c r="M162" s="1029">
        <f t="shared" si="82"/>
        <v>0.51754385964912286</v>
      </c>
      <c r="N162" s="1029">
        <f t="shared" si="82"/>
        <v>0.51754385964912286</v>
      </c>
      <c r="O162" s="1029">
        <f t="shared" si="82"/>
        <v>0.51754385964912286</v>
      </c>
      <c r="P162" s="1029">
        <f t="shared" si="82"/>
        <v>0.51754385964912286</v>
      </c>
      <c r="Q162" s="1029">
        <f t="shared" si="82"/>
        <v>0.51754385964912286</v>
      </c>
      <c r="R162" s="1029">
        <f t="shared" si="82"/>
        <v>0.51754385964912286</v>
      </c>
      <c r="S162" s="1029">
        <f t="shared" si="82"/>
        <v>0.51754385964912286</v>
      </c>
      <c r="T162" s="1029">
        <f t="shared" si="82"/>
        <v>0.51754385964912286</v>
      </c>
      <c r="U162" s="1029">
        <f t="shared" si="82"/>
        <v>0.51754385964912286</v>
      </c>
      <c r="V162" s="1029">
        <f t="shared" si="82"/>
        <v>0.51754385964912286</v>
      </c>
      <c r="W162" s="1029">
        <f>V162</f>
        <v>0.51754385964912286</v>
      </c>
      <c r="X162" s="1029">
        <f>W162</f>
        <v>0.51754385964912286</v>
      </c>
      <c r="Y162" s="1029">
        <f>X162</f>
        <v>0.51754385964912286</v>
      </c>
      <c r="Z162" s="1029">
        <f>Y162</f>
        <v>0.51754385964912286</v>
      </c>
    </row>
    <row r="163" spans="3:26">
      <c r="C163" s="1028"/>
    </row>
    <row r="164" spans="3:26">
      <c r="C164" s="1022" t="s">
        <v>1142</v>
      </c>
      <c r="D164" s="1025"/>
      <c r="E164" s="1025"/>
      <c r="F164" s="1025"/>
      <c r="G164" s="1025"/>
      <c r="H164" s="1026">
        <v>5600</v>
      </c>
      <c r="I164" s="1025">
        <f>I165*I170</f>
        <v>5871.6397065471283</v>
      </c>
      <c r="J164" s="1025">
        <f t="shared" ref="J164:V164" si="83">J165*J170</f>
        <v>6152.1771132823988</v>
      </c>
      <c r="K164" s="1025">
        <f t="shared" si="83"/>
        <v>6441.8974724084683</v>
      </c>
      <c r="L164" s="1025">
        <f t="shared" si="83"/>
        <v>6741.0942016527033</v>
      </c>
      <c r="M164" s="1025">
        <f t="shared" si="83"/>
        <v>7050.0691537607599</v>
      </c>
      <c r="N164" s="1025">
        <f t="shared" si="83"/>
        <v>7369.1328928948797</v>
      </c>
      <c r="O164" s="1025">
        <f t="shared" si="83"/>
        <v>7698.6049782035061</v>
      </c>
      <c r="P164" s="1025">
        <f t="shared" si="83"/>
        <v>8038.8142548337792</v>
      </c>
      <c r="Q164" s="1025">
        <f t="shared" si="83"/>
        <v>8390.0991526638991</v>
      </c>
      <c r="R164" s="1025">
        <f t="shared" si="83"/>
        <v>8752.8079930379081</v>
      </c>
      <c r="S164" s="1025">
        <f t="shared" si="83"/>
        <v>9127.2993037913839</v>
      </c>
      <c r="T164" s="1025">
        <f t="shared" si="83"/>
        <v>9513.9421428628029</v>
      </c>
      <c r="U164" s="1025">
        <f t="shared" si="83"/>
        <v>9913.1164307918461</v>
      </c>
      <c r="V164" s="1025">
        <f t="shared" si="83"/>
        <v>10325.213292412793</v>
      </c>
      <c r="W164" s="1025">
        <f>W165*W170</f>
        <v>10750.635408058315</v>
      </c>
      <c r="X164" s="1025">
        <f>X165*X170</f>
        <v>11189.797374596494</v>
      </c>
      <c r="Y164" s="1025">
        <f>Y165*Y170</f>
        <v>11643.126076631659</v>
      </c>
      <c r="Z164" s="1025">
        <f>Z165*Z170</f>
        <v>12111.061068207804</v>
      </c>
    </row>
    <row r="165" spans="3:26">
      <c r="C165" s="1038" t="s">
        <v>1124</v>
      </c>
      <c r="D165" s="1029"/>
      <c r="E165" s="1029"/>
      <c r="F165" s="1029"/>
      <c r="G165" s="1029"/>
      <c r="H165" s="1030">
        <f>H164/H170</f>
        <v>4.1126867677431428E-2</v>
      </c>
      <c r="I165" s="1029">
        <f>H165</f>
        <v>4.1126867677431428E-2</v>
      </c>
      <c r="J165" s="1029">
        <f t="shared" ref="J165:V165" si="84">I165</f>
        <v>4.1126867677431428E-2</v>
      </c>
      <c r="K165" s="1029">
        <f t="shared" si="84"/>
        <v>4.1126867677431428E-2</v>
      </c>
      <c r="L165" s="1029">
        <f t="shared" si="84"/>
        <v>4.1126867677431428E-2</v>
      </c>
      <c r="M165" s="1029">
        <f t="shared" si="84"/>
        <v>4.1126867677431428E-2</v>
      </c>
      <c r="N165" s="1029">
        <f t="shared" si="84"/>
        <v>4.1126867677431428E-2</v>
      </c>
      <c r="O165" s="1029">
        <f t="shared" si="84"/>
        <v>4.1126867677431428E-2</v>
      </c>
      <c r="P165" s="1029">
        <f t="shared" si="84"/>
        <v>4.1126867677431428E-2</v>
      </c>
      <c r="Q165" s="1029">
        <f t="shared" si="84"/>
        <v>4.1126867677431428E-2</v>
      </c>
      <c r="R165" s="1029">
        <f t="shared" si="84"/>
        <v>4.1126867677431428E-2</v>
      </c>
      <c r="S165" s="1029">
        <f t="shared" si="84"/>
        <v>4.1126867677431428E-2</v>
      </c>
      <c r="T165" s="1029">
        <f t="shared" si="84"/>
        <v>4.1126867677431428E-2</v>
      </c>
      <c r="U165" s="1029">
        <f t="shared" si="84"/>
        <v>4.1126867677431428E-2</v>
      </c>
      <c r="V165" s="1029">
        <f t="shared" si="84"/>
        <v>4.1126867677431428E-2</v>
      </c>
      <c r="W165" s="1029">
        <f>V165</f>
        <v>4.1126867677431428E-2</v>
      </c>
      <c r="X165" s="1029">
        <f>W165</f>
        <v>4.1126867677431428E-2</v>
      </c>
      <c r="Y165" s="1029">
        <f>X165</f>
        <v>4.1126867677431428E-2</v>
      </c>
      <c r="Z165" s="1029">
        <f>Y165</f>
        <v>4.1126867677431428E-2</v>
      </c>
    </row>
    <row r="167" spans="3:26">
      <c r="C167" s="1022" t="s">
        <v>1143</v>
      </c>
      <c r="H167" s="1025"/>
      <c r="I167" s="1025"/>
    </row>
    <row r="168" spans="3:26">
      <c r="C168" s="1038" t="s">
        <v>1126</v>
      </c>
      <c r="D168" s="1025">
        <f t="shared" ref="D168:V168" si="85">D154-D158</f>
        <v>1243.8818670819637</v>
      </c>
      <c r="E168" s="1025">
        <f t="shared" si="85"/>
        <v>1281.1983230944243</v>
      </c>
      <c r="F168" s="1025">
        <f t="shared" si="85"/>
        <v>1319.6342727872543</v>
      </c>
      <c r="G168" s="1025">
        <f t="shared" si="85"/>
        <v>1359.2233009708725</v>
      </c>
      <c r="H168" s="1025">
        <f t="shared" si="85"/>
        <v>1400</v>
      </c>
      <c r="I168" s="1025">
        <f t="shared" si="85"/>
        <v>1442</v>
      </c>
      <c r="J168" s="1025">
        <f t="shared" si="85"/>
        <v>1485.2599999999984</v>
      </c>
      <c r="K168" s="1025">
        <f t="shared" si="85"/>
        <v>1529.8178000000007</v>
      </c>
      <c r="L168" s="1025">
        <f t="shared" si="85"/>
        <v>1575.7123339999998</v>
      </c>
      <c r="M168" s="1025">
        <f t="shared" si="85"/>
        <v>1622.98370402</v>
      </c>
      <c r="N168" s="1025">
        <f t="shared" si="85"/>
        <v>1671.6732151405995</v>
      </c>
      <c r="O168" s="1025">
        <f t="shared" si="85"/>
        <v>1721.823411594818</v>
      </c>
      <c r="P168" s="1025">
        <f t="shared" si="85"/>
        <v>1773.4781139426632</v>
      </c>
      <c r="Q168" s="1025">
        <f t="shared" si="85"/>
        <v>1826.682457360941</v>
      </c>
      <c r="R168" s="1025">
        <f t="shared" si="85"/>
        <v>1881.4829310817695</v>
      </c>
      <c r="S168" s="1025">
        <f t="shared" si="85"/>
        <v>1937.9274190142241</v>
      </c>
      <c r="T168" s="1025">
        <f t="shared" si="85"/>
        <v>1996.0652415846489</v>
      </c>
      <c r="U168" s="1025">
        <f t="shared" si="85"/>
        <v>2055.9471988321893</v>
      </c>
      <c r="V168" s="1025">
        <f t="shared" si="85"/>
        <v>2117.6256147971544</v>
      </c>
      <c r="W168" s="1025">
        <f>W154-W158</f>
        <v>2181.154383241068</v>
      </c>
      <c r="X168" s="1025">
        <f>X154-X158</f>
        <v>2246.5890147383034</v>
      </c>
      <c r="Y168" s="1025">
        <f>Y154-Y158</f>
        <v>2313.9866851804545</v>
      </c>
      <c r="Z168" s="1025">
        <f>Z154-Z158</f>
        <v>2383.4062857358658</v>
      </c>
    </row>
    <row r="169" spans="3:26">
      <c r="C169" s="1038" t="s">
        <v>1127</v>
      </c>
      <c r="D169" s="1025"/>
      <c r="E169" s="1025"/>
      <c r="F169" s="1025"/>
      <c r="G169" s="1025"/>
      <c r="H169" s="1025">
        <f>H168+G168+F168+E168+D168</f>
        <v>6603.9377639345148</v>
      </c>
      <c r="I169" s="1025">
        <f t="shared" ref="I169:V169" si="86">I168+H168+G168+F168+E168</f>
        <v>6802.0558968525511</v>
      </c>
      <c r="J169" s="1025">
        <f t="shared" si="86"/>
        <v>7006.1175737581252</v>
      </c>
      <c r="K169" s="1025">
        <f t="shared" si="86"/>
        <v>7216.3011009708716</v>
      </c>
      <c r="L169" s="1025">
        <f t="shared" si="86"/>
        <v>7432.7901339999989</v>
      </c>
      <c r="M169" s="1025">
        <f t="shared" si="86"/>
        <v>7655.7738380199989</v>
      </c>
      <c r="N169" s="1025">
        <f t="shared" si="86"/>
        <v>7885.4470531605984</v>
      </c>
      <c r="O169" s="1025">
        <f t="shared" si="86"/>
        <v>8122.0104647554181</v>
      </c>
      <c r="P169" s="1025">
        <f t="shared" si="86"/>
        <v>8365.6707786980805</v>
      </c>
      <c r="Q169" s="1025">
        <f t="shared" si="86"/>
        <v>8616.6409020590218</v>
      </c>
      <c r="R169" s="1025">
        <f t="shared" si="86"/>
        <v>8875.1401291207912</v>
      </c>
      <c r="S169" s="1025">
        <f t="shared" si="86"/>
        <v>9141.3943329944159</v>
      </c>
      <c r="T169" s="1025">
        <f t="shared" si="86"/>
        <v>9415.6361629842468</v>
      </c>
      <c r="U169" s="1025">
        <f t="shared" si="86"/>
        <v>9698.1052478737729</v>
      </c>
      <c r="V169" s="1025">
        <f t="shared" si="86"/>
        <v>9989.0484053099863</v>
      </c>
      <c r="W169" s="1025">
        <f>W168+V168+U168+T168+S168</f>
        <v>10288.719857469285</v>
      </c>
      <c r="X169" s="1025">
        <f>X168+W168+V168+U168+T168</f>
        <v>10597.381453193364</v>
      </c>
      <c r="Y169" s="1025">
        <f>Y168+X168+W168+V168+U168</f>
        <v>10915.30289678917</v>
      </c>
      <c r="Z169" s="1025">
        <f>Z168+Y168+X168+W168+V168</f>
        <v>11242.761983692846</v>
      </c>
    </row>
    <row r="170" spans="3:26">
      <c r="C170" s="1038" t="s">
        <v>1136</v>
      </c>
      <c r="D170" s="1025"/>
      <c r="E170" s="1025"/>
      <c r="F170" s="1025"/>
      <c r="G170" s="1025"/>
      <c r="H170" s="1025">
        <f t="shared" ref="H170:V170" si="87">H153-H154-H169*H154/H158</f>
        <v>136164.02892440622</v>
      </c>
      <c r="I170" s="1025">
        <f t="shared" si="87"/>
        <v>142768.94979213842</v>
      </c>
      <c r="J170" s="1025">
        <f t="shared" si="87"/>
        <v>149590.21828590258</v>
      </c>
      <c r="K170" s="1025">
        <f t="shared" si="87"/>
        <v>156634.77031447963</v>
      </c>
      <c r="L170" s="1025">
        <f t="shared" si="87"/>
        <v>163909.74033142603</v>
      </c>
      <c r="M170" s="1025">
        <f t="shared" si="87"/>
        <v>171422.46788781145</v>
      </c>
      <c r="N170" s="1025">
        <f t="shared" si="87"/>
        <v>179180.50435284493</v>
      </c>
      <c r="O170" s="1025">
        <f t="shared" si="87"/>
        <v>187191.61980887142</v>
      </c>
      <c r="P170" s="1025">
        <f t="shared" si="87"/>
        <v>195463.81012734209</v>
      </c>
      <c r="Q170" s="1025">
        <f t="shared" si="87"/>
        <v>204005.30423249342</v>
      </c>
      <c r="R170" s="1025">
        <f t="shared" si="87"/>
        <v>212824.57155960493</v>
      </c>
      <c r="S170" s="1025">
        <f t="shared" si="87"/>
        <v>221930.32971485046</v>
      </c>
      <c r="T170" s="1025">
        <f t="shared" si="87"/>
        <v>231331.55234391033</v>
      </c>
      <c r="U170" s="1025">
        <f t="shared" si="87"/>
        <v>241037.47721666918</v>
      </c>
      <c r="V170" s="1025">
        <f t="shared" si="87"/>
        <v>251057.61453549267</v>
      </c>
      <c r="W170" s="1025">
        <f>W153-W154-W169*W154/W158</f>
        <v>261401.75547474963</v>
      </c>
      <c r="X170" s="1025">
        <f>X153-X154-X169*X154/X158</f>
        <v>272079.98095942888</v>
      </c>
      <c r="Y170" s="1025">
        <f>Y153-Y154-Y169*Y154/Y158</f>
        <v>283102.67069088953</v>
      </c>
      <c r="Z170" s="1025">
        <f>Z153-Z154-Z169*Z154/Z158</f>
        <v>294480.51242798171</v>
      </c>
    </row>
    <row r="173" spans="3:26">
      <c r="C173" s="1022" t="s">
        <v>294</v>
      </c>
      <c r="D173" s="1025">
        <f>D155*50%</f>
        <v>3788.5125600000001</v>
      </c>
      <c r="E173" s="1025">
        <f>E155*50%</f>
        <v>3714.2280000000001</v>
      </c>
      <c r="F173" s="1025">
        <f>F155*50%</f>
        <v>3641.4</v>
      </c>
      <c r="G173" s="1025">
        <f>G155*50%</f>
        <v>3570</v>
      </c>
      <c r="H173" s="1025">
        <f>H155*50%</f>
        <v>3500</v>
      </c>
      <c r="I173" s="1025">
        <f t="shared" ref="I173:Z173" si="88">I155*50%</f>
        <v>3532.9</v>
      </c>
      <c r="J173" s="1025">
        <f t="shared" si="88"/>
        <v>3566.1092599999997</v>
      </c>
      <c r="K173" s="1025">
        <f t="shared" si="88"/>
        <v>3599.6306870439998</v>
      </c>
      <c r="L173" s="1025">
        <f t="shared" si="88"/>
        <v>3633.4672155022131</v>
      </c>
      <c r="M173" s="1025">
        <f t="shared" si="88"/>
        <v>3667.6218073279338</v>
      </c>
      <c r="N173" s="1025">
        <f t="shared" si="88"/>
        <v>3702.0974523168165</v>
      </c>
      <c r="O173" s="1025">
        <f t="shared" si="88"/>
        <v>3736.8971683685945</v>
      </c>
      <c r="P173" s="1025">
        <f t="shared" si="88"/>
        <v>3772.0240017512592</v>
      </c>
      <c r="Q173" s="1025">
        <f t="shared" si="88"/>
        <v>3807.4810273677208</v>
      </c>
      <c r="R173" s="1025">
        <f t="shared" si="88"/>
        <v>3843.2713490249776</v>
      </c>
      <c r="S173" s="1025">
        <f t="shared" si="88"/>
        <v>3879.398099705812</v>
      </c>
      <c r="T173" s="1025">
        <f t="shared" si="88"/>
        <v>3915.8644418430467</v>
      </c>
      <c r="U173" s="1025">
        <f t="shared" si="88"/>
        <v>3952.6735675963714</v>
      </c>
      <c r="V173" s="1025">
        <f t="shared" si="88"/>
        <v>3989.8286991317773</v>
      </c>
      <c r="W173" s="1025">
        <f t="shared" si="88"/>
        <v>4027.3330889036165</v>
      </c>
      <c r="X173" s="1025">
        <f t="shared" si="88"/>
        <v>4065.1900199393103</v>
      </c>
      <c r="Y173" s="1025">
        <f t="shared" si="88"/>
        <v>4103.40280612674</v>
      </c>
      <c r="Z173" s="1025">
        <f t="shared" si="88"/>
        <v>4141.9747925043312</v>
      </c>
    </row>
    <row r="174" spans="3:26">
      <c r="C174" s="1028" t="s">
        <v>1074</v>
      </c>
      <c r="D174" s="1029"/>
      <c r="E174" s="1029"/>
      <c r="F174" s="1029"/>
      <c r="G174" s="1029"/>
      <c r="H174" s="1029">
        <f>H173/H164</f>
        <v>0.625</v>
      </c>
      <c r="I174" s="1029">
        <f>I173/I164</f>
        <v>0.60168882570581883</v>
      </c>
      <c r="J174" s="1029">
        <f t="shared" ref="J174:Z174" si="89">J173/J164</f>
        <v>0.57964996688747106</v>
      </c>
      <c r="K174" s="1029">
        <f t="shared" si="89"/>
        <v>0.55878422506128245</v>
      </c>
      <c r="L174" s="1029">
        <f t="shared" si="89"/>
        <v>0.53900258723745498</v>
      </c>
      <c r="M174" s="1029">
        <f t="shared" si="89"/>
        <v>0.52022494068324032</v>
      </c>
      <c r="N174" s="1029">
        <f t="shared" si="89"/>
        <v>0.50237897811373167</v>
      </c>
      <c r="O174" s="1029">
        <f t="shared" si="89"/>
        <v>0.48539926115817039</v>
      </c>
      <c r="P174" s="1029">
        <f t="shared" si="89"/>
        <v>0.46922641600819703</v>
      </c>
      <c r="Q174" s="1029">
        <f t="shared" si="89"/>
        <v>0.45380643995831993</v>
      </c>
      <c r="R174" s="1029">
        <f t="shared" si="89"/>
        <v>0.43909010138026144</v>
      </c>
      <c r="S174" s="1029">
        <f t="shared" si="89"/>
        <v>0.42503241874563608</v>
      </c>
      <c r="T174" s="1029">
        <f t="shared" si="89"/>
        <v>0.41159220678892411</v>
      </c>
      <c r="U174" s="1029">
        <f t="shared" si="89"/>
        <v>0.39873167991033442</v>
      </c>
      <c r="V174" s="1029">
        <f t="shared" si="89"/>
        <v>0.38641610455288089</v>
      </c>
      <c r="W174" s="1029">
        <f>W173/W164</f>
        <v>0.37461349362521057</v>
      </c>
      <c r="X174" s="1029">
        <f t="shared" si="89"/>
        <v>0.36329433714039006</v>
      </c>
      <c r="Y174" s="1029">
        <f t="shared" si="89"/>
        <v>0.35243136414733806</v>
      </c>
      <c r="Z174" s="1029">
        <f t="shared" si="89"/>
        <v>0.34199933178251746</v>
      </c>
    </row>
    <row r="175" spans="3:26">
      <c r="C175" s="1028"/>
      <c r="D175" s="1029"/>
      <c r="E175" s="1029"/>
      <c r="F175" s="1029"/>
      <c r="G175" s="1029"/>
      <c r="H175" s="1029"/>
      <c r="I175" s="1029"/>
      <c r="J175" s="1029"/>
      <c r="K175" s="1029"/>
      <c r="L175" s="1029"/>
      <c r="M175" s="1029"/>
      <c r="N175" s="1029"/>
      <c r="O175" s="1029"/>
      <c r="P175" s="1029"/>
      <c r="Q175" s="1029"/>
      <c r="R175" s="1029"/>
      <c r="S175" s="1029"/>
      <c r="T175" s="1029"/>
      <c r="U175" s="1029"/>
      <c r="V175" s="1029"/>
      <c r="W175" s="1029"/>
      <c r="X175" s="1029"/>
      <c r="Y175" s="1029"/>
      <c r="Z175" s="1029"/>
    </row>
    <row r="176" spans="3:26" hidden="1" outlineLevel="1">
      <c r="C176" s="1031" t="s">
        <v>463</v>
      </c>
      <c r="D176" s="1032"/>
      <c r="E176" s="1032"/>
      <c r="F176" s="1032"/>
      <c r="G176" s="1032"/>
      <c r="H176" s="1033">
        <f>H173+H164*0.25</f>
        <v>4900</v>
      </c>
      <c r="I176" s="1033">
        <f t="shared" ref="I176:Z176" si="90">I173+I164*0.25</f>
        <v>5000.8099266367826</v>
      </c>
      <c r="J176" s="1033">
        <f t="shared" si="90"/>
        <v>5104.1535383205992</v>
      </c>
      <c r="K176" s="1033">
        <f t="shared" si="90"/>
        <v>5210.1050551461167</v>
      </c>
      <c r="L176" s="1033">
        <f t="shared" si="90"/>
        <v>5318.7407659153887</v>
      </c>
      <c r="M176" s="1033">
        <f t="shared" si="90"/>
        <v>5430.1390957681233</v>
      </c>
      <c r="N176" s="1033">
        <f t="shared" si="90"/>
        <v>5544.3806755405367</v>
      </c>
      <c r="O176" s="1033">
        <f t="shared" si="90"/>
        <v>5661.548412919471</v>
      </c>
      <c r="P176" s="1033">
        <f t="shared" si="90"/>
        <v>5781.7275654597042</v>
      </c>
      <c r="Q176" s="1033">
        <f t="shared" si="90"/>
        <v>5905.0058155336956</v>
      </c>
      <c r="R176" s="1033">
        <f t="shared" si="90"/>
        <v>6031.4733472844546</v>
      </c>
      <c r="S176" s="1033">
        <f t="shared" si="90"/>
        <v>6161.2229256536575</v>
      </c>
      <c r="T176" s="1033">
        <f t="shared" si="90"/>
        <v>6294.3499775587479</v>
      </c>
      <c r="U176" s="1033">
        <f t="shared" si="90"/>
        <v>6430.9526752943329</v>
      </c>
      <c r="V176" s="1033">
        <f t="shared" si="90"/>
        <v>6571.132022234975</v>
      </c>
      <c r="W176" s="1033">
        <f t="shared" si="90"/>
        <v>6714.9919409181948</v>
      </c>
      <c r="X176" s="1033">
        <f t="shared" si="90"/>
        <v>6862.6393635884342</v>
      </c>
      <c r="Y176" s="1033">
        <f t="shared" si="90"/>
        <v>7014.1843252846547</v>
      </c>
      <c r="Z176" s="1033">
        <f t="shared" si="90"/>
        <v>7169.7400595562822</v>
      </c>
    </row>
    <row r="177" spans="2:26" hidden="1" outlineLevel="1">
      <c r="C177" s="1031" t="s">
        <v>464</v>
      </c>
      <c r="D177" s="1032"/>
      <c r="E177" s="1032"/>
      <c r="F177" s="1032"/>
      <c r="G177" s="1032"/>
      <c r="H177" s="1033">
        <f>H173+H164*0.05</f>
        <v>3780</v>
      </c>
      <c r="I177" s="1033">
        <f t="shared" ref="I177:Z177" si="91">I173+I164*0.05</f>
        <v>3826.4819853273566</v>
      </c>
      <c r="J177" s="1033">
        <f t="shared" si="91"/>
        <v>3873.7181156641195</v>
      </c>
      <c r="K177" s="1033">
        <f t="shared" si="91"/>
        <v>3921.725560664423</v>
      </c>
      <c r="L177" s="1033">
        <f t="shared" si="91"/>
        <v>3970.5219255848483</v>
      </c>
      <c r="M177" s="1033">
        <f t="shared" si="91"/>
        <v>4020.1252650159718</v>
      </c>
      <c r="N177" s="1033">
        <f t="shared" si="91"/>
        <v>4070.5540969615604</v>
      </c>
      <c r="O177" s="1033">
        <f t="shared" si="91"/>
        <v>4121.8274172787696</v>
      </c>
      <c r="P177" s="1033">
        <f t="shared" si="91"/>
        <v>4173.9647144929486</v>
      </c>
      <c r="Q177" s="1033">
        <f t="shared" si="91"/>
        <v>4226.9859850009161</v>
      </c>
      <c r="R177" s="1033">
        <f t="shared" si="91"/>
        <v>4280.9117486768728</v>
      </c>
      <c r="S177" s="1033">
        <f t="shared" si="91"/>
        <v>4335.7630648953809</v>
      </c>
      <c r="T177" s="1033">
        <f t="shared" si="91"/>
        <v>4391.5615489861866</v>
      </c>
      <c r="U177" s="1033">
        <f t="shared" si="91"/>
        <v>4448.3293891359635</v>
      </c>
      <c r="V177" s="1033">
        <f t="shared" si="91"/>
        <v>4506.0893637524168</v>
      </c>
      <c r="W177" s="1033">
        <f t="shared" si="91"/>
        <v>4564.8648593065318</v>
      </c>
      <c r="X177" s="1033">
        <f t="shared" si="91"/>
        <v>4624.6798886691349</v>
      </c>
      <c r="Y177" s="1033">
        <f t="shared" si="91"/>
        <v>4685.5591099583226</v>
      </c>
      <c r="Z177" s="1033">
        <f t="shared" si="91"/>
        <v>4747.5278459147212</v>
      </c>
    </row>
    <row r="178" spans="2:26" hidden="1" outlineLevel="1">
      <c r="C178" s="1031" t="s">
        <v>462</v>
      </c>
      <c r="D178" s="1032"/>
      <c r="E178" s="1032"/>
      <c r="F178" s="1032"/>
      <c r="G178" s="1032"/>
      <c r="H178" s="1033">
        <f>H173</f>
        <v>3500</v>
      </c>
      <c r="I178" s="1033">
        <f t="shared" ref="I178:Z178" si="92">I173</f>
        <v>3532.9</v>
      </c>
      <c r="J178" s="1033">
        <f t="shared" si="92"/>
        <v>3566.1092599999997</v>
      </c>
      <c r="K178" s="1033">
        <f t="shared" si="92"/>
        <v>3599.6306870439998</v>
      </c>
      <c r="L178" s="1033">
        <f t="shared" si="92"/>
        <v>3633.4672155022131</v>
      </c>
      <c r="M178" s="1033">
        <f t="shared" si="92"/>
        <v>3667.6218073279338</v>
      </c>
      <c r="N178" s="1033">
        <f t="shared" si="92"/>
        <v>3702.0974523168165</v>
      </c>
      <c r="O178" s="1033">
        <f t="shared" si="92"/>
        <v>3736.8971683685945</v>
      </c>
      <c r="P178" s="1033">
        <f t="shared" si="92"/>
        <v>3772.0240017512592</v>
      </c>
      <c r="Q178" s="1033">
        <f t="shared" si="92"/>
        <v>3807.4810273677208</v>
      </c>
      <c r="R178" s="1033">
        <f t="shared" si="92"/>
        <v>3843.2713490249776</v>
      </c>
      <c r="S178" s="1033">
        <f t="shared" si="92"/>
        <v>3879.398099705812</v>
      </c>
      <c r="T178" s="1033">
        <f t="shared" si="92"/>
        <v>3915.8644418430467</v>
      </c>
      <c r="U178" s="1033">
        <f t="shared" si="92"/>
        <v>3952.6735675963714</v>
      </c>
      <c r="V178" s="1033">
        <f t="shared" si="92"/>
        <v>3989.8286991317773</v>
      </c>
      <c r="W178" s="1033">
        <f t="shared" si="92"/>
        <v>4027.3330889036165</v>
      </c>
      <c r="X178" s="1033">
        <f t="shared" si="92"/>
        <v>4065.1900199393103</v>
      </c>
      <c r="Y178" s="1033">
        <f t="shared" si="92"/>
        <v>4103.40280612674</v>
      </c>
      <c r="Z178" s="1033">
        <f t="shared" si="92"/>
        <v>4141.9747925043312</v>
      </c>
    </row>
    <row r="179" spans="2:26" s="1151" customFormat="1" collapsed="1">
      <c r="C179" s="1148" t="s">
        <v>1129</v>
      </c>
      <c r="D179" s="1149"/>
      <c r="E179" s="1149"/>
      <c r="F179" s="1149"/>
      <c r="G179" s="1149"/>
      <c r="H179" s="1150">
        <f t="shared" ref="H179:Z179" si="93">CHOOSE($S$356,H176,H177,H178)</f>
        <v>3780</v>
      </c>
      <c r="I179" s="1150">
        <f t="shared" si="93"/>
        <v>3826.4819853273566</v>
      </c>
      <c r="J179" s="1150">
        <f t="shared" si="93"/>
        <v>3873.7181156641195</v>
      </c>
      <c r="K179" s="1150">
        <f t="shared" si="93"/>
        <v>3921.725560664423</v>
      </c>
      <c r="L179" s="1150">
        <f t="shared" si="93"/>
        <v>3970.5219255848483</v>
      </c>
      <c r="M179" s="1150">
        <f t="shared" si="93"/>
        <v>4020.1252650159718</v>
      </c>
      <c r="N179" s="1150">
        <f t="shared" si="93"/>
        <v>4070.5540969615604</v>
      </c>
      <c r="O179" s="1150">
        <f t="shared" si="93"/>
        <v>4121.8274172787696</v>
      </c>
      <c r="P179" s="1150">
        <f t="shared" si="93"/>
        <v>4173.9647144929486</v>
      </c>
      <c r="Q179" s="1150">
        <f t="shared" si="93"/>
        <v>4226.9859850009161</v>
      </c>
      <c r="R179" s="1150">
        <f t="shared" si="93"/>
        <v>4280.9117486768728</v>
      </c>
      <c r="S179" s="1150">
        <f t="shared" si="93"/>
        <v>4335.7630648953809</v>
      </c>
      <c r="T179" s="1150">
        <f t="shared" si="93"/>
        <v>4391.5615489861866</v>
      </c>
      <c r="U179" s="1150">
        <f t="shared" si="93"/>
        <v>4448.3293891359635</v>
      </c>
      <c r="V179" s="1150">
        <f t="shared" si="93"/>
        <v>4506.0893637524168</v>
      </c>
      <c r="W179" s="1150">
        <f t="shared" si="93"/>
        <v>4564.8648593065318</v>
      </c>
      <c r="X179" s="1150">
        <f t="shared" si="93"/>
        <v>4624.6798886691349</v>
      </c>
      <c r="Y179" s="1150">
        <f t="shared" si="93"/>
        <v>4685.5591099583226</v>
      </c>
      <c r="Z179" s="1150">
        <f t="shared" si="93"/>
        <v>4747.5278459147212</v>
      </c>
    </row>
    <row r="181" spans="2:26">
      <c r="C181" s="1023" t="s">
        <v>1137</v>
      </c>
      <c r="D181" s="1024"/>
      <c r="E181" s="1024"/>
      <c r="F181" s="1024"/>
      <c r="G181" s="1024"/>
      <c r="H181" s="1024"/>
      <c r="I181" s="1024"/>
      <c r="J181" s="1024"/>
      <c r="K181" s="1024"/>
      <c r="L181" s="1024"/>
      <c r="M181" s="1024"/>
      <c r="N181" s="1024"/>
      <c r="O181" s="1024"/>
      <c r="P181" s="1024"/>
      <c r="Q181" s="1024"/>
      <c r="R181" s="1024"/>
      <c r="S181" s="1024"/>
      <c r="T181" s="1024"/>
      <c r="U181" s="1024"/>
      <c r="V181" s="1024"/>
      <c r="W181" s="1024"/>
      <c r="X181" s="1024"/>
      <c r="Y181" s="1024"/>
      <c r="Z181" s="1024"/>
    </row>
    <row r="182" spans="2:26">
      <c r="C182" s="1128" t="s">
        <v>1085</v>
      </c>
      <c r="H182" s="1030"/>
      <c r="I182" s="1030"/>
      <c r="J182" s="1030"/>
      <c r="K182" s="1030"/>
      <c r="L182" s="1030"/>
      <c r="M182" s="1030"/>
      <c r="N182" s="1030"/>
      <c r="O182" s="1040"/>
      <c r="P182" s="1039">
        <f>P184*0.5</f>
        <v>1.8750000000000003E-2</v>
      </c>
      <c r="Q182" s="1039">
        <f t="shared" ref="Q182:Z182" si="94">Q184*0.5</f>
        <v>1.8750000000000003E-2</v>
      </c>
      <c r="R182" s="1039">
        <f t="shared" si="94"/>
        <v>3.7500000000000006E-2</v>
      </c>
      <c r="S182" s="1039">
        <f t="shared" si="94"/>
        <v>7.5000000000000011E-2</v>
      </c>
      <c r="T182" s="1039">
        <f t="shared" si="94"/>
        <v>0.11250000000000002</v>
      </c>
      <c r="U182" s="1039">
        <f t="shared" si="94"/>
        <v>0.14625000000000002</v>
      </c>
      <c r="V182" s="1039">
        <f t="shared" si="94"/>
        <v>0.14990625000000002</v>
      </c>
      <c r="W182" s="1039">
        <f t="shared" si="94"/>
        <v>0.15365390625</v>
      </c>
      <c r="X182" s="1039">
        <f t="shared" si="94"/>
        <v>0.15749525390624999</v>
      </c>
      <c r="Y182" s="1039">
        <f t="shared" si="94"/>
        <v>0.16143263525390622</v>
      </c>
      <c r="Z182" s="1039">
        <f t="shared" si="94"/>
        <v>0.16546845113525388</v>
      </c>
    </row>
    <row r="183" spans="2:26">
      <c r="C183" s="1038" t="s">
        <v>111</v>
      </c>
      <c r="H183" s="1030"/>
      <c r="I183" s="1030"/>
      <c r="J183" s="1030"/>
      <c r="K183" s="1030"/>
      <c r="L183" s="1030"/>
      <c r="M183" s="1030"/>
      <c r="N183" s="1030"/>
      <c r="O183" s="1030"/>
      <c r="P183" s="1030">
        <f t="shared" ref="P183:Z183" si="95">P184-P182</f>
        <v>1.8750000000000003E-2</v>
      </c>
      <c r="Q183" s="1030">
        <f t="shared" si="95"/>
        <v>1.8750000000000003E-2</v>
      </c>
      <c r="R183" s="1030">
        <f t="shared" si="95"/>
        <v>3.7500000000000006E-2</v>
      </c>
      <c r="S183" s="1030">
        <f t="shared" si="95"/>
        <v>7.5000000000000011E-2</v>
      </c>
      <c r="T183" s="1030">
        <f t="shared" si="95"/>
        <v>0.11250000000000002</v>
      </c>
      <c r="U183" s="1030">
        <f t="shared" si="95"/>
        <v>0.14625000000000002</v>
      </c>
      <c r="V183" s="1030">
        <f t="shared" si="95"/>
        <v>0.14990625000000002</v>
      </c>
      <c r="W183" s="1030">
        <f t="shared" si="95"/>
        <v>0.15365390625</v>
      </c>
      <c r="X183" s="1030">
        <f t="shared" si="95"/>
        <v>0.15749525390624999</v>
      </c>
      <c r="Y183" s="1030">
        <f t="shared" si="95"/>
        <v>0.16143263525390622</v>
      </c>
      <c r="Z183" s="1030">
        <f t="shared" si="95"/>
        <v>0.16546845113525388</v>
      </c>
    </row>
    <row r="184" spans="2:26">
      <c r="C184" s="1128" t="s">
        <v>1087</v>
      </c>
      <c r="H184" s="1030"/>
      <c r="I184" s="1030"/>
      <c r="J184" s="1030"/>
      <c r="K184" s="1030"/>
      <c r="L184" s="1030"/>
      <c r="M184" s="1030"/>
      <c r="N184" s="1030"/>
      <c r="O184" s="1040"/>
      <c r="P184" s="1039">
        <f t="shared" ref="P184:Z184" si="96">N139*0.75</f>
        <v>3.7500000000000006E-2</v>
      </c>
      <c r="Q184" s="1039">
        <f t="shared" si="96"/>
        <v>3.7500000000000006E-2</v>
      </c>
      <c r="R184" s="1039">
        <f t="shared" si="96"/>
        <v>7.5000000000000011E-2</v>
      </c>
      <c r="S184" s="1039">
        <f t="shared" si="96"/>
        <v>0.15000000000000002</v>
      </c>
      <c r="T184" s="1039">
        <f t="shared" si="96"/>
        <v>0.22500000000000003</v>
      </c>
      <c r="U184" s="1039">
        <f t="shared" si="96"/>
        <v>0.29250000000000004</v>
      </c>
      <c r="V184" s="1039">
        <f t="shared" si="96"/>
        <v>0.29981250000000004</v>
      </c>
      <c r="W184" s="1039">
        <f t="shared" si="96"/>
        <v>0.3073078125</v>
      </c>
      <c r="X184" s="1039">
        <f t="shared" si="96"/>
        <v>0.31499050781249999</v>
      </c>
      <c r="Y184" s="1039">
        <f t="shared" si="96"/>
        <v>0.32286527050781244</v>
      </c>
      <c r="Z184" s="1039">
        <f t="shared" si="96"/>
        <v>0.33093690227050776</v>
      </c>
    </row>
    <row r="186" spans="2:26">
      <c r="C186" s="1022" t="s">
        <v>1088</v>
      </c>
      <c r="O186" s="1051">
        <f t="shared" ref="O186:Z186" si="97">O85</f>
        <v>1</v>
      </c>
      <c r="P186" s="1051">
        <f t="shared" si="97"/>
        <v>1</v>
      </c>
      <c r="Q186" s="1051">
        <f t="shared" si="97"/>
        <v>1</v>
      </c>
      <c r="R186" s="1051">
        <f t="shared" si="97"/>
        <v>1</v>
      </c>
      <c r="S186" s="1051">
        <f t="shared" si="97"/>
        <v>1</v>
      </c>
      <c r="T186" s="1051">
        <f t="shared" si="97"/>
        <v>1</v>
      </c>
      <c r="U186" s="1051">
        <f t="shared" si="97"/>
        <v>1</v>
      </c>
      <c r="V186" s="1051">
        <f t="shared" si="97"/>
        <v>1</v>
      </c>
      <c r="W186" s="1051">
        <f t="shared" si="97"/>
        <v>1</v>
      </c>
      <c r="X186" s="1051">
        <f t="shared" si="97"/>
        <v>1</v>
      </c>
      <c r="Y186" s="1051">
        <f t="shared" si="97"/>
        <v>1</v>
      </c>
      <c r="Z186" s="1051">
        <f t="shared" si="97"/>
        <v>1</v>
      </c>
    </row>
    <row r="188" spans="2:26">
      <c r="C188" s="1042" t="s">
        <v>1089</v>
      </c>
      <c r="J188" s="1043"/>
      <c r="K188" s="1025"/>
      <c r="L188" s="1025"/>
      <c r="M188" s="1025"/>
      <c r="N188" s="1025"/>
      <c r="O188" s="1044">
        <f>DLBCL!O93</f>
        <v>235.2</v>
      </c>
      <c r="P188" s="1044">
        <f>DLBCL!P93</f>
        <v>230.49599999999998</v>
      </c>
      <c r="Q188" s="1044">
        <f>DLBCL!Q93</f>
        <v>225.88607999999996</v>
      </c>
      <c r="R188" s="1044">
        <f>DLBCL!R93</f>
        <v>221.36835839999995</v>
      </c>
      <c r="S188" s="1044">
        <f>DLBCL!S93</f>
        <v>216.94099123199996</v>
      </c>
      <c r="T188" s="1044">
        <f>DLBCL!T93</f>
        <v>212.60217140735995</v>
      </c>
      <c r="U188" s="1044">
        <f>DLBCL!U93</f>
        <v>208.35012797921274</v>
      </c>
      <c r="V188" s="1044">
        <f>DLBCL!V93</f>
        <v>204.18312541962848</v>
      </c>
      <c r="W188" s="1044">
        <f>DLBCL!W93</f>
        <v>200.09946291123592</v>
      </c>
      <c r="X188" s="1044">
        <f>DLBCL!X93</f>
        <v>196.09747365301121</v>
      </c>
      <c r="Y188" s="1044">
        <f>DLBCL!Y93</f>
        <v>192.17552417995097</v>
      </c>
      <c r="Z188" s="1044">
        <f>DLBCL!Z93</f>
        <v>188.33201369635194</v>
      </c>
    </row>
    <row r="189" spans="2:26">
      <c r="C189" s="1045" t="s">
        <v>368</v>
      </c>
      <c r="D189" s="1046"/>
      <c r="E189" s="1046"/>
      <c r="F189" s="1046"/>
      <c r="G189" s="1046"/>
      <c r="H189" s="1046"/>
      <c r="I189" s="1046"/>
      <c r="J189" s="1046"/>
      <c r="K189" s="1047"/>
      <c r="L189" s="1048"/>
      <c r="M189" s="1048"/>
      <c r="N189" s="1048"/>
      <c r="O189" s="1047"/>
      <c r="P189" s="1054">
        <f>P188/O188-1</f>
        <v>-2.0000000000000018E-2</v>
      </c>
      <c r="Q189" s="1054">
        <f t="shared" ref="Q189:Y189" si="98">Q188/P188-1</f>
        <v>-2.0000000000000129E-2</v>
      </c>
      <c r="R189" s="1054">
        <f t="shared" si="98"/>
        <v>-2.0000000000000018E-2</v>
      </c>
      <c r="S189" s="1054">
        <f t="shared" si="98"/>
        <v>-1.9999999999999907E-2</v>
      </c>
      <c r="T189" s="1054">
        <f t="shared" si="98"/>
        <v>-2.0000000000000018E-2</v>
      </c>
      <c r="U189" s="1054">
        <f t="shared" si="98"/>
        <v>-2.0000000000000018E-2</v>
      </c>
      <c r="V189" s="1054">
        <f t="shared" si="98"/>
        <v>-2.0000000000000018E-2</v>
      </c>
      <c r="W189" s="1054">
        <f t="shared" si="98"/>
        <v>-2.0000000000000018E-2</v>
      </c>
      <c r="X189" s="1054">
        <f t="shared" si="98"/>
        <v>-2.0000000000000018E-2</v>
      </c>
      <c r="Y189" s="1054">
        <f t="shared" si="98"/>
        <v>-2.0000000000000018E-2</v>
      </c>
      <c r="Z189" s="1054">
        <f>Z188/Y188-1</f>
        <v>-2.0000000000000018E-2</v>
      </c>
    </row>
    <row r="190" spans="2:26">
      <c r="C190" s="1045"/>
      <c r="D190" s="1046"/>
      <c r="E190" s="1046"/>
      <c r="F190" s="1046"/>
      <c r="G190" s="1046"/>
      <c r="H190" s="1046"/>
      <c r="I190" s="1046"/>
      <c r="J190" s="1046"/>
      <c r="K190" s="1047"/>
      <c r="L190" s="1048"/>
      <c r="M190" s="1048"/>
      <c r="N190" s="1048"/>
      <c r="O190" s="1048"/>
      <c r="P190" s="1048"/>
      <c r="Q190" s="1048"/>
      <c r="R190" s="1048"/>
      <c r="S190" s="1048"/>
      <c r="T190" s="1048"/>
      <c r="U190" s="1048"/>
      <c r="V190" s="1048"/>
      <c r="W190" s="1048"/>
      <c r="X190" s="1048"/>
      <c r="Y190" s="1048"/>
      <c r="Z190" s="1048"/>
    </row>
    <row r="191" spans="2:26" ht="13.5" thickBot="1">
      <c r="B191" s="1206" t="s">
        <v>78</v>
      </c>
      <c r="C191" s="1171" t="s">
        <v>1154</v>
      </c>
      <c r="D191" s="1172"/>
      <c r="E191" s="1172"/>
      <c r="F191" s="1172"/>
      <c r="G191" s="1172"/>
      <c r="H191" s="1172"/>
      <c r="I191" s="1172"/>
      <c r="J191" s="1173"/>
      <c r="K191" s="1173"/>
      <c r="L191" s="1173"/>
      <c r="M191" s="1173"/>
      <c r="N191" s="1173"/>
      <c r="O191" s="1174">
        <f t="shared" ref="O191:Z191" si="99">O182*O186*O188*O179/1000</f>
        <v>0</v>
      </c>
      <c r="P191" s="1174">
        <f t="shared" si="99"/>
        <v>18.039040703095626</v>
      </c>
      <c r="Q191" s="1174">
        <f t="shared" si="99"/>
        <v>17.902824269377419</v>
      </c>
      <c r="R191" s="1174">
        <f t="shared" si="99"/>
        <v>35.537190234745225</v>
      </c>
      <c r="S191" s="1174">
        <f t="shared" si="99"/>
        <v>70.545355278412373</v>
      </c>
      <c r="T191" s="1174">
        <f t="shared" si="99"/>
        <v>105.03624613314742</v>
      </c>
      <c r="U191" s="1174">
        <f t="shared" si="99"/>
        <v>135.54596213732506</v>
      </c>
      <c r="V191" s="1174">
        <f t="shared" si="99"/>
        <v>137.92385513700665</v>
      </c>
      <c r="W191" s="1174">
        <f t="shared" si="99"/>
        <v>140.3516276398114</v>
      </c>
      <c r="X191" s="1174">
        <f t="shared" si="99"/>
        <v>142.83056253727923</v>
      </c>
      <c r="Y191" s="1174">
        <f t="shared" si="99"/>
        <v>145.36198058156285</v>
      </c>
      <c r="Z191" s="1174">
        <f t="shared" si="99"/>
        <v>147.94724162212478</v>
      </c>
    </row>
    <row r="192" spans="2:26" ht="13.5" hidden="1" outlineLevel="1" thickTop="1"/>
    <row r="193" spans="2:28" hidden="1" outlineLevel="1"/>
    <row r="194" spans="2:28" hidden="1" outlineLevel="1"/>
    <row r="195" spans="2:28" hidden="1" outlineLevel="1">
      <c r="H195" s="1152">
        <f>H155/H154</f>
        <v>0.30701754385964913</v>
      </c>
      <c r="I195" s="1152">
        <f>H195*0.98</f>
        <v>0.30087719298245613</v>
      </c>
      <c r="J195" s="1152">
        <f t="shared" ref="J195:N195" si="100">I195*0.98</f>
        <v>0.29485964912280699</v>
      </c>
      <c r="K195" s="1152">
        <f t="shared" si="100"/>
        <v>0.28896245614035082</v>
      </c>
      <c r="L195" s="1152">
        <f t="shared" si="100"/>
        <v>0.28318320701754379</v>
      </c>
      <c r="M195" s="1152">
        <f t="shared" si="100"/>
        <v>0.27751954287719294</v>
      </c>
      <c r="N195" s="1152">
        <f t="shared" si="100"/>
        <v>0.27196915201964905</v>
      </c>
      <c r="O195" s="1152">
        <f>N195*0.98</f>
        <v>0.26652976897925607</v>
      </c>
      <c r="P195" s="1152">
        <f t="shared" ref="P195:Z195" si="101">O195*0.98</f>
        <v>0.26119917359967093</v>
      </c>
      <c r="Q195" s="1152">
        <f t="shared" si="101"/>
        <v>0.2559751901276775</v>
      </c>
      <c r="R195" s="1152">
        <f t="shared" si="101"/>
        <v>0.25085568632512395</v>
      </c>
      <c r="S195" s="1152">
        <f t="shared" si="101"/>
        <v>0.24583857259862146</v>
      </c>
      <c r="T195" s="1152">
        <f t="shared" si="101"/>
        <v>0.24092180114664902</v>
      </c>
      <c r="U195" s="1152">
        <f t="shared" si="101"/>
        <v>0.23610336512371602</v>
      </c>
      <c r="V195" s="1152">
        <f t="shared" si="101"/>
        <v>0.2313812978212417</v>
      </c>
      <c r="W195" s="1152">
        <f t="shared" si="101"/>
        <v>0.22675367186481687</v>
      </c>
      <c r="X195" s="1152">
        <f t="shared" si="101"/>
        <v>0.22221859842752054</v>
      </c>
      <c r="Y195" s="1152">
        <f t="shared" si="101"/>
        <v>0.21777422645897013</v>
      </c>
      <c r="Z195" s="1152">
        <f t="shared" si="101"/>
        <v>0.21341874192979071</v>
      </c>
    </row>
    <row r="196" spans="2:28" ht="14.25" collapsed="1" thickTop="1" thickBot="1"/>
    <row r="197" spans="2:28" s="1185" customFormat="1" ht="15.75" thickBot="1">
      <c r="B197" s="1206" t="s">
        <v>78</v>
      </c>
      <c r="C197" s="1209" t="s">
        <v>1212</v>
      </c>
      <c r="D197" s="1210"/>
      <c r="E197" s="1210"/>
      <c r="F197" s="1210"/>
      <c r="G197" s="1210"/>
      <c r="H197" s="1210"/>
      <c r="I197" s="1210"/>
      <c r="J197" s="1210"/>
      <c r="K197" s="1210"/>
      <c r="L197" s="1210"/>
      <c r="M197" s="1210"/>
      <c r="N197" s="1211">
        <f t="shared" ref="N197:Z197" si="102">N191+N146</f>
        <v>0</v>
      </c>
      <c r="O197" s="1212">
        <f t="shared" si="102"/>
        <v>0</v>
      </c>
      <c r="P197" s="1212">
        <f t="shared" si="102"/>
        <v>18.039040703095626</v>
      </c>
      <c r="Q197" s="1212">
        <f t="shared" si="102"/>
        <v>51.855785032309981</v>
      </c>
      <c r="R197" s="1212">
        <f t="shared" si="102"/>
        <v>138.97389533940972</v>
      </c>
      <c r="S197" s="1212">
        <f t="shared" si="102"/>
        <v>275.39233575342621</v>
      </c>
      <c r="T197" s="1212">
        <f t="shared" si="102"/>
        <v>389.38860591117304</v>
      </c>
      <c r="U197" s="1212">
        <f t="shared" si="102"/>
        <v>431.61273216308621</v>
      </c>
      <c r="V197" s="1212">
        <f t="shared" si="102"/>
        <v>446.21901981401493</v>
      </c>
      <c r="W197" s="1212">
        <f t="shared" si="102"/>
        <v>461.41289734629407</v>
      </c>
      <c r="X197" s="1212">
        <f t="shared" si="102"/>
        <v>477.22052856260188</v>
      </c>
      <c r="Y197" s="1212">
        <f t="shared" si="102"/>
        <v>493.66932856248707</v>
      </c>
      <c r="Z197" s="1213">
        <f t="shared" si="102"/>
        <v>510.78802653834953</v>
      </c>
    </row>
    <row r="200" spans="2:28">
      <c r="C200" s="1021"/>
      <c r="D200" s="1021">
        <v>2008</v>
      </c>
      <c r="E200" s="1021">
        <f>D200+1</f>
        <v>2009</v>
      </c>
      <c r="F200" s="1021">
        <f t="shared" ref="F200:Z200" si="103">E200+1</f>
        <v>2010</v>
      </c>
      <c r="G200" s="1021">
        <f t="shared" si="103"/>
        <v>2011</v>
      </c>
      <c r="H200" s="1021">
        <f t="shared" si="103"/>
        <v>2012</v>
      </c>
      <c r="I200" s="1021">
        <f t="shared" si="103"/>
        <v>2013</v>
      </c>
      <c r="J200" s="1021">
        <f t="shared" si="103"/>
        <v>2014</v>
      </c>
      <c r="K200" s="1021">
        <f t="shared" si="103"/>
        <v>2015</v>
      </c>
      <c r="L200" s="1021">
        <f t="shared" si="103"/>
        <v>2016</v>
      </c>
      <c r="M200" s="1021">
        <f t="shared" si="103"/>
        <v>2017</v>
      </c>
      <c r="N200" s="1021">
        <f t="shared" si="103"/>
        <v>2018</v>
      </c>
      <c r="O200" s="1021">
        <f t="shared" si="103"/>
        <v>2019</v>
      </c>
      <c r="P200" s="1021">
        <f t="shared" si="103"/>
        <v>2020</v>
      </c>
      <c r="Q200" s="1021">
        <f t="shared" si="103"/>
        <v>2021</v>
      </c>
      <c r="R200" s="1021">
        <f t="shared" si="103"/>
        <v>2022</v>
      </c>
      <c r="S200" s="1021">
        <f t="shared" si="103"/>
        <v>2023</v>
      </c>
      <c r="T200" s="1021">
        <f t="shared" si="103"/>
        <v>2024</v>
      </c>
      <c r="U200" s="1021">
        <f t="shared" si="103"/>
        <v>2025</v>
      </c>
      <c r="V200" s="1021">
        <f t="shared" si="103"/>
        <v>2026</v>
      </c>
      <c r="W200" s="1021">
        <f t="shared" si="103"/>
        <v>2027</v>
      </c>
      <c r="X200" s="1021">
        <f t="shared" si="103"/>
        <v>2028</v>
      </c>
      <c r="Y200" s="1021">
        <f t="shared" si="103"/>
        <v>2029</v>
      </c>
      <c r="Z200" s="1021">
        <f t="shared" si="103"/>
        <v>2030</v>
      </c>
    </row>
    <row r="201" spans="2:28">
      <c r="B201" s="1206" t="s">
        <v>78</v>
      </c>
      <c r="C201" s="1023" t="s">
        <v>1066</v>
      </c>
      <c r="D201" s="1024"/>
      <c r="E201" s="1024"/>
      <c r="F201" s="1024"/>
      <c r="G201" s="1024"/>
      <c r="H201" s="1024"/>
      <c r="I201" s="1024"/>
      <c r="J201" s="1024"/>
      <c r="K201" s="1024"/>
      <c r="L201" s="1024"/>
      <c r="M201" s="1024"/>
      <c r="N201" s="1024"/>
      <c r="O201" s="1024"/>
      <c r="P201" s="1024"/>
      <c r="Q201" s="1024"/>
      <c r="R201" s="1024"/>
      <c r="S201" s="1024"/>
      <c r="T201" s="1024"/>
      <c r="U201" s="1024"/>
      <c r="V201" s="1024"/>
      <c r="W201" s="1024"/>
      <c r="X201" s="1024"/>
      <c r="Y201" s="1024"/>
      <c r="Z201" s="1024"/>
    </row>
    <row r="202" spans="2:28">
      <c r="C202" s="1022" t="s">
        <v>434</v>
      </c>
      <c r="D202" s="1187">
        <f t="shared" ref="D202:I202" si="104">E202-D203+D204+D205</f>
        <v>19748.140918265432</v>
      </c>
      <c r="E202" s="1187">
        <f t="shared" si="104"/>
        <v>21265.43950337388</v>
      </c>
      <c r="F202" s="1187">
        <f t="shared" si="104"/>
        <v>22868.247738079157</v>
      </c>
      <c r="G202" s="1187">
        <f t="shared" si="104"/>
        <v>24558.33499675438</v>
      </c>
      <c r="H202" s="1187">
        <f t="shared" si="104"/>
        <v>26337.538976732114</v>
      </c>
      <c r="I202" s="1187">
        <f t="shared" si="104"/>
        <v>28207.76743786408</v>
      </c>
      <c r="J202" s="1188">
        <v>30171</v>
      </c>
      <c r="K202" s="1187">
        <f>J202+J203-J204-J205</f>
        <v>32229.29</v>
      </c>
      <c r="L202" s="1187">
        <f t="shared" ref="L202:Z202" si="105">K202+K203-K204-K205</f>
        <v>34345.213100000001</v>
      </c>
      <c r="M202" s="1187">
        <f t="shared" si="105"/>
        <v>36520.685544200001</v>
      </c>
      <c r="N202" s="1187">
        <f t="shared" si="105"/>
        <v>38757.682069689443</v>
      </c>
      <c r="O202" s="1187">
        <f t="shared" si="105"/>
        <v>41058.237707876346</v>
      </c>
      <c r="P202" s="1187">
        <f t="shared" si="105"/>
        <v>43424.449640609826</v>
      </c>
      <c r="Q202" s="1187">
        <f t="shared" si="105"/>
        <v>45858.479112652363</v>
      </c>
      <c r="R202" s="1187">
        <f t="shared" si="105"/>
        <v>48362.553402207996</v>
      </c>
      <c r="S202" s="1187">
        <f t="shared" si="105"/>
        <v>50938.967851264249</v>
      </c>
      <c r="T202" s="1187">
        <f t="shared" si="105"/>
        <v>53590.087957558528</v>
      </c>
      <c r="U202" s="1187">
        <f t="shared" si="105"/>
        <v>56318.351530034357</v>
      </c>
      <c r="V202" s="1187">
        <f t="shared" si="105"/>
        <v>59126.270909709157</v>
      </c>
      <c r="W202" s="1187">
        <f t="shared" si="105"/>
        <v>62016.435257933081</v>
      </c>
      <c r="X202" s="1187">
        <f t="shared" si="105"/>
        <v>64991.512914078296</v>
      </c>
      <c r="Y202" s="1187">
        <f t="shared" si="105"/>
        <v>68054.253824759478</v>
      </c>
      <c r="Z202" s="1187">
        <f t="shared" si="105"/>
        <v>71207.492046749627</v>
      </c>
      <c r="AA202" s="1027"/>
      <c r="AB202" s="1022" t="s">
        <v>1067</v>
      </c>
    </row>
    <row r="203" spans="2:28">
      <c r="C203" s="1022" t="s">
        <v>100</v>
      </c>
      <c r="D203" s="1187">
        <f t="shared" ref="D203:I203" si="106">E203/1.03</f>
        <v>2579.4515105856549</v>
      </c>
      <c r="E203" s="1187">
        <f t="shared" si="106"/>
        <v>2656.8350559032247</v>
      </c>
      <c r="F203" s="1187">
        <f t="shared" si="106"/>
        <v>2736.5401075803215</v>
      </c>
      <c r="G203" s="1187">
        <f t="shared" si="106"/>
        <v>2818.6363108077312</v>
      </c>
      <c r="H203" s="1187">
        <f t="shared" si="106"/>
        <v>2903.1954001319632</v>
      </c>
      <c r="I203" s="1187">
        <f t="shared" si="106"/>
        <v>2990.2912621359224</v>
      </c>
      <c r="J203" s="1188">
        <v>3080</v>
      </c>
      <c r="K203" s="1187">
        <f>J203*1.03</f>
        <v>3172.4</v>
      </c>
      <c r="L203" s="1187">
        <f t="shared" ref="L203:Z203" si="107">K203*1.03</f>
        <v>3267.5720000000001</v>
      </c>
      <c r="M203" s="1187">
        <f t="shared" si="107"/>
        <v>3365.5991600000002</v>
      </c>
      <c r="N203" s="1187">
        <f t="shared" si="107"/>
        <v>3466.5671348000005</v>
      </c>
      <c r="O203" s="1187">
        <f t="shared" si="107"/>
        <v>3570.5641488440006</v>
      </c>
      <c r="P203" s="1187">
        <f t="shared" si="107"/>
        <v>3677.6810733093207</v>
      </c>
      <c r="Q203" s="1187">
        <f t="shared" si="107"/>
        <v>3788.0115055086003</v>
      </c>
      <c r="R203" s="1187">
        <f t="shared" si="107"/>
        <v>3901.6518506738585</v>
      </c>
      <c r="S203" s="1187">
        <f t="shared" si="107"/>
        <v>4018.7014061940745</v>
      </c>
      <c r="T203" s="1187">
        <f t="shared" si="107"/>
        <v>4139.2624483798973</v>
      </c>
      <c r="U203" s="1187">
        <f t="shared" si="107"/>
        <v>4263.4403218312946</v>
      </c>
      <c r="V203" s="1187">
        <f t="shared" si="107"/>
        <v>4391.3435314862336</v>
      </c>
      <c r="W203" s="1187">
        <f t="shared" si="107"/>
        <v>4523.0838374308205</v>
      </c>
      <c r="X203" s="1187">
        <f t="shared" si="107"/>
        <v>4658.7763525537448</v>
      </c>
      <c r="Y203" s="1187">
        <f t="shared" si="107"/>
        <v>4798.539643130357</v>
      </c>
      <c r="Z203" s="1187">
        <f t="shared" si="107"/>
        <v>4942.495832424268</v>
      </c>
      <c r="AB203" s="1022" t="s">
        <v>1068</v>
      </c>
    </row>
    <row r="204" spans="2:28">
      <c r="C204" s="1022" t="s">
        <v>101</v>
      </c>
      <c r="D204" s="1187">
        <f t="shared" ref="D204:I204" si="108">E204*1.02</f>
        <v>810.83694187007995</v>
      </c>
      <c r="E204" s="1187">
        <f t="shared" si="108"/>
        <v>794.93817830399996</v>
      </c>
      <c r="F204" s="1187">
        <f t="shared" si="108"/>
        <v>779.35115519999999</v>
      </c>
      <c r="G204" s="1187">
        <f t="shared" si="108"/>
        <v>764.06975999999997</v>
      </c>
      <c r="H204" s="1187">
        <f t="shared" si="108"/>
        <v>749.08799999999997</v>
      </c>
      <c r="I204" s="1187">
        <f t="shared" si="108"/>
        <v>734.4</v>
      </c>
      <c r="J204" s="1188">
        <v>720</v>
      </c>
      <c r="K204" s="1189">
        <f t="shared" ref="K204:Z204" si="109">K203*K267</f>
        <v>734.18399999999997</v>
      </c>
      <c r="L204" s="1189">
        <f t="shared" si="109"/>
        <v>748.64742480000007</v>
      </c>
      <c r="M204" s="1189">
        <f t="shared" si="109"/>
        <v>763.39577906856005</v>
      </c>
      <c r="N204" s="1189">
        <f t="shared" si="109"/>
        <v>778.43467591621072</v>
      </c>
      <c r="O204" s="1189">
        <f t="shared" si="109"/>
        <v>793.76983903176017</v>
      </c>
      <c r="P204" s="1189">
        <f t="shared" si="109"/>
        <v>809.40710486068588</v>
      </c>
      <c r="Q204" s="1189">
        <f t="shared" si="109"/>
        <v>825.35242482644128</v>
      </c>
      <c r="R204" s="1189">
        <f t="shared" si="109"/>
        <v>841.6118675955222</v>
      </c>
      <c r="S204" s="1189">
        <f t="shared" si="109"/>
        <v>858.1916213871541</v>
      </c>
      <c r="T204" s="1189">
        <f t="shared" si="109"/>
        <v>875.09799632848114</v>
      </c>
      <c r="U204" s="1189">
        <f t="shared" si="109"/>
        <v>892.33742685615232</v>
      </c>
      <c r="V204" s="1189">
        <f t="shared" si="109"/>
        <v>909.91647416521857</v>
      </c>
      <c r="W204" s="1189">
        <f t="shared" si="109"/>
        <v>927.8418287062733</v>
      </c>
      <c r="X204" s="1189">
        <f t="shared" si="109"/>
        <v>946.12031273178684</v>
      </c>
      <c r="Y204" s="1189">
        <f t="shared" si="109"/>
        <v>964.75888289260297</v>
      </c>
      <c r="Z204" s="1189">
        <f t="shared" si="109"/>
        <v>983.76463288558739</v>
      </c>
      <c r="AB204" s="1022" t="s">
        <v>1069</v>
      </c>
    </row>
    <row r="205" spans="2:28">
      <c r="C205" s="1022" t="s">
        <v>1070</v>
      </c>
      <c r="D205" s="1189">
        <f t="shared" ref="D205:I205" si="110">E205*0.97</f>
        <v>251.31598360712852</v>
      </c>
      <c r="E205" s="1189">
        <f t="shared" si="110"/>
        <v>259.08864289394694</v>
      </c>
      <c r="F205" s="1189">
        <f t="shared" si="110"/>
        <v>267.10169370509993</v>
      </c>
      <c r="G205" s="1189">
        <f t="shared" si="110"/>
        <v>275.36257082999992</v>
      </c>
      <c r="H205" s="1189">
        <f t="shared" si="110"/>
        <v>283.87893899999995</v>
      </c>
      <c r="I205" s="1189">
        <f t="shared" si="110"/>
        <v>292.65869999999995</v>
      </c>
      <c r="J205" s="1189">
        <f>J202*0.01</f>
        <v>301.70999999999998</v>
      </c>
      <c r="K205" s="1189">
        <f t="shared" ref="K205:Z205" si="111">K202*0.01</f>
        <v>322.29290000000003</v>
      </c>
      <c r="L205" s="1189">
        <f t="shared" si="111"/>
        <v>343.45213100000001</v>
      </c>
      <c r="M205" s="1189">
        <f t="shared" si="111"/>
        <v>365.20685544200001</v>
      </c>
      <c r="N205" s="1189">
        <f t="shared" si="111"/>
        <v>387.57682069689446</v>
      </c>
      <c r="O205" s="1189">
        <f t="shared" si="111"/>
        <v>410.58237707876344</v>
      </c>
      <c r="P205" s="1189">
        <f t="shared" si="111"/>
        <v>434.24449640609828</v>
      </c>
      <c r="Q205" s="1189">
        <f t="shared" si="111"/>
        <v>458.58479112652367</v>
      </c>
      <c r="R205" s="1189">
        <f t="shared" si="111"/>
        <v>483.62553402207999</v>
      </c>
      <c r="S205" s="1189">
        <f t="shared" si="111"/>
        <v>509.38967851264249</v>
      </c>
      <c r="T205" s="1189">
        <f t="shared" si="111"/>
        <v>535.90087957558524</v>
      </c>
      <c r="U205" s="1189">
        <f t="shared" si="111"/>
        <v>563.18351530034363</v>
      </c>
      <c r="V205" s="1189">
        <f t="shared" si="111"/>
        <v>591.2627090970916</v>
      </c>
      <c r="W205" s="1189">
        <f t="shared" si="111"/>
        <v>620.16435257933085</v>
      </c>
      <c r="X205" s="1189">
        <f t="shared" si="111"/>
        <v>649.91512914078294</v>
      </c>
      <c r="Y205" s="1189">
        <f t="shared" si="111"/>
        <v>680.54253824759485</v>
      </c>
      <c r="Z205" s="1189">
        <f t="shared" si="111"/>
        <v>712.07492046749633</v>
      </c>
    </row>
    <row r="207" spans="2:28">
      <c r="C207" s="1022" t="s">
        <v>1071</v>
      </c>
      <c r="D207" s="1026"/>
      <c r="E207" s="1026"/>
      <c r="F207" s="1026"/>
      <c r="G207" s="1026"/>
      <c r="H207" s="1026"/>
      <c r="I207" s="1025"/>
      <c r="J207" s="1187">
        <f t="shared" ref="J207:Z207" si="112">J202*0.2</f>
        <v>6034.2000000000007</v>
      </c>
      <c r="K207" s="1187">
        <f t="shared" si="112"/>
        <v>6445.8580000000002</v>
      </c>
      <c r="L207" s="1187">
        <f t="shared" si="112"/>
        <v>6869.0426200000002</v>
      </c>
      <c r="M207" s="1187">
        <f t="shared" si="112"/>
        <v>7304.137108840001</v>
      </c>
      <c r="N207" s="1187">
        <f t="shared" si="112"/>
        <v>7751.5364139378889</v>
      </c>
      <c r="O207" s="1187">
        <f t="shared" si="112"/>
        <v>8211.6475415752702</v>
      </c>
      <c r="P207" s="1187">
        <f t="shared" si="112"/>
        <v>8684.8899281219656</v>
      </c>
      <c r="Q207" s="1187">
        <f t="shared" si="112"/>
        <v>9171.6958225304734</v>
      </c>
      <c r="R207" s="1187">
        <f t="shared" si="112"/>
        <v>9672.5106804415991</v>
      </c>
      <c r="S207" s="1187">
        <f t="shared" si="112"/>
        <v>10187.79357025285</v>
      </c>
      <c r="T207" s="1187">
        <f t="shared" si="112"/>
        <v>10718.017591511707</v>
      </c>
      <c r="U207" s="1187">
        <f t="shared" si="112"/>
        <v>11263.670306006872</v>
      </c>
      <c r="V207" s="1187">
        <f t="shared" si="112"/>
        <v>11825.254181941833</v>
      </c>
      <c r="W207" s="1187">
        <f t="shared" si="112"/>
        <v>12403.287051586616</v>
      </c>
      <c r="X207" s="1187">
        <f t="shared" si="112"/>
        <v>12998.302582815661</v>
      </c>
      <c r="Y207" s="1187">
        <f t="shared" si="112"/>
        <v>13610.850764951896</v>
      </c>
      <c r="Z207" s="1187">
        <f t="shared" si="112"/>
        <v>14241.498409349926</v>
      </c>
      <c r="AB207" s="1022" t="s">
        <v>1072</v>
      </c>
    </row>
    <row r="208" spans="2:28">
      <c r="C208" s="1028"/>
      <c r="D208" s="1029"/>
      <c r="E208" s="1029"/>
      <c r="F208" s="1029"/>
      <c r="G208" s="1029"/>
      <c r="H208" s="1030"/>
      <c r="I208" s="1029"/>
      <c r="J208" s="1190"/>
      <c r="K208" s="1029"/>
      <c r="L208" s="1029"/>
      <c r="M208" s="1029"/>
      <c r="N208" s="1029"/>
      <c r="O208" s="1029"/>
      <c r="P208" s="1029"/>
      <c r="Q208" s="1029"/>
      <c r="R208" s="1029"/>
      <c r="S208" s="1029"/>
      <c r="T208" s="1029"/>
      <c r="U208" s="1029"/>
      <c r="V208" s="1029"/>
      <c r="W208" s="1029"/>
      <c r="X208" s="1029"/>
      <c r="Y208" s="1029"/>
      <c r="Z208" s="1029"/>
      <c r="AB208" s="1022" t="s">
        <v>1073</v>
      </c>
    </row>
    <row r="209" spans="2:30">
      <c r="C209" s="1022" t="s">
        <v>294</v>
      </c>
      <c r="D209" s="1025"/>
      <c r="E209" s="1025"/>
      <c r="F209" s="1025"/>
      <c r="G209" s="1025"/>
      <c r="H209" s="1025"/>
      <c r="I209" s="1025"/>
      <c r="J209" s="1187">
        <f t="shared" ref="J209:Z209" si="113">J204*80%</f>
        <v>576</v>
      </c>
      <c r="K209" s="1187">
        <f t="shared" si="113"/>
        <v>587.34720000000004</v>
      </c>
      <c r="L209" s="1187">
        <f t="shared" si="113"/>
        <v>598.91793984000003</v>
      </c>
      <c r="M209" s="1187">
        <f t="shared" si="113"/>
        <v>610.71662325484806</v>
      </c>
      <c r="N209" s="1187">
        <f t="shared" si="113"/>
        <v>622.74774073296862</v>
      </c>
      <c r="O209" s="1187">
        <f t="shared" si="113"/>
        <v>635.0158712254082</v>
      </c>
      <c r="P209" s="1187">
        <f t="shared" si="113"/>
        <v>647.52568388854877</v>
      </c>
      <c r="Q209" s="1187">
        <f t="shared" si="113"/>
        <v>660.28193986115309</v>
      </c>
      <c r="R209" s="1187">
        <f t="shared" si="113"/>
        <v>673.28949407641778</v>
      </c>
      <c r="S209" s="1187">
        <f t="shared" si="113"/>
        <v>686.5532971097233</v>
      </c>
      <c r="T209" s="1187">
        <f t="shared" si="113"/>
        <v>700.07839706278492</v>
      </c>
      <c r="U209" s="1187">
        <f t="shared" si="113"/>
        <v>713.86994148492192</v>
      </c>
      <c r="V209" s="1187">
        <f t="shared" si="113"/>
        <v>727.93317933217486</v>
      </c>
      <c r="W209" s="1187">
        <f t="shared" si="113"/>
        <v>742.27346296501867</v>
      </c>
      <c r="X209" s="1187">
        <f t="shared" si="113"/>
        <v>756.89625018542949</v>
      </c>
      <c r="Y209" s="1187">
        <f t="shared" si="113"/>
        <v>771.80710631408238</v>
      </c>
      <c r="Z209" s="1187">
        <f t="shared" si="113"/>
        <v>787.01170630846991</v>
      </c>
      <c r="AA209" s="1025"/>
      <c r="AB209" s="1025"/>
      <c r="AC209" s="1025"/>
      <c r="AD209" s="1025"/>
    </row>
    <row r="210" spans="2:30">
      <c r="C210" s="1028" t="s">
        <v>1074</v>
      </c>
      <c r="D210" s="1029"/>
      <c r="E210" s="1029"/>
      <c r="F210" s="1029"/>
      <c r="G210" s="1029"/>
      <c r="H210" s="1029"/>
      <c r="I210" s="1029"/>
      <c r="J210" s="1191">
        <f t="shared" ref="J210:Z210" si="114">J209/J207</f>
        <v>9.5455901362235251E-2</v>
      </c>
      <c r="K210" s="1191">
        <f t="shared" si="114"/>
        <v>9.1120096036865855E-2</v>
      </c>
      <c r="L210" s="1191">
        <f t="shared" si="114"/>
        <v>8.7190890051574613E-2</v>
      </c>
      <c r="M210" s="1191">
        <f t="shared" si="114"/>
        <v>8.3612425965514006E-2</v>
      </c>
      <c r="N210" s="1191">
        <f t="shared" si="114"/>
        <v>8.0338620304126793E-2</v>
      </c>
      <c r="O210" s="1191">
        <f t="shared" si="114"/>
        <v>7.7331116321097099E-2</v>
      </c>
      <c r="P210" s="1191">
        <f t="shared" si="114"/>
        <v>7.4557730638800473E-2</v>
      </c>
      <c r="Q210" s="1191">
        <f t="shared" si="114"/>
        <v>7.1991260137428015E-2</v>
      </c>
      <c r="R210" s="1191">
        <f t="shared" si="114"/>
        <v>6.96085552469691E-2</v>
      </c>
      <c r="S210" s="1191">
        <f t="shared" si="114"/>
        <v>6.7389792733372367E-2</v>
      </c>
      <c r="T210" s="1191">
        <f t="shared" si="114"/>
        <v>6.531789961020612E-2</v>
      </c>
      <c r="U210" s="1191">
        <f t="shared" si="114"/>
        <v>6.3378092761132918E-2</v>
      </c>
      <c r="V210" s="1191">
        <f t="shared" si="114"/>
        <v>6.1557508035961765E-2</v>
      </c>
      <c r="W210" s="1191">
        <f t="shared" si="114"/>
        <v>5.9844899168891505E-2</v>
      </c>
      <c r="X210" s="1191">
        <f t="shared" si="114"/>
        <v>5.8230391650220571E-2</v>
      </c>
      <c r="Y210" s="1191">
        <f t="shared" si="114"/>
        <v>5.6705280194644034E-2</v>
      </c>
      <c r="Z210" s="1191">
        <f t="shared" si="114"/>
        <v>5.526186105471708E-2</v>
      </c>
      <c r="AA210" s="1029"/>
      <c r="AB210" s="1029"/>
      <c r="AC210" s="1029"/>
      <c r="AD210" s="1029"/>
    </row>
    <row r="211" spans="2:30">
      <c r="C211" s="1028"/>
      <c r="D211" s="1029"/>
      <c r="E211" s="1029"/>
      <c r="F211" s="1029"/>
      <c r="G211" s="1029"/>
      <c r="H211" s="1029"/>
      <c r="I211" s="1029"/>
      <c r="J211" s="1029"/>
      <c r="K211" s="1029"/>
      <c r="L211" s="1029"/>
      <c r="M211" s="1029"/>
      <c r="N211" s="1029"/>
      <c r="O211" s="1029"/>
      <c r="P211" s="1029"/>
      <c r="Q211" s="1029"/>
      <c r="R211" s="1029"/>
      <c r="S211" s="1029"/>
      <c r="T211" s="1029"/>
      <c r="U211" s="1029"/>
      <c r="V211" s="1029"/>
      <c r="W211" s="1029"/>
      <c r="X211" s="1029"/>
      <c r="Y211" s="1029"/>
      <c r="Z211" s="1029"/>
      <c r="AA211" s="1029"/>
      <c r="AB211" s="1029"/>
      <c r="AC211" s="1029"/>
      <c r="AD211" s="1029"/>
    </row>
    <row r="212" spans="2:30" hidden="1" outlineLevel="1">
      <c r="C212" s="1031" t="s">
        <v>463</v>
      </c>
      <c r="D212" s="1032"/>
      <c r="E212" s="1032"/>
      <c r="F212" s="1032"/>
      <c r="G212" s="1032"/>
      <c r="H212" s="1032"/>
      <c r="I212" s="1032"/>
      <c r="J212" s="1186">
        <v>2044.7774999999997</v>
      </c>
      <c r="K212" s="1186">
        <v>2725.9280600000002</v>
      </c>
      <c r="L212" s="1186">
        <v>2883.2992688720001</v>
      </c>
      <c r="M212" s="1186">
        <v>3045.0212866978786</v>
      </c>
      <c r="N212" s="1186">
        <v>3211.2359374646358</v>
      </c>
      <c r="O212" s="1186">
        <v>3382.0893365316706</v>
      </c>
      <c r="P212" s="1186">
        <v>3557.7320219535268</v>
      </c>
      <c r="Q212" s="1186">
        <v>3738.3190897745881</v>
      </c>
      <c r="R212" s="1186">
        <v>3924.0103334156938</v>
      </c>
      <c r="S212" s="1186">
        <v>4114.9703872762757</v>
      </c>
      <c r="T212" s="1186">
        <v>4311.368874679325</v>
      </c>
      <c r="U212" s="1186">
        <v>4513.3805602903431</v>
      </c>
      <c r="V212" s="1186">
        <v>4721.1855071453811</v>
      </c>
      <c r="W212" s="1186">
        <v>4934.9692384273303</v>
      </c>
      <c r="X212" s="1186">
        <v>5154.9229041338249</v>
      </c>
      <c r="Y212" s="1186">
        <v>5381.2434527844298</v>
      </c>
      <c r="Z212" s="1186">
        <v>5614.1338083192495</v>
      </c>
      <c r="AA212" s="1029"/>
      <c r="AB212" s="1029"/>
      <c r="AC212" s="1029"/>
      <c r="AD212" s="1029"/>
    </row>
    <row r="213" spans="2:30" hidden="1" outlineLevel="1">
      <c r="C213" s="1031" t="s">
        <v>464</v>
      </c>
      <c r="D213" s="1032"/>
      <c r="E213" s="1032"/>
      <c r="F213" s="1032"/>
      <c r="G213" s="1032"/>
      <c r="H213" s="1032"/>
      <c r="I213" s="1032"/>
      <c r="J213" s="1186">
        <v>687.08249999999998</v>
      </c>
      <c r="K213" s="1186">
        <v>792.17066000000011</v>
      </c>
      <c r="L213" s="1186">
        <v>822.58648287200003</v>
      </c>
      <c r="M213" s="1186">
        <v>853.78015404587859</v>
      </c>
      <c r="N213" s="1186">
        <v>885.77501328326935</v>
      </c>
      <c r="O213" s="1186">
        <v>918.59507405909017</v>
      </c>
      <c r="P213" s="1186">
        <v>952.26504351693734</v>
      </c>
      <c r="Q213" s="1186">
        <v>986.81034301544616</v>
      </c>
      <c r="R213" s="1186">
        <v>1022.2571292832142</v>
      </c>
      <c r="S213" s="1186">
        <v>1058.6323162004212</v>
      </c>
      <c r="T213" s="1186">
        <v>1095.9635972258134</v>
      </c>
      <c r="U213" s="1186">
        <v>1134.2794684882811</v>
      </c>
      <c r="V213" s="1186">
        <v>1173.6092525628317</v>
      </c>
      <c r="W213" s="1186">
        <v>1213.9831229513456</v>
      </c>
      <c r="X213" s="1186">
        <v>1255.4321292891268</v>
      </c>
      <c r="Y213" s="1186">
        <v>1297.9882232988607</v>
      </c>
      <c r="Z213" s="1186">
        <v>1341.6842855142722</v>
      </c>
      <c r="AA213" s="1029"/>
      <c r="AB213" s="1029"/>
      <c r="AC213" s="1029"/>
      <c r="AD213" s="1029"/>
    </row>
    <row r="214" spans="2:30" hidden="1" outlineLevel="1">
      <c r="C214" s="1031" t="s">
        <v>462</v>
      </c>
      <c r="D214" s="1032"/>
      <c r="E214" s="1032"/>
      <c r="F214" s="1032"/>
      <c r="G214" s="1032"/>
      <c r="H214" s="1032"/>
      <c r="I214" s="1032"/>
      <c r="J214" s="1186">
        <v>576</v>
      </c>
      <c r="K214" s="1186">
        <v>587.34720000000004</v>
      </c>
      <c r="L214" s="1186">
        <v>598.91793984000003</v>
      </c>
      <c r="M214" s="1186">
        <v>610.71662325484806</v>
      </c>
      <c r="N214" s="1186">
        <v>622.74774073296862</v>
      </c>
      <c r="O214" s="1186">
        <v>635.0158712254082</v>
      </c>
      <c r="P214" s="1186">
        <v>647.52568388854877</v>
      </c>
      <c r="Q214" s="1186">
        <v>660.28193986115309</v>
      </c>
      <c r="R214" s="1186">
        <v>673.28949407641778</v>
      </c>
      <c r="S214" s="1186">
        <v>686.5532971097233</v>
      </c>
      <c r="T214" s="1186">
        <v>700.07839706278492</v>
      </c>
      <c r="U214" s="1186">
        <v>713.86994148492192</v>
      </c>
      <c r="V214" s="1186">
        <v>727.93317933217486</v>
      </c>
      <c r="W214" s="1186">
        <v>742.27346296501867</v>
      </c>
      <c r="X214" s="1186">
        <v>756.89625018542949</v>
      </c>
      <c r="Y214" s="1186">
        <v>771.80710631408238</v>
      </c>
      <c r="Z214" s="1186">
        <v>787.01170630846991</v>
      </c>
      <c r="AA214" s="1029"/>
      <c r="AB214" s="1029"/>
      <c r="AC214" s="1029"/>
      <c r="AD214" s="1029"/>
    </row>
    <row r="215" spans="2:30" s="1151" customFormat="1" collapsed="1">
      <c r="B215" s="1192"/>
      <c r="C215" s="1151" t="s">
        <v>1075</v>
      </c>
      <c r="D215" s="1193"/>
      <c r="E215" s="1193"/>
      <c r="F215" s="1193"/>
      <c r="G215" s="1193"/>
      <c r="H215" s="1193"/>
      <c r="I215" s="1193"/>
      <c r="J215" s="1150">
        <f t="shared" ref="J215:Z215" si="115">CHOOSE($S$356,J212,J213,J214)</f>
        <v>687.08249999999998</v>
      </c>
      <c r="K215" s="1150">
        <f t="shared" si="115"/>
        <v>792.17066000000011</v>
      </c>
      <c r="L215" s="1150">
        <f t="shared" si="115"/>
        <v>822.58648287200003</v>
      </c>
      <c r="M215" s="1150">
        <f t="shared" si="115"/>
        <v>853.78015404587859</v>
      </c>
      <c r="N215" s="1150">
        <f t="shared" si="115"/>
        <v>885.77501328326935</v>
      </c>
      <c r="O215" s="1150">
        <f t="shared" si="115"/>
        <v>918.59507405909017</v>
      </c>
      <c r="P215" s="1150">
        <f t="shared" si="115"/>
        <v>952.26504351693734</v>
      </c>
      <c r="Q215" s="1150">
        <f t="shared" si="115"/>
        <v>986.81034301544616</v>
      </c>
      <c r="R215" s="1150">
        <f t="shared" si="115"/>
        <v>1022.2571292832142</v>
      </c>
      <c r="S215" s="1150">
        <f t="shared" si="115"/>
        <v>1058.6323162004212</v>
      </c>
      <c r="T215" s="1150">
        <f t="shared" si="115"/>
        <v>1095.9635972258134</v>
      </c>
      <c r="U215" s="1150">
        <f t="shared" si="115"/>
        <v>1134.2794684882811</v>
      </c>
      <c r="V215" s="1150">
        <f t="shared" si="115"/>
        <v>1173.6092525628317</v>
      </c>
      <c r="W215" s="1150">
        <f t="shared" si="115"/>
        <v>1213.9831229513456</v>
      </c>
      <c r="X215" s="1150">
        <f t="shared" si="115"/>
        <v>1255.4321292891268</v>
      </c>
      <c r="Y215" s="1150">
        <f t="shared" si="115"/>
        <v>1297.9882232988607</v>
      </c>
      <c r="Z215" s="1150">
        <f t="shared" si="115"/>
        <v>1341.6842855142722</v>
      </c>
      <c r="AA215" s="1149"/>
      <c r="AB215" s="1149" t="s">
        <v>1076</v>
      </c>
      <c r="AC215" s="1149"/>
      <c r="AD215" s="1149"/>
    </row>
    <row r="216" spans="2:30">
      <c r="C216" s="1028"/>
      <c r="D216" s="1029"/>
      <c r="E216" s="1029"/>
      <c r="F216" s="1029"/>
      <c r="G216" s="1029"/>
      <c r="H216" s="1029"/>
      <c r="I216" s="1029"/>
      <c r="J216" s="1029"/>
      <c r="K216" s="1029"/>
      <c r="L216" s="1029"/>
      <c r="M216" s="1029"/>
      <c r="N216" s="1029"/>
      <c r="O216" s="1029"/>
      <c r="P216" s="1029"/>
      <c r="Q216" s="1029"/>
      <c r="R216" s="1029"/>
      <c r="S216" s="1029"/>
      <c r="T216" s="1029"/>
      <c r="U216" s="1029"/>
      <c r="V216" s="1029"/>
      <c r="W216" s="1029"/>
      <c r="X216" s="1029"/>
      <c r="Y216" s="1029"/>
      <c r="Z216" s="1029"/>
      <c r="AA216" s="1029"/>
      <c r="AB216" s="1029"/>
      <c r="AC216" s="1029"/>
      <c r="AD216" s="1029"/>
    </row>
    <row r="217" spans="2:30">
      <c r="B217" s="1206" t="s">
        <v>78</v>
      </c>
      <c r="C217" s="1023" t="s">
        <v>1077</v>
      </c>
      <c r="D217" s="1024"/>
      <c r="E217" s="1024"/>
      <c r="F217" s="1024"/>
      <c r="G217" s="1024"/>
      <c r="H217" s="1024"/>
      <c r="I217" s="1024"/>
      <c r="J217" s="1024"/>
      <c r="K217" s="1024"/>
      <c r="L217" s="1024"/>
      <c r="M217" s="1024"/>
      <c r="N217" s="1024"/>
      <c r="O217" s="1024"/>
      <c r="P217" s="1024"/>
      <c r="Q217" s="1024"/>
      <c r="R217" s="1024"/>
      <c r="S217" s="1024"/>
      <c r="T217" s="1024"/>
      <c r="U217" s="1024"/>
      <c r="V217" s="1024"/>
      <c r="W217" s="1024"/>
      <c r="X217" s="1024"/>
      <c r="Y217" s="1024"/>
      <c r="Z217" s="1024"/>
      <c r="AA217" s="1029"/>
      <c r="AB217" s="1029"/>
      <c r="AC217" s="1029"/>
      <c r="AD217" s="1029"/>
    </row>
    <row r="218" spans="2:30">
      <c r="C218" s="1022" t="s">
        <v>434</v>
      </c>
      <c r="D218" s="1025"/>
      <c r="E218" s="1025"/>
      <c r="F218" s="1025"/>
      <c r="G218" s="1025"/>
      <c r="H218" s="1026"/>
      <c r="I218" s="1025"/>
      <c r="J218" s="1188">
        <v>30318</v>
      </c>
      <c r="K218" s="1187">
        <f>J218+J219-J220-J221</f>
        <v>30662.1</v>
      </c>
      <c r="L218" s="1187">
        <f t="shared" ref="L218:Z218" si="116">K218+K219-K220-K221</f>
        <v>31055.918999999994</v>
      </c>
      <c r="M218" s="1187">
        <f t="shared" si="116"/>
        <v>31499.197912799995</v>
      </c>
      <c r="N218" s="1187">
        <f t="shared" si="116"/>
        <v>31991.761728557154</v>
      </c>
      <c r="O218" s="1187">
        <f t="shared" si="116"/>
        <v>32533.517529654979</v>
      </c>
      <c r="P218" s="1187">
        <f t="shared" si="116"/>
        <v>33124.452673066589</v>
      </c>
      <c r="Q218" s="1187">
        <f t="shared" si="116"/>
        <v>33764.633133917494</v>
      </c>
      <c r="R218" s="1187">
        <f t="shared" si="116"/>
        <v>34454.202004331077</v>
      </c>
      <c r="S218" s="1187">
        <f t="shared" si="116"/>
        <v>35193.378142000838</v>
      </c>
      <c r="T218" s="1187">
        <f t="shared" si="116"/>
        <v>35982.45496327804</v>
      </c>
      <c r="U218" s="1187">
        <f t="shared" si="116"/>
        <v>36821.799375893133</v>
      </c>
      <c r="V218" s="1187">
        <f t="shared" si="116"/>
        <v>37711.850846744121</v>
      </c>
      <c r="W218" s="1187">
        <f t="shared" si="116"/>
        <v>38653.120600486851</v>
      </c>
      <c r="X218" s="1187">
        <f t="shared" si="116"/>
        <v>39646.1909449507</v>
      </c>
      <c r="Y218" s="1187">
        <f t="shared" si="116"/>
        <v>40691.714719679519</v>
      </c>
      <c r="Z218" s="1187">
        <f t="shared" si="116"/>
        <v>41790.414864162885</v>
      </c>
      <c r="AA218" s="1027">
        <f>Z218*(1.006)</f>
        <v>42041.157353347866</v>
      </c>
      <c r="AB218" s="1022" t="s">
        <v>1067</v>
      </c>
    </row>
    <row r="219" spans="2:30">
      <c r="C219" s="1022" t="s">
        <v>100</v>
      </c>
      <c r="D219" s="1025"/>
      <c r="E219" s="1025"/>
      <c r="F219" s="1025"/>
      <c r="G219" s="1025"/>
      <c r="H219" s="1026"/>
      <c r="I219" s="1025"/>
      <c r="J219" s="1188">
        <v>2940</v>
      </c>
      <c r="K219" s="1187">
        <f>J219*1.03</f>
        <v>3028.2000000000003</v>
      </c>
      <c r="L219" s="1187">
        <f t="shared" ref="L219:Z219" si="117">K219*1.03</f>
        <v>3119.0460000000003</v>
      </c>
      <c r="M219" s="1187">
        <f t="shared" si="117"/>
        <v>3212.6173800000006</v>
      </c>
      <c r="N219" s="1187">
        <f t="shared" si="117"/>
        <v>3308.9959014000005</v>
      </c>
      <c r="O219" s="1187">
        <f t="shared" si="117"/>
        <v>3408.2657784420007</v>
      </c>
      <c r="P219" s="1187">
        <f t="shared" si="117"/>
        <v>3510.5137517952608</v>
      </c>
      <c r="Q219" s="1187">
        <f t="shared" si="117"/>
        <v>3615.8291643491189</v>
      </c>
      <c r="R219" s="1187">
        <f t="shared" si="117"/>
        <v>3724.3040392795924</v>
      </c>
      <c r="S219" s="1187">
        <f t="shared" si="117"/>
        <v>3836.0331604579801</v>
      </c>
      <c r="T219" s="1187">
        <f t="shared" si="117"/>
        <v>3951.1141552717195</v>
      </c>
      <c r="U219" s="1187">
        <f t="shared" si="117"/>
        <v>4069.647579929871</v>
      </c>
      <c r="V219" s="1187">
        <f t="shared" si="117"/>
        <v>4191.7370073277671</v>
      </c>
      <c r="W219" s="1187">
        <f t="shared" si="117"/>
        <v>4317.4891175476005</v>
      </c>
      <c r="X219" s="1187">
        <f t="shared" si="117"/>
        <v>4447.0137910740286</v>
      </c>
      <c r="Y219" s="1187">
        <f t="shared" si="117"/>
        <v>4580.4242048062497</v>
      </c>
      <c r="Z219" s="1187">
        <f t="shared" si="117"/>
        <v>4717.8369309504369</v>
      </c>
      <c r="AB219" s="1022" t="s">
        <v>1068</v>
      </c>
    </row>
    <row r="220" spans="2:30">
      <c r="C220" s="1022" t="s">
        <v>101</v>
      </c>
      <c r="D220" s="1025"/>
      <c r="E220" s="1025"/>
      <c r="F220" s="1025"/>
      <c r="G220" s="1025"/>
      <c r="H220" s="1026"/>
      <c r="I220" s="1025"/>
      <c r="J220" s="1188">
        <f>1800*0.6</f>
        <v>1080</v>
      </c>
      <c r="K220" s="1187">
        <f t="shared" ref="K220:Z220" si="118">K219*K268</f>
        <v>1101.2760000000003</v>
      </c>
      <c r="L220" s="1187">
        <f t="shared" si="118"/>
        <v>1122.9711372000002</v>
      </c>
      <c r="M220" s="1187">
        <f t="shared" si="118"/>
        <v>1145.0936686028404</v>
      </c>
      <c r="N220" s="1187">
        <f t="shared" si="118"/>
        <v>1167.652013874316</v>
      </c>
      <c r="O220" s="1187">
        <f t="shared" si="118"/>
        <v>1190.6547585476401</v>
      </c>
      <c r="P220" s="1187">
        <f t="shared" si="118"/>
        <v>1214.1106572910287</v>
      </c>
      <c r="Q220" s="1187">
        <f t="shared" si="118"/>
        <v>1238.0286372396622</v>
      </c>
      <c r="R220" s="1187">
        <f t="shared" si="118"/>
        <v>1262.4178013932833</v>
      </c>
      <c r="S220" s="1187">
        <f t="shared" si="118"/>
        <v>1287.2874320807312</v>
      </c>
      <c r="T220" s="1187">
        <f t="shared" si="118"/>
        <v>1312.6469944927214</v>
      </c>
      <c r="U220" s="1187">
        <f t="shared" si="118"/>
        <v>1338.506140284228</v>
      </c>
      <c r="V220" s="1187">
        <f t="shared" si="118"/>
        <v>1364.8747112478272</v>
      </c>
      <c r="W220" s="1187">
        <f t="shared" si="118"/>
        <v>1391.7627430594096</v>
      </c>
      <c r="X220" s="1187">
        <f t="shared" si="118"/>
        <v>1419.1804690976799</v>
      </c>
      <c r="Y220" s="1187">
        <f t="shared" si="118"/>
        <v>1447.1383243389041</v>
      </c>
      <c r="Z220" s="1187">
        <f t="shared" si="118"/>
        <v>1475.6469493283805</v>
      </c>
      <c r="AB220" s="1022" t="s">
        <v>1078</v>
      </c>
    </row>
    <row r="221" spans="2:30">
      <c r="C221" s="1022" t="s">
        <v>1070</v>
      </c>
      <c r="D221" s="1035"/>
      <c r="E221" s="1035"/>
      <c r="F221" s="1035"/>
      <c r="G221" s="1035"/>
      <c r="H221" s="1035"/>
      <c r="I221" s="1035"/>
      <c r="J221" s="1189">
        <f t="shared" ref="J221:Z221" si="119">J218*0.05</f>
        <v>1515.9</v>
      </c>
      <c r="K221" s="1189">
        <f t="shared" si="119"/>
        <v>1533.105</v>
      </c>
      <c r="L221" s="1189">
        <f t="shared" si="119"/>
        <v>1552.7959499999997</v>
      </c>
      <c r="M221" s="1189">
        <f t="shared" si="119"/>
        <v>1574.9598956399998</v>
      </c>
      <c r="N221" s="1189">
        <f t="shared" si="119"/>
        <v>1599.5880864278579</v>
      </c>
      <c r="O221" s="1189">
        <f t="shared" si="119"/>
        <v>1626.6758764827491</v>
      </c>
      <c r="P221" s="1189">
        <f t="shared" si="119"/>
        <v>1656.2226336533295</v>
      </c>
      <c r="Q221" s="1189">
        <f t="shared" si="119"/>
        <v>1688.2316566958748</v>
      </c>
      <c r="R221" s="1189">
        <f t="shared" si="119"/>
        <v>1722.7101002165539</v>
      </c>
      <c r="S221" s="1189">
        <f t="shared" si="119"/>
        <v>1759.6689071000419</v>
      </c>
      <c r="T221" s="1189">
        <f t="shared" si="119"/>
        <v>1799.1227481639021</v>
      </c>
      <c r="U221" s="1189">
        <f t="shared" si="119"/>
        <v>1841.0899687946567</v>
      </c>
      <c r="V221" s="1189">
        <f t="shared" si="119"/>
        <v>1885.5925423372062</v>
      </c>
      <c r="W221" s="1189">
        <f t="shared" si="119"/>
        <v>1932.6560300243427</v>
      </c>
      <c r="X221" s="1189">
        <f t="shared" si="119"/>
        <v>1982.3095472475352</v>
      </c>
      <c r="Y221" s="1189">
        <f t="shared" si="119"/>
        <v>2034.5857359839761</v>
      </c>
      <c r="Z221" s="1189">
        <f t="shared" si="119"/>
        <v>2089.5207432081443</v>
      </c>
    </row>
    <row r="223" spans="2:30">
      <c r="C223" s="1022" t="s">
        <v>1071</v>
      </c>
      <c r="D223" s="1025"/>
      <c r="E223" s="1036"/>
      <c r="F223" s="1036"/>
      <c r="G223" s="1036"/>
      <c r="H223" s="1026"/>
      <c r="I223" s="1025"/>
      <c r="J223" s="1187">
        <f>J218*0.2</f>
        <v>6063.6</v>
      </c>
      <c r="K223" s="1187">
        <f t="shared" ref="K223:Z223" si="120">K218*0.2</f>
        <v>6132.42</v>
      </c>
      <c r="L223" s="1187">
        <f t="shared" si="120"/>
        <v>6211.1837999999989</v>
      </c>
      <c r="M223" s="1187">
        <f t="shared" si="120"/>
        <v>6299.8395825599991</v>
      </c>
      <c r="N223" s="1187">
        <f t="shared" si="120"/>
        <v>6398.3523457114316</v>
      </c>
      <c r="O223" s="1187">
        <f t="shared" si="120"/>
        <v>6506.7035059309965</v>
      </c>
      <c r="P223" s="1187">
        <f t="shared" si="120"/>
        <v>6624.8905346133179</v>
      </c>
      <c r="Q223" s="1187">
        <f t="shared" si="120"/>
        <v>6752.9266267834992</v>
      </c>
      <c r="R223" s="1187">
        <f t="shared" si="120"/>
        <v>6890.8404008662155</v>
      </c>
      <c r="S223" s="1187">
        <f t="shared" si="120"/>
        <v>7038.6756284001676</v>
      </c>
      <c r="T223" s="1187">
        <f t="shared" si="120"/>
        <v>7196.4909926556084</v>
      </c>
      <c r="U223" s="1187">
        <f t="shared" si="120"/>
        <v>7364.3598751786267</v>
      </c>
      <c r="V223" s="1187">
        <f t="shared" si="120"/>
        <v>7542.3701693488247</v>
      </c>
      <c r="W223" s="1187">
        <f t="shared" si="120"/>
        <v>7730.6241200973709</v>
      </c>
      <c r="X223" s="1187">
        <f t="shared" si="120"/>
        <v>7929.2381889901408</v>
      </c>
      <c r="Y223" s="1187">
        <f t="shared" si="120"/>
        <v>8138.3429439359043</v>
      </c>
      <c r="Z223" s="1187">
        <f t="shared" si="120"/>
        <v>8358.0829728325771</v>
      </c>
      <c r="AB223" s="1022" t="s">
        <v>1079</v>
      </c>
    </row>
    <row r="224" spans="2:30">
      <c r="C224" s="1028"/>
      <c r="D224" s="1029"/>
      <c r="E224" s="1029"/>
      <c r="F224" s="1029"/>
      <c r="G224" s="1029"/>
      <c r="H224" s="1030"/>
      <c r="I224" s="1029"/>
      <c r="J224" s="1029"/>
      <c r="K224" s="1029"/>
      <c r="L224" s="1029"/>
      <c r="M224" s="1029"/>
      <c r="N224" s="1029"/>
      <c r="O224" s="1029"/>
      <c r="P224" s="1029"/>
      <c r="Q224" s="1029"/>
      <c r="R224" s="1029"/>
      <c r="S224" s="1029"/>
      <c r="T224" s="1029"/>
      <c r="U224" s="1029"/>
      <c r="V224" s="1029"/>
      <c r="W224" s="1029"/>
      <c r="X224" s="1029"/>
      <c r="Y224" s="1029"/>
      <c r="Z224" s="1029"/>
    </row>
    <row r="225" spans="2:30">
      <c r="C225" s="1022" t="s">
        <v>294</v>
      </c>
      <c r="D225" s="1025"/>
      <c r="E225" s="1025"/>
      <c r="F225" s="1025"/>
      <c r="G225" s="1025"/>
      <c r="H225" s="1025"/>
      <c r="I225" s="1025"/>
      <c r="J225" s="1187">
        <f>J220*80%</f>
        <v>864</v>
      </c>
      <c r="K225" s="1187">
        <f t="shared" ref="K225:Z225" si="121">K220*80%</f>
        <v>881.02080000000024</v>
      </c>
      <c r="L225" s="1187">
        <f t="shared" si="121"/>
        <v>898.37690976000022</v>
      </c>
      <c r="M225" s="1187">
        <f t="shared" si="121"/>
        <v>916.07493488227237</v>
      </c>
      <c r="N225" s="1187">
        <f t="shared" si="121"/>
        <v>934.12161109945282</v>
      </c>
      <c r="O225" s="1187">
        <f t="shared" si="121"/>
        <v>952.52380683811214</v>
      </c>
      <c r="P225" s="1187">
        <f t="shared" si="121"/>
        <v>971.28852583282298</v>
      </c>
      <c r="Q225" s="1187">
        <f t="shared" si="121"/>
        <v>990.42290979172981</v>
      </c>
      <c r="R225" s="1187">
        <f t="shared" si="121"/>
        <v>1009.9342411146267</v>
      </c>
      <c r="S225" s="1187">
        <f t="shared" si="121"/>
        <v>1029.829945664585</v>
      </c>
      <c r="T225" s="1187">
        <f t="shared" si="121"/>
        <v>1050.1175955941771</v>
      </c>
      <c r="U225" s="1187">
        <f t="shared" si="121"/>
        <v>1070.8049122273824</v>
      </c>
      <c r="V225" s="1187">
        <f t="shared" si="121"/>
        <v>1091.8997689982618</v>
      </c>
      <c r="W225" s="1187">
        <f t="shared" si="121"/>
        <v>1113.4101944475276</v>
      </c>
      <c r="X225" s="1187">
        <f t="shared" si="121"/>
        <v>1135.3443752781438</v>
      </c>
      <c r="Y225" s="1187">
        <f t="shared" si="121"/>
        <v>1157.7106594711233</v>
      </c>
      <c r="Z225" s="1187">
        <f t="shared" si="121"/>
        <v>1180.5175594627044</v>
      </c>
      <c r="AA225" s="1025"/>
      <c r="AB225" s="1025"/>
      <c r="AC225" s="1025"/>
      <c r="AD225" s="1025"/>
    </row>
    <row r="226" spans="2:30">
      <c r="C226" s="1028" t="s">
        <v>1074</v>
      </c>
      <c r="D226" s="1029"/>
      <c r="E226" s="1029"/>
      <c r="F226" s="1029"/>
      <c r="G226" s="1029"/>
      <c r="H226" s="1029"/>
      <c r="I226" s="1029"/>
      <c r="J226" s="1191">
        <f t="shared" ref="J226:Z226" si="122">J225/J223</f>
        <v>0.14248961013259448</v>
      </c>
      <c r="K226" s="1191">
        <f t="shared" si="122"/>
        <v>0.14366608940679212</v>
      </c>
      <c r="L226" s="1191">
        <f t="shared" si="122"/>
        <v>0.14463859687423844</v>
      </c>
      <c r="M226" s="1191">
        <f t="shared" si="122"/>
        <v>0.14541242247156025</v>
      </c>
      <c r="N226" s="1191">
        <f t="shared" si="122"/>
        <v>0.14599408732555319</v>
      </c>
      <c r="O226" s="1191">
        <f t="shared" si="122"/>
        <v>0.14639114967661684</v>
      </c>
      <c r="P226" s="1191">
        <f t="shared" si="122"/>
        <v>0.14661201128654047</v>
      </c>
      <c r="Q226" s="1191">
        <f t="shared" si="122"/>
        <v>0.14666572947253836</v>
      </c>
      <c r="R226" s="1191">
        <f t="shared" si="122"/>
        <v>0.1465618389576506</v>
      </c>
      <c r="S226" s="1191">
        <f t="shared" si="122"/>
        <v>0.14631018675009702</v>
      </c>
      <c r="T226" s="1191">
        <f t="shared" si="122"/>
        <v>0.14592078231819877</v>
      </c>
      <c r="U226" s="1191">
        <f t="shared" si="122"/>
        <v>0.1454036644564996</v>
      </c>
      <c r="V226" s="1191">
        <f t="shared" si="122"/>
        <v>0.14476878547218422</v>
      </c>
      <c r="W226" s="1191">
        <f t="shared" si="122"/>
        <v>0.14402591267540552</v>
      </c>
      <c r="X226" s="1191">
        <f t="shared" si="122"/>
        <v>0.1431845466383625</v>
      </c>
      <c r="Y226" s="1191">
        <f t="shared" si="122"/>
        <v>0.14225385529295792</v>
      </c>
      <c r="Z226" s="1191">
        <f t="shared" si="122"/>
        <v>0.14124262265640369</v>
      </c>
      <c r="AA226" s="1029"/>
      <c r="AB226" s="1029"/>
      <c r="AC226" s="1029"/>
      <c r="AD226" s="1029"/>
    </row>
    <row r="227" spans="2:30">
      <c r="C227" s="1028"/>
      <c r="D227" s="1029"/>
      <c r="E227" s="1029"/>
      <c r="F227" s="1029"/>
      <c r="G227" s="1029"/>
      <c r="H227" s="1029"/>
      <c r="I227" s="1029"/>
      <c r="J227" s="1029"/>
      <c r="K227" s="1029"/>
      <c r="L227" s="1029"/>
      <c r="M227" s="1029"/>
      <c r="N227" s="1029"/>
      <c r="O227" s="1029"/>
      <c r="P227" s="1029"/>
      <c r="Q227" s="1029"/>
      <c r="R227" s="1029"/>
      <c r="S227" s="1029"/>
      <c r="T227" s="1029"/>
      <c r="U227" s="1029"/>
      <c r="V227" s="1029"/>
      <c r="W227" s="1029"/>
      <c r="X227" s="1029"/>
      <c r="Y227" s="1029"/>
      <c r="Z227" s="1029"/>
      <c r="AA227" s="1029"/>
      <c r="AB227" s="1029"/>
      <c r="AC227" s="1029"/>
      <c r="AD227" s="1029"/>
    </row>
    <row r="228" spans="2:30" hidden="1" outlineLevel="1">
      <c r="C228" s="1031" t="s">
        <v>463</v>
      </c>
      <c r="D228" s="1032"/>
      <c r="E228" s="1032"/>
      <c r="F228" s="1032"/>
      <c r="G228" s="1032"/>
      <c r="H228" s="1032"/>
      <c r="I228" s="1032"/>
      <c r="J228" s="1186">
        <v>2813.46</v>
      </c>
      <c r="K228" s="1186">
        <v>2851.1636399999998</v>
      </c>
      <c r="L228" s="1186">
        <v>2892.6158578079999</v>
      </c>
      <c r="M228" s="1186">
        <v>2937.8038018018174</v>
      </c>
      <c r="N228" s="1186">
        <v>2986.7206098785628</v>
      </c>
      <c r="O228" s="1186">
        <v>3039.3652725463385</v>
      </c>
      <c r="P228" s="1186">
        <v>3095.7425077809194</v>
      </c>
      <c r="Q228" s="1186">
        <v>3155.8626472076085</v>
      </c>
      <c r="R228" s="1186">
        <v>3219.7415331948769</v>
      </c>
      <c r="S228" s="1186">
        <v>3287.4004264717264</v>
      </c>
      <c r="T228" s="1186">
        <v>3358.8659239048047</v>
      </c>
      <c r="U228" s="1186">
        <v>3434.1698860944252</v>
      </c>
      <c r="V228" s="1186">
        <v>3513.349374470698</v>
      </c>
      <c r="W228" s="1186">
        <v>3596.4465975921016</v>
      </c>
      <c r="X228" s="1186">
        <v>3683.508866369064</v>
      </c>
      <c r="Y228" s="1186">
        <v>3774.5885579544652</v>
      </c>
      <c r="Z228" s="1186">
        <v>3869.7430880615657</v>
      </c>
      <c r="AA228" s="1029"/>
      <c r="AB228" s="1029"/>
      <c r="AC228" s="1029"/>
      <c r="AD228" s="1029"/>
    </row>
    <row r="229" spans="2:30" hidden="1" outlineLevel="1">
      <c r="C229" s="1031" t="s">
        <v>464</v>
      </c>
      <c r="D229" s="1032"/>
      <c r="E229" s="1032"/>
      <c r="F229" s="1032"/>
      <c r="G229" s="1032"/>
      <c r="H229" s="1032"/>
      <c r="I229" s="1032"/>
      <c r="J229" s="1186">
        <v>994.38000000000011</v>
      </c>
      <c r="K229" s="1186">
        <v>1011.4376400000003</v>
      </c>
      <c r="L229" s="1186">
        <v>1029.2607178080002</v>
      </c>
      <c r="M229" s="1186">
        <v>1047.8519270338179</v>
      </c>
      <c r="N229" s="1186">
        <v>1067.2149061651339</v>
      </c>
      <c r="O229" s="1186">
        <v>1087.3542207670396</v>
      </c>
      <c r="P229" s="1186">
        <v>1108.2753473969244</v>
      </c>
      <c r="Q229" s="1186">
        <v>1129.9846591725588</v>
      </c>
      <c r="R229" s="1186">
        <v>1152.4894129350123</v>
      </c>
      <c r="S229" s="1186">
        <v>1175.7977379516765</v>
      </c>
      <c r="T229" s="1186">
        <v>1199.9186261081222</v>
      </c>
      <c r="U229" s="1186">
        <v>1224.8619235408373</v>
      </c>
      <c r="V229" s="1186">
        <v>1250.6383236660508</v>
      </c>
      <c r="W229" s="1186">
        <v>1277.2593615628907</v>
      </c>
      <c r="X229" s="1186">
        <v>1304.7374096720223</v>
      </c>
      <c r="Y229" s="1186">
        <v>1333.0856747736939</v>
      </c>
      <c r="Z229" s="1186">
        <v>1362.3181962117924</v>
      </c>
      <c r="AA229" s="1029"/>
      <c r="AB229" s="1029"/>
      <c r="AC229" s="1029"/>
      <c r="AD229" s="1029"/>
    </row>
    <row r="230" spans="2:30" hidden="1" outlineLevel="1">
      <c r="C230" s="1031" t="s">
        <v>462</v>
      </c>
      <c r="D230" s="1032"/>
      <c r="E230" s="1032"/>
      <c r="F230" s="1032"/>
      <c r="G230" s="1032"/>
      <c r="H230" s="1032"/>
      <c r="I230" s="1032"/>
      <c r="J230" s="1186">
        <v>864</v>
      </c>
      <c r="K230" s="1186">
        <v>881.02080000000024</v>
      </c>
      <c r="L230" s="1186">
        <v>898.37690976000022</v>
      </c>
      <c r="M230" s="1186">
        <v>916.07493488227237</v>
      </c>
      <c r="N230" s="1186">
        <v>934.12161109945282</v>
      </c>
      <c r="O230" s="1186">
        <v>952.52380683811214</v>
      </c>
      <c r="P230" s="1186">
        <v>971.28852583282298</v>
      </c>
      <c r="Q230" s="1186">
        <v>990.42290979172981</v>
      </c>
      <c r="R230" s="1186">
        <v>1009.9342411146267</v>
      </c>
      <c r="S230" s="1186">
        <v>1029.829945664585</v>
      </c>
      <c r="T230" s="1186">
        <v>1050.1175955941771</v>
      </c>
      <c r="U230" s="1186">
        <v>1070.8049122273824</v>
      </c>
      <c r="V230" s="1186">
        <v>1091.8997689982618</v>
      </c>
      <c r="W230" s="1186">
        <v>1113.4101944475276</v>
      </c>
      <c r="X230" s="1186">
        <v>1135.3443752781438</v>
      </c>
      <c r="Y230" s="1186">
        <v>1157.7106594711233</v>
      </c>
      <c r="Z230" s="1186">
        <v>1180.5175594627044</v>
      </c>
      <c r="AA230" s="1029"/>
      <c r="AB230" s="1029"/>
      <c r="AC230" s="1029"/>
      <c r="AD230" s="1029"/>
    </row>
    <row r="231" spans="2:30" s="1151" customFormat="1" collapsed="1">
      <c r="B231" s="1192"/>
      <c r="C231" s="1151" t="s">
        <v>1080</v>
      </c>
      <c r="D231" s="1193"/>
      <c r="E231" s="1193"/>
      <c r="F231" s="1193"/>
      <c r="G231" s="1193"/>
      <c r="H231" s="1193"/>
      <c r="I231" s="1193"/>
      <c r="J231" s="1150">
        <f t="shared" ref="J231:Z231" si="123">CHOOSE($S$356,J228,J229,J230)</f>
        <v>994.38000000000011</v>
      </c>
      <c r="K231" s="1150">
        <f t="shared" si="123"/>
        <v>1011.4376400000003</v>
      </c>
      <c r="L231" s="1150">
        <f t="shared" si="123"/>
        <v>1029.2607178080002</v>
      </c>
      <c r="M231" s="1150">
        <f t="shared" si="123"/>
        <v>1047.8519270338179</v>
      </c>
      <c r="N231" s="1150">
        <f t="shared" si="123"/>
        <v>1067.2149061651339</v>
      </c>
      <c r="O231" s="1150">
        <f t="shared" si="123"/>
        <v>1087.3542207670396</v>
      </c>
      <c r="P231" s="1150">
        <f t="shared" si="123"/>
        <v>1108.2753473969244</v>
      </c>
      <c r="Q231" s="1150">
        <f t="shared" si="123"/>
        <v>1129.9846591725588</v>
      </c>
      <c r="R231" s="1150">
        <f t="shared" si="123"/>
        <v>1152.4894129350123</v>
      </c>
      <c r="S231" s="1150">
        <f t="shared" si="123"/>
        <v>1175.7977379516765</v>
      </c>
      <c r="T231" s="1150">
        <f t="shared" si="123"/>
        <v>1199.9186261081222</v>
      </c>
      <c r="U231" s="1150">
        <f t="shared" si="123"/>
        <v>1224.8619235408373</v>
      </c>
      <c r="V231" s="1150">
        <f t="shared" si="123"/>
        <v>1250.6383236660508</v>
      </c>
      <c r="W231" s="1150">
        <f t="shared" si="123"/>
        <v>1277.2593615628907</v>
      </c>
      <c r="X231" s="1150">
        <f t="shared" si="123"/>
        <v>1304.7374096720223</v>
      </c>
      <c r="Y231" s="1150">
        <f t="shared" si="123"/>
        <v>1333.0856747736939</v>
      </c>
      <c r="Z231" s="1150">
        <f t="shared" si="123"/>
        <v>1362.3181962117924</v>
      </c>
      <c r="AA231" s="1149"/>
      <c r="AB231" s="1149" t="s">
        <v>1076</v>
      </c>
      <c r="AC231" s="1149"/>
      <c r="AD231" s="1149"/>
    </row>
    <row r="233" spans="2:30">
      <c r="C233" s="1023" t="s">
        <v>1081</v>
      </c>
      <c r="D233" s="1024"/>
      <c r="E233" s="1024"/>
      <c r="F233" s="1024"/>
      <c r="G233" s="1024"/>
      <c r="H233" s="1024"/>
      <c r="I233" s="1024"/>
      <c r="J233" s="1024"/>
      <c r="K233" s="1024"/>
      <c r="L233" s="1024"/>
      <c r="M233" s="1024"/>
      <c r="N233" s="1024"/>
      <c r="O233" s="1024"/>
      <c r="P233" s="1024"/>
      <c r="Q233" s="1024"/>
      <c r="R233" s="1024"/>
      <c r="S233" s="1024"/>
      <c r="T233" s="1024"/>
      <c r="U233" s="1024"/>
      <c r="V233" s="1024"/>
      <c r="W233" s="1024"/>
      <c r="X233" s="1024"/>
      <c r="Y233" s="1024"/>
      <c r="Z233" s="1024"/>
    </row>
    <row r="234" spans="2:30" ht="12.75" customHeight="1" outlineLevel="1">
      <c r="C234" s="1031" t="s">
        <v>463</v>
      </c>
      <c r="D234" s="1034"/>
      <c r="E234" s="1034"/>
      <c r="F234" s="1034"/>
      <c r="G234" s="1034"/>
      <c r="H234" s="1034"/>
      <c r="I234" s="1034"/>
      <c r="J234" s="1034"/>
      <c r="K234" s="1034"/>
      <c r="L234" s="1034"/>
      <c r="M234" s="1032">
        <f>M235*1.2</f>
        <v>0</v>
      </c>
      <c r="N234" s="1032">
        <f t="shared" ref="N234:Z234" si="124">N235*1.2</f>
        <v>0</v>
      </c>
      <c r="O234" s="1032">
        <f t="shared" si="124"/>
        <v>0</v>
      </c>
      <c r="P234" s="1032">
        <f t="shared" si="124"/>
        <v>0</v>
      </c>
      <c r="Q234" s="1032">
        <f t="shared" si="124"/>
        <v>0</v>
      </c>
      <c r="R234" s="1032">
        <f t="shared" si="124"/>
        <v>0</v>
      </c>
      <c r="S234" s="1135">
        <f t="shared" si="124"/>
        <v>0</v>
      </c>
      <c r="T234" s="1135">
        <f t="shared" si="124"/>
        <v>0</v>
      </c>
      <c r="U234" s="1135">
        <f t="shared" si="124"/>
        <v>0</v>
      </c>
      <c r="V234" s="1135">
        <f t="shared" si="124"/>
        <v>0</v>
      </c>
      <c r="W234" s="1135">
        <f t="shared" si="124"/>
        <v>0</v>
      </c>
      <c r="X234" s="1135">
        <f t="shared" si="124"/>
        <v>0</v>
      </c>
      <c r="Y234" s="1135">
        <f t="shared" si="124"/>
        <v>0</v>
      </c>
      <c r="Z234" s="1135">
        <f t="shared" si="124"/>
        <v>0</v>
      </c>
    </row>
    <row r="235" spans="2:30" ht="12.75" customHeight="1" outlineLevel="1">
      <c r="C235" s="1031" t="s">
        <v>464</v>
      </c>
      <c r="D235" s="1034"/>
      <c r="E235" s="1034"/>
      <c r="F235" s="1034"/>
      <c r="G235" s="1034"/>
      <c r="H235" s="1034"/>
      <c r="I235" s="1034"/>
      <c r="J235" s="1034"/>
      <c r="K235" s="1034"/>
      <c r="L235" s="1034"/>
      <c r="M235" s="1032">
        <v>0</v>
      </c>
      <c r="N235" s="1032">
        <v>0</v>
      </c>
      <c r="O235" s="1032">
        <v>0</v>
      </c>
      <c r="P235" s="1032">
        <v>0</v>
      </c>
      <c r="Q235" s="1032">
        <v>0</v>
      </c>
      <c r="R235" s="1032">
        <v>0</v>
      </c>
      <c r="S235" s="1135">
        <v>0</v>
      </c>
      <c r="T235" s="1135">
        <v>0</v>
      </c>
      <c r="U235" s="1135">
        <v>0</v>
      </c>
      <c r="V235" s="1135">
        <v>0</v>
      </c>
      <c r="W235" s="1135">
        <v>0</v>
      </c>
      <c r="X235" s="1135">
        <v>0</v>
      </c>
      <c r="Y235" s="1135">
        <v>0</v>
      </c>
      <c r="Z235" s="1135">
        <v>0</v>
      </c>
    </row>
    <row r="236" spans="2:30" ht="12.75" customHeight="1" outlineLevel="1">
      <c r="C236" s="1031" t="s">
        <v>462</v>
      </c>
      <c r="D236" s="1034"/>
      <c r="E236" s="1034"/>
      <c r="F236" s="1034"/>
      <c r="G236" s="1034"/>
      <c r="H236" s="1034"/>
      <c r="I236" s="1034"/>
      <c r="J236" s="1034"/>
      <c r="K236" s="1034"/>
      <c r="L236" s="1034"/>
      <c r="M236" s="1032">
        <f>M235*0.75</f>
        <v>0</v>
      </c>
      <c r="N236" s="1032">
        <f t="shared" ref="N236:Z236" si="125">N235*0.75</f>
        <v>0</v>
      </c>
      <c r="O236" s="1032">
        <f t="shared" si="125"/>
        <v>0</v>
      </c>
      <c r="P236" s="1032">
        <f t="shared" si="125"/>
        <v>0</v>
      </c>
      <c r="Q236" s="1032">
        <f t="shared" si="125"/>
        <v>0</v>
      </c>
      <c r="R236" s="1032">
        <f t="shared" si="125"/>
        <v>0</v>
      </c>
      <c r="S236" s="1135">
        <f t="shared" si="125"/>
        <v>0</v>
      </c>
      <c r="T236" s="1135">
        <f t="shared" si="125"/>
        <v>0</v>
      </c>
      <c r="U236" s="1135">
        <f t="shared" si="125"/>
        <v>0</v>
      </c>
      <c r="V236" s="1135">
        <f t="shared" si="125"/>
        <v>0</v>
      </c>
      <c r="W236" s="1135">
        <f t="shared" si="125"/>
        <v>0</v>
      </c>
      <c r="X236" s="1135">
        <f t="shared" si="125"/>
        <v>0</v>
      </c>
      <c r="Y236" s="1135">
        <f t="shared" si="125"/>
        <v>0</v>
      </c>
      <c r="Z236" s="1135">
        <f t="shared" si="125"/>
        <v>0</v>
      </c>
    </row>
    <row r="237" spans="2:30">
      <c r="C237" s="1128" t="s">
        <v>1085</v>
      </c>
      <c r="H237" s="1030"/>
      <c r="I237" s="1030"/>
      <c r="J237" s="1030"/>
      <c r="K237" s="1030"/>
      <c r="L237" s="1030"/>
      <c r="M237" s="1039">
        <f t="shared" ref="M237:Z237" si="126">CHOOSE($S$356,M234,M235,M236)</f>
        <v>0</v>
      </c>
      <c r="N237" s="1039">
        <f t="shared" si="126"/>
        <v>0</v>
      </c>
      <c r="O237" s="1039">
        <f t="shared" si="126"/>
        <v>0</v>
      </c>
      <c r="P237" s="1039">
        <f t="shared" si="126"/>
        <v>0</v>
      </c>
      <c r="Q237" s="1039">
        <f t="shared" si="126"/>
        <v>0</v>
      </c>
      <c r="R237" s="1039">
        <f t="shared" si="126"/>
        <v>0</v>
      </c>
      <c r="S237" s="1039">
        <f t="shared" si="126"/>
        <v>0</v>
      </c>
      <c r="T237" s="1039">
        <f t="shared" si="126"/>
        <v>0</v>
      </c>
      <c r="U237" s="1039">
        <f t="shared" si="126"/>
        <v>0</v>
      </c>
      <c r="V237" s="1039">
        <f t="shared" si="126"/>
        <v>0</v>
      </c>
      <c r="W237" s="1039">
        <f t="shared" si="126"/>
        <v>0</v>
      </c>
      <c r="X237" s="1039">
        <f t="shared" si="126"/>
        <v>0</v>
      </c>
      <c r="Y237" s="1039">
        <f t="shared" si="126"/>
        <v>0</v>
      </c>
      <c r="Z237" s="1039">
        <f t="shared" si="126"/>
        <v>0</v>
      </c>
    </row>
    <row r="238" spans="2:30">
      <c r="C238" s="1038" t="s">
        <v>1086</v>
      </c>
      <c r="H238" s="1030"/>
      <c r="I238" s="1030"/>
      <c r="J238" s="1030"/>
      <c r="K238" s="1030"/>
      <c r="L238" s="1030"/>
      <c r="M238" s="1030">
        <v>0</v>
      </c>
      <c r="N238" s="1030">
        <v>0</v>
      </c>
      <c r="O238" s="1030">
        <v>0.1</v>
      </c>
      <c r="P238" s="1030">
        <v>0.2</v>
      </c>
      <c r="Q238" s="1030">
        <v>0.3</v>
      </c>
      <c r="R238" s="1030">
        <v>0.4</v>
      </c>
      <c r="S238" s="1030">
        <v>0.4</v>
      </c>
      <c r="T238" s="1030">
        <v>0.4</v>
      </c>
      <c r="U238" s="1030">
        <v>0.4</v>
      </c>
      <c r="V238" s="1030">
        <v>0.4</v>
      </c>
      <c r="W238" s="1030">
        <v>0.4</v>
      </c>
      <c r="X238" s="1030">
        <v>0.4</v>
      </c>
      <c r="Y238" s="1030">
        <v>0.4</v>
      </c>
      <c r="Z238" s="1030">
        <v>0.4</v>
      </c>
    </row>
    <row r="239" spans="2:30">
      <c r="C239" s="1038" t="s">
        <v>111</v>
      </c>
      <c r="H239" s="1030"/>
      <c r="I239" s="1030"/>
      <c r="J239" s="1030"/>
      <c r="K239" s="1030"/>
      <c r="L239" s="1030"/>
      <c r="M239" s="1030">
        <f t="shared" ref="M239:Z239" si="127">1-M238-M237</f>
        <v>1</v>
      </c>
      <c r="N239" s="1030">
        <f t="shared" si="127"/>
        <v>1</v>
      </c>
      <c r="O239" s="1030">
        <f t="shared" si="127"/>
        <v>0.9</v>
      </c>
      <c r="P239" s="1030">
        <f t="shared" si="127"/>
        <v>0.8</v>
      </c>
      <c r="Q239" s="1030">
        <f t="shared" si="127"/>
        <v>0.7</v>
      </c>
      <c r="R239" s="1030">
        <f t="shared" si="127"/>
        <v>0.6</v>
      </c>
      <c r="S239" s="1030">
        <f t="shared" si="127"/>
        <v>0.6</v>
      </c>
      <c r="T239" s="1030">
        <f t="shared" si="127"/>
        <v>0.6</v>
      </c>
      <c r="U239" s="1030">
        <f t="shared" si="127"/>
        <v>0.6</v>
      </c>
      <c r="V239" s="1030">
        <f t="shared" si="127"/>
        <v>0.6</v>
      </c>
      <c r="W239" s="1030">
        <f t="shared" si="127"/>
        <v>0.6</v>
      </c>
      <c r="X239" s="1030">
        <f t="shared" si="127"/>
        <v>0.6</v>
      </c>
      <c r="Y239" s="1030">
        <f t="shared" si="127"/>
        <v>0.6</v>
      </c>
      <c r="Z239" s="1030">
        <f t="shared" si="127"/>
        <v>0.6</v>
      </c>
    </row>
    <row r="240" spans="2:30">
      <c r="C240" s="1128" t="s">
        <v>1087</v>
      </c>
      <c r="H240" s="1030"/>
      <c r="I240" s="1030"/>
      <c r="J240" s="1030"/>
      <c r="K240" s="1030"/>
      <c r="L240" s="1030"/>
      <c r="M240" s="1039">
        <v>0.1</v>
      </c>
      <c r="N240" s="1039">
        <v>0.25</v>
      </c>
      <c r="O240" s="1039">
        <v>0.4</v>
      </c>
      <c r="P240" s="1039">
        <v>0.5</v>
      </c>
      <c r="Q240" s="1039">
        <v>0.6</v>
      </c>
      <c r="R240" s="1039">
        <v>0.7</v>
      </c>
      <c r="S240" s="1039">
        <v>0.71749999999999992</v>
      </c>
      <c r="T240" s="1039">
        <v>0.73543749999999986</v>
      </c>
      <c r="U240" s="1039">
        <v>0.7538234374999998</v>
      </c>
      <c r="V240" s="1039">
        <v>0.77266902343749977</v>
      </c>
      <c r="W240" s="1039">
        <v>0.79198574902343721</v>
      </c>
      <c r="X240" s="1039">
        <v>0.81178539274902306</v>
      </c>
      <c r="Y240" s="1039">
        <v>0.83208002756774857</v>
      </c>
      <c r="Z240" s="1039">
        <v>0.85288202825694226</v>
      </c>
    </row>
    <row r="242" spans="2:28">
      <c r="C242" s="1022" t="s">
        <v>1088</v>
      </c>
      <c r="M242" s="1041">
        <v>1</v>
      </c>
      <c r="N242" s="1022">
        <f>M242</f>
        <v>1</v>
      </c>
      <c r="O242" s="1022">
        <f t="shared" ref="O242:Z242" si="128">N242</f>
        <v>1</v>
      </c>
      <c r="P242" s="1022">
        <f t="shared" si="128"/>
        <v>1</v>
      </c>
      <c r="Q242" s="1022">
        <f t="shared" si="128"/>
        <v>1</v>
      </c>
      <c r="R242" s="1022">
        <f t="shared" si="128"/>
        <v>1</v>
      </c>
      <c r="S242" s="1022">
        <f t="shared" si="128"/>
        <v>1</v>
      </c>
      <c r="T242" s="1022">
        <f t="shared" si="128"/>
        <v>1</v>
      </c>
      <c r="U242" s="1022">
        <f t="shared" si="128"/>
        <v>1</v>
      </c>
      <c r="V242" s="1022">
        <f t="shared" si="128"/>
        <v>1</v>
      </c>
      <c r="W242" s="1022">
        <f t="shared" si="128"/>
        <v>1</v>
      </c>
      <c r="X242" s="1022">
        <f t="shared" si="128"/>
        <v>1</v>
      </c>
      <c r="Y242" s="1022">
        <f t="shared" si="128"/>
        <v>1</v>
      </c>
      <c r="Z242" s="1022">
        <f t="shared" si="128"/>
        <v>1</v>
      </c>
    </row>
    <row r="244" spans="2:28">
      <c r="C244" s="1042" t="s">
        <v>1089</v>
      </c>
      <c r="J244" s="1043"/>
      <c r="K244" s="1025"/>
      <c r="L244" s="1025"/>
      <c r="M244" s="1043">
        <v>400</v>
      </c>
      <c r="N244" s="1044">
        <f>M244*(1+N245)</f>
        <v>409.99999999999994</v>
      </c>
      <c r="O244" s="1044">
        <f t="shared" ref="O244:Z244" si="129">N244*(1+O245)</f>
        <v>420.24999999999989</v>
      </c>
      <c r="P244" s="1044">
        <f t="shared" si="129"/>
        <v>430.75624999999985</v>
      </c>
      <c r="Q244" s="1044">
        <f t="shared" si="129"/>
        <v>441.52515624999984</v>
      </c>
      <c r="R244" s="1044">
        <f t="shared" si="129"/>
        <v>452.56328515624978</v>
      </c>
      <c r="S244" s="1044">
        <f t="shared" si="129"/>
        <v>463.87736728515597</v>
      </c>
      <c r="T244" s="1044">
        <f t="shared" si="129"/>
        <v>475.47430146728482</v>
      </c>
      <c r="U244" s="1044">
        <f t="shared" si="129"/>
        <v>487.36115900396692</v>
      </c>
      <c r="V244" s="1044">
        <f t="shared" si="129"/>
        <v>499.54518797906604</v>
      </c>
      <c r="W244" s="1044">
        <f t="shared" si="129"/>
        <v>512.03381767854262</v>
      </c>
      <c r="X244" s="1044">
        <f t="shared" si="129"/>
        <v>524.83466312050609</v>
      </c>
      <c r="Y244" s="1044">
        <f t="shared" si="129"/>
        <v>537.95552969851872</v>
      </c>
      <c r="Z244" s="1044">
        <f t="shared" si="129"/>
        <v>551.4044179409816</v>
      </c>
    </row>
    <row r="245" spans="2:28">
      <c r="C245" s="1045" t="s">
        <v>368</v>
      </c>
      <c r="D245" s="1046"/>
      <c r="E245" s="1046"/>
      <c r="F245" s="1046"/>
      <c r="G245" s="1046"/>
      <c r="H245" s="1046"/>
      <c r="I245" s="1046"/>
      <c r="J245" s="1046"/>
      <c r="K245" s="1047"/>
      <c r="L245" s="1048"/>
      <c r="M245" s="1048"/>
      <c r="N245" s="1047">
        <v>2.5000000000000001E-2</v>
      </c>
      <c r="O245" s="1048">
        <f>N245</f>
        <v>2.5000000000000001E-2</v>
      </c>
      <c r="P245" s="1048">
        <f t="shared" ref="P245:Z245" si="130">O245</f>
        <v>2.5000000000000001E-2</v>
      </c>
      <c r="Q245" s="1048">
        <f t="shared" si="130"/>
        <v>2.5000000000000001E-2</v>
      </c>
      <c r="R245" s="1048">
        <f t="shared" si="130"/>
        <v>2.5000000000000001E-2</v>
      </c>
      <c r="S245" s="1048">
        <f t="shared" si="130"/>
        <v>2.5000000000000001E-2</v>
      </c>
      <c r="T245" s="1048">
        <f t="shared" si="130"/>
        <v>2.5000000000000001E-2</v>
      </c>
      <c r="U245" s="1048">
        <f t="shared" si="130"/>
        <v>2.5000000000000001E-2</v>
      </c>
      <c r="V245" s="1048">
        <f t="shared" si="130"/>
        <v>2.5000000000000001E-2</v>
      </c>
      <c r="W245" s="1048">
        <f t="shared" si="130"/>
        <v>2.5000000000000001E-2</v>
      </c>
      <c r="X245" s="1048">
        <f t="shared" si="130"/>
        <v>2.5000000000000001E-2</v>
      </c>
      <c r="Y245" s="1048">
        <f t="shared" si="130"/>
        <v>2.5000000000000001E-2</v>
      </c>
      <c r="Z245" s="1048">
        <f t="shared" si="130"/>
        <v>2.5000000000000001E-2</v>
      </c>
      <c r="AA245" s="1046"/>
      <c r="AB245" s="1046"/>
    </row>
    <row r="246" spans="2:28">
      <c r="C246" s="1045"/>
      <c r="D246" s="1046"/>
      <c r="E246" s="1046"/>
      <c r="F246" s="1046"/>
      <c r="G246" s="1046"/>
      <c r="H246" s="1046"/>
      <c r="I246" s="1046"/>
      <c r="J246" s="1046"/>
      <c r="K246" s="1047"/>
      <c r="L246" s="1048"/>
      <c r="M246" s="1048"/>
      <c r="N246" s="1048"/>
      <c r="O246" s="1048"/>
      <c r="P246" s="1048"/>
      <c r="Q246" s="1048"/>
      <c r="R246" s="1048"/>
      <c r="S246" s="1048"/>
      <c r="T246" s="1048"/>
      <c r="U246" s="1048"/>
      <c r="V246" s="1048"/>
      <c r="W246" s="1048"/>
      <c r="X246" s="1048"/>
      <c r="Y246" s="1048"/>
      <c r="Z246" s="1048"/>
      <c r="AA246" s="1046"/>
      <c r="AB246" s="1046"/>
    </row>
    <row r="247" spans="2:28" ht="13.5" thickBot="1">
      <c r="B247" s="1206" t="s">
        <v>78</v>
      </c>
      <c r="C247" s="1171" t="s">
        <v>1090</v>
      </c>
      <c r="D247" s="1172"/>
      <c r="E247" s="1172"/>
      <c r="F247" s="1172"/>
      <c r="G247" s="1172"/>
      <c r="H247" s="1172"/>
      <c r="I247" s="1172"/>
      <c r="J247" s="1173"/>
      <c r="K247" s="1173"/>
      <c r="L247" s="1173"/>
      <c r="M247" s="1174">
        <f t="shared" ref="M247:Z247" si="131">M231*M237*M242*M244*M240/1000</f>
        <v>0</v>
      </c>
      <c r="N247" s="1174">
        <f t="shared" si="131"/>
        <v>0</v>
      </c>
      <c r="O247" s="1174">
        <f t="shared" si="131"/>
        <v>0</v>
      </c>
      <c r="P247" s="1174">
        <f t="shared" si="131"/>
        <v>0</v>
      </c>
      <c r="Q247" s="1174">
        <f t="shared" si="131"/>
        <v>0</v>
      </c>
      <c r="R247" s="1174">
        <f t="shared" si="131"/>
        <v>0</v>
      </c>
      <c r="S247" s="1174">
        <f t="shared" si="131"/>
        <v>0</v>
      </c>
      <c r="T247" s="1174">
        <f t="shared" si="131"/>
        <v>0</v>
      </c>
      <c r="U247" s="1174">
        <f t="shared" si="131"/>
        <v>0</v>
      </c>
      <c r="V247" s="1174">
        <f t="shared" si="131"/>
        <v>0</v>
      </c>
      <c r="W247" s="1174">
        <f t="shared" si="131"/>
        <v>0</v>
      </c>
      <c r="X247" s="1174">
        <f t="shared" si="131"/>
        <v>0</v>
      </c>
      <c r="Y247" s="1174">
        <f t="shared" si="131"/>
        <v>0</v>
      </c>
      <c r="Z247" s="1174">
        <f t="shared" si="131"/>
        <v>0</v>
      </c>
    </row>
    <row r="248" spans="2:28" ht="13.5" thickTop="1"/>
    <row r="249" spans="2:28">
      <c r="C249" s="1023" t="s">
        <v>1091</v>
      </c>
      <c r="D249" s="1024"/>
      <c r="E249" s="1024"/>
      <c r="F249" s="1024"/>
      <c r="G249" s="1024"/>
      <c r="H249" s="1024"/>
      <c r="I249" s="1024"/>
      <c r="J249" s="1024"/>
      <c r="K249" s="1024"/>
      <c r="L249" s="1024"/>
      <c r="M249" s="1024"/>
      <c r="N249" s="1024"/>
      <c r="O249" s="1024"/>
      <c r="P249" s="1024"/>
      <c r="Q249" s="1024"/>
      <c r="R249" s="1024"/>
      <c r="S249" s="1024"/>
      <c r="T249" s="1024"/>
      <c r="U249" s="1024"/>
      <c r="V249" s="1024"/>
      <c r="W249" s="1024"/>
      <c r="X249" s="1024"/>
      <c r="Y249" s="1024"/>
      <c r="Z249" s="1024"/>
    </row>
    <row r="250" spans="2:28" ht="12.75" customHeight="1" outlineLevel="1">
      <c r="C250" s="1031" t="s">
        <v>463</v>
      </c>
      <c r="D250" s="1034"/>
      <c r="E250" s="1034"/>
      <c r="F250" s="1034"/>
      <c r="G250" s="1034"/>
      <c r="H250" s="1034"/>
      <c r="I250" s="1034"/>
      <c r="J250" s="1034"/>
      <c r="K250" s="1034"/>
      <c r="L250" s="1034"/>
      <c r="M250" s="1034"/>
      <c r="N250" s="1032">
        <f>N251</f>
        <v>0</v>
      </c>
      <c r="O250" s="1032">
        <f t="shared" ref="O250:Z250" si="132">O251</f>
        <v>0</v>
      </c>
      <c r="P250" s="1032">
        <f t="shared" si="132"/>
        <v>0</v>
      </c>
      <c r="Q250" s="1032">
        <f t="shared" si="132"/>
        <v>0</v>
      </c>
      <c r="R250" s="1032">
        <f t="shared" si="132"/>
        <v>0</v>
      </c>
      <c r="S250" s="1135">
        <f t="shared" si="132"/>
        <v>0</v>
      </c>
      <c r="T250" s="1135">
        <f t="shared" si="132"/>
        <v>0</v>
      </c>
      <c r="U250" s="1135">
        <f t="shared" si="132"/>
        <v>0</v>
      </c>
      <c r="V250" s="1135">
        <f t="shared" si="132"/>
        <v>0</v>
      </c>
      <c r="W250" s="1135">
        <f t="shared" si="132"/>
        <v>0</v>
      </c>
      <c r="X250" s="1135">
        <f t="shared" si="132"/>
        <v>0</v>
      </c>
      <c r="Y250" s="1135">
        <f t="shared" si="132"/>
        <v>0</v>
      </c>
      <c r="Z250" s="1135">
        <f t="shared" si="132"/>
        <v>0</v>
      </c>
    </row>
    <row r="251" spans="2:28" ht="12.75" customHeight="1" outlineLevel="1">
      <c r="C251" s="1031" t="s">
        <v>464</v>
      </c>
      <c r="D251" s="1034"/>
      <c r="E251" s="1034"/>
      <c r="F251" s="1034"/>
      <c r="G251" s="1034"/>
      <c r="H251" s="1034"/>
      <c r="I251" s="1034"/>
      <c r="J251" s="1034"/>
      <c r="K251" s="1034"/>
      <c r="L251" s="1034"/>
      <c r="M251" s="1034"/>
      <c r="N251" s="1032">
        <v>0</v>
      </c>
      <c r="O251" s="1032">
        <v>0</v>
      </c>
      <c r="P251" s="1032">
        <v>0</v>
      </c>
      <c r="Q251" s="1032">
        <v>0</v>
      </c>
      <c r="R251" s="1032">
        <v>0</v>
      </c>
      <c r="S251" s="1135">
        <v>0</v>
      </c>
      <c r="T251" s="1135">
        <v>0</v>
      </c>
      <c r="U251" s="1135">
        <v>0</v>
      </c>
      <c r="V251" s="1135">
        <v>0</v>
      </c>
      <c r="W251" s="1135">
        <v>0</v>
      </c>
      <c r="X251" s="1135">
        <v>0</v>
      </c>
      <c r="Y251" s="1135">
        <v>0</v>
      </c>
      <c r="Z251" s="1135">
        <v>0</v>
      </c>
    </row>
    <row r="252" spans="2:28" ht="12.75" customHeight="1" outlineLevel="1">
      <c r="C252" s="1031" t="s">
        <v>462</v>
      </c>
      <c r="D252" s="1034"/>
      <c r="E252" s="1034"/>
      <c r="F252" s="1034"/>
      <c r="G252" s="1034"/>
      <c r="H252" s="1034"/>
      <c r="I252" s="1034"/>
      <c r="J252" s="1034"/>
      <c r="K252" s="1034"/>
      <c r="L252" s="1034"/>
      <c r="M252" s="1034"/>
      <c r="N252" s="1032">
        <v>0</v>
      </c>
      <c r="O252" s="1032">
        <f>N252</f>
        <v>0</v>
      </c>
      <c r="P252" s="1032">
        <f t="shared" ref="P252:Z252" si="133">O252</f>
        <v>0</v>
      </c>
      <c r="Q252" s="1032">
        <f t="shared" si="133"/>
        <v>0</v>
      </c>
      <c r="R252" s="1032">
        <f t="shared" si="133"/>
        <v>0</v>
      </c>
      <c r="S252" s="1135">
        <f t="shared" si="133"/>
        <v>0</v>
      </c>
      <c r="T252" s="1135">
        <f t="shared" si="133"/>
        <v>0</v>
      </c>
      <c r="U252" s="1135">
        <f t="shared" si="133"/>
        <v>0</v>
      </c>
      <c r="V252" s="1135">
        <f t="shared" si="133"/>
        <v>0</v>
      </c>
      <c r="W252" s="1135">
        <f t="shared" si="133"/>
        <v>0</v>
      </c>
      <c r="X252" s="1135">
        <f t="shared" si="133"/>
        <v>0</v>
      </c>
      <c r="Y252" s="1135">
        <f t="shared" si="133"/>
        <v>0</v>
      </c>
      <c r="Z252" s="1135">
        <f t="shared" si="133"/>
        <v>0</v>
      </c>
    </row>
    <row r="253" spans="2:28">
      <c r="C253" s="1128" t="s">
        <v>1085</v>
      </c>
      <c r="H253" s="1030"/>
      <c r="I253" s="1030"/>
      <c r="J253" s="1030"/>
      <c r="K253" s="1030"/>
      <c r="L253" s="1030"/>
      <c r="M253" s="1039"/>
      <c r="N253" s="1039">
        <f t="shared" ref="N253:Z253" si="134">CHOOSE($S$356,N250,N251,N252)</f>
        <v>0</v>
      </c>
      <c r="O253" s="1039">
        <f t="shared" si="134"/>
        <v>0</v>
      </c>
      <c r="P253" s="1039">
        <f t="shared" si="134"/>
        <v>0</v>
      </c>
      <c r="Q253" s="1039">
        <f t="shared" si="134"/>
        <v>0</v>
      </c>
      <c r="R253" s="1039">
        <f t="shared" si="134"/>
        <v>0</v>
      </c>
      <c r="S253" s="1039">
        <f t="shared" si="134"/>
        <v>0</v>
      </c>
      <c r="T253" s="1039">
        <f t="shared" si="134"/>
        <v>0</v>
      </c>
      <c r="U253" s="1039">
        <f t="shared" si="134"/>
        <v>0</v>
      </c>
      <c r="V253" s="1039">
        <f t="shared" si="134"/>
        <v>0</v>
      </c>
      <c r="W253" s="1039">
        <f t="shared" si="134"/>
        <v>0</v>
      </c>
      <c r="X253" s="1039">
        <f t="shared" si="134"/>
        <v>0</v>
      </c>
      <c r="Y253" s="1039">
        <f t="shared" si="134"/>
        <v>0</v>
      </c>
      <c r="Z253" s="1039">
        <f t="shared" si="134"/>
        <v>0</v>
      </c>
    </row>
    <row r="254" spans="2:28">
      <c r="C254" s="1038" t="s">
        <v>1092</v>
      </c>
      <c r="H254" s="1030"/>
      <c r="I254" s="1030"/>
      <c r="J254" s="1030"/>
      <c r="K254" s="1030"/>
      <c r="L254" s="1030"/>
      <c r="M254" s="1030"/>
      <c r="N254" s="1030">
        <v>0</v>
      </c>
      <c r="O254" s="1030">
        <v>0</v>
      </c>
      <c r="P254" s="1030">
        <v>0</v>
      </c>
      <c r="Q254" s="1030">
        <v>0</v>
      </c>
      <c r="R254" s="1030">
        <v>0</v>
      </c>
      <c r="S254" s="1030">
        <v>0</v>
      </c>
      <c r="T254" s="1030">
        <v>0</v>
      </c>
      <c r="U254" s="1030">
        <v>0</v>
      </c>
      <c r="V254" s="1030">
        <v>0</v>
      </c>
      <c r="W254" s="1030">
        <v>0</v>
      </c>
      <c r="X254" s="1030">
        <v>0</v>
      </c>
      <c r="Y254" s="1030">
        <v>0</v>
      </c>
      <c r="Z254" s="1030">
        <v>0</v>
      </c>
    </row>
    <row r="255" spans="2:28">
      <c r="C255" s="1038" t="s">
        <v>111</v>
      </c>
      <c r="H255" s="1030"/>
      <c r="I255" s="1030"/>
      <c r="J255" s="1030"/>
      <c r="K255" s="1030"/>
      <c r="L255" s="1030"/>
      <c r="M255" s="1030"/>
      <c r="N255" s="1030">
        <f t="shared" ref="N255:Z255" si="135">1-N254-N253</f>
        <v>1</v>
      </c>
      <c r="O255" s="1030">
        <f t="shared" si="135"/>
        <v>1</v>
      </c>
      <c r="P255" s="1030">
        <f t="shared" si="135"/>
        <v>1</v>
      </c>
      <c r="Q255" s="1030">
        <f t="shared" si="135"/>
        <v>1</v>
      </c>
      <c r="R255" s="1030">
        <f t="shared" si="135"/>
        <v>1</v>
      </c>
      <c r="S255" s="1030">
        <f t="shared" si="135"/>
        <v>1</v>
      </c>
      <c r="T255" s="1030">
        <f t="shared" si="135"/>
        <v>1</v>
      </c>
      <c r="U255" s="1030">
        <f t="shared" si="135"/>
        <v>1</v>
      </c>
      <c r="V255" s="1030">
        <f t="shared" si="135"/>
        <v>1</v>
      </c>
      <c r="W255" s="1030">
        <f t="shared" si="135"/>
        <v>1</v>
      </c>
      <c r="X255" s="1030">
        <f t="shared" si="135"/>
        <v>1</v>
      </c>
      <c r="Y255" s="1030">
        <f t="shared" si="135"/>
        <v>1</v>
      </c>
      <c r="Z255" s="1030">
        <f t="shared" si="135"/>
        <v>1</v>
      </c>
    </row>
    <row r="256" spans="2:28">
      <c r="C256" s="1128" t="s">
        <v>1087</v>
      </c>
      <c r="H256" s="1030"/>
      <c r="I256" s="1030"/>
      <c r="J256" s="1030"/>
      <c r="K256" s="1030"/>
      <c r="L256" s="1030"/>
      <c r="M256" s="1039"/>
      <c r="N256" s="1039">
        <v>0.15</v>
      </c>
      <c r="O256" s="1039">
        <v>0.25</v>
      </c>
      <c r="P256" s="1039">
        <v>0.4</v>
      </c>
      <c r="Q256" s="1039">
        <v>0.5</v>
      </c>
      <c r="R256" s="1039">
        <v>0.6</v>
      </c>
      <c r="S256" s="1039">
        <v>0.7</v>
      </c>
      <c r="T256" s="1039">
        <v>0.8</v>
      </c>
      <c r="U256" s="1039">
        <v>0.82</v>
      </c>
      <c r="V256" s="1039">
        <v>0.84049999999999991</v>
      </c>
      <c r="W256" s="1039">
        <v>0.86151249999999979</v>
      </c>
      <c r="X256" s="1039">
        <v>0.88305031249999966</v>
      </c>
      <c r="Y256" s="1039">
        <v>0.90512657031249955</v>
      </c>
      <c r="Z256" s="1039">
        <v>0.92775473457031199</v>
      </c>
    </row>
    <row r="258" spans="2:28">
      <c r="C258" s="1022" t="s">
        <v>1088</v>
      </c>
      <c r="M258" s="1041"/>
      <c r="N258" s="1041">
        <v>1</v>
      </c>
      <c r="O258" s="1022">
        <f>N258</f>
        <v>1</v>
      </c>
      <c r="P258" s="1022">
        <f t="shared" ref="P258:Z258" si="136">O258</f>
        <v>1</v>
      </c>
      <c r="Q258" s="1022">
        <f t="shared" si="136"/>
        <v>1</v>
      </c>
      <c r="R258" s="1022">
        <f t="shared" si="136"/>
        <v>1</v>
      </c>
      <c r="S258" s="1022">
        <f t="shared" si="136"/>
        <v>1</v>
      </c>
      <c r="T258" s="1022">
        <f t="shared" si="136"/>
        <v>1</v>
      </c>
      <c r="U258" s="1022">
        <f t="shared" si="136"/>
        <v>1</v>
      </c>
      <c r="V258" s="1022">
        <f t="shared" si="136"/>
        <v>1</v>
      </c>
      <c r="W258" s="1022">
        <f t="shared" si="136"/>
        <v>1</v>
      </c>
      <c r="X258" s="1022">
        <f t="shared" si="136"/>
        <v>1</v>
      </c>
      <c r="Y258" s="1022">
        <f t="shared" si="136"/>
        <v>1</v>
      </c>
      <c r="Z258" s="1022">
        <f t="shared" si="136"/>
        <v>1</v>
      </c>
    </row>
    <row r="260" spans="2:28">
      <c r="C260" s="1042" t="s">
        <v>1089</v>
      </c>
      <c r="J260" s="1043"/>
      <c r="K260" s="1025"/>
      <c r="L260" s="1025"/>
      <c r="M260" s="1026"/>
      <c r="N260" s="1049">
        <f>N244</f>
        <v>409.99999999999994</v>
      </c>
      <c r="O260" s="1044">
        <f>N260*(1+O261)</f>
        <v>420.24999999999989</v>
      </c>
      <c r="P260" s="1044">
        <f t="shared" ref="P260:Z260" si="137">O260*(1+P261)</f>
        <v>430.75624999999985</v>
      </c>
      <c r="Q260" s="1044">
        <f t="shared" si="137"/>
        <v>441.52515624999984</v>
      </c>
      <c r="R260" s="1044">
        <f t="shared" si="137"/>
        <v>452.56328515624978</v>
      </c>
      <c r="S260" s="1044">
        <f t="shared" si="137"/>
        <v>463.87736728515597</v>
      </c>
      <c r="T260" s="1044">
        <f t="shared" si="137"/>
        <v>475.47430146728482</v>
      </c>
      <c r="U260" s="1044">
        <f t="shared" si="137"/>
        <v>487.36115900396692</v>
      </c>
      <c r="V260" s="1044">
        <f t="shared" si="137"/>
        <v>499.54518797906604</v>
      </c>
      <c r="W260" s="1044">
        <f t="shared" si="137"/>
        <v>512.03381767854262</v>
      </c>
      <c r="X260" s="1044">
        <f t="shared" si="137"/>
        <v>524.83466312050609</v>
      </c>
      <c r="Y260" s="1044">
        <f t="shared" si="137"/>
        <v>537.95552969851872</v>
      </c>
      <c r="Z260" s="1044">
        <f t="shared" si="137"/>
        <v>551.4044179409816</v>
      </c>
    </row>
    <row r="261" spans="2:28">
      <c r="C261" s="1045" t="s">
        <v>368</v>
      </c>
      <c r="D261" s="1046"/>
      <c r="E261" s="1046"/>
      <c r="F261" s="1046"/>
      <c r="G261" s="1046"/>
      <c r="H261" s="1046"/>
      <c r="I261" s="1046"/>
      <c r="J261" s="1046"/>
      <c r="K261" s="1047"/>
      <c r="L261" s="1048"/>
      <c r="M261" s="1048"/>
      <c r="N261" s="1047"/>
      <c r="O261" s="1047">
        <v>2.5000000000000001E-2</v>
      </c>
      <c r="P261" s="1054">
        <f>O261</f>
        <v>2.5000000000000001E-2</v>
      </c>
      <c r="Q261" s="1054">
        <f t="shared" ref="Q261:Z261" si="138">P261</f>
        <v>2.5000000000000001E-2</v>
      </c>
      <c r="R261" s="1054">
        <f t="shared" si="138"/>
        <v>2.5000000000000001E-2</v>
      </c>
      <c r="S261" s="1054">
        <f t="shared" si="138"/>
        <v>2.5000000000000001E-2</v>
      </c>
      <c r="T261" s="1054">
        <f t="shared" si="138"/>
        <v>2.5000000000000001E-2</v>
      </c>
      <c r="U261" s="1054">
        <f t="shared" si="138"/>
        <v>2.5000000000000001E-2</v>
      </c>
      <c r="V261" s="1054">
        <f t="shared" si="138"/>
        <v>2.5000000000000001E-2</v>
      </c>
      <c r="W261" s="1054">
        <f t="shared" si="138"/>
        <v>2.5000000000000001E-2</v>
      </c>
      <c r="X261" s="1054">
        <f t="shared" si="138"/>
        <v>2.5000000000000001E-2</v>
      </c>
      <c r="Y261" s="1054">
        <f t="shared" si="138"/>
        <v>2.5000000000000001E-2</v>
      </c>
      <c r="Z261" s="1054">
        <f t="shared" si="138"/>
        <v>2.5000000000000001E-2</v>
      </c>
      <c r="AA261" s="1046"/>
      <c r="AB261" s="1046"/>
    </row>
    <row r="262" spans="2:28">
      <c r="C262" s="1045"/>
      <c r="D262" s="1046"/>
      <c r="E262" s="1046"/>
      <c r="F262" s="1046"/>
      <c r="G262" s="1046"/>
      <c r="H262" s="1046"/>
      <c r="I262" s="1046"/>
      <c r="J262" s="1046"/>
      <c r="K262" s="1047"/>
      <c r="L262" s="1048"/>
      <c r="M262" s="1048"/>
      <c r="N262" s="1048"/>
      <c r="O262" s="1048"/>
      <c r="P262" s="1048"/>
      <c r="Q262" s="1048"/>
      <c r="R262" s="1048"/>
      <c r="S262" s="1048"/>
      <c r="T262" s="1048"/>
      <c r="U262" s="1048"/>
      <c r="V262" s="1048"/>
      <c r="W262" s="1048"/>
      <c r="X262" s="1048"/>
      <c r="Y262" s="1048"/>
      <c r="Z262" s="1048"/>
      <c r="AA262" s="1046"/>
      <c r="AB262" s="1046"/>
    </row>
    <row r="263" spans="2:28" ht="13.5" thickBot="1">
      <c r="B263" s="1206" t="s">
        <v>78</v>
      </c>
      <c r="C263" s="1171" t="s">
        <v>1093</v>
      </c>
      <c r="D263" s="1172"/>
      <c r="E263" s="1172"/>
      <c r="F263" s="1172"/>
      <c r="G263" s="1172"/>
      <c r="H263" s="1172"/>
      <c r="I263" s="1172"/>
      <c r="J263" s="1173"/>
      <c r="K263" s="1173"/>
      <c r="L263" s="1173"/>
      <c r="M263" s="1173"/>
      <c r="N263" s="1174">
        <f t="shared" ref="N263:Z263" si="139">N215*N258*N260*N253*N256/1000</f>
        <v>0</v>
      </c>
      <c r="O263" s="1174">
        <f t="shared" si="139"/>
        <v>0</v>
      </c>
      <c r="P263" s="1174">
        <f t="shared" si="139"/>
        <v>0</v>
      </c>
      <c r="Q263" s="1174">
        <f t="shared" si="139"/>
        <v>0</v>
      </c>
      <c r="R263" s="1174">
        <f t="shared" si="139"/>
        <v>0</v>
      </c>
      <c r="S263" s="1174">
        <f t="shared" si="139"/>
        <v>0</v>
      </c>
      <c r="T263" s="1174">
        <f t="shared" si="139"/>
        <v>0</v>
      </c>
      <c r="U263" s="1174">
        <f t="shared" si="139"/>
        <v>0</v>
      </c>
      <c r="V263" s="1174">
        <f t="shared" si="139"/>
        <v>0</v>
      </c>
      <c r="W263" s="1174">
        <f t="shared" si="139"/>
        <v>0</v>
      </c>
      <c r="X263" s="1174">
        <f t="shared" si="139"/>
        <v>0</v>
      </c>
      <c r="Y263" s="1174">
        <f t="shared" si="139"/>
        <v>0</v>
      </c>
      <c r="Z263" s="1174">
        <f t="shared" si="139"/>
        <v>0</v>
      </c>
    </row>
    <row r="264" spans="2:28" ht="13.5" thickTop="1"/>
    <row r="266" spans="2:28" hidden="1" outlineLevel="1"/>
    <row r="267" spans="2:28" hidden="1" outlineLevel="1">
      <c r="C267" s="1022" t="s">
        <v>1097</v>
      </c>
      <c r="J267" s="1152">
        <f>J204/J203</f>
        <v>0.23376623376623376</v>
      </c>
      <c r="K267" s="1152">
        <f>J267*0.99</f>
        <v>0.23142857142857143</v>
      </c>
      <c r="L267" s="1152">
        <f t="shared" ref="L267:Z268" si="140">K267*0.99</f>
        <v>0.22911428571428571</v>
      </c>
      <c r="M267" s="1152">
        <f t="shared" si="140"/>
        <v>0.22682314285714286</v>
      </c>
      <c r="N267" s="1152">
        <f t="shared" si="140"/>
        <v>0.22455491142857142</v>
      </c>
      <c r="O267" s="1152">
        <f t="shared" si="140"/>
        <v>0.22230936231428572</v>
      </c>
      <c r="P267" s="1152">
        <f t="shared" si="140"/>
        <v>0.22008626869114287</v>
      </c>
      <c r="Q267" s="1152">
        <f t="shared" si="140"/>
        <v>0.21788540600423142</v>
      </c>
      <c r="R267" s="1152">
        <f t="shared" si="140"/>
        <v>0.21570655194418911</v>
      </c>
      <c r="S267" s="1152">
        <f t="shared" si="140"/>
        <v>0.21354948642474722</v>
      </c>
      <c r="T267" s="1152">
        <f t="shared" si="140"/>
        <v>0.21141399156049975</v>
      </c>
      <c r="U267" s="1152">
        <f t="shared" si="140"/>
        <v>0.20929985164489476</v>
      </c>
      <c r="V267" s="1152">
        <f t="shared" si="140"/>
        <v>0.20720685312844581</v>
      </c>
      <c r="W267" s="1152">
        <f t="shared" si="140"/>
        <v>0.20513478459716133</v>
      </c>
      <c r="X267" s="1152">
        <f t="shared" si="140"/>
        <v>0.20308343675118973</v>
      </c>
      <c r="Y267" s="1152">
        <f t="shared" si="140"/>
        <v>0.20105260238367784</v>
      </c>
      <c r="Z267" s="1152">
        <f t="shared" si="140"/>
        <v>0.19904207635984106</v>
      </c>
    </row>
    <row r="268" spans="2:28" hidden="1" outlineLevel="1">
      <c r="C268" s="1022" t="s">
        <v>1098</v>
      </c>
      <c r="J268" s="1152">
        <f>J220/J219</f>
        <v>0.36734693877551022</v>
      </c>
      <c r="K268" s="1152">
        <f>J268*0.99</f>
        <v>0.36367346938775513</v>
      </c>
      <c r="L268" s="1152">
        <f t="shared" si="140"/>
        <v>0.36003673469387759</v>
      </c>
      <c r="M268" s="1152">
        <f t="shared" si="140"/>
        <v>0.35643636734693879</v>
      </c>
      <c r="N268" s="1152">
        <f t="shared" si="140"/>
        <v>0.35287200367346938</v>
      </c>
      <c r="O268" s="1152">
        <f t="shared" si="140"/>
        <v>0.34934328363673467</v>
      </c>
      <c r="P268" s="1152">
        <f t="shared" si="140"/>
        <v>0.34584985080036734</v>
      </c>
      <c r="Q268" s="1152">
        <f t="shared" si="140"/>
        <v>0.34239135229236367</v>
      </c>
      <c r="R268" s="1152">
        <f t="shared" si="140"/>
        <v>0.33896743876944002</v>
      </c>
      <c r="S268" s="1152">
        <f t="shared" si="140"/>
        <v>0.33557776438174564</v>
      </c>
      <c r="T268" s="1152">
        <f t="shared" si="140"/>
        <v>0.33222198673792819</v>
      </c>
      <c r="U268" s="1152">
        <f t="shared" si="140"/>
        <v>0.32889976687054889</v>
      </c>
      <c r="V268" s="1152">
        <f t="shared" si="140"/>
        <v>0.3256107692018434</v>
      </c>
      <c r="W268" s="1152">
        <f t="shared" si="140"/>
        <v>0.32235466150982495</v>
      </c>
      <c r="X268" s="1152">
        <f t="shared" si="140"/>
        <v>0.31913111489472668</v>
      </c>
      <c r="Y268" s="1152">
        <f t="shared" si="140"/>
        <v>0.3159398037457794</v>
      </c>
      <c r="Z268" s="1152">
        <f t="shared" si="140"/>
        <v>0.31278040570832161</v>
      </c>
    </row>
    <row r="269" spans="2:28" hidden="1" outlineLevel="1"/>
    <row r="270" spans="2:28" hidden="1" outlineLevel="1"/>
    <row r="271" spans="2:28" hidden="1" outlineLevel="1">
      <c r="C271" s="1022" t="s">
        <v>126</v>
      </c>
    </row>
    <row r="272" spans="2:28" hidden="1" outlineLevel="1">
      <c r="C272" s="1022" t="s">
        <v>463</v>
      </c>
      <c r="D272" s="1194">
        <f>D273*1.25</f>
        <v>500</v>
      </c>
    </row>
    <row r="273" spans="3:28" hidden="1" outlineLevel="1">
      <c r="C273" s="1022" t="s">
        <v>464</v>
      </c>
      <c r="D273" s="1194">
        <v>400</v>
      </c>
    </row>
    <row r="274" spans="3:28" hidden="1" outlineLevel="1">
      <c r="C274" s="1022" t="s">
        <v>462</v>
      </c>
      <c r="D274" s="1194">
        <f>D273*0.75</f>
        <v>300</v>
      </c>
    </row>
    <row r="275" spans="3:28" hidden="1" outlineLevel="1"/>
    <row r="276" spans="3:28" hidden="1" outlineLevel="1">
      <c r="C276" s="1022" t="s">
        <v>1099</v>
      </c>
    </row>
    <row r="277" spans="3:28" hidden="1" outlineLevel="1">
      <c r="C277" s="1022" t="s">
        <v>463</v>
      </c>
      <c r="D277" s="1022">
        <v>1.5</v>
      </c>
    </row>
    <row r="278" spans="3:28" hidden="1" outlineLevel="1">
      <c r="C278" s="1022" t="s">
        <v>464</v>
      </c>
      <c r="D278" s="1022">
        <v>1.1000000000000001</v>
      </c>
    </row>
    <row r="279" spans="3:28" hidden="1" outlineLevel="1">
      <c r="C279" s="1022" t="s">
        <v>462</v>
      </c>
      <c r="D279" s="1022">
        <v>1</v>
      </c>
    </row>
    <row r="280" spans="3:28" hidden="1" outlineLevel="1"/>
    <row r="281" spans="3:28" hidden="1" outlineLevel="1"/>
    <row r="282" spans="3:28" hidden="1" outlineLevel="1"/>
    <row r="283" spans="3:28" collapsed="1">
      <c r="C283" s="1021"/>
      <c r="D283" s="1021">
        <v>2008</v>
      </c>
      <c r="E283" s="1021">
        <f>D283+1</f>
        <v>2009</v>
      </c>
      <c r="F283" s="1021">
        <f t="shared" ref="F283:Z283" si="141">E283+1</f>
        <v>2010</v>
      </c>
      <c r="G283" s="1021">
        <f t="shared" si="141"/>
        <v>2011</v>
      </c>
      <c r="H283" s="1021">
        <f t="shared" si="141"/>
        <v>2012</v>
      </c>
      <c r="I283" s="1021">
        <f t="shared" si="141"/>
        <v>2013</v>
      </c>
      <c r="J283" s="1021">
        <f t="shared" si="141"/>
        <v>2014</v>
      </c>
      <c r="K283" s="1021">
        <f t="shared" si="141"/>
        <v>2015</v>
      </c>
      <c r="L283" s="1021">
        <f t="shared" si="141"/>
        <v>2016</v>
      </c>
      <c r="M283" s="1021">
        <f t="shared" si="141"/>
        <v>2017</v>
      </c>
      <c r="N283" s="1021">
        <f t="shared" si="141"/>
        <v>2018</v>
      </c>
      <c r="O283" s="1021">
        <f t="shared" si="141"/>
        <v>2019</v>
      </c>
      <c r="P283" s="1021">
        <f t="shared" si="141"/>
        <v>2020</v>
      </c>
      <c r="Q283" s="1021">
        <f t="shared" si="141"/>
        <v>2021</v>
      </c>
      <c r="R283" s="1021">
        <f t="shared" si="141"/>
        <v>2022</v>
      </c>
      <c r="S283" s="1021">
        <f t="shared" si="141"/>
        <v>2023</v>
      </c>
      <c r="T283" s="1021">
        <f t="shared" si="141"/>
        <v>2024</v>
      </c>
      <c r="U283" s="1021">
        <f t="shared" si="141"/>
        <v>2025</v>
      </c>
      <c r="V283" s="1021">
        <f t="shared" si="141"/>
        <v>2026</v>
      </c>
      <c r="W283" s="1021">
        <f t="shared" si="141"/>
        <v>2027</v>
      </c>
      <c r="X283" s="1021">
        <f t="shared" si="141"/>
        <v>2028</v>
      </c>
      <c r="Y283" s="1021">
        <f t="shared" si="141"/>
        <v>2029</v>
      </c>
      <c r="Z283" s="1021">
        <f t="shared" si="141"/>
        <v>2030</v>
      </c>
    </row>
    <row r="284" spans="3:28" hidden="1">
      <c r="C284" s="1022" t="s">
        <v>1100</v>
      </c>
      <c r="J284" s="1026">
        <v>507.5</v>
      </c>
      <c r="K284" s="1025">
        <f>J284*(1+K285)</f>
        <v>509.53000000000003</v>
      </c>
      <c r="L284" s="1025">
        <f t="shared" ref="L284:V284" si="142">K284*(1+L285)</f>
        <v>511.56812000000002</v>
      </c>
      <c r="M284" s="1025">
        <f t="shared" si="142"/>
        <v>513.61439247999999</v>
      </c>
      <c r="N284" s="1025">
        <f t="shared" si="142"/>
        <v>515.66885004992002</v>
      </c>
      <c r="O284" s="1025">
        <f t="shared" si="142"/>
        <v>517.73152545011976</v>
      </c>
      <c r="P284" s="1025">
        <f t="shared" si="142"/>
        <v>519.80245155192029</v>
      </c>
      <c r="Q284" s="1025">
        <f t="shared" si="142"/>
        <v>521.88166135812799</v>
      </c>
      <c r="R284" s="1025">
        <f t="shared" si="142"/>
        <v>523.96918800356048</v>
      </c>
      <c r="S284" s="1025">
        <f t="shared" si="142"/>
        <v>526.06506475557467</v>
      </c>
      <c r="T284" s="1025">
        <f t="shared" si="142"/>
        <v>528.16932501459701</v>
      </c>
      <c r="U284" s="1025">
        <f t="shared" si="142"/>
        <v>530.28200231465541</v>
      </c>
      <c r="V284" s="1025">
        <f t="shared" si="142"/>
        <v>532.40313032391407</v>
      </c>
      <c r="W284" s="1025">
        <f>V284*(1+W285)</f>
        <v>534.53274284520978</v>
      </c>
      <c r="X284" s="1025">
        <f>W284*(1+X285)</f>
        <v>536.67087381659064</v>
      </c>
      <c r="Y284" s="1025">
        <f>X284*(1+Y285)</f>
        <v>538.81755731185706</v>
      </c>
      <c r="Z284" s="1025">
        <f>Y284*(1+Z285)</f>
        <v>540.97282754110449</v>
      </c>
      <c r="AA284" s="1027"/>
      <c r="AB284" s="1025" t="s">
        <v>1101</v>
      </c>
    </row>
    <row r="285" spans="3:28" hidden="1">
      <c r="C285" s="1022" t="s">
        <v>1102</v>
      </c>
      <c r="J285" s="1025"/>
      <c r="K285" s="1195">
        <v>4.0000000000000001E-3</v>
      </c>
      <c r="L285" s="1196">
        <f>K285</f>
        <v>4.0000000000000001E-3</v>
      </c>
      <c r="M285" s="1196">
        <f t="shared" ref="M285:Z285" si="143">L285</f>
        <v>4.0000000000000001E-3</v>
      </c>
      <c r="N285" s="1196">
        <f t="shared" si="143"/>
        <v>4.0000000000000001E-3</v>
      </c>
      <c r="O285" s="1196">
        <f t="shared" si="143"/>
        <v>4.0000000000000001E-3</v>
      </c>
      <c r="P285" s="1196">
        <f t="shared" si="143"/>
        <v>4.0000000000000001E-3</v>
      </c>
      <c r="Q285" s="1196">
        <f t="shared" si="143"/>
        <v>4.0000000000000001E-3</v>
      </c>
      <c r="R285" s="1196">
        <f t="shared" si="143"/>
        <v>4.0000000000000001E-3</v>
      </c>
      <c r="S285" s="1196">
        <f t="shared" si="143"/>
        <v>4.0000000000000001E-3</v>
      </c>
      <c r="T285" s="1196">
        <f t="shared" si="143"/>
        <v>4.0000000000000001E-3</v>
      </c>
      <c r="U285" s="1196">
        <f t="shared" si="143"/>
        <v>4.0000000000000001E-3</v>
      </c>
      <c r="V285" s="1196">
        <f t="shared" si="143"/>
        <v>4.0000000000000001E-3</v>
      </c>
      <c r="W285" s="1196">
        <f t="shared" si="143"/>
        <v>4.0000000000000001E-3</v>
      </c>
      <c r="X285" s="1196">
        <f t="shared" si="143"/>
        <v>4.0000000000000001E-3</v>
      </c>
      <c r="Y285" s="1196">
        <f t="shared" si="143"/>
        <v>4.0000000000000001E-3</v>
      </c>
      <c r="Z285" s="1196">
        <f t="shared" si="143"/>
        <v>4.0000000000000001E-3</v>
      </c>
      <c r="AA285" s="1027"/>
      <c r="AB285" s="1025" t="s">
        <v>1103</v>
      </c>
    </row>
    <row r="286" spans="3:28">
      <c r="C286" s="1023" t="s">
        <v>1104</v>
      </c>
      <c r="D286" s="1024"/>
      <c r="E286" s="1024"/>
      <c r="F286" s="1024"/>
      <c r="G286" s="1024"/>
      <c r="H286" s="1024"/>
      <c r="I286" s="1024"/>
      <c r="J286" s="1024"/>
      <c r="K286" s="1024"/>
      <c r="L286" s="1024"/>
      <c r="M286" s="1024"/>
      <c r="N286" s="1024"/>
      <c r="O286" s="1024"/>
      <c r="P286" s="1024"/>
      <c r="Q286" s="1024"/>
      <c r="R286" s="1024"/>
      <c r="S286" s="1024"/>
      <c r="T286" s="1024"/>
      <c r="U286" s="1024"/>
      <c r="V286" s="1024"/>
      <c r="W286" s="1024"/>
      <c r="X286" s="1024"/>
      <c r="Y286" s="1024"/>
      <c r="Z286" s="1024"/>
    </row>
    <row r="287" spans="3:28">
      <c r="C287" s="1022" t="s">
        <v>434</v>
      </c>
      <c r="D287" s="1025"/>
      <c r="E287" s="1025"/>
      <c r="F287" s="1025"/>
      <c r="G287" s="1025"/>
      <c r="H287" s="1025"/>
      <c r="I287" s="1025"/>
      <c r="J287" s="1026">
        <f>50000*0.5</f>
        <v>25000</v>
      </c>
      <c r="K287" s="1025">
        <f>J287+J288-J289-J290</f>
        <v>26316.5</v>
      </c>
      <c r="L287" s="1025">
        <f>K287+K288-K289-K290</f>
        <v>27585.302319999999</v>
      </c>
      <c r="M287" s="1025">
        <f t="shared" ref="M287:Y287" si="144">L287+L288-L289-L290</f>
        <v>28808.816870907202</v>
      </c>
      <c r="N287" s="1025">
        <f t="shared" si="144"/>
        <v>29989.333454984604</v>
      </c>
      <c r="O287" s="1025">
        <f t="shared" si="144"/>
        <v>31129.02777109859</v>
      </c>
      <c r="P287" s="1025">
        <f t="shared" si="144"/>
        <v>32229.967119713852</v>
      </c>
      <c r="Q287" s="1025">
        <f t="shared" si="144"/>
        <v>33294.115822648266</v>
      </c>
      <c r="R287" s="1025">
        <f t="shared" si="144"/>
        <v>34323.340371849721</v>
      </c>
      <c r="S287" s="1025">
        <f t="shared" si="144"/>
        <v>35319.414320743723</v>
      </c>
      <c r="T287" s="1025">
        <f t="shared" si="144"/>
        <v>36284.022931023268</v>
      </c>
      <c r="U287" s="1025">
        <f t="shared" si="144"/>
        <v>37218.76758710885</v>
      </c>
      <c r="V287" s="1025">
        <f t="shared" si="144"/>
        <v>38125.169989894988</v>
      </c>
      <c r="W287" s="1025">
        <f t="shared" si="144"/>
        <v>39004.676140819072</v>
      </c>
      <c r="X287" s="1025">
        <f t="shared" si="144"/>
        <v>39858.660126736206</v>
      </c>
      <c r="Y287" s="1025">
        <f t="shared" si="144"/>
        <v>40688.427715559905</v>
      </c>
      <c r="Z287" s="1025">
        <f>Y287+Y288-Y289-Y290</f>
        <v>41495.219772130236</v>
      </c>
      <c r="AA287" s="1027"/>
      <c r="AB287" s="1022" t="s">
        <v>1105</v>
      </c>
    </row>
    <row r="288" spans="3:28">
      <c r="C288" s="1022" t="s">
        <v>100</v>
      </c>
      <c r="D288" s="1025"/>
      <c r="E288" s="1025"/>
      <c r="F288" s="1025"/>
      <c r="G288" s="1025"/>
      <c r="H288" s="1025"/>
      <c r="I288" s="1025"/>
      <c r="J288" s="1025">
        <f>J284*10*1.1*0.6</f>
        <v>3349.5</v>
      </c>
      <c r="K288" s="1025">
        <f>K284*10*1.1*0.6</f>
        <v>3362.8980000000006</v>
      </c>
      <c r="L288" s="1025">
        <f>L284*10*1.1*0.6</f>
        <v>3376.3495920000005</v>
      </c>
      <c r="M288" s="1025">
        <f t="shared" ref="M288:Z288" si="145">M284*10*1.1*0.6</f>
        <v>3389.854990368</v>
      </c>
      <c r="N288" s="1025">
        <f t="shared" si="145"/>
        <v>3403.414410329472</v>
      </c>
      <c r="O288" s="1025">
        <f t="shared" si="145"/>
        <v>3417.0280679707907</v>
      </c>
      <c r="P288" s="1025">
        <f t="shared" si="145"/>
        <v>3430.696180242674</v>
      </c>
      <c r="Q288" s="1025">
        <f t="shared" si="145"/>
        <v>3444.4189649636451</v>
      </c>
      <c r="R288" s="1025">
        <f t="shared" si="145"/>
        <v>3458.1966408234994</v>
      </c>
      <c r="S288" s="1025">
        <f t="shared" si="145"/>
        <v>3472.029427386793</v>
      </c>
      <c r="T288" s="1025">
        <f t="shared" si="145"/>
        <v>3485.9175450963407</v>
      </c>
      <c r="U288" s="1025">
        <f t="shared" si="145"/>
        <v>3499.8612152767259</v>
      </c>
      <c r="V288" s="1025">
        <f t="shared" si="145"/>
        <v>3513.8606601378328</v>
      </c>
      <c r="W288" s="1025">
        <f t="shared" si="145"/>
        <v>3527.9161027783844</v>
      </c>
      <c r="X288" s="1025">
        <f t="shared" si="145"/>
        <v>3542.0277671894983</v>
      </c>
      <c r="Y288" s="1025">
        <f t="shared" si="145"/>
        <v>3556.1958782582569</v>
      </c>
      <c r="Z288" s="1025">
        <f t="shared" si="145"/>
        <v>3570.4206617712898</v>
      </c>
      <c r="AB288" s="1022" t="s">
        <v>1106</v>
      </c>
    </row>
    <row r="289" spans="2:30">
      <c r="C289" s="1022" t="s">
        <v>101</v>
      </c>
      <c r="D289" s="1025"/>
      <c r="E289" s="1025"/>
      <c r="F289" s="1025"/>
      <c r="G289" s="1025"/>
      <c r="H289" s="1025"/>
      <c r="I289" s="1025"/>
      <c r="J289" s="1035">
        <f t="shared" ref="J289:Z289" si="146">J288*J345</f>
        <v>783</v>
      </c>
      <c r="K289" s="1035">
        <f t="shared" si="146"/>
        <v>778.27068000000008</v>
      </c>
      <c r="L289" s="1035">
        <f t="shared" si="146"/>
        <v>773.56992509280008</v>
      </c>
      <c r="M289" s="1035">
        <f t="shared" si="146"/>
        <v>768.8975627452395</v>
      </c>
      <c r="N289" s="1035">
        <f t="shared" si="146"/>
        <v>764.25342146625826</v>
      </c>
      <c r="O289" s="1035">
        <f t="shared" si="146"/>
        <v>759.63733080060229</v>
      </c>
      <c r="P289" s="1035">
        <f t="shared" si="146"/>
        <v>755.04912132256663</v>
      </c>
      <c r="Q289" s="1035">
        <f t="shared" si="146"/>
        <v>750.48862462977843</v>
      </c>
      <c r="R289" s="1035">
        <f t="shared" si="146"/>
        <v>745.95567333701445</v>
      </c>
      <c r="S289" s="1035">
        <f t="shared" si="146"/>
        <v>741.45010107005885</v>
      </c>
      <c r="T289" s="1035">
        <f t="shared" si="146"/>
        <v>736.97174245959582</v>
      </c>
      <c r="U289" s="1035">
        <f t="shared" si="146"/>
        <v>732.5204331351398</v>
      </c>
      <c r="V289" s="1035">
        <f t="shared" si="146"/>
        <v>728.09600971900352</v>
      </c>
      <c r="W289" s="1035">
        <f t="shared" si="146"/>
        <v>723.69830982030078</v>
      </c>
      <c r="X289" s="1035">
        <f t="shared" si="146"/>
        <v>719.3271720289863</v>
      </c>
      <c r="Y289" s="1035">
        <f t="shared" si="146"/>
        <v>714.98243590993127</v>
      </c>
      <c r="Z289" s="1035">
        <f t="shared" si="146"/>
        <v>710.66394199703529</v>
      </c>
      <c r="AB289" s="1022" t="s">
        <v>1107</v>
      </c>
    </row>
    <row r="290" spans="2:30">
      <c r="C290" s="1022" t="s">
        <v>1070</v>
      </c>
      <c r="D290" s="1035"/>
      <c r="E290" s="1035"/>
      <c r="F290" s="1035"/>
      <c r="G290" s="1035"/>
      <c r="H290" s="1035"/>
      <c r="I290" s="1035"/>
      <c r="J290" s="1035">
        <f t="shared" ref="J290:Z290" si="147">J287*0.05</f>
        <v>1250</v>
      </c>
      <c r="K290" s="1035">
        <f t="shared" si="147"/>
        <v>1315.825</v>
      </c>
      <c r="L290" s="1035">
        <f t="shared" si="147"/>
        <v>1379.265116</v>
      </c>
      <c r="M290" s="1035">
        <f t="shared" si="147"/>
        <v>1440.4408435453602</v>
      </c>
      <c r="N290" s="1035">
        <f t="shared" si="147"/>
        <v>1499.4666727492304</v>
      </c>
      <c r="O290" s="1035">
        <f t="shared" si="147"/>
        <v>1556.4513885549295</v>
      </c>
      <c r="P290" s="1035">
        <f t="shared" si="147"/>
        <v>1611.4983559856928</v>
      </c>
      <c r="Q290" s="1035">
        <f t="shared" si="147"/>
        <v>1664.7057911324134</v>
      </c>
      <c r="R290" s="1035">
        <f t="shared" si="147"/>
        <v>1716.1670185924861</v>
      </c>
      <c r="S290" s="1035">
        <f t="shared" si="147"/>
        <v>1765.9707160371863</v>
      </c>
      <c r="T290" s="1035">
        <f t="shared" si="147"/>
        <v>1814.2011465511634</v>
      </c>
      <c r="U290" s="1035">
        <f t="shared" si="147"/>
        <v>1860.9383793554425</v>
      </c>
      <c r="V290" s="1035">
        <f t="shared" si="147"/>
        <v>1906.2584994947495</v>
      </c>
      <c r="W290" s="1035">
        <f t="shared" si="147"/>
        <v>1950.2338070409537</v>
      </c>
      <c r="X290" s="1035">
        <f t="shared" si="147"/>
        <v>1992.9330063368104</v>
      </c>
      <c r="Y290" s="1035">
        <f t="shared" si="147"/>
        <v>2034.4213857779953</v>
      </c>
      <c r="Z290" s="1035">
        <f t="shared" si="147"/>
        <v>2074.760988606512</v>
      </c>
    </row>
    <row r="292" spans="2:30">
      <c r="C292" s="1022" t="s">
        <v>1071</v>
      </c>
      <c r="D292" s="1026"/>
      <c r="E292" s="1026"/>
      <c r="F292" s="1026"/>
      <c r="G292" s="1026"/>
      <c r="H292" s="1026"/>
      <c r="I292" s="1025"/>
      <c r="J292" s="1025">
        <f>J287*0.15</f>
        <v>3750</v>
      </c>
      <c r="K292" s="1025">
        <f t="shared" ref="K292:Z292" si="148">K287*0.2</f>
        <v>5263.3</v>
      </c>
      <c r="L292" s="1025">
        <f t="shared" si="148"/>
        <v>5517.0604640000001</v>
      </c>
      <c r="M292" s="1025">
        <f t="shared" si="148"/>
        <v>5761.7633741814407</v>
      </c>
      <c r="N292" s="1025">
        <f t="shared" si="148"/>
        <v>5997.8666909969215</v>
      </c>
      <c r="O292" s="1025">
        <f t="shared" si="148"/>
        <v>6225.805554219718</v>
      </c>
      <c r="P292" s="1025">
        <f t="shared" si="148"/>
        <v>6445.9934239427712</v>
      </c>
      <c r="Q292" s="1025">
        <f t="shared" si="148"/>
        <v>6658.8231645296537</v>
      </c>
      <c r="R292" s="1025">
        <f t="shared" si="148"/>
        <v>6864.6680743699444</v>
      </c>
      <c r="S292" s="1025">
        <f t="shared" si="148"/>
        <v>7063.8828641487453</v>
      </c>
      <c r="T292" s="1025">
        <f t="shared" si="148"/>
        <v>7256.8045862046538</v>
      </c>
      <c r="U292" s="1025">
        <f t="shared" si="148"/>
        <v>7443.7535174217701</v>
      </c>
      <c r="V292" s="1025">
        <f t="shared" si="148"/>
        <v>7625.0339979789978</v>
      </c>
      <c r="W292" s="1025">
        <f t="shared" si="148"/>
        <v>7800.9352281638148</v>
      </c>
      <c r="X292" s="1025">
        <f t="shared" si="148"/>
        <v>7971.7320253472417</v>
      </c>
      <c r="Y292" s="1025">
        <f t="shared" si="148"/>
        <v>8137.6855431119811</v>
      </c>
      <c r="Z292" s="1025">
        <f t="shared" si="148"/>
        <v>8299.043954426048</v>
      </c>
      <c r="AB292" s="1022" t="s">
        <v>1072</v>
      </c>
    </row>
    <row r="293" spans="2:30">
      <c r="C293" s="1028"/>
      <c r="D293" s="1029"/>
      <c r="E293" s="1029"/>
      <c r="F293" s="1029"/>
      <c r="G293" s="1029"/>
      <c r="H293" s="1030"/>
      <c r="I293" s="1029"/>
      <c r="J293" s="1190"/>
      <c r="K293" s="1029"/>
      <c r="L293" s="1029"/>
      <c r="M293" s="1029"/>
      <c r="N293" s="1029"/>
      <c r="O293" s="1029"/>
      <c r="P293" s="1029"/>
      <c r="Q293" s="1029"/>
      <c r="R293" s="1029"/>
      <c r="S293" s="1029"/>
      <c r="T293" s="1029"/>
      <c r="U293" s="1029"/>
      <c r="V293" s="1029"/>
      <c r="W293" s="1029"/>
      <c r="X293" s="1029"/>
      <c r="Y293" s="1029"/>
      <c r="Z293" s="1029"/>
      <c r="AB293" s="1022" t="s">
        <v>1073</v>
      </c>
    </row>
    <row r="294" spans="2:30">
      <c r="C294" s="1022" t="s">
        <v>294</v>
      </c>
      <c r="D294" s="1025"/>
      <c r="E294" s="1025"/>
      <c r="F294" s="1025"/>
      <c r="G294" s="1025"/>
      <c r="H294" s="1025"/>
      <c r="I294" s="1025"/>
      <c r="J294" s="1025">
        <f t="shared" ref="J294:Z294" si="149">J289*80%</f>
        <v>626.40000000000009</v>
      </c>
      <c r="K294" s="1025">
        <f t="shared" si="149"/>
        <v>622.61654400000009</v>
      </c>
      <c r="L294" s="1025">
        <f t="shared" si="149"/>
        <v>618.85594007424015</v>
      </c>
      <c r="M294" s="1025">
        <f t="shared" si="149"/>
        <v>615.11805019619169</v>
      </c>
      <c r="N294" s="1025">
        <f t="shared" si="149"/>
        <v>611.40273717300659</v>
      </c>
      <c r="O294" s="1025">
        <f t="shared" si="149"/>
        <v>607.7098646404819</v>
      </c>
      <c r="P294" s="1025">
        <f t="shared" si="149"/>
        <v>604.03929705805331</v>
      </c>
      <c r="Q294" s="1025">
        <f t="shared" si="149"/>
        <v>600.39089970382281</v>
      </c>
      <c r="R294" s="1025">
        <f t="shared" si="149"/>
        <v>596.76453866961162</v>
      </c>
      <c r="S294" s="1025">
        <f t="shared" si="149"/>
        <v>593.1600808560471</v>
      </c>
      <c r="T294" s="1025">
        <f t="shared" si="149"/>
        <v>589.5773939676767</v>
      </c>
      <c r="U294" s="1025">
        <f t="shared" si="149"/>
        <v>586.01634650811184</v>
      </c>
      <c r="V294" s="1025">
        <f t="shared" si="149"/>
        <v>582.47680777520281</v>
      </c>
      <c r="W294" s="1025">
        <f t="shared" si="149"/>
        <v>578.95864785624065</v>
      </c>
      <c r="X294" s="1025">
        <f t="shared" si="149"/>
        <v>575.46173762318904</v>
      </c>
      <c r="Y294" s="1025">
        <f t="shared" si="149"/>
        <v>571.98594872794501</v>
      </c>
      <c r="Z294" s="1025">
        <f t="shared" si="149"/>
        <v>568.5311535976283</v>
      </c>
      <c r="AA294" s="1025"/>
      <c r="AB294" s="1025"/>
      <c r="AC294" s="1025"/>
      <c r="AD294" s="1025"/>
    </row>
    <row r="295" spans="2:30">
      <c r="C295" s="1028" t="s">
        <v>1074</v>
      </c>
      <c r="D295" s="1029"/>
      <c r="E295" s="1029"/>
      <c r="F295" s="1029"/>
      <c r="G295" s="1029"/>
      <c r="H295" s="1029"/>
      <c r="I295" s="1029"/>
      <c r="J295" s="1029">
        <f t="shared" ref="J295:Z295" si="150">J294/J292</f>
        <v>0.16704000000000002</v>
      </c>
      <c r="K295" s="1029">
        <f t="shared" si="150"/>
        <v>0.11829394942336559</v>
      </c>
      <c r="L295" s="1029">
        <f t="shared" si="150"/>
        <v>0.11217131733690569</v>
      </c>
      <c r="M295" s="1029">
        <f t="shared" si="150"/>
        <v>0.10675864492327923</v>
      </c>
      <c r="N295" s="1029">
        <f t="shared" si="150"/>
        <v>0.10193669994212287</v>
      </c>
      <c r="O295" s="1029">
        <f t="shared" si="150"/>
        <v>9.7611443105316567E-2</v>
      </c>
      <c r="P295" s="1029">
        <f t="shared" si="150"/>
        <v>9.3707712268900401E-2</v>
      </c>
      <c r="Q295" s="1029">
        <f t="shared" si="150"/>
        <v>9.0164716026999561E-2</v>
      </c>
      <c r="R295" s="1029">
        <f t="shared" si="150"/>
        <v>8.6932759487338224E-2</v>
      </c>
      <c r="S295" s="1029">
        <f t="shared" si="150"/>
        <v>8.3970826281181216E-2</v>
      </c>
      <c r="T295" s="1029">
        <f t="shared" si="150"/>
        <v>8.1244766475932997E-2</v>
      </c>
      <c r="U295" s="1029">
        <f t="shared" si="150"/>
        <v>7.8725920348728232E-2</v>
      </c>
      <c r="V295" s="1029">
        <f t="shared" si="150"/>
        <v>7.6390060415414185E-2</v>
      </c>
      <c r="W295" s="1029">
        <f t="shared" si="150"/>
        <v>7.4216569029572119E-2</v>
      </c>
      <c r="X295" s="1029">
        <f t="shared" si="150"/>
        <v>7.218779253911542E-2</v>
      </c>
      <c r="Y295" s="1029">
        <f t="shared" si="150"/>
        <v>7.0288529299598432E-2</v>
      </c>
      <c r="Z295" s="1029">
        <f t="shared" si="150"/>
        <v>6.850562025212785E-2</v>
      </c>
      <c r="AA295" s="1029"/>
      <c r="AB295" s="1029"/>
      <c r="AC295" s="1029"/>
      <c r="AD295" s="1029"/>
    </row>
    <row r="296" spans="2:30">
      <c r="C296" s="1028"/>
      <c r="D296" s="1029"/>
      <c r="E296" s="1029"/>
      <c r="F296" s="1029"/>
      <c r="G296" s="1029"/>
      <c r="H296" s="1029"/>
      <c r="I296" s="1029"/>
      <c r="J296" s="1029"/>
      <c r="K296" s="1029"/>
      <c r="L296" s="1029"/>
      <c r="M296" s="1029"/>
      <c r="N296" s="1029"/>
      <c r="O296" s="1029"/>
      <c r="P296" s="1029"/>
      <c r="Q296" s="1029"/>
      <c r="R296" s="1029"/>
      <c r="S296" s="1029"/>
      <c r="T296" s="1029"/>
      <c r="U296" s="1029"/>
      <c r="V296" s="1029"/>
      <c r="W296" s="1029"/>
      <c r="X296" s="1029"/>
      <c r="Y296" s="1029"/>
      <c r="Z296" s="1029"/>
      <c r="AA296" s="1029"/>
      <c r="AB296" s="1029"/>
      <c r="AC296" s="1029"/>
      <c r="AD296" s="1029"/>
    </row>
    <row r="297" spans="2:30" hidden="1" outlineLevel="1">
      <c r="C297" s="1031" t="s">
        <v>463</v>
      </c>
      <c r="D297" s="1032"/>
      <c r="E297" s="1032"/>
      <c r="F297" s="1032"/>
      <c r="G297" s="1032"/>
      <c r="H297" s="1032"/>
      <c r="I297" s="1032"/>
      <c r="J297" s="1033">
        <f>J294*0.8+J292*0.5</f>
        <v>2376.12</v>
      </c>
      <c r="K297" s="1033">
        <f t="shared" ref="K297:Z297" si="151">K294*0.8+K292*0.5</f>
        <v>3129.7432352000001</v>
      </c>
      <c r="L297" s="1033">
        <f t="shared" si="151"/>
        <v>3253.6149840593921</v>
      </c>
      <c r="M297" s="1033">
        <f t="shared" si="151"/>
        <v>3372.9761272476735</v>
      </c>
      <c r="N297" s="1033">
        <f t="shared" si="151"/>
        <v>3488.055535236866</v>
      </c>
      <c r="O297" s="1033">
        <f t="shared" si="151"/>
        <v>3599.0706688222444</v>
      </c>
      <c r="P297" s="1033">
        <f t="shared" si="151"/>
        <v>3706.2281496178284</v>
      </c>
      <c r="Q297" s="1033">
        <f t="shared" si="151"/>
        <v>3809.7243020278852</v>
      </c>
      <c r="R297" s="1033">
        <f t="shared" si="151"/>
        <v>3909.7456681206613</v>
      </c>
      <c r="S297" s="1033">
        <f t="shared" si="151"/>
        <v>4006.4694967592104</v>
      </c>
      <c r="T297" s="1033">
        <f t="shared" si="151"/>
        <v>4100.064208276468</v>
      </c>
      <c r="U297" s="1033">
        <f t="shared" si="151"/>
        <v>4190.6898359173747</v>
      </c>
      <c r="V297" s="1033">
        <f t="shared" si="151"/>
        <v>4278.4984452096614</v>
      </c>
      <c r="W297" s="1033">
        <f t="shared" si="151"/>
        <v>4363.6345323669002</v>
      </c>
      <c r="X297" s="1033">
        <f t="shared" si="151"/>
        <v>4446.2354027721722</v>
      </c>
      <c r="Y297" s="1033">
        <f t="shared" si="151"/>
        <v>4526.4315305383461</v>
      </c>
      <c r="Z297" s="1033">
        <f t="shared" si="151"/>
        <v>4604.3469000911264</v>
      </c>
      <c r="AA297" s="1029"/>
      <c r="AB297" s="1029"/>
      <c r="AC297" s="1029"/>
      <c r="AD297" s="1029"/>
    </row>
    <row r="298" spans="2:30" hidden="1" outlineLevel="1">
      <c r="C298" s="1031" t="s">
        <v>464</v>
      </c>
      <c r="D298" s="1032"/>
      <c r="E298" s="1032"/>
      <c r="F298" s="1032"/>
      <c r="G298" s="1032"/>
      <c r="H298" s="1032"/>
      <c r="I298" s="1032"/>
      <c r="J298" s="1033">
        <f>J294*0.8+J292*0.05</f>
        <v>688.62000000000012</v>
      </c>
      <c r="K298" s="1033">
        <f t="shared" ref="K298:Z298" si="152">K294*0.8+K292*0.05</f>
        <v>761.25823520000017</v>
      </c>
      <c r="L298" s="1033">
        <f t="shared" si="152"/>
        <v>770.93777525939208</v>
      </c>
      <c r="M298" s="1033">
        <f t="shared" si="152"/>
        <v>780.18260886602548</v>
      </c>
      <c r="N298" s="1033">
        <f t="shared" si="152"/>
        <v>789.0155242882513</v>
      </c>
      <c r="O298" s="1033">
        <f t="shared" si="152"/>
        <v>797.45816942337149</v>
      </c>
      <c r="P298" s="1033">
        <f t="shared" si="152"/>
        <v>805.53110884358125</v>
      </c>
      <c r="Q298" s="1033">
        <f t="shared" si="152"/>
        <v>813.25387798954102</v>
      </c>
      <c r="R298" s="1033">
        <f t="shared" si="152"/>
        <v>820.64503465418659</v>
      </c>
      <c r="S298" s="1033">
        <f t="shared" si="152"/>
        <v>827.72220789227504</v>
      </c>
      <c r="T298" s="1033">
        <f t="shared" si="152"/>
        <v>834.50214448437407</v>
      </c>
      <c r="U298" s="1033">
        <f t="shared" si="152"/>
        <v>841.000753077578</v>
      </c>
      <c r="V298" s="1033">
        <f t="shared" si="152"/>
        <v>847.23314611911223</v>
      </c>
      <c r="W298" s="1033">
        <f t="shared" si="152"/>
        <v>853.21367969318339</v>
      </c>
      <c r="X298" s="1033">
        <f t="shared" si="152"/>
        <v>858.95599136591341</v>
      </c>
      <c r="Y298" s="1033">
        <f t="shared" si="152"/>
        <v>864.47303613795509</v>
      </c>
      <c r="Z298" s="1033">
        <f t="shared" si="152"/>
        <v>869.77712059940507</v>
      </c>
      <c r="AA298" s="1029"/>
      <c r="AB298" s="1029"/>
      <c r="AC298" s="1029"/>
      <c r="AD298" s="1029"/>
    </row>
    <row r="299" spans="2:30" hidden="1" outlineLevel="1">
      <c r="C299" s="1031" t="s">
        <v>462</v>
      </c>
      <c r="D299" s="1032"/>
      <c r="E299" s="1032"/>
      <c r="F299" s="1032"/>
      <c r="G299" s="1032"/>
      <c r="H299" s="1032"/>
      <c r="I299" s="1032"/>
      <c r="J299" s="1033">
        <f>J294</f>
        <v>626.40000000000009</v>
      </c>
      <c r="K299" s="1033">
        <f t="shared" ref="K299:Z299" si="153">K294</f>
        <v>622.61654400000009</v>
      </c>
      <c r="L299" s="1033">
        <f t="shared" si="153"/>
        <v>618.85594007424015</v>
      </c>
      <c r="M299" s="1033">
        <f t="shared" si="153"/>
        <v>615.11805019619169</v>
      </c>
      <c r="N299" s="1033">
        <f t="shared" si="153"/>
        <v>611.40273717300659</v>
      </c>
      <c r="O299" s="1033">
        <f t="shared" si="153"/>
        <v>607.7098646404819</v>
      </c>
      <c r="P299" s="1033">
        <f t="shared" si="153"/>
        <v>604.03929705805331</v>
      </c>
      <c r="Q299" s="1033">
        <f t="shared" si="153"/>
        <v>600.39089970382281</v>
      </c>
      <c r="R299" s="1033">
        <f t="shared" si="153"/>
        <v>596.76453866961162</v>
      </c>
      <c r="S299" s="1033">
        <f t="shared" si="153"/>
        <v>593.1600808560471</v>
      </c>
      <c r="T299" s="1033">
        <f t="shared" si="153"/>
        <v>589.5773939676767</v>
      </c>
      <c r="U299" s="1033">
        <f t="shared" si="153"/>
        <v>586.01634650811184</v>
      </c>
      <c r="V299" s="1033">
        <f t="shared" si="153"/>
        <v>582.47680777520281</v>
      </c>
      <c r="W299" s="1033">
        <f t="shared" si="153"/>
        <v>578.95864785624065</v>
      </c>
      <c r="X299" s="1033">
        <f t="shared" si="153"/>
        <v>575.46173762318904</v>
      </c>
      <c r="Y299" s="1033">
        <f t="shared" si="153"/>
        <v>571.98594872794501</v>
      </c>
      <c r="Z299" s="1033">
        <f t="shared" si="153"/>
        <v>568.5311535976283</v>
      </c>
      <c r="AA299" s="1029"/>
      <c r="AB299" s="1029"/>
      <c r="AC299" s="1029"/>
      <c r="AD299" s="1029"/>
    </row>
    <row r="300" spans="2:30" collapsed="1">
      <c r="B300" s="1192"/>
      <c r="C300" s="1151" t="s">
        <v>1108</v>
      </c>
      <c r="D300" s="1193"/>
      <c r="E300" s="1193"/>
      <c r="F300" s="1193"/>
      <c r="G300" s="1193"/>
      <c r="H300" s="1193"/>
      <c r="I300" s="1193"/>
      <c r="J300" s="1150">
        <v>2376.12</v>
      </c>
      <c r="K300" s="1150">
        <v>3129.7432352000001</v>
      </c>
      <c r="L300" s="1150">
        <v>3253.6149840593921</v>
      </c>
      <c r="M300" s="1150">
        <v>3372.9761272476735</v>
      </c>
      <c r="N300" s="1150">
        <v>3488.055535236866</v>
      </c>
      <c r="O300" s="1150">
        <v>3599.0706688222444</v>
      </c>
      <c r="P300" s="1150">
        <v>3706.2281496178284</v>
      </c>
      <c r="Q300" s="1150">
        <v>3809.7243020278852</v>
      </c>
      <c r="R300" s="1150">
        <v>3909.7456681206613</v>
      </c>
      <c r="S300" s="1150">
        <f t="shared" ref="S300:Z300" si="154">CHOOSE($S$356,S297,S298,S299)</f>
        <v>827.72220789227504</v>
      </c>
      <c r="T300" s="1150">
        <f t="shared" si="154"/>
        <v>834.50214448437407</v>
      </c>
      <c r="U300" s="1150">
        <f t="shared" si="154"/>
        <v>841.000753077578</v>
      </c>
      <c r="V300" s="1150">
        <f t="shared" si="154"/>
        <v>847.23314611911223</v>
      </c>
      <c r="W300" s="1150">
        <f t="shared" si="154"/>
        <v>853.21367969318339</v>
      </c>
      <c r="X300" s="1150">
        <f t="shared" si="154"/>
        <v>858.95599136591341</v>
      </c>
      <c r="Y300" s="1150">
        <f t="shared" si="154"/>
        <v>864.47303613795509</v>
      </c>
      <c r="Z300" s="1150">
        <f t="shared" si="154"/>
        <v>869.77712059940507</v>
      </c>
      <c r="AA300" s="1190"/>
      <c r="AB300" s="1029" t="s">
        <v>1076</v>
      </c>
      <c r="AC300" s="1029"/>
      <c r="AD300" s="1029"/>
    </row>
    <row r="301" spans="2:30">
      <c r="C301" s="1028"/>
      <c r="D301" s="1029"/>
      <c r="E301" s="1029"/>
      <c r="F301" s="1029"/>
      <c r="G301" s="1029"/>
      <c r="H301" s="1029"/>
      <c r="I301" s="1029"/>
      <c r="J301" s="1029"/>
      <c r="K301" s="1029"/>
      <c r="L301" s="1029"/>
      <c r="M301" s="1029"/>
      <c r="N301" s="1029"/>
      <c r="O301" s="1029"/>
      <c r="P301" s="1029"/>
      <c r="Q301" s="1029"/>
      <c r="R301" s="1029"/>
      <c r="S301" s="1029"/>
      <c r="T301" s="1029"/>
      <c r="U301" s="1029"/>
      <c r="V301" s="1029"/>
      <c r="W301" s="1029"/>
      <c r="X301" s="1029"/>
      <c r="Y301" s="1029"/>
      <c r="Z301" s="1029"/>
      <c r="AA301" s="1029"/>
      <c r="AB301" s="1029"/>
      <c r="AC301" s="1029"/>
      <c r="AD301" s="1029"/>
    </row>
    <row r="302" spans="2:30">
      <c r="C302" s="1023" t="s">
        <v>1109</v>
      </c>
      <c r="D302" s="1024"/>
      <c r="E302" s="1024"/>
      <c r="F302" s="1024"/>
      <c r="G302" s="1024"/>
      <c r="H302" s="1024"/>
      <c r="I302" s="1024"/>
      <c r="J302" s="1024"/>
      <c r="K302" s="1024"/>
      <c r="L302" s="1024"/>
      <c r="M302" s="1024"/>
      <c r="N302" s="1024"/>
      <c r="O302" s="1024"/>
      <c r="P302" s="1024"/>
      <c r="Q302" s="1024"/>
      <c r="R302" s="1024"/>
      <c r="S302" s="1024"/>
      <c r="T302" s="1024"/>
      <c r="U302" s="1024"/>
      <c r="V302" s="1024"/>
      <c r="W302" s="1024"/>
      <c r="X302" s="1024"/>
      <c r="Y302" s="1024"/>
      <c r="Z302" s="1024"/>
      <c r="AA302" s="1029"/>
      <c r="AB302" s="1029"/>
      <c r="AC302" s="1029"/>
      <c r="AD302" s="1029"/>
    </row>
    <row r="303" spans="2:30">
      <c r="C303" s="1022" t="s">
        <v>434</v>
      </c>
      <c r="D303" s="1025"/>
      <c r="E303" s="1025"/>
      <c r="F303" s="1025"/>
      <c r="G303" s="1025"/>
      <c r="H303" s="1026"/>
      <c r="I303" s="1025"/>
      <c r="J303" s="1026">
        <f>50000*0.5</f>
        <v>25000</v>
      </c>
      <c r="K303" s="1025">
        <f>J303+J304-J305-J306</f>
        <v>25162.714285714286</v>
      </c>
      <c r="L303" s="1025">
        <f t="shared" ref="L303:Z303" si="155">K303+K304-K305-K306</f>
        <v>25331.179382857143</v>
      </c>
      <c r="M303" s="1025">
        <f t="shared" si="155"/>
        <v>25505.113553521827</v>
      </c>
      <c r="N303" s="1025">
        <f t="shared" si="155"/>
        <v>25684.249470357961</v>
      </c>
      <c r="O303" s="1025">
        <f t="shared" si="155"/>
        <v>25868.333495523631</v>
      </c>
      <c r="P303" s="1025">
        <f t="shared" si="155"/>
        <v>26057.124995698774</v>
      </c>
      <c r="Q303" s="1025">
        <f t="shared" si="155"/>
        <v>26250.395691356738</v>
      </c>
      <c r="R303" s="1025">
        <f t="shared" si="155"/>
        <v>26447.929038581085</v>
      </c>
      <c r="S303" s="1025">
        <f t="shared" si="155"/>
        <v>26649.519641800351</v>
      </c>
      <c r="T303" s="1025">
        <f t="shared" si="155"/>
        <v>26854.972695894801</v>
      </c>
      <c r="U303" s="1025">
        <f t="shared" si="155"/>
        <v>27064.103456206616</v>
      </c>
      <c r="V303" s="1025">
        <f t="shared" si="155"/>
        <v>27276.736735058243</v>
      </c>
      <c r="W303" s="1025">
        <f t="shared" si="155"/>
        <v>27492.706423453503</v>
      </c>
      <c r="X303" s="1025">
        <f t="shared" si="155"/>
        <v>27711.855036702291</v>
      </c>
      <c r="Y303" s="1025">
        <f t="shared" si="155"/>
        <v>27934.033282772667</v>
      </c>
      <c r="Z303" s="1025">
        <f t="shared" si="155"/>
        <v>28159.099652233897</v>
      </c>
      <c r="AA303" s="1027"/>
      <c r="AB303" s="1022" t="s">
        <v>1110</v>
      </c>
    </row>
    <row r="304" spans="2:30">
      <c r="C304" s="1022" t="s">
        <v>100</v>
      </c>
      <c r="D304" s="1025"/>
      <c r="E304" s="1025"/>
      <c r="F304" s="1025"/>
      <c r="G304" s="1025"/>
      <c r="H304" s="1026"/>
      <c r="I304" s="1025"/>
      <c r="J304" s="1025">
        <f>J284*10*1.1*0.4</f>
        <v>2233</v>
      </c>
      <c r="K304" s="1025">
        <f>K284*10*1.1*0.4</f>
        <v>2241.9320000000002</v>
      </c>
      <c r="L304" s="1025">
        <f t="shared" ref="L304:Z304" si="156">L284*10*1.1*0.4</f>
        <v>2250.8997280000003</v>
      </c>
      <c r="M304" s="1025">
        <f t="shared" si="156"/>
        <v>2259.9033269120005</v>
      </c>
      <c r="N304" s="1025">
        <f t="shared" si="156"/>
        <v>2268.9429402196483</v>
      </c>
      <c r="O304" s="1025">
        <f t="shared" si="156"/>
        <v>2278.0187119805273</v>
      </c>
      <c r="P304" s="1025">
        <f t="shared" si="156"/>
        <v>2287.1307868284493</v>
      </c>
      <c r="Q304" s="1025">
        <f t="shared" si="156"/>
        <v>2296.2793099757632</v>
      </c>
      <c r="R304" s="1025">
        <f t="shared" si="156"/>
        <v>2305.4644272156665</v>
      </c>
      <c r="S304" s="1025">
        <f t="shared" si="156"/>
        <v>2314.686284924529</v>
      </c>
      <c r="T304" s="1025">
        <f t="shared" si="156"/>
        <v>2323.945030064227</v>
      </c>
      <c r="U304" s="1025">
        <f t="shared" si="156"/>
        <v>2333.2408101844844</v>
      </c>
      <c r="V304" s="1025">
        <f t="shared" si="156"/>
        <v>2342.573773425222</v>
      </c>
      <c r="W304" s="1025">
        <f t="shared" si="156"/>
        <v>2351.9440685189234</v>
      </c>
      <c r="X304" s="1025">
        <f t="shared" si="156"/>
        <v>2361.3518447929991</v>
      </c>
      <c r="Y304" s="1025">
        <f t="shared" si="156"/>
        <v>2370.7972521721713</v>
      </c>
      <c r="Z304" s="1025">
        <f t="shared" si="156"/>
        <v>2380.2804411808602</v>
      </c>
      <c r="AB304" s="1022" t="s">
        <v>1106</v>
      </c>
    </row>
    <row r="305" spans="2:30">
      <c r="C305" s="1022" t="s">
        <v>101</v>
      </c>
      <c r="D305" s="1025"/>
      <c r="E305" s="1025"/>
      <c r="F305" s="1025"/>
      <c r="G305" s="1025"/>
      <c r="H305" s="1026"/>
      <c r="I305" s="1025"/>
      <c r="J305" s="1035">
        <f t="shared" ref="J305:Z305" si="157">J304*J346</f>
        <v>820.28571428571433</v>
      </c>
      <c r="K305" s="1035">
        <f t="shared" si="157"/>
        <v>815.3311885714287</v>
      </c>
      <c r="L305" s="1035">
        <f t="shared" si="157"/>
        <v>810.40658819245732</v>
      </c>
      <c r="M305" s="1035">
        <f t="shared" si="157"/>
        <v>805.51173239977493</v>
      </c>
      <c r="N305" s="1035">
        <f t="shared" si="157"/>
        <v>800.64644153608015</v>
      </c>
      <c r="O305" s="1035">
        <f t="shared" si="157"/>
        <v>795.81053702920235</v>
      </c>
      <c r="P305" s="1035">
        <f t="shared" si="157"/>
        <v>791.00384138554602</v>
      </c>
      <c r="Q305" s="1035">
        <f t="shared" si="157"/>
        <v>786.2261781835773</v>
      </c>
      <c r="R305" s="1035">
        <f t="shared" si="157"/>
        <v>781.4773720673486</v>
      </c>
      <c r="S305" s="1035">
        <f t="shared" si="157"/>
        <v>776.75724874006175</v>
      </c>
      <c r="T305" s="1035">
        <f t="shared" si="157"/>
        <v>772.0656349576717</v>
      </c>
      <c r="U305" s="1035">
        <f t="shared" si="157"/>
        <v>767.40235852252749</v>
      </c>
      <c r="V305" s="1035">
        <f t="shared" si="157"/>
        <v>762.76724827705141</v>
      </c>
      <c r="W305" s="1035">
        <f t="shared" si="157"/>
        <v>758.16013409745813</v>
      </c>
      <c r="X305" s="1035">
        <f t="shared" si="157"/>
        <v>753.58084688750944</v>
      </c>
      <c r="Y305" s="1035">
        <f t="shared" si="157"/>
        <v>749.02921857230888</v>
      </c>
      <c r="Z305" s="1035">
        <f t="shared" si="157"/>
        <v>744.50508209213217</v>
      </c>
      <c r="AB305" s="1022" t="s">
        <v>1107</v>
      </c>
    </row>
    <row r="306" spans="2:30">
      <c r="C306" s="1022" t="s">
        <v>1070</v>
      </c>
      <c r="D306" s="1035"/>
      <c r="E306" s="1035"/>
      <c r="F306" s="1035"/>
      <c r="G306" s="1035"/>
      <c r="H306" s="1035"/>
      <c r="I306" s="1035"/>
      <c r="J306" s="1035">
        <f t="shared" ref="J306:Z306" si="158">J303*0.05</f>
        <v>1250</v>
      </c>
      <c r="K306" s="1035">
        <f t="shared" si="158"/>
        <v>1258.1357142857144</v>
      </c>
      <c r="L306" s="1035">
        <f t="shared" si="158"/>
        <v>1266.5589691428572</v>
      </c>
      <c r="M306" s="1035">
        <f t="shared" si="158"/>
        <v>1275.2556776760914</v>
      </c>
      <c r="N306" s="1035">
        <f t="shared" si="158"/>
        <v>1284.2124735178982</v>
      </c>
      <c r="O306" s="1035">
        <f t="shared" si="158"/>
        <v>1293.4166747761817</v>
      </c>
      <c r="P306" s="1035">
        <f t="shared" si="158"/>
        <v>1302.8562497849389</v>
      </c>
      <c r="Q306" s="1035">
        <f t="shared" si="158"/>
        <v>1312.519784567837</v>
      </c>
      <c r="R306" s="1035">
        <f t="shared" si="158"/>
        <v>1322.3964519290544</v>
      </c>
      <c r="S306" s="1035">
        <f t="shared" si="158"/>
        <v>1332.4759820900176</v>
      </c>
      <c r="T306" s="1035">
        <f t="shared" si="158"/>
        <v>1342.7486347947402</v>
      </c>
      <c r="U306" s="1035">
        <f t="shared" si="158"/>
        <v>1353.2051728103309</v>
      </c>
      <c r="V306" s="1035">
        <f t="shared" si="158"/>
        <v>1363.8368367529122</v>
      </c>
      <c r="W306" s="1035">
        <f t="shared" si="158"/>
        <v>1374.6353211726753</v>
      </c>
      <c r="X306" s="1035">
        <f t="shared" si="158"/>
        <v>1385.5927518351145</v>
      </c>
      <c r="Y306" s="1035">
        <f t="shared" si="158"/>
        <v>1396.7016641386335</v>
      </c>
      <c r="Z306" s="1035">
        <f t="shared" si="158"/>
        <v>1407.954982611695</v>
      </c>
    </row>
    <row r="308" spans="2:30">
      <c r="C308" s="1022" t="s">
        <v>1071</v>
      </c>
      <c r="D308" s="1025"/>
      <c r="E308" s="1036"/>
      <c r="F308" s="1036"/>
      <c r="G308" s="1036"/>
      <c r="H308" s="1026"/>
      <c r="I308" s="1025"/>
      <c r="J308" s="1025">
        <f>J303*0.2</f>
        <v>5000</v>
      </c>
      <c r="K308" s="1025">
        <f t="shared" ref="K308:Z308" si="159">K303*0.2</f>
        <v>5032.5428571428574</v>
      </c>
      <c r="L308" s="1025">
        <f t="shared" si="159"/>
        <v>5066.2358765714289</v>
      </c>
      <c r="M308" s="1025">
        <f t="shared" si="159"/>
        <v>5101.0227107043656</v>
      </c>
      <c r="N308" s="1025">
        <f t="shared" si="159"/>
        <v>5136.8498940715926</v>
      </c>
      <c r="O308" s="1025">
        <f t="shared" si="159"/>
        <v>5173.6666991047268</v>
      </c>
      <c r="P308" s="1025">
        <f t="shared" si="159"/>
        <v>5211.4249991397555</v>
      </c>
      <c r="Q308" s="1025">
        <f t="shared" si="159"/>
        <v>5250.0791382713478</v>
      </c>
      <c r="R308" s="1025">
        <f t="shared" si="159"/>
        <v>5289.5858077162175</v>
      </c>
      <c r="S308" s="1025">
        <f t="shared" si="159"/>
        <v>5329.9039283600705</v>
      </c>
      <c r="T308" s="1025">
        <f t="shared" si="159"/>
        <v>5370.9945391789606</v>
      </c>
      <c r="U308" s="1025">
        <f t="shared" si="159"/>
        <v>5412.8206912413234</v>
      </c>
      <c r="V308" s="1025">
        <f t="shared" si="159"/>
        <v>5455.3473470116487</v>
      </c>
      <c r="W308" s="1025">
        <f t="shared" si="159"/>
        <v>5498.5412846907011</v>
      </c>
      <c r="X308" s="1025">
        <f t="shared" si="159"/>
        <v>5542.3710073404582</v>
      </c>
      <c r="Y308" s="1025">
        <f t="shared" si="159"/>
        <v>5586.8066565545341</v>
      </c>
      <c r="Z308" s="1025">
        <f t="shared" si="159"/>
        <v>5631.8199304467798</v>
      </c>
      <c r="AB308" s="1022" t="s">
        <v>1079</v>
      </c>
    </row>
    <row r="309" spans="2:30">
      <c r="C309" s="1028"/>
      <c r="D309" s="1029"/>
      <c r="E309" s="1029"/>
      <c r="F309" s="1029"/>
      <c r="G309" s="1029"/>
      <c r="H309" s="1030"/>
      <c r="I309" s="1029"/>
      <c r="J309" s="1029"/>
      <c r="K309" s="1029"/>
      <c r="L309" s="1029"/>
      <c r="M309" s="1029"/>
      <c r="N309" s="1029"/>
      <c r="O309" s="1029"/>
      <c r="P309" s="1029"/>
      <c r="Q309" s="1029"/>
      <c r="R309" s="1029"/>
      <c r="S309" s="1029"/>
      <c r="T309" s="1029"/>
      <c r="U309" s="1029"/>
      <c r="V309" s="1029"/>
      <c r="W309" s="1029"/>
      <c r="X309" s="1029"/>
      <c r="Y309" s="1029"/>
      <c r="Z309" s="1029"/>
    </row>
    <row r="310" spans="2:30">
      <c r="C310" s="1022" t="s">
        <v>294</v>
      </c>
      <c r="D310" s="1025"/>
      <c r="E310" s="1025"/>
      <c r="F310" s="1025"/>
      <c r="G310" s="1025"/>
      <c r="H310" s="1025"/>
      <c r="I310" s="1025"/>
      <c r="J310" s="1025">
        <f t="shared" ref="J310:Z310" si="160">J305*80%</f>
        <v>656.22857142857151</v>
      </c>
      <c r="K310" s="1025">
        <f t="shared" si="160"/>
        <v>652.26495085714305</v>
      </c>
      <c r="L310" s="1025">
        <f t="shared" si="160"/>
        <v>648.32527055396588</v>
      </c>
      <c r="M310" s="1025">
        <f t="shared" si="160"/>
        <v>644.40938591982001</v>
      </c>
      <c r="N310" s="1025">
        <f t="shared" si="160"/>
        <v>640.51715322886412</v>
      </c>
      <c r="O310" s="1025">
        <f t="shared" si="160"/>
        <v>636.64842962336195</v>
      </c>
      <c r="P310" s="1025">
        <f t="shared" si="160"/>
        <v>632.80307310843682</v>
      </c>
      <c r="Q310" s="1025">
        <f t="shared" si="160"/>
        <v>628.98094254686191</v>
      </c>
      <c r="R310" s="1025">
        <f t="shared" si="160"/>
        <v>625.18189765387888</v>
      </c>
      <c r="S310" s="1025">
        <f t="shared" si="160"/>
        <v>621.40579899204943</v>
      </c>
      <c r="T310" s="1025">
        <f t="shared" si="160"/>
        <v>617.65250796613736</v>
      </c>
      <c r="U310" s="1025">
        <f t="shared" si="160"/>
        <v>613.92188681802202</v>
      </c>
      <c r="V310" s="1025">
        <f t="shared" si="160"/>
        <v>610.2137986216411</v>
      </c>
      <c r="W310" s="1025">
        <f t="shared" si="160"/>
        <v>606.52810727796657</v>
      </c>
      <c r="X310" s="1025">
        <f t="shared" si="160"/>
        <v>602.8646775100076</v>
      </c>
      <c r="Y310" s="1025">
        <f t="shared" si="160"/>
        <v>599.22337485784715</v>
      </c>
      <c r="Z310" s="1025">
        <f t="shared" si="160"/>
        <v>595.6040656737058</v>
      </c>
      <c r="AA310" s="1025"/>
      <c r="AB310" s="1025"/>
      <c r="AC310" s="1025"/>
      <c r="AD310" s="1025"/>
    </row>
    <row r="311" spans="2:30">
      <c r="C311" s="1028" t="s">
        <v>1074</v>
      </c>
      <c r="D311" s="1029"/>
      <c r="E311" s="1029"/>
      <c r="F311" s="1029"/>
      <c r="G311" s="1029"/>
      <c r="H311" s="1029"/>
      <c r="I311" s="1029"/>
      <c r="J311" s="1029">
        <f t="shared" ref="J311:Z311" si="161">J310/J308</f>
        <v>0.1312457142857143</v>
      </c>
      <c r="K311" s="1029">
        <f t="shared" si="161"/>
        <v>0.12960941801645295</v>
      </c>
      <c r="L311" s="1029">
        <f t="shared" si="161"/>
        <v>0.1279698155295366</v>
      </c>
      <c r="M311" s="1029">
        <f t="shared" si="161"/>
        <v>0.1263294485177538</v>
      </c>
      <c r="N311" s="1029">
        <f t="shared" si="161"/>
        <v>0.12469065019168286</v>
      </c>
      <c r="O311" s="1029">
        <f t="shared" si="161"/>
        <v>0.12305555549868148</v>
      </c>
      <c r="P311" s="1029">
        <f t="shared" si="161"/>
        <v>0.12142611151707891</v>
      </c>
      <c r="Q311" s="1029">
        <f t="shared" si="161"/>
        <v>0.11980408789684674</v>
      </c>
      <c r="R311" s="1029">
        <f t="shared" si="161"/>
        <v>0.11819108723822776</v>
      </c>
      <c r="S311" s="1029">
        <f t="shared" si="161"/>
        <v>0.11658855531815307</v>
      </c>
      <c r="T311" s="1029">
        <f t="shared" si="161"/>
        <v>0.11499779109076419</v>
      </c>
      <c r="U311" s="1029">
        <f t="shared" si="161"/>
        <v>0.11341995640303229</v>
      </c>
      <c r="V311" s="1029">
        <f t="shared" si="161"/>
        <v>0.11185608537940418</v>
      </c>
      <c r="W311" s="1029">
        <f t="shared" si="161"/>
        <v>0.11030709344070778</v>
      </c>
      <c r="X311" s="1029">
        <f t="shared" si="161"/>
        <v>0.10877378593233079</v>
      </c>
      <c r="Y311" s="1029">
        <f t="shared" si="161"/>
        <v>0.10725686634507539</v>
      </c>
      <c r="Z311" s="1029">
        <f t="shared" si="161"/>
        <v>0.10575694411920868</v>
      </c>
      <c r="AA311" s="1029"/>
      <c r="AB311" s="1029"/>
      <c r="AC311" s="1029"/>
      <c r="AD311" s="1029"/>
    </row>
    <row r="312" spans="2:30">
      <c r="C312" s="1028"/>
      <c r="D312" s="1029"/>
      <c r="E312" s="1029"/>
      <c r="F312" s="1029"/>
      <c r="G312" s="1029"/>
      <c r="H312" s="1029"/>
      <c r="I312" s="1029"/>
      <c r="J312" s="1029"/>
      <c r="K312" s="1029"/>
      <c r="L312" s="1029"/>
      <c r="M312" s="1029"/>
      <c r="N312" s="1029"/>
      <c r="O312" s="1029"/>
      <c r="P312" s="1029"/>
      <c r="Q312" s="1029"/>
      <c r="R312" s="1029"/>
      <c r="S312" s="1029"/>
      <c r="T312" s="1029"/>
      <c r="U312" s="1029"/>
      <c r="V312" s="1029"/>
      <c r="W312" s="1029"/>
      <c r="X312" s="1029"/>
      <c r="Y312" s="1029"/>
      <c r="Z312" s="1029"/>
      <c r="AA312" s="1029"/>
      <c r="AB312" s="1029"/>
      <c r="AC312" s="1029"/>
      <c r="AD312" s="1029"/>
    </row>
    <row r="313" spans="2:30" outlineLevel="1">
      <c r="C313" s="1031" t="s">
        <v>463</v>
      </c>
      <c r="D313" s="1032"/>
      <c r="E313" s="1032"/>
      <c r="F313" s="1032"/>
      <c r="G313" s="1032"/>
      <c r="H313" s="1032"/>
      <c r="I313" s="1032"/>
      <c r="J313" s="1033">
        <f>J310*0.8+J308*0.5</f>
        <v>3024.982857142857</v>
      </c>
      <c r="K313" s="1033">
        <f t="shared" ref="K313:Z313" si="162">K310*0.8+K308*0.5</f>
        <v>3038.0833892571432</v>
      </c>
      <c r="L313" s="1033">
        <f t="shared" si="162"/>
        <v>3051.7781547288873</v>
      </c>
      <c r="M313" s="1033">
        <f t="shared" si="162"/>
        <v>3066.0388640880387</v>
      </c>
      <c r="N313" s="1033">
        <f t="shared" si="162"/>
        <v>3080.8386696188877</v>
      </c>
      <c r="O313" s="1033">
        <f t="shared" si="162"/>
        <v>3096.152093251053</v>
      </c>
      <c r="P313" s="1033">
        <f t="shared" si="162"/>
        <v>3111.9549580566272</v>
      </c>
      <c r="Q313" s="1033">
        <f t="shared" si="162"/>
        <v>3128.2243231731636</v>
      </c>
      <c r="R313" s="1033">
        <f t="shared" si="162"/>
        <v>3144.9384219812118</v>
      </c>
      <c r="S313" s="1033">
        <f t="shared" si="162"/>
        <v>3162.076603373675</v>
      </c>
      <c r="T313" s="1033">
        <f t="shared" si="162"/>
        <v>3179.61927596239</v>
      </c>
      <c r="U313" s="1033">
        <f t="shared" si="162"/>
        <v>3197.5478550750795</v>
      </c>
      <c r="V313" s="1033">
        <f t="shared" si="162"/>
        <v>3215.8447124031372</v>
      </c>
      <c r="W313" s="1033">
        <f t="shared" si="162"/>
        <v>3234.4931281677236</v>
      </c>
      <c r="X313" s="1033">
        <f t="shared" si="162"/>
        <v>3253.4772456782352</v>
      </c>
      <c r="Y313" s="1033">
        <f t="shared" si="162"/>
        <v>3272.782028163545</v>
      </c>
      <c r="Z313" s="1033">
        <f t="shared" si="162"/>
        <v>3292.3932177623547</v>
      </c>
      <c r="AA313" s="1029"/>
      <c r="AB313" s="1029"/>
      <c r="AC313" s="1029"/>
      <c r="AD313" s="1029"/>
    </row>
    <row r="314" spans="2:30" outlineLevel="1">
      <c r="C314" s="1031" t="s">
        <v>464</v>
      </c>
      <c r="D314" s="1032"/>
      <c r="E314" s="1032"/>
      <c r="F314" s="1032"/>
      <c r="G314" s="1032"/>
      <c r="H314" s="1032"/>
      <c r="I314" s="1032"/>
      <c r="J314" s="1033">
        <f>J310*0.8+J308*0.05</f>
        <v>774.98285714285726</v>
      </c>
      <c r="K314" s="1033">
        <f t="shared" ref="K314:Z314" si="163">K310*0.8+K308*0.05</f>
        <v>773.43910354285731</v>
      </c>
      <c r="L314" s="1033">
        <f t="shared" si="163"/>
        <v>771.97201027174424</v>
      </c>
      <c r="M314" s="1033">
        <f t="shared" si="163"/>
        <v>770.57864427107438</v>
      </c>
      <c r="N314" s="1033">
        <f t="shared" si="163"/>
        <v>769.2562172866709</v>
      </c>
      <c r="O314" s="1033">
        <f t="shared" si="163"/>
        <v>768.00207865392599</v>
      </c>
      <c r="P314" s="1033">
        <f t="shared" si="163"/>
        <v>766.81370844373726</v>
      </c>
      <c r="Q314" s="1033">
        <f t="shared" si="163"/>
        <v>765.68871095105692</v>
      </c>
      <c r="R314" s="1033">
        <f t="shared" si="163"/>
        <v>764.62480850891393</v>
      </c>
      <c r="S314" s="1033">
        <f t="shared" si="163"/>
        <v>763.61983561164311</v>
      </c>
      <c r="T314" s="1033">
        <f t="shared" si="163"/>
        <v>762.67173333185792</v>
      </c>
      <c r="U314" s="1033">
        <f t="shared" si="163"/>
        <v>761.77854401648381</v>
      </c>
      <c r="V314" s="1033">
        <f t="shared" si="163"/>
        <v>760.93840624789527</v>
      </c>
      <c r="W314" s="1033">
        <f t="shared" si="163"/>
        <v>760.14955005690831</v>
      </c>
      <c r="X314" s="1033">
        <f t="shared" si="163"/>
        <v>759.41029237502903</v>
      </c>
      <c r="Y314" s="1033">
        <f t="shared" si="163"/>
        <v>758.71903271400447</v>
      </c>
      <c r="Z314" s="1033">
        <f t="shared" si="163"/>
        <v>758.0742490613037</v>
      </c>
      <c r="AA314" s="1029"/>
      <c r="AB314" s="1029"/>
      <c r="AC314" s="1029"/>
      <c r="AD314" s="1029"/>
    </row>
    <row r="315" spans="2:30" outlineLevel="1">
      <c r="C315" s="1031" t="s">
        <v>462</v>
      </c>
      <c r="D315" s="1032"/>
      <c r="E315" s="1032"/>
      <c r="F315" s="1032"/>
      <c r="G315" s="1032"/>
      <c r="H315" s="1032"/>
      <c r="I315" s="1032"/>
      <c r="J315" s="1033">
        <f>J310</f>
        <v>656.22857142857151</v>
      </c>
      <c r="K315" s="1033">
        <f t="shared" ref="K315:Z315" si="164">K310</f>
        <v>652.26495085714305</v>
      </c>
      <c r="L315" s="1033">
        <f t="shared" si="164"/>
        <v>648.32527055396588</v>
      </c>
      <c r="M315" s="1033">
        <f t="shared" si="164"/>
        <v>644.40938591982001</v>
      </c>
      <c r="N315" s="1033">
        <f t="shared" si="164"/>
        <v>640.51715322886412</v>
      </c>
      <c r="O315" s="1033">
        <f t="shared" si="164"/>
        <v>636.64842962336195</v>
      </c>
      <c r="P315" s="1033">
        <f t="shared" si="164"/>
        <v>632.80307310843682</v>
      </c>
      <c r="Q315" s="1033">
        <f t="shared" si="164"/>
        <v>628.98094254686191</v>
      </c>
      <c r="R315" s="1033">
        <f t="shared" si="164"/>
        <v>625.18189765387888</v>
      </c>
      <c r="S315" s="1033">
        <f t="shared" si="164"/>
        <v>621.40579899204943</v>
      </c>
      <c r="T315" s="1033">
        <f t="shared" si="164"/>
        <v>617.65250796613736</v>
      </c>
      <c r="U315" s="1033">
        <f t="shared" si="164"/>
        <v>613.92188681802202</v>
      </c>
      <c r="V315" s="1033">
        <f t="shared" si="164"/>
        <v>610.2137986216411</v>
      </c>
      <c r="W315" s="1033">
        <f t="shared" si="164"/>
        <v>606.52810727796657</v>
      </c>
      <c r="X315" s="1033">
        <f t="shared" si="164"/>
        <v>602.8646775100076</v>
      </c>
      <c r="Y315" s="1033">
        <f t="shared" si="164"/>
        <v>599.22337485784715</v>
      </c>
      <c r="Z315" s="1033">
        <f t="shared" si="164"/>
        <v>595.6040656737058</v>
      </c>
      <c r="AA315" s="1029"/>
      <c r="AB315" s="1029"/>
      <c r="AC315" s="1029"/>
      <c r="AD315" s="1029"/>
    </row>
    <row r="316" spans="2:30">
      <c r="B316" s="1192"/>
      <c r="C316" s="1151" t="s">
        <v>1111</v>
      </c>
      <c r="D316" s="1193"/>
      <c r="E316" s="1193"/>
      <c r="F316" s="1193"/>
      <c r="G316" s="1193"/>
      <c r="H316" s="1193"/>
      <c r="I316" s="1193"/>
      <c r="J316" s="1150">
        <f>CHOOSE(DCF!$C$25,J313,J314,J315)</f>
        <v>774.98285714285726</v>
      </c>
      <c r="K316" s="1150">
        <f>CHOOSE(DCF!$C$25,K313,K314,K315)</f>
        <v>773.43910354285731</v>
      </c>
      <c r="L316" s="1150">
        <f>CHOOSE(DCF!$C$25,L313,L314,L315)</f>
        <v>771.97201027174424</v>
      </c>
      <c r="M316" s="1150">
        <f>CHOOSE(DCF!$C$25,M313,M314,M315)</f>
        <v>770.57864427107438</v>
      </c>
      <c r="N316" s="1150">
        <f>CHOOSE(DCF!$C$25,N313,N314,N315)</f>
        <v>769.2562172866709</v>
      </c>
      <c r="O316" s="1150">
        <f>CHOOSE(DCF!$C$25,O313,O314,O315)</f>
        <v>768.00207865392599</v>
      </c>
      <c r="P316" s="1150">
        <f>CHOOSE(DCF!$C$25,P313,P314,P315)</f>
        <v>766.81370844373726</v>
      </c>
      <c r="Q316" s="1150">
        <f>CHOOSE(DCF!$C$25,Q313,Q314,Q315)</f>
        <v>765.68871095105692</v>
      </c>
      <c r="R316" s="1150">
        <f>CHOOSE(DCF!$C$25,R313,R314,R315)</f>
        <v>764.62480850891393</v>
      </c>
      <c r="S316" s="1150">
        <f>CHOOSE(DCF!$C$25,S313,S314,S315)</f>
        <v>763.61983561164311</v>
      </c>
      <c r="T316" s="1150">
        <f>CHOOSE(DCF!$C$25,T313,T314,T315)</f>
        <v>762.67173333185792</v>
      </c>
      <c r="U316" s="1150">
        <f>CHOOSE(DCF!$C$25,U313,U314,U315)</f>
        <v>761.77854401648381</v>
      </c>
      <c r="V316" s="1150">
        <f>CHOOSE(DCF!$C$25,V313,V314,V315)</f>
        <v>760.93840624789527</v>
      </c>
      <c r="W316" s="1150">
        <f>CHOOSE(DCF!$C$25,W313,W314,W315)</f>
        <v>760.14955005690831</v>
      </c>
      <c r="X316" s="1150">
        <f>CHOOSE(DCF!$C$25,X313,X314,X315)</f>
        <v>759.41029237502903</v>
      </c>
      <c r="Y316" s="1150">
        <f>CHOOSE(DCF!$C$25,Y313,Y314,Y315)</f>
        <v>758.71903271400447</v>
      </c>
      <c r="Z316" s="1150">
        <f>CHOOSE(DCF!$C$25,Z313,Z314,Z315)</f>
        <v>758.0742490613037</v>
      </c>
      <c r="AA316" s="1190"/>
      <c r="AB316" s="1029" t="s">
        <v>1076</v>
      </c>
      <c r="AC316" s="1029"/>
      <c r="AD316" s="1029"/>
    </row>
    <row r="318" spans="2:30">
      <c r="C318" s="1023" t="s">
        <v>1112</v>
      </c>
      <c r="D318" s="1024"/>
      <c r="E318" s="1024"/>
      <c r="F318" s="1024"/>
      <c r="G318" s="1024"/>
      <c r="H318" s="1024"/>
      <c r="I318" s="1024"/>
      <c r="J318" s="1024"/>
      <c r="K318" s="1024"/>
      <c r="L318" s="1024"/>
      <c r="M318" s="1024"/>
      <c r="N318" s="1024"/>
      <c r="O318" s="1024"/>
      <c r="P318" s="1024"/>
      <c r="Q318" s="1024"/>
      <c r="R318" s="1024"/>
      <c r="S318" s="1024"/>
      <c r="T318" s="1024"/>
      <c r="U318" s="1024"/>
      <c r="V318" s="1024"/>
      <c r="W318" s="1024"/>
      <c r="X318" s="1024"/>
      <c r="Y318" s="1024"/>
      <c r="Z318" s="1024"/>
    </row>
    <row r="319" spans="2:30">
      <c r="C319" s="1128" t="s">
        <v>1085</v>
      </c>
      <c r="H319" s="1030"/>
      <c r="I319" s="1030"/>
      <c r="J319" s="1030"/>
      <c r="K319" s="1030"/>
      <c r="L319" s="1030"/>
      <c r="M319" s="1039"/>
      <c r="N319" s="1039"/>
      <c r="O319" s="1040">
        <v>0</v>
      </c>
      <c r="P319" s="1039">
        <f>O319</f>
        <v>0</v>
      </c>
      <c r="Q319" s="1040">
        <v>0</v>
      </c>
      <c r="R319" s="1039">
        <f>Q319</f>
        <v>0</v>
      </c>
      <c r="S319" s="1039">
        <f t="shared" ref="S319:Z319" si="165">R319</f>
        <v>0</v>
      </c>
      <c r="T319" s="1039">
        <f t="shared" si="165"/>
        <v>0</v>
      </c>
      <c r="U319" s="1039">
        <f t="shared" si="165"/>
        <v>0</v>
      </c>
      <c r="V319" s="1039">
        <f t="shared" si="165"/>
        <v>0</v>
      </c>
      <c r="W319" s="1039">
        <f t="shared" si="165"/>
        <v>0</v>
      </c>
      <c r="X319" s="1039">
        <f t="shared" si="165"/>
        <v>0</v>
      </c>
      <c r="Y319" s="1039">
        <f t="shared" si="165"/>
        <v>0</v>
      </c>
      <c r="Z319" s="1039">
        <f t="shared" si="165"/>
        <v>0</v>
      </c>
    </row>
    <row r="320" spans="2:30">
      <c r="C320" s="1128" t="s">
        <v>111</v>
      </c>
      <c r="H320" s="1030"/>
      <c r="I320" s="1030"/>
      <c r="J320" s="1030"/>
      <c r="K320" s="1030"/>
      <c r="L320" s="1030"/>
      <c r="M320" s="1039"/>
      <c r="N320" s="1039"/>
      <c r="O320" s="1039">
        <f t="shared" ref="O320:Z320" si="166">O321-O319</f>
        <v>7.5000000000000011E-2</v>
      </c>
      <c r="P320" s="1039">
        <f t="shared" si="166"/>
        <v>0.1875</v>
      </c>
      <c r="Q320" s="1039">
        <f t="shared" si="166"/>
        <v>0.30000000000000004</v>
      </c>
      <c r="R320" s="1039">
        <f t="shared" si="166"/>
        <v>0.375</v>
      </c>
      <c r="S320" s="1039">
        <f t="shared" si="166"/>
        <v>0.44999999999999996</v>
      </c>
      <c r="T320" s="1039">
        <f t="shared" si="166"/>
        <v>0.52499999999999991</v>
      </c>
      <c r="U320" s="1039">
        <f t="shared" si="166"/>
        <v>0.53812499999999996</v>
      </c>
      <c r="V320" s="1039">
        <f t="shared" si="166"/>
        <v>0.55157812499999992</v>
      </c>
      <c r="W320" s="1039">
        <f t="shared" si="166"/>
        <v>0.56536757812499983</v>
      </c>
      <c r="X320" s="1039">
        <f t="shared" si="166"/>
        <v>0.57950176757812488</v>
      </c>
      <c r="Y320" s="1039">
        <f t="shared" si="166"/>
        <v>0.59398931176757785</v>
      </c>
      <c r="Z320" s="1039">
        <f t="shared" si="166"/>
        <v>0.6088390445617673</v>
      </c>
    </row>
    <row r="321" spans="2:28">
      <c r="C321" s="1128" t="s">
        <v>1087</v>
      </c>
      <c r="H321" s="1030"/>
      <c r="I321" s="1030"/>
      <c r="J321" s="1030"/>
      <c r="K321" s="1030"/>
      <c r="L321" s="1030"/>
      <c r="M321" s="1039"/>
      <c r="N321" s="1039"/>
      <c r="O321" s="1039">
        <f t="shared" ref="O321:Z321" si="167">M240*0.75</f>
        <v>7.5000000000000011E-2</v>
      </c>
      <c r="P321" s="1039">
        <f t="shared" si="167"/>
        <v>0.1875</v>
      </c>
      <c r="Q321" s="1039">
        <f t="shared" si="167"/>
        <v>0.30000000000000004</v>
      </c>
      <c r="R321" s="1039">
        <f t="shared" si="167"/>
        <v>0.375</v>
      </c>
      <c r="S321" s="1039">
        <f t="shared" si="167"/>
        <v>0.44999999999999996</v>
      </c>
      <c r="T321" s="1039">
        <f t="shared" si="167"/>
        <v>0.52499999999999991</v>
      </c>
      <c r="U321" s="1039">
        <f t="shared" si="167"/>
        <v>0.53812499999999996</v>
      </c>
      <c r="V321" s="1039">
        <f t="shared" si="167"/>
        <v>0.55157812499999992</v>
      </c>
      <c r="W321" s="1039">
        <f t="shared" si="167"/>
        <v>0.56536757812499983</v>
      </c>
      <c r="X321" s="1039">
        <f t="shared" si="167"/>
        <v>0.57950176757812488</v>
      </c>
      <c r="Y321" s="1039">
        <f t="shared" si="167"/>
        <v>0.59398931176757785</v>
      </c>
      <c r="Z321" s="1039">
        <f t="shared" si="167"/>
        <v>0.6088390445617673</v>
      </c>
    </row>
    <row r="323" spans="2:28">
      <c r="C323" s="1022" t="s">
        <v>1088</v>
      </c>
      <c r="N323" s="1041">
        <v>1</v>
      </c>
      <c r="O323" s="1051">
        <f>N323</f>
        <v>1</v>
      </c>
      <c r="P323" s="1051">
        <f t="shared" ref="P323:Z323" si="168">O323</f>
        <v>1</v>
      </c>
      <c r="Q323" s="1051">
        <f t="shared" si="168"/>
        <v>1</v>
      </c>
      <c r="R323" s="1051">
        <f t="shared" si="168"/>
        <v>1</v>
      </c>
      <c r="S323" s="1051">
        <f t="shared" si="168"/>
        <v>1</v>
      </c>
      <c r="T323" s="1051">
        <f t="shared" si="168"/>
        <v>1</v>
      </c>
      <c r="U323" s="1051">
        <f t="shared" si="168"/>
        <v>1</v>
      </c>
      <c r="V323" s="1051">
        <f t="shared" si="168"/>
        <v>1</v>
      </c>
      <c r="W323" s="1051">
        <f t="shared" si="168"/>
        <v>1</v>
      </c>
      <c r="X323" s="1051">
        <f t="shared" si="168"/>
        <v>1</v>
      </c>
      <c r="Y323" s="1051">
        <f t="shared" si="168"/>
        <v>1</v>
      </c>
      <c r="Z323" s="1051">
        <f t="shared" si="168"/>
        <v>1</v>
      </c>
    </row>
    <row r="325" spans="2:28">
      <c r="C325" s="1042" t="s">
        <v>1089</v>
      </c>
      <c r="J325" s="1043"/>
      <c r="K325" s="1025"/>
      <c r="L325" s="1025"/>
      <c r="M325" s="1025"/>
      <c r="N325" s="1044">
        <v>240</v>
      </c>
      <c r="O325" s="1049">
        <f>N325*(1+O326)</f>
        <v>235.2</v>
      </c>
      <c r="P325" s="1049">
        <f t="shared" ref="P325:Z325" si="169">O325*(1+P326)</f>
        <v>230.49599999999998</v>
      </c>
      <c r="Q325" s="1049">
        <f t="shared" si="169"/>
        <v>225.88607999999996</v>
      </c>
      <c r="R325" s="1049">
        <f t="shared" si="169"/>
        <v>221.36835839999995</v>
      </c>
      <c r="S325" s="1049">
        <f t="shared" si="169"/>
        <v>216.94099123199996</v>
      </c>
      <c r="T325" s="1049">
        <f t="shared" si="169"/>
        <v>212.60217140735995</v>
      </c>
      <c r="U325" s="1049">
        <f t="shared" si="169"/>
        <v>208.35012797921274</v>
      </c>
      <c r="V325" s="1049">
        <f t="shared" si="169"/>
        <v>204.18312541962848</v>
      </c>
      <c r="W325" s="1049">
        <f t="shared" si="169"/>
        <v>200.09946291123592</v>
      </c>
      <c r="X325" s="1049">
        <f t="shared" si="169"/>
        <v>196.09747365301121</v>
      </c>
      <c r="Y325" s="1049">
        <f t="shared" si="169"/>
        <v>192.17552417995097</v>
      </c>
      <c r="Z325" s="1049">
        <f t="shared" si="169"/>
        <v>188.33201369635194</v>
      </c>
    </row>
    <row r="326" spans="2:28">
      <c r="C326" s="1045" t="s">
        <v>368</v>
      </c>
      <c r="D326" s="1046"/>
      <c r="E326" s="1046"/>
      <c r="F326" s="1046"/>
      <c r="G326" s="1046"/>
      <c r="H326" s="1046"/>
      <c r="I326" s="1046"/>
      <c r="J326" s="1046"/>
      <c r="K326" s="1047"/>
      <c r="L326" s="1048"/>
      <c r="M326" s="1048"/>
      <c r="N326" s="1048"/>
      <c r="O326" s="1047">
        <v>-0.02</v>
      </c>
      <c r="P326" s="1054">
        <f>O326</f>
        <v>-0.02</v>
      </c>
      <c r="Q326" s="1054">
        <f t="shared" ref="Q326:Z326" si="170">P326</f>
        <v>-0.02</v>
      </c>
      <c r="R326" s="1054">
        <f t="shared" si="170"/>
        <v>-0.02</v>
      </c>
      <c r="S326" s="1054">
        <f t="shared" si="170"/>
        <v>-0.02</v>
      </c>
      <c r="T326" s="1054">
        <f t="shared" si="170"/>
        <v>-0.02</v>
      </c>
      <c r="U326" s="1054">
        <f t="shared" si="170"/>
        <v>-0.02</v>
      </c>
      <c r="V326" s="1054">
        <f t="shared" si="170"/>
        <v>-0.02</v>
      </c>
      <c r="W326" s="1054">
        <f t="shared" si="170"/>
        <v>-0.02</v>
      </c>
      <c r="X326" s="1054">
        <f t="shared" si="170"/>
        <v>-0.02</v>
      </c>
      <c r="Y326" s="1054">
        <f t="shared" si="170"/>
        <v>-0.02</v>
      </c>
      <c r="Z326" s="1054">
        <f t="shared" si="170"/>
        <v>-0.02</v>
      </c>
      <c r="AA326" s="1046"/>
      <c r="AB326" s="1046"/>
    </row>
    <row r="327" spans="2:28">
      <c r="C327" s="1045"/>
      <c r="D327" s="1046"/>
      <c r="E327" s="1046"/>
      <c r="F327" s="1046"/>
      <c r="G327" s="1046"/>
      <c r="H327" s="1046"/>
      <c r="I327" s="1046"/>
      <c r="J327" s="1046"/>
      <c r="K327" s="1047"/>
      <c r="L327" s="1048"/>
      <c r="M327" s="1048"/>
      <c r="N327" s="1048"/>
      <c r="O327" s="1048"/>
      <c r="P327" s="1048"/>
      <c r="Q327" s="1048"/>
      <c r="R327" s="1048"/>
      <c r="S327" s="1048"/>
      <c r="T327" s="1048"/>
      <c r="U327" s="1048"/>
      <c r="V327" s="1048"/>
      <c r="W327" s="1048"/>
      <c r="X327" s="1048"/>
      <c r="Y327" s="1048"/>
      <c r="Z327" s="1048"/>
      <c r="AA327" s="1046"/>
      <c r="AB327" s="1046"/>
    </row>
    <row r="328" spans="2:28" ht="13.5" thickBot="1">
      <c r="B328" s="1206" t="s">
        <v>78</v>
      </c>
      <c r="C328" s="1171" t="s">
        <v>1113</v>
      </c>
      <c r="D328" s="1172"/>
      <c r="E328" s="1172"/>
      <c r="F328" s="1172"/>
      <c r="G328" s="1172"/>
      <c r="H328" s="1172"/>
      <c r="I328" s="1172"/>
      <c r="J328" s="1173"/>
      <c r="K328" s="1173"/>
      <c r="L328" s="1173"/>
      <c r="M328" s="1173"/>
      <c r="N328" s="1174">
        <f t="shared" ref="N328:Y328" si="171">N319*N323*N325*N316/1000</f>
        <v>0</v>
      </c>
      <c r="O328" s="1174">
        <f t="shared" si="171"/>
        <v>0</v>
      </c>
      <c r="P328" s="1174">
        <f t="shared" si="171"/>
        <v>0</v>
      </c>
      <c r="Q328" s="1174">
        <f t="shared" si="171"/>
        <v>0</v>
      </c>
      <c r="R328" s="1174">
        <f t="shared" si="171"/>
        <v>0</v>
      </c>
      <c r="S328" s="1174">
        <f t="shared" si="171"/>
        <v>0</v>
      </c>
      <c r="T328" s="1174">
        <f t="shared" si="171"/>
        <v>0</v>
      </c>
      <c r="U328" s="1174">
        <f t="shared" si="171"/>
        <v>0</v>
      </c>
      <c r="V328" s="1174">
        <f t="shared" si="171"/>
        <v>0</v>
      </c>
      <c r="W328" s="1174">
        <f t="shared" si="171"/>
        <v>0</v>
      </c>
      <c r="X328" s="1174">
        <f t="shared" si="171"/>
        <v>0</v>
      </c>
      <c r="Y328" s="1174">
        <f t="shared" si="171"/>
        <v>0</v>
      </c>
      <c r="Z328" s="1174">
        <f>Z319*Z323*Z325*Z316/1000</f>
        <v>0</v>
      </c>
    </row>
    <row r="329" spans="2:28" ht="13.5" thickTop="1"/>
    <row r="330" spans="2:28">
      <c r="C330" s="1023" t="s">
        <v>1114</v>
      </c>
      <c r="D330" s="1024"/>
      <c r="E330" s="1024"/>
      <c r="F330" s="1024"/>
      <c r="G330" s="1024"/>
      <c r="H330" s="1024"/>
      <c r="I330" s="1024"/>
      <c r="J330" s="1024"/>
      <c r="K330" s="1024"/>
      <c r="L330" s="1024"/>
      <c r="M330" s="1024"/>
      <c r="N330" s="1024"/>
      <c r="O330" s="1024"/>
      <c r="P330" s="1024"/>
      <c r="Q330" s="1024"/>
      <c r="R330" s="1024"/>
      <c r="S330" s="1024"/>
      <c r="T330" s="1024"/>
      <c r="U330" s="1024"/>
      <c r="V330" s="1024"/>
      <c r="W330" s="1024"/>
      <c r="X330" s="1024"/>
      <c r="Y330" s="1024"/>
      <c r="Z330" s="1024"/>
    </row>
    <row r="331" spans="2:28">
      <c r="C331" s="1128" t="s">
        <v>1085</v>
      </c>
      <c r="H331" s="1030"/>
      <c r="I331" s="1030"/>
      <c r="J331" s="1030"/>
      <c r="K331" s="1030"/>
      <c r="L331" s="1030"/>
      <c r="M331" s="1039"/>
      <c r="N331" s="1039"/>
      <c r="O331" s="1039"/>
      <c r="P331" s="1040">
        <v>0</v>
      </c>
      <c r="Q331" s="1039">
        <f>P331</f>
        <v>0</v>
      </c>
      <c r="R331" s="1039">
        <f t="shared" ref="R331:Z331" si="172">Q331</f>
        <v>0</v>
      </c>
      <c r="S331" s="1039">
        <f t="shared" si="172"/>
        <v>0</v>
      </c>
      <c r="T331" s="1039">
        <f t="shared" si="172"/>
        <v>0</v>
      </c>
      <c r="U331" s="1039">
        <f t="shared" si="172"/>
        <v>0</v>
      </c>
      <c r="V331" s="1039">
        <f t="shared" si="172"/>
        <v>0</v>
      </c>
      <c r="W331" s="1039">
        <f t="shared" si="172"/>
        <v>0</v>
      </c>
      <c r="X331" s="1039">
        <f t="shared" si="172"/>
        <v>0</v>
      </c>
      <c r="Y331" s="1039">
        <f t="shared" si="172"/>
        <v>0</v>
      </c>
      <c r="Z331" s="1039">
        <f t="shared" si="172"/>
        <v>0</v>
      </c>
    </row>
    <row r="332" spans="2:28">
      <c r="C332" s="1038" t="s">
        <v>111</v>
      </c>
      <c r="H332" s="1030"/>
      <c r="I332" s="1030"/>
      <c r="J332" s="1030"/>
      <c r="K332" s="1030"/>
      <c r="L332" s="1030"/>
      <c r="M332" s="1030"/>
      <c r="N332" s="1030"/>
      <c r="O332" s="1030"/>
      <c r="P332" s="1030">
        <f>P333-P331</f>
        <v>0.11249999999999999</v>
      </c>
      <c r="Q332" s="1030">
        <f t="shared" ref="Q332:Z332" si="173">Q333-Q331</f>
        <v>0.1875</v>
      </c>
      <c r="R332" s="1030">
        <f t="shared" si="173"/>
        <v>0.30000000000000004</v>
      </c>
      <c r="S332" s="1030">
        <f t="shared" si="173"/>
        <v>0.375</v>
      </c>
      <c r="T332" s="1030">
        <f t="shared" si="173"/>
        <v>0.44999999999999996</v>
      </c>
      <c r="U332" s="1030">
        <f t="shared" si="173"/>
        <v>0.52499999999999991</v>
      </c>
      <c r="V332" s="1030">
        <f t="shared" si="173"/>
        <v>0.60000000000000009</v>
      </c>
      <c r="W332" s="1030">
        <f t="shared" si="173"/>
        <v>0.61499999999999999</v>
      </c>
      <c r="X332" s="1030">
        <f t="shared" si="173"/>
        <v>0.63037499999999991</v>
      </c>
      <c r="Y332" s="1030">
        <f t="shared" si="173"/>
        <v>0.64613437499999982</v>
      </c>
      <c r="Z332" s="1030">
        <f t="shared" si="173"/>
        <v>0.66228773437499977</v>
      </c>
    </row>
    <row r="333" spans="2:28">
      <c r="C333" s="1128" t="s">
        <v>1087</v>
      </c>
      <c r="H333" s="1030"/>
      <c r="I333" s="1030"/>
      <c r="J333" s="1030"/>
      <c r="K333" s="1030"/>
      <c r="L333" s="1030"/>
      <c r="M333" s="1039"/>
      <c r="N333" s="1039"/>
      <c r="O333" s="1039"/>
      <c r="P333" s="1039">
        <f t="shared" ref="P333:Z333" si="174">N256*0.75</f>
        <v>0.11249999999999999</v>
      </c>
      <c r="Q333" s="1039">
        <f t="shared" si="174"/>
        <v>0.1875</v>
      </c>
      <c r="R333" s="1039">
        <f t="shared" si="174"/>
        <v>0.30000000000000004</v>
      </c>
      <c r="S333" s="1039">
        <f t="shared" si="174"/>
        <v>0.375</v>
      </c>
      <c r="T333" s="1039">
        <f t="shared" si="174"/>
        <v>0.44999999999999996</v>
      </c>
      <c r="U333" s="1039">
        <f t="shared" si="174"/>
        <v>0.52499999999999991</v>
      </c>
      <c r="V333" s="1039">
        <f t="shared" si="174"/>
        <v>0.60000000000000009</v>
      </c>
      <c r="W333" s="1039">
        <f t="shared" si="174"/>
        <v>0.61499999999999999</v>
      </c>
      <c r="X333" s="1039">
        <f t="shared" si="174"/>
        <v>0.63037499999999991</v>
      </c>
      <c r="Y333" s="1039">
        <f t="shared" si="174"/>
        <v>0.64613437499999982</v>
      </c>
      <c r="Z333" s="1039">
        <f t="shared" si="174"/>
        <v>0.66228773437499977</v>
      </c>
    </row>
    <row r="335" spans="2:28">
      <c r="C335" s="1022" t="s">
        <v>1088</v>
      </c>
      <c r="O335" s="1041">
        <f>S323</f>
        <v>1</v>
      </c>
      <c r="P335" s="1051">
        <f t="shared" ref="P335:Z335" si="175">O335</f>
        <v>1</v>
      </c>
      <c r="Q335" s="1051">
        <f t="shared" si="175"/>
        <v>1</v>
      </c>
      <c r="R335" s="1051">
        <f t="shared" si="175"/>
        <v>1</v>
      </c>
      <c r="S335" s="1051">
        <f t="shared" si="175"/>
        <v>1</v>
      </c>
      <c r="T335" s="1051">
        <f t="shared" si="175"/>
        <v>1</v>
      </c>
      <c r="U335" s="1051">
        <f t="shared" si="175"/>
        <v>1</v>
      </c>
      <c r="V335" s="1051">
        <f t="shared" si="175"/>
        <v>1</v>
      </c>
      <c r="W335" s="1051">
        <f t="shared" si="175"/>
        <v>1</v>
      </c>
      <c r="X335" s="1051">
        <f t="shared" si="175"/>
        <v>1</v>
      </c>
      <c r="Y335" s="1051">
        <f t="shared" si="175"/>
        <v>1</v>
      </c>
      <c r="Z335" s="1051">
        <f t="shared" si="175"/>
        <v>1</v>
      </c>
    </row>
    <row r="337" spans="2:26">
      <c r="C337" s="1042" t="s">
        <v>1089</v>
      </c>
      <c r="J337" s="1043"/>
      <c r="K337" s="1025"/>
      <c r="L337" s="1025"/>
      <c r="M337" s="1025"/>
      <c r="N337" s="1025"/>
      <c r="O337" s="1049">
        <f>O325</f>
        <v>235.2</v>
      </c>
      <c r="P337" s="1049">
        <f>O337*(1+P338)</f>
        <v>230.49599999999998</v>
      </c>
      <c r="Q337" s="1049">
        <f t="shared" ref="Q337:Z337" si="176">P337*(1+Q338)</f>
        <v>225.88607999999996</v>
      </c>
      <c r="R337" s="1049">
        <f t="shared" si="176"/>
        <v>221.36835839999995</v>
      </c>
      <c r="S337" s="1049">
        <f t="shared" si="176"/>
        <v>216.94099123199996</v>
      </c>
      <c r="T337" s="1049">
        <f t="shared" si="176"/>
        <v>212.60217140735995</v>
      </c>
      <c r="U337" s="1049">
        <f t="shared" si="176"/>
        <v>208.35012797921274</v>
      </c>
      <c r="V337" s="1049">
        <f t="shared" si="176"/>
        <v>204.18312541962848</v>
      </c>
      <c r="W337" s="1049">
        <f t="shared" si="176"/>
        <v>200.09946291123592</v>
      </c>
      <c r="X337" s="1049">
        <f t="shared" si="176"/>
        <v>196.09747365301121</v>
      </c>
      <c r="Y337" s="1049">
        <f t="shared" si="176"/>
        <v>192.17552417995097</v>
      </c>
      <c r="Z337" s="1049">
        <f t="shared" si="176"/>
        <v>188.33201369635194</v>
      </c>
    </row>
    <row r="338" spans="2:26">
      <c r="C338" s="1045" t="s">
        <v>368</v>
      </c>
      <c r="D338" s="1046"/>
      <c r="E338" s="1046"/>
      <c r="F338" s="1046"/>
      <c r="G338" s="1046"/>
      <c r="H338" s="1046"/>
      <c r="I338" s="1046"/>
      <c r="J338" s="1046"/>
      <c r="K338" s="1047"/>
      <c r="L338" s="1048"/>
      <c r="M338" s="1048"/>
      <c r="N338" s="1048"/>
      <c r="O338" s="1047"/>
      <c r="P338" s="1047">
        <v>-0.02</v>
      </c>
      <c r="Q338" s="1048">
        <f>P338</f>
        <v>-0.02</v>
      </c>
      <c r="R338" s="1048">
        <f t="shared" ref="R338:Z338" si="177">Q338</f>
        <v>-0.02</v>
      </c>
      <c r="S338" s="1048">
        <f t="shared" si="177"/>
        <v>-0.02</v>
      </c>
      <c r="T338" s="1048">
        <f t="shared" si="177"/>
        <v>-0.02</v>
      </c>
      <c r="U338" s="1048">
        <f t="shared" si="177"/>
        <v>-0.02</v>
      </c>
      <c r="V338" s="1048">
        <f t="shared" si="177"/>
        <v>-0.02</v>
      </c>
      <c r="W338" s="1048">
        <f t="shared" si="177"/>
        <v>-0.02</v>
      </c>
      <c r="X338" s="1048">
        <f t="shared" si="177"/>
        <v>-0.02</v>
      </c>
      <c r="Y338" s="1048">
        <f t="shared" si="177"/>
        <v>-0.02</v>
      </c>
      <c r="Z338" s="1048">
        <f t="shared" si="177"/>
        <v>-0.02</v>
      </c>
    </row>
    <row r="339" spans="2:26">
      <c r="C339" s="1045"/>
      <c r="D339" s="1046"/>
      <c r="E339" s="1046"/>
      <c r="F339" s="1046"/>
      <c r="G339" s="1046"/>
      <c r="H339" s="1046"/>
      <c r="I339" s="1046"/>
      <c r="J339" s="1046"/>
      <c r="K339" s="1047"/>
      <c r="L339" s="1048"/>
      <c r="M339" s="1048"/>
      <c r="N339" s="1048"/>
      <c r="O339" s="1048"/>
      <c r="P339" s="1048"/>
      <c r="Q339" s="1048"/>
      <c r="R339" s="1048"/>
      <c r="S339" s="1048"/>
      <c r="T339" s="1048"/>
      <c r="U339" s="1048"/>
      <c r="V339" s="1048"/>
      <c r="W339" s="1048"/>
      <c r="X339" s="1048"/>
      <c r="Y339" s="1048"/>
      <c r="Z339" s="1048"/>
    </row>
    <row r="340" spans="2:26" ht="13.5" thickBot="1">
      <c r="B340" s="1206" t="s">
        <v>78</v>
      </c>
      <c r="C340" s="1171" t="s">
        <v>1115</v>
      </c>
      <c r="D340" s="1172"/>
      <c r="E340" s="1172"/>
      <c r="F340" s="1172"/>
      <c r="G340" s="1172"/>
      <c r="H340" s="1172"/>
      <c r="I340" s="1172"/>
      <c r="J340" s="1173"/>
      <c r="K340" s="1173"/>
      <c r="L340" s="1173"/>
      <c r="M340" s="1173"/>
      <c r="N340" s="1173"/>
      <c r="O340" s="1174">
        <f t="shared" ref="O340:Y340" si="178">O300*O331*O335*O337/1000</f>
        <v>0</v>
      </c>
      <c r="P340" s="1174">
        <f t="shared" si="178"/>
        <v>0</v>
      </c>
      <c r="Q340" s="1174">
        <f t="shared" si="178"/>
        <v>0</v>
      </c>
      <c r="R340" s="1174">
        <f t="shared" si="178"/>
        <v>0</v>
      </c>
      <c r="S340" s="1174">
        <f t="shared" si="178"/>
        <v>0</v>
      </c>
      <c r="T340" s="1174">
        <f t="shared" si="178"/>
        <v>0</v>
      </c>
      <c r="U340" s="1174">
        <f t="shared" si="178"/>
        <v>0</v>
      </c>
      <c r="V340" s="1174">
        <f t="shared" si="178"/>
        <v>0</v>
      </c>
      <c r="W340" s="1174">
        <f t="shared" si="178"/>
        <v>0</v>
      </c>
      <c r="X340" s="1174">
        <f t="shared" si="178"/>
        <v>0</v>
      </c>
      <c r="Y340" s="1174">
        <f t="shared" si="178"/>
        <v>0</v>
      </c>
      <c r="Z340" s="1174">
        <f>Z300*Z331*Z335*Z337/1000</f>
        <v>0</v>
      </c>
    </row>
    <row r="341" spans="2:26" ht="14.25" thickTop="1" thickBot="1"/>
    <row r="342" spans="2:26" s="1185" customFormat="1" ht="15.75" thickBot="1">
      <c r="B342" s="1206" t="s">
        <v>78</v>
      </c>
      <c r="C342" s="1209" t="s">
        <v>1213</v>
      </c>
      <c r="D342" s="1210"/>
      <c r="E342" s="1210"/>
      <c r="F342" s="1210"/>
      <c r="G342" s="1210"/>
      <c r="H342" s="1210"/>
      <c r="I342" s="1210"/>
      <c r="J342" s="1210"/>
      <c r="K342" s="1210"/>
      <c r="L342" s="1210"/>
      <c r="M342" s="1210"/>
      <c r="N342" s="1217">
        <f t="shared" ref="N342:Z342" si="179">N340+N328+N263+N247</f>
        <v>0</v>
      </c>
      <c r="O342" s="1218">
        <f t="shared" si="179"/>
        <v>0</v>
      </c>
      <c r="P342" s="1218">
        <f t="shared" si="179"/>
        <v>0</v>
      </c>
      <c r="Q342" s="1218">
        <f t="shared" si="179"/>
        <v>0</v>
      </c>
      <c r="R342" s="1218">
        <f t="shared" si="179"/>
        <v>0</v>
      </c>
      <c r="S342" s="1218">
        <f t="shared" si="179"/>
        <v>0</v>
      </c>
      <c r="T342" s="1218">
        <f t="shared" si="179"/>
        <v>0</v>
      </c>
      <c r="U342" s="1218">
        <f t="shared" si="179"/>
        <v>0</v>
      </c>
      <c r="V342" s="1218">
        <f t="shared" si="179"/>
        <v>0</v>
      </c>
      <c r="W342" s="1218">
        <f t="shared" si="179"/>
        <v>0</v>
      </c>
      <c r="X342" s="1218">
        <f t="shared" si="179"/>
        <v>0</v>
      </c>
      <c r="Y342" s="1218">
        <f t="shared" si="179"/>
        <v>0</v>
      </c>
      <c r="Z342" s="1219">
        <f t="shared" si="179"/>
        <v>0</v>
      </c>
    </row>
    <row r="343" spans="2:26" s="1151" customFormat="1" ht="15">
      <c r="C343" s="1197"/>
      <c r="D343" s="1197"/>
      <c r="E343" s="1197"/>
      <c r="F343" s="1197"/>
      <c r="G343" s="1197"/>
      <c r="H343" s="1197"/>
      <c r="I343" s="1197"/>
      <c r="J343" s="1197"/>
      <c r="K343" s="1197"/>
      <c r="L343" s="1197"/>
      <c r="M343" s="1197"/>
      <c r="N343" s="1197"/>
      <c r="O343" s="1197"/>
      <c r="P343" s="1197"/>
      <c r="Q343" s="1197"/>
      <c r="R343" s="1197"/>
      <c r="S343" s="1197"/>
      <c r="T343" s="1197"/>
      <c r="U343" s="1197"/>
      <c r="V343" s="1197"/>
      <c r="W343" s="1197"/>
      <c r="X343" s="1197"/>
      <c r="Y343" s="1197"/>
      <c r="Z343" s="1197"/>
    </row>
    <row r="344" spans="2:26" hidden="1" outlineLevel="1"/>
    <row r="345" spans="2:26" hidden="1" outlineLevel="1">
      <c r="C345" s="1022" t="s">
        <v>1116</v>
      </c>
      <c r="J345" s="1029">
        <f t="shared" ref="J345:Z345" si="180">J267</f>
        <v>0.23376623376623376</v>
      </c>
      <c r="K345" s="1029">
        <f t="shared" si="180"/>
        <v>0.23142857142857143</v>
      </c>
      <c r="L345" s="1029">
        <f t="shared" si="180"/>
        <v>0.22911428571428571</v>
      </c>
      <c r="M345" s="1029">
        <f t="shared" si="180"/>
        <v>0.22682314285714286</v>
      </c>
      <c r="N345" s="1029">
        <f t="shared" si="180"/>
        <v>0.22455491142857142</v>
      </c>
      <c r="O345" s="1029">
        <f t="shared" si="180"/>
        <v>0.22230936231428572</v>
      </c>
      <c r="P345" s="1029">
        <f t="shared" si="180"/>
        <v>0.22008626869114287</v>
      </c>
      <c r="Q345" s="1029">
        <f t="shared" si="180"/>
        <v>0.21788540600423142</v>
      </c>
      <c r="R345" s="1029">
        <f t="shared" si="180"/>
        <v>0.21570655194418911</v>
      </c>
      <c r="S345" s="1029">
        <f t="shared" si="180"/>
        <v>0.21354948642474722</v>
      </c>
      <c r="T345" s="1029">
        <f t="shared" si="180"/>
        <v>0.21141399156049975</v>
      </c>
      <c r="U345" s="1029">
        <f t="shared" si="180"/>
        <v>0.20929985164489476</v>
      </c>
      <c r="V345" s="1029">
        <f t="shared" si="180"/>
        <v>0.20720685312844581</v>
      </c>
      <c r="W345" s="1029">
        <f t="shared" si="180"/>
        <v>0.20513478459716133</v>
      </c>
      <c r="X345" s="1029">
        <f t="shared" si="180"/>
        <v>0.20308343675118973</v>
      </c>
      <c r="Y345" s="1029">
        <f t="shared" si="180"/>
        <v>0.20105260238367784</v>
      </c>
      <c r="Z345" s="1029">
        <f t="shared" si="180"/>
        <v>0.19904207635984106</v>
      </c>
    </row>
    <row r="346" spans="2:26" hidden="1" outlineLevel="1">
      <c r="C346" s="1022" t="s">
        <v>1098</v>
      </c>
      <c r="J346" s="1029">
        <f t="shared" ref="J346:Z346" si="181">J268</f>
        <v>0.36734693877551022</v>
      </c>
      <c r="K346" s="1029">
        <f t="shared" si="181"/>
        <v>0.36367346938775513</v>
      </c>
      <c r="L346" s="1029">
        <f t="shared" si="181"/>
        <v>0.36003673469387759</v>
      </c>
      <c r="M346" s="1029">
        <f t="shared" si="181"/>
        <v>0.35643636734693879</v>
      </c>
      <c r="N346" s="1029">
        <f t="shared" si="181"/>
        <v>0.35287200367346938</v>
      </c>
      <c r="O346" s="1029">
        <f t="shared" si="181"/>
        <v>0.34934328363673467</v>
      </c>
      <c r="P346" s="1029">
        <f t="shared" si="181"/>
        <v>0.34584985080036734</v>
      </c>
      <c r="Q346" s="1029">
        <f t="shared" si="181"/>
        <v>0.34239135229236367</v>
      </c>
      <c r="R346" s="1029">
        <f t="shared" si="181"/>
        <v>0.33896743876944002</v>
      </c>
      <c r="S346" s="1029">
        <f t="shared" si="181"/>
        <v>0.33557776438174564</v>
      </c>
      <c r="T346" s="1029">
        <f t="shared" si="181"/>
        <v>0.33222198673792819</v>
      </c>
      <c r="U346" s="1029">
        <f t="shared" si="181"/>
        <v>0.32889976687054889</v>
      </c>
      <c r="V346" s="1029">
        <f t="shared" si="181"/>
        <v>0.3256107692018434</v>
      </c>
      <c r="W346" s="1029">
        <f t="shared" si="181"/>
        <v>0.32235466150982495</v>
      </c>
      <c r="X346" s="1029">
        <f t="shared" si="181"/>
        <v>0.31913111489472668</v>
      </c>
      <c r="Y346" s="1029">
        <f t="shared" si="181"/>
        <v>0.3159398037457794</v>
      </c>
      <c r="Z346" s="1029">
        <f t="shared" si="181"/>
        <v>0.31278040570832161</v>
      </c>
    </row>
    <row r="347" spans="2:26" collapsed="1"/>
    <row r="355" spans="3:19" ht="13.5" thickBot="1"/>
    <row r="356" spans="3:19" ht="13.5" thickBot="1">
      <c r="C356" s="1202"/>
      <c r="Q356" s="1198" t="s">
        <v>1170</v>
      </c>
      <c r="R356" s="1201"/>
      <c r="S356" s="1199">
        <f>DCF!$C$25</f>
        <v>2</v>
      </c>
    </row>
    <row r="506" ht="12" customHeight="1"/>
  </sheetData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S38"/>
  <sheetViews>
    <sheetView showGridLines="0" zoomScaleNormal="100" workbookViewId="0">
      <pane xSplit="2" ySplit="6" topLeftCell="E7" activePane="bottomRight" state="frozen"/>
      <selection pane="topRight" activeCell="C1" sqref="C1"/>
      <selection pane="bottomLeft" activeCell="A7" sqref="A7"/>
      <selection pane="bottomRight" activeCell="S18" sqref="S18"/>
    </sheetView>
  </sheetViews>
  <sheetFormatPr defaultRowHeight="15"/>
  <cols>
    <col min="1" max="1" width="2.140625" style="1065" customWidth="1"/>
    <col min="2" max="2" width="35.140625" style="1065" customWidth="1"/>
    <col min="3" max="16384" width="9.140625" style="1065"/>
  </cols>
  <sheetData>
    <row r="1" spans="1:19">
      <c r="A1" s="725"/>
      <c r="B1" s="725"/>
      <c r="C1" s="725"/>
      <c r="D1" s="725"/>
      <c r="E1" s="725"/>
      <c r="F1" s="725"/>
      <c r="G1" s="725"/>
      <c r="H1" s="725"/>
      <c r="I1" s="725"/>
      <c r="J1" s="725"/>
      <c r="K1" s="725"/>
      <c r="L1" s="725"/>
      <c r="M1" s="725"/>
      <c r="N1" s="725"/>
      <c r="O1" s="725"/>
      <c r="P1" s="725"/>
      <c r="Q1" s="725"/>
      <c r="R1" s="725"/>
      <c r="S1" s="725"/>
    </row>
    <row r="2" spans="1:19">
      <c r="A2" s="1066"/>
      <c r="B2" s="1067" t="s">
        <v>1170</v>
      </c>
      <c r="C2" s="1068">
        <f>DCF!$C$25</f>
        <v>2</v>
      </c>
      <c r="D2" s="1066"/>
      <c r="E2" s="1066"/>
      <c r="F2" s="1066"/>
      <c r="G2" s="1066"/>
      <c r="H2" s="1066"/>
      <c r="I2" s="1066"/>
      <c r="J2" s="1066"/>
      <c r="K2" s="1066"/>
      <c r="L2" s="1066"/>
      <c r="M2" s="1066"/>
      <c r="N2" s="1066"/>
      <c r="O2" s="1066"/>
      <c r="P2" s="1066"/>
      <c r="Q2" s="1066"/>
      <c r="R2" s="1066"/>
      <c r="S2" s="1066"/>
    </row>
    <row r="3" spans="1:19">
      <c r="A3" s="1066"/>
      <c r="B3" s="1066"/>
      <c r="C3" s="1066"/>
      <c r="D3" s="1066"/>
      <c r="E3" s="1066"/>
      <c r="F3" s="1066"/>
      <c r="G3" s="1066"/>
      <c r="H3" s="1066"/>
      <c r="I3" s="1066"/>
      <c r="J3" s="1066"/>
      <c r="K3" s="1066"/>
      <c r="L3" s="1066"/>
      <c r="M3" s="1066"/>
      <c r="N3" s="1066"/>
      <c r="O3" s="1066"/>
      <c r="P3" s="1066"/>
      <c r="Q3" s="1066"/>
      <c r="R3" s="1066"/>
      <c r="S3" s="1066"/>
    </row>
    <row r="4" spans="1:19">
      <c r="A4" s="1066"/>
      <c r="B4" s="1069" t="s">
        <v>1171</v>
      </c>
      <c r="C4" s="1066"/>
      <c r="D4" s="1066"/>
      <c r="E4" s="1066"/>
      <c r="F4" s="1066"/>
      <c r="G4" s="1066"/>
      <c r="H4" s="1066"/>
      <c r="I4" s="1066"/>
      <c r="J4" s="1066"/>
      <c r="K4" s="1066"/>
      <c r="L4" s="1066"/>
      <c r="M4" s="1066"/>
      <c r="N4" s="1066"/>
      <c r="O4" s="1066"/>
      <c r="P4" s="1066"/>
      <c r="Q4" s="1066"/>
      <c r="R4" s="1066"/>
      <c r="S4" s="1066"/>
    </row>
    <row r="5" spans="1:19">
      <c r="A5" s="1066"/>
      <c r="B5" s="1066"/>
      <c r="C5" s="1066"/>
      <c r="D5" s="1066"/>
      <c r="E5" s="1066"/>
      <c r="F5" s="1066"/>
      <c r="G5" s="1066"/>
      <c r="H5" s="1066"/>
      <c r="I5" s="1066"/>
      <c r="J5" s="1066"/>
      <c r="K5" s="1066"/>
      <c r="L5" s="1066"/>
      <c r="M5" s="1066"/>
      <c r="N5" s="1066"/>
      <c r="O5" s="1066"/>
      <c r="P5" s="1066"/>
      <c r="Q5" s="1066"/>
      <c r="R5" s="1066"/>
      <c r="S5" s="1066"/>
    </row>
    <row r="6" spans="1:19">
      <c r="A6" s="1066"/>
      <c r="B6" s="1070"/>
      <c r="C6" s="1071">
        <v>2014</v>
      </c>
      <c r="D6" s="1072">
        <f>C6+1</f>
        <v>2015</v>
      </c>
      <c r="E6" s="1072">
        <f t="shared" ref="E6:N6" si="0">D6+1</f>
        <v>2016</v>
      </c>
      <c r="F6" s="1072">
        <f t="shared" si="0"/>
        <v>2017</v>
      </c>
      <c r="G6" s="1072">
        <f t="shared" si="0"/>
        <v>2018</v>
      </c>
      <c r="H6" s="1072">
        <f t="shared" si="0"/>
        <v>2019</v>
      </c>
      <c r="I6" s="1072">
        <f t="shared" si="0"/>
        <v>2020</v>
      </c>
      <c r="J6" s="1072">
        <f t="shared" si="0"/>
        <v>2021</v>
      </c>
      <c r="K6" s="1072">
        <f t="shared" si="0"/>
        <v>2022</v>
      </c>
      <c r="L6" s="1072">
        <f t="shared" si="0"/>
        <v>2023</v>
      </c>
      <c r="M6" s="1072">
        <f t="shared" si="0"/>
        <v>2024</v>
      </c>
      <c r="N6" s="1072">
        <f t="shared" si="0"/>
        <v>2025</v>
      </c>
      <c r="O6" s="1072">
        <f>N6+1</f>
        <v>2026</v>
      </c>
      <c r="P6" s="1072">
        <f>O6+1</f>
        <v>2027</v>
      </c>
      <c r="Q6" s="1072">
        <f>P6+1</f>
        <v>2028</v>
      </c>
      <c r="R6" s="1072">
        <f>Q6+1</f>
        <v>2029</v>
      </c>
      <c r="S6" s="1072">
        <f>R6+1</f>
        <v>2030</v>
      </c>
    </row>
    <row r="7" spans="1:19">
      <c r="A7" s="1066"/>
      <c r="B7" s="1069"/>
      <c r="C7" s="1066"/>
      <c r="D7" s="1066"/>
      <c r="E7" s="1066"/>
      <c r="F7" s="1066"/>
      <c r="G7" s="1066"/>
      <c r="H7" s="1066"/>
      <c r="I7" s="1066"/>
      <c r="J7" s="1066"/>
      <c r="K7" s="1066"/>
      <c r="L7" s="1066"/>
      <c r="M7" s="1066"/>
      <c r="N7" s="1066"/>
      <c r="O7" s="1066"/>
      <c r="P7" s="1066"/>
      <c r="Q7" s="1066"/>
      <c r="R7" s="1066"/>
      <c r="S7" s="1066"/>
    </row>
    <row r="8" spans="1:19">
      <c r="A8" s="1066"/>
      <c r="B8" s="1069" t="s">
        <v>1172</v>
      </c>
      <c r="C8" s="1066"/>
      <c r="D8" s="1066"/>
      <c r="E8" s="1066"/>
      <c r="F8" s="1066"/>
      <c r="G8" s="1066"/>
      <c r="H8" s="1066"/>
      <c r="I8" s="1066"/>
      <c r="J8" s="1066"/>
      <c r="K8" s="1066"/>
      <c r="L8" s="1066"/>
      <c r="M8" s="1066"/>
      <c r="N8" s="1066"/>
      <c r="O8" s="1066"/>
      <c r="P8" s="1066"/>
      <c r="Q8" s="1066"/>
      <c r="R8" s="1066"/>
      <c r="S8" s="1066"/>
    </row>
    <row r="9" spans="1:19">
      <c r="A9" s="1066"/>
      <c r="B9" s="1073" t="s">
        <v>1173</v>
      </c>
      <c r="C9" s="1074">
        <f>CHOOSE($C$2,C10,C11,C12)</f>
        <v>0</v>
      </c>
      <c r="D9" s="1074">
        <f t="shared" ref="D9:S9" si="1">CHOOSE($C$2,D10,D11,D12)</f>
        <v>0</v>
      </c>
      <c r="E9" s="1074">
        <f t="shared" si="1"/>
        <v>0</v>
      </c>
      <c r="F9" s="1074">
        <f t="shared" si="1"/>
        <v>0</v>
      </c>
      <c r="G9" s="1074">
        <f t="shared" si="1"/>
        <v>0</v>
      </c>
      <c r="H9" s="1074">
        <f t="shared" si="1"/>
        <v>0</v>
      </c>
      <c r="I9" s="1074">
        <f t="shared" si="1"/>
        <v>2.75E-2</v>
      </c>
      <c r="J9" s="1074">
        <f t="shared" si="1"/>
        <v>0.11</v>
      </c>
      <c r="K9" s="1074">
        <f t="shared" si="1"/>
        <v>0.16500000000000001</v>
      </c>
      <c r="L9" s="1074">
        <f t="shared" si="1"/>
        <v>0.2475</v>
      </c>
      <c r="M9" s="1074">
        <f t="shared" si="1"/>
        <v>0.39600000000000002</v>
      </c>
      <c r="N9" s="1074">
        <f t="shared" si="1"/>
        <v>0.59400000000000008</v>
      </c>
      <c r="O9" s="1074">
        <f t="shared" si="1"/>
        <v>0.65340000000000009</v>
      </c>
      <c r="P9" s="1074">
        <f t="shared" si="1"/>
        <v>0.66646800000000006</v>
      </c>
      <c r="Q9" s="1074">
        <f t="shared" si="1"/>
        <v>0.67979736000000013</v>
      </c>
      <c r="R9" s="1074">
        <f t="shared" si="1"/>
        <v>0.69339330720000014</v>
      </c>
      <c r="S9" s="1074">
        <f t="shared" si="1"/>
        <v>0.70726117334400018</v>
      </c>
    </row>
    <row r="10" spans="1:19">
      <c r="A10" s="1066"/>
      <c r="B10" s="1075" t="s">
        <v>460</v>
      </c>
      <c r="C10" s="1076">
        <v>0</v>
      </c>
      <c r="D10" s="1077">
        <v>0</v>
      </c>
      <c r="E10" s="1077">
        <v>0</v>
      </c>
      <c r="F10" s="1077">
        <v>0</v>
      </c>
      <c r="G10" s="1077">
        <v>0</v>
      </c>
      <c r="H10" s="1077">
        <v>0</v>
      </c>
      <c r="I10" s="1077">
        <v>4.7500000000000001E-2</v>
      </c>
      <c r="J10" s="1077">
        <v>9.5000000000000001E-2</v>
      </c>
      <c r="K10" s="1077">
        <v>0.1615</v>
      </c>
      <c r="L10" s="1077">
        <v>0.25840000000000002</v>
      </c>
      <c r="M10" s="1077">
        <v>0.38760000000000006</v>
      </c>
      <c r="N10" s="1077">
        <v>0.54264000000000001</v>
      </c>
      <c r="O10" s="1077">
        <v>0.70543200000000006</v>
      </c>
      <c r="P10" s="1077">
        <v>0.8465184</v>
      </c>
      <c r="Q10" s="1077">
        <v>0.8465184</v>
      </c>
      <c r="R10" s="1077">
        <v>0.8465184</v>
      </c>
      <c r="S10" s="1077">
        <v>0.8465184</v>
      </c>
    </row>
    <row r="11" spans="1:19">
      <c r="A11" s="1066"/>
      <c r="B11" s="1075" t="s">
        <v>461</v>
      </c>
      <c r="C11" s="1076">
        <v>0</v>
      </c>
      <c r="D11" s="1077">
        <v>0</v>
      </c>
      <c r="E11" s="1077">
        <v>0</v>
      </c>
      <c r="F11" s="1077">
        <v>0</v>
      </c>
      <c r="G11" s="1077">
        <v>0</v>
      </c>
      <c r="H11" s="1077">
        <v>0</v>
      </c>
      <c r="I11" s="1077">
        <v>2.75E-2</v>
      </c>
      <c r="J11" s="1077">
        <v>0.11</v>
      </c>
      <c r="K11" s="1077">
        <v>0.16500000000000001</v>
      </c>
      <c r="L11" s="1077">
        <v>0.2475</v>
      </c>
      <c r="M11" s="1077">
        <v>0.39600000000000002</v>
      </c>
      <c r="N11" s="1077">
        <v>0.59400000000000008</v>
      </c>
      <c r="O11" s="1077">
        <v>0.65340000000000009</v>
      </c>
      <c r="P11" s="1077">
        <v>0.66646800000000006</v>
      </c>
      <c r="Q11" s="1077">
        <v>0.67979736000000013</v>
      </c>
      <c r="R11" s="1077">
        <v>0.69339330720000014</v>
      </c>
      <c r="S11" s="1077">
        <v>0.70726117334400018</v>
      </c>
    </row>
    <row r="12" spans="1:19">
      <c r="A12" s="1066"/>
      <c r="B12" s="1075" t="s">
        <v>462</v>
      </c>
      <c r="C12" s="1076">
        <v>0</v>
      </c>
      <c r="D12" s="1077">
        <v>0</v>
      </c>
      <c r="E12" s="1077">
        <v>0</v>
      </c>
      <c r="F12" s="1077">
        <v>0</v>
      </c>
      <c r="G12" s="1077">
        <v>0</v>
      </c>
      <c r="H12" s="1077">
        <v>0</v>
      </c>
      <c r="I12" s="1077">
        <v>6.875E-3</v>
      </c>
      <c r="J12" s="1077">
        <v>2.75E-2</v>
      </c>
      <c r="K12" s="1077">
        <v>4.1250000000000002E-2</v>
      </c>
      <c r="L12" s="1077">
        <v>6.1874999999999999E-2</v>
      </c>
      <c r="M12" s="1077">
        <v>9.9000000000000005E-2</v>
      </c>
      <c r="N12" s="1077">
        <v>0.14850000000000002</v>
      </c>
      <c r="O12" s="1077">
        <v>0.16335000000000002</v>
      </c>
      <c r="P12" s="1077">
        <v>0.16661700000000002</v>
      </c>
      <c r="Q12" s="1077">
        <v>0.16994934000000003</v>
      </c>
      <c r="R12" s="1077">
        <v>0.17334832680000004</v>
      </c>
      <c r="S12" s="1077">
        <v>0.17681529333600005</v>
      </c>
    </row>
    <row r="13" spans="1:19">
      <c r="A13" s="1066"/>
      <c r="B13" s="1078"/>
      <c r="C13" s="1078"/>
      <c r="D13" s="1078"/>
      <c r="E13" s="1078"/>
      <c r="F13" s="1078"/>
      <c r="G13" s="1078"/>
      <c r="H13" s="1078"/>
      <c r="I13" s="1078"/>
      <c r="J13" s="1078"/>
      <c r="K13" s="1078"/>
      <c r="L13" s="1078"/>
      <c r="M13" s="1078"/>
      <c r="N13" s="1078"/>
      <c r="O13" s="1078"/>
      <c r="P13" s="1078"/>
      <c r="Q13" s="1078"/>
      <c r="R13" s="1078"/>
      <c r="S13" s="1078"/>
    </row>
    <row r="14" spans="1:19">
      <c r="A14" s="1066"/>
      <c r="B14" s="1078" t="s">
        <v>1174</v>
      </c>
      <c r="C14" s="1079">
        <f>MM_US!O183</f>
        <v>5110.6545756939977</v>
      </c>
      <c r="D14" s="1079">
        <f>MM_US!P183</f>
        <v>4969.3520815303455</v>
      </c>
      <c r="E14" s="1079">
        <f>MM_US!Q183</f>
        <v>5281.550623357226</v>
      </c>
      <c r="F14" s="1079">
        <f>MM_US!R183</f>
        <v>5584.584620681966</v>
      </c>
      <c r="G14" s="1079">
        <f>MM_US!S183</f>
        <v>5484.5115179936874</v>
      </c>
      <c r="H14" s="1079">
        <f>MM_US!T183</f>
        <v>5346.2821691424842</v>
      </c>
      <c r="I14" s="1079">
        <f>MM_US!U183</f>
        <v>5170.9657424279312</v>
      </c>
      <c r="J14" s="1079">
        <f>MM_US!V183</f>
        <v>5624.2136081564713</v>
      </c>
      <c r="K14" s="1079">
        <f>MM_US!W183</f>
        <v>6069.7387788217466</v>
      </c>
      <c r="L14" s="1079">
        <f>MM_US!X183</f>
        <v>6504.8527323021408</v>
      </c>
      <c r="M14" s="1079">
        <f>MM_US!Y183</f>
        <v>6926.9291320277798</v>
      </c>
      <c r="N14" s="1079">
        <f>MM_US!Z183</f>
        <v>7333.3950305079243</v>
      </c>
      <c r="O14" s="1079">
        <f>MM_US!AA183</f>
        <v>7499.9970594104134</v>
      </c>
      <c r="P14" s="1079">
        <f>MM_US!AB183</f>
        <v>7646.6919531776484</v>
      </c>
      <c r="Q14" s="1079">
        <f>MM_US!AC183</f>
        <v>7772.4945571079024</v>
      </c>
      <c r="R14" s="1079">
        <f>MM_US!AD183</f>
        <v>7876.4343863922932</v>
      </c>
      <c r="S14" s="1079">
        <f>MM_US!AE183</f>
        <v>7957.5540623492325</v>
      </c>
    </row>
    <row r="15" spans="1:19">
      <c r="A15" s="1066"/>
      <c r="B15" s="1080" t="s">
        <v>1025</v>
      </c>
      <c r="C15" s="1081">
        <f>C9</f>
        <v>0</v>
      </c>
      <c r="D15" s="1081">
        <f t="shared" ref="D15:S15" si="2">D9</f>
        <v>0</v>
      </c>
      <c r="E15" s="1081">
        <f t="shared" si="2"/>
        <v>0</v>
      </c>
      <c r="F15" s="1081">
        <f t="shared" si="2"/>
        <v>0</v>
      </c>
      <c r="G15" s="1081">
        <f t="shared" si="2"/>
        <v>0</v>
      </c>
      <c r="H15" s="1081">
        <f t="shared" si="2"/>
        <v>0</v>
      </c>
      <c r="I15" s="1081">
        <f t="shared" si="2"/>
        <v>2.75E-2</v>
      </c>
      <c r="J15" s="1081">
        <f t="shared" si="2"/>
        <v>0.11</v>
      </c>
      <c r="K15" s="1081">
        <f t="shared" si="2"/>
        <v>0.16500000000000001</v>
      </c>
      <c r="L15" s="1081">
        <f t="shared" si="2"/>
        <v>0.2475</v>
      </c>
      <c r="M15" s="1081">
        <f t="shared" si="2"/>
        <v>0.39600000000000002</v>
      </c>
      <c r="N15" s="1081">
        <f t="shared" si="2"/>
        <v>0.59400000000000008</v>
      </c>
      <c r="O15" s="1081">
        <f t="shared" si="2"/>
        <v>0.65340000000000009</v>
      </c>
      <c r="P15" s="1081">
        <f t="shared" si="2"/>
        <v>0.66646800000000006</v>
      </c>
      <c r="Q15" s="1081">
        <f t="shared" si="2"/>
        <v>0.67979736000000013</v>
      </c>
      <c r="R15" s="1081">
        <f t="shared" si="2"/>
        <v>0.69339330720000014</v>
      </c>
      <c r="S15" s="1081">
        <f t="shared" si="2"/>
        <v>0.70726117334400018</v>
      </c>
    </row>
    <row r="16" spans="1:19">
      <c r="A16" s="1066"/>
      <c r="B16" s="1082" t="s">
        <v>1175</v>
      </c>
      <c r="C16" s="1078"/>
      <c r="D16" s="1078"/>
      <c r="E16" s="1078"/>
      <c r="F16" s="1078"/>
      <c r="G16" s="1078"/>
      <c r="H16" s="1083"/>
      <c r="I16" s="1083">
        <v>1</v>
      </c>
      <c r="J16" s="1083">
        <v>0.9</v>
      </c>
      <c r="K16" s="1083">
        <v>0.81</v>
      </c>
      <c r="L16" s="1083">
        <v>0.72900000000000009</v>
      </c>
      <c r="M16" s="1083">
        <v>0.65610000000000013</v>
      </c>
      <c r="N16" s="1083">
        <v>0.59049000000000018</v>
      </c>
      <c r="O16" s="1083">
        <v>0.53144100000000016</v>
      </c>
      <c r="P16" s="1083">
        <v>0.53144100000000016</v>
      </c>
      <c r="Q16" s="1083">
        <v>0.53144100000000016</v>
      </c>
      <c r="R16" s="1083">
        <v>0.53144100000000016</v>
      </c>
      <c r="S16" s="1083">
        <v>0.53144100000000016</v>
      </c>
    </row>
    <row r="17" spans="1:19">
      <c r="A17" s="1066"/>
      <c r="B17" s="1084" t="s">
        <v>1082</v>
      </c>
      <c r="C17" s="1085"/>
      <c r="D17" s="1085"/>
      <c r="E17" s="1085"/>
      <c r="F17" s="1085"/>
      <c r="G17" s="1085"/>
      <c r="H17" s="1085"/>
      <c r="I17" s="1086">
        <f>1.2*I18</f>
        <v>0</v>
      </c>
      <c r="J17" s="1086">
        <f t="shared" ref="J17:S17" si="3">1.2*J18</f>
        <v>0</v>
      </c>
      <c r="K17" s="1086">
        <f t="shared" si="3"/>
        <v>0</v>
      </c>
      <c r="L17" s="1086">
        <f t="shared" si="3"/>
        <v>0</v>
      </c>
      <c r="M17" s="1086">
        <f t="shared" si="3"/>
        <v>0</v>
      </c>
      <c r="N17" s="1086">
        <f t="shared" si="3"/>
        <v>0</v>
      </c>
      <c r="O17" s="1086">
        <f t="shared" si="3"/>
        <v>0</v>
      </c>
      <c r="P17" s="1086">
        <f t="shared" si="3"/>
        <v>0</v>
      </c>
      <c r="Q17" s="1086">
        <f t="shared" si="3"/>
        <v>0</v>
      </c>
      <c r="R17" s="1086">
        <f t="shared" si="3"/>
        <v>0</v>
      </c>
      <c r="S17" s="1086">
        <f t="shared" si="3"/>
        <v>0</v>
      </c>
    </row>
    <row r="18" spans="1:19">
      <c r="A18" s="1066"/>
      <c r="B18" s="1084" t="s">
        <v>1083</v>
      </c>
      <c r="C18" s="1085"/>
      <c r="D18" s="1085"/>
      <c r="E18" s="1085"/>
      <c r="F18" s="1085"/>
      <c r="G18" s="1085"/>
      <c r="H18" s="1085"/>
      <c r="I18" s="1086">
        <v>0</v>
      </c>
      <c r="J18" s="1086">
        <v>0</v>
      </c>
      <c r="K18" s="1086">
        <v>0</v>
      </c>
      <c r="L18" s="1086">
        <v>0</v>
      </c>
      <c r="M18" s="1086">
        <v>0</v>
      </c>
      <c r="N18" s="1086">
        <v>0</v>
      </c>
      <c r="O18" s="1086">
        <v>0</v>
      </c>
      <c r="P18" s="1086">
        <v>0</v>
      </c>
      <c r="Q18" s="1086">
        <v>0</v>
      </c>
      <c r="R18" s="1086">
        <v>0</v>
      </c>
      <c r="S18" s="1086">
        <v>0</v>
      </c>
    </row>
    <row r="19" spans="1:19">
      <c r="A19" s="1066"/>
      <c r="B19" s="1084" t="s">
        <v>1084</v>
      </c>
      <c r="C19" s="1085"/>
      <c r="D19" s="1085"/>
      <c r="E19" s="1085"/>
      <c r="F19" s="1085"/>
      <c r="G19" s="1085"/>
      <c r="H19" s="1085"/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1086">
        <v>0</v>
      </c>
      <c r="Q19" s="1086">
        <v>0</v>
      </c>
      <c r="R19" s="1086">
        <v>0</v>
      </c>
      <c r="S19" s="1086">
        <v>0</v>
      </c>
    </row>
    <row r="20" spans="1:19">
      <c r="A20" s="1066"/>
      <c r="B20" s="1082" t="s">
        <v>1176</v>
      </c>
      <c r="C20" s="1078"/>
      <c r="D20" s="1078"/>
      <c r="E20" s="1078"/>
      <c r="F20" s="1078"/>
      <c r="G20" s="1078"/>
      <c r="H20" s="1078"/>
      <c r="I20" s="1083">
        <f>CHOOSE($C$2,I17,I18,I19)</f>
        <v>0</v>
      </c>
      <c r="J20" s="1083">
        <f t="shared" ref="J20:S20" si="4">CHOOSE($C$2,J17,J18,J19)</f>
        <v>0</v>
      </c>
      <c r="K20" s="1083">
        <f t="shared" si="4"/>
        <v>0</v>
      </c>
      <c r="L20" s="1083">
        <f t="shared" si="4"/>
        <v>0</v>
      </c>
      <c r="M20" s="1083">
        <f t="shared" si="4"/>
        <v>0</v>
      </c>
      <c r="N20" s="1083">
        <f t="shared" si="4"/>
        <v>0</v>
      </c>
      <c r="O20" s="1083">
        <f t="shared" si="4"/>
        <v>0</v>
      </c>
      <c r="P20" s="1083">
        <f t="shared" si="4"/>
        <v>0</v>
      </c>
      <c r="Q20" s="1083">
        <f t="shared" si="4"/>
        <v>0</v>
      </c>
      <c r="R20" s="1083">
        <f t="shared" si="4"/>
        <v>0</v>
      </c>
      <c r="S20" s="1083">
        <f t="shared" si="4"/>
        <v>0</v>
      </c>
    </row>
    <row r="21" spans="1:19">
      <c r="A21" s="1066"/>
      <c r="B21" s="1082" t="s">
        <v>1177</v>
      </c>
      <c r="C21" s="1078"/>
      <c r="D21" s="1078"/>
      <c r="E21" s="1078"/>
      <c r="F21" s="1078"/>
      <c r="G21" s="1078"/>
      <c r="H21" s="1078"/>
      <c r="I21" s="1083">
        <v>0</v>
      </c>
      <c r="J21" s="1083">
        <v>0.05</v>
      </c>
      <c r="K21" s="1083">
        <v>0.1</v>
      </c>
      <c r="L21" s="1083">
        <v>0.15</v>
      </c>
      <c r="M21" s="1083">
        <v>0.2</v>
      </c>
      <c r="N21" s="1083">
        <v>0.2</v>
      </c>
      <c r="O21" s="1083">
        <v>0.2</v>
      </c>
      <c r="P21" s="1083">
        <v>0.2</v>
      </c>
      <c r="Q21" s="1083">
        <v>0.2</v>
      </c>
      <c r="R21" s="1083">
        <v>0.2</v>
      </c>
      <c r="S21" s="1083">
        <v>0.2</v>
      </c>
    </row>
    <row r="22" spans="1:19">
      <c r="A22" s="1066"/>
      <c r="B22" s="1082" t="s">
        <v>1178</v>
      </c>
      <c r="C22" s="1078"/>
      <c r="D22" s="1078"/>
      <c r="E22" s="1078"/>
      <c r="F22" s="1078"/>
      <c r="G22" s="1078"/>
      <c r="H22" s="1078"/>
      <c r="I22" s="1083">
        <f>1-I16-I21</f>
        <v>0</v>
      </c>
      <c r="J22" s="1083">
        <f t="shared" ref="J22:S22" si="5">1-J16-J21</f>
        <v>4.9999999999999975E-2</v>
      </c>
      <c r="K22" s="1083">
        <f t="shared" si="5"/>
        <v>8.9999999999999941E-2</v>
      </c>
      <c r="L22" s="1083">
        <f t="shared" si="5"/>
        <v>0.12099999999999991</v>
      </c>
      <c r="M22" s="1083">
        <f t="shared" si="5"/>
        <v>0.14389999999999986</v>
      </c>
      <c r="N22" s="1083">
        <f t="shared" si="5"/>
        <v>0.20950999999999981</v>
      </c>
      <c r="O22" s="1083">
        <f t="shared" si="5"/>
        <v>0.26855899999999983</v>
      </c>
      <c r="P22" s="1083">
        <f t="shared" si="5"/>
        <v>0.26855899999999983</v>
      </c>
      <c r="Q22" s="1083">
        <f t="shared" si="5"/>
        <v>0.26855899999999983</v>
      </c>
      <c r="R22" s="1083">
        <f t="shared" si="5"/>
        <v>0.26855899999999983</v>
      </c>
      <c r="S22" s="1083">
        <f t="shared" si="5"/>
        <v>0.26855899999999983</v>
      </c>
    </row>
    <row r="23" spans="1:19">
      <c r="A23" s="1066"/>
      <c r="B23" s="1080"/>
      <c r="C23" s="1078"/>
      <c r="D23" s="1078"/>
      <c r="E23" s="1078"/>
      <c r="F23" s="1078"/>
      <c r="G23" s="1078"/>
      <c r="H23" s="1078"/>
      <c r="I23" s="1083"/>
      <c r="J23" s="1083"/>
      <c r="K23" s="1083"/>
      <c r="L23" s="1083"/>
      <c r="M23" s="1083"/>
      <c r="N23" s="1083"/>
      <c r="O23" s="1083"/>
      <c r="P23" s="1083"/>
      <c r="Q23" s="1083"/>
      <c r="R23" s="1083"/>
      <c r="S23" s="1083"/>
    </row>
    <row r="24" spans="1:19">
      <c r="A24" s="1066"/>
      <c r="B24" s="1078" t="s">
        <v>1179</v>
      </c>
      <c r="C24" s="1079">
        <f>C20*C15*C14</f>
        <v>0</v>
      </c>
      <c r="D24" s="1079">
        <f t="shared" ref="D24:S24" si="6">D20*D15*D14</f>
        <v>0</v>
      </c>
      <c r="E24" s="1079">
        <f t="shared" si="6"/>
        <v>0</v>
      </c>
      <c r="F24" s="1079">
        <f t="shared" si="6"/>
        <v>0</v>
      </c>
      <c r="G24" s="1079">
        <f t="shared" si="6"/>
        <v>0</v>
      </c>
      <c r="H24" s="1079">
        <f t="shared" si="6"/>
        <v>0</v>
      </c>
      <c r="I24" s="1079">
        <f t="shared" si="6"/>
        <v>0</v>
      </c>
      <c r="J24" s="1079">
        <f t="shared" si="6"/>
        <v>0</v>
      </c>
      <c r="K24" s="1079">
        <f t="shared" si="6"/>
        <v>0</v>
      </c>
      <c r="L24" s="1079">
        <f t="shared" si="6"/>
        <v>0</v>
      </c>
      <c r="M24" s="1079">
        <f t="shared" si="6"/>
        <v>0</v>
      </c>
      <c r="N24" s="1079">
        <f t="shared" si="6"/>
        <v>0</v>
      </c>
      <c r="O24" s="1079">
        <f t="shared" si="6"/>
        <v>0</v>
      </c>
      <c r="P24" s="1079">
        <f t="shared" si="6"/>
        <v>0</v>
      </c>
      <c r="Q24" s="1079">
        <f t="shared" si="6"/>
        <v>0</v>
      </c>
      <c r="R24" s="1079">
        <f t="shared" si="6"/>
        <v>0</v>
      </c>
      <c r="S24" s="1079">
        <f t="shared" si="6"/>
        <v>0</v>
      </c>
    </row>
    <row r="25" spans="1:19">
      <c r="A25" s="1066"/>
      <c r="B25" s="1078"/>
      <c r="C25" s="1078"/>
      <c r="D25" s="1078"/>
      <c r="E25" s="1078"/>
      <c r="F25" s="1078"/>
      <c r="G25" s="1078"/>
      <c r="H25" s="1078"/>
      <c r="I25" s="1078"/>
      <c r="J25" s="1078"/>
      <c r="K25" s="1078"/>
      <c r="L25" s="1078"/>
      <c r="M25" s="1078"/>
      <c r="N25" s="1078"/>
      <c r="O25" s="1078"/>
      <c r="P25" s="1078"/>
      <c r="Q25" s="1078"/>
      <c r="R25" s="1078"/>
      <c r="S25" s="1078"/>
    </row>
    <row r="26" spans="1:19">
      <c r="A26" s="1069"/>
      <c r="B26" s="1069" t="s">
        <v>1180</v>
      </c>
      <c r="C26" s="1069"/>
      <c r="D26" s="1069"/>
      <c r="E26" s="1069"/>
      <c r="F26" s="1069"/>
      <c r="G26" s="1069"/>
      <c r="H26" s="1069"/>
      <c r="I26" s="1069"/>
      <c r="J26" s="1069"/>
      <c r="K26" s="1069"/>
      <c r="L26" s="1069"/>
      <c r="M26" s="1069"/>
      <c r="N26" s="1069"/>
      <c r="O26" s="1069"/>
      <c r="P26" s="1069"/>
      <c r="Q26" s="1069"/>
      <c r="R26" s="1069"/>
      <c r="S26" s="1069"/>
    </row>
    <row r="27" spans="1:19">
      <c r="A27" s="1066"/>
      <c r="B27" s="1066" t="s">
        <v>1181</v>
      </c>
      <c r="C27" s="1066"/>
      <c r="D27" s="1066"/>
      <c r="E27" s="1066"/>
      <c r="F27" s="1066"/>
      <c r="G27" s="1087"/>
      <c r="H27" s="1087"/>
      <c r="I27" s="1088">
        <v>325</v>
      </c>
      <c r="J27" s="1088">
        <v>325</v>
      </c>
      <c r="K27" s="1088">
        <v>325</v>
      </c>
      <c r="L27" s="1088">
        <v>325</v>
      </c>
      <c r="M27" s="1088">
        <v>325</v>
      </c>
      <c r="N27" s="1088">
        <v>325</v>
      </c>
      <c r="O27" s="1088">
        <v>325</v>
      </c>
      <c r="P27" s="1088">
        <v>325</v>
      </c>
      <c r="Q27" s="1088">
        <v>325</v>
      </c>
      <c r="R27" s="1088">
        <v>325</v>
      </c>
      <c r="S27" s="1088">
        <v>325</v>
      </c>
    </row>
    <row r="28" spans="1:19">
      <c r="A28" s="1066"/>
      <c r="B28" s="1089" t="s">
        <v>1182</v>
      </c>
      <c r="C28" s="1066"/>
      <c r="D28" s="1066"/>
      <c r="E28" s="1066"/>
      <c r="F28" s="1066"/>
      <c r="G28" s="1077"/>
      <c r="H28" s="1077"/>
      <c r="I28" s="1090" t="s">
        <v>707</v>
      </c>
      <c r="J28" s="1091">
        <f>J27/I27-1</f>
        <v>0</v>
      </c>
      <c r="K28" s="1091">
        <f t="shared" ref="K28:S28" si="7">K27/J27-1</f>
        <v>0</v>
      </c>
      <c r="L28" s="1091">
        <f t="shared" si="7"/>
        <v>0</v>
      </c>
      <c r="M28" s="1091">
        <f t="shared" si="7"/>
        <v>0</v>
      </c>
      <c r="N28" s="1091">
        <f t="shared" si="7"/>
        <v>0</v>
      </c>
      <c r="O28" s="1091">
        <f t="shared" si="7"/>
        <v>0</v>
      </c>
      <c r="P28" s="1091">
        <f t="shared" si="7"/>
        <v>0</v>
      </c>
      <c r="Q28" s="1091">
        <f t="shared" si="7"/>
        <v>0</v>
      </c>
      <c r="R28" s="1091">
        <f t="shared" si="7"/>
        <v>0</v>
      </c>
      <c r="S28" s="1091">
        <f t="shared" si="7"/>
        <v>0</v>
      </c>
    </row>
    <row r="29" spans="1:19">
      <c r="A29" s="1066"/>
      <c r="B29" s="1089" t="s">
        <v>1183</v>
      </c>
      <c r="C29" s="1066"/>
      <c r="D29" s="1066"/>
      <c r="E29" s="1066"/>
      <c r="F29" s="1066"/>
      <c r="G29" s="1077"/>
      <c r="H29" s="1077"/>
      <c r="I29" s="1076">
        <v>0.1</v>
      </c>
      <c r="J29" s="1076">
        <v>0.1</v>
      </c>
      <c r="K29" s="1076">
        <v>0.1</v>
      </c>
      <c r="L29" s="1076">
        <v>0.1</v>
      </c>
      <c r="M29" s="1076">
        <v>0.1</v>
      </c>
      <c r="N29" s="1076">
        <v>0.1</v>
      </c>
      <c r="O29" s="1076">
        <v>0.1</v>
      </c>
      <c r="P29" s="1076">
        <v>0.1</v>
      </c>
      <c r="Q29" s="1076">
        <v>0.1</v>
      </c>
      <c r="R29" s="1076">
        <v>0.1</v>
      </c>
      <c r="S29" s="1076">
        <v>0.1</v>
      </c>
    </row>
    <row r="30" spans="1:19">
      <c r="A30" s="1066"/>
      <c r="B30" s="1092" t="s">
        <v>1184</v>
      </c>
      <c r="C30" s="1092"/>
      <c r="D30" s="1092"/>
      <c r="E30" s="1092"/>
      <c r="F30" s="1092"/>
      <c r="G30" s="1093"/>
      <c r="H30" s="1093"/>
      <c r="I30" s="1093">
        <f>I27*(1-I29)</f>
        <v>292.5</v>
      </c>
      <c r="J30" s="1093">
        <f t="shared" ref="J30:S30" si="8">J27*(1-J29)</f>
        <v>292.5</v>
      </c>
      <c r="K30" s="1093">
        <f t="shared" si="8"/>
        <v>292.5</v>
      </c>
      <c r="L30" s="1093">
        <f t="shared" si="8"/>
        <v>292.5</v>
      </c>
      <c r="M30" s="1093">
        <f t="shared" si="8"/>
        <v>292.5</v>
      </c>
      <c r="N30" s="1093">
        <f t="shared" si="8"/>
        <v>292.5</v>
      </c>
      <c r="O30" s="1093">
        <f t="shared" si="8"/>
        <v>292.5</v>
      </c>
      <c r="P30" s="1093">
        <f t="shared" si="8"/>
        <v>292.5</v>
      </c>
      <c r="Q30" s="1093">
        <f t="shared" si="8"/>
        <v>292.5</v>
      </c>
      <c r="R30" s="1093">
        <f t="shared" si="8"/>
        <v>292.5</v>
      </c>
      <c r="S30" s="1093">
        <f t="shared" si="8"/>
        <v>292.5</v>
      </c>
    </row>
    <row r="31" spans="1:19">
      <c r="A31" s="1066"/>
      <c r="B31" s="1092"/>
      <c r="C31" s="1092"/>
      <c r="D31" s="1092"/>
      <c r="E31" s="1092"/>
      <c r="F31" s="1092"/>
      <c r="G31" s="1092"/>
      <c r="H31" s="1092"/>
      <c r="I31" s="1092"/>
      <c r="J31" s="1092"/>
      <c r="K31" s="1092"/>
      <c r="L31" s="1092"/>
      <c r="M31" s="1092"/>
      <c r="N31" s="1092"/>
      <c r="O31" s="1092"/>
      <c r="P31" s="1092"/>
      <c r="Q31" s="1092"/>
      <c r="R31" s="1092"/>
      <c r="S31" s="1092"/>
    </row>
    <row r="32" spans="1:19" ht="15.75" thickBot="1">
      <c r="A32" s="1066"/>
      <c r="B32" s="1066"/>
      <c r="C32" s="1066"/>
      <c r="D32" s="1066"/>
      <c r="E32" s="1066"/>
      <c r="F32" s="1066"/>
      <c r="G32" s="1066"/>
      <c r="H32" s="1066"/>
      <c r="I32" s="1066"/>
      <c r="J32" s="1066"/>
      <c r="K32" s="1066"/>
      <c r="L32" s="1066"/>
      <c r="M32" s="1066"/>
      <c r="N32" s="1066"/>
      <c r="O32" s="1066"/>
      <c r="P32" s="1066"/>
      <c r="Q32" s="1066"/>
      <c r="R32" s="1066"/>
      <c r="S32" s="1066"/>
    </row>
    <row r="33" spans="1:19" ht="15.75" thickBot="1">
      <c r="A33" s="1066"/>
      <c r="B33" s="1094" t="s">
        <v>1185</v>
      </c>
      <c r="C33" s="1094"/>
      <c r="D33" s="1094"/>
      <c r="E33" s="1094"/>
      <c r="F33" s="1094"/>
      <c r="G33" s="1095"/>
      <c r="H33" s="1095"/>
      <c r="I33" s="1095">
        <f>I30*I24/1000</f>
        <v>0</v>
      </c>
      <c r="J33" s="1095">
        <f t="shared" ref="J33:S33" si="9">J30*J24/1000</f>
        <v>0</v>
      </c>
      <c r="K33" s="1095">
        <f t="shared" si="9"/>
        <v>0</v>
      </c>
      <c r="L33" s="1095">
        <f t="shared" si="9"/>
        <v>0</v>
      </c>
      <c r="M33" s="1095">
        <f t="shared" si="9"/>
        <v>0</v>
      </c>
      <c r="N33" s="1095">
        <f t="shared" si="9"/>
        <v>0</v>
      </c>
      <c r="O33" s="1095">
        <f t="shared" si="9"/>
        <v>0</v>
      </c>
      <c r="P33" s="1095">
        <f t="shared" si="9"/>
        <v>0</v>
      </c>
      <c r="Q33" s="1095">
        <f t="shared" si="9"/>
        <v>0</v>
      </c>
      <c r="R33" s="1095">
        <f t="shared" si="9"/>
        <v>0</v>
      </c>
      <c r="S33" s="1095">
        <f t="shared" si="9"/>
        <v>0</v>
      </c>
    </row>
    <row r="34" spans="1:19">
      <c r="A34" s="1066"/>
      <c r="B34" s="1066"/>
      <c r="C34" s="1066"/>
      <c r="D34" s="1066"/>
      <c r="E34" s="1066"/>
      <c r="F34" s="1066"/>
      <c r="G34" s="1066"/>
      <c r="H34" s="1066"/>
      <c r="I34" s="1066"/>
      <c r="J34" s="1066"/>
      <c r="K34" s="1066"/>
      <c r="L34" s="1066"/>
      <c r="M34" s="1066"/>
      <c r="N34" s="1066"/>
      <c r="O34" s="1066"/>
      <c r="P34" s="1066"/>
      <c r="Q34" s="1066"/>
      <c r="R34" s="1066"/>
      <c r="S34" s="1066"/>
    </row>
    <row r="35" spans="1:19">
      <c r="A35" s="725"/>
      <c r="B35" s="725"/>
      <c r="C35" s="725"/>
      <c r="D35" s="725"/>
      <c r="E35" s="725"/>
      <c r="F35" s="725"/>
      <c r="G35" s="725"/>
      <c r="H35" s="725"/>
      <c r="I35" s="725"/>
      <c r="J35" s="725"/>
      <c r="K35" s="725"/>
      <c r="L35" s="725"/>
      <c r="M35" s="725"/>
      <c r="N35" s="725"/>
      <c r="O35" s="725"/>
      <c r="P35" s="725"/>
      <c r="Q35" s="725"/>
      <c r="R35" s="725"/>
      <c r="S35" s="725"/>
    </row>
    <row r="36" spans="1:19">
      <c r="A36" s="725"/>
      <c r="B36" s="725"/>
      <c r="C36" s="725"/>
      <c r="D36" s="725"/>
      <c r="E36" s="725"/>
      <c r="F36" s="725"/>
      <c r="G36" s="725"/>
      <c r="H36" s="725"/>
      <c r="I36" s="725"/>
      <c r="J36" s="725"/>
      <c r="K36" s="725"/>
      <c r="L36" s="725"/>
      <c r="M36" s="725"/>
      <c r="N36" s="725"/>
      <c r="O36" s="725"/>
      <c r="P36" s="725"/>
      <c r="Q36" s="725"/>
      <c r="R36" s="725"/>
      <c r="S36" s="725"/>
    </row>
    <row r="37" spans="1:19">
      <c r="A37" s="725"/>
      <c r="B37" s="725"/>
      <c r="C37" s="725"/>
      <c r="D37" s="725"/>
      <c r="E37" s="725"/>
      <c r="F37" s="725"/>
      <c r="G37" s="725"/>
      <c r="H37" s="725"/>
      <c r="I37" s="725"/>
      <c r="J37" s="725"/>
      <c r="K37" s="725"/>
      <c r="L37" s="725"/>
      <c r="M37" s="725"/>
      <c r="N37" s="725"/>
      <c r="O37" s="725"/>
      <c r="P37" s="725"/>
      <c r="Q37" s="725"/>
      <c r="R37" s="725"/>
      <c r="S37" s="725"/>
    </row>
    <row r="38" spans="1:19">
      <c r="A38" s="725"/>
      <c r="B38" s="725"/>
      <c r="C38" s="725"/>
      <c r="D38" s="725"/>
      <c r="E38" s="725"/>
      <c r="F38" s="725"/>
      <c r="G38" s="725"/>
      <c r="H38" s="725"/>
      <c r="I38" s="725"/>
      <c r="J38" s="725"/>
      <c r="K38" s="725"/>
      <c r="L38" s="725"/>
      <c r="M38" s="725"/>
      <c r="N38" s="725"/>
      <c r="O38" s="725"/>
      <c r="P38" s="725"/>
      <c r="Q38" s="725"/>
      <c r="R38" s="725"/>
      <c r="S38" s="725"/>
    </row>
  </sheetData>
  <pageMargins left="0.7" right="0.7" top="0.75" bottom="0.75" header="0.3" footer="0.3"/>
  <pageSetup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/>
  <cols>
    <col min="1" max="1" width="29.5703125" style="1226" bestFit="1" customWidth="1"/>
    <col min="2" max="2" width="19.85546875" style="1267" customWidth="1"/>
    <col min="3" max="3" width="12" style="1226" bestFit="1" customWidth="1"/>
    <col min="4" max="256" width="9.140625" style="1226"/>
    <col min="257" max="257" width="29.5703125" style="1226" bestFit="1" customWidth="1"/>
    <col min="258" max="258" width="19.85546875" style="1226" customWidth="1"/>
    <col min="259" max="259" width="12" style="1226" bestFit="1" customWidth="1"/>
    <col min="260" max="512" width="9.140625" style="1226"/>
    <col min="513" max="513" width="29.5703125" style="1226" bestFit="1" customWidth="1"/>
    <col min="514" max="514" width="19.85546875" style="1226" customWidth="1"/>
    <col min="515" max="515" width="12" style="1226" bestFit="1" customWidth="1"/>
    <col min="516" max="768" width="9.140625" style="1226"/>
    <col min="769" max="769" width="29.5703125" style="1226" bestFit="1" customWidth="1"/>
    <col min="770" max="770" width="19.85546875" style="1226" customWidth="1"/>
    <col min="771" max="771" width="12" style="1226" bestFit="1" customWidth="1"/>
    <col min="772" max="1024" width="9.140625" style="1226"/>
    <col min="1025" max="1025" width="29.5703125" style="1226" bestFit="1" customWidth="1"/>
    <col min="1026" max="1026" width="19.85546875" style="1226" customWidth="1"/>
    <col min="1027" max="1027" width="12" style="1226" bestFit="1" customWidth="1"/>
    <col min="1028" max="1280" width="9.140625" style="1226"/>
    <col min="1281" max="1281" width="29.5703125" style="1226" bestFit="1" customWidth="1"/>
    <col min="1282" max="1282" width="19.85546875" style="1226" customWidth="1"/>
    <col min="1283" max="1283" width="12" style="1226" bestFit="1" customWidth="1"/>
    <col min="1284" max="1536" width="9.140625" style="1226"/>
    <col min="1537" max="1537" width="29.5703125" style="1226" bestFit="1" customWidth="1"/>
    <col min="1538" max="1538" width="19.85546875" style="1226" customWidth="1"/>
    <col min="1539" max="1539" width="12" style="1226" bestFit="1" customWidth="1"/>
    <col min="1540" max="1792" width="9.140625" style="1226"/>
    <col min="1793" max="1793" width="29.5703125" style="1226" bestFit="1" customWidth="1"/>
    <col min="1794" max="1794" width="19.85546875" style="1226" customWidth="1"/>
    <col min="1795" max="1795" width="12" style="1226" bestFit="1" customWidth="1"/>
    <col min="1796" max="2048" width="9.140625" style="1226"/>
    <col min="2049" max="2049" width="29.5703125" style="1226" bestFit="1" customWidth="1"/>
    <col min="2050" max="2050" width="19.85546875" style="1226" customWidth="1"/>
    <col min="2051" max="2051" width="12" style="1226" bestFit="1" customWidth="1"/>
    <col min="2052" max="2304" width="9.140625" style="1226"/>
    <col min="2305" max="2305" width="29.5703125" style="1226" bestFit="1" customWidth="1"/>
    <col min="2306" max="2306" width="19.85546875" style="1226" customWidth="1"/>
    <col min="2307" max="2307" width="12" style="1226" bestFit="1" customWidth="1"/>
    <col min="2308" max="2560" width="9.140625" style="1226"/>
    <col min="2561" max="2561" width="29.5703125" style="1226" bestFit="1" customWidth="1"/>
    <col min="2562" max="2562" width="19.85546875" style="1226" customWidth="1"/>
    <col min="2563" max="2563" width="12" style="1226" bestFit="1" customWidth="1"/>
    <col min="2564" max="2816" width="9.140625" style="1226"/>
    <col min="2817" max="2817" width="29.5703125" style="1226" bestFit="1" customWidth="1"/>
    <col min="2818" max="2818" width="19.85546875" style="1226" customWidth="1"/>
    <col min="2819" max="2819" width="12" style="1226" bestFit="1" customWidth="1"/>
    <col min="2820" max="3072" width="9.140625" style="1226"/>
    <col min="3073" max="3073" width="29.5703125" style="1226" bestFit="1" customWidth="1"/>
    <col min="3074" max="3074" width="19.85546875" style="1226" customWidth="1"/>
    <col min="3075" max="3075" width="12" style="1226" bestFit="1" customWidth="1"/>
    <col min="3076" max="3328" width="9.140625" style="1226"/>
    <col min="3329" max="3329" width="29.5703125" style="1226" bestFit="1" customWidth="1"/>
    <col min="3330" max="3330" width="19.85546875" style="1226" customWidth="1"/>
    <col min="3331" max="3331" width="12" style="1226" bestFit="1" customWidth="1"/>
    <col min="3332" max="3584" width="9.140625" style="1226"/>
    <col min="3585" max="3585" width="29.5703125" style="1226" bestFit="1" customWidth="1"/>
    <col min="3586" max="3586" width="19.85546875" style="1226" customWidth="1"/>
    <col min="3587" max="3587" width="12" style="1226" bestFit="1" customWidth="1"/>
    <col min="3588" max="3840" width="9.140625" style="1226"/>
    <col min="3841" max="3841" width="29.5703125" style="1226" bestFit="1" customWidth="1"/>
    <col min="3842" max="3842" width="19.85546875" style="1226" customWidth="1"/>
    <col min="3843" max="3843" width="12" style="1226" bestFit="1" customWidth="1"/>
    <col min="3844" max="4096" width="9.140625" style="1226"/>
    <col min="4097" max="4097" width="29.5703125" style="1226" bestFit="1" customWidth="1"/>
    <col min="4098" max="4098" width="19.85546875" style="1226" customWidth="1"/>
    <col min="4099" max="4099" width="12" style="1226" bestFit="1" customWidth="1"/>
    <col min="4100" max="4352" width="9.140625" style="1226"/>
    <col min="4353" max="4353" width="29.5703125" style="1226" bestFit="1" customWidth="1"/>
    <col min="4354" max="4354" width="19.85546875" style="1226" customWidth="1"/>
    <col min="4355" max="4355" width="12" style="1226" bestFit="1" customWidth="1"/>
    <col min="4356" max="4608" width="9.140625" style="1226"/>
    <col min="4609" max="4609" width="29.5703125" style="1226" bestFit="1" customWidth="1"/>
    <col min="4610" max="4610" width="19.85546875" style="1226" customWidth="1"/>
    <col min="4611" max="4611" width="12" style="1226" bestFit="1" customWidth="1"/>
    <col min="4612" max="4864" width="9.140625" style="1226"/>
    <col min="4865" max="4865" width="29.5703125" style="1226" bestFit="1" customWidth="1"/>
    <col min="4866" max="4866" width="19.85546875" style="1226" customWidth="1"/>
    <col min="4867" max="4867" width="12" style="1226" bestFit="1" customWidth="1"/>
    <col min="4868" max="5120" width="9.140625" style="1226"/>
    <col min="5121" max="5121" width="29.5703125" style="1226" bestFit="1" customWidth="1"/>
    <col min="5122" max="5122" width="19.85546875" style="1226" customWidth="1"/>
    <col min="5123" max="5123" width="12" style="1226" bestFit="1" customWidth="1"/>
    <col min="5124" max="5376" width="9.140625" style="1226"/>
    <col min="5377" max="5377" width="29.5703125" style="1226" bestFit="1" customWidth="1"/>
    <col min="5378" max="5378" width="19.85546875" style="1226" customWidth="1"/>
    <col min="5379" max="5379" width="12" style="1226" bestFit="1" customWidth="1"/>
    <col min="5380" max="5632" width="9.140625" style="1226"/>
    <col min="5633" max="5633" width="29.5703125" style="1226" bestFit="1" customWidth="1"/>
    <col min="5634" max="5634" width="19.85546875" style="1226" customWidth="1"/>
    <col min="5635" max="5635" width="12" style="1226" bestFit="1" customWidth="1"/>
    <col min="5636" max="5888" width="9.140625" style="1226"/>
    <col min="5889" max="5889" width="29.5703125" style="1226" bestFit="1" customWidth="1"/>
    <col min="5890" max="5890" width="19.85546875" style="1226" customWidth="1"/>
    <col min="5891" max="5891" width="12" style="1226" bestFit="1" customWidth="1"/>
    <col min="5892" max="6144" width="9.140625" style="1226"/>
    <col min="6145" max="6145" width="29.5703125" style="1226" bestFit="1" customWidth="1"/>
    <col min="6146" max="6146" width="19.85546875" style="1226" customWidth="1"/>
    <col min="6147" max="6147" width="12" style="1226" bestFit="1" customWidth="1"/>
    <col min="6148" max="6400" width="9.140625" style="1226"/>
    <col min="6401" max="6401" width="29.5703125" style="1226" bestFit="1" customWidth="1"/>
    <col min="6402" max="6402" width="19.85546875" style="1226" customWidth="1"/>
    <col min="6403" max="6403" width="12" style="1226" bestFit="1" customWidth="1"/>
    <col min="6404" max="6656" width="9.140625" style="1226"/>
    <col min="6657" max="6657" width="29.5703125" style="1226" bestFit="1" customWidth="1"/>
    <col min="6658" max="6658" width="19.85546875" style="1226" customWidth="1"/>
    <col min="6659" max="6659" width="12" style="1226" bestFit="1" customWidth="1"/>
    <col min="6660" max="6912" width="9.140625" style="1226"/>
    <col min="6913" max="6913" width="29.5703125" style="1226" bestFit="1" customWidth="1"/>
    <col min="6914" max="6914" width="19.85546875" style="1226" customWidth="1"/>
    <col min="6915" max="6915" width="12" style="1226" bestFit="1" customWidth="1"/>
    <col min="6916" max="7168" width="9.140625" style="1226"/>
    <col min="7169" max="7169" width="29.5703125" style="1226" bestFit="1" customWidth="1"/>
    <col min="7170" max="7170" width="19.85546875" style="1226" customWidth="1"/>
    <col min="7171" max="7171" width="12" style="1226" bestFit="1" customWidth="1"/>
    <col min="7172" max="7424" width="9.140625" style="1226"/>
    <col min="7425" max="7425" width="29.5703125" style="1226" bestFit="1" customWidth="1"/>
    <col min="7426" max="7426" width="19.85546875" style="1226" customWidth="1"/>
    <col min="7427" max="7427" width="12" style="1226" bestFit="1" customWidth="1"/>
    <col min="7428" max="7680" width="9.140625" style="1226"/>
    <col min="7681" max="7681" width="29.5703125" style="1226" bestFit="1" customWidth="1"/>
    <col min="7682" max="7682" width="19.85546875" style="1226" customWidth="1"/>
    <col min="7683" max="7683" width="12" style="1226" bestFit="1" customWidth="1"/>
    <col min="7684" max="7936" width="9.140625" style="1226"/>
    <col min="7937" max="7937" width="29.5703125" style="1226" bestFit="1" customWidth="1"/>
    <col min="7938" max="7938" width="19.85546875" style="1226" customWidth="1"/>
    <col min="7939" max="7939" width="12" style="1226" bestFit="1" customWidth="1"/>
    <col min="7940" max="8192" width="9.140625" style="1226"/>
    <col min="8193" max="8193" width="29.5703125" style="1226" bestFit="1" customWidth="1"/>
    <col min="8194" max="8194" width="19.85546875" style="1226" customWidth="1"/>
    <col min="8195" max="8195" width="12" style="1226" bestFit="1" customWidth="1"/>
    <col min="8196" max="8448" width="9.140625" style="1226"/>
    <col min="8449" max="8449" width="29.5703125" style="1226" bestFit="1" customWidth="1"/>
    <col min="8450" max="8450" width="19.85546875" style="1226" customWidth="1"/>
    <col min="8451" max="8451" width="12" style="1226" bestFit="1" customWidth="1"/>
    <col min="8452" max="8704" width="9.140625" style="1226"/>
    <col min="8705" max="8705" width="29.5703125" style="1226" bestFit="1" customWidth="1"/>
    <col min="8706" max="8706" width="19.85546875" style="1226" customWidth="1"/>
    <col min="8707" max="8707" width="12" style="1226" bestFit="1" customWidth="1"/>
    <col min="8708" max="8960" width="9.140625" style="1226"/>
    <col min="8961" max="8961" width="29.5703125" style="1226" bestFit="1" customWidth="1"/>
    <col min="8962" max="8962" width="19.85546875" style="1226" customWidth="1"/>
    <col min="8963" max="8963" width="12" style="1226" bestFit="1" customWidth="1"/>
    <col min="8964" max="9216" width="9.140625" style="1226"/>
    <col min="9217" max="9217" width="29.5703125" style="1226" bestFit="1" customWidth="1"/>
    <col min="9218" max="9218" width="19.85546875" style="1226" customWidth="1"/>
    <col min="9219" max="9219" width="12" style="1226" bestFit="1" customWidth="1"/>
    <col min="9220" max="9472" width="9.140625" style="1226"/>
    <col min="9473" max="9473" width="29.5703125" style="1226" bestFit="1" customWidth="1"/>
    <col min="9474" max="9474" width="19.85546875" style="1226" customWidth="1"/>
    <col min="9475" max="9475" width="12" style="1226" bestFit="1" customWidth="1"/>
    <col min="9476" max="9728" width="9.140625" style="1226"/>
    <col min="9729" max="9729" width="29.5703125" style="1226" bestFit="1" customWidth="1"/>
    <col min="9730" max="9730" width="19.85546875" style="1226" customWidth="1"/>
    <col min="9731" max="9731" width="12" style="1226" bestFit="1" customWidth="1"/>
    <col min="9732" max="9984" width="9.140625" style="1226"/>
    <col min="9985" max="9985" width="29.5703125" style="1226" bestFit="1" customWidth="1"/>
    <col min="9986" max="9986" width="19.85546875" style="1226" customWidth="1"/>
    <col min="9987" max="9987" width="12" style="1226" bestFit="1" customWidth="1"/>
    <col min="9988" max="10240" width="9.140625" style="1226"/>
    <col min="10241" max="10241" width="29.5703125" style="1226" bestFit="1" customWidth="1"/>
    <col min="10242" max="10242" width="19.85546875" style="1226" customWidth="1"/>
    <col min="10243" max="10243" width="12" style="1226" bestFit="1" customWidth="1"/>
    <col min="10244" max="10496" width="9.140625" style="1226"/>
    <col min="10497" max="10497" width="29.5703125" style="1226" bestFit="1" customWidth="1"/>
    <col min="10498" max="10498" width="19.85546875" style="1226" customWidth="1"/>
    <col min="10499" max="10499" width="12" style="1226" bestFit="1" customWidth="1"/>
    <col min="10500" max="10752" width="9.140625" style="1226"/>
    <col min="10753" max="10753" width="29.5703125" style="1226" bestFit="1" customWidth="1"/>
    <col min="10754" max="10754" width="19.85546875" style="1226" customWidth="1"/>
    <col min="10755" max="10755" width="12" style="1226" bestFit="1" customWidth="1"/>
    <col min="10756" max="11008" width="9.140625" style="1226"/>
    <col min="11009" max="11009" width="29.5703125" style="1226" bestFit="1" customWidth="1"/>
    <col min="11010" max="11010" width="19.85546875" style="1226" customWidth="1"/>
    <col min="11011" max="11011" width="12" style="1226" bestFit="1" customWidth="1"/>
    <col min="11012" max="11264" width="9.140625" style="1226"/>
    <col min="11265" max="11265" width="29.5703125" style="1226" bestFit="1" customWidth="1"/>
    <col min="11266" max="11266" width="19.85546875" style="1226" customWidth="1"/>
    <col min="11267" max="11267" width="12" style="1226" bestFit="1" customWidth="1"/>
    <col min="11268" max="11520" width="9.140625" style="1226"/>
    <col min="11521" max="11521" width="29.5703125" style="1226" bestFit="1" customWidth="1"/>
    <col min="11522" max="11522" width="19.85546875" style="1226" customWidth="1"/>
    <col min="11523" max="11523" width="12" style="1226" bestFit="1" customWidth="1"/>
    <col min="11524" max="11776" width="9.140625" style="1226"/>
    <col min="11777" max="11777" width="29.5703125" style="1226" bestFit="1" customWidth="1"/>
    <col min="11778" max="11778" width="19.85546875" style="1226" customWidth="1"/>
    <col min="11779" max="11779" width="12" style="1226" bestFit="1" customWidth="1"/>
    <col min="11780" max="12032" width="9.140625" style="1226"/>
    <col min="12033" max="12033" width="29.5703125" style="1226" bestFit="1" customWidth="1"/>
    <col min="12034" max="12034" width="19.85546875" style="1226" customWidth="1"/>
    <col min="12035" max="12035" width="12" style="1226" bestFit="1" customWidth="1"/>
    <col min="12036" max="12288" width="9.140625" style="1226"/>
    <col min="12289" max="12289" width="29.5703125" style="1226" bestFit="1" customWidth="1"/>
    <col min="12290" max="12290" width="19.85546875" style="1226" customWidth="1"/>
    <col min="12291" max="12291" width="12" style="1226" bestFit="1" customWidth="1"/>
    <col min="12292" max="12544" width="9.140625" style="1226"/>
    <col min="12545" max="12545" width="29.5703125" style="1226" bestFit="1" customWidth="1"/>
    <col min="12546" max="12546" width="19.85546875" style="1226" customWidth="1"/>
    <col min="12547" max="12547" width="12" style="1226" bestFit="1" customWidth="1"/>
    <col min="12548" max="12800" width="9.140625" style="1226"/>
    <col min="12801" max="12801" width="29.5703125" style="1226" bestFit="1" customWidth="1"/>
    <col min="12802" max="12802" width="19.85546875" style="1226" customWidth="1"/>
    <col min="12803" max="12803" width="12" style="1226" bestFit="1" customWidth="1"/>
    <col min="12804" max="13056" width="9.140625" style="1226"/>
    <col min="13057" max="13057" width="29.5703125" style="1226" bestFit="1" customWidth="1"/>
    <col min="13058" max="13058" width="19.85546875" style="1226" customWidth="1"/>
    <col min="13059" max="13059" width="12" style="1226" bestFit="1" customWidth="1"/>
    <col min="13060" max="13312" width="9.140625" style="1226"/>
    <col min="13313" max="13313" width="29.5703125" style="1226" bestFit="1" customWidth="1"/>
    <col min="13314" max="13314" width="19.85546875" style="1226" customWidth="1"/>
    <col min="13315" max="13315" width="12" style="1226" bestFit="1" customWidth="1"/>
    <col min="13316" max="13568" width="9.140625" style="1226"/>
    <col min="13569" max="13569" width="29.5703125" style="1226" bestFit="1" customWidth="1"/>
    <col min="13570" max="13570" width="19.85546875" style="1226" customWidth="1"/>
    <col min="13571" max="13571" width="12" style="1226" bestFit="1" customWidth="1"/>
    <col min="13572" max="13824" width="9.140625" style="1226"/>
    <col min="13825" max="13825" width="29.5703125" style="1226" bestFit="1" customWidth="1"/>
    <col min="13826" max="13826" width="19.85546875" style="1226" customWidth="1"/>
    <col min="13827" max="13827" width="12" style="1226" bestFit="1" customWidth="1"/>
    <col min="13828" max="14080" width="9.140625" style="1226"/>
    <col min="14081" max="14081" width="29.5703125" style="1226" bestFit="1" customWidth="1"/>
    <col min="14082" max="14082" width="19.85546875" style="1226" customWidth="1"/>
    <col min="14083" max="14083" width="12" style="1226" bestFit="1" customWidth="1"/>
    <col min="14084" max="14336" width="9.140625" style="1226"/>
    <col min="14337" max="14337" width="29.5703125" style="1226" bestFit="1" customWidth="1"/>
    <col min="14338" max="14338" width="19.85546875" style="1226" customWidth="1"/>
    <col min="14339" max="14339" width="12" style="1226" bestFit="1" customWidth="1"/>
    <col min="14340" max="14592" width="9.140625" style="1226"/>
    <col min="14593" max="14593" width="29.5703125" style="1226" bestFit="1" customWidth="1"/>
    <col min="14594" max="14594" width="19.85546875" style="1226" customWidth="1"/>
    <col min="14595" max="14595" width="12" style="1226" bestFit="1" customWidth="1"/>
    <col min="14596" max="14848" width="9.140625" style="1226"/>
    <col min="14849" max="14849" width="29.5703125" style="1226" bestFit="1" customWidth="1"/>
    <col min="14850" max="14850" width="19.85546875" style="1226" customWidth="1"/>
    <col min="14851" max="14851" width="12" style="1226" bestFit="1" customWidth="1"/>
    <col min="14852" max="15104" width="9.140625" style="1226"/>
    <col min="15105" max="15105" width="29.5703125" style="1226" bestFit="1" customWidth="1"/>
    <col min="15106" max="15106" width="19.85546875" style="1226" customWidth="1"/>
    <col min="15107" max="15107" width="12" style="1226" bestFit="1" customWidth="1"/>
    <col min="15108" max="15360" width="9.140625" style="1226"/>
    <col min="15361" max="15361" width="29.5703125" style="1226" bestFit="1" customWidth="1"/>
    <col min="15362" max="15362" width="19.85546875" style="1226" customWidth="1"/>
    <col min="15363" max="15363" width="12" style="1226" bestFit="1" customWidth="1"/>
    <col min="15364" max="15616" width="9.140625" style="1226"/>
    <col min="15617" max="15617" width="29.5703125" style="1226" bestFit="1" customWidth="1"/>
    <col min="15618" max="15618" width="19.85546875" style="1226" customWidth="1"/>
    <col min="15619" max="15619" width="12" style="1226" bestFit="1" customWidth="1"/>
    <col min="15620" max="15872" width="9.140625" style="1226"/>
    <col min="15873" max="15873" width="29.5703125" style="1226" bestFit="1" customWidth="1"/>
    <col min="15874" max="15874" width="19.85546875" style="1226" customWidth="1"/>
    <col min="15875" max="15875" width="12" style="1226" bestFit="1" customWidth="1"/>
    <col min="15876" max="16128" width="9.140625" style="1226"/>
    <col min="16129" max="16129" width="29.5703125" style="1226" bestFit="1" customWidth="1"/>
    <col min="16130" max="16130" width="19.85546875" style="1226" customWidth="1"/>
    <col min="16131" max="16131" width="12" style="1226" bestFit="1" customWidth="1"/>
    <col min="16132" max="16384" width="9.140625" style="1226"/>
  </cols>
  <sheetData>
    <row r="1" spans="1:2">
      <c r="A1" s="1226" t="s">
        <v>1518</v>
      </c>
      <c r="B1" s="1266">
        <v>6.1</v>
      </c>
    </row>
    <row r="2" spans="1:2">
      <c r="A2" s="1226" t="s">
        <v>1519</v>
      </c>
      <c r="B2" s="1270">
        <v>43203.423275462963</v>
      </c>
    </row>
    <row r="3" spans="1:2">
      <c r="A3" s="1226" t="s">
        <v>1520</v>
      </c>
      <c r="B3" s="1267" t="s">
        <v>1214</v>
      </c>
    </row>
    <row r="4" spans="1:2">
      <c r="A4" s="1226" t="s">
        <v>1521</v>
      </c>
      <c r="B4" s="1267" t="s">
        <v>1522</v>
      </c>
    </row>
    <row r="5" spans="1:2">
      <c r="A5" s="1226" t="s">
        <v>1523</v>
      </c>
      <c r="B5" s="1267" t="s">
        <v>1524</v>
      </c>
    </row>
    <row r="6" spans="1:2">
      <c r="A6" s="1226" t="s">
        <v>1525</v>
      </c>
    </row>
    <row r="7" spans="1:2">
      <c r="A7" s="1226" t="s">
        <v>1526</v>
      </c>
      <c r="B7" s="1267" t="s">
        <v>747</v>
      </c>
    </row>
    <row r="8" spans="1:2">
      <c r="A8" s="1226" t="s">
        <v>1527</v>
      </c>
      <c r="B8" s="1267" t="s">
        <v>1528</v>
      </c>
    </row>
    <row r="9" spans="1:2">
      <c r="A9" s="1226" t="s">
        <v>1529</v>
      </c>
      <c r="B9" s="1267" t="s">
        <v>1565</v>
      </c>
    </row>
    <row r="10" spans="1:2">
      <c r="A10" s="1226" t="s">
        <v>1530</v>
      </c>
    </row>
    <row r="11" spans="1:2">
      <c r="A11" s="1226" t="s">
        <v>1531</v>
      </c>
    </row>
    <row r="12" spans="1:2">
      <c r="A12" s="1226" t="s">
        <v>1532</v>
      </c>
    </row>
    <row r="13" spans="1:2">
      <c r="A13" s="1226" t="s">
        <v>1533</v>
      </c>
    </row>
    <row r="14" spans="1:2">
      <c r="A14" s="1226" t="s">
        <v>1534</v>
      </c>
    </row>
    <row r="15" spans="1:2">
      <c r="A15" s="1226" t="s">
        <v>1535</v>
      </c>
    </row>
    <row r="16" spans="1:2">
      <c r="A16" s="1226" t="s">
        <v>1536</v>
      </c>
    </row>
    <row r="17" spans="1:4">
      <c r="A17" s="1226" t="s">
        <v>1537</v>
      </c>
      <c r="B17" s="1267" t="s">
        <v>1566</v>
      </c>
    </row>
    <row r="18" spans="1:4">
      <c r="A18" s="1226" t="s">
        <v>1538</v>
      </c>
      <c r="B18" s="1267" t="s">
        <v>1215</v>
      </c>
    </row>
    <row r="19" spans="1:4">
      <c r="A19" s="1226" t="s">
        <v>1539</v>
      </c>
      <c r="B19" s="1267" t="s">
        <v>746</v>
      </c>
    </row>
    <row r="20" spans="1:4">
      <c r="A20" s="1226" t="s">
        <v>1540</v>
      </c>
      <c r="B20" s="1268">
        <v>151020104</v>
      </c>
    </row>
    <row r="21" spans="1:4">
      <c r="A21" s="1226" t="s">
        <v>1024</v>
      </c>
      <c r="B21" s="1267" t="s">
        <v>746</v>
      </c>
    </row>
    <row r="22" spans="1:4">
      <c r="A22" s="1226" t="s">
        <v>1541</v>
      </c>
      <c r="B22" s="1268">
        <v>2182348</v>
      </c>
    </row>
    <row r="23" spans="1:4">
      <c r="A23" s="1226" t="s">
        <v>749</v>
      </c>
      <c r="B23" s="1266">
        <v>90.78</v>
      </c>
    </row>
    <row r="24" spans="1:4">
      <c r="A24" s="1226" t="s">
        <v>748</v>
      </c>
      <c r="B24" s="1267" t="s">
        <v>745</v>
      </c>
      <c r="D24" s="1226" t="s">
        <v>998</v>
      </c>
    </row>
    <row r="25" spans="1:4">
      <c r="A25" s="1226" t="s">
        <v>1542</v>
      </c>
      <c r="B25" s="1267" t="s">
        <v>1569</v>
      </c>
    </row>
    <row r="26" spans="1:4">
      <c r="A26" s="1226" t="s">
        <v>1543</v>
      </c>
      <c r="B26" s="1267">
        <v>0</v>
      </c>
    </row>
    <row r="27" spans="1:4">
      <c r="A27" s="1226" t="s">
        <v>1544</v>
      </c>
      <c r="B27" s="1267" t="s">
        <v>1545</v>
      </c>
    </row>
    <row r="28" spans="1:4">
      <c r="A28" s="1226" t="s">
        <v>1546</v>
      </c>
      <c r="B28" s="1267" t="s">
        <v>1547</v>
      </c>
    </row>
    <row r="29" spans="1:4">
      <c r="A29" s="1226" t="s">
        <v>1548</v>
      </c>
    </row>
    <row r="30" spans="1:4">
      <c r="A30" s="1226" t="s">
        <v>1549</v>
      </c>
    </row>
    <row r="31" spans="1:4">
      <c r="A31" s="1226" t="s">
        <v>1550</v>
      </c>
    </row>
    <row r="32" spans="1:4">
      <c r="A32" s="1226" t="s">
        <v>1551</v>
      </c>
      <c r="B32" s="1266"/>
    </row>
    <row r="33" spans="1:2">
      <c r="A33" s="1226" t="s">
        <v>1552</v>
      </c>
      <c r="B33" s="1266"/>
    </row>
    <row r="34" spans="1:2">
      <c r="A34" s="1226" t="s">
        <v>1553</v>
      </c>
      <c r="B34" s="1266"/>
    </row>
    <row r="35" spans="1:2">
      <c r="A35" s="1226" t="s">
        <v>1554</v>
      </c>
      <c r="B35" s="1267">
        <v>1000000</v>
      </c>
    </row>
    <row r="36" spans="1:2">
      <c r="A36" s="1226" t="s">
        <v>1555</v>
      </c>
      <c r="B36" s="1267" t="s">
        <v>1567</v>
      </c>
    </row>
    <row r="37" spans="1:2">
      <c r="A37" s="1226" t="s">
        <v>1556</v>
      </c>
      <c r="B37" s="1267" t="s">
        <v>1557</v>
      </c>
    </row>
    <row r="38" spans="1:2">
      <c r="A38" s="1226" t="s">
        <v>1558</v>
      </c>
      <c r="B38" s="1267" t="s">
        <v>1559</v>
      </c>
    </row>
    <row r="39" spans="1:2">
      <c r="A39" s="1226" t="s">
        <v>1560</v>
      </c>
      <c r="B39" s="1267" t="s">
        <v>1568</v>
      </c>
    </row>
    <row r="40" spans="1:2">
      <c r="A40" s="1226" t="s">
        <v>1561</v>
      </c>
      <c r="B40" s="1267">
        <v>1500004768</v>
      </c>
    </row>
    <row r="41" spans="1:2">
      <c r="A41" s="1226" t="s">
        <v>1562</v>
      </c>
      <c r="B41" s="1267">
        <v>1</v>
      </c>
    </row>
    <row r="42" spans="1:2">
      <c r="A42" s="1269" t="s">
        <v>1563</v>
      </c>
    </row>
    <row r="43" spans="1:2">
      <c r="A43" s="1226" t="s">
        <v>1564</v>
      </c>
    </row>
  </sheetData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13"/>
  <sheetViews>
    <sheetView workbookViewId="0">
      <selection activeCell="E11" sqref="E11"/>
    </sheetView>
  </sheetViews>
  <sheetFormatPr defaultRowHeight="12.75"/>
  <cols>
    <col min="1" max="1" width="28.5703125" style="1226" bestFit="1" customWidth="1"/>
    <col min="2" max="256" width="9.140625" style="1226"/>
    <col min="257" max="257" width="28.5703125" style="1226" bestFit="1" customWidth="1"/>
    <col min="258" max="512" width="9.140625" style="1226"/>
    <col min="513" max="513" width="28.5703125" style="1226" bestFit="1" customWidth="1"/>
    <col min="514" max="768" width="9.140625" style="1226"/>
    <col min="769" max="769" width="28.5703125" style="1226" bestFit="1" customWidth="1"/>
    <col min="770" max="1024" width="9.140625" style="1226"/>
    <col min="1025" max="1025" width="28.5703125" style="1226" bestFit="1" customWidth="1"/>
    <col min="1026" max="1280" width="9.140625" style="1226"/>
    <col min="1281" max="1281" width="28.5703125" style="1226" bestFit="1" customWidth="1"/>
    <col min="1282" max="1536" width="9.140625" style="1226"/>
    <col min="1537" max="1537" width="28.5703125" style="1226" bestFit="1" customWidth="1"/>
    <col min="1538" max="1792" width="9.140625" style="1226"/>
    <col min="1793" max="1793" width="28.5703125" style="1226" bestFit="1" customWidth="1"/>
    <col min="1794" max="2048" width="9.140625" style="1226"/>
    <col min="2049" max="2049" width="28.5703125" style="1226" bestFit="1" customWidth="1"/>
    <col min="2050" max="2304" width="9.140625" style="1226"/>
    <col min="2305" max="2305" width="28.5703125" style="1226" bestFit="1" customWidth="1"/>
    <col min="2306" max="2560" width="9.140625" style="1226"/>
    <col min="2561" max="2561" width="28.5703125" style="1226" bestFit="1" customWidth="1"/>
    <col min="2562" max="2816" width="9.140625" style="1226"/>
    <col min="2817" max="2817" width="28.5703125" style="1226" bestFit="1" customWidth="1"/>
    <col min="2818" max="3072" width="9.140625" style="1226"/>
    <col min="3073" max="3073" width="28.5703125" style="1226" bestFit="1" customWidth="1"/>
    <col min="3074" max="3328" width="9.140625" style="1226"/>
    <col min="3329" max="3329" width="28.5703125" style="1226" bestFit="1" customWidth="1"/>
    <col min="3330" max="3584" width="9.140625" style="1226"/>
    <col min="3585" max="3585" width="28.5703125" style="1226" bestFit="1" customWidth="1"/>
    <col min="3586" max="3840" width="9.140625" style="1226"/>
    <col min="3841" max="3841" width="28.5703125" style="1226" bestFit="1" customWidth="1"/>
    <col min="3842" max="4096" width="9.140625" style="1226"/>
    <col min="4097" max="4097" width="28.5703125" style="1226" bestFit="1" customWidth="1"/>
    <col min="4098" max="4352" width="9.140625" style="1226"/>
    <col min="4353" max="4353" width="28.5703125" style="1226" bestFit="1" customWidth="1"/>
    <col min="4354" max="4608" width="9.140625" style="1226"/>
    <col min="4609" max="4609" width="28.5703125" style="1226" bestFit="1" customWidth="1"/>
    <col min="4610" max="4864" width="9.140625" style="1226"/>
    <col min="4865" max="4865" width="28.5703125" style="1226" bestFit="1" customWidth="1"/>
    <col min="4866" max="5120" width="9.140625" style="1226"/>
    <col min="5121" max="5121" width="28.5703125" style="1226" bestFit="1" customWidth="1"/>
    <col min="5122" max="5376" width="9.140625" style="1226"/>
    <col min="5377" max="5377" width="28.5703125" style="1226" bestFit="1" customWidth="1"/>
    <col min="5378" max="5632" width="9.140625" style="1226"/>
    <col min="5633" max="5633" width="28.5703125" style="1226" bestFit="1" customWidth="1"/>
    <col min="5634" max="5888" width="9.140625" style="1226"/>
    <col min="5889" max="5889" width="28.5703125" style="1226" bestFit="1" customWidth="1"/>
    <col min="5890" max="6144" width="9.140625" style="1226"/>
    <col min="6145" max="6145" width="28.5703125" style="1226" bestFit="1" customWidth="1"/>
    <col min="6146" max="6400" width="9.140625" style="1226"/>
    <col min="6401" max="6401" width="28.5703125" style="1226" bestFit="1" customWidth="1"/>
    <col min="6402" max="6656" width="9.140625" style="1226"/>
    <col min="6657" max="6657" width="28.5703125" style="1226" bestFit="1" customWidth="1"/>
    <col min="6658" max="6912" width="9.140625" style="1226"/>
    <col min="6913" max="6913" width="28.5703125" style="1226" bestFit="1" customWidth="1"/>
    <col min="6914" max="7168" width="9.140625" style="1226"/>
    <col min="7169" max="7169" width="28.5703125" style="1226" bestFit="1" customWidth="1"/>
    <col min="7170" max="7424" width="9.140625" style="1226"/>
    <col min="7425" max="7425" width="28.5703125" style="1226" bestFit="1" customWidth="1"/>
    <col min="7426" max="7680" width="9.140625" style="1226"/>
    <col min="7681" max="7681" width="28.5703125" style="1226" bestFit="1" customWidth="1"/>
    <col min="7682" max="7936" width="9.140625" style="1226"/>
    <col min="7937" max="7937" width="28.5703125" style="1226" bestFit="1" customWidth="1"/>
    <col min="7938" max="8192" width="9.140625" style="1226"/>
    <col min="8193" max="8193" width="28.5703125" style="1226" bestFit="1" customWidth="1"/>
    <col min="8194" max="8448" width="9.140625" style="1226"/>
    <col min="8449" max="8449" width="28.5703125" style="1226" bestFit="1" customWidth="1"/>
    <col min="8450" max="8704" width="9.140625" style="1226"/>
    <col min="8705" max="8705" width="28.5703125" style="1226" bestFit="1" customWidth="1"/>
    <col min="8706" max="8960" width="9.140625" style="1226"/>
    <col min="8961" max="8961" width="28.5703125" style="1226" bestFit="1" customWidth="1"/>
    <col min="8962" max="9216" width="9.140625" style="1226"/>
    <col min="9217" max="9217" width="28.5703125" style="1226" bestFit="1" customWidth="1"/>
    <col min="9218" max="9472" width="9.140625" style="1226"/>
    <col min="9473" max="9473" width="28.5703125" style="1226" bestFit="1" customWidth="1"/>
    <col min="9474" max="9728" width="9.140625" style="1226"/>
    <col min="9729" max="9729" width="28.5703125" style="1226" bestFit="1" customWidth="1"/>
    <col min="9730" max="9984" width="9.140625" style="1226"/>
    <col min="9985" max="9985" width="28.5703125" style="1226" bestFit="1" customWidth="1"/>
    <col min="9986" max="10240" width="9.140625" style="1226"/>
    <col min="10241" max="10241" width="28.5703125" style="1226" bestFit="1" customWidth="1"/>
    <col min="10242" max="10496" width="9.140625" style="1226"/>
    <col min="10497" max="10497" width="28.5703125" style="1226" bestFit="1" customWidth="1"/>
    <col min="10498" max="10752" width="9.140625" style="1226"/>
    <col min="10753" max="10753" width="28.5703125" style="1226" bestFit="1" customWidth="1"/>
    <col min="10754" max="11008" width="9.140625" style="1226"/>
    <col min="11009" max="11009" width="28.5703125" style="1226" bestFit="1" customWidth="1"/>
    <col min="11010" max="11264" width="9.140625" style="1226"/>
    <col min="11265" max="11265" width="28.5703125" style="1226" bestFit="1" customWidth="1"/>
    <col min="11266" max="11520" width="9.140625" style="1226"/>
    <col min="11521" max="11521" width="28.5703125" style="1226" bestFit="1" customWidth="1"/>
    <col min="11522" max="11776" width="9.140625" style="1226"/>
    <col min="11777" max="11777" width="28.5703125" style="1226" bestFit="1" customWidth="1"/>
    <col min="11778" max="12032" width="9.140625" style="1226"/>
    <col min="12033" max="12033" width="28.5703125" style="1226" bestFit="1" customWidth="1"/>
    <col min="12034" max="12288" width="9.140625" style="1226"/>
    <col min="12289" max="12289" width="28.5703125" style="1226" bestFit="1" customWidth="1"/>
    <col min="12290" max="12544" width="9.140625" style="1226"/>
    <col min="12545" max="12545" width="28.5703125" style="1226" bestFit="1" customWidth="1"/>
    <col min="12546" max="12800" width="9.140625" style="1226"/>
    <col min="12801" max="12801" width="28.5703125" style="1226" bestFit="1" customWidth="1"/>
    <col min="12802" max="13056" width="9.140625" style="1226"/>
    <col min="13057" max="13057" width="28.5703125" style="1226" bestFit="1" customWidth="1"/>
    <col min="13058" max="13312" width="9.140625" style="1226"/>
    <col min="13313" max="13313" width="28.5703125" style="1226" bestFit="1" customWidth="1"/>
    <col min="13314" max="13568" width="9.140625" style="1226"/>
    <col min="13569" max="13569" width="28.5703125" style="1226" bestFit="1" customWidth="1"/>
    <col min="13570" max="13824" width="9.140625" style="1226"/>
    <col min="13825" max="13825" width="28.5703125" style="1226" bestFit="1" customWidth="1"/>
    <col min="13826" max="14080" width="9.140625" style="1226"/>
    <col min="14081" max="14081" width="28.5703125" style="1226" bestFit="1" customWidth="1"/>
    <col min="14082" max="14336" width="9.140625" style="1226"/>
    <col min="14337" max="14337" width="28.5703125" style="1226" bestFit="1" customWidth="1"/>
    <col min="14338" max="14592" width="9.140625" style="1226"/>
    <col min="14593" max="14593" width="28.5703125" style="1226" bestFit="1" customWidth="1"/>
    <col min="14594" max="14848" width="9.140625" style="1226"/>
    <col min="14849" max="14849" width="28.5703125" style="1226" bestFit="1" customWidth="1"/>
    <col min="14850" max="15104" width="9.140625" style="1226"/>
    <col min="15105" max="15105" width="28.5703125" style="1226" bestFit="1" customWidth="1"/>
    <col min="15106" max="15360" width="9.140625" style="1226"/>
    <col min="15361" max="15361" width="28.5703125" style="1226" bestFit="1" customWidth="1"/>
    <col min="15362" max="15616" width="9.140625" style="1226"/>
    <col min="15617" max="15617" width="28.5703125" style="1226" bestFit="1" customWidth="1"/>
    <col min="15618" max="15872" width="9.140625" style="1226"/>
    <col min="15873" max="15873" width="28.5703125" style="1226" bestFit="1" customWidth="1"/>
    <col min="15874" max="16128" width="9.140625" style="1226"/>
    <col min="16129" max="16129" width="28.5703125" style="1226" bestFit="1" customWidth="1"/>
    <col min="16130" max="16384" width="9.140625" style="1226"/>
  </cols>
  <sheetData>
    <row r="1" spans="1:1">
      <c r="A1" s="1271" t="s">
        <v>1570</v>
      </c>
    </row>
    <row r="2" spans="1:1">
      <c r="A2" s="1271" t="s">
        <v>1575</v>
      </c>
    </row>
    <row r="3" spans="1:1">
      <c r="A3" s="1271" t="s">
        <v>1576</v>
      </c>
    </row>
    <row r="4" spans="1:1">
      <c r="A4" s="1271" t="s">
        <v>1577</v>
      </c>
    </row>
    <row r="5" spans="1:1">
      <c r="A5" s="1271" t="s">
        <v>1578</v>
      </c>
    </row>
    <row r="6" spans="1:1">
      <c r="A6" s="1271" t="s">
        <v>1571</v>
      </c>
    </row>
    <row r="7" spans="1:1">
      <c r="A7" s="1271" t="s">
        <v>1579</v>
      </c>
    </row>
    <row r="8" spans="1:1">
      <c r="A8" s="1271" t="s">
        <v>1580</v>
      </c>
    </row>
    <row r="9" spans="1:1">
      <c r="A9" s="1271" t="s">
        <v>1581</v>
      </c>
    </row>
    <row r="10" spans="1:1">
      <c r="A10" s="1271" t="s">
        <v>1572</v>
      </c>
    </row>
    <row r="11" spans="1:1">
      <c r="A11" s="1271" t="s">
        <v>1582</v>
      </c>
    </row>
    <row r="12" spans="1:1">
      <c r="A12" s="1271" t="s">
        <v>1573</v>
      </c>
    </row>
    <row r="13" spans="1:1">
      <c r="A13" s="1271" t="s">
        <v>1574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>
  <Link>
    <GUID>21177018-2c4c-4252-94e9-880174695b7b</GUID>
    <SOURCE_ALTADDRESS>$B$2:$S$20</SOURCE_ALTADDRESS>
    <SOURCETYPE>Table</SOURCETYPE>
    <SOURCE_OBJECTNAME>Linking_Range_12</SOURCE_OBJECTNAME>
    <OBJECTTYPE>Native</OBJECTTYPE>
    <SOURCE_SHEETCODE>Sheet1</SOURCE_SHEETCODE>
    <SOURCE_SHEETNAME>MS vs Guide vs Cons</SOURCE_SHEETNAME>
    <SOURCEAPPLICATION>EXCEL_SOURCE</SOURCEAPPLICATION>
    <UPDATEDAT>1/15/2015 3:49:28 PM</UPDATEDAT>
    <SOURCE_ISOUTOFDATE>False</SOURCE_ISOUTOFDATE>
    <SOURCE_WORKBOOKNAME>CELG_MH.xlsm</SOURCE_WORKBOOKNAME>
    <SOURCE_WORKBOOKPATH>\\MSAD\ROOT\NA\NY\LIB\ER\HEALTH\Biotech\Harrison\Models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/MSResearch/Content/ExternalAssets/2015-01/Images/hDNd3Php9CT7RpiNBREMg--.png</TARGET_BINARYFULLNAME>
    <TARGET_STORYFULLNAME>/MSResearch/Content/ExternalAssets/2015-01/Sections/20150112_015010_Linking_Range_12.xml</TARGET_STORYFULLNAME>
    <TARGET_UUID>d60a6332-9a8b-11e4-9edc-4fa5ec7c1f73</TARGET_UUID>
    <TRANSPARENTBACKGROUND>False</TRANSPARENTBACKGROUND>
    <TRANSPARENTPLOTAREA>False</TRANSPARENTPLOTAREA>
    <LINKSTATUS>Unknown</LINKSTATUS>
  </Link>
  <Link>
    <GUID>7ddd21b1-62b6-4c7b-a61d-70d3771aa177</GUID>
    <SOURCE_ALTADDRESS>$B$2:$CO$44</SOURCE_ALTADDRESS>
    <SOURCETYPE>Table</SOURCETYPE>
    <SOURCE_OBJECTNAME>Linking_Range_13</SOURCE_OBJECTNAME>
    <OBJECTTYPE>Native</OBJECTTYPE>
    <SOURCE_SHEETCODE>Sheet4</SOURCE_SHEETCODE>
    <SOURCE_SHEETNAME>REVS</SOURCE_SHEETNAME>
    <SOURCEAPPLICATION>EXCEL_SOURCE</SOURCEAPPLICATION>
    <UPDATEDAT>1/15/2015 3:49:34 PM</UPDATEDAT>
    <SOURCE_ISOUTOFDATE>False</SOURCE_ISOUTOFDATE>
    <SOURCE_WORKBOOKNAME>CELG_MH.xlsm</SOURCE_WORKBOOKNAME>
    <SOURCE_WORKBOOKPATH>\\MSAD\ROOT\NA\NY\LIB\ER\HEALTH\Biotech\Harrison\Models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/MSResearch/Content/ExternalAssets/2015-01/Images/r9BQX4eToiObWRTOPLA--.png</TARGET_BINARYFULLNAME>
    <TARGET_STORYFULLNAME>/MSResearch/Content/ExternalAssets/2015-01/Sections/20150115_113701_Linking_Range_13.xml</TARGET_STORYFULLNAME>
    <TARGET_UUID>bb14b1ae-9cd4-11e4-9edc-4fa5ec7c1f73</TARGET_UUID>
    <LINKSTATUS>Unknown</LINKSTATUS>
  </Link>
  <Link>
    <GUID>b0dda65b-ced3-4eef-b6dd-7b5909b5e6f8</GUID>
    <SOURCE_ALTADDRESS>$B$1:$EN$111</SOURCE_ALTADDRESS>
    <SOURCETYPE>Table</SOURCETYPE>
    <SOURCE_OBJECTNAME>Linking_Range_14</SOURCE_OBJECTNAME>
    <OBJECTTYPE>Native</OBJECTTYPE>
    <SOURCE_SHEETCODE>Sheet3</SOURCE_SHEETCODE>
    <SOURCE_SHEETNAME>IS</SOURCE_SHEETNAME>
    <SOURCEAPPLICATION>EXCEL_SOURCE</SOURCEAPPLICATION>
    <UPDATEDAT>1/29/2015 12:15:30 PM</UPDATEDAT>
    <SOURCE_ISOUTOFDATE>False</SOURCE_ISOUTOFDATE>
    <SOURCE_WORKBOOKNAME>CELG_MH.xlsm</SOURCE_WORKBOOKNAME>
    <SOURCE_WORKBOOKPATH>\\MSAD\ROOT\NA\NY\LIB\ER\HEALTH\Biotech\Harrison\Models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/MSResearch/Content/ExternalAssets/2015-01/Images/YbhcxfRcX_dZPpz7bawQ--.png</TARGET_BINARYFULLNAME>
    <TARGET_STORYFULLNAME>/MSResearch/Content/ExternalAssets/2015-01/Sections/20150129_121528_Linking_Range_14.xml</TARGET_STORYFULLNAME>
    <TARGET_UUID>6bf24422-a7da-11e4-9d5a-3eb708603406</TARGET_UUID>
  </Link>
  <Link>
    <GUID>d2378315-f2fc-43a1-ae30-89dfe51a56d7</GUID>
    <SOURCE_ALTADDRESS>$B$2:$N$41</SOURCE_ALTADDRESS>
    <SOURCETYPE>Table</SOURCETYPE>
    <SOURCE_OBJECTNAME>Linking_Range_5</SOURCE_OBJECTNAME>
    <OBJECTTYPE>Native</OBJECTTYPE>
    <SOURCE_SHEETCODE>Sheet18</SOURCE_SHEETCODE>
    <SOURCE_SHEETNAME>Variance</SOURCE_SHEETNAME>
    <SOURCEAPPLICATION>EXCEL_SOURCE</SOURCEAPPLICATION>
    <UPDATEDAT>4/30/2015 7:49:20 AM</UPDATEDAT>
    <SOURCE_ISOUTOFDATE>False</SOURCE_ISOUTOFDATE>
    <SOURCE_WORKBOOKNAME>CELG_MH.xlsm</SOURCE_WORKBOOKNAME>
    <SOURCE_WORKBOOKPATH>\\MSAD\ROOT\NA\NY\LIB\ER\HEALTH\Biotech\Harrison\Models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/MSResearch/Content/ExternalAssets/2015-01/Images/HYhEoIDZ1EGQGCEMOs9uPg--.png</TARGET_BINARYFULLNAME>
    <TARGET_STORYFULLNAME>/MSResearch/Content/ExternalAssets/2015-01/Sections/20150129_121412_Linking_Range_5.xml</TARGET_STORYFULLNAME>
    <TARGET_UUID>3eb9dd3a-a7da-11e4-9d5a-3eb708603406</TARGET_UUID>
    <TRANSPARENTBACKGROUND>False</TRANSPARENTBACKGROUND>
    <TRANSPARENTPLOTAREA>False</TRANSPARENTPLOTAREA>
    <EXTRACTSOURCEMODE>CopyToClipboard</EXTRACTSOURCEMODE>
  </Link>
  <Link>
    <GUID>9b466a23-2d59-4714-861c-dcb2c5e91c96</GUID>
    <SOURCE_ALTADDRESS>$B$1:$U$54</SOURCE_ALTADDRESS>
    <SOURCETYPE>Table</SOURCETYPE>
    <SOURCE_OBJECTNAME>Linking_Range_9</SOURCE_OBJECTNAME>
    <OBJECTTYPE>Native</OBJECTTYPE>
    <SOURCE_SHEETCODE>Sheet6</SOURCE_SHEETCODE>
    <SOURCE_SHEETNAME>CF</SOURCE_SHEETNAME>
    <SOURCEAPPLICATION>EXCEL_SOURCE</SOURCEAPPLICATION>
    <UPDATEDAT>4/30/2015 2:59:09 PM</UPDATEDAT>
    <SOURCE_ISOUTOFDATE>False</SOURCE_ISOUTOFDATE>
    <SOURCE_WORKBOOKNAME>CELG_MH.xlsm</SOURCE_WORKBOOKNAME>
    <SOURCE_WORKBOOKPATH>\\MSAD\ROOT\NA\NY\LIB\ER\HEALTH\Biotech\Harrison\Models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/MSResearch/Content/ExternalAssets/2015-01/Images/DKzUG5doEaR3R3tcT6vaQ--.png</TARGET_BINARYFULLNAME>
    <TARGET_STORYFULLNAME>/MSResearch/Content/ExternalAssets/2015-01/Sections/20150115_113748_Linking_Range_9.xml</TARGET_STORYFULLNAME>
    <TARGET_UUID>d72f5d3a-9cd4-11e4-9edc-4fa5ec7c1f73</TARGET_UUID>
    <LINKSTATUS>Unknown</LINKSTATUS>
    <TRANSPARENTBACKGROUND>False</TRANSPARENTBACKGROUND>
    <TRANSPARENTPLOTAREA>False</TRANSPARENTPLOTAREA>
    <EXTRACTSOURCEMODE>CopyToClipboard</EXTRACTSOURCEMODE>
  </Link>
  <Link>
    <GUID>3c3e9a11-9da8-404a-9c1e-4e71d269c998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5/7/2015 5:40:39 PM</UPDATEDAT>
    <SOURCE_ISOUTOFDATE>False</SOURCE_ISOUTOFDATE>
    <SOURCE_WORKBOOKNAME>CELG_MH.xlsm</SOURCE_WORKBOOKNAME>
    <SOURCE_WORKBOOKPATH>\\MSAD\ROOT\NA\NY\LIB\ER\HEALTH\Biotech\Harrison\Models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/MSResearch/Content/ExternalAssets/2015-01/Images/XEf-jeY8SCLBQY551qkxg--.png</TARGET_BINARYFULLNAME>
    <TARGET_STORYFULLNAME>/MSResearch/Content/ExternalAssets/2015-01/Sections/20150115_043132_MWA_Risk_Reward.xml</TARGET_STORYFULLNAME>
    <TARGET_UUID>dfe19492-9cfd-11e4-9edc-4fa5ec7c1f73</TARGET_UUID>
    <HIDEGRIDLINES>False</HIDEGRIDLINES>
    <EXTRACTSOURCEMODE>CopyToClipboard</EXTRACTSOURCEMODE>
  </Link>
  <Link>
    <GUID>50f44e1b-1308-4b5b-b549-5e9ca62373b7</GUID>
    <SOURCE_ALTADDRESS>$B$1:$U$55</SOURCE_ALTADDRESS>
    <SOURCETYPE>Table</SOURCETYPE>
    <SOURCE_OBJECTNAME>Linking_Range_11</SOURCE_OBJECTNAME>
    <OBJECTTYPE>Native</OBJECTTYPE>
    <SOURCE_SHEETCODE>Sheet6</SOURCE_SHEETCODE>
    <SOURCE_SHEETNAME>CF</SOURCE_SHEETNAME>
    <SOURCEAPPLICATION>EXCEL_SOURCE</SOURCEAPPLICATION>
    <UPDATEDAT>5/7/2015 5:49:01 PM</UPDATEDAT>
    <SOURCE_ISOUTOFDATE>False</SOURCE_ISOUTOFDATE>
    <SOURCE_WORKBOOKNAME>CELG_MH.xlsm</SOURCE_WORKBOOKNAME>
    <SOURCE_WORKBOOKPATH>\\MSAD\ROOT\NA\NY\LIB\ER\HEALTH\Biotech\Harrison\Models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/MSResearch/Content/ExternalAssets/2015-04/Images/rfY-4RcLqkKLzAdSOXG1Nw--.png</TARGET_BINARYFULLNAME>
    <TARGET_STORYFULLNAME>/MSResearch/Content/ExternalAssets/2015-04/Sections/20150407_015736_Linking_Range_11.xml</TARGET_STORYFULLNAME>
    <TARGET_UUID>9321eafc-dd4f-11e4-9cfb-6eb77350c59b</TARGET_UUID>
    <TRANSPARENTBACKGROUND>False</TRANSPARENTBACKGROUND>
    <TRANSPARENTPLOTAREA>False</TRANSPARENTPLOTAREA>
  </Link>
  <Link>
    <GUID>3f251404-1c3e-4a01-bbb6-20af1e035995</GUID>
    <SOURCE_ALTADDRESS>$B$1:$U$44</SOURCE_ALTADDRESS>
    <SOURCETYPE>Table</SOURCETYPE>
    <SOURCE_OBJECTNAME>Linking_Range_8</SOURCE_OBJECTNAME>
    <OBJECTTYPE>Native</OBJECTTYPE>
    <SOURCE_SHEETCODE>Sheet5</SOURCE_SHEETCODE>
    <SOURCE_SHEETNAME>BS</SOURCE_SHEETNAME>
    <SOURCEAPPLICATION>EXCEL_SOURCE</SOURCEAPPLICATION>
    <UPDATEDAT>5/7/2015 5:49:32 PM</UPDATEDAT>
    <SOURCE_ISOUTOFDATE>False</SOURCE_ISOUTOFDATE>
    <SOURCE_WORKBOOKNAME>CELG_MH.xlsm</SOURCE_WORKBOOKNAME>
    <SOURCE_WORKBOOKPATH>\\MSAD\ROOT\NA\NY\LIB\ER\HEALTH\Biotech\Harrison\Models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/MSResearch/Content/ExternalAssets/2015-01/Images/xBLyg7WDEyxkoVveDX1EA--.png</TARGET_BINARYFULLNAME>
    <TARGET_STORYFULLNAME>/MSResearch/Content/ExternalAssets/2015-01/Sections/20150115_113717_Linking_Range_8.xml</TARGET_STORYFULLNAME>
    <TARGET_UUID>c4b6303e-9cd4-11e4-9edc-4fa5ec7c1f73</TARGET_UUID>
    <LINKSTATUS>Unknown</LINKSTATUS>
    <TRANSPARENTBACKGROUND>False</TRANSPARENTBACKGROUND>
    <TRANSPARENTPLOTAREA>False</TRANSPARENTPLOTAREA>
    <EXTRACTSOURCEMODE>CopyToClipboard</EXTRACTSOURCEMODE>
  </Link>
  <Link>
    <GUID>fdd794f5-67bc-4a31-8697-700ff1b1f604</GUID>
    <SOURCE_ALTADDRESS>$B$1:$CP$112</SOURCE_ALTADDRESS>
    <SOURCETYPE>Table</SOURCETYPE>
    <SOURCE_OBJECTNAME>Linking_Range_6</SOURCE_OBJECTNAME>
    <OBJECTTYPE>Native</OBJECTTYPE>
    <SOURCE_SHEETCODE>Sheet3</SOURCE_SHEETCODE>
    <SOURCE_SHEETNAME>IS</SOURCE_SHEETNAME>
    <SOURCEAPPLICATION>EXCEL_SOURCE</SOURCEAPPLICATION>
    <UPDATEDAT>5/7/2015 5:50:07 PM</UPDATEDAT>
    <SOURCE_ISOUTOFDATE>False</SOURCE_ISOUTOFDATE>
    <SOURCE_WORKBOOKNAME>CELG_MH.xlsm</SOURCE_WORKBOOKNAME>
    <SOURCE_WORKBOOKPATH>\\MSAD\ROOT\NA\NY\LIB\ER\HEALTH\Biotech\Harrison\Models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/MSResearch/Content/ExternalAssets/2015-01/Images/XMN2EgI1uPigCIfs2CVw--.png</TARGET_BINARYFULLNAME>
    <TARGET_STORYFULLNAME>/MSResearch/Content/ExternalAssets/2015-01/Sections/20150115_113634_Linking_Range_6.xml</TARGET_STORYFULLNAME>
    <TARGET_UUID>aacc2250-9cd4-11e4-9edc-4fa5ec7c1f73</TARGET_UUID>
    <LINKSTATUS>Unknown</LINKSTATUS>
    <TRANSPARENTBACKGROUND>False</TRANSPARENTBACKGROUND>
    <TRANSPARENTPLOTAREA>False</TRANSPARENTPLOTAREA>
    <EXTRACTSOURCEMODE>CopyToClipboard</EXTRACTSOURCEMODE>
  </Link>
  <Link>
    <GUID>da9e2f88-9201-4228-a69b-1e7500192eef</GUID>
    <SOURCE_ALTADDRESS>$B$2:$CO$47</SOURCE_ALTADDRESS>
    <SOURCETYPE>Table</SOURCETYPE>
    <SOURCE_OBJECTNAME>Linking_Range_7</SOURCE_OBJECTNAME>
    <OBJECTTYPE>Native</OBJECTTYPE>
    <SOURCE_SHEETCODE>Sheet4</SOURCE_SHEETCODE>
    <SOURCE_SHEETNAME>REVS</SOURCE_SHEETNAME>
    <SOURCEAPPLICATION>EXCEL_SOURCE</SOURCEAPPLICATION>
    <UPDATEDAT>5/7/2015 5:50:46 PM</UPDATEDAT>
    <SOURCE_ISOUTOFDATE>False</SOURCE_ISOUTOFDATE>
    <SOURCE_WORKBOOKNAME>CELG_MH.xlsm</SOURCE_WORKBOOKNAME>
    <SOURCE_WORKBOOKPATH>\\MSAD\ROOT\NA\NY\LIB\ER\HEALTH\Biotech\Harrison\Models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/MSResearch/Content/ExternalAssets/2015-01/Images/Fgjm8v8l9EqL5XAgWZSpZA--.png</TARGET_BINARYFULLNAME>
    <TARGET_STORYFULLNAME>/MSResearch/Content/ExternalAssets/2015-01/Sections/20150129_121636_Linking_Range_7.xml</TARGET_STORYFULLNAME>
    <TARGET_UUID>94a78fd0-a7da-11e4-9d5a-3eb708603406</TARGET_UUID>
    <TRANSPARENTBACKGROUND>False</TRANSPARENTBACKGROUND>
    <TRANSPARENTPLOTAREA>False</TRANSPARENTPLOTAREA>
    <EXTRACTSOURCEMODE>CopyToClipboard</EXTRACTSOURCEMODE>
  </Link>
</lk:Links>
</file>

<file path=customXml/itemProps1.xml><?xml version="1.0" encoding="utf-8"?>
<ds:datastoreItem xmlns:ds="http://schemas.openxmlformats.org/officeDocument/2006/customXml" ds:itemID="{D2649ED1-522A-4298-A0A8-052A0C5E0001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53D254A2-AF94-4080-A55E-99FA4E2875DE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102</vt:i4>
      </vt:variant>
    </vt:vector>
  </HeadingPairs>
  <TitlesOfParts>
    <vt:vector size="133" baseType="lpstr">
      <vt:lpstr>ImportantDisclosures</vt:lpstr>
      <vt:lpstr>DCF</vt:lpstr>
      <vt:lpstr>IS</vt:lpstr>
      <vt:lpstr>REVS</vt:lpstr>
      <vt:lpstr>BS</vt:lpstr>
      <vt:lpstr>CF</vt:lpstr>
      <vt:lpstr>Debt</vt:lpstr>
      <vt:lpstr>Revlimid_Roll_Up</vt:lpstr>
      <vt:lpstr>MM_US</vt:lpstr>
      <vt:lpstr>MM_EU</vt:lpstr>
      <vt:lpstr>MDS</vt:lpstr>
      <vt:lpstr>Otezla</vt:lpstr>
      <vt:lpstr>Abraxane</vt:lpstr>
      <vt:lpstr>GED0301</vt:lpstr>
      <vt:lpstr>Bluebird --&gt;</vt:lpstr>
      <vt:lpstr>BCMA CAR-T</vt:lpstr>
      <vt:lpstr>Receptos --&gt;</vt:lpstr>
      <vt:lpstr>Ozanimod_RRMS US</vt:lpstr>
      <vt:lpstr>Ozanimod_RRMS ROW</vt:lpstr>
      <vt:lpstr>Ozanimod_UC</vt:lpstr>
      <vt:lpstr>AZ --&gt;</vt:lpstr>
      <vt:lpstr>MEDI4736</vt:lpstr>
      <vt:lpstr>Impact --&gt;</vt:lpstr>
      <vt:lpstr>Fedratinib</vt:lpstr>
      <vt:lpstr>Juno --&gt;</vt:lpstr>
      <vt:lpstr>Juno CAR-T Revs</vt:lpstr>
      <vt:lpstr>DLBCL</vt:lpstr>
      <vt:lpstr>Other NHL</vt:lpstr>
      <vt:lpstr>US BCMA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IndexInformation!IndustryId</vt:lpstr>
      <vt:lpstr>ImportantDisclosures!IndustryRating</vt:lpstr>
      <vt:lpstr>IndexInformation!KeepVersions</vt:lpstr>
      <vt:lpstr>IndexInformation!LanguageCode</vt:lpstr>
      <vt:lpstr>ImportantDisclosures!LastCell</vt:lpstr>
      <vt:lpstr>Linking_10</vt:lpstr>
      <vt:lpstr>Linking_14</vt:lpstr>
      <vt:lpstr>Linking_15</vt:lpstr>
      <vt:lpstr>Linking_16</vt:lpstr>
      <vt:lpstr>Linking_17</vt:lpstr>
      <vt:lpstr>Linking_18</vt:lpstr>
      <vt:lpstr>Linking_19</vt:lpstr>
      <vt:lpstr>Linking_2</vt:lpstr>
      <vt:lpstr>Linking_20</vt:lpstr>
      <vt:lpstr>Linking_21</vt:lpstr>
      <vt:lpstr>Linking_22</vt:lpstr>
      <vt:lpstr>Linking_23</vt:lpstr>
      <vt:lpstr>Linking_24</vt:lpstr>
      <vt:lpstr>Linking_25</vt:lpstr>
      <vt:lpstr>Linking_26</vt:lpstr>
      <vt:lpstr>Linking_3</vt:lpstr>
      <vt:lpstr>Linking_30</vt:lpstr>
      <vt:lpstr>Linking_7</vt:lpstr>
      <vt:lpstr>Linking_Range_10</vt:lpstr>
      <vt:lpstr>Linking_Range_11</vt:lpstr>
      <vt:lpstr>Linking_Range_13</vt:lpstr>
      <vt:lpstr>Linking_Range_14</vt:lpstr>
      <vt:lpstr>Linking_Range_15</vt:lpstr>
      <vt:lpstr>Linking_Range_2</vt:lpstr>
      <vt:lpstr>Linking_Range_3</vt:lpstr>
      <vt:lpstr>'Other NHL'!Linking_Range_33</vt:lpstr>
      <vt:lpstr>'Other NHL'!Linking_Range_37</vt:lpstr>
      <vt:lpstr>Linking_Range_4</vt:lpstr>
      <vt:lpstr>'Other NHL'!Linking_Range_50</vt:lpstr>
      <vt:lpstr>Linking_Range_6</vt:lpstr>
      <vt:lpstr>Linking_Range_7</vt:lpstr>
      <vt:lpstr>Linking_Range_8</vt:lpstr>
      <vt:lpstr>Linking_Range_9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IndexInformation!ObjectType</vt:lpstr>
      <vt:lpstr>ModPubIndex!PANA</vt:lpstr>
      <vt:lpstr>IndexInformation!PathName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IndexInformation!SubmitterUserId</vt:lpstr>
      <vt:lpstr>ModPubIndex!SUPPRESSED</vt:lpstr>
      <vt:lpstr>ImportantDisclosures!TargetPrice</vt:lpstr>
      <vt:lpstr>IndexInformation!TemplateRegion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2013-10-30T13:42:20Z</dcterms:created>
  <dc:creator>Harrison, Matthew (Research)</dc:creator>
  <cp:lastModifiedBy>Purohit, Vikram (Research)</cp:lastModifiedBy>
  <cp:lastPrinted>2018-04-11T23:32:35Z</cp:lastPrinted>
  <dcterms:modified xsi:type="dcterms:W3CDTF">2018-04-13T14:09:33Z</dcterms:modified>
  <dc:title>Celgene Model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15</vt:lpwstr>
  </property>
  <property fmtid="{D5CDD505-2E9C-101B-9397-08002B2CF9AE}" name="{A44787D4-0540-4523-9961-78E4036D8C6D}" pid="3">
    <vt:lpwstr>{7F4F166C-6972-4472-AB3C-D6357AF0F64B}</vt:lpwstr>
  </property>
  <property fmtid="{D5CDD505-2E9C-101B-9397-08002B2CF9AE}" linkTarget="Prop__Plant___Equip_Net" name="_Plant___Equip_Net" pid="4">
    <vt:r8>0</vt:r8>
  </property>
  <property fmtid="{D5CDD505-2E9C-101B-9397-08002B2CF9AE}" name="ERModPubTicket" pid="5">
    <vt:lpwstr>NA</vt:lpwstr>
  </property>
  <property fmtid="{D5CDD505-2E9C-101B-9397-08002B2CF9AE}" name="ERCompanyUploadState" pid="6">
    <vt:lpwstr>P</vt:lpwstr>
  </property>
  <property fmtid="{D5CDD505-2E9C-101B-9397-08002B2CF9AE}" name="ModelId" pid="7">
    <vt:lpwstr>761544</vt:lpwstr>
  </property>
  <property fmtid="{D5CDD505-2E9C-101B-9397-08002B2CF9AE}" name="ERModPubCompanyName" pid="8">
    <vt:lpwstr>Celgene Corp</vt:lpwstr>
  </property>
  <property fmtid="{D5CDD505-2E9C-101B-9397-08002B2CF9AE}" name="MSDH34TAG" pid="9">
    <vt:lpwstr>.TEZUF76X5TAHATHESADREYAK-00-INB160+*94600-06=4eb09bea/-3f24/-11e8/-b3f7/-7a79cfe26848,MD=20180413101619/-0400,ZZ=000Z-3a07.</vt:lpwstr>
  </property>
</Properties>
</file>